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rain_amazon_fr_to_translate_20" sheetId="1" r:id="rId3"/>
  </sheets>
  <definedNames/>
  <calcPr/>
</workbook>
</file>

<file path=xl/sharedStrings.xml><?xml version="1.0" encoding="utf-8"?>
<sst xmlns="http://schemas.openxmlformats.org/spreadsheetml/2006/main" count="20003" uniqueCount="19661">
  <si>
    <t>labels</t>
  </si>
  <si>
    <t>text</t>
  </si>
  <si>
    <t>translation</t>
  </si>
  <si>
    <t>Pas hyper chaud Petit tapis chauffant, texture agréable. Par contre, met beaucoup de temps à chauffer. Et en mode 3, le plus élevé, je trouve qu'il n'est pas très chaud.... Je m'attendais à mieux en tout cas...</t>
  </si>
  <si>
    <t>Passez votre chemin Au premier coup d'oeil, bon article, conforme à la commande. Au bout d'une semaine d'utilisation, l'intérieur du chausson se déchire. A ne surtout pas acheter.</t>
  </si>
  <si>
    <t>Moyen Solide . Mais une des poche est trop serré pour pouvoir mettre des chose à l l'intérieur</t>
  </si>
  <si>
    <t>conforme a l'image il serai nécessaire de le réaliser un peu pus grand Bon produit estétique cadeau apprécié</t>
  </si>
  <si>
    <t>Pieds nus mais avec une bonne paire de chaussures Depuis l'été, je ne les ai pas quittées d'une semelle ! Au delà du prix raisonnable, ces chaussures sont très agréables à porter même sur un sol caillouteux... Vraiment la sensation d'être pieds nus, la marche devient moins fatigante. Si vous êtes "batteur", ce sera le top (j'en connais qui joue en chaussettes, pour alléger leurs pieds surtout les doubles pédaleurs) : ces "pompes" sont parfaites, elles vous assureront une parfaite adhérence et un confort de frappe tout en vous offrant cette sensation de légèreté. Autre chose, la taille est parfaite, pas de mauvaise surprise.</t>
  </si>
  <si>
    <t>Super cadeau Très jolie montre homme, très classe. C'est un cadeau que mon mari a beaucoup apprécié. Un petit luxe à petit prix !</t>
  </si>
  <si>
    <t>La Qualité Sonore Parfaite Faciles à connecter au téléphone. Ils me permettent de répondre à mes appels en mode kit mains libres et de revenir à l'écoute de ma musique. Prise en main aisée. Très bonne qualité de son, on est isolé du reste du monde.</t>
  </si>
  <si>
    <t>Parfait Pas très épais mais ma fille a tout de suite adoré !!!</t>
  </si>
  <si>
    <t>Belle idéee Super pour les naissances et autres fêtes. Avec de petites sucreries à partager avec les proches.</t>
  </si>
  <si>
    <t>Simple pour les lecteurs debutants pour ne pas les décourager Garcon debut de cp</t>
  </si>
  <si>
    <t>Super câble Sur table de mixage</t>
  </si>
  <si>
    <t>tres bien Et très simple d'utilisation pour les collégiens marche très bien pour les collégiens je l'ai moi-même acheté pour mon fils elle marche très bien</t>
  </si>
  <si>
    <t>Super rapport qualité prix Jai testé pour mes migraines l'huile menthe poivrée et ça a fonctionné,  contente de mon achat et la trousse de rangement est très pratique jadore</t>
  </si>
  <si>
    <t>Bon qualité Cet appareil est très satisfait,il y’a vitesse . Un côté c’est cuir doux et facile a nettoyé , l’autre côté c’est tissu Filet respirant .Il compris un Chargeur Secteur et Chargeur Allume Cigare, pratique un posé dans la voiture .</t>
  </si>
  <si>
    <t>Conforme à la description et de bonne qualité Conforme à la description et de bonne qualité</t>
  </si>
  <si>
    <t>Très puissant. Poids adapté, prise en main facile, tient bien la charge. Les vibrations sont très puissantes et efficaces. Les 25 modes sont amusants, et il est simple à nettoyer. Bref, rien à redire :)</t>
  </si>
  <si>
    <t>La Perle Rare à avoir toujours avec Soi... Ressentez son efficacité dès la première utilisation, une légèreté buccale vous envahira pour le bonheur de ne plus jamais perdre cette agréable sensation de bouche saine et dégagée de ses impuretés. Toutes ces années à chercher quelque chose pour assainir ma langue, la rendre rose, en brossant celle-ci, avec divers produits etc... Voilà Le produit qu'il me fallait, merci à ses Créateurs Et la boutique sur Amazon vendant ce produit...</t>
  </si>
  <si>
    <t>Pas de soucis, chaussures conforme à la description et Warerproof Pas de soucis, ce sont des vraies. Ce sont des chaussures en cuir, donc raide au début. Le logo est à la bonne taille. Rien de douteux concernant la chaussure. Livré dans une boîte timberland. Possesseur de Tim auparavant, je suis content de m'en procurer de nouveau et surtout à ce prix. Je chausse du 42 Nike ce qui correspond au 41 Timberland (comparaison guide des pointures des 2 marques) donc je conseille également de prendre une pointure en dessous.</t>
  </si>
  <si>
    <t>Ecouteur Bluetooth sans file, Willful &lt;div id="video-block-RMY88ODQAX96W" class="a-section a-spacing-small a-spacing-top-mini video-block"&gt;&lt;/div&gt;&lt;input type="hidden" name="" value="https://images-eu.ssl-images-amazon.com/images/I/C1eGUu2XbaS.mp4" class="video-url"&gt;&lt;input type="hidden" name="" value="https://images-eu.ssl-images-amazon.com/images/I/91D79GluimS.png" class="video-slate-img-url"&gt;&amp;nbsp;J'ai acheté ces écouteurs car le port de mon téléphone ne fonctionne plus m, et bien ces écouteurs font bien l'affaire. Ces écouteurs tiennent bien l charge le song est claire en plus je n'ai pas de soucie pour les appels elles ont un micro intégré. Je suis hyper satisfaite de mon achat et vous le recommande vivement. Compte à la livraison je l'ai reçu en 24h.</t>
  </si>
  <si>
    <t>Indispensable Excellent produit ! Pratique et simple à utiliser ... Je ne m'en passe plus ^^</t>
  </si>
  <si>
    <t>cadeau gadget L'idée est sympathique, mais la qualité des chaussons et même de la housse n'est pas qualitative. Mais l'effet cadeau était là !</t>
  </si>
  <si>
    <t>Pas terrible Pointure exacte Matière - pas pratique à cause de la poussière. Elles se salissent facilement et se nettoient très difficilement. Prix - un peu cher pour des finitions pareilles - decu car normalement produits bien travaillés. Déjà abîmé à cause des finitions - apres juste deux mois d’utilisation</t>
  </si>
  <si>
    <t>des chaussures comme des chaussons ! J'ai des problèmes à un pied(oignon), il me faut donc des chaussures très souples. Avec celles-ci (je les avais essayées en magasin avant) je n'ai aucune douleur.C'est un pur plaisir de souplesse.Je les aime pour çà. La semelle cependant est un peu légère et pas sophistiquée. Ce qui en fait une chaussure estivale un peu légère.</t>
  </si>
  <si>
    <t>Bonnes chaussettes Je les porte depuis un an lorsqu'il faut chaud, et elles ont bien vieillies. Pas de bouloches, pas de trous, pas de décoloration. 4 etoiles a cause de la composition (65% Coton) qui peut les rendre un peu inconfortables.</t>
  </si>
  <si>
    <t>Pratique pour les sorties et réveils de nuit Boîtes doseuses très pratiques pour les sorties car évite de transporter le pot de lait entier ainsi que pour les réveils dans la nuit car permet d'aller vite quand on est fatigués et que bébé crie pour son biberon. Pour le moment je n'ai mis maximum que 6 doses car bébé n'a pas encore atteint les 9 indiquées en dose max; mais la contenance permet bien de mettre + que 6 doses. Le bec verseur est très utile car évite de renverser à côté. Les boites sont très faciles à nettoyer et à sécher, aussi jusqu'à présent elles ne se sont jamais dévissées pendant le transport. Le seul inconvénient est qu'il faut bien maintenir les boîtes droites pour bien les emboîter et les visser les unes aux autres. A part selon bon rapport qualité prix donc satisfaite de l'achat.</t>
  </si>
  <si>
    <t>Confortable Bon achat,il faut cependant le chauffer pendant trois à quatre minutes pour obtenir la bonne température.je l’ai sorti du micro onde toute les minutes pour mélanger les graines et éviter qu’il ne brûle.</t>
  </si>
  <si>
    <t>Petit mais jolie Très très petit très discret. Mais jolie.</t>
  </si>
  <si>
    <t>Tres bon produit Très bon produit - envoi rapide - je recommande</t>
  </si>
  <si>
    <t>Pour mon boulot génial pas lourde et très pratique Super on entend super bien pas lourde et très bien agencé pour mon oreille</t>
  </si>
  <si>
    <t>Je recommande Cadeau qui a fait son effet! Très bon son, confortable pour les oreilles. Rien a redire Je le recommande vivement!</t>
  </si>
  <si>
    <t>Parfait Très bon produit. Il est parfait pour le crâne nuque ou encore le dos. Je recommande vraiment</t>
  </si>
  <si>
    <t>Impeccable Très beau produit, acheté en version "bois" l'appareil est en plastique avec un aspect bois très esthétique. Ce diffuseur est très efficace et le jeu de lumière très agréable visuellement</t>
  </si>
  <si>
    <t>Parfait il est parfait très beau et élégant j ai pu offrir une parure bracelet et collier a noël. maman a adore il est magnifique a porter. je le conseille sans hésiter.</t>
  </si>
  <si>
    <t>Agréablement surpris J'ai une nevralgie -brachiale. Avec le stress et l'anxiété après une journée de travail j'ai besoin de me soulager la nuque et les trapèzes. J'ai acheté ce tapis en lisant les commentaires. Quand je l'ai tester la première fois  pendant 30 min j'ai pas ressenti la sensation de bien être.  Mais dès la deuxième fois j'ai été submergé par une intense sensation de bien être jusqu'à avoir un large sourire. Pour ma part c'est surtout le coussin que j'apprécie le plus. Toutefois c'est le tapis n'atteint pas les trapèzes. Il.y a un.vide entre le coussin et le tapis. Du coup je place un petit coussin en dessous.  De plus, le tapis n'est pas assez large. Mes bras n'en profitent pas. En tout cas c'est une bonne.n découverte d'autant plus que j'étais très septique.</t>
  </si>
  <si>
    <t>très contente Ces disques d'étanchéité permettent de transporter les biberons vides et stériles ou contenant le lait de bébé avec une bague et non avec la tétine. De plus ces disques ont été conçus pour s'adapter à tous les types de biberons avent (ancien et nouveau modèle) alors que les anciens ne vont pas sur les modèles natural. Ainsi on peut transporter le biberon tranquillement dans le sac à langer jusqu'au moment de le rechauffer pour le donner a bébé. Je suis très satisfaite et le recommande à toutes les mamans qui aiment se promener avec leur bébé.</t>
  </si>
  <si>
    <t>Parfait!!! Super rapport qualité prix, je suis ultra satisfaite du produit et de la rapidité de livraison...</t>
  </si>
  <si>
    <t>Papier d'Arménie Paris ' La Rose Cet astucieux petit carnet (8 x 5.5 cm) porte les senteurs de l'encens, un parfum de rose ajouté à celui du benjoin. Il se présente sous une douzaine de feuillets, chacun prédécoupé en trois lamelles. Il suffit d'en détacher une, la plier en accordéon, mettre délicatement le feu et souffler rapidement dessus afin d'éteindre la flamme. Le papier doit se consumer lentement dans une soucoupe. Entre le fond du support et le papier, je dispose des petits galets de verre. Ainsi, le papier se consume mieux, intégralement. Il  vient à bout d'odeurs difficiles à éliminer. Celles d'un appareil à raclette par exemple'  Les feuilles brunes dégagent une bonne odeur de rose. Autant en profiter en les entreposant simplement dans l'armoire à linge. En brûlant, elle s'estompe tout répandant le délicat effluve fleuri. Les odeurs indésirables volatilisées, j'ouvre les fenêtres en grand. Rien ne vaut le grand air extérieur pour l'aération d'un intérieur. La senteur des résidus demeure lorsque l'on est à sa proximité immédiate.  N'hésitez pas à faire un tour dans les magasins bio, parapharmacie à l'occasion. On le trouve facilement pour moins de trois euros. C'est un moyen ancien, très simple, ingénieux, efficace, économique, pour parfumer et/ou assainir les pièces. Le seul inconvénient : assez fort, il n'est pas au goût de tous.  Si vous n' aimez pas le parfum de rose :  Papier d’Arménie triple, l’ original. &lt;a data-hook="product-link-linked" class="a-link-normal" href="/PAPIER-ARMENIE-TRIPLE-carnet-de-12/dp/B00ECV0S1Y/ref=cm_cr_getr_d_rvw_txt?ie=UTF8"&gt;PAPIER ARMENIE TRIPLE carnet de 12&lt;/a&gt;  Papier d’ Arménie, plus doux et moins entêtant  que l’ original. &lt;a data-hook="product-link-linked" class="a-link-normal" href="/PAPIER-D-ARMENIE-carnet-de-12-feuilles/dp/B0017DPRVQ/ref=cm_cr_getr_d_rvw_txt?ie=UTF8"&gt;PAPIER D'ARMENIE carnet de 12 feuilles&lt;/a&gt;</t>
  </si>
  <si>
    <t>Conforme Tenue chic,serre bien la taille</t>
  </si>
  <si>
    <t>Tres bonne qualité Tres bonne qualité Attention quand même ça taille légèrement petit quand meme pour le haut</t>
  </si>
  <si>
    <t>écouteurs bluetooth Voyant tout le monde avec des écouteurs sans fil j'ai voulu essayé. j'ai choisi la couleur noir, ils sont jolie et j'aime beaucoup la texture. La qualité du son est correcte pour le prix, j'ai eu un peu de mal avec le tactile au début mais maintenant c'est bon.</t>
  </si>
  <si>
    <t>Basique mais efficace Facile à installer juste une cartouche noire et une couleur</t>
  </si>
  <si>
    <t>Produit au top Je suis très satisfait de ce produit. j'en suis ravie par sa qualité et son moyen de pouvoir travailler au niveau programmation pour mon fils. Je recommande vivement ce produit en tant que solide et autant pour son rapport qualité/prix.</t>
  </si>
  <si>
    <t>Etre bien dedans se n'est pas le qua Elle me fon trop mal au pied</t>
  </si>
  <si>
    <t>Arnaque Je n'ai reçu qu'une seule des 5 ramettes de papier, arnaque énorme. La photo ci contre représente un carton de 5x500 feuilles, il n'est pas de mon ressort de me dire que la photo du produit présentée n'est pas le produit. Entreprise pathétique et incompétente.</t>
  </si>
  <si>
    <t>Parfait pour commencer. Tres bon coffret pour commencer avec notre baby chou et le décor est sympathique!! Pas la peine de prendre des coffrets avec plus de biberons pour commencer.</t>
  </si>
  <si>
    <t>bonne qualité ! pour des raison proffessionellles ..</t>
  </si>
  <si>
    <t>Bon produit Bon produit par rapport à la qualité et prix.</t>
  </si>
  <si>
    <t>Livraison rapide, chaussures agréables à porter......et petit prix. Chaussures confortables à petit prix. ...</t>
  </si>
  <si>
    <t>Pas mal Un peu grande mais jolie</t>
  </si>
  <si>
    <t>HYDRATANTE APAISANTE ET CORRIGE LES IMPERFECTIONS Idéale quand on a des imperfections dues à une peau sèche. En une application le soir, celles-ci ont disparu !! Attention, cette huile tâche les vêtements et la literie de façon irréversible et c'est le seul point négatif que j'ai constaté... Je recommande cet achat qui pour ma part me convient parfaitement.</t>
  </si>
  <si>
    <t>Article conforme description Ras</t>
  </si>
  <si>
    <t>Ravie Je l'ai commandé la tétine est superbe je la recommande à tous !! Et je voudrai savoir si j'en recommande une deuxième es que j'aurai une couleur differente que celle que j'ai car j'ai peur davoir encore une orange j aimerai une  tetine couleur violet merci</t>
  </si>
  <si>
    <t>Très satisfaits Très satisfaite de mon produit nous le  faisons revenir régulièrement. Jusqu'à présent nous avons toujours été satisfaits de nos commandes.</t>
  </si>
  <si>
    <t>Très bon casque. Magnifique casque sans fil. Première fois que j utilise, je ne changerait plus pour un casque à fil.</t>
  </si>
  <si>
    <t>Le style au top J’adore super légères, agréables pour marcher, on ne dirait pas des chaussures de sécurité, trop bien avec pantacourts</t>
  </si>
  <si>
    <t>bon parfum Ces parfums sentent bon odeur  Ils ont une très bonne tenue . De plus les flacons sont réellement superbes  tres bon coffre facile a porte partout</t>
  </si>
  <si>
    <t>TOP BON RAPPORT QUALITE PRIX</t>
  </si>
  <si>
    <t>chaud et comfortable Paré pour l'hiver avec ces chaussons fourrés. Merci et au printemps j'espère .</t>
  </si>
  <si>
    <t>BON PRODUIT Très bien et économique. Adopté pour plusieurs années............</t>
  </si>
  <si>
    <t>Bon son. Parfait pour écouter la hifi , je ne suis pas déçu du produit.</t>
  </si>
  <si>
    <t>génial le meilleur des goupillons sans contestation possible! pratique avec le petit goupillon pour la tétine; hygiénique car tient debout sur le rebord de l'évier, efficace pour nettoyer et solide.</t>
  </si>
  <si>
    <t>Super chaussures Enfin des chaussures de sécurité vraiment très confortable on croirait des baskets , très légère, vraiment pas déçu surtout pendant mes 7h de travail je marche énormément, je les conseille vivement.</t>
  </si>
  <si>
    <t>Grand confort, chaleur et étanchéité avérées Teinte conforme et livrées avec une paire de lacets supplémentaire, de couleur rouge. Très appréciés, le contraste des couleurs ainsi obtenu permettant de mieux se repérer dans le laçage.  Chaussant d'ordinaire du 40, mais sachant qu'elles sont fourrées et que je souhaitais mettre des chaussettes de randonnée, j'ai opté pour une taille 41, et bien m'en a prise.  Ceci dit, aussitôt reçues, aussitôt "baptisées" au cours d'une promenade d'environ une heure et demie avec ma chienne, sous une pluie battante. L'efficacité des semelles anti dérapantes ayant en outre fait ses preuves, non pas sur la neige, mais sur des chemins gorgés d'eau, particulièrement boueux. On a la sensation de porter des chaussons, tant elles sont confortables, tout en ayant les pieds bien maintenus, au chaud et au sec.  Au retour de la promenade, j'ai pu constater que l'intérieur ne présentait aucune humidité, l'extérieur séchant très vite.  En conclusion, conquise par ces chaussures, même si reste à voir ce que cela donnera côté longévité.  À votre disposition pour toute question, passez par la rubrique « Remarque sur ce commentaire », j'y répondrai avec plaisir.</t>
  </si>
  <si>
    <t>100 sachets à fermeture zip 60x80 mm Sachets de qualités. solide, hermétique, pratique. Je ne suis pas déçu de mon achat d'autant que le prix est vraiment raisonnable. Je vous recommande ces petits sachets zip.</t>
  </si>
  <si>
    <t>Veste Déçu on dirais plutôt une veste sue un manteau</t>
  </si>
  <si>
    <t>En panne aprés 30 minutes ! A peine deballé, à peine utilisé et déjà à l'arrêt. Le peu que j'ai pu tester : machine trés lente, capteur présence papier pas reactif et au vu de la coupe pas nette du papier, avant la panne, je ne pense pas que dans le temps cette machine puisse faire le job.</t>
  </si>
  <si>
    <t>Produit bose trés décevant Je l'utilise pour actité cycliste; tondre le gazon etc....les embouts blessent les oreilles au bout d'un certain temps.on toujours à l'impression qu'on va les perdre Le son est correct mais pas exceptionnel. Point Positif ils n'isolent pas complétement de l'extérieurce qui est un plus quand on fait du vélo, par contre pour tondre le gazon obligé de monter le son assez fort .Avant je possédais des mpow bluethoo à 20 euros.Autant dire que je suis trés déçu pour 166 €je m'attendait à autre chose.Réputation de Bose surfaite sur ce produit.Mon petit fils à acheté des mpow meme systéme que les bose avec station de recharge à 49€.Honnétement je n'ai vu de différence qu'avec les bose.Pour un prix 3*moins cher.</t>
  </si>
  <si>
    <t>Bon produit Le produit correspond à ce que j'attendais, un bon rapport qualité prix. Les tailles correspondent ainsi que les coloris. Après 3 lavages, les chaussettes boulochent un petit peu mais à ce prix, je ne trouve pas grand chose à redire.</t>
  </si>
  <si>
    <t>Sympa pour des créations originales mais... Les blopens sont maintenant t'es célèbres : des crayons en plastique équipes de recharge, dans lesquels on souffle pour réaliser des dessins au pochoir avec un effet flouté. Ce coffret correspond donc autant que tous les autres à ce descriptif. Mais cette nouvelle version présente des nouveautés intéressantes : - une BOÎTE qui sert de PUPITRE : il permet de maintenir la feuille de dessin et sert également de support à crayons ; attention donc à bien ouvrir la boîte sans l'abîmer ! On peut ensuite y ranger tous les pochoirs et réalisations ; - des MOBILES à fabriquer et à décorer ; - des PAILLETTES multicolores pour DECOR les réalisations. Sur ce point, attention : la colle fournie à tendance à couler trop vite, donc les paillettes font des "paquets" : il vaut mieux que ce soit un adulte qui applique la colle. Les paillettes en revanche ne sortent pas trop vite du tube, c'est assez facile à appliquer.  Jusque là, tout est plutot positif, mais il y a d'après moi un pont noir : les pochoirs sont certes réutilisables, mais ils ne sont pas faciles à nettoyer. Certes, il est facile de faire partir l'encre grâce à une lingette, un chiffon humide ou une éponge, mais comme ils sont fragiles, il faut faire très attention à ne pas les abîmer : ne pas laisser faire aux enfants ! D'autre part, apres nettoyage, on a de l'encre plein les mains : même si l'encre part apres deux ou trois frottage des mains, c'est tout de même désagréable !</t>
  </si>
  <si>
    <t>Attention Taille!!! Qualité et livraison conforme mais attention à la taille lors de votre commande! Par exemple la taille annoncée "37-38 BR ( 39-40 EUR )" est en fait bien un 37-38 EUR!!! Il y a une erreur sur le site je pense car pareil avec une autre paire différente  havainas commandée.</t>
  </si>
  <si>
    <t>produit conforme PRODUIT CONFORME à la description - je l'utilise en studio sur des claviers. aucun problème de fiabilité. description exact sans surprise</t>
  </si>
  <si>
    <t>Super rapport qualité prix Il est au top!!! J'en avais un avant qui ne fonctionnait pas du côté droit et qui avait une qualité sonore lors des appels plutôt médiocre. Avec celui là le son est net et de bonne qualité. On peut augmenter le son depuis l'oreillette, changer de morceau quand on écoute de la musique décrocher raccrocher et j'en passe. Au final mon mari me l'a piqué je vais devoir en racheter un autre pour moi</t>
  </si>
  <si>
    <t>Chaussette très confortable et qui taille bien. Acheter pour aller avec mes vapormax blanche , c'est vraiment le top confortable parfaite pour les baskets basse. Et le gros plus en fin de journée on a pas de résidu de chaussette  partout sur le pied qui est pour moi très importante et qui montre que la chaussette et de qualité . Bref je recommande très bonne chaussette.</t>
  </si>
  <si>
    <t>Biberon a tétine douce Ce biberon est conçu en plastique mou afin que lorsque bébé le met a la bouche cela ne le derange pas vis a vis du sein de maman. la prise en main est également très simple, mon bébé la accepté tout de suite.</t>
  </si>
  <si>
    <t>Jolie Jolie</t>
  </si>
  <si>
    <t>Massages fermes et toniques Il y a 5 types de massages différents avec ou sans pression d’air (5 programmes de 15 min). Les rouleaux passent sous la voûte plantaire et les coussins d’air se gonflent autour du pied. On peut aussi choisir de chauffer . Les massages sont plutôt fermes et appuyés de type shiatsu et réflexologie. L’appareil prend un peu de place par contre mais ne fait pas trop de bruit.</t>
  </si>
  <si>
    <t>Compact et fonctionnel J'ai choisi ce modèle pour l'utiliser en fonction "radio réveil" connecté à mon GSM. La connexion BT est quasi instantanée, la connectique est complète (USB, AUX et carte micro SD). La fonction light est vraiment ludique et facile d'utilisation : 48 couleurs différentes et 4 modes au choix ce qui permet également de l'utiliser en veilleuse ou petite lampe d'ambiance d'appoint. L'alimentation se fait classiquement par un câble micro USB ce qui évite une énième alimentation spécifique. Livraison rapide et conforme</t>
  </si>
  <si>
    <t>Je recommande Bonne qualité</t>
  </si>
  <si>
    <t>Parfait Ce casque pour enfant fonctionne très bien et est réglable pour s'adapter à toutes les têtes (même sur les adultes!)</t>
  </si>
  <si>
    <t>Bouilloire saine efficace au design appréciable Je trouve ce produit parfait pour ceux qui recherchent un produit sans BPA à un prix abordable tout en étant bien dessiné. En tout cas, moi j'en suis très satisfaite.</t>
  </si>
  <si>
    <t>chaussure confortable et loi original très bon produit. confortable. facile à enfiler. Tient bien au pied. Parfait aussi pour faire du paddle.</t>
  </si>
  <si>
    <t>Chaussures qui courent n'amassent pas mousse----[] Fini les glissades sur les cailloux de la rivière, on est pas au top de la mode haha mais quest-ce-qu'ils sont efficaces et rassurants pour marcher dans des zones qui peuvent être à risque pour les bobos eventuels. (pierres coupantes, chutes...)</t>
  </si>
  <si>
    <t>converse très jolies chaussures, couleur parfaite, comme sur la photo. s'adapte avec de nombreuses tenues la qualité converse à recommander prix en promo, vraiment intéressant</t>
  </si>
  <si>
    <t>Excellents écouteurs bluetooth J’ai reçu ces écouteurs pour un test. Je n’avais jamais utilisé ce type d’appareil auparavant.  La livraison a été rapide, les écouteurs sont biens emballés dans un coffret. Il y a une notice explicative détaillée et rédigée en français. La mise en service, lors de la première utilisation comme lors des suivantes, est très simple. L’appairage avec mon smartphone Android est réalisé en quelques secondes. Le boîtier de rangement est bien conçu. Il est solide et il ferme bien. Il sert de chargeur mobile pour les écouteurs.  A l’utilisation, ces écouteurs se font oublier tellement ils sont légers et confortable à l’oreille. La qualité du son est très bonne et il n’est pas nécessaire de trop pousser le volume pour bénéficier d’une bonne restitution des basses et des médiums. Pourtant, je n’ai pas un smartphone « haut de gamme ». J’ai écouté plusieurs styles de musiques (classique, moderne, jazz, rock, film, etc.) et de chansons (opéra, variété, pop, chanteurs à la voix puissante grave ou plus aiguë). Globalement, le résultat est toujours très bon, même si la qualité du son ne vaut pas celle de mes enceintes de salon. Cependant, je trouve que ces écouteurs sont meilleurs que ceux que j’ai utilisé jusqu’à présent (écouteurs filaires).  Pour l’exercice physique, là encore, ils sont confortables (je pratique la marche nordique). Ils ne craignent pas l’humidité.  Pour un usage en téléphonie, ou pour naviguer dans sa bibliothèque musicale, c’est très simple et très bien expliqué sur la notice.  Au final, j’ai été agréablement surpris par la simplicité d’utilisation, la qualité des finitions et du son restitué. Ces écouteurs me semblent être un bon compromis entre le prix, la qualité du son et la facilité d’utilisation au quotidien.</t>
  </si>
  <si>
    <t>Bien bon produit je suis satisfaite de mon achat et le recommande sans soucis ravie de mon achat quoi ! !</t>
  </si>
  <si>
    <t>conforme a ma demandes . conforme a ma demandes .</t>
  </si>
  <si>
    <t>Déçue Si vous avez l'habitude des biberons mam avec valves anticolique je vous déconseille ce produit. Quand bébé boit la tétine reste toujours "enfoncée". Domage leurs deco sont plutôt sympas.</t>
  </si>
  <si>
    <t>Genial Je l adore tellement que je l ai acheté en double Très fin élégant  il se suffit à lui même L éclat du cristal est superbe A recommander ..</t>
  </si>
  <si>
    <t>Ma recherche sur Amazon était "chaussettes sans élastiques". Ces chaussettes en ont. En effet, je cherchais des chaussettes sans élastique (car en fin de journée, les élastiques "étranglent" la cheville et il est désagréable de voir sa jambe "déformée" à cet endroit.) Amazon a classé votre produit dans la catégorie "sans élastique", c'est pourquoi je les ai commandées mais je suis déçu.</t>
  </si>
  <si>
    <t>GRILLE PEU Montee en température de fonctionnement laborieuse  Fonctionne bien après une phase initiale qui i utile</t>
  </si>
  <si>
    <t>malgrés des chaussures venant de chine belle finition. livraison à l'heure et chaussure confortable.</t>
  </si>
  <si>
    <t>Frais Je travaille dans une salle de sport,il est très frais et agréable un peu grand cependant mais bien</t>
  </si>
  <si>
    <t>Très bon diffuseur Diffuseur très simple d'utilisation. Nous pouvons choisir si nous voulons que les leds soient allumés ou non. Nous avons 2 programmes, 1h ou 3h. Plutôt pratique ! Au niveau du design, il est très jolie ! Par contre, il fait un peu de bruit.</t>
  </si>
  <si>
    <t>Conforme Produit conforme, un peu fin pour moi... Je recommande quand même.</t>
  </si>
  <si>
    <t>Bon produit Bon rapport qualité prix et parfum agréable</t>
  </si>
  <si>
    <t>Super livre Il est génial ! En spirale en plus. Il est aussi intéressant pour petits et grands</t>
  </si>
  <si>
    <t>Bien J’aime bien le modèle baya... pris comme chaussons de jardin</t>
  </si>
  <si>
    <t>pratique les bandeaux sont pratiques surtout pour cacher un décolleté trop plongeant. La matière est agréable mais ils taillent quand même assez grand donc prévoir une taille en dessous si vous voulez qu'ils serrent fort.</t>
  </si>
  <si>
    <t>Rapport qualité prix excellent. Professionnalisme. Boucles de qualité, et argent veritable et poinconnée. Finitions impeccables et superbe pierres.  On en a largement pour son argent.</t>
  </si>
  <si>
    <t>Dommage Renvoyer car elle étais trop grande  prévoyais une pointure en dessous.</t>
  </si>
  <si>
    <t>Conforme Utilisation pour bebe Elle ne fait pas de réaction nickel Parfum agréable Bon rapport qualité prix Attention colis très abîmé j'ai eu un bidon qui a fuit...</t>
  </si>
  <si>
    <t>CONFORTABLE Produit reçu rapidement. Très confortable et apparemment solide. On verra à l'usage.</t>
  </si>
  <si>
    <t>pas déçu du tout, au contraire Exactement ce que je voulais, parfait !!!</t>
  </si>
  <si>
    <t>Bel effet Magnifiques. Légères. Brillants inclus discrets. A s'offrir et à offrir !</t>
  </si>
  <si>
    <t>Tout à fait satisfait Étant un habitué de marque comme Clairefontaine, je trouve que ce papier est très satisfaisant avec un vrai blanc. Le top</t>
  </si>
  <si>
    <t>Bon produit, je recommande Bonne coupe, pris taille L, rien à redire, moule bien comme sur la photo, je recommande, la couleur est telle sur la photo :)</t>
  </si>
  <si>
    <t>super le papier d armeni  la rose  sent tres bon</t>
  </si>
  <si>
    <t>Parfait Conforme à la description et la photo, niquel ! Livraison rapide, colie reçu 1 jour avant la date prévue</t>
  </si>
  <si>
    <t>Sac de ville Très bon produit qui correspond en tous points au descriptif Pas déçu par cet achat  Je le recommande à d'autre !</t>
  </si>
  <si>
    <t>Confortables mais trop «&amp;nbsp;souples&amp;nbsp;» Tres confortables et légères Helas apres qq utilisations les contreforts lateraux se laissent deja allée Aunsi que la semelle interne</t>
  </si>
  <si>
    <t>Pièce de cuire ridicule. Acheter ce produit et très déçu. Je ne les pas utiliser je fait un renvoi direct. La pièce de cuire faur 3cm dur 1,5 cm. Pas de la couleur demander en plus. Le produit et peu être efficace. Je cherche pas à comprendre je fait un retour.</t>
  </si>
  <si>
    <t>Bien Très bien pour les biberons jusqu'à 150ml. Mais pour plus ou alors pour mes petits pots, ce n'est pas le top. Mon fils ne mange pas si c'est tiède, il fait que ce soit un petit peu plus chaud. Je suis obligée de chauffer au micro-ondes...</t>
  </si>
  <si>
    <t>sceptique Je ne mets que 3* car ils correspondent bien à la description, seulement je ne trouve aucune différence que je lave avec ou sans!</t>
  </si>
  <si>
    <t>Casque haut de gamme Après l’avoir utilisé pendant presque 6 mois, je confirme qu’en se casque est excellent. Qualité sonore, robustesse, qualité du matériel. Seul bémol, si vous couplé votre casque avec un mixamp Astros pro tr, vous risqué d’avoir des problèmes d’echo Dans les party sur ps4 avec vos contactes.</t>
  </si>
  <si>
    <t>Bien Bon produit. Un peu étroit en largeur pour les pieds large !</t>
  </si>
  <si>
    <t>Dommage La qualité est assez bonne mais la taille n’est  pas bonnes.. Légèrement trop grands.. Dommage !</t>
  </si>
  <si>
    <t>Chauds chaussons Confortables et chauds, ils sont bien utiles les mois d'hiver. Je trouve que la forme est un peu trop prononcé pied égyptien, mais ce n'est pas bien grave.</t>
  </si>
  <si>
    <t>Une belle idée cadeau Pierre de lune porte-bonheur et pleine de reflets, boucles d'oreilles d'un style sobre et qui ne blessent pas.</t>
  </si>
  <si>
    <t>Superbe ! Ce pendentif est extrêmement joli. La perle est d'un blanc éclatant, et elle est délicatement sertie d'argent.  Je suis particulièrement satisfaite de sa taille: ce n'est pas un minuscule petit bijou.  La qualité est là, ça saute aux yeux.</t>
  </si>
  <si>
    <t>Produit qui fait le job ! Parfait pour ranger ma nouvelle carte, ça fait le job et le prix est correct. Le plastique est de bonne qualité donc vous ne prendrez pas de risque en achetant ce produit.</t>
  </si>
  <si>
    <t>ras très fonctionnel grand gabarit mais c'est ce que je recherchais</t>
  </si>
  <si>
    <t>Vraiment sympa Ils ont fière allure mon cul de filles est déjà serré n génial. Cela aide beaucoup aussi! N'aimez pas que vous puissiez voir à travers eux un petit peu et je ne veux vraiment pas qu'elle y sorte lol trop jalouse! Là-bas, elle les aime bien car ils aspirent aussi les tripes.</t>
  </si>
  <si>
    <t>Tout bon ! Kit idéal pour les premiers biberons de bébé : 4 biberons en 2 tailles avec tétines, goupillon, et sucette. Parfait pour faire un cadeau. J'ai utilisé cette marque pour tous mes petits et j'en suis pleinement satisfaite. Les biberons larges se nettoient facilement et passent au lave-vaisselle. Leur forme est agréable en main et ils vieillissent très bien dans le temps. Tout bon !</t>
  </si>
  <si>
    <t>Super et légère Très belle et bonne taille je recommande sans hésitation</t>
  </si>
  <si>
    <t>Indispensable pour les bébés allaités! Bébé de 3 mois l'a trouvé a son goût de suite... Super bien pensé le système anticolique ainsi que la tétine qui imite le mamelon.</t>
  </si>
  <si>
    <t>Je recommande ce produit Tres bon produit facile d'utilisation,  sympa pour pouvoir voir des choses qu on avais pas vu . Livraison très rapide et la marchandise conforme à la description et en parfait fonctionnement</t>
  </si>
  <si>
    <t>réglage de l intensité lumineuse lampe de lecture,super!</t>
  </si>
  <si>
    <t>Très bien Bon produit Montre pour mon enfant PS: attention, c'est un tour de poignet pour enfant, pas pour un adulte  ...!</t>
  </si>
  <si>
    <t>Bon rapport qualité / prix Bon produit. Pratique, se glisse parfaitement dans mon sac</t>
  </si>
  <si>
    <t>Belles et confortables Baskets tres sympas coté look et très confortables. Prendre une taille en plus comme indiqué et elles vont parfaitement !</t>
  </si>
  <si>
    <t>De très bonne qualité pour le prix J'adore ce sweat à capuche. J'le ressens pas, mais dès que je l'enlève, ça met un bon coup de froid. ^^ Les manches sont trop longues pour moi (en-dessous d'1m60), mais c'est pas dérangeant pour la maison. Je pense qu'il est adapté à la taille si vous prenez la bonne taille. Perso, j'ai pris trop grand, mais de mon plein gré. En somme, très ravie de mon achat.</t>
  </si>
  <si>
    <t>PARFAIT Bon casque mais je n'arrive pas à m'en servir sur mon téléphone portable honor juste sur mon téléviseur.. Des grésillements cela est il normal ?? Manque d'explications sur la base et le casque sinon je mettrai 5* partout  Plus de grésillements j'ai baissé tout simplement le son sur la base où sur le téléviseur et monté le son sur le casque impeccable !!! En plus j'ai pu le connecté avec mon téléphone portable et répondre à un appel impromptu.. Merci ça mérite 5🌟</t>
  </si>
  <si>
    <t>Je ne recommande pas je suis désolé Je suis déçu de mon achat je trouve les écouteurs ont aucunes classe c’est gros à vos oreilles aucune discrétion je l’ai choisi parce que c’est sony le son c’est médiocre moi qu’il suit un adepte de bon son je contacte un casque à 10€ à un meilleur qualité. Je me demande est-ce que c’est vraiment un casque Sony c’est à voir faite votre enquête amaron</t>
  </si>
  <si>
    <t>Nullissime Ne marche pas plus d'une dizaine de fois. Après démontage, le mécanisme, tout en plastique, ne tient plus. Une belle bouze en résumé. Le premier a été remplacé. Le deuxième part a la poubelle.</t>
  </si>
  <si>
    <t>Wanderlust scratch off map Aucune explication pour savoir comment gratter. Très très difficile à gratter avec une pièce de monnaie, le papier se déchire, il faut gratter comme un fou. Trop cher et très mauvais produit. A déconseiller.</t>
  </si>
  <si>
    <t>Pas adaptée Cette tétine n'était pas adaptée à notre fils qui depuis toujours ne boit qu'avec une tétine naissance de cette même marque. Cela est peut être dû à l'allaitement et non à la qualité de cette tétine. En effet, la tétine a un débit trop important pour lui et il "s'étouffe"...</t>
  </si>
  <si>
    <t>Très bien Très agréable depuis 3 semaines rien à dire porte tous les jours 8 à 10 heures confortable et légère</t>
  </si>
  <si>
    <t>chaussettes puma belles chaussettes qui vont a mi chevilles confortables . le coton dans le temps ne tient pas s usent assez vite. pour le prix et le lot je pense en reprendre</t>
  </si>
  <si>
    <t>bien mais alors moi je crois qu'on doit tout de suite parler des limites de ce chauffe bib ! comme tout matériel les limites sont parfois rébarbatives mais voilà : c'est long (environ 10 min ) pour un lait tiède c'est un coup (pas de 2è chauffe possible alors attention long trajet ! faut "recharger" en le faisant bouillir donc... ) c'est pas toujours à la bonne taille du bib (j'en ai de plusieurs tailles et certains sont trop larges !)  sinon tout est bien car c'est très pratique lorsqu'on sort quelques heures !</t>
  </si>
  <si>
    <t>souple resistante et et très chouette design Trés chouette et resistante pour le skate , je recommande</t>
  </si>
  <si>
    <t>bonne qualité Pantalon homme bien coupé,joli coloris et très bonne qualité.mon mari est ravi.</t>
  </si>
  <si>
    <t>Très bel article Sweat-shirt bien coupé, sobre et élégant. Très confortable,doux au toucher, chaud mais pas étouffant,c'est un article que je recommande vivement.</t>
  </si>
  <si>
    <t>ca colle bien ras</t>
  </si>
  <si>
    <t>Gommettes coeur , rond , et smileys Commette super il y en a des petites des grandes  , elle sont très facile a décoller mes enfants  Ont adorés  les smileys . Produits conforme et très satisfaisant.</t>
  </si>
  <si>
    <t>vraiment bien. Taille petit. Je suis très contente de ces bottillons, doux et agréable. Je taille 39/40, j'ai pris de 41, mais du 42 aurait pu aller, surtout que j'aime ajouter une semelle. Semelle pas indispensable, d'ailleurs. Donc ça va.  Merci.</t>
  </si>
  <si>
    <t>Sockette Sockette bonne qualité</t>
  </si>
  <si>
    <t>Bien Sera tester à la naissance</t>
  </si>
  <si>
    <t>Tres bon produit Bien supert pour mon travaille excellent</t>
  </si>
  <si>
    <t>Bijoux Trés belle parure.conforme à la photo.</t>
  </si>
  <si>
    <t>Super Tres rapide je suis ravie</t>
  </si>
  <si>
    <t>fonctionne nickel !! j'ai acheté ce kit blue tooth pour mon ancienne voiture. il fonctionne parfaitement : on entend très bien nos interlocuteurs qui nous entendent également très bien. la batterie tient plusieurs jours sans être rechargée et le kit très discret peut être caché derrière le pare soleil. J'ai offert le mien à ma nièce en changeant de voiture, et j'ai en acheté un autre pour ma sœur. Très bon rapport qualité prix</t>
  </si>
  <si>
    <t>Rien à voir avec des écouteurs téléphone. Les écouteurs sont livrés dans un bel emballage et une pochette bien pratique pour les ranger. Ils sont rechargeables à l'aide du câble usb fournis et on y trouve plusieurs taille d' embouts en caoutchouc pour adapter à notre oreille suivant sa morphologie. Les écouteurs tiennent plutôt bien en place, je les ai testé hier lors de mon footing pendant 1h. La notice est malheureusement en anglais mais la mise en route se fait facilement, il suffit d'appuyer sur le bouton rond 3 secondes pour lancer la synchronisation en bluetooth. Il y a aussi 2 autres bouton qui permettent de changer le volume et de changer les pistes audio, cela fonctionne même avec Deezer, c'est parfait.  Pour ce qui est du son, je suis bluffé !!!. Les bass sont bien présentes et le relief sonor bien equilibré. Le volume sonore et lui aussi bien puissant. Au niveau autonomie je ne peut rien dire car je ne les ai pas testé assez longtemps.  Ils font aussi kit main libre mais je n'ai pas encore testé nonplus.  Je recommande ces écouteurs qui ont un rapport qualité/prix au top.</t>
  </si>
  <si>
    <t>Parfait pour cafetière à piston Bialetti Acheté, il y a quelques mois maintenant, en remplacement du filtre de ma cafetière à piston Bialetti (cafetière 3 tasses) qui s'était déchiré, j'en suis très satisfaite. Il est même de bien meilleure qualité que le filtre Bialetti original !</t>
  </si>
  <si>
    <t>Magnifique Ne brille pas autant en vrai mais le collier reste tout de même magnifique</t>
  </si>
  <si>
    <t>Sac magnifique bien proportionné et réalisé J'avais acquis par maladresse le modèle de taille inférieure, mais que je garde tant il est beau et trouve son utilité, puis vu que la taille au dessus existait. . comme de photo je trouvais le couleur café très joli et fort de la satisfaction sur cuila, j'ai resisté . . 3 semaines avant de craquer. Alors étrangement ils sont présentés comme identiques au même prix il me  (d'ailleurs très bien placé pour ce sac ici, pas les deux autres ) en réalité, les points communs en plus de ce qui mentionné précédemment, sont bien sûr la contenance et le dessin. Pour le reste strictement, mais strictement rien de comparable, ici cuir magnifique, doux au toucher robuste, comme le plus petit modèle, à part une fermeture éclair que j'ai résynchronisé, et qui semble tenir, finition sans reproche,  qualité perçue et ausculté à réception ,  encore plus parfait que le petit modèle à je crois euros 47 je crois, que je suis très content d'avoir gardé finalement, car les cuir, bien que magnifiques tous deux sont d'un ton légèrement différents, donc pas doublon., et tout comme le petit  il est beau agréable aéré, belle senteur de cuir qualité. Pas de complément à apporter aux images bien illustrées, conformément au produit, je pense néanmoins qu'on y gagner à mettre euros 6 de plus car celui ci est bien plus logeable que le petit sauf, si vous êtes réellement minimalist. A la grosse louche, je n'ai pas regardé les devices depuis longtemps, mais dans le petit porteuille, papiers clés  (ds la poche téléphone. .) Plus facilement deux galaxy note 4. Dans celui ci, ( le grand ) toujours pas de galaxy note dans la poche du haut. ..) en bas ni ipad ni galaxy note 10,  sous réserve car pas essayé mais rentrent l'équivalent galaxy note 8 et mini ipad 4, même ensemble je pense, tout dépendant de la coque. Tention, les fermetures éclair, c'est du costaud. ., elles montrent les dents. .. Voilà.  Je commenterai pas les deux autres couleurs car vu que considere comme modèles équivalents, en réalité j'ai retourné en 30 min le café, sans regret, car STRICTEMENT RIEN À VOIR qualitativement. Cuir dégueulasse,  gluant, qui pue le gasoil, rien que de toucher, les deviennent rouge, et le pompon j'ai porté un doigt aux alentours des yeux. . Bain d'oeil. No comment. Bon après les goûts et les couleurs. Certains aimeront qu'il soit tout mou,  son côté main moite, ou cheveux gras,  crasse de métro.  J'arrête. Après tout j'ai peut être eu 2x de la chance et 1xpas. ..moais</t>
  </si>
  <si>
    <t>Chausse petit Chausse petit prendre une demie voire une taille de plus</t>
  </si>
  <si>
    <t>Joli et silencieuse mais pas solide Après 1 utilisation.. La bouilloire HS... Verre fendu au niveau de la poignée Retour à l'envoyeur</t>
  </si>
  <si>
    <t>Bien mais... Correspond bien à la photo, la couleur orange est bien orange toutefois pas simple à mettre sur les chaussures de mon fils et la taille n ait pas forcément adaptée, ses chaussures sont finalement plus difficile à mettre qu avant...</t>
  </si>
  <si>
    <t>Pas pratique. Belle bouilloire avec des défauts elle perd pas chaque fois sans filtre lorsqu’on essaye de nettoyer la bouilloire en reversant l’eau.  Le couvercle retiens aussi l’eau lorsque vous le laisser entrouvert il y a de l’eau qui fuit et coule long de la bouilloire en clair vous en mettez un peu partout. Aussi à chaque fois que vous prenez la bouilloire en main la base reste accroché et retombe après coup, fait son travail.</t>
  </si>
  <si>
    <t>Bien choisir la pointure J'ai acheté ces chaussons pour pouvoir marcher comme pieds nus ! Elles sont idéales ! J'en suis très contente. Je chausse du 38 et j'ai pris la taille 36/38. Pour un 36 elles doivent être un peu grandes. Pour le 38, c'est parfait !</t>
  </si>
  <si>
    <t>Tres rapide Chauffe rapidement. Grace a la vapeur d eau on utilise pas beaucoup d eau. Facile d utilisation et nettoyage avec un chiffon humide</t>
  </si>
  <si>
    <t>Sympa mais un fin en haut Jolie casquette, mais en haut trop fin. Ce qui explique le prix.</t>
  </si>
  <si>
    <t>Très bon rapport qualités prix Très bonne expérience. le prix est bas et une qualité son très bien. mieux que certaines marques (Sony et autres) plus chères. les écouteurs sont livré dans une boite sphérique en fer, original pour ce genre de produit. la boite contenant, un petit sac pour mettre ses écouteurs et plusieurs mousse plastique de différentes tailles pour mieux s’adapter aux oreilles. il y a parmi elles des mousses à mémoires de formes. je préfères les classiques qui tiennent mieux pour les oreilles mais vous aurez le choix. le fil à l'air solide et les deux écouteurs sont aimantés, ce qui permet lorsqu'on ne les utilises pas, de ne pas se trimballer dans tous les sens. le son est bon voir très bon. de bonnes bass mais qui ne dénature pas les morceaux et des aigu claires. bref un sont équilibré. j'écoute beaucoup de musique et suis musicien. je bouffe régulièrement des écouteurs car ils deviennent défectueux en général au bout de six mois et par comparaison, je n'ai pas trouvé mieux rapport qualité prix. à voir dans le temps s'il tiendront plus de six mois mais je rachèterai si ce n'est pas le cas, probablement. un spécial plus (génial) pour le mail qu'ils envoie pour chaque commande. lisez le, vous verrez ça fait du bien de voir des startup qui peuvent ne pas se prendre au sérieux tout en faisant un sérieux travail. chapeau.</t>
  </si>
  <si>
    <t>OK mais pas parfait En comparaison d'une 'vielle' Casio solaire Wave: Le buzzer n'est pas très fort et le bracelet et moins souple en réglage entre deux maillons. L'autonomie me semble également moins grande mais peut être la charge n'était pas complète.  Par contre, finition supérieure et verre saphir (c'est un gros plus). Dommage que seulement 3 boutons pour les réglages.</t>
  </si>
  <si>
    <t>Montre casio Achetée pour mon fils . Il a eu une autre casio depuis 6 ans et c’est bracelet qui n’a plus tenu . La batterie était impeccable.. . Il a bien aimé la couleur bleu et il ne veut que des casio .</t>
  </si>
  <si>
    <t>Très bien On sent l'effet dès la première séance. La lumière est intense. Je l'utiliserai tout l'hiver pour diminuer les effets de la déprime saisonnière.</t>
  </si>
  <si>
    <t>Impeccable Crocs, rien à dire, je conseille.</t>
  </si>
  <si>
    <t>Nickel Écouteurs très pratique épouse bien mon oreille et une qualité de son impeccable idéal pour écouter de la musique regarder un film ou téléphoner</t>
  </si>
  <si>
    <t>Parfait &lt;div id="video-block-R36NX1HULG5BC9" class="a-section a-spacing-small a-spacing-top-mini video-block"&gt;&lt;/div&gt;&lt;input type="hidden" name="" value="https://images-eu.ssl-images-amazon.com/images/I/71tmmJlr9gS.mp4" class="video-url"&gt;&lt;input type="hidden" name="" value="https://images-eu.ssl-images-amazon.com/images/I/917-U3OIkqS.png" class="video-slate-img-url"&gt;&amp;nbsp;Excellent ! Le rêve devenue réalité ! Cet appareil de massage est juste parfait pour mes pieds hyper fatigué, stimule bien ma circulation sanguine. Pas bruyant du tout pour mes oreilles :p Bref je pourrais écrire un long chapitre des bienfaits de cet appareil de massage, mais ce serai trop long... :) Tout ce que je peux dire, c'est que je le conseille vraiment pour les fans de massages des pieds, c'est juste une merveille  !!! Merci pour toutes ces petites inventions technologiques  j'adore!</t>
  </si>
  <si>
    <t>Très bien Chaussettes de qualité. Achetées pour ma petite fille qui en est très satisfaite. Très bon rapport qualité/prix. Ne pas s'en priver !</t>
  </si>
  <si>
    <t>Nikel Très content pour mon achat</t>
  </si>
  <si>
    <t>Top Ces biberon sont parfait pour continuer à donner son lait maternelle quand in reprend le travail ! Le seul bib qu'elle a accepter direct !</t>
  </si>
  <si>
    <t>Masque très efficace ! J'évite habituellement ce genre de produits qui sont loin d'être naturels, mais j'avoue que je suis accro à ce masque. Je souffre de quelques boutons d'acné sur le menton (à bientôt 30 ans...), Avec ce masque ils ont considérablement réduits ! Je l'utilise environ 2 fois par semaine lorsque je trouve que j'ai mauvaise mine, il me laisse la peau douce et un teint plus lumineux. Lorsque je sens qu'un bouton va apparaître, j'applique avec un coton tige sur le bouton concerné et laisse poser toute la nuit, le lendemain je n'ai plus à m'en soucier ! Je l'ai même utilisé sur un bouton d'herpès, il a presque disparu en 2 jours, épatant ! La produit picote un peu, mais malgré ma peau très sensible, aucune rougeur après le retrait.  Je recommande fortement et pense essayer les autres masques de la gamme.</t>
  </si>
  <si>
    <t>Rapport qualité-prix imbattable. Jusqu’ici je n’ai pas eu besoin d’imprimer suffisamment de documents pour avoir assez de recul, ce retour d’expérience peut donc comporter des biais.  Rien à signaler concernant l’impression de textes.  Les images que j’ai imprimées - sur du papier de bonne qualité - ont quelques légers défauts, mais je soupçonne l’imprimante qui commence à dater dans cette logique d’obsolescence programmée.  Trop peu de recul pour juger du niveau d’encre, mais je doute que ces cartouches souffrent de la comparaison avec les «&amp;nbsp;officielles&amp;nbsp;», tant ces dernières sont chères et impriment peu de feuilles.  Lors de l’installation les cartouches étaient reconnues comme «&amp;nbsp;non- » de la marque. Après avoir redémarré l’imprimante, aucun message d’erreur n’est apparu.  Le point peut-être le plus important : le prix, celui du fabricant frise l'indécence, et là on observe un prix quatre à cinq fois inférieur.  En résumé : un produit hautement substituable, et nettement moins cher. Libre à vous de faire preuve de snobisme.</t>
  </si>
  <si>
    <t>Beau livre Magnifique. De beaux dessins, bien écrit... a offrir a vos enfants (garçon ou fille)</t>
  </si>
  <si>
    <t>Chaussures speedcross4 Produit conforme à la commande. De très belle facture et très confortable à l'utilisation. Un super grippe lors de l'utilisation en terrain forestier, de montagne. Arrivé très rapidement et très bien emballé !</t>
  </si>
  <si>
    <t>Efficace Efficace en tout point : rhume, douleur musculaire et migraine. Je le recommande</t>
  </si>
  <si>
    <t>Tb Tb</t>
  </si>
  <si>
    <t>J’adore leur parfum Je ne jurais que par soupline et déçue de ne pas avoir acheté plus tôt Cajoline car j’adore le parfum</t>
  </si>
  <si>
    <t>biberon excellent rapport qualité prix, facilité avec un demontage intégrale, très pratique bébé adore, et maman aussi. Je le recommande vivement.</t>
  </si>
  <si>
    <t>Problème d’usine ? La cartouche noire n’a jamais fonctionnée correctement. Malgré plusieurs tentatives de nettoyage des buses et alignements des têtes ça n’a jamais fonctionné convenablement</t>
  </si>
  <si>
    <t>le maniement des ventouses ! J'aurais aimer avoir une notice en Français , indispensable !</t>
  </si>
  <si>
    <t>DES RECHARGES QUI FONCTIONNE UNE JOURNEE Ces recharges ne fonctionnent pas plus de quelques heures .. c'est honteux je n'arrête pas de les changer ... on comprend le pourquoi d'un lot aussi avantageux</t>
  </si>
  <si>
    <t>Moyen Dans l'ensemble ça va, néanmoins je trouve qu'il n'est pas pratique lorsque l'on veut l'ouvrir à une main(et que l'on a bébé dans l'autre), et j'ai déjà eu des soucis avec la température...</t>
  </si>
  <si>
    <t>Basique efficace Sweat classique coupe confortable, prendre une taille en dessous</t>
  </si>
  <si>
    <t>utile,je recommand bon produit</t>
  </si>
  <si>
    <t>Qualité Commentaire tardif, car j'attendais de faire usage de ces cartouches ! Elles sont parfaites , vite installées et reconnues par l'imprimante aussitôt . Couleurs authentiques , excellent usage , et surtout excellent rapport qualité -prix ! Mais catastrophe à l'installation de la cartouche jaune ,  qui d'abord n'a pas été reconnue , puis comme usagée ... échec</t>
  </si>
  <si>
    <t>Elles sont agréable à porter Très bien pour le sport ou autre je les recommande</t>
  </si>
  <si>
    <t>Bien vous familiariser avec. Pour regarder l'heure. J'aime le modèle, le réglage de la montre n'est pas facile. Ce que je n'aime pas par contre c'est l'éclairage de l'heure, un simple allumage de l'écran et pas de rétro éclairage.</t>
  </si>
  <si>
    <t>QUALITE AVENT allié au verre ! TOP La formule des bi berons en verre c'est la SECURITE L'hygiène celà ne bouge pas ! INUSABLE QUALITE ++++++</t>
  </si>
  <si>
    <t>Confort Rien à dire ! Confort absolu, elles passent en machine sans problème !</t>
  </si>
  <si>
    <t>short rouge ma fille fait du 34/36 et il lui va parfaitement, fin pas trop chaud idéal pour l'été ou sous une jupe</t>
  </si>
  <si>
    <t>Le plus pratique Très pratique grâce au goupillon tournant</t>
  </si>
  <si>
    <t>Adieu les douleurs Faisant pas mal d'exercice physique, j'avais des douleurs en haut du dos. En utilisant ce coussin le soir avant de me coucher, je n'ai plus de douleur. Le mouvement est agréable. Le coussin convient parfaitement à  ceux qui, comme moi, préfèrent les massages "durs"</t>
  </si>
  <si>
    <t>J'adore Jolie colier idéal pour mon fils il fait 2en1 😁😁</t>
  </si>
  <si>
    <t>très jolie montre Après plus d' un mois d' utilisation, je dois dire que je suis vraiment content de mon achat. Cette montre est vraiment de bonne qualité, ni trop grosse ni trop petite et je n' ai pas un gros poignet... Esthétiquement elle est magnifique !!</t>
  </si>
  <si>
    <t>Légères et résistantes Ces chaussures aquatiques sont très confortables et agréables à porter. Elles sont en néoprène, le textile est doux et extensible. Ces semelles sont en mousse alvéolée épaisse et super moelleuse. On a l'impression de marcher sur un nuage... Côté look, ces chaussures sont également très jolies avec leurs semelles assorties. Très bien finies, bonne pointure, produit de qualité.</t>
  </si>
  <si>
    <t>Très beau sweat shirt Sweat très léger mais assez agréable au toucher, J adore le motif c'est pour ça que je l ai acheter Je suis très satisfait</t>
  </si>
  <si>
    <t>Excellent pour ce qui est du son  (complément ) Après plusieurs semaines de rodage, mon opinion sur ce casque se confirme. C'est excellent. Le son est équilibré, aucun registre n'étant mis en avant. La véracité des timbres, la finesse,  la précision de la polyphonie sont au rendez-vous.  Le seul point regrettable, pour ce qui me concerne , se situe dans le confort : le serrage n'est pas vraiment réglable, cela me fait mal autour de l'oreille gauche. Ensuite, le simili cuir est désagréable. On aurait beaucoup gagné en le remplaçant par du velours. Mais le rapport qualité-prix reste très très favorable. Complément ajouté un mois après : j'ai remplacé les oreillettes en skaï par des oreillettes en velours, trouvées sur Amazon : l'apport est très important pour le confort, ça ne vaut pas la peine de s'en passer. Encore une fois, dommage qu'AKG ne propose pas cela en option. Attention à bien choisir ces oreillettes, toutes ne conviennent pas : certaines sont trop épaisses et éloignent trop l'oreille de la membrane active.</t>
  </si>
  <si>
    <t>Très bonne qualité /prix Pour tout les jours</t>
  </si>
  <si>
    <t>Très bon microphone Avant j'utilisais le micro de mon casque mais celui-ci captait tous les bruits de mon clavier même en testant plusieurs réglages. J'ai donc décidé d'acheter un micro à part. Je suis absolument ravie avec cette article. Le fait qu'il soit unidirectionnel attendu les bruits de mon clavier qu'on entend quasi plus du tout. Ma voix est également beaucoup plus claire, tellement qu'on a l'impression que je parle directement dans les oreilles de mes interlocuteurs.</t>
  </si>
  <si>
    <t>Top Top</t>
  </si>
  <si>
    <t>Pratique Beau design, assez grand pour tout mettre, très pratique à transporter</t>
  </si>
  <si>
    <t>Très bien Excellent produit pour nettoyer les biberons, bien moins moussant qu’un produit vaisselle et se rince bien mieux. Attention, cependant, à ne pas laisser le flacon au soleil la journée car sinon le liquide «&amp;nbsp;tourne&amp;nbsp;»et est bon à jeter !</t>
  </si>
  <si>
    <t>Durable Gros obre matériel tros feble  mais confortable</t>
  </si>
  <si>
    <t>Bof Déçue +++ Aucune information qu il s agissait de basket en cuir et non toile. Mauvaise description du produit .</t>
  </si>
  <si>
    <t>Non conforme Sweat trop petit Taille S et L équivalent 10 et 12 ans. Défaut de fabrication très fin et non conforme à sa description. Je demande le retour et remboursement de mes 2 articles pas de réponses à ce jour. Ne recommandé absolument pas</t>
  </si>
  <si>
    <t>Montre a gousset Très belle montre de poche dans l'ensemble, il n'y a que la chaîne qui me déplaît, dommage qu'elle ne soit pas dans les mêmes ton de jaune que la montre.</t>
  </si>
  <si>
    <t>Bonnes chaussures Bonnes chaussures mais semelles très fine.</t>
  </si>
  <si>
    <t>Jolie et légère. Belle conception mais paraissant un.peu fragile. À voir dans le temps.</t>
  </si>
  <si>
    <t>Beaux bracelets Produit conforme à sa description et livraison rapide et dans les délais.</t>
  </si>
  <si>
    <t>Joli sans plus Joli mais assez volumineuse... dommage.</t>
  </si>
  <si>
    <t>satisfaite de mon achat pantalon demi-saison, assez léger et chaud à la fois (non préconisé pour l'hiver). bonne tenue et fait une jolie silhouette féminine. peut être que pour une grande faisant une taille 36 sera un peu court, car je mesure 1.56 et je le trouve juste comme il faut en longueur.</t>
  </si>
  <si>
    <t>très bien Facile d'utilisation, fourni avec piles et secteur. Donne des températures fiables et produit de bonne facture.</t>
  </si>
  <si>
    <t>Encre pour imprimante Encre pour imprimer .Conforme à la description faite par le vendeur</t>
  </si>
  <si>
    <t>Nickel Acheté pour avoir un micro de qualité lors de mes séances de jeu avec des amis, ce micro est top. Le bras fournie est très pratique et le micro en lui même a une super qualité. Les boutons de volume marchent bien et permettent également d'éteindre le micro, pratique pour la vie privée quand connecté constamment à l'ordinateur.</t>
  </si>
  <si>
    <t>Tres belle coupe Tres belle coupe. Par contre,  ce n est pas du cuir ou alors pas du bon</t>
  </si>
  <si>
    <t>Agréable Achèté pour faire un cadeau et la personne est ravie, peu de bruit et détente agréable</t>
  </si>
  <si>
    <t>RAS Ultra pas cher, donne l'heure correctement. Parfait pour les vacances pour pas tuer ma belle montre à la plage. youpi</t>
  </si>
  <si>
    <t>Produit top pour loisirs créatifs J utilise ce est flacon coeur  pourlà resinet inclusion et déco sur la création et  la fimo c est tout à fait ce que je recherché les couleurs sont au top il y en a pour un moment créateur je vous les conseils Merci</t>
  </si>
  <si>
    <t>Huiles essentielles pour diffuseur Prix bas pour le lot mais je ne pense pas que les huiles soient vraiment des extraits de qualité car peu de senteur</t>
  </si>
  <si>
    <t>Parfait Parfait</t>
  </si>
  <si>
    <t>parfaite Elles sont encore plus jolies en vrai que sur la photo. Elles taillent bien et sont confortables. La matière du dessus se salie un peu vite.</t>
  </si>
  <si>
    <t>Super Super pratique quand on doit bouger et éviter de prendre la grosse boîte de lait ! Je l'utilise également pour la nuit pour avoir les doses déjà prêtes et gagner quelques secondes précieuses sur la préparation du Bibi !! J'aime beaucoup le petit bec verseur pour éviter d'en mettre partout, surtout la nuit quand on est pas encore réveillé !</t>
  </si>
  <si>
    <t>👍 Magnifique 👍</t>
  </si>
  <si>
    <t>Satisfait Ces sabots sont très légers et épousent bien la forme du pied à voir à l'utilisation journaliére</t>
  </si>
  <si>
    <t>Mes nouveaux alliés au quotidien. J'ai eu beaucoup de mal à me faire à la mousse les premiers jours. Une fois qu'elle avait prit la forme de mes oreilles, c'était parfait! Le son est vraiment bien, la molette permet de baisser le son sans avoir à sortir son téléphone ou Ipod ou autre. J'ai eu la bonne surprise de découvrir qu'ils servait de kit main libre avec lequel on peut décrocher et raccrocher.  Les aimants permette d'éviter des noeuds. Mais surtout la matière rend les fils presque impossible a emmêler.  Je recommande.</t>
  </si>
  <si>
    <t>Parfait ! Ces tétines correspondent bien à celles que j'utilise d'habitude, on trouve le numéro 4 pour ce débit rapide. Je suis donc très satisfaite de mon achat.</t>
  </si>
  <si>
    <t>Pas basket Adidas Quand on signale une marque  j'aimerais n'avoir que celle ci .. Et non autre chose. ..</t>
  </si>
  <si>
    <t>Ne vaux pas sont prix Qualité du cuir médiocre ! Abîmé au bout de seulement 3 jours avec son système de glissoire sa rape le cuir .. déçu</t>
  </si>
  <si>
    <t>bad quality sound j’étais complètement déçu de la qualité de son pour ces écouteurs, il ya aucune base et des parasites dans le son ....... je ne le valide pas !!!!!</t>
  </si>
  <si>
    <t>Bien mais taille petit Très beau bracelet de bonne qualité. Seul bémol, taille petit</t>
  </si>
  <si>
    <t>Très légères pour essayer mais un peu petit</t>
  </si>
  <si>
    <t>Agréablement surprise Franchement pour 7euros je m'attendais pas du tout à ça. La qualité du son et vraiment bien, le maintien est cool mais bon pour courir c'est pas très pratique enfin perso j'ai jamais vu des écouteur avec fil pratique pour courir. Mais vraiment Super écouteur</t>
  </si>
  <si>
    <t>Magnifique collier Très satisfaite le collier tout à fait ce que j'attendais et même plus !!! Je le recommande à toutes mes dames..</t>
  </si>
  <si>
    <t>parfait pour le voyage petit encombrement et fait bien son boulot.</t>
  </si>
  <si>
    <t>Lampe sur pied Livrée très rapidement avec Prime, cette lampe correspond à ce que je cherchais à prix correct. La hauteur est bien adaptée pour l'utiliser près d'un canapé, le réglage de la luminosité est appréciable pour un bon confort de lecture. En plus, la consommation est faible grâce aux leds. Très contente de ma nouvelle lampe !</t>
  </si>
  <si>
    <t>Commande très beau sweat à capuche impeccable au niveau de la taille et de la qualité .Epais et tient au chaud. Merci aussi pour l'emballage. Félicitation à toute l'équipe AMAZON;</t>
  </si>
  <si>
    <t>Valeurs sûre. Super</t>
  </si>
  <si>
    <t>Rien à redire Rapport qualité/prix imbattable , surtout si on dispose à la fois d'un lecteur de carte bleues et un autres de carte VITAL. Quelque soit la qualité du papier on s'en tamponne un peu sur les bords !</t>
  </si>
  <si>
    <t>Super Mon fils adore la galette se livre la fait sauté de joie à sa réception Un vrai plaisir comme le reste de la collection et surtout qualitatif pour le prix. Je recommande vivement</t>
  </si>
  <si>
    <t>hs hs</t>
  </si>
  <si>
    <t>Super Belle chaussures de sécurité agréable à porter et légère</t>
  </si>
  <si>
    <t>très bien Ayant beaucoup de soucis de dos, ce matelas est parfait. il me détend et j arrive meme à m endormir dessus. je recommande</t>
  </si>
  <si>
    <t>bon sachets bons sachets, conformes, pas fragiles (je ne comprend pas les commentaires negatifs a ce sujet). attaches solides et qui fonctionnent bien</t>
  </si>
  <si>
    <t>Super Rien à dire de négatif. ces cartouches sont justes géniales. Comment je n'ai pensé plus tôt à le acheter . Epson est  tellement cher . don OUI je recommande ce pack ... bravo !!!</t>
  </si>
  <si>
    <t>Pour ouvrir facilement, faire coulisser le zip entre le pouce et l'index (Ne tirer pas) La qualité est bonne et l'épaisseur est correcte et suffisante pour mon usage Je les utilise pour ranger et surtout classer des composants électroniques comme des résistances (voir photo) Je recommande</t>
  </si>
  <si>
    <t>Chausson de Ville C'est du top!  je chausse du 45 donc j'ai suivi les recommandations et ai commandé au dessus.  Confortable comme jamais.  Je me fais l'impression d'être déjà au troisième âge.  Mais elles sont excellentes pour la marche.</t>
  </si>
  <si>
    <t>qualité Écouteurs sans fil de qualité. Ils sont design et élégants. La boîte de chargement est très belle et les matériaux sont de qualité. Les écouteurs remplissent bien leur rôle, la musique et les appels téléphoniques sont de très bonne qualité. On peut décrocher ou raccrocher depuis les écouteurs. De la même manière, il est possible de gérer la musique depuis les écouteurs. Autre point important, les écouteurs tiennent bien en place dans les oreilles. Des coussinets de différentes tailles sont livrés avec les écouteurs, ce qui permet de trouver la taille adaptée à ses oreilles. Bref, produit bien fini, joli et très pratique.</t>
  </si>
  <si>
    <t>Contente Je fais du 37 taille habituelle . Livraison rapide rien n'a dire . La basket et comme sur la photo</t>
  </si>
  <si>
    <t>Epatant Épatant pour une personne handicapée qui peut maintenant marcher d’ une façon plus assurée.</t>
  </si>
  <si>
    <t>Le confort Un peu déçu par la taille</t>
  </si>
  <si>
    <t>attention arnaque j ai commandé 4 paires de chaussettes de bain reçu qu une  paire et s a rien a voir avec les photos du produit attention semelle non rigide comme sur la phototrès mauvaise expérience avec ce marchand</t>
  </si>
  <si>
    <t>Belle montre Elle me rappelle la montre de ma mère enfant. Alors je l'ai achetée. J'avais auparavant une autre casio avec bracelet en plastique qui m'irritait. Pas de problème avec celle ci. Dommage que le rétroéclairage ne soit pas présent. Difficile de voir l'heure le matin en cette période hivernale. Surtout quand on a été habituée par une autre casio. L' écran digitale est trop petit et je ne m'en sers que pour la date.</t>
  </si>
  <si>
    <t>Pas mal Taille petite prévoir demi taille au-dessus.. Resistant un an</t>
  </si>
  <si>
    <t>Tres correct. J'ai acheté ce casque pour écouter la tv sans être embêtée par des voisins bruyants.  Réduction du bruit acceptable (à part pour le chien lol) , son stéréo très correct (avec une tv 4k ultra HD), il se connecte facilement et rapidement. Il est juste un peu grand, il serait parfait si on pouvait resserrer le casque. Je recommande pour les grosses têtes ou les hommes.</t>
  </si>
  <si>
    <t>Bien Malgré sa taille un peu plus petite que prévu pour du 43 1/3, ces chaussures de randonnée si vraiment très agréables en extérieur, je déconseille très fortement pour de la piste ou des surfaces plates car les crampons se dégrade très vite</t>
  </si>
  <si>
    <t>Très confortables et esthétiques Chaussant plutôt du 42,5 je n’ai pas pris de risques en achetant cette paire en 43. Le prix était intéressant et les chaussures sont confortables ! Je recommande.</t>
  </si>
  <si>
    <t>bon produit renvoyé ca trop grand contente du produit, beau et con fortable mais pour la taille plus grand que prévu puisque je mets du 38  d'habitude alors dommage</t>
  </si>
  <si>
    <t>Conformément à la description Super produit</t>
  </si>
  <si>
    <t>Super! Mules très agréables tant pour la maison comme pour allé au sport ou à la piscine. Bonne résistance et confortables à la marche!</t>
  </si>
  <si>
    <t>Excellente chaussures de marche (pas randonnée) J'ai acheté ces chaussures pour mon voyage en Israel, voulant en profiter pour changer de chaussures. J'ai été totalement satisfait car faisant plus de 10km de marche les premiers jours, ces chaussures ont été parfaitement confortables et résistantes. Je les porte désormais presque quotidiennement et le résultat est tout aussi satisfaisant. Excellentes chaussures de marche. Mais ce ne sont pas des chaussures de randonnée toutefois bien entendu.</t>
  </si>
  <si>
    <t>Top Je me suis achetée ce micro il est venu en bon état micro super bon qualité un bon son ideal pour le karaoké il vaut son prix je vous le recommande</t>
  </si>
  <si>
    <t>Excellente qualité Franchement, je ne regrette pas du tout cet achat ! Excellent qualité accoustique, et vraiment un casque antibruit ( le simple fait de le mettre sur les oreilles : incroyable, on entend pratiquement plus rien autour de soi) . Je l'ai utilisé alors qu'il y avait beaucoup de bruit autour de moi, et je n'entendais rien d'autre que le film que je regardais. De plus , le casque est très solide et très agréable à porter</t>
  </si>
  <si>
    <t>Super ! Correspond à la description, aucun soucis</t>
  </si>
  <si>
    <t>Parfait. Parfait.</t>
  </si>
  <si>
    <t>Écouteurs  bluetooth Ecouteurs bluetooth de grandd qualité avec une bonne ergonomie. Le design est comfortable et ne gêne pas pendant leport. La qualité du son est excellente. Les fonctions sont classique mais fonctionelle.</t>
  </si>
  <si>
    <t>Parfait Très contente! Le film plastique adhère bien et est très facile d’utilisation</t>
  </si>
  <si>
    <t>Belle boucle d'oreille Ma femme à adoré</t>
  </si>
  <si>
    <t>Sacoche sympa Très bonne finition. A voir dans le temps mais je suis satisfait de mon achat. L’ipad Pro rentre dedans donc je suis content. Je la conseille.</t>
  </si>
  <si>
    <t>comme prévu j'ai bien retrouvé celles que j'avais depuis des années !</t>
  </si>
  <si>
    <t>Bicarbonate de soude Très bon rapport qualité prix. Acheter pour effectuer ma lessive. Il remplit ces fonctions. Une dosette est dans  la boîte.</t>
  </si>
  <si>
    <t>Mon pere l'adore! Un cadeau parfait pour mon pere, c'est chic!</t>
  </si>
  <si>
    <t>bien ras</t>
  </si>
  <si>
    <t>1 micro ne fonctionne deja plus Bonjour vraiment dommage matériel utilisé peu de foi un micro ne fonctionne pas . que dois-je faire ? Je vous le renvoie ? La durée de vie n’est pas correcte . Cordialement</t>
  </si>
  <si>
    <t>Trop fins épaisseur de 50 microns c'est bien trop fin ! et le zip se ferme mal.</t>
  </si>
  <si>
    <t>Gilet manteau Trop petit  plutôt un gilet</t>
  </si>
  <si>
    <t>modèle fin et joli , mais matière décevante. commande arrivée très vite,  mais déçue par le produit , prévu comme cadeau de Noël. Le modèle est joli pour une jeune fille , mais  l'argent donne une impression d' inox...donc impression  de "bon marché". Cadeau renvoyé, dommage....</t>
  </si>
  <si>
    <t>bon prodiut utilisation tous les jours, je marche beaucoup.</t>
  </si>
  <si>
    <t>Fabrice Bon produit et rapport qualité prix très correct. Le bracelet est un peu moins souple que le modèle original</t>
  </si>
  <si>
    <t>bon produit ce réveil semble de bonne qualité et est très esthétique ; la fonction veilleuse est très pratique au moment du coucher et également il s'allume quand il sonne ; il est assez simple à utiliser, c'est le premier réveil de mon fils de 6 ans et il a choisi la "sonnerie" des petits oiseaux pour se réveiller, il est très content.</t>
  </si>
  <si>
    <t>Bon produit Bon produit très séduisant La longueur de la chaîne est parfaite et le pendentif très joli Il a beaucoup plus une fois offert</t>
  </si>
  <si>
    <t>Conforme. Cartouches conformes à mes attentes avec le petit plus : une enveloppe afin de recycler ces anciennes cartouches. Pour cela vous avez juste besoin de glisser vos anciennes cartouches dans ces enveloppes. Fermez là et postez là... Pas de timbres, Pas de complication !</t>
  </si>
  <si>
    <t>Commentaire sur mon achat Je ne l'ai pas encore lu mais ce livre est arrivé en très bon état, c'est exactement ce que j'attendais.</t>
  </si>
  <si>
    <t>Superbe montre ! Ça fait maintenant 4 mois que je possède cette montre et je peut vous dire que je ne suis absolument pas dessus ! La montre est très jolie, super bien finie et est plutôt précise. Excellent rapport qualité / prix. Montre supérieur en qualité a une Orient 2ER0001B pour les connaisseurs. À acheter les yeux fermés.</t>
  </si>
  <si>
    <t>Vraiment bien! Bonne taille, ne glisse pas! Parfait!!</t>
  </si>
  <si>
    <t>Bon produit Une belle paire de chaussures Taille comme prevue habituellement il me faut un temps d'adaptation , ampoules, mal aux pieds Mais là aucun de ces problèmes Elles sont très confortable Pour la qualité à voire Dams le temps</t>
  </si>
  <si>
    <t>Parfait Très bon pinceaux . Avec les deux palettes c'est super .  Il sont adaptée à toute sorte de peintures conforme dans la descriptions. Livré rapidement je les recommande .</t>
  </si>
  <si>
    <t>Que la durée de vie est très courte On est loin du nombre de photo-copie décrit par le fabriquant; Pour ma part je fais beaucoup de copies en version "brouillon" et je n'arrive pas à la quantité prévue par le fabriquant, alors en version "optimal" je vous raconte pas. Cordialement</t>
  </si>
  <si>
    <t>top franchement pour le prix il y a tout un tas de couleur différentes, il y a une bonne quantité de peinture dans chaque pot, elle n'a toujours pas finis un pot malgré que nous faisons souvent de la peinture. La peinture s'efface très bien en nettoyage sur les habits ou autres, attention par contre si par malheur vous en avez mis sur du bois, il faut nettoyer rapidement car la couleur va s'enfoncer dans la matière</t>
  </si>
  <si>
    <t>Vans Super belle merci</t>
  </si>
  <si>
    <t>Bonne qualité Mon père les aime trop. Elle sont super méga solide. Il est a depuis deja 3 mois et sans aucune modification.</t>
  </si>
  <si>
    <t>Très bien Très bien le renfort soyeux et au lavage reste bien</t>
  </si>
  <si>
    <t>mieux que videomic pro Rode plus pratique, plus précis, un appareil semi professionnel à un prix plus qu'abordable</t>
  </si>
  <si>
    <t>de bonne facture Parfait léger pour personnes âgées</t>
  </si>
  <si>
    <t>Belles couleurs et pigmentation De beaux crayons, de belles couleurs dont la couleur chair si rare dans les boîtes de crayons enfant. Le côté tout support et aquarelable leur donne un plus.</t>
  </si>
  <si>
    <t>très élégant Taille super bien et a un rendu sublime. Ma fille de 12 ans adore. Attention taille juste pris en 36 alors qu'elle porte des jeans de taille 34. Je recommande</t>
  </si>
  <si>
    <t>Bracelet en simili cuir, demande un vrai bracelet en cuir comme dans la descrip Je ne suis pas sûr que le bracelet soit un véritable cuir  ?? Merci  beaucoup . Demande un bracelet conforme a la vente  c’est à dire en cuir</t>
  </si>
  <si>
    <t>Possible contrefaçon ! Comme j'ai pu le lire dans certains commentaires précédents, il semblerait que les chaussures que j'ai reçu soient elles aussi des contrefaçons. Les flashcodes derrière les languettes on été brulés en quatre points (fer à souder je pense) et les numéros de séries aussi, de plus la qualité du cuir fait très plastique/synthétique. Enfin la forme des chaussures semble plus large que les Converses originales. En dehors de ça, elles sont assez bien finies, tiendront-elles le coup en marchant avec trois fois par semaine ? Je suis déçu car même si je cherchais le prix le plus bas je ne voulais pas me retrouver avec des imitations. La procédure de renvoi me paraissait trop contraignante et j'ai donc abdiqué. On ne m'y reprendrai plus à l'avenir.</t>
  </si>
  <si>
    <t>Semble conforme J'ai acheté ce porte filtre en remplacement du précédent qui donnait des signes d'oxydation. Apparemment, il est identique à l'original. Est ce que le verroullage tiendra le coup ? C'est l'avenir qui le dira.</t>
  </si>
  <si>
    <t>Fragile et légère Pas très bonne qualité</t>
  </si>
  <si>
    <t>Bien pour le prix Pour le moment produit de qualité. En espérant que ça perdure avec l'usure du temps. En tout cas excellent rapport qualité prix.</t>
  </si>
  <si>
    <t>Chaussures rose Mise a par l odeur de plastique  neuf qui persiste  je suis satisfaite  de mon achats  . Elles sont très confortables</t>
  </si>
  <si>
    <t>Casque pour les filles J’aime le rose c’est très girly joli casque par contre je pense qu’il faut manipuler l’arceau avec délicatesse car semble fragile à voir sur le temps</t>
  </si>
  <si>
    <t>jogging Pantalon de jogging  Fruit ou  thé Loom commandé  en Xl  mais un peu grand , prendre une taille dessous , sinon tout coton fait quelques  peluches Je mets 4 étoiles .</t>
  </si>
  <si>
    <t>Son top Bon mais l'arceau di casque fait mal à la tête lorsqu'on le porte longtemps (au bout de 45 min de train je commence à le sentir)</t>
  </si>
  <si>
    <t>super affaire La commande est arrivée super vite. Les sandales sont parfaites à la bonne taille et avec une belle finition mate. Je conseille cet achat.</t>
  </si>
  <si>
    <t>idéal pour les appels Un bon casque pour les appels car la voix est claire et le microphone fonctionne bien. il est facile à coupler avec n'importe quel appareil et peut être rechargé simplement en le plaçant sur le quai et il se recharge. Batery dure environ 5-6 heures en utilisation continue. La qualité de la musique est également bonne, mais comme elle n’est que mono, je vous déconseille de l’utiliser pour écouter de la musique ou regarder des films.</t>
  </si>
  <si>
    <t>Très bien Parfait</t>
  </si>
  <si>
    <t>Satisfaite Bonne quantité, jolie et bonne taille je valide</t>
  </si>
  <si>
    <t>bien pour 10 ans offert a un petit scientifique, enfant et parents très contents de ce cadeau qui les a bien occupé cet été</t>
  </si>
  <si>
    <t>Parfait Super produit !!!</t>
  </si>
  <si>
    <t>Superbe Superbe dommage un peu grande prendre une taille en dessous de celle que vous mettez habituellement</t>
  </si>
  <si>
    <t>très bien ..Et pas cher la qualité du son est très bonne, assez clair avec beaucoup de basses. Le casque est bien fermé et ne s'entend pas trop à l'exterieur même avec un volume soutenu. Peut délivrer bien plus de son que mes oreilles ne le supportent ...  Je serai sourd avant de la faire saturer ... ;o)</t>
  </si>
  <si>
    <t>crocs sabots mixte adulte produit conforme !!! et surtout original .. ce qui n est pas souvent le cas.. en tout cas je recommande !!!</t>
  </si>
  <si>
    <t>Conforme Bon produit</t>
  </si>
  <si>
    <t>Parfait Rien à redire. L’outil est très bien et le bracelet plus agréable que l’original. Pas de problème de taille. Vraiment parfait. Un petit coup de jeune pour ma montre</t>
  </si>
  <si>
    <t>impeccable comme quoi pas besoin d'acheter des chaussures a 200€  33,99 suffit amplement j'adore</t>
  </si>
  <si>
    <t>parfaite je ne l'ai pas encore installée car la précédente acheté en début d'année fonctionne toujours et je précise que je m'en sers beaucoup.</t>
  </si>
  <si>
    <t>Je recommande Super biberon, je vais en acheter un deuxième lot</t>
  </si>
  <si>
    <t>Belles chaussures et confort garanti Chaussures de bonne qualité et très confortable , prix intéressant, j'ai bien reçu le produit dans le coloris voulu, réceptionné rapidement, que demander de plus , satisfait</t>
  </si>
  <si>
    <t>Déçue J'ai déjà acheté un "Pantalons sport femme Leggings de sport joggings Gris Capri YOGA running pants,L " Il est super. J'ai voulu prendre le même en noir . Sur la même ligne de produit, dans la même référence, j'ai pensé que celui ci était le même dans une autre couleur. Erreur ! Même en XL il est trop petit, alors que le L gris me va très bien, et la matière est très désagréable. Très déçue et pas moyen de contacter le vendeur pour savoir  pourquoi les deux références sont différentes alors qu'elles sont vendues sur la même désignation.</t>
  </si>
  <si>
    <t>Wand masseur . Depuis que je l'ai reçu , cet appareil ne prend pas la charge . Une fois branche il clignote un certain temps puis s'arrete , sans qu'il vibre en appuyant sur le bouton marche arret .</t>
  </si>
  <si>
    <t>Petit! Les boucles sont vraiment petites, sur l aphotos elles paraissaient un peu plus grosse. Elles sont vraiment toute toute petite</t>
  </si>
  <si>
    <t>bien Il est bien et pratique avec ses deux brosses dont une pour les biberons et la petite pour les tétines 5 mois que je l'utilise et toujours en aussi bon état.</t>
  </si>
  <si>
    <t>Une fois et puis s'en va Une seule utilisation par éponge pas plus Dommage c'est une éponge qui nettoie bien et produit leger et agréable en main</t>
  </si>
  <si>
    <t>Très sympa Voici un livre idéal pour donner envie à vos enfants d'inventer et de créer leurs propres BD. Livre acheté pour un anniversaire d'un enfant de 9 ans et il a vraiment accroché. Parfois il faut que l'adulte soit présent un peu pour expliquer mais le livre est très accessible et progressif. Surtout il stimule leur créativité autrement que par toujours jouer à la console de jeu:-) Bref un très bon achat; si vous avez plusieurs enfants faites des photocopies et les jours de pluie les enfants vont en redemander.</t>
  </si>
  <si>
    <t>Super qualité prix Pratique par son séchage rapide.</t>
  </si>
  <si>
    <t>excellent produit Comme d habitude avec converse pascde probleme. Taille qui convient parfaitement.rien a dire que du bon et de la qualite</t>
  </si>
  <si>
    <t>Plus que satisfait - Très bonne paire de chaussures qui sont à la taille prévu (je fait du 43).je les ai prise car elle sont moins chère et plus originale que les nike air force one.Avec un style vintage je recommande</t>
  </si>
  <si>
    <t>Confortable Top</t>
  </si>
  <si>
    <t>Très jolies ! Je chausse du 40 mai j’ai pris du 40.5 et c’est parfait!</t>
  </si>
  <si>
    <t>basket puma noire brillante super contente de ces jolies baskets puma noires brillantes livrées avec 2 paires de lacets : une classique et une autre paire de lacets ruban ! elles sont très confortables, on est très à l'aise dedans, le seul souci pour moi c'est la pointure : j'ai pris un 37 mais elles sont un peu grandes, un 36.5 aurait suffit, mais avec une semelle à l'intérieur c'est bon et bonus livraison plus rapide que prévue et prix au top 29 euros au lieu de 69 euros !</t>
  </si>
  <si>
    <t>Super service Très satisfait de ces piles.....</t>
  </si>
  <si>
    <t>bon rapport qualité / prix bon rapport qualité / prix</t>
  </si>
  <si>
    <t>Excellent Le rode VideoMic me à une qualité sonore excellente je suis très satisfait de ce produit</t>
  </si>
  <si>
    <t>Ravie de cet achat Superbes chaussettes avec un maintien du pied très agréable je recommande fortement ce produit j'ai pris trois lots pour mon homme et je crois bien que je vais en reprendre pour mon fils également</t>
  </si>
  <si>
    <t>montre de qualité L'affichage sur fond noir n'est pas tres facile a lire au 1er coup mais en inclinant la montre c'est bon  ! Aspect tres solide, la temperature est exact une fois reglée ! precision entre 0.2 et 0.5 degré pres !! si on la porte il faut prendre en compte la T du poignet donc soustraire des degrés pour avoir la T exact !! de l'air !! bracelet tres bon  !</t>
  </si>
  <si>
    <t>Rien a redire Facile à nettoyer et à monter , suffisamment de branche pour égouter plusieurs biberons/tetines/capuchon.  Bien penser à nettoyer la partie ou l'eau s'écoute pour pas que ça croupisse !</t>
  </si>
  <si>
    <t>Parfait Très bon  rapport qualité prix. Elles sont très confortables et le visuel et conforme à la photo. Très satisfait. Je recommande.</t>
  </si>
  <si>
    <t>Parfait pour bébé ! Ma fille souffrant de RGO depuis sa naissance, elle boit du lait AR et je dois lui rajouter un épaississant (MAGIC MIX) alors pour faire passer tout ça dans une tétine je vous raconte pas l'histoire mais avec ces tétines aucuns soucis ! Le mélange passe parfaitement et le débit n'est pas trop rapide ni trop lent. Elle l'utilise depuis ses 3 mois. Attention quand même car quand il m'est arrivé d'oublier de mettre le MAGIC MIX le débit était trop rapide pour elle (elle a 4 mois) je conseille donc ces tétines pour les bébés qui boivent du lait AR+épaississant sinon il vaut mieux rester sur du débit 2. Produit reçu en bon état et le jour prévu.</t>
  </si>
  <si>
    <t>magnifique j ai acheté les DVD pour mon neveu qui a 4 ans donc jamais vu ,il a adoré cela fait un moi maintenant et il la deja regarder 4 fois tellement qu il l aime je vais lui acheté le roi lion 2</t>
  </si>
  <si>
    <t>Parfait prendre une taille au dessus. Super, il faut effectivement prendre une taille au dessus de celle habituel mais article de bonne qualité.</t>
  </si>
  <si>
    <t>Très confortables Super top. J'ai pris ma taille 42 et elles vont très bien. De vraies pantoufles pour marcher. Très confortables.</t>
  </si>
  <si>
    <t>Lampe Très bien et diffuse une agréable senteurs</t>
  </si>
  <si>
    <t>Mauvaise qualité Élastique de tres mauvaise qualité. Le pantalon s’est détendu immédiatement apres quelques jours et avant même de l’avoir lavé. Je le perds alors que c’est bien ma taille</t>
  </si>
  <si>
    <t>Ne conseil pas Qualité mauvaise</t>
  </si>
  <si>
    <t>Déçu Commander le 24 mars et déjà décousu très déçu.. Je pensais que c'était de la qualité... Comment faire ???</t>
  </si>
  <si>
    <t>Mauvaise taille. Comment mesurer ? La bague est magnifique mais beaucoup trop grande :( j ai respecté la photo expliquant comment mesurer le doigt de mon homme et malgré tout ça ne correspond pas. Comment faire ?? Je viens de demander un retour pour la re commander plus petite</t>
  </si>
  <si>
    <t>Pull discret Prenez une taille en plus. Sinon la qualité n'est pas très bonne mais pour une soirée, il fait beaucoup d'effet !</t>
  </si>
  <si>
    <t>RAS Très bien</t>
  </si>
  <si>
    <t>Bien J'ai aimé</t>
  </si>
  <si>
    <t>Très doux Chic et sportif même avec un jupe crayon</t>
  </si>
  <si>
    <t>très jolies boucles pour l'été vont avec tout!</t>
  </si>
  <si>
    <t>Une jolie bouilloire fonctionnelle Il faut lire en premier le mode d'emploi. On y trouve les informations fondamentales. Si j'en parle c'est que j'ai lu d'autres commentaires qui manifestement avaient oublié les 2 pages en français du fascicule. Non, le fil n'est pas trop court, il faut le dérouler sous la base. Il ne faut pas laisser d'eau après l'utilisation. Il ne faut pas chauffer le contenu d'une tasse, mais la quantité minimum graduée (0.80l). Ne pas nettoyer votre bouilloire avec un tissus abrasif. Il y a un filtre anti-calcaire à nettoyer régulièrement après 10 ou 15 utilisations. Ce sont quelques petits détails pour obtenir le maximum de résultat de cette très magnifique bouilloire.</t>
  </si>
  <si>
    <t>Enfin un livre qui répond aux Pourquoi des enfants Petit encyclopédie qui pose les questions essentielles pour le petits</t>
  </si>
  <si>
    <t>Vendeur très fiable Câbles midi pour connecter un piano électrique à un ampli Reçus dans un délai rapide</t>
  </si>
  <si>
    <t>Bon petit support Bon petit support qui fait son petit effet sur mon bureau , au travail . ne prends pas de place et permet de poser son casque en toute tranquilité</t>
  </si>
  <si>
    <t>Très jolies Parfaites. Elles taillent très bien mon 37 en laissant passer une chaussette assez épaisse. En plus elles sont vraiment très très jolies. Semelle épaisse. Super rembourrées. Génial👍</t>
  </si>
  <si>
    <t>Bon rapport qualité et prix. Je viens tout récemment d'acquérir ces petits écouteurs bluetooth et je dois dire que j'en suis ravi ! Ils ont tout de certains écouteurs que l'on trouve à des tarifs parfois plus onéreux. Voici mon bilan après un court test: Avantages: - Tactile présent sur les écouteurs (d'autres ont des boutons désagréables) - Le son est très agréable, il manque un peu de basse selon moi (grand amateur des basses) - L'isolation est  bonne - Poids à la hauteur de ce qu'il se fait sur le marché - Bonne qualité audio lors des communications. - Niveau de batterie affiché par 3 leds  Inconvénient: - Pas d'application pour configurer au mieux ses écouteurs. - Couvercle du boitier un peu raide pour l'ouverture.  Pour en conclure c'est une très bonne paire d'écouteurs bluetooth qui ont le mérite de ne pas être cher et avec tout ça avoir un bon son et pratiquement toutes les qualités présente sur le marché, je recommande !!</t>
  </si>
  <si>
    <t>Micro sans fil bluetooth 4.1 Animation Club des ainés.</t>
  </si>
  <si>
    <t>parfait rien à redire, légère confortable, agréable à porter même toute la journée</t>
  </si>
  <si>
    <t>cordon vga moniteur1.8m bon produit je le recommande a ceux qu il doive changer ou acheté un nouveau cable vga</t>
  </si>
  <si>
    <t>Parfait merci J'adore dessiner et c'est exactement ce dont il me manquait j'ai eu peur qu il y ai des doublons dans les couleurs mais ce n'est pas le cas! Grand choix! Rien à dire commander sans hésiter...très bonne qualité le prix est plus que raisonnable</t>
  </si>
  <si>
    <t>Super produit J'avais acheté ce produit dans un supermarché la première fois, il a duré longtemps, dès que j'en avais plus je l'ai commandée sur Amazon. Ce gommage pour le corps est vraiment top ! Il sent bon, les grains sont d'une taille parfaite, il rend la peau lisse comme de la soie. Je recommande !</t>
  </si>
  <si>
    <t>Super Je les adore. Ils sont simples, La tétine je dérange pas mon petit qui est exclusivement allaité depuis la naissance (biberons utilisés pour que papa puisse donné le lait que je tire préalablement)  Prix raisonnable  Passe au lave vaisselle Mais mieux vaut les laver a la main quand même  Petit format pratique pour le début (125mL)  Attention juste a ne pas les laisser tomber, pas de surprise ils cassent en mille morceaux :/</t>
  </si>
  <si>
    <t>Bon produit Bon produit</t>
  </si>
  <si>
    <t>Trrès bonne Très confortable</t>
  </si>
  <si>
    <t>Tout simplement génial Cela faisait longtemps que je voulais acheter un diffuseur électrique mais je n'avais jamais vraiment recherché de modèle qui me plairait. Quand je suis tombée sur celui-ci, et en lisant les commentaires positifs, j'ai voulu le tester... hey bien je ne regrette pas une seule seconde mon achat ! D'ailleurs j'en recommanderai un autre prochainement pour l'offrir tellement il est génial. Très facile d'utilisation, il diffuse parfaitement les huiles que je mets dedans et il est très agréable à regarder étant donné les nombreuses couleurs qui défilent lors de la diffusion. Vraiment je recommande cet article à 100 %</t>
  </si>
  <si>
    <t>Très bien conçu Ces écouteurs sont merveilleux. Je peux l’utiliser quand il y a du bruit autour et que le bruit est faible. Le bas est très bon. La mise en charge de ces casques est rapide et il est possible de connaître l’état de charge de la base à l’aide d’un indicateur. Les boîtes de stockage compactées sont solides mais légères, ce qui facilite la charge simultanée des écouteurs. Ils ne se déplacent pas lorsqu’ils sont utilisés pour courir. Je recommande une qualité de son parfaite!</t>
  </si>
  <si>
    <t>Dommage, cassé ! Bonjour, j’ai reçu cassé malheureusement, dommage le coller avait l’air jolie... Alors je recommande le produit si vous n’avez pas peur de le recevoir en morceaux.</t>
  </si>
  <si>
    <t>D Le microphone ne fonctionne pas</t>
  </si>
  <si>
    <t>renapur Aucune action sur entretien canapé en cuir.</t>
  </si>
  <si>
    <t>Bien mais .... L’odeur me laisse perplexe ... mais très agréable et efficacité indéniable.</t>
  </si>
  <si>
    <t>super sympa Pull super sympa! mon ado de fille fan 'Harry est ravie :-) Par contre attention à la taille : très petit ! j'ai pris du M qui lui va parfaitement elle qui d'habitude met du 16 ans !</t>
  </si>
  <si>
    <t>PARFAIT Sac conforme à l'annonce</t>
  </si>
  <si>
    <t>Très pratique Rapport qualité prix irréprochable , exactement ce que je souhaitais . Je recommande.</t>
  </si>
  <si>
    <t>Ecouteurs qui semblent officiels, de bonne qualité Je ne sais pas si ces ecouteurs sont des vrais, en tout cas cela y ressemble fortement meme si le fil est rond alors que sur les écouteurs fournis avec le téléphone le fil était aplati.  Son de même qualité que les écouteurs d'origine. Je ne sais pas si ils dureront autant que les écouteurs d'origine, en tout cas ils sont agréables à utiliser.  Emballage sympa reçu avec un "merci" à l'intérieur</t>
  </si>
  <si>
    <t>Pas mal Housse qui conforme à la description, n'empêchera pas la casse en cas de grande chute mais protège quand même bien ...</t>
  </si>
  <si>
    <t>bonne paire d'écouteurs! très bon rapport qualité/prix. Pour le prix je ne m’attendait pas à un son aussi limpide. Bon équilibre, les basses ne satures pas quand on augmente le volume. Ce sont de tout petits écouteurs qui conviennent bien aux petites oreilles. Le bouton tactile de commande n’est pas trop sensible ce qui est appréciable quand on les met en place. l’appareillage est un jeu d’enfants! Et la boite charge sert aussi de batterie externe. C’est un produit complet!</t>
  </si>
  <si>
    <t>Étonnant. L'engin est vraiment efficace. Après son utilisation, non seulement le vinyle est nettoyé en profondeur mais le son semble prendre une ampleur inédite. Peut-être est-ce dû au liquide antistatique. En tous les cas, produit au rapport qualité prix au top.</t>
  </si>
  <si>
    <t>Nickel ! Conforme à mes aspirations. Pratique et solide.</t>
  </si>
  <si>
    <t>Ravie de cette achat Mon fils est ravi de cet achat. Assez grand pour mettre son porte feuille, son portable, ses écouteurs, un paquet de mouchoirs, une paire de clefs .... Costaud. Finition nickel. Comme d’habitude avec cette marque on n’est jamais déçue.</t>
  </si>
  <si>
    <t>Amusant la pointe du stylo qui disparaît petit à petit Jeu très sympa. Je conseille de laisser la minuterie sur 10 secondes. Sur 15, on a évidemment plus de temps mais cela supprime une partie du principe du jeu à savoir la continuité du dessin du dessinateur précédent.</t>
  </si>
  <si>
    <t>sweat-shirt de noël j'ai apprécié ces joli sweat-shirt de fêtes de noël et le produit correspond parfaitement au descriptif et la photo.</t>
  </si>
  <si>
    <t>bon rapport qualité prix top , quantité adéquate pour moi , me permet de faire des economies.</t>
  </si>
  <si>
    <t>A bien fonctionné Très bon produit. Les enfants l’adorent énormément.</t>
  </si>
  <si>
    <t>Très satisfait ! Colis reçu rapidement. Le packaging est sympa.Une protection d'écran est fourni ainsi qu'un câble de charge. La configuration est assez simple avec une appli à installer sur le smartphone. Composants de bonne qualité,look agréable. De nombreuses fonctionnalités utiles, on peut y insérer une carte sim. La montre se recharge assez rapidement , l'autonomie est satisfaisante. La qualité de l'écran est bonne et les couleurs sont agréable,je ne suis pas déçu...</t>
  </si>
  <si>
    <t>Réponse de vendeur Tout con comme il faut Est inscrire vendeur Très belles baskets</t>
  </si>
  <si>
    <t>Conforme à la description Trés confortable, je recommande!</t>
  </si>
  <si>
    <t>Franchement le top Relaxation assurée après une bonne journée en tant que paysagiste.</t>
  </si>
  <si>
    <t>Ces pochettes sont parfaites. De bonnes qualités, je m'en suis beaucoup servies. Elles ne gondolent pas et ont l'air de durer longtemps. Je les conseille vivement.</t>
  </si>
  <si>
    <t>Super Produit excellent génial top au micro onde</t>
  </si>
  <si>
    <t>parfait tres parfumé et tiens sur le linge au lavage</t>
  </si>
  <si>
    <t>Je n'ai pas eu l'occasion de la tester... Produit livré en temps et en heure, mais ne fonctionnait pas. L'appareil ne s'allumait pas lorsqu'il était branché. C'est dommage...</t>
  </si>
  <si>
    <t>Allez chercher MIDI à 14h : c'est pas le bon ! Ne marche pas chez moi (en particulier les notes ne sont pas à leur place dans Finale) : préférer les câbles M-Audio-Uno ou Prodipe qui sont plus chers ... mais fonctionnent. Bon je mets une étoile pour le prix et l'aspect robuste mais c'est bien parce qu'on ne peut mettre zéro. Le circuit électronique doit être mal conçu.</t>
  </si>
  <si>
    <t>très decue Impossible de régler l heure. Le bouton timer ne fonctionnant pas...c est pourtant la fonction première d une montre. Sinon design ok.</t>
  </si>
  <si>
    <t>Trop grosse Très grosse sur un poignet. Commandee pour mon frère (1'80m et 80kg), nous l'avons renvoyée car vraiment trop grosse</t>
  </si>
  <si>
    <t>Anti collique qui fonctionne ! Utiliser en cadeau pour ma nièce , ils sont très ergonomique.  Réglable en vitesse 1,2 et 3 pour du lait plus ou moins épais .   2 tout petits biberons de 150 ml pour la naissance ou ensuite pour un supplément d'eau - 2 biberons moyens de 270 ml pour les bébés plus gourmand . - 2 grands biberons pour les bebes une fois le cap des 12 mois  qui boivent des aliments plus épais.  Anti colique et ça fonctionne ! Mon bébé avait des colliques j'ai donc choisi ce lot et ça lui convient très bien .  Le seul point négatif et qu'il ne se démontent pas en 3 parties . Ce qui serait beaucoup plus pratique au lavage .</t>
  </si>
  <si>
    <t>Ça taille grand Parfait mais prendre une taille en dessous car ça taille grand</t>
  </si>
  <si>
    <t>✔✔ Boucle d'oreille correct,  dépanne bien,  rapport qualité prix nickel,  elle ne s'oxyde pas Elle valent le coup par contre faite attention s'y vous êtes allergique</t>
  </si>
  <si>
    <t>Pas très confortable à la longue Pas très confortable à la longue</t>
  </si>
  <si>
    <t>Très bien Acheté pour utiliser en VTT en cette saison d'automne, ce vêtement est très près du corps afin de garder bien au chaud. La qualité est bonne, à voir dans le temps. Pour le prix, il est difficile de s'en passer. Je recommande.</t>
  </si>
  <si>
    <t>Parfait Besoin d'ajouter des ventilation en plus sur votre ordinateur.  Pas de soucis avec se connecteur qui se connecte facile .</t>
  </si>
  <si>
    <t>satisfait &lt;div id="video-block-R3E92KVS5H09VM" class="a-section a-spacing-small a-spacing-top-mini video-block"&gt;&lt;/div&gt;&lt;input type="hidden" name="" value="https://images-eu.ssl-images-amazon.com/images/I/91YukY21CES.mp4" class="video-url"&gt;&lt;input type="hidden" name="" value="https://images-eu.ssl-images-amazon.com/images/I/91JdxB14XfS.png" class="video-slate-img-url"&gt;&amp;nbsp;Livraison tres vite. Tres facile a utiliser, micro enceinte avec un son de bonne qualite, c'est lumineux, se connecte automatiquement tres vite sur mon portable via le Bluetooth. Le produit correspond bien à mes attentes.</t>
  </si>
  <si>
    <t>Solidité Solide, bonne contenance, fermeture éclair de bonne facture bref tout ce dont j'avais besoin.</t>
  </si>
  <si>
    <t>Bon design et livraison rapide C'est globalement bon. La livraison est très rapide et le produit est au-delà de mes attentes.</t>
  </si>
  <si>
    <t>Très beau produit Très contente de ce produit - conforme à la description - belle qualité - j'en commanderai bien un 2e - belle idée de cadeau</t>
  </si>
  <si>
    <t>super TOUT EST TRES BIEN ET JE NE VOIS PAS CE QUE JE POURRAIS AJOUTER CAR CELA CORRESPOND TOUT A FAIT A CE QUE J'ATTENDAIS ET EN TOUT POINT</t>
  </si>
  <si>
    <t>Système anti-colique élaboré Coffret de quatre biberons en plastique avec tétine faible débit (1): deux de 150 ml et deux de 260 ml plus deux tétines débit moyens (2) en réserve, un goupillon démontable et une tétine sucette. Grande nouveauté, ce système anti coliques constitué d’un tube d’aération avec détecteur de chaleur incorporé dans le biberon. La bande de détection de chaleur passe du bleu au rose à 41°C. Il est indispensable de laver le biberon tout de suite après emploi pour éviter que le lait ne sèche et ne colle. Un petit goupillon est également fourni afin de nettoyer l’intérieur de ce petit tube d’aération. Comme d’habitude, tous les composants doivent être stérilisés après chaque utilisation.  Tous les moyens de stérilisation peuvent être utilisés. Un véritable point noir, la taille des caractères du mode d’emploi ! Il faut avoir une bonne vue sinon prévoir une loupe ! En dehors de ça, très bon produit.</t>
  </si>
  <si>
    <t>Bien reçu Content de l'achat</t>
  </si>
  <si>
    <t>sublime Elles sont confortable et magnifique!</t>
  </si>
  <si>
    <t>montre absolument parfaite fonctionne parfaitement bien , mouvement tres perfermormant, tres bonne qualite, montre solide esthétique parfait. bref j'en suis ravi ! je recommande vivement</t>
  </si>
  <si>
    <t>Bien Correspond à ce que l on voulait. Taille adaptée</t>
  </si>
  <si>
    <t>Sympa Sympa et simple</t>
  </si>
  <si>
    <t>Top Au top niveau qualité pour une poubelle 40L mais cela reste un peu cher mais ce n'est que mon avis :)</t>
  </si>
  <si>
    <t>Article de qualité Obligée à porter des chaussettes de contention après une fracture et arrachement de la malléole, ces chaussettes sont discrètes mais TRES efficaces Couleur sympa et actuelle, personne ne peut se douter que ce sont des bas de maintien Je recommande ce produit au prix tout doux pour une efficacité au top</t>
  </si>
  <si>
    <t>Déçu Très jolie très très petites boucles, mais après 2 jours d’utilisation l’argent Disparaît. c’est vraiment très décevant</t>
  </si>
  <si>
    <t>Pas encore rupture de pointure J’attends ce modèle en ma pointure prochainement</t>
  </si>
  <si>
    <t>Belle montre mais fragile La montre en soit est jolie, fait illusion avec ses faux boutons, mais il y a un mais. Le brasselet est fragile ainsi que le fermoire et le tout de piètre qualité, lors du retrait d'un maillon, au remontage, le maillon c'est tordu comme du beurre lors de la remise du tenon, et des rayures sont visibles sur le brasselet. La montre ne tient pas la nuit à l'heure, elle s'arrête du fait de ne plus être au poignet. Dommage, à peu de chose près il aurait pu y avoir 4 voir même 5 étoiles.</t>
  </si>
  <si>
    <t>Bon produit mais attention a la taille, uni pour petits chiens Produit pas mal mais petit</t>
  </si>
  <si>
    <t>Très pratique, mais... C'est ma deuxième. J'avais l'ancien modèle que j'ai utilisé avec bonheur jusqu'à un accident de détartrage qui a eu comme conséquence un fonctionnement erratique : 80 ou 100 uniquement, et il fallait que je la tourne sur son socle pour arriver à trouver un contact, et parfois refus total. J'ai une eau très calcaire, et pour la préserver j'enlevais l'eau restante immédiatement, et je la détartrais au vinaigre blanc en faisant bouillir, ce qui a fait déborder. J'ai compris mes erreurs en lisant les nombreux commentaires des utilisateurs. Celle-ci ressemble beaucoup à la précédente. Après quelques semaines d'utilisation elle est devenue bruyante à cause du calcaire, mais j'attends une baisse de température avant de la vider. Les bips sont très présents, mais j'étais habituée. Par contre, la grande différence, c'est qu'elle ne s'arrête plus automatiquement ! Je dois la laisser à coté du socle. Tout le monde n'a pas une prise facile d'accès ou à interrupteur. Déçue de ce downgrade.</t>
  </si>
  <si>
    <t>Très bon un fois pris en main Après un mois d utilisation, l autonomie des écouteurs seul est parfait pour les transports et autres. La boite qui les recharges  permet de s en servir toute au long de la journée. L ergonomie logiciel est un peu compliqué a prendre en main au début et l utilisation a un seul ecouteur se montre un peu capricieuse par moment. Sortie de ca ils font très bien le job avec un rapport qualité/ prix génial. Il manque un app pour affiner les reglages ou voir le niveau de batterie restant</t>
  </si>
  <si>
    <t>joli mais fragile Une bonne petite montre, avec un look bien retro et des fonctions sympa! Attention toutefois à la vitre, elle se raye assez facilement, vu le prix il ne faut pas être trop exigeant.  Étanchéité ok, testé en piscine! Normalement les 100m indiqués devraient permettre de petites plongées en apnée. Elle va m'accompagner pour un voyage de 3 semaines, on verra bien ce qu'elle dira.</t>
  </si>
  <si>
    <t>Mieux que l'original Remplace très bien les anciens écouteurs. Packaging soigné. À bout avec le temps.</t>
  </si>
  <si>
    <t>idée originale pour un cadeau sentimental j ai acheté cette boite pour faire une surprise a ma maman pour Noël. il y a plein de morceau à assembler et à confectionner avec les accessoires fournis+d autres personnels à rajouter. j ai regardé un tuto pour voir comment faire et avoir des idées. l idée étant de mettre pleins de photos souvenirs et au milieu une surprise (bijoux dans mon cas). reste plus qu a attaquer.les photos sont prêtes. j en suis contente</t>
  </si>
  <si>
    <t>je recommande Satisfait du produit bon rapport qualité-prix</t>
  </si>
  <si>
    <t>Bien La qualité et bonne comme toute la série de cette marque.</t>
  </si>
  <si>
    <t>Oreillette sans fil pour faire du sport Reçu dans un petit carton, le package comprend :  - 1 housse ronde et rigide de transport avec à l'intérieur : Les écouteurs Les autres tailles d'embout auriculaire - 1 cordon Micro-USB &amp;gt; USB - 1 cordon supplémentaire (vert et fil plat) Micro-USB/Lightning &amp;gt; USB  Les oreillettes sont très légère et l'accroche-oreille est très souple et en silicone ce qui les rend très facile à mettre en place. Il suffit de les allumer via le bouton prévu à cet effet sur l'oreillette droite (logo rouge), pour info, au premier lancement, la détection Buetooth se fait automatiquement. Il suffit de l'ajouter sur votre périphérique via vos options Bluetooth (nom : MUGO). Sinon il suffit de laisser appuyer sur le bouton d'allumage pour déclencher la demande d'apparaige (clignotement diode rouge/bleu). Il y a également sur le dessus deux petits boutons de volume +/- qui servent également de "chanson précédente/chanson suivante". Également, un appuie sur les deux boutons en simultané déclenche Siri sur votre périphérique Apple, il ne vous reste plus qu'a lui parler car l'oreillette fait également kit main libre !  La qualité est vraiment très bonne pour de la musique ou des vidéos. L'isolation est très bonne une fois qu'on les a sur les oreilles ! Grâce à la norme IPX7, vous pouvez les utiliser sous la pluie ou en pleine séance de transpiration, l'eau ne pénètre pas à l'intérieur grâce à un système de nano revêtement.  En résumé, la légèreté, le fil qui permet de ne pas les perdre (pratique en cas de sport) et surtout la surprenante qualité... Je suis très content de mon achat !</t>
  </si>
  <si>
    <t>Génial! C'est la 4eme paire que je commande pour ma mère qui est âgée et pour une de ses copines. Elles trouvent ces chaussures tellement confortables qu'elle ne les quittent plus tout au long de l'année. Ces chaussures sont ultra résistantes et on fait leurs preuves aussi bien en intérieur que dans le jardin. Il est néanmoins préférable de mettre une petite semelle en gel pour avoir un meilleur confort. Je recommande sans hésitation !</t>
  </si>
  <si>
    <t>Bel article Très jolie robe que l'on peut porter sans bijou étant donné le travail du bustier parfaitement ajusté et agrémenté de boutons et d'applications blanches. Couture et coupe soignées. Je recommande ce produit.</t>
  </si>
  <si>
    <t>Parfait La dilution des peintures est impeccable. En même temps s'agissant de la même marque, je n'avais pas trop de doutes...</t>
  </si>
  <si>
    <t>Écouteur Bluetooth Le petit coffret comprend: - le micro câble USB - le petit boîtier de rangement et chargement - 3 petits embouts en silicone - la paire d'écouteur Bluetooth - la notice  Pour l'utilisation c'est un jeu d'enfant, sortez les écouteurs de sa boîte puis activer le Bluetooth sur votre téléphone (le mien est un Asus zenfone) et vous pouvez déjà commencer à l'utiliser.  J'utilise depuis toujours les gros casques car au moins ils ne tombent pas des oreilles et même si le câble s'accroche, le casque reste sur la tête. C' est la première fois pour moi que j'essaye ce genre d'écouteur et je suis totalement conquise! Ils tiennent bien aux oreilles, beaucoup plus pratique à transporter que mon gros casque. Le son pour ma part est vraiment top. Pour la nuisance sonore, les personnes autour de moi n'entendent rien.  Franchement j' adhère complètement à ces écouteurs</t>
  </si>
  <si>
    <t>Pas déçue !!! Très bon produit ,  confortable et de bonne qualité , ne bouge pas au lavage , je le recommande sans problème</t>
  </si>
  <si>
    <t>Très agréable J'utilise ces asics pour mes séances de crossfit. Premières running que j'achète chez asics : elles font parfaitement l'affaire. L'amorti est très bon et elles sont légères. Attention à prendre une demi voire une taille au-dessus de celle qu'on porte habituellement. Je recommande.</t>
  </si>
  <si>
    <t>ROULEAUX ADHESIFS SCOTCH TRES INTERESSA NT PIYR USAGE PAPETERIE BUREAU Prix très intéressant pour  le nombre de rouleaux bien utile quand on utilise  bcp comme moi la qualité du ruban adhésif est bonne et convient parfaitement à l'usage que j'en fais donc achat à la fois utile et concluant  pour :moi j'en recommanderai dès que le stock ira vers sa fin.</t>
  </si>
  <si>
    <t>Nickel Super</t>
  </si>
  <si>
    <t>Produit du quotidien Comme d'habitude il est parfait.</t>
  </si>
  <si>
    <t>Trop bon .... Achetée et offerte à ma maman et de suite adopté !! Elle en est ravie , elle lui tient chaud elle qui est très frileuse , je suis certaine qu'elle passera un hiver au chaud sur sont fauteuil ou dans son lit ! Elle est confortable , douce  bref au top !!! et une 2ème achetée pour moi  :D</t>
  </si>
  <si>
    <t>Bien Tres facile à lire</t>
  </si>
  <si>
    <t>Déçu La pointure c'est bon mais qualité très mauvaise, elle se sont décollé en moins de 2 mois. Je recommande absolument pas.</t>
  </si>
  <si>
    <t>Nul Très déçu ! Trop fin , pas agréable sur la peau, mauvaise qualité ! Trop chère pour ce produit je ne le conseille pas .</t>
  </si>
  <si>
    <t>Trés déçu !!!! cette montre n'est pas belle boitier en plastique recouvert de peinture grise vraiment pas beau cela fais vraiment très bas de game je regrette mon achat et ne porterais pas cette montre , car dans le commentaire il n'est pas precise que le boitier est en plastique et non en metal comme l'originale</t>
  </si>
  <si>
    <t>Très Agréable Produit très agréable et très symple d'utilisation. Article acheté car chambre humide et diffcile à chauffer. Donc un lit gelé en hiver, pas cool ... J'ai donc acheté ce chauffe matelas pour palier à ce souci. Je le met à puissance maximum le temps d'un passage à la salle de bain et à mon arrivé dans le lit celui si est tout chaud. 4 niveau de puissance, le 4 chauffe fort !! Perso je l'éteind dès mon arrivé au lit comme ça pas de risque de l'oublier.  Je recommande cette article en espérantqu'il dure dans le temps ....</t>
  </si>
  <si>
    <t>Très bon rapport qualité prix Beau produit bien fini belle qualité.</t>
  </si>
  <si>
    <t>TOP Contente de ses baskettes, extra souples type chaussons et solides. Bonne couleur et adaptées a la pointure comme prévu. Je fais un 40 et c'est nikel. je recommande a celles qui ont des pieds sensibles.</t>
  </si>
  <si>
    <t>En ligne avec les attentes Ces tétines sont de bonne qualité, faciles à nettoyer. En ligne avec nos attentes.</t>
  </si>
  <si>
    <t>bottes de qualité très belles bottes, souples et légères, excellente semelle et largeur de mollet très confortable. J'aime cet article Livraison rapide toujours conforme à la commande</t>
  </si>
  <si>
    <t>Nickel J adore ♥ ♥ mais J ai eu peur qd J ai vu que le colis avait été ouvert sur le côté ainsi que la boîte des chaussures.... Heureusement pour moi ,  ce modèle n'a pas du plaire !!!</t>
  </si>
  <si>
    <t>Parfait Livraison hyper rapide et Blu-ray de qualité Disney.. manque juste la version longue comme sur le DVD</t>
  </si>
  <si>
    <t>Parfait à l’usage Pratique à l’usage. Facile à transporter. Bien hermétique à la fermeture. Facile à laver.</t>
  </si>
  <si>
    <t>Contente de mon achat ! Contente de mon achat ! Tres joli, pratique, facile à nettoyer, ne prend pas beaucoup de place.</t>
  </si>
  <si>
    <t>Très Bon rapport prix bonjour la taille correspond bien je fais du 44 et j ai commandé 44 et de très bonne facture tienne bien au pied et très confortable. ideal pour faire des km de marche</t>
  </si>
  <si>
    <t>très bon rapport qualité prix acheté pour ma mère elle était ravi belle boite de rangement produit de bonne qualité Livraison très rapide</t>
  </si>
  <si>
    <t>Cristaux de soude Un produit merveilleux, on peut faire tellement de chose avec le nettoyage la lessive du blanc, ect.. je suis contente de mon achat.</t>
  </si>
  <si>
    <t>Super pratique , super son , super discret Sitôt essayés , sitôt adoptés !!!! J’avais déjà essayé des équivalents EarPods mais je ne les trouvais pas confortables ( gêne dans l’oreille) et pas discrets ( couleur blanche), donc j’avais abandonné (. Quand j’ai vu ces écouteurs Bluetooth, ils m’ont paru plus discrets et j’ai souhaité les commander . J’ai été bluffée en les essayant : s’adaptent parfaitement au creux de l 'oreille , la qualité du son est parfaite , aucun grésillement , son très clair , et en plus ils sont hyper discrets! Étant brune ils passent inaperçu sous mes cheveux!!! Je suis ravie !!! Je les ai tout de suite adoptés . Parfaits pour écouter de la musique , ou la radio sur mon téléphone , ou pour écouter le son des films sur iPad . Je vais les emmener partout pour pouvoir m’occuper sans gêner personne pendant les longues heures d’attentes quand mes enfants font leurs activités extra scolaires. Je vais commander des paires supplémentaires pour mes enfants</t>
  </si>
  <si>
    <t>Conforme à la photo Parfait</t>
  </si>
  <si>
    <t>Parfait Superbes et semblent bien solides, elles sont de bonne qualité :) Je les porte même parfois la nuit et sous la douche, elles ne bougent pas. Je suis ravie</t>
  </si>
  <si>
    <t>Bien adapté RAS</t>
  </si>
  <si>
    <t>Solide et fiable Rando plongée... P A R F A I T E</t>
  </si>
  <si>
    <t>adaptées, resistantes et esthétiques Produit bien adapté, bonne résistance! Très esthétique! Je recommande!</t>
  </si>
  <si>
    <t>Je l'adore massage chauffant ou pas Je l'adore parfait pour détendre la nuque le dos, les lombaires. Je l’utilise tous les jours. Parfait pour se détendre et dénouer les noeuds</t>
  </si>
  <si>
    <t>J adore J acheté ces biberon depuis plus de 5 ans , c est une marque que j affectionne beaucoup . Ma puce de 1 an et toujours allaité mais commence à prendre le biberon et c est tout naturellement que j ai pris ceux là comme pour ces grand sœurs et freres</t>
  </si>
  <si>
    <t>Peluche après une journée ... La qualité est vraiment médiocre. En fin de journée, on a déjà de nombreuses peluches sous les pieds. Je doute que ce soit bien fait pour une activité journalière pour les actifs. Ne valent pas des chaussettes de randonnée de la marque qui commence par «&amp;nbsp;Déca&amp;nbsp;» et se termine par «&amp;nbsp;thlon&amp;nbsp;».</t>
  </si>
  <si>
    <t>Arnaque Rien à voir avé vous la photo et la description du produit ... une vulgaire fringue made un china de très mauvaise qualité et qui taille trop petit en plus une véritable arnaque n achetez pas ça!!!</t>
  </si>
  <si>
    <t>Une bonne réserve d'enveloppes L'emballage était correct. Le carton est commode pour les conserver et les ranger. Le papier est un peu léger mais suffisant pour les utilisations courantes. Le collage de la fermeture se fait bien. Bon rapport qualité prix.</t>
  </si>
  <si>
    <t>Trop petit Acheté pour une utilisation quotidienne, en fait je les porte peu car elles sont trop petites et me font mal aux pieds, j’ai pris le 40 ce qui est normalement ma taille. Sinon elles sont légères et agréables à porter</t>
  </si>
  <si>
    <t>Bons feutres maisgamme de couleurs incomplète Ce sot de bons feutres à pointe moyenne, mais les couleurs fluo remplacent les couleurs normales équivalentes, qui n'y sont pas: il n'y a pas de jaune, ni de rose, ni de vert clair autre que fluo. Du coup, il faut acheter une autre pochette pour compléter. Franchement dommage pour une pochette de 24 feutres!</t>
  </si>
  <si>
    <t>tresbien tres bien</t>
  </si>
  <si>
    <t>Presque parfaite. Cadeau pour ma mère qui a adoré. Mais je trouve que le bracelet est un peu juste pour son poignet, poignet qu'elle a de fin par ailleurs d'où 4 étoiles. Sinon qualité Casio au rdv.</t>
  </si>
  <si>
    <t>Super Conforme à mes’ attentes mais j ai pris du 40 pensant que ça allait aller avec mes’ semelles dommage du coup elle sont un peu grandes j’en chausse d’un 39</t>
  </si>
  <si>
    <t>Rapport qualité prix Sous la douche  gommage rapide Hydratant</t>
  </si>
  <si>
    <t>Confrome a la description Mon casque commençant à se faire vieux et n’ayant pas de micro dédié j’ai voulu investir dans un casque gaming afin de pouvoir à la fois communiquer avec mes amis, mais également entendre les bruits de pas de rainbow 6. Je suis tout à fait satisfait de la qualité sonore, mon ancien casque étant un de grande marque je n’ai pas constaté de baisse de qualité sonore en jeu, ce qui était ma seule inquiétude. Le réglage du son est souple et pratique.  L’effet coupe son est une réussite, ce qui permet une grande immersion et une meilleure concentration. Je recommande ce casque, j’espère qu’il va durer dans le temps&amp;nbsp;!</t>
  </si>
  <si>
    <t>très bien très bon produit et de qualité</t>
  </si>
  <si>
    <t>Au top Super produit Taille nickel et très agréable à porter pour le running Très satisfaite de mon achat</t>
  </si>
  <si>
    <t>Basket Reebok au top Basket superbe mon fils est ravi</t>
  </si>
  <si>
    <t>Livré rapidement Normal</t>
  </si>
  <si>
    <t>Sympa Trop contente de mon achat ..offert à noël et la personne à trouver trop cool et surtout pratique.. Je recommande pour un cadeau fun</t>
  </si>
  <si>
    <t>Bon rapport qualité/prix Ce casque est vraiment bon, les styles de couleurs sont très bons, j'ai vu beaucoup de comparaisons sur Internet, et finalement choisi votre magasin, après l'arrivée des produits, je suis complètement satisfait! Livrés dans une petite pochette, avec plusieurs embouts caoutchouc de différentes tailles. Le câble est long et souple, l’ensemble est bien fini. Je l'aime vraiment beaucoup.</t>
  </si>
  <si>
    <t>Très bon pour la go pro hero 5 Très léger bon rapport qualité prix. Je m'en sers avec ma go pro hero 5 et le rendu est fantastique tant qu il n'y a pas trop de vent.</t>
  </si>
  <si>
    <t>Basket Air running Livraison dans les temps. Les baskets sont confortables et la taille correspond. Le Cloud des baskets absorbe bien les à-coup lors que la marche/course. Les baskets sont assez légère. Bon maintien du pied.</t>
  </si>
  <si>
    <t>Parfait parfait Trop Trop trop bien !! Magnifiques!</t>
  </si>
  <si>
    <t>Super produit Super produit</t>
  </si>
  <si>
    <t>Génial Super collection. Ma fille adore</t>
  </si>
  <si>
    <t>Génial pour les sportifs Je suis absolument ravie de ces écouteurs de sport. Je les ai testé avant de les offrir à ma sœur qui est une grande sportive et je peux vous dire que le son est génial ! En plus de ça le produit est arrivé très bien emballé ! Et le design du produit épousé parfaitement ma forme de l'oreille ce qui permet de ne pas les faire tomber lors des activités sportive !</t>
  </si>
  <si>
    <t>Cadeau très apprécié Ma nièce lit ce livre tous les soirs. Elle adore ! Elle était très contente quand je lui ai offert un deuxième.</t>
  </si>
  <si>
    <t>Super qualité Pull reçu en temps et en heure et tres bonne qualité il et assez lourd donc tiens bien chaud.</t>
  </si>
  <si>
    <t>Attention casque très fragile de médiocre qualité Bonjour je vous déconseille d'acheter se casque il a l'air solide et pourtant l'articulation de mon oreillette droite c'est cassé sans savoir pourquoi alors que j'en prends le plus grand soin. Je connais pas tous en se qui est matière de son mais je peux vous dire que la réduction de bruit n'est pas extraordinaire du tout  je tiens à vous préciser que la réduction active envoye des fréquences pour s'opposer aux parasites on entend un petit bruit aiguë ça ne me gène pas mais ce bruit fait mal aux oreilles la qualité du son n'est pas extraordinaire comparer aux écouteurs basique. Franchement un conseil garder votre argent et acheté vous des écouteurs ou si vous avez un plus gros budget d'investir dans un vrai casque car celui est vraiment de médiocre qualité au début j'étais trop content c'était nouveau pour moi mais après 1 semaine d'essai on découvre les défauts du casque et maintenant ça fait à peine 2 mois que je l'es et j'envisage déjà d'acheter des écouteurs à cause de ce casque.    Vraiment je vous déconseille de l'acheter en plus je peux même pas me faire rembourser .</t>
  </si>
  <si>
    <t>Trop étroit Trop étroit</t>
  </si>
  <si>
    <t>plastique fausse basket fila. 100% plastique. vendu au prix des vrais</t>
  </si>
  <si>
    <t>Ne pas acheté Incompréhensible je commande une taille s je reçois un xl qui est beaucoup trop petit je le déconseillé</t>
  </si>
  <si>
    <t>Trop bruyante Joli design l'eau chauffe vite et l'utilisation est facile. Par contre elle est vraiment très bruyante.</t>
  </si>
  <si>
    <t>Idéal pour un pied de femme Ce modèle est réputé pour être parfaitement adapté à un pied de femme (qui n'est pas un pied d'homme en plus petit !). Un bémol toutefois : si cette chaussure est d'un confort impeccable pour la marche, elle n'est pas recommandée pour les randonnées risquées : la semelle n'accroche pas suffisamment sur les surfaces glissantes.</t>
  </si>
  <si>
    <t>Des crocs, on aime ou on aime pas J'ai commandé les crocs pour utiliser au bloc opératoire, quel plaisir! Ils sont plutôt bien adapté même si a posteriori je regrette de ne pas en avoir acheté avec l'avant totalement fermé. A l'inverse d'autres commentaires que j'ai pu lire, les miens sont bien fait en Italie, preuve que ce ne sont pas des contrefaçons? Confortable, le plastique est plutôt mou ce qui est agréable.</t>
  </si>
  <si>
    <t>Je recommande Super, je l'adore, un petit peu plus grand mais je préfère quand c'est comme ça, je recommande !</t>
  </si>
  <si>
    <t>Bonne perche &lt;a data-hook="product-link-linked" class="a-link-normal" href="/Foxnovo-Radiodiffusion-durable-Studio-Microphone-Mic-Suspension-ciseaux-bras-perche-noir/dp/B00MQRHN5U/ref=cm_cr_arp_d_rvw_txt?ie=UTF8"&gt;Foxnovo Radiodiffusion durable Studio Microphone Mic Suspension ciseaux bras perche (noir)&lt;/a&gt;  J'y est installer mon micro bird UM1 elle est donc compatible avec le micro.  La fixation sur le bureau à une petite mousse pour éviter lorsque l'on sert trop la base d'abîmer le bureau.  La perche fonctionne bien prend la position souhaiter sans problème. Faudra juste faire attention au poid du micro qui pourrais abaisser votre perche pendant les enregistrement ou autres...  La qualité du matériel est impeccable je trouve pour ma part.  Un bon 4/5 pour cet perche , j’enlève une étoile pour la manivelle au bout de la perche pour la fixation micro qui même tourner à fond continuera de tourner sans cesse comme si elle n'était pas fixer correctement.</t>
  </si>
  <si>
    <t>étoilessandales NIKE Belle claquette et confortable mon fils est satisfait</t>
  </si>
  <si>
    <t>Rien C'est facile à utiliser léger pour le porter dans la voiture à la maison de partout</t>
  </si>
  <si>
    <t>Correct Conforme à la description</t>
  </si>
  <si>
    <t>Belle objet Pour un cadeaux</t>
  </si>
  <si>
    <t>1 Pour pratiquer du basket-ball</t>
  </si>
  <si>
    <t>Super sweat ! sweat tout à fait conforme à la photo, il a l'air d'une bonne qualité, il tient chaud et il est doux. Je recommande !!</t>
  </si>
  <si>
    <t>👍👍👍 Très bien</t>
  </si>
  <si>
    <t>bon rapport qualité-prix très joli casque que j'ai offert à ma femme depuis elle le quitte plus le son est de très bonne qualité il se plie pour pouvoir le ranger n'importe où et tu prends tout vraiment très peu de place d'ailleurs l'emballage est vraiment très petit la livraison a été effectuée en temps et en heure vraiment un très beau produit pour le prix</t>
  </si>
  <si>
    <t>Parfait Très jolie couleur. Sac très pratique par ses multiples poches.</t>
  </si>
  <si>
    <t>Très bien Très bien</t>
  </si>
  <si>
    <t>Moins il est cher, meilleur il est J'ai reçu ce casque récemment et suis conquis par son rendu sonore. J'avais dans mes placards un vieux DT440 avec un spectre plutôt étroit. J'ai commandé ce casque après avoir essayé longuement un HD650 et un K701... avec des courbes de réponse "à la C..". Pouquoi dépenser autant pour de mauvais résultats. Le DT990 possède une sonorité chaude, un peu trop de graves à mon gout, mais qui ne cassent pas la spatialisation. Pas de trous dans la bande passante et accepte donc en conséquence tout type de musique. Il est possible d'amortir l'excès de graves en masquant les évents de bass-reflex: vous insérez des portions d'élastique (28mm, blanc de préférence) dans 2, 3 ou 4 fentes centrales de chaque écouteur. Mais je compare toujours avec mon meilleur casque pour moi, le Philips SBC-HD1500 , plus fabriqué depuis de nombreuses années.</t>
  </si>
  <si>
    <t>chaussettes agréables Bonjour, je craignais que ce type de chaussette fasse de "faux plis" et blesse le pied, il n'en est rien.Donc c'est super.Il n'y a pas non plus  de problème de "surchauffe" au niveau des chaussettes.</t>
  </si>
  <si>
    <t>Très bien Belle qualité de papier. Convient pour tous supports</t>
  </si>
  <si>
    <t>Magnifique J'ai offert cette montre à mon mari pour nos 1 an de mariage. Il en est ravi et ne cesse d'en parler.  Il adore le fait qu'il n'y ai pas de boutons inutiles. Que l'heure est facile à lire. Le fait qu'elle sente le cuir. Et par dessous tout le style de cette montre.  J'ai vraiment fait un homme heureux avec cette montre. Je vous la recommande activement.  De plus, elle est moins chère sur Amazon que sur le site de la marque. Il faut en profiter :D</t>
  </si>
  <si>
    <t>Bluetooth  pas pour Samsung J5 Ne fonctionne pas en Bluetooth ( n'est pas reconnu )  sur mon samsung j5 mais fonctionne sur le J4 qui pourtant est plus ancien . Je l'utilise avec la prise jack  mais ça  enlève  une grande  partie de son intérêt. Si non la qualité  sonore  est correct  . Toutefois  au bout de 30 mn il finit pas serrer un peu. Le sac est pratique  .</t>
  </si>
  <si>
    <t>très décue de cet achat J'adore les sabots avec semelle bois mais ceux ci sont très inconfortables, et mal fabriqués!! J'ai pris un 37 rouge, rien à dire sur la couleur mais sont un peu grand et pas du tout confortables. pas d'ergonomie au niveau de la semelle bois et cuis n'allant pas jusqu'a l'arrière du sabot. Bref à déconseiller</t>
  </si>
  <si>
    <t>Montre fragile, anneau se decolle. Utilisation pour la vie quotidienne, plus les sports  (trail, surf etc..) Belle monture, cependant l'anneau du dessus c'est décollé après 30m de natation !! Un peu déçu !</t>
  </si>
  <si>
    <t>Manque les vis,  dommage Remplacement</t>
  </si>
  <si>
    <t>la tenue aux pieds au départ bonne sensation de confort , doux et moelleux , après quelques jours d'utilisation je trouve qu'il y a un manque de stabilité latérale et un manque d'amortissement la semelle n'est pas assez épaisse ce qui pourrait expliquer ce petit défaut , je fais 79 kg et mon poids à peut être tendance à écraser le revêtement intérieur , si ce problème était corriger je donnerais 5 étoiles</t>
  </si>
  <si>
    <t>Ni Ni</t>
  </si>
  <si>
    <t>palladium correspondent exactement à la photo, belle couleur, dommage elles taillent petit. A prendre plutôt avec une taille au dessus même si elles s’agrandissent un peu avec le temps. beau look.</t>
  </si>
  <si>
    <t>connais déjà Je connais déjà cet article, j'en porte souvent et suis très satisfaite de cette marque ainsi que de la qualité.</t>
  </si>
  <si>
    <t>Sueprbe ! Ras rien à dire ..</t>
  </si>
  <si>
    <t>Je recommande Qualité au rendez vous</t>
  </si>
  <si>
    <t>Très belle parure Magnifique ensemble qui a fait sensation en tant que cadeau de noël. Les couleurs sont très belles et l'ensemble est physiquement conforme à la photo.</t>
  </si>
  <si>
    <t>Diffuseur, possibilité connecter Alexa ou Google. Je l'attendais avec impatience, pour profiter des bienfaits des huiles essentielles. Super pratique avec Alexa, simple d'utilisation avec le programme conseillé, pour la nuit on peut programmer 1,3,6 heures, super bien !! Je recommande. 👍</t>
  </si>
  <si>
    <t>Très bien Très bien, pensez à acheter des tétines supplémentaires</t>
  </si>
  <si>
    <t>Produit solide Pratique pour enfants comme adultes</t>
  </si>
  <si>
    <t>Excellent produit Superbes vraiment pratique et adorable .. j'ai essayé des goupillons de marque mais lui c'est le meilleur tête rotative le prix .. super merci.</t>
  </si>
  <si>
    <t>Satisfaire mon cœur Les années de lecture vont de 4 à 5 heures par nuit. l’éclairage est peu probable: une lampe à LED voit bien, une lampe de lit blanchit l’ampoule … Et jamais, malgré tous Mes Tests, je n’ai trouvé un bon éclairage qui soit parfait, réglable en intensité (blanche ou jaune). En achetant, je n’espérais pas autant. La possibilité de régler l’intensité de la lumière au toucher et de régler la luminance «chaude» (jaune clair et blanc) en orientant la barre dans toutes les directions; Éclairage suffisant pour permettre la réalisation des différentes tâches prévues par le feu de lit ou le bureau … Enfin, une lumière franche et élégante. Il n’y a que le bonheur.</t>
  </si>
  <si>
    <t>Génial Produit extra je le conseille à 100%</t>
  </si>
  <si>
    <t>Bon rapport qualite prix Jai pris une demi pointure au dessus typique de la marque et pointure parfaite. Couleur identique a la photo lors de l achat</t>
  </si>
  <si>
    <t>Gommettes enfants Super produit pour développer la créativité de nos enfants mes filles sont ravis les gommettes sont de très bonne qualité facile à décoller et à manipuler pour les petites mains il y a vraiment une très grande quantité et variété vraiment pas cher pour ce que c'est</t>
  </si>
  <si>
    <t>Super chaussures. Belles et confortables. Super jolies et tres confortables. Je recommande. Je suis ravie.</t>
  </si>
  <si>
    <t>Conforme à la description Conforme a ma description, les pantoufles sont douces et fines. Elles ont l air assez robustes  pour une utilisation occasionnelle à savoir quand il y a des invités.</t>
  </si>
  <si>
    <t>parfait ça tient le coup dans l'immédiat bon rapport qualité prix</t>
  </si>
  <si>
    <t>Très bonne montre Très bonne  montre G shock.  Aiguilles et affichage digital.  Fonction Podometre, Bluetooth,  fonctionne avec l'application g shock connect pour le suivi des activités et le réglage automatique de l'heure ou bien du world timer... Gros plus : aiguilles phosphorescentes visibles dans le noir et éclairage de l'écran digital ce qui permet de bien voir l'heure dans le noir contrairement à d'autres modèles de la marque</t>
  </si>
  <si>
    <t>Jeu qui ne fonctionne pas ! Boite immense pour un jeu tout rikiki : contient 1 stylo , un mini bloc-notes et une règle du jeu dans une boite de 30X30 cm !!!!! Le stylo a fonctionné environ 5 minutes et plus rien . Grosse déception au final</t>
  </si>
  <si>
    <t>De l'uile J'achète  souvent la menthe  poivrée  et ma derniere commande  c'etait juste de l'huile !!! Peu etre quelques gouttes de menthe? Je suis tres déçu  surtout quand on sait pas ce qui a dedans , fini je ne prend plus a ce vendeur !</t>
  </si>
  <si>
    <t>Produit à éviter - ne fonctionne que quelques semaines ! Bouilloire qui fuit peu de temps après un 1er achat. Retournée car encore dans les délais et échangée. La 2ème fuit encore mais hors délais au bout d'un mois et demi. Pas de retour possible. Scandaleux de vendre un matériel obsolète au bout de quelques semaines.</t>
  </si>
  <si>
    <t>Chaussettes J’ai bien reçu l’article rien à dire</t>
  </si>
  <si>
    <t>Trop grand Super sweat mais j'ai malheureusement pris du M au lieu du S il est donc trop grand mais reste portable.</t>
  </si>
  <si>
    <t>Bonne chaussure Bonne chaussure très confortable mais assez lourdes.</t>
  </si>
  <si>
    <t>Efficace Vite livré et conforme à ce que j'attendais.</t>
  </si>
  <si>
    <t>Très bien ! Très pratique pour filmer car sans rallonge le fil du micro est un peu trop court. L'épaisseur du fil me fait un peut peur mais après trois mois d'usages intensif aucun problème à signaler</t>
  </si>
  <si>
    <t>Solide, jolis pas cher Je m'en sert tout les jours (ou presque) et il est toujours comme neuf après plusieurs mois. Alors il est un peut petit, mais c'est un avantage comme un inconvénient : ça dépend ce que vous voulez mettre dedans ! Pour ma part, le téléphone, les clés et la carte grise de la voiture et un paquet de mouchoirs dans la poche avant. C'est parfait !</t>
  </si>
  <si>
    <t>confortable solidité en plus de mes Bâtons Nordique l'acquisition des ses Salomon pour la marche son tout simplement  idéale pour mon programme</t>
  </si>
  <si>
    <t>Ce tapis est vraiment top 💜 Juste Genial !! Je m'y installe 20mn par jour, pour une détente à 200%. Pas évident au début, les picots fond mal mais une fois habituée on n'y pense plus 😃</t>
  </si>
  <si>
    <t>Bonne qualité de l'impression Une cartouche d'encre s'utilise pour imprimer ! Rien à dire de plus...</t>
  </si>
  <si>
    <t>Parfait produit de bonne qualité</t>
  </si>
  <si>
    <t>Genialissime !!! J’etais vraiment sceptique et heureusement je me suis fiée aux commentaires client. C’est tout simplement genial! J’avais vraiment l impression que quelqu’un me massait... enceinte de 9 mois j’ai mal partout 🤣 et quel bonheur.... les «&amp;nbsp;poignées&amp;nbsp;» sont bien faites et tres agreables pour deplacer l appareil sur les zones desirées. A voir dans la duree mais pour l’instant c’est un sans faute pour moi. Sans parler de la livraison en 1 jour a 10 jours de Noel! Bravo.</t>
  </si>
  <si>
    <t>contente mon mari ne les quitte plus! jolis, confortables, pratiques, le cuir au dessus fait habillé, la taille était juste. Top!</t>
  </si>
  <si>
    <t>Pratiques et discrètes Elles sont à la hauteur des attentes de quelqu'un qui cherche des chaussettes invisibles, c'est parfait.</t>
  </si>
  <si>
    <t>Aucune fuite ! Un biberon presque parfait avec un système de clip innovant plus besoin de visser la tétine on peut secouer le biberon sans fuite</t>
  </si>
  <si>
    <t>Je recommende ce produit Bon produit</t>
  </si>
  <si>
    <t>Très beau bijou Jolie forme, en plus il fait un petit bruit discret quand on bouge.</t>
  </si>
  <si>
    <t>Jolie article Identique à la photo reçus en avance</t>
  </si>
  <si>
    <t>Bon.rapport qualité/prix Rien à redire. Ne se trou pas au bout de 3 utilisation à voir avec le temps</t>
  </si>
  <si>
    <t>Impeccable adapté à l'usage</t>
  </si>
  <si>
    <t>Agréable à porter Chaussettes de sport, donc assez épaisses, mais agréables à porter, renforcée sous la plante, avec un bon rapport qualité/prix et une livraison rapide.</t>
  </si>
  <si>
    <t>Convient parfaitement Tout me convient parfaitement, le côté discret au poignet, le bracelet en métal, l'éclairage de tout le cadran, la date, l'heure au format 24h. Parfait !</t>
  </si>
  <si>
    <t>Pas terrible terrible... Bon, on va dire que pour quelqu'un qui écoute sa musique sans être trop exigeant c'est un bon casque nomade. Par contre si vous voulez un son clair et complet il faudra passer votre chemin... La réduction de bruit est inconfortable et le casque serre un peu la tête... Depuis j'en ai acheté un d'une grande marque de son et il n'y a pas photo... pas Son... pardon</t>
  </si>
  <si>
    <t>produit de mauvaise qualité non conforme aux photos Produit non conforme aux photos et la fermeture éclaire n'a résisté que quelques jours.... je souhaite le remboursement de ce produit de mauvaise qualité</t>
  </si>
  <si>
    <t>Essayer avant d acheter si vous pouvez... Le mode massage tournant continu bas en haut et haut en bas est insupportable. Le mode juste vibrant en ciblant les zones bien distinctes est très bien. Je ne l aurai peut-être pas acheté si je l avais essayé avant mais je fais avec.</t>
  </si>
  <si>
    <t>Bon rapport qualité/prix Ai commandé ces tétines car j'ai pris le kit Natural avec 4 bibérons (2 grands et 2 petits) et les grands sont livrés avec deux trous. Ma fille a tendance à boire rapidement et j'ai préféré mettre des tétines premier âge sur les 4.</t>
  </si>
  <si>
    <t>Agenda correct Agenda correct au vu de son prix, seulement 4 étoiles car je trouve que la place pour écrire est vraiment petite donc si c'est pour une utilisation pour le travail , mieux vaut prendre un modèle supérieur. Pour le reste, fait bien le job!</t>
  </si>
  <si>
    <t>ras produit conforme et livraison comme prévu, rien à redire</t>
  </si>
  <si>
    <t>Un bon Tchoupi Même si votre enfant n'ira pas instantanément sur le pot après avoir lu ce Tchoupi, ce livre aura au moins le mérite de l'interroger et de le rassurer concernant ce drôle de truc sur lequel on lui demande de s'assoir en lui demandant de faire pipi dedans. Si Tchoupi y va, alors ça va. Surtout que le Papa de Tchoupi est très pédagogue.</t>
  </si>
  <si>
    <t>Très belle bouilloire Elle est un peu plus jaune que sur la photo mais malgré tout très jolie. Elle est silencieuse et esthétique. Je suis très satisfaite.</t>
  </si>
  <si>
    <t>Avec avent pas de surprise Super produits</t>
  </si>
  <si>
    <t>Très bon et beau produit &lt;div id="video-block-R1SB7ET34KGZ0E"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src="https://images-eu.ssl-images-amazon.com/images/I/81s2J7S9zpS.mp4" style="position: absolute; left: 0px; top: 0px; overflow: hidden; height: 1px; width: 1px;"&gt;&lt;/video&gt;&lt;/div&gt;&lt;div id="airy-slate-preload" style="background-color: rgb(0, 0, 0); background-image: url(&amp;quot;https://images-eu.ssl-images-amazon.com/images/I/91uNG5f5YFS.png&amp;quot;);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value="https://images-eu.ssl-images-amazon.com/images/I/81s2J7S9zpS.mp4" class="video-url"&gt;&lt;input type="hidden" name="" value="https://images-eu.ssl-images-amazon.com/images/I/91uNG5f5YFS.png" class="video-slate-img-url"&gt;&amp;nbsp;Très beau collier ! Il brille bien ! Il est de bonne taille ! Les chaînes sont résistantes ! Je recommande ce collier</t>
  </si>
  <si>
    <t>Les meilleurs écouteurs non intra Ce sont les écouteurs qui sont le plus agréables à l'oreille ce qui est étonnant pour des non intra-auriculaires. Cependant ils ont l'air un peu fragiles mais pour le prix cela se comprend. Je les conseilles vraiment car ce sont les plus agréables selon moi.</t>
  </si>
  <si>
    <t>heureuse belle qualite pas decu par contre les taille sont grande</t>
  </si>
  <si>
    <t>Ravie Ravie de mon achat très jolies chausse normalement. Reçues rapidement, commandées une seconde fois pour ma nièce. Je recommande vivement</t>
  </si>
  <si>
    <t>Génial !!! Le son est vraiment bon avec ces câbles, très bon produit pour le prix. Je suis contente de mon achat</t>
  </si>
  <si>
    <t>je les recommandes j'ai choisi ces boots pour la qualité et je ne suis pas déçu mon fils ayant une moto elle sont vraiment adapter pour la protection en cas de chut et solide ce qui devient rare de nos jours bon maintient niveau cheville sont un peu lourdes mais on s'y fait</t>
  </si>
  <si>
    <t>La taille correspond bien à du 45 Mon fils les adore. Elles sont légères et tiennent bien le pied. On trouve certes mieux en terme d'amorti mais lui les utilise au quotidien.</t>
  </si>
  <si>
    <t>Commande Commande reçue aujourd'hui. Livraison et emballage impeccable. J'emploie ce produit à titre personnel. Pour cette commande, il n'y a pas eu d'erreur de boîte aux lettres, tant mieux !!! Cordialement !!!</t>
  </si>
  <si>
    <t>Super Mon fils a apprit à lire en 2 semaine fesant l'ief (école à la maison) mon fils conaissez déjà certaines syllabes il c'est juste renforcer avec se livre j'en et prit 2 il à 5 ans edmis bientôt 6 ans on a commencer début septembre nous sommes en novembre il maîtrise très bien la lecture</t>
  </si>
  <si>
    <t>achat de cafetiere très bon produit  livre ds un  emballage  bien protéger  fonctionne très bien  je le recommande a toute les personne  en plus tres commode avec son filtre eternelle</t>
  </si>
  <si>
    <t>Papier triple épaisseur C'est un bon produit; commode, le paquet n'est pas trop volumineux, mais il y a assez de rouleaux pour qu'il soit suffisant pour environ 20-30 jours même avec une petite famille qui gaspille un peu le papier.</t>
  </si>
  <si>
    <t>Parfait Après plus de trente ans de bons et loyaux services j'ai dû remplacer ma pochette par celle-ci. La même en mieux. Superbe cuir, superbes pochettes, superbe coin téléphone, superbe accroche mousqueton pour les clés. Je suis ravi, enchanté, comblé !</t>
  </si>
  <si>
    <t>Top Basket de très bonne qualité très souple très léger lorsque l’on marche Esthétiquement parlant il y a rien à dire ce sont des très belles baskets Je l’ai ai acheté pour faire du sport en salle ou pour courir à l’exterieur Prenez la pointure habituelle Livraison au top le lendemain de ma commande</t>
  </si>
  <si>
    <t>Pas trop mal Étanchéité moyenne</t>
  </si>
  <si>
    <t>decu Trés décu par la qualité et la taille</t>
  </si>
  <si>
    <t>Très lourde Très lourde</t>
  </si>
  <si>
    <t>Nul! Baisse de son inexplicable via les deux connexions incompréhensible pour un casque qui marchait si bien et alors que j'en prend soin je le déconseille fortement, je met une étoile mais il en mérite 0 !</t>
  </si>
  <si>
    <t>Taille grand Le pull est sympa par contre il taille vraiment grand.</t>
  </si>
  <si>
    <t>Micro OK - pourri pour la musique Acheté pour faire des conversations téléphoniques, parfait pour cette usage (micro OK) pour pas cher. N'espérez pas écouter le la musique avec ça !!! Autant mon BW P3 et parfait, autant ce casque est nul, pas de grave, pas d'aigue, rien.</t>
  </si>
  <si>
    <t>kit naissance complet, aux couleurs connotées fille avec ce kit contenant plusieurs biberons de différentes contenance, ainsi que le goupillon pour les nettoyer ainsi que les tétines, et, petit plus, une sucette, vous avez de quoi bien démarrer avec votre bébé (fille, puisque les couleurs rose et violet sont pour fille, les garçons ont droit au bleu!). le tout est conditionné sous blister et au final, le prix est correct et revient moins cher que chaque ustensile acheté séparément.</t>
  </si>
  <si>
    <t>Esthétique et discret Même si elle mériterait d'être légèrement plus grande, le portefeuille, les clés et le smartphone y trouve leur place. Excellent rapport qualité prix.</t>
  </si>
  <si>
    <t>Bien Bon produit</t>
  </si>
  <si>
    <t>Une magnifique machine à thé Honnêtement, elle est belle et fait du bon thé. Pour les pressés du matin qui veulent changer de leur café habituel, celle-ci est un bon compromis maintenant c'est en fonction de chacun car les 2 gros défauts de cette machine à thé sont: De 1) les capsules sont vraiment assez chère. Ok, les feuilles sont entières, ok elles sont sélectionnés dans les 5 régions les plus réputés pour leur qualité de production: japon, inde sri Lanka, chine, Afrique du sud. Les capsules sont assez arrondi pour justement permettre une meilleure infusion. A acheter surtout lors des promotions. De 2) la machine reconnaît que les capsules spécial T. Bon ok, on a 35 variétés de thés, d'infusions, de rooibos dont quelques une sont bio, mais ça nous oblige à consommer que leurs thés qui déjà ne sont pas donné.  Pour le reste, oui elle est belle, compact, facile d'utilisation, prend petites tasses comme des mugs, effectivement elle n'est pas très silencieuse mais c'est pas non plus le marteau piqueur.  Livré avec 1 filtre à eau +7 capsules. Garantie réparable pendant 10 ans par le fabricant.</t>
  </si>
  <si>
    <t>Paris 93 Bon produit</t>
  </si>
  <si>
    <t>Parfait Bonjour , conforme à la description , dimension sont impeccable pour mettre passeport carte potte feuille et meme une petite bouteille d eau ! Tres costaud et pour la pluie pas de soucis ! Je recommande cet article</t>
  </si>
  <si>
    <t>Bonne qualité Pour offrir Bonne qualité</t>
  </si>
  <si>
    <t>parfait !! livraison ultra rapide, produit conforme à la photo ! sauf comme le précise un commentaire précédent, on se demande si ce n'est pas de très bonnes imitations.éléments  flagrants en + ou en - par rapport à des vraies. moi je dis taratata ! je ne pense pas qu'amazon autorise ce genre de commerce.autant leur faire confiance.donc je vais faire abstraction du (R) en moins etc...et porter comme il se doit ma paire de converse !</t>
  </si>
  <si>
    <t>Elle est très discrète ce qui convient très bien au femme Pour le travaille</t>
  </si>
  <si>
    <t>super qualité Excellent produit !! la qualité est au rendez vous !! vous pouvez l'acheter les yeux fermés . En plus il n'est pas cher</t>
  </si>
  <si>
    <t>Très satisfaite Baskets très jolies et confortables, la paire est  conforme à la description, la taille est  parfaite , la livraison est rapide et soignée</t>
  </si>
  <si>
    <t>article très "chic" pour cette gamme de prix beau design, belle fabrication.  Emballage très chic, le mode d'emploi permet une installation aisée. Les règlages sont faciles et le son est de qualité. Donc OK</t>
  </si>
  <si>
    <t>Le top du top des vedettes Après avoir cherché et essayé pas mal de marques, de types de casques, d'écouteurs, etc. je pense avoir enfin trouvé mon bonheur. Ce casque est parfait. Léger, confortable, solide, et niveau son parfait. Un petit réglage eq semble toujours nécessaire selon la musique écoutée mais c'est plutôt normal. Le mode noise cancelling est effectivement gadget, et n'apporte rien d'autre qu'une dégradation numérique du son. Autant ne pas l'activer, jouer sur l'eq et profiter de la musique. RAS côté bluetooth, l'appairage se fait en 2 secondes et la qualité sonore n'en pâtit pas.</t>
  </si>
  <si>
    <t>Rien à redire Correspond à mes attentes Je ne les utilise qu'avec le tire lait Medela Symphony, j'ai une autre marque de biberon pour mon petit garçon. Je n'ai pas essayé leur nouvelle tétine Medela je la trouve très chère et les avis mitigés .</t>
  </si>
  <si>
    <t>Excellent produit. Très fort pouvoir collant. Malgré certains mauvais commentaires qui se plaignent que le produit ne colle pas parce qu'il n'accroche pas les doigts. Il faut leur dire que ce n'est pas fait pour coller les doigts, mais tout le reste. Donc le Double Face 3M est super puissant et judicieux à utilisé pour des environnement où il fait très froid ou très chaud sous influence des rayons UV. Je recommande.</t>
  </si>
  <si>
    <t>super enfin un soutien qui se ferme devant et qui maintient bien la poitrine; Je conseille pour celles qui ne savent pas fermer les soutiens ordinaires qui se ferment dans le dos</t>
  </si>
  <si>
    <t>Robuste et stable Utilisé avec 2 écrans de 24 pouces, ce bras est tout juste formidable. Et pour un prix très competitif. Facile à  installer. Je le recommande</t>
  </si>
  <si>
    <t>Parfait pour les enfants Les casques sont parfaits, Avec l’adaptateur pour écouter à 2 en même temps, le son est adapté aux enfants et la livraison a été très rapide</t>
  </si>
  <si>
    <t>Très satisfaisant ! Le produit est convenable, conforme aux attentes. Il a été livré dans sa boite, avec les protections permettant un acheminement dans le meilleur état ! Je recommande sans réserves :D</t>
  </si>
  <si>
    <t>Très bien Prix qui revient moins cher que dans mon Hypermarché. Lot intéressant, de quoi ne pas être à court avant un moment. Très bonne qualité, se coupe bien quand il est sur son dévidoir.  Invisible sur les papiers cadeaux ! ;)</t>
  </si>
  <si>
    <t>Gel de massage J'ai eu un peu peur en utilisant ce produit qui a immédiatement provoqué une réaction de brûlure intense. Je l'ai jeté et ne le recommande pas.</t>
  </si>
  <si>
    <t>Très bon produit mais erreur de pointure et délai d'expédition non respecté Vraiment un très bon produit et de très bonne qualité (ma deuxième paire), mais, il y a même deux mais ! J'ai commandé une pointure 41/42 ... et lors de l'ouverture du colis ... pointure 39/40 ...donc trop petit ! Je suis adhérent PRIME ... livraison prévue le samedi ... mais réception du colis ... le Mardi !</t>
  </si>
  <si>
    <t>bonne taile et joli Mais fait mal à un pied. Je ne les porte pas. Dommage. Le soulier droit fait mal au coté droit du pied.</t>
  </si>
  <si>
    <t>Satisfaite Je recommande</t>
  </si>
  <si>
    <t>Un peu déçu Remplace mon vieil éveil lumière (1er du nom) Ses défauts : on coupe la lumière quand il est en train de s’allumer en mode « éveil » et le réglage de luminosité se perd. Aucune sauvegarde de l’heure en cas de coupure.  Sinon le son est agréable, la radio aussi. Très compact. Et les chiffres de l’heure s’illuminent tellement peu au mini que ça ne gêne pas la nuit (mais du coup pas visible en pleine journée… balo)  Bref, un bon produit mais perfectible</t>
  </si>
  <si>
    <t>Casque très confortable Je n'ai pas une utilisation "musicale" à proprement dite. J'utilise ce casque pour travailler et pouvoir me couper du bruit extérieur tout en profitant d'un son de bonne qualité. C'est un casque très confortable (pas de point de pression sur le haut du crâne). Il englobe très bien les oreilles mais il faut toutefois faire attention au fait qu'il peut exercer une légère pression sur la mâchoire. Se porte facilement toute la journée.</t>
  </si>
  <si>
    <t>Chausse petit Idéal pour la marche mais il faut prendre une tille au dessus</t>
  </si>
  <si>
    <t>Pull Comme sur la photo couleur, forme, taille, bonne qualité</t>
  </si>
  <si>
    <t>belle qualité super confortable</t>
  </si>
  <si>
    <t>Rapport qualité prix trés bon L'heure peux se lire facilement  !! même si on à des problèmes de vue à recommander !</t>
  </si>
  <si>
    <t>Très joli Joli et très fin</t>
  </si>
  <si>
    <t>super rentabilité Bon super veste je fais du 38=M mais j'ai pris du L car j'aime pouvoir mettre un pull dessous et c'est parfait. La matière est parfaite et la couleur et magnifique. Le teste de la machine a lavé a était validé la couleur est toujours la même et pas de rétrécissement. Donc super qualité, super prix, et super couleur pas de regret d'achat je réfléchis déjà a la prochaine couleur que je vais prendre.</t>
  </si>
  <si>
    <t>parfait chaussettes bien épaisses qui serrent pas le pied est doux enfin des chaussettes de sport quoi atttention elles sont pas fines</t>
  </si>
  <si>
    <t>Bon rapport qualité prix Très élastique agréable au touché pratique</t>
  </si>
  <si>
    <t>Grande contenance sans être imposante, pratique et de qualité J'ai acheté cette trousse il y a presque 1 an maintenant pour mon petit garçon qui avait 6 mois afin de transporter ses repas chez la nounou. J'en suis tres satisfaite surtout au niveau de la contenance. Au départ, je ne savais pas quelle taille acheter et je suis contente d'avoir pris celle-ci car maintenant qu'il a 16 mois (et qu'il mange toujours comme un glouton) j'ai la place pour mettre un biberon, une recharge de lait, un pot à confiture (qui contient son repas) + un fruit + un yaourt et un biscuit ou du pain en tranche, sans compter le bavoir (bon apres il n'y a plus de place). Mais cette trousse est donc parfaite pour nous. Elle est souple, dispose d'une poignee pour la transporter simplement sans sac sur les airs d'autoroute par ex. (c'est du vécu), l'interieur se nettoie facilement, le colori est moderne et nos amis (parents aussi) pensent acheter la même finalement. Bref, vous pouvez y aller les yeux fermés.</t>
  </si>
  <si>
    <t>léger et confortable sport et loisirs, idéal pour un petit footing...</t>
  </si>
  <si>
    <t>La qualité Pour une personne handicapée</t>
  </si>
  <si>
    <t>Génial C’est vrai que les premières minutes d’utilisation on a l’impression que la machine va nous écraser le pied tellement c’est compressé mais pas de panique .. au niveau de la douleur il est vrai que les quatre premiers quart d’heure vous allez sentir vos pieds .. mais sincèrement après deux jours d’utilisation en faisant quatre séances de 15 minutes par jour vos pieds sont totalement décompresser.. Donc je recommande cette machine a tout ceux qui aimerait se faire masser les pieds comme un vrai massage. Donc les personnes sensible et fragile à la douleur ne vous inquiétez pas il faut vous habituer mais cela fait un bien fou. C'est un excellent produit qu'il ne faut pas hésiter à acquérir !!</t>
  </si>
  <si>
    <t>Cable audio pour enceintes acoustique. Cette bobine de câble pour branchement de baffles est de bonne facture......... Le gainage est souple et solide.........Il se dénude aisément. Me convient parfaitement</t>
  </si>
  <si>
    <t>Je recommande Un classique rien a dire de plus</t>
  </si>
  <si>
    <t>Biberon au top! Le biberon est top pour un relai allaitement. Bébé doit tout de même s’adapter car l’effort de succion est différent.</t>
  </si>
  <si>
    <t>Très bien ! Masse bien le cuir chevelu. Agréable.</t>
  </si>
  <si>
    <t>Filtre Anti-Pop Très bon filtre anti-pop que j'ai acheté en même temps que mon Bird UM1 et je suis satisfait du combo des deux afin de faire des vidéos de bonne qualité.</t>
  </si>
  <si>
    <t>Satisfaite Satisfaite</t>
  </si>
  <si>
    <t>87200 Pour le prix je m'attendais à un logo brodé Avec une imprimante et un fer à repasser, je peux en faire autant</t>
  </si>
  <si>
    <t>Mauvaise qualité Mauvaise qualité</t>
  </si>
  <si>
    <t>Son pas terrible grésillements Casque léger , facile à plier mais des bruits de saturation dans le casque au bout de la première écoute... Très mauvaise qualité de son , je suis étonné moi qui aime beaucoup la marque très déçu.  Mon fils en ayant l utilité tous les jours le son restera comme cela je n envoi pas le produit pour encore attendre la réception...Déçu.</t>
  </si>
  <si>
    <t>Biberon en verre grande capacité Biberon verre assez grand mais le petiot n'en veut pas donc rangé dans le placard la tétine est indifférente il n'en veut pas</t>
  </si>
  <si>
    <t>L'origine du produit Ce produit vient d'Angleterre, documentation en Anglais, prise de courant UK mais adaptateur fourni, tout le menu sur l'écran est en Anglais pas moyen de le modifier, ceci est anormal et contraire à la loi Française. J'ai fait appel au SAV Brother qui m'a guidé pour faire le changement de langue. Je regrette d'avoir acheté ce produit sur Amazon ce dernier n'informe pas le client de ce qu'il recevra. Arnaque!!!!</t>
  </si>
  <si>
    <t>Petit biberon pratique C'est un petit biberon très pratique pour commencer. Notre petit bout prend du lait artificiel réchauffé, il me semble que ce petit biberon perd moins vite la chaleur que celui de 240ml que j'ai également acheté. Il y a un peu de fuite, mais ce n'est pas très gênant. Point d'amélioration : les mesures sur le biberon sont difficile à lire notamment en pleine nuit.</t>
  </si>
  <si>
    <t>Conforme Arrivé comme prévu</t>
  </si>
  <si>
    <t>le bon produit pour lutter contre les douleurs de dos Il a un grand pouvoir chauffant, ce qui le rend très efficace contre les douleurs, je l'apprécie beaucoup, il détend les muscles .</t>
  </si>
  <si>
    <t>Bon rapport qualité prix Reçu dans le delai imparti fidèle à la description</t>
  </si>
  <si>
    <t>Super! J'en suis ravie, pour adresse postale, nom sur la boite au lettre, ou autres. Franchement super. Je recommanderais aussi absolument</t>
  </si>
  <si>
    <t>Super casques enfants pour la Lunii Excellent rapport qualité prix pour ce produit Mpow (déjà possesseur d'un casque bluetooth chez eux et très satisfait). Bonne finition (plastiques doux au toucher). Deux casques dans le pack, connectable en chaîne entre eux pour une écoute à deux enfants en simultané sans déperdition de son et sans besoin d'acheter un dédoubleur à part. Le son est très correct et colle au niveau sonore de la Lunii (seul objectif de mon achat). Test également sur un smartphone, très agréable surprise en terme de qualité pr un casque de cette gamme de prix. Seul bémol sur une utilisation hors Lunii, pas de réglage de volume au casque. Mais c'est un casque enfant à limitation de bruit, donc c'est parfaitement normal. Je recommande.</t>
  </si>
  <si>
    <t>Hyper confortable J'adore!!! Depuis 2 ans je ne met plus que ça d’avril à octobre !!!!</t>
  </si>
  <si>
    <t>Bien Conforme</t>
  </si>
  <si>
    <t>Très bien Je chausse du 41, la taille est parfaite. Reçu dans les temps. Ce sont des chaussettes sans talons (voir photo), mais l'élasticité fait qu'il n'y a aucun problème pour les porter. Par contre elle restent déformées, il faut voir si elles retrouvent leur forme après lavage. Rendu comme sur l'image présentée.</t>
  </si>
  <si>
    <t>économique ce modèle est celui demandé pour la rentrée en 6ème de ma fille : tous les supermarchés du coin la vendent plus cher !</t>
  </si>
  <si>
    <t>Jolies et confortables Transaction parfaite:vendeur sérieux,  livraison rapide et produit impeccable! chaussures ultra confortables, jolies, robustes, souples! Je recommande vivement cet achat avec une taille’ de plus que l habituelle ( comme indiqué sur le site )</t>
  </si>
  <si>
    <t>Belles chaussures dans lesquelles je suis bien Utilisation quotidienne</t>
  </si>
  <si>
    <t>Pratique Pratiques</t>
  </si>
  <si>
    <t>c'est ok c'est ok</t>
  </si>
  <si>
    <t>magnifique sublime collier , le pendentif et la chaine sont très fins , le cristal est bien mis en valeur par le sertissage produit en argent 925 pas de souci d'allergie livré dans un ecrin avec un petit chiffon de nettoyage . je recommande ce produit , personnellement , je l'ai adopté comme un de mes bijoux préférés</t>
  </si>
  <si>
    <t>Très bon rapport Q/P Agréablement surpris par ce sac très fonctionnel et qui semble solide. De multiples poches pour toutes sortes de choses et pourtant pas trop encombrant. Acheté pour un ultrabook 14" son chargeur et son hub, je peux y loger bien plus que prévu. des magazines, mon téléphone... Idéal pour voyager léger. La couleur est fidèle aux photos. Payé moins de 30€ pour ce sac est assez étonnant quand on voit la qualité qu'on a à ce prix d'habitude.</t>
  </si>
  <si>
    <t>bon maintien Très bon maintien des poitrines fortes grâce à la double bretelle dos nageur + bretelles classiques. Adapté pour minimiser un peu la poitrine donc pour la poledance, ça passe !!!</t>
  </si>
  <si>
    <t>Qualité prix à ne pas rien à dire Petit et solide</t>
  </si>
  <si>
    <t>Semble bonne Je n'ai pas les outils pour mesurer la quAlité de cette huile mais elle semble bonne et l'odeur est vraiment tres agreable. Je m'en sers principalement pour le ménage grace a ses proprietes "antibacteriennes"</t>
  </si>
  <si>
    <t>Tétine Tétine qui ne me conviennent pas dommage</t>
  </si>
  <si>
    <t>HS au bout d'un mois Satisfait au début Malheureusement , qualité médiocre, un écouteur HS au bout d'un mois d'utilisation normale</t>
  </si>
  <si>
    <t>Durée de vie 24H Chrono Après réception de ce casque qui était assez rapide, j'ai pu le tester :  Bonne qualité de son Casque assez confortable malgré le manque de mousse sur la partie haute que l'on pose sur la tête. Les mousses au niveau des oreilles sont correct, tien bien même en séance de sport  Problème majeur : Le mien à durée -24H... Suis-je tombé sur un défectueux ? Je ne sais pas, peu être  Du coup mon avis est : Dommage !</t>
  </si>
  <si>
    <t>Ok Trop large</t>
  </si>
  <si>
    <t>Bonne qualité Contente de mon tampon je le conseille, livré en temps et en heure. Il est au top pour les documents.</t>
  </si>
  <si>
    <t>Bel effet Joli bijou fantaisie, les reflets sont vraiment bien en plus il y a la possibilité d'avoir un bracelet qui correspond en cherchant dans le site mais il faut le chercher il n'est pas proposé en même temps.Il peut être porté avec beaucoup de vêtement le collier n'est pas très long ce qui permet de le mettre même avec un petit décolleté. Le seul regret c'est l'arrière du bijou qui n'est pas très joli mais cela n'a pas vraiment d'importance car il reste bien sur l'endroit. Mesdames effet assuré avec ce petit bijou.</t>
  </si>
  <si>
    <t>efficace j'ai obtenu de bon résultat sur des piqures de moustiques</t>
  </si>
  <si>
    <t>performant Reçu pour être testé. Ce chauffe-biberon est plutôt pas mal : le néoprène garde au chaud (pas isotherme au sens propre mais c'est pas mal), le chauffe-bib se branche sur la prise allume-cigare et chauffe relativement vite. Evidemment, il ne faut pas attendre à faire bouillir de l'eau avec ce chauffe bib, mis il est assez efficace.  Je regrette seulement l'étroitesse de la housse néoprène qui oblige à forcer un peu avec de gros biberon, et l'impossibilité de réduire la hauteur de la housse (si on roule le haut on risque d'abimer le dispositif de chauffe a priori)</t>
  </si>
  <si>
    <t>Ideal pour le debut de lecture des touts petits Enfin une collection accessible très petit, aux premiers pas de la lecture Les nouveaux mots, sons acquis sont répétés tout au long de l'histoire. Nous avons lu tous les cp débutants et enchainons le niveau 2. En plus vraiment pas cher à moins de 3€ le livre !</t>
  </si>
  <si>
    <t>achat impeccable Envoi rapide, produit nickel, et au meilleur prix, j'ai pas trouvé mieux sur le net à ce prix là. A recommander</t>
  </si>
  <si>
    <t>Superbe J'avais déjà acheter un diffuseur d'huiles essentielles pour faire un cadeau et j'ai trouvé cela tellement génial que je mù'en suis acheté un. Celui ci peut voir des éclairages de couleur mais de plus il a un minuteur de 1 heure, 2 heures et 3 heures ce qui est pratique car la quantité de fluide vu le débit ne tiendra pas plus. Bref je suis enchanté</t>
  </si>
  <si>
    <t>Parfait merci En passant ma commande, j'étais pa très sur de moi. Mais je n'avais pas d'inquiétude car je sais la politique de retour d'amazon parfaite quand on est en premium si on n'est pas satisfait. Et du coup très content de l'article, qui m' à très vite sauvé d'un torticoli qui ne voulait pas me lacher...Un petit coup au micro Onde et le tour de coup est operationnel, en plus avec les graines de lin çà sens très bon. Par contre si vous avez un coup de taureau, et pas de moineau (comme moi ) vous risquez de trouver le tour un peu court...Sinon article à commander les yeux fermés...</t>
  </si>
  <si>
    <t>Efficace J'avais, autrefois, une brosse en mousse de ce type, j'ai retrouvé avec grand plaisir cet article toujurs aussi performant. Les vieilles recettes existent toujours, et nous les retrouvons grâce au NET. Le daim et le nubuck reprennent un coup de jeunesse avec une telle brosse. Merci de continuer dans le simple et efficace !</t>
  </si>
  <si>
    <t>Excellente qualité sonore Ce microphone est le premier que je commande et mon avis peut être considéré comme celui d'un amateur, mais je n'espérais pas avoir une qualité aussi bonne avec ce micro.  Le micro est livré avec son support sur pied et un câble DMX vers jack. Le support semble un peu léger mais le micro tien bien et il permet de surélever le micro à la bonne hauteur. La prise DMX permet au micro d'être relié à une table de mixage.  Quand on parle, le micro coupe les bruits extérieurs et rend le son vraiment propre. L'inconvénient, c'est qu'il faut parler assez proche du micro pour ne pas être coupé. En somme, cela reste un micro ayant un excellent rapport qualité/prix.</t>
  </si>
  <si>
    <t>parfait encore une fois au risque de me répéter... c'est les seules tétines que mes enfants ont accepté alors forcément j'aime! elles sont vraiment bien et je pense que cela est dû non seulement a la matière mais aussi à sa forme qui rappel celui des seins....</t>
  </si>
  <si>
    <t>Bon produit satisfaisant Il est livré complet dans un packaging impeccable.  Les plus: -Son équilibré, basse présente. -Les fils semblent solides -Design et couleur. -Isolation sonore.  Les moins: rien pour le moment à voir avec le temps.</t>
  </si>
  <si>
    <t>J'adore Commandé sous forme d'abonnement chez Amazon, je ne suis plus embêtée par ces gros formats dans mon caddy qui prennent de la place dans le coffre aussi et plus la peine de se trimballer avec ses rouleaux en pleine rue ! :)</t>
  </si>
  <si>
    <t>Plutôt jolie Bouilloire de qualité</t>
  </si>
  <si>
    <t>Genial Trop contente pascher et de bonne qualité</t>
  </si>
  <si>
    <t>lourd ça fait le taff</t>
  </si>
  <si>
    <t>Écran numérique et qualité audio optimaux &lt;div id="video-block-REU1MZIDA7TI9" class="a-section a-spacing-small a-spacing-top-mini video-block"&gt;&lt;/div&gt;&lt;input type="hidden" name="" value="https://images-eu.ssl-images-amazon.com/images/I/C1OPg-HaCVS.mp4" class="video-url"&gt;&lt;input type="hidden" name="" value="https://images-eu.ssl-images-amazon.com/images/I/A1wb9BQcQrS.png" class="video-slate-img-url"&gt;&amp;nbsp;Il utilise un affichage LED numérique, il est différent des autres. Batterie - 6000 mAh. La charge est rapide. Il y a des bouchons d'oreille, un câble USB, une boîte de charge et un petit sac. Avec le prix et la qualité je suis heureux  Connection très rapide avec un autre ordinateur portable et Bluetooth, mais soyez prudent si vous utilisez Bluetooth avec une ancienne version du logiciel sous Windows /  Android. Pour cette raison, vous devez effacer l'historique et veiller à ce que les autres écouteurs Bluetooth n'essayent pas de se connecter en même temps.</t>
  </si>
  <si>
    <t>Simple et efficace Vu le prix, on hésite en se disant "bon on verra bien". Une fois réceptionné, plus aucun regret.  Pour ma part pas de défaut sur la perle de culture, la maille du collier est vraiment jolie. Il est vrai qu'il n'y a pas de certificat, mais on voit rapidement qu'il s'agit bien d'un collier en argent. Le collier arrive tout de même dans une boite. Au final ma femme est conquise !</t>
  </si>
  <si>
    <t>Au top J'ai récupérer mes Timberland jaune (en nubuck) que je n'avais pas laver depuis 2ans elle sont ressortis comme neuve simplement bien suivre les indications du livret livrer avec la pochette de produits qui soit dit en passant est bien pratique pour que les produits ne se balade pas séparé dans les tiroirs. TOP</t>
  </si>
  <si>
    <t>Bouilloire à l’ancienne Très jolie ligne de bouilloire , mais le thermostat est trop aléatoire( juste esthétique). Le bec verseur est limite trop étroit, et il faut remplir doucement cette bouilloire de grande capacité, ce qui prend du temps.</t>
  </si>
  <si>
    <t>Tout ce buzz pour ca? Je cherchais des écouteurs moyenne-gamme pour un usage intensif dans les transports en commun (gardant mon haut de gamme pour certaines occasions). Au vu des avis plus que favorables, je me suis tourné vers cette marque en me disant que le rapport qualité-prix devait être imbattable. Et bien déception!!  Points négatifs: 1) Le fil est trop long, bien trop long. Alors que nous sommes à l'ère du sans-fil, quel est l'intérêt d'avoir un fil encore plus long que la moyenne? 2) Pas de basses, qui sont aux abonnés absent. Dans cette gamme de prix, j'ai eu bien mieux niveau basses. 3) La petite manette de contrôle a l'air très fragile et pas pratique.  Bref, je ne comprends pas ce buzz avec une note très élevée. Il y a bien mieux dans cette gamme de prix! A la limite il vaudrait mieux mettre 10 euros de plus et prendre le bas de gamme Sony MDR, la qualité est bien meilleure.  Bref très déçu par le son, métallique et sans basses.</t>
  </si>
  <si>
    <t>désilusion Nous avons du matériel Kitchenaid à la maison, et nous voulions cette bouilloire qui nous manquai. Elle est très joli est pratique. Mais malheureusement elle est tombée en panne moins d'un mois après réception. Le vendeur à fait le nécessaire pour la récupérer directement chez nous par un transporteur. Cependant nous attendons toujours notre nouvelle bouilloire. à suivre...</t>
  </si>
  <si>
    <t>son correct pour le prix mais câble trop trop fin j'avais acheté le modèle en dessous à environ 15€ qui possédait un câble très épais qui à la longue ne donnera pas de faux contacts au niveau de la connexion au mini jack. J'ai donc acheté le même modèle mais gamme au dessus, avec microphone, je précise car je me demande si cela n'a pas un lien avec l'épaisseur du câble. Le câble donc qui relie le jack est trop fin à mon goût et le dernier casque Yamaha que j'ai payé 100€ à l'époque a finit par faire un faux contact au bout de 364 jours alors que je n'ai jamais forcé ni plié le fil aux endroits sensibles. Derniers points faibles, pas de boutons volume disponible à côté du microphone. Certains internautes se plaignent de la perte en qualité chez Sony des middles mais prix correct.</t>
  </si>
  <si>
    <t>Bien Juste le mode d'emploi pas assez complet</t>
  </si>
  <si>
    <t>Parfait - Attention à la garantie AirPods 2 avec charge wireless comme convenu ! tient super bien la batterie, son fort et dynamique : de bonnes basse et retransmission de la voix super! Dis Siri marche vraiment bien, pas besoin de parler fort.  attention juste à bien activer la garantie apple : la date d'achat n'est pas connue par Apple, du coup si on envoie pas la facture Amazon à Apple, la date de début de la garantie sera la date à laquelle les AirPods ont été livrés à AMAZON !</t>
  </si>
  <si>
    <t>Pas mal Mis dans deux pièces très humides. Résultats dès le lendemain. Petits bémol, cela se clipse mal et l'eau (qui devient bleue) tache. Il faut nettoyer immédiatement après. Sinon je suis relativement satisfaite pour le petit prix</t>
  </si>
  <si>
    <t>Température réglable,valeur pour l'argent. Très belle bouilloire électrique, la livraison express est très rapide.👏👏  Je l'ai reçu le lendemain après avoir passé la commande, donc je suis si heureux.  La bouilloire chauffe l'eau très rapidement, la température à l'intérieur de la bouilloire est visible et peut être réglée, ce qui est très pratique.  J'aime vraiment cette bouilloire, satisfait!  Satisfait！Satisfait！</t>
  </si>
  <si>
    <t>Parfait Un peu cher mais super efficacité, je recommande.</t>
  </si>
  <si>
    <t>pratique conforme à la description</t>
  </si>
  <si>
    <t>trés belle encyclopédie je recherchais un livre sur les animaux pour mon fils passionné et bien celui ci fait parfaitement l'affaire les images sont superbes et les explications pas trop longues juste ce qu'il faut.</t>
  </si>
  <si>
    <t>Très bon rapport qualité/prix. Idéal pour usage familial. Installation très facile. Manuel en français. Très bon son pour un usage familial (testé karaoké en famille). Le signal porte au moins jusqu'à 10 mètres. Autonomie 3 à 4 heures. Très bon rapport qualité/prix.</t>
  </si>
  <si>
    <t>Son parfait Je me suis commandé ce produit surtout pour regardez la télé car un casque ce n est pas évident de se poser avec. Le produit en lui-même est super sympas et léger. La qualité du son est très bonne. Je ne l' ai pas tester en courant mais seulement dans la rue et les oreillettes tiennent bien. Je suis très contente de ce produit.</t>
  </si>
  <si>
    <t>Excellent rapport qualité prix Pour ce prix ces feutres sont juste géniaux mes filles sont tombées sous le charme regardez les photos : dessin sur des galets, sur des lamas en céramique. Les couleurs sont belles, la marque inconnue mais apparemment de qualité Une très bonne pioche.</t>
  </si>
  <si>
    <t>Pour un thé parfaitement infusé ! Depuis le temps que je la voulais et c’est sans regret ! Elle est très facile d’utilisation. Je peux enfin boire mon thé sans brûler les feuilles à 100°c (ce qui est dommage quand on achète du thé en vrac de bonne qualité) et je ne dois plus attendre trop longtemps pour le boire. De plus, l’eau chauffe très rapidement ! Le seul point que j’aime moins est que j’ai dû la brancher à un domino avec interrupteur car même éteinte j’avais l’impression qu’elle chauffait encore un peu. Personnelement, je n’ai pas ce goût chimique dont plusieurs personnes semblent se plaindre. Je ne peux plus m’en passer et ne reviendrai pour rien au monde à une bouilloire classique !</t>
  </si>
  <si>
    <t>bensimon tennis Parfaites comme d'habitude ,j'ai ces chaussures dans différentes couleurs,et en couleur blanche ,très mode en ce moment elles sont encore plus belles.Je chausse du 39  habituellement et elles me vont parfaitement bien. En general je les passent en machine a 40 degrés elle tiennent impeccablement bien la couleur .</t>
  </si>
  <si>
    <t>Super Super qualité super jolies</t>
  </si>
  <si>
    <t>270 Mon fils en est content je les recommande</t>
  </si>
  <si>
    <t>confort look qualité Des chaussures pour tous les jours, le bureau, la détente, le confort, le look indémodable, la qualité du cuir et de la semelle</t>
  </si>
  <si>
    <t>Parfait 👍 Super produit,je recommande</t>
  </si>
  <si>
    <t>Excelent produit, mais respectez les exigences que je cite Super produit, et très bon rapport qualité prix. Je me permet toutefois d'ajouter des choses suite aux commentaires que j'ai pu lire.  1- D'abord il faut prendre sa taille, voir une taille au dessus, pour moi "L" est ma taille et c'est parfait. Mais oui c'est prêt du corps, et c'est bien le but si on veut sentir la chaleur. 2- Je recommande de porter sur un t-shirt, pour 2 raisons : hygiène (la veste ne se lavant qu'à la main, et pour bien sentir la chaleur sans "brûler", car ça chauffe très bien. Mais bien sûr il faut porter des vêtements par dessus (veste moto, de ski ou autre). 3- Le choix de la batterie externe doit se faire vers un modèle delivrant au moins 1A suffit parfaitement, le mieu étant 2A.  Je pense que les problèmes de certains qui ne sentent pas le chaud ne respectent pas ces exigences.  Pour terminer, on sent bien la chaleur ventrale, un peu moins le bas du dos, et assez peu le haut du dos. Mais la chaleur est vraiment présente, c'est super. Un achat parfait</t>
  </si>
  <si>
    <t>Génial mais bruyant! Il est très élégant et je ne m'attendais pas à ce qu'il soit aussi grand, cependant il a pas mal bruyant, pas idéal pour les thés de minuit</t>
  </si>
  <si>
    <t>Mauvaise qualité Montre très pratique et jolie, mais bien trop fragile, la pièce qui maintient le bracelet à déjà cédé et le cadran ne peut plus maintenir la petite pièce.</t>
  </si>
  <si>
    <t>Prendre une taille au dessus (ou deux) Mon mari es fan de cette marque depuis toujours mais la c’est du grand n’importe quoi trop petit et le cordon de serrage de la capuche es juste mal fait Livré dans les temps</t>
  </si>
  <si>
    <t>Je veux ma taille S Très très grand</t>
  </si>
  <si>
    <t>Pas si incroyables pour du camping Je me suis laissé tenter par les commentaires positifs, et ai acheté une paire de Crocs en complément de mes chaussures de randonnée pour 2 semaines de rando+camping sur le chemin de Stevenson : + elles sont légères + elles tiennent bien aux pieds + faciles à nettoyer + on peut aller dans l'eau avec - malgré les trous, le pied n'est pas aéré, l'humidité et la transpiration restaient, même en marchant - mouillées, elles on des pertes d'adhérence (au pied et au sol) - le plastique du dessus frotte sur la peau plus fine, et m'a fait des plaies lorsque portées plus d'une heure (il aurait fallu porter des chaussettes...) - c'est encombrant à ranger dans un sac, à cause de la semelle qui est très large par rapport au pied - la chaussure n'est vraiment pas compressible pour rentrer dans un sac (elle se déforme facilement mais reste déformée ensuite)</t>
  </si>
  <si>
    <t>Boîte fissuré Reçu le pot dans les délais mais le pot fissuré de haut en bas sinon après une première application le produit a redonné un coup de jeune aux bottes en cuir a voir dans le temps</t>
  </si>
  <si>
    <t>Taille grand mais la couleur est jolie Joli veste survêtement. La couleur rose est belle mais taille grand. Je l’ai quand même gardé mais je retourne les manches !!!!</t>
  </si>
  <si>
    <t>arbre à biberon Produit conforme à la photo, originale. seul bémol l'emballage, en le recevant j'ai eu peur de découvrir le contenu mais au final tout était là et rien de cassé.</t>
  </si>
  <si>
    <t>Un achat satisfaisant et conforme à la description Ce grille-pain répond parfaitement à mes attentes : rapidité, qualité des toasts, simplicité d'utilisation, tout est parfait ! sauf... je n'ai pu utiliser l'appareil que hier ( cadeau de fêtes des pères !) et je constate qu'un accessoire est manquant : le réchauffe viennoiserie qui est normalement inclu . Trop tard pour introduire une réclamation. Je recommande donc de bien vérifier le contenu de la boite. Dommage, j'aurais pu être totalement satisfait</t>
  </si>
  <si>
    <t>top Fidèle à la marque depuis de nombreuses années, jamais déçue, la qualité est encore au rendez-vous. Faites que ça dure!!</t>
  </si>
  <si>
    <t>Très bien Très satisfaite  j'en commande deux autres dans d'autre couleurs</t>
  </si>
  <si>
    <t>Ravie Conforme à mes attentes. Change du traditionnel égouttoir à biberons. Très joli sur mon plan de travail. Je l'utilise pour les biberons mais aussi pour les bouteilles dans lesquelles je fais du soda et celles en plastique dur Tupp.</t>
  </si>
  <si>
    <t>Top Ultra top à mettre en machine. Retire les poils et peluches des vêtements. Accélère le séchage du linge. Aide au lavage.</t>
  </si>
  <si>
    <t>Casque AKG K240 MKII Un excellent casque semi-ouvert circum-aural, il est imposant mais sur il se porte de longues heures sans problème sur la tête. On ne sent pas le poids, il ne comprime pas les oreilles (qu'il ne touche pas) et le fil est assez long pour l'oublier un peu. Attention tout de même si vous n'êtes pas seul, en poussant un peu le volume, les personnes autour de vous entendrons bien la musique eux aussi! Pour la qualité sonore, je vous laisse regarder les sites spécialisés, pour ma part, je le trouve suffisant pour mes oreilles. Mise à jour: Achat début 2016 pour une utilisation sédentaire au travail, le simili-cuir des oreillettes commence à montrer une très faible usure pour un usage quotidien plusieurs heures par jour. En dehors de ça, aucun problème.</t>
  </si>
  <si>
    <t>Super Très satisfaite de ces boites dosettes!</t>
  </si>
  <si>
    <t>Le bien être Pour des douleurs à l'épaule et au genou et depuis son utilisation, je me sens beaucoup mieux. Je recommande ce produit. J'y rajoute l'huile essentielle de GAULTHERIE, et son effet est garanti</t>
  </si>
  <si>
    <t>Calculatrice demandée au collège Achetée pour le collège. Ras. Celle de mon fils a 2 ans et seule la coque de protection s'est fendue mais pas toute seule je pense...</t>
  </si>
  <si>
    <t>Trésor bon rapport qualité/prix ! Mon mari les a testé hier et aujourd’hui toute la journée . Il adore la qualité du son. Les deux écouteurs peuvent fonctionner ensemble ou bien chacun indépendamment . Il y a la fonction kit main libre et si on appuie 3 fois dessus «&amp;nbsp;siri&amp;nbsp;» se met en route sur iPhone . Quand il les porte contrairement à d’autres paires qu’il a pu s’acheter on n’est pas dérangé par de la musique qui s’échappe de l’écouteur donc il les porte même au boulot en atelier sans que ça ne dérange autour de lui . Tout est arrivé déjà chargé et prêt à utiliser . Les écouteurs rechargent dans  le socle et en 48h de test il n’a pas encore eu besoin de recharger le socle . Tout s’est très vite connecté il suffit de lire la notice et faire ce qui est dit c’est super simple . Merci à vous !</t>
  </si>
  <si>
    <t>Qualités prix Satisfaite</t>
  </si>
  <si>
    <t>Pratique et solide Agenda très paratique, couverture et papier sont de bonne qualité. L'aspect de cet article est très professionnel.</t>
  </si>
  <si>
    <t>superbes sneakers Je suis accro à ce modele ! c'est ma 5e paire ! Tres confortable Rapport qualité prix tres bon pour une chaussure de chez Nike</t>
  </si>
  <si>
    <t>Tout à fait parfait Super sympa, belle coupe , beau tombé...tissus agréable La photo correspond bien à la réalité, aucune déception à la réception.</t>
  </si>
  <si>
    <t>Sac Homme Sac de bonne fabrication, robuste et bien agencé. Son style passe-partout conviendra aussi bien a un étudiant qu'a un homme plus âgé. Les coutures sont solides et soigné, l’ensemble présente bien.</t>
  </si>
  <si>
    <t>Parfait C'est le exactement le sweat que je souhaitais, j'ai eu la chance que XL m’aille parfaitement, levi's c'est top et j'espère le garder longtemps</t>
  </si>
  <si>
    <t>confortable J'ai bien aimé les écouteurs car ils sont assez confortables et offrent une qualité sonore très acceptable.</t>
  </si>
  <si>
    <t>Contrefaçon? On peut se poser la question. Après avoir donné une appréciation très positive dans un premier temps sur ce vendeur, une réflexion et observation plus approfondies me font revoir mon jugement. La montre n'a pas été livrée dans une boite CASIO, pas de mode d'emploi ni de facture. Un simple sachet plastique sur lequel figure la référence de la montre (A168WA 1YES) qui ne correspond pas à celle étiquetée sur le produit (A168WEGC-3DF). De plus, il y a un défaut au niveau de l'écran: il n'est pas solidaire du boitier, il s'enfonce légèrement à gauche lorsqu'on appuie dessus. Toutes ces remarques font qu'on peut se poser des questions sur le sérieux du vendeur et sur l'authenticité de la marque CASIO. Pour moi, vendeur à oublier. Précision supplémentaire : j'ai acheté une deuxième montre avec AMAZON mais avec un autre vendeur qui, elle, a été livrée avec étui CASIO, mode d'emploi et facture. On peut se poser des questions, non?</t>
  </si>
  <si>
    <t>Problème de qualité ou défaut ? Le bracelet est plus souple que l'original . Il est aussi plus fragile.il aura fallu à peine trois mois pour qu'il se déchire au niveau de son accroche à la montre.</t>
  </si>
  <si>
    <t>Bien mais glissants Semble de bonne qualité, confortable mais les semelles glissent beaucoup trop sur du carrelage</t>
  </si>
  <si>
    <t>Pour le prix c'est imbattable. Pour le prix c'est imbattable.</t>
  </si>
  <si>
    <t>pantalon de sport très confortable facile d'entretien</t>
  </si>
  <si>
    <t>Mon atout sport Très confortable. C’est pour faire de la salle. Pas trop chaud et s’adapte très bien à tous les pieds</t>
  </si>
  <si>
    <t>Bonne cafetière Beau design, facile à utiliser et même à programmer. Sympa de pouvoir lire l'heure sur la cafetière. Mon seul bémol:  difficile de repérer le niveau d'eau de la jauge du réservoir net le marquage de la graduation de la verseuse ne commence qu'à à 8 tasses... J'ai encore du mal à bien doser pour des petites quantités de café. A part elà franchement c'est un super produit.</t>
  </si>
  <si>
    <t>Tiennent bien chaud Chaussons pour homme de qualité. Tiennent bien chaud , résistants , solides. Semelles résistantes et anti dérapantes. Sur les chaussons , il y a des fils pailletés , un peu dérangeants étant donné que ces chaussons sont pour hommes , c'est dommage.</t>
  </si>
  <si>
    <t>Bonne qualité Tissu bien épais et de bonne qualité, la personne qui l’a reçu est satisfaite</t>
  </si>
  <si>
    <t>Douceur Franchement bien. Ras</t>
  </si>
  <si>
    <t>Trop bien C'est la première fois que je ferais ce style des bijoux à ma chérie elle a été ravie le trouve très jolie je conseille cela change d'un bracelet d'une bague des boucles d'oreilles sois inventif</t>
  </si>
  <si>
    <t>Ravie Beau bijoux, bonne qualité je pense que je le laisserai autour du coup de ma fille même la poussée dentaire terminée j'ai même acheté le bracelet !!</t>
  </si>
  <si>
    <t>Baskets solides! J'ai acheté une paire il y a 10 ans, très confortable. Usée jusqu'au bout (après reconversion pour les travaux et la tonte), il a fallu qu'un chien me force à en racheter une paire!  J'ai acheté une autre version de cette basket, et au bout de moins d'un an, j'avais des trous au niveau de pliure... Idem pour des Adidas Gazelle qui se sont vite usées en moins d'un an...  Après retour aux sources, je n'ai aucuns soucis avec cette paire.  Légère déception: la semelle qui s'use plus vite que mon précédent modèle.  Je recommande, un modèle de solidité et de confort!</t>
  </si>
  <si>
    <t>Bon t-shirt Pas lourd, facilement retirable, c'est un bon produit. Assez fin, donc peut être pas adapté pour les hiver assez froids.</t>
  </si>
  <si>
    <t>je le recommande très joli bracelet</t>
  </si>
  <si>
    <t>bonne transaction bon produit</t>
  </si>
  <si>
    <t>Très bien C’est tres un très bien produit!</t>
  </si>
  <si>
    <t>Adidas stan Produit conforme livraison rapide</t>
  </si>
  <si>
    <t>Sweat à capuche Très bonne qualité, taille parfaite, convient à mes attentes, je recommande ce produit, bon rapport qualité prix, livraison comme prévue</t>
  </si>
  <si>
    <t>Rapport qualite prix bien au rendez-vous... Pour l'impression photo je ne trouve aucune différence sur la qualité du rendu. parfaitement adaptable à mon imprimante ces cartouches font aussi bien que les originaux...même mieux, au vu du prix qui reste incroyable.</t>
  </si>
  <si>
    <t>Trop trop bien dedans Super cool et Comme prevu pour la livraison</t>
  </si>
  <si>
    <t>Le produit est mieux que ce que la photo laisse imaginer. la finition est mieux que sur la photo. (cette dernière pourrait-être mieux détourée, mais ne vous y fiez pas: les produits sont vraiment TOP ! agréables au toucher, et bien lisses sur la face exterieure !</t>
  </si>
  <si>
    <t>Contente de mon achat Taille très bien, et est très jolie</t>
  </si>
  <si>
    <t>MAM - LA BASE Mon fils utilise ses biberons depuis la naissance. Ils sont parfait. Facile d'entretien, très robuste. Je ne changerai pour rien au monde. D'ailleurs c'est simple, mon fils refuse tous les autres biberons. De plus, l'action anti colique est génial.</t>
  </si>
  <si>
    <t>Erreur couleur Le produit en lui même est bien, par contre il est annoncé noir en coloris alors que c'est Du bleu marine</t>
  </si>
  <si>
    <t>Je déconseille ce produit ! N'a d'huile essentielle que le nom, presque sans odeur, sans efficacité !</t>
  </si>
  <si>
    <t>Boucles d oreille Ne correspond pas à  l image la monture n'est pas en argent mais en métal noir très déçue doute sur le fait que ces boucles d oreille soient en argent</t>
  </si>
  <si>
    <t>très bien Acheté 7 euros, dure environ un an (même en faisant beaucoup de peinture!). Les couleurs sont vives, se mélangent bien et peuvent même s'utiliser diluées pour des "aquarelles". Facilement lavable sur toutes surfaces (plancher, table, plastique, etc) mais pas forcément sur les tissus...</t>
  </si>
  <si>
    <t>Bouilloire efficace mais.. Assez bruyante et longue à chauffer. Le design est agréable et la prise en main aussi. Bon rapport qualité-prix en général.</t>
  </si>
  <si>
    <t>parfait bracelet reçu aujourd'hui au vu des commentaires j'ai eu très peur quand a la qualité du bracelet c'est le bracelet pandora n'est pas livré dans une jolie boite mais dans un sachet plastique je l'es ouvert et j'ai tout de suite si l'inscription ALE y était inscrite et bien oui je ne suis pas allé le faire verifier par un bijoutier mais je pense que c'est un vrai apres je ne suis pas experte  en tout cas pas du tout deçue de mon bracelet il est vraiment tres beau</t>
  </si>
  <si>
    <t>Excellent pour apprendre à écrire Acheté pour mon fils qui apprend à écrire. le stylo glisse bien, même si le tenir n'est pas si agréable par rapport à d'autre stylo plus adapté aux enfants J'en ai acheté un autre pour moi</t>
  </si>
  <si>
    <t>Rien Très jolie. Mon mari les adore.</t>
  </si>
  <si>
    <t>Bien mais un peu cassant. La section est suffisante pour mon usage. Par contre quand on dénude la gaine il faut y aller minutieusement, les fils internes sont fins et cassent vite.</t>
  </si>
  <si>
    <t>produit de qualité je suis très satisfais de mon achat idéal pour un cadeau je le recommande a tous</t>
  </si>
  <si>
    <t>Bien ajustés et soldes ! Nickel pour remplacer les anciens passants cassés des Garmin 735XT, et tout jours en bon état après plusieurs semaines d’utilisation ! Comme c’est un lot, on pourra les changer à nouveau si besoin.</t>
  </si>
  <si>
    <t>enchantée superbe bracelet</t>
  </si>
  <si>
    <t>Bonjour Bonjour</t>
  </si>
  <si>
    <t>Pratique dès 2 mois! Excédée par des biberons qui duraient une heure avec les tétines 1 mois, j'ai opté dès le 2ème mois de ma fille pour ces tétines vitesse 2. Débit parfait et elle boit enfin des quantités suffisantes sans trop se fatiguer! je recommande et vais surement en commander de nouvelles!</t>
  </si>
  <si>
    <t>Top Le style, la qualité, le confort = le top</t>
  </si>
  <si>
    <t>Très Beaux Conformes aux photos. Top pour le prix</t>
  </si>
  <si>
    <t>Nickel Bon produit</t>
  </si>
  <si>
    <t>love je les aime, elles sont vraiment au top tellement stylé et indémodable, ça va avec tout jean, short, jupe avec n'importe quoi, la livraison a été rapide, le prix est très intéressant, juste je chausse du 38 et vu les commentaires j'ai pris du 37 et c'est juste parfait, prenez une taille en dessous sinon magnifique</t>
  </si>
  <si>
    <t>Pratique Je sais, ce n'est pas très écolo. Mais lorsqu'il s'agit d'enlever la poussière, que ce soit sur vos sols à l'aide d'un balai adapté ou sur des meubles à la main, c'est bien pratique. Pas de contrainte de lavage de la lingette, pour un balai, et du bon chiffon bien doux et qui accroche, pour l'usage manuel. Il suffit ensuite de jeter la lingette et d'en prendre une autre la fois suivante (bien sûr, vous allez aussi dire que cela coûte cher. Mais chacun est libre de faire comme il veut). Ici, 120 lingettes ; ce qui permet a priori pas mal de perspectives de grand nettoyage.</t>
  </si>
  <si>
    <t>Un livre de Noël enchanteur J'aime beaucoup ce livre de Noël: l'histoire d'un petit sapin qui rêve déjà de porter une magnifique robe de Noël... Alors que tous les grands et beaux sapins désertent les alentours, le petit sapin reste seul avec pour unique ami un très vieil arbre qui n'aspire plus à aucune parure depuis bien longtemps. Une histoire pleine de poésie et de douceur, avec des illustrations sobres et élégantes, tout particulièrement adaptées à ce joli conte de Noël.</t>
  </si>
  <si>
    <t>ras Très bonne qualités</t>
  </si>
  <si>
    <t>Très bonne basses Du son, des basses, atténuateur de bruit naturel</t>
  </si>
  <si>
    <t>Au top Au top, super confortable. Taille impeccable.</t>
  </si>
  <si>
    <t>Parfait Cette tenue de compression est parfaite pour les amateurs de compression, musculation, elle saura vous maintenir vos muscles durant vos grosses séances de pousse de fonte. Je recommande pour la qualité et la taille ... jamais déçus !</t>
  </si>
  <si>
    <t>Illisible et fonctions Bluetooth Inexploitables Cette montre n'a d'intérêt que pour son look, très sérieux et de qualité. Pour le reste elle ne sert à rien et n'est d’ailleurs plus vendue par Fossil, qui fait un prix bas pour liquider ses stocks.  La connexion bluetooth se fait bien mais les informations qu'elle fournit à la demande, par pression sur les 3 boutons de la montre, sont livrées par des positions d'aiguilles bizarres et incompréhensibles. De plus ce sont des infos sans intérêt (lancer la musique sur le mobile, savoir si son objectif de nombre de pas est atteint...). Je n'ai même pas compris comment savoir si j'ai reçu un texto.  La vibration sur son poignet censée alerter sur l’arrivée d'un texto est imperceptible. elle ne sert donc à rien.   La couronne  "tachymètre" contient des chiffres absolument illisibles tellement ils microscopiques, de même que le cadran "nombre de pas".  Finalement je n’utilise cette montre que classiquement : pour connaitre l'heure !</t>
  </si>
  <si>
    <t>Boucle trop fragile Dès réception très contente du modèle et de la couleur mais en détachant les deux parties la boucle en métal c'est détaché donc article retourné car boucle trop fragile et peur de perdre ma montre avec...</t>
  </si>
  <si>
    <t>Déçu T-shirt de mauvaise qualité le noir du t-shirt a viré en un seul lavage et lavé tout seul. Pas du tout satisfaite très déçu</t>
  </si>
  <si>
    <t>déçu Un des crochets pour attacher les lacets c'est cassé. chez le cordonnier il ne veut pas le réparer. au prix de la paire de chaussures c'est dommage. Que pourriez-vous faire Merci de me répondre rapidement Cordialement Mme Thérèse Lemaire</t>
  </si>
  <si>
    <t>Bof Bof ! Bien uniquement si on y accroche un poids très très léger. Sinon se décolle du mur. Pas top du tout.</t>
  </si>
  <si>
    <t>Délai respecté Un peu juste</t>
  </si>
  <si>
    <t>Super achat La qualité et le confort des Stan Smith est inégalable. Elles taillent super bien, il n’y a vraiment rien à redire !</t>
  </si>
  <si>
    <t>Bonne qualité Rien à dire</t>
  </si>
  <si>
    <t>Bonne qualité Produit de de bonne qualité très à l'aise dedans un peu compensé couleur conforme à la photo</t>
  </si>
  <si>
    <t>grande qualité Je retrouve là une qualité professionnelle avec un film qui attache à tous les supports (y compris le plastique). Le système de dévidoir avec la réglette qui coupe est très bien pensé. Très satisfait de ce produit avec un prix attractif quand on le compare au traditionnel rouleau de 30 mètres</t>
  </si>
  <si>
    <t>Très pratique Lampe de bureau de bonne qualité, possibilité d'avoir une lumière blanche ou jaune. C’est léger et pas trop grand, très pratique!</t>
  </si>
  <si>
    <t>Chaussure de securite Légère à porter très belle je les recommande</t>
  </si>
  <si>
    <t>Satisfait Boots de très bonne qualité, cuir lisse et à la bonne taille (43 pour du 43,5) en sachant que Caterpillard taille toujours un peu grand. Je rajouterai quand même une semelle supplémentaire comme à l'habitude. Excellent rapport qualité prix, à voir sur la durée !</t>
  </si>
  <si>
    <t>Elle a kiffé Confortable et tient chaud</t>
  </si>
  <si>
    <t>Très bon produit Très bon produit</t>
  </si>
  <si>
    <t>À recommander J’avais commandé deux de ces pulls (un blanc et un vert irish) en taille S. Je mesure 1m60, ils restent donc un peu oversize, sans être énormes non plus! La matière est toute douce et très agréable :) Le premier pull est arrivé avant la date prévue, et le second ne devrait pas tarder.</t>
  </si>
  <si>
    <t>Livraison hyper rapide - Vendeur TOP - On ne le présente plus c'est un must have Le baume du tigre est excellent pour qui pratique une activité sportive régulière et veut en réduire les effets C'est le produit à avoir pour se préparer avant et après son activité. Je le recommande vivement Merci</t>
  </si>
  <si>
    <t>Satisfait Le basket Sont super confortable. Je recomsnde à tous les personnes pour l’acheter sont supe</t>
  </si>
  <si>
    <t>Bon rapport qualité prix Modèle court et petit</t>
  </si>
  <si>
    <t>Casque bluetooth pour mes voyages Recu rapidement avec la livraison prime. Je recherchais un casque pour mes voyages, celui ci isole bien du bruit c’est ce que je recherchais en plus du design qui est conforme à la photo. Ce qui est egalement appreciable c’est que la lecture bluetooth sans fil puisse durer toute une journée. Casque qui fait le job. Satisfait du produit</t>
  </si>
  <si>
    <t>Haute qualité Casque sans fil bluetooth de tres bonne qualité et polyvalent pour la musique ou le téléphone, la radio. Il est compact et le son est tres clair.Achat à recommander.</t>
  </si>
  <si>
    <t>QUE LA COMMANDE CORRESPONDE PARFAITEMENT A MES BESOINS POUR DU CLASSEMENT INTENSIF. IL EST PARFAIT!</t>
  </si>
  <si>
    <t>bracelet cuir produit bien conditionné et reçu rapidement. de bonne qualité</t>
  </si>
  <si>
    <t>Taille et bon rapport qualité prix Parfait cadeau que mon père a adoré, niveau de la taille parfait également, très satisfait !</t>
  </si>
  <si>
    <t>Un peu cher J'ai acheté un autre pantalon de ce genre et la qualité est bien meilleure, plus confortable, meilleur maintien au niveau de la ceinture. Pour un prix équivalent. Donc lorsqu'on peut comparer....</t>
  </si>
  <si>
    <t>Accessoire esthétique sans plus Les points d’acupuncture sont hasardeusement placés, pas assez épais pour être ressentis et surtout les chaussettes ne sont pas du tout anti dérapantes: plutôt embêtant pour des accessoires yoga</t>
  </si>
  <si>
    <t>Inutile Ne maintien pas du tout, et contrairement à ce que montre l'image, il n'y a pas de cache téton.</t>
  </si>
  <si>
    <t>Correct Je viens de les recevoir donc à voir dans le temps par contre il n'y a pas de chaussette de fourni donc attention à bien prendre à coter</t>
  </si>
  <si>
    <t>Basket passe partout. Chaussure conforme à la description, malgré tous ça fait 15 jours que je l'est porte, elles sont un peu raide ça change de mes nike en tissu, mes bon elle maintienne bien le pieds et sont passé partout.</t>
  </si>
  <si>
    <t>Micro amusant le micro est sympa même s'il manque de puissance. Il a été facile à coupler en Bluetooth et la fonction "écho" fait son effet</t>
  </si>
  <si>
    <t>Très bieb Très jolie conforme à la photo et arriver dans les temps</t>
  </si>
  <si>
    <t>très bon lot Lot acheté récemment, commande très vite réceptionnée, peu fan du modèle de la brosse à biberons, néanmoins les biberons sont excellents</t>
  </si>
  <si>
    <t>JBL toujours bon rapport qualité/prix, mention spéciale à la rapidité de livraison ! Casque toujours au top chez jbl pour du milieu de gamme, livraison ultra rapide même sans amazon prime 😉 foncez !</t>
  </si>
  <si>
    <t>preparation du bib en moins de 3 min! cet appareil m'a sauvé! surtout la nuit, rapide et l'eau a a la tres bonne temperature! je n'ai jamais eu aucun soucis avec. petit bemol mais qui ne m'a pas vraiment derangé c'est le bruit! mais on ne peut pas tout demander non plus!</t>
  </si>
  <si>
    <t>très bien très bien</t>
  </si>
  <si>
    <t>Parfait Déjà commande cet article Pas de soucis Bon produit</t>
  </si>
  <si>
    <t>Je suis très content merci Tout comme il faut, merci</t>
  </si>
  <si>
    <t>Parfaites Elles sont parfaites pour moi. La taille correspond à ce que j'ai commandé et il n'y a aucun défaut. Rien à redire sur la qualité du produit.</t>
  </si>
  <si>
    <t>Satisfait Utilisation quotidienne. Répond à mes attentes</t>
  </si>
  <si>
    <t>Sac holster Kattee Superbe sacoche avec de nombreuses poches.  Produit de très grande qualité. Cuir magnifique,  fermetures solides.  Par contre ce n'est pas fait pour des personnes plus petites que 1m65 car assez volumineux.  Très satisfait.</t>
  </si>
  <si>
    <t>Très bon produit pour lave vaisselle ! Ne laisse aucune trace sur la vaisselle et ne l'agresse pas non plus.</t>
  </si>
  <si>
    <t>sac sacoche surprenant de beauté et praticité, finitions parfaites, cuir qui va bien se patiner, l'ensemble est relativement léger par rapport à d'autre au prix approchant.</t>
  </si>
  <si>
    <t>Collier en Argent J.Rosée Collier coeur en Argent J.Rosée reçue rapidement. Emballage parfait dans une petite boîte. Un petit sac pour le ranger était fournis dedans. Le collier est magnifique. La chaîne est fine et solide. Je suis ravie de mon achat.</t>
  </si>
  <si>
    <t>Bon produit. Très bon produit le seul bémol la notice en anglais.</t>
  </si>
  <si>
    <t>Très belle Bensimon. Les classiques ! Toujours aussi efficace !</t>
  </si>
  <si>
    <t>Bien Biberon très apprécié par bébé, qui essayait de tenir lui-même son biberon en verre de la même marque. Avec celui-ci, pas de risque de casse s'il tombe par terre, et les poignées permettent une bonne saisie. Mon bébé de 7 mois 1/2 a compris comment s'en servir, mais ne sait pas encore le soulever suffisamment haut pour boire lorsqu'il est peu rempli. Je recommande</t>
  </si>
  <si>
    <t>Deçue J'aimais beaucoup le concept de ce chauffe biberon qui réchauffe rapidement et correctement. Je rencontre tout de même deux problèmes : ce produit est lourd et encombrant, et le mien fuit à tous les coups ...pourtant je fais très attention : je le ferme bien, le laisse debout... mais mon sac à langer ainsi que les affaires de mon bébé se retrouvent toujours trempées.  J'ai cessé de l utiliser.</t>
  </si>
  <si>
    <t>Aucune transparence quant aux niveaux d'encres à réception, durée de vie des cartouches relativement courte… Je pense que HP devrait être plus transparent avec ses clients. En effet, il n'est pas possible de vérifier le niveau d'encre à réception de ces cartouches et comme celles-ci ne durent vraiment pas longtemps on a vraiment l'impression de se faire refiler des cartouches reconditionnées... J'ai acheté une imprimante rechargeable au moins là, je verrais exactement les quantités d'encre insérées dans la machine et la durée de vie des flacons !</t>
  </si>
  <si>
    <t>Bof Les cartouches sont moins chers qu'en magasin mais vu la durée de vie, je comprends... En effet, les cartouches sont vides très rapidement, donc elles ne sont pas pleines, c'est pas possible, car j'imprime pas des livres, donc je suis plutôt déçue</t>
  </si>
  <si>
    <t>produit inefficace médiocre</t>
  </si>
  <si>
    <t>Lessive Pratique pour faire sa lessive</t>
  </si>
  <si>
    <t>Bottes neige Je suis content en général.  Bon produit</t>
  </si>
  <si>
    <t>Un lot sympa de bon matériel La valise est sympa, colorée et avec un logo Bic pas trop voyant : on peut la réutiliser sans problème. Des vrais pastels gras qui marquent, de la colle à paillette et des feutres magiques + coloriages. L'ensemble est d'un excellent rapport qualité/prix.</t>
  </si>
  <si>
    <t>Sanytol Très n rapport qualité-prix quand on l’achète moins de 8€.</t>
  </si>
  <si>
    <t>Très confortables J'ai les articulations des pieds très sensibles, ces chaussures sont aussi confortables que des pantoufles. Elles amortissent bien toutes les irrégularités du sol. Super pour la marche.</t>
  </si>
  <si>
    <t>Super Achat conseillé par la maîtresse.</t>
  </si>
  <si>
    <t>Très jolies Jolies boucles commandées deux fois pour moi et maman ; étant allergique, j'ai attendu un peu ; voyant qu'elles ne me faisaient pas de mal, j'ai recommandé ; ni trop grandes, ni trop petites, la pierre brille bien ; je ne les porte cependant que quelques jours dans la semaine de peur de les abîmer . Je recommande ; prix raisonnable .</t>
  </si>
  <si>
    <t>Belle sacoche Sacoche compacte en cuir qui a de nombreuses poches et très jolie... Je recommande</t>
  </si>
  <si>
    <t>Génial Pour moi c’est le meilleur casque qui existe pour la Xbox One pas de fil rien à paramétrer franchement c’est le top et un son du démon quoi</t>
  </si>
  <si>
    <t>Tissu très ageable Détente mais aussi sport</t>
  </si>
  <si>
    <t>Bel effet Sympa bonne qualité par rapport au prix</t>
  </si>
  <si>
    <t>Produit nickel Excellent je recommande</t>
  </si>
  <si>
    <t>Robuste il tient longtemps Juste parfait comme goupillon pour les biberons ou la vaisselle.</t>
  </si>
  <si>
    <t>Nikel Super</t>
  </si>
  <si>
    <t>confortable Apres 6 mois d'utilisation quotidienne, elles n'ont pas encore de signe de faiblesse, legere, confortable, avec un style pour des chaussures de securité</t>
  </si>
  <si>
    <t>bon bon</t>
  </si>
  <si>
    <t>Très bel achat Délai de livraison très long mais quel beau t-shirt. Couleur bleue identique à la photo, belle coupe et bonne taille. Bravo.</t>
  </si>
  <si>
    <t>Bonne qualité et tel que decrit Pour l'avent</t>
  </si>
  <si>
    <t>Casque parfait Home studio</t>
  </si>
  <si>
    <t>Plutôt pour femme Les bracelets sont jolis mais je les imaginais un peu plus masculin, je les ai offerts à des amies finalement</t>
  </si>
  <si>
    <t>Ne fonctionne plus en 1 semaine de temps !!!!!!!! Voila cela fait 1 semaine que je l'utilise et la il ne fonctionne plus du tout . Moi qui me disais je vais prendre un bon prix pour être tranquille voila le résultat et je peut plus le renvoyer car j'avais prévu de l’acheter avant mon accouchement et de plus qu'on a que 30 jours pour le renvoyer .</t>
  </si>
  <si>
    <t>NUL Le produit est assez cher, on pourrait donc demander un produit d'une très bonne qualité. Cependant ce n'est pas le cas. Le produit laisse des traces (même en suivant le manuel d'utilisation). Mes Timberland sont ruinées. Je déconseille fortement !</t>
  </si>
  <si>
    <t>Bon rapport qualité prix Bon sweat,confortable assez chaud, il taille bien.  Je trouve dommage que la ficelle soit si grosse mais c'est un détail.</t>
  </si>
  <si>
    <t>Très bonne montre Très jolie montre bien fonctionnelle rien à dire je la recommande vraiment sauf que j'ai pas aimé le prix barré se n'est pas le bonet car nouveau prix avec la réduction ce le vrai prix de la montre par tous sans réduction je l'ai trouvé dans deux magasin à ce prix  après mon achat</t>
  </si>
  <si>
    <t>Bien Ni trop fine ni trop épaisse , parfait</t>
  </si>
  <si>
    <t>Très bon rapport qualité-prix ! Je ne m'attendais pas à quelque chose d'extraordinaire avec ces écouteurs sans fil, même si Xiaomi est une très bonne marque en électronique de loisirs.  Je dois dire que j'ai été surpris par la qualité et la précision du son.  Evidemment, les basses ne sont pas très présentes, comme d'habitude sur ce type d'écouteurs intra-auriculaires. Mais ici, la qualité et la présence du son fait vite oublier les basses un peu faible, qu'on peut d'ailleurs renforcer grâce à de nombreuses applications IOS ou Androïd qui permettent de modifier le profil de la courbe de réponse.  Les écouteurs tiennent bien dans les oreilles (que j'ai pourtant assez grandes) même avec les oreillettes de taille médianes.  Le temps de charge m'a semblé relativement rapide, pour une autonomie que je trouve suffisante, d'autant plus qu'ils se rechargent dès qu'on les range dans leur coffret : bien vu !  Enfin, l'appairage sur mon iPhone 6+ s'est fait du premier coup, sans aucune difficulté, en stéréo.  Bref, pour le prix proposé, je suis très satisfait et je pense que j'ai fait un très bon choix !</t>
  </si>
  <si>
    <t>Comme pour beaucoup, la crise à frappée Pas aussi bien taillés que ceux que j'avais acheté en boutique il y a 10 ans de ça mais je pense que ça vien simplement de l'évolution des choses en général. Les couleurs au top et la matière et qualité Lacoste est la malgré tout</t>
  </si>
  <si>
    <t>saguaro taille 38 me vont parfaitement,très confortable, j'envisage d'acheter une autre paire pour ma fille, attention si vous n'aimez pas sentir les reliefs du sol passer votre chemin, car vous quasiment l'impression d’être pied nu.</t>
  </si>
  <si>
    <t>Rapide, efficace....top Livraison rapide, produit conforme, Bin conditionné Je recommande</t>
  </si>
  <si>
    <t>Pantalon chaud Pantalon chaud.agreable à porter. 2 poches plaquées  ceinture avec un lien qui permet de l adapter au tour de taille.</t>
  </si>
  <si>
    <t>Top fait son job Très bien fait son job</t>
  </si>
  <si>
    <t>Confortable Utilise pour marcher...</t>
  </si>
  <si>
    <t>Ecouteur HAVIT Bonjour, J'ai acheter ce produit de haute qualité pour 20 euro. Je trouve que j'ai rentabilisé mon achat. Pour moi, il est très résistant, il n'a jamais eu de problèmes. La microphone et qualité du son sont de haute qualité : vous entendez bien même dehors. Vous avez une petite sacoche pour ranger les écouteurs, c'est bien lors de voyage. Il est facilement réglable et ajustable à toute les morphologies. :D</t>
  </si>
  <si>
    <t>Tres bien Look sympa,bien fini,pratique,joli cuir j en ai offert une a mon pere pour noel il etait ravi du coup je m en suis recommandė une autre pour moi, le plus  c est la taille,les poches sont grandes donc pas besoin de tortiller le portefeuille pour le faire rentrer,les fermetures eclair ont l air solide et glissent tres bien,ce qui est appreciable quand vous avez une main prise pas besoin de poser le paquet pour tenir la sacoche d une main et ouvrir avec l autre,tout peut se faire d une main,de plus il y a une poche grande contenance et une poche tres mal placée....pour les pick-pockets</t>
  </si>
  <si>
    <t>Trop cool Super</t>
  </si>
  <si>
    <t>La qualité Très bon produit super prix</t>
  </si>
  <si>
    <t>Stabilité Cette table de massage est très pratique à l’ouverture est très très stable, les matériaux sont beaux et agréable à toucher j’en suis très satisfait</t>
  </si>
  <si>
    <t>correspond bien à la description J'ai acheté ce bijou pour faire un cadeau. Il est très joli, très fin et correspond bien à la description</t>
  </si>
  <si>
    <t>Top ! Avec une alimentation phantom 48v c'est top  !  Très bon son et très bonne finition  !  Le filtre antipop est pas mal mais laisse passer quelques souffles</t>
  </si>
  <si>
    <t>Belles Belles bottines / boots. Confortables et stylées.</t>
  </si>
  <si>
    <t>. Gaming</t>
  </si>
  <si>
    <t>Très satisfaite 👍😊 Je suis très contente et satisfaite des cartouches d’encre que j’a Acheter pour mon imprimante 🖨 je recommande à tout ceux qui hésite aller y foncer !!</t>
  </si>
  <si>
    <t>Très bon rapport qualité prix Ma fille a acheté ce collier pour le partager avec une amie elle est très satisfaite!</t>
  </si>
  <si>
    <t>Un peu déçue J'aime les biberons mam ma fille de 16 mois n'a utilisé que ces biberons depuis sa naissance. Je suis simplement déçu des biberons j'avais commandé ces biberons parce que je les trouvons mignons pour compléter ma collection à l'ouverture de mon colis ce n'était pas les biberons commandés Déception totale ...</t>
  </si>
  <si>
    <t>Taille très petit Trop petit pour un taille m... On dirait du XS....</t>
  </si>
  <si>
    <t>Trop petit déçue Produit reçu pour un XXL correspond à un M, Je suis très déçue, je renvoie le produit et je ne recommande pas.</t>
  </si>
  <si>
    <t>le produit et de bonne qualité jai indiqué adapté comme prevu car dans mon cas et dans les avis des gens connaissant carhartt cest souvent large donc jai choisis MEDIUM mais allez savoir pourquoi jai reçu du S.... bref l'article et irreprochable hormis cela.</t>
  </si>
  <si>
    <t>Bon casque Bon casque mais rien d'extraordinaire, de plus il faut repayer une application de 20€ par la suite afin d'avoir le son Dolby atmos, un son de meilleur qualité (vite fait hein, pareil rien d'extraordinaire).</t>
  </si>
  <si>
    <t>Bon rapport qualité-prix Bon rapport qualité-prix. S'adapte parfaitement à l'écran, se pose facilement et rapidement, aucune bulle, tient bien et colle bien sur tous les côtés. L'efficacité du verre en cas de choc reste à prouver, mais c'est une sécurité d'en mettre un sur son téléphone. Je recommande cet article.</t>
  </si>
  <si>
    <t>Bracelet duo Stylé, se portent très bien en duo</t>
  </si>
  <si>
    <t>La rapidité de livraison  et l'emballage au top La beauté des pierres</t>
  </si>
  <si>
    <t>Livraison très rapide merci Vendeur sérieux écouteur bon tombe pas son acceptable livraison très rapide je recommande</t>
  </si>
  <si>
    <t>Impeccable Tout est parfait. Il n'y a rien à dire. Très souple, agréable au toucher. Les compartiments sont bien disposés et le look est agréable.</t>
  </si>
  <si>
    <t>Yeah elle a aimé</t>
  </si>
  <si>
    <t>Isolants  et  confortables Je les  trouve  vraiment super.La mousse est vraiment innovant et agréable à l'oreille. Il remplace mes  écouteurs d'origine one  plus  et la qualité du son est vraiment très bonne. Les  fils ne s'en mêlent pas et sont très discret.</t>
  </si>
  <si>
    <t>Biberons Conforme à mes attentes</t>
  </si>
  <si>
    <t>rien à redire à peine reçus déjà testés, je suis très satisfaite de mon achat !  jolies couleurs ,panel intéressant.Une suggestion: faire le même panel mais en pointes moyenne comme pour les stabilo 88.</t>
  </si>
  <si>
    <t>Confortable Conforme à la photo</t>
  </si>
  <si>
    <t>parfait Les écouteurs sont très bons et beaucoup plus satisfaisants que prévu. Je l'ai acheté pour aller au travail et j'ai écouté la chanson doucement. La dissimulation est très bonne ~ La forme compacte peut être portée avec moi. Je la porte quand j'arrive. Il est très sûr et difficile à trouver. C'est très pratique, l'emballage est également très bon, plus délicat, Le produit est vraiment bon, en particulier le son du casque Bluetooth est assez clair, il n'y aura pas de bruit</t>
  </si>
  <si>
    <t>Brassieres calvin excellente Comme d d'habitude très très bon produit..taille parfaite..et la qualité aussi rien a ajouter de plus C est une belle brassiere</t>
  </si>
  <si>
    <t>biberons au top!!!! je recommande ces biberons, utilisée à l'époque pour mon fils, j'en ai racheté pour mon futur bébé à venir dans quelques mois.</t>
  </si>
  <si>
    <t>du Lacoste tres bien fini du beau travail bien fait elle rend tres bien et surtout très pratique</t>
  </si>
  <si>
    <t>Rapport qualité prix Excellent ! Soulage vraiment les tensions. Peut être utilisé sur toutes les parties du corps qui en ont besoin.</t>
  </si>
  <si>
    <t>Produit conforme Très bon produit</t>
  </si>
  <si>
    <t>Très bien Je les ai acheté pour ma fille , parfait au niveau taille , paire de baskets très confortable , matière respirante , au niveau talon en dessous plus précisément coin  air ce qui rend grand confort aux pieds , ma fille aime ses baskets et moi je contente de mon achat .</t>
  </si>
  <si>
    <t>Belle imitation Bracelet un peu long mais sinon belle montre, expédition très rapide, présentation de la montre très soignée ... Satisfaite donc ... A voir dans le temps bien sur !!!</t>
  </si>
  <si>
    <t>Recommande moyennement Heureusement que j avais prévu de prendre 1 à 2 taille en dessous sinon pas très grande qualité bon vu le prix on s'attend pas à.... Sinon bien chaude</t>
  </si>
  <si>
    <t>C'est cassé en moins de 24h00 ! Le bracelet c'est cassé sans raison en moins de 24h00. Pourtant l'élastique avait l'air solide.</t>
  </si>
  <si>
    <t>Pratique mais déchire facilement Très pratique mais il y en a déjà un qui s'est déchiré au niveau de l'ouverture ZIP</t>
  </si>
  <si>
    <t>Bon article mais cheveux emmêlés Produit conforme à la description. Pas déçu de ce coté là. J'aime les massages à la tête. Mais ne remplace pas le massage manuel. C'est plus agressif que le bout des doigts même si les bouts sont en caoutchoucs. Il y a que 2 vitesses et la moins rapide est trop rapide je trouve. J'ai les cheveux ondulés et parfois ça me les emmêlés. Mais ils ne restent pas coincé dedans. Je le garde quand même car j'ai personne pour me masser la tête!!! 😒C'est mieux que rien!!</t>
  </si>
  <si>
    <t>Le massicot n’est pas de bonne qualité La plastifieuse est ultra simple d’utiLisation. Le massicot en revanche n’est vraiment pas terrible, je ne m’en servirais pas car j’en ai un autre beaucoup plus performant et heureusement.</t>
  </si>
  <si>
    <t>Correspond tout à fait à mes besoins Petit travaux de couture et travaux manuels</t>
  </si>
  <si>
    <t>tres utile ! j ai commandé cette couverture pour mon époux qui n arrivait pas a se rechauffer quand il rentrai en scooter en plein hiver....on s en sert aussi sur le canapé devant le film, sa chaleur est reglable, cela rechauffe en douceur...ce produit correspond a mes attentes parfaitement</t>
  </si>
  <si>
    <t>bonne table de massage Bonne table pour le prix .  Ne "couine" pas .J'attends de voir à l'usage (notamment avec des personnes de fortes corpulence)</t>
  </si>
  <si>
    <t>Bon produit Très bon produit, à la hauteur des attentes il faut prendre une pointure de moins que votre pointure basket</t>
  </si>
  <si>
    <t>Nickel Au top</t>
  </si>
  <si>
    <t>Sur un nuage Je me sens comme dans un nuage</t>
  </si>
  <si>
    <t>Câble RCA XLR Câble RCA-XLR de bonne qualité, pas de faux contact pour l'instant... Fiches RCA moulées donc non démontables. Bonne longueur et couleurs de repérage L/R sur les fiches</t>
  </si>
  <si>
    <t>Micro Non, vraiment bas de gamme que je ne recommanderai pas car les résultats sont loin de ressembler à la description du produit. La réaction du fournisseur ne peut que montrer le sérieux de cette société, un grand merci à elle.</t>
  </si>
  <si>
    <t>Très bon casque nomade - bon rapport qualité/prix La qualité Marshall est au rendez-vous pour ce casque Nomade! Avec un bon rapport qualité/prix ce casque est parfait pour écouter de la musique sur son smartphone</t>
  </si>
  <si>
    <t>bijou Bracelet Rose plaqué Or Jolie Couleur Feuilles de Zircon pour  Femmes  merci super vendeur merci</t>
  </si>
  <si>
    <t>Parfait Rien à dire, ces chaussures sont très bien.</t>
  </si>
  <si>
    <t>Chaussures parfaites Produit conforme et taille impeccable</t>
  </si>
  <si>
    <t>Chaussure confortable Taille bien, j'avais pris du 38. C'est une bonne chaussure, on a l'impression d'être dans des chaussons tellement c'est confortable.</t>
  </si>
  <si>
    <t>Stupéfaint Je cherchais un casque à prix raisonnable et de bonne qualité, et j'ai été servie ! Le son est juste incroyable et tres équilibré.</t>
  </si>
  <si>
    <t>Discret Écouteurs bluetooth sans fils Un écouteur par oreilles Très discret car aucun fils La qualité du son est très correct Parfait pour écouter la musique pendant le sport ou au bureau en toute discrétion</t>
  </si>
  <si>
    <t>objet indispensable depuis qu'on a cet arbre, que tout le monde adore au niveau design, c'est devenu un véritable ami et indispensable à notre quotidien de parents pratique, facile à nettoyer et on arrive à mettre beaucoup de biberons et accessoires</t>
  </si>
  <si>
    <t>Ravie de mon achat. Un peu mini le bouilloire, un peu plus grand que la taille de ma main. Mini mais Pratique pour la maison. Le tuyau pour faire sortir l'eau est différent qu'un bouilloire normal mais hyper pratique, plus d'inquiétude qu'il soit renverser trop vide et que ça brûle les mains. La limite (max) pour remplir l'eau est moindre mais suffisant. Ainsi que les différentes fonctionnalité, tel que les +/- et garder chaud (je pense) est un plus qu'un bouilloire normal dont je n'ai pas encore utiliser. En tout cas, ce mini bouilloire passe par tout, même au bureau c'est Hyper pratique. Je le recommande très fort.</t>
  </si>
  <si>
    <t>J'adore ces boucles La qualité de ces boucles d’oreilles est très bonne, je les mets sur le 2ème trou que j'ai aux oreilles le rendu est top. J’aime bien la couleur qui brille style couleurs de l'arc-en-ciel. En argent 925  stérilisé. Les boucles sont très confortables. Tous les détails sont bien faits. Arrivée dans la boîte avec le nom de marque dessus.</t>
  </si>
  <si>
    <t>Vraiment bien :) Mon fils utilise ce casque sur son PC surtout pour les jeux mais aussi pour les vidéos youtube. Il apprécie le confort des mousses sur les écouteurs et aussi la sensibilité du micro lors de ses parties de jeux. Le casque se règle très facilement et s'adapte bien à la tête. Le câble est assez long et le réglage du son se fait directement sur l'un des écouteurs. En résumé, vu le prix je suis très satisfait .</t>
  </si>
  <si>
    <t>collant mauvaise qualite</t>
  </si>
  <si>
    <t>Déçu Très déçu taille petit est arrivé en retard et en plus avec une couture déchiré je l'ai pas renvoyé par manque de temps mais vraiment très déçu</t>
  </si>
  <si>
    <t>très deçue J'ai commandé cette sacoche pour mon marie noël. Elle avait de très bon commentaire sur Amazon et donc un très bon rapport qualité/prix. Au bout d'un mois et demi d'utilisation, elle est déjà décousue (voir photo ci-joint). Je suis très déçue.</t>
  </si>
  <si>
    <t>Propre et vide elle est belle... Entre calcaire et buée, une fois en service le design devient très décevant. Avantages tout de même : on voit bien le volume d’eau avec échelle tracée et elle contient beaucoup (1,7 litres).</t>
  </si>
  <si>
    <t>Sweat Reçu avant le déla, un sweat qui tient chaud mais qui n'est pas du tout en conformité avec ce qui était annoncé sur le détail Amazon</t>
  </si>
  <si>
    <t>MONTRE CASIO La seule observation  est qu'à la commande il n'y a aucune indication concernant la longueur du bracelet et à la réception le bracelet s'avère trop court et impossible de la porter</t>
  </si>
  <si>
    <t>casquette stylé moins alaise que dans une 100 pourcent coton</t>
  </si>
  <si>
    <t>Pas mal Tapis de souris intéressant pour supporter le poignet mais je trouve que le silicone est trop mou un peu dommage</t>
  </si>
  <si>
    <t>Bien ! Bien mais fait légèrement mal aux oreilles</t>
  </si>
  <si>
    <t>Bon produit La qualité du micro est convenable sans plus, la bonnette est très pratique pour éliminer le moindre bruit de vent. Attention au positionnement de la prise jack sur un mobile dont les antennes sont proches, cela risque de s'entendre dans la prise de son. L'astuce consiste alors à passer son mobile en mode avion pendant une prise de son, à condition de ne pas être dépendant du réseau au moment de cette prise.</t>
  </si>
  <si>
    <t>nettoyage vinyles j ai redècouvert des disques que je croyais perdu.Si le produite semble un peu cher j'ai quand mème nettoyé environ 100 vinyles par litre,pour un effet durable.Encore merci.</t>
  </si>
  <si>
    <t>Super Sachant qu’elles taillent petit j’avais pris une taille en plus et c’est Parfait. J’ado Ces baskets que j’avais Déjà en argenté. Elles résistent bien et les paillettes aussi.</t>
  </si>
  <si>
    <t>attention à la taille Pensez à prendre une taille au dessus de celle habituelle avec de précédentes Puma. Je chausse, avec cette marque, normalement du 42  et j'ai dû commander pour cette paire une taille 43.</t>
  </si>
  <si>
    <t>Très bien Conforme</t>
  </si>
  <si>
    <t>Excellent Le legging ressemble à la photo , reçu rapidement (avant la date prévue), je commanderai une autre couleur prochaine fois parce que le gris ne me mets pas en valeur . J’ai pris une taille S (j’ai 55 kg , 1m62) et je porte du XS habituellement</t>
  </si>
  <si>
    <t>Bien Franchement pour le prix c'est impeccable. Bon c'est un manteau pour l'hiver dans le sud - Je suis satisfaite, j'en recommande un second</t>
  </si>
  <si>
    <t>Gomettes Mon fils ador j en est meme recommander un lot pour lanniversaire de ma niece. Les couleur son belle de couleur vif a des couleur pastelle. Une petite pochette pour tout remettre dedans tres pratique</t>
  </si>
  <si>
    <t>conforme tres bonne chaussure de securiter,tres cofortable et tres solide,je bosse dans l btp et elle sont ideale pour travaille dans milieux humide</t>
  </si>
  <si>
    <t>Excellent Très joli !</t>
  </si>
  <si>
    <t>parfait ++++ ce foofSaver est vraiment parfait autant pour son utilisation simple que pour la qualité de mise sous vide et de soudure. Les produits gardent parfaitement leur fraicheur</t>
  </si>
  <si>
    <t>Un lot de t-shirt basiques de bonne qualité Ces t-shirts sont de coton de qualité. Ils n'ont pas bougé au lavage, ils ne déforment pas et le coton reste doux. La coupe est confortable et ils taillent bien .Les coutures et les finitions sont très satisfaisantes. La couleur est à l'identique des photos.  Parfait pour porter l'hiver sous un pull. Idéal pour faire du sport, à porter lors de moment de détente ou à la maison.  Un bon rapport qualité prix.</t>
  </si>
  <si>
    <t>Tres bien Tres bien</t>
  </si>
  <si>
    <t>surmatelas chauffant 2 personnes XXL Ce surmatelas a été acheté depuis un bon moment. Il est toujours fonctionnel..... malgré la dimension XXL que j'ai commandé par erreur.... donc un peu trop large, mais cela ne gêne pas.</t>
  </si>
  <si>
    <t>Bonne perche Super perche qui fera largement le taff sur des annees ( si votre but est de simplement faire tenir un micro au dessus de votre tete ) Le systeme d'accroche (sur le bureau) est tres bien. Je conseille tout de meme de mettre un ptit bout de carton de l'emballage pour eviter les rayures sur une table en verre par exemple ( meme si ca rayera pas en vrai)</t>
  </si>
  <si>
    <t>Feuille protection popolini Les feuilles de protection popolini sont de très bonne qualité, Elles ne se déchirent pas sèche ou humide elles restent robuste. La longueur et la largeur est suffisante pour les couches lavables quelques soit la dimensions de la couche et l'âge de l'enfant (testé avec des enfants de 6mois à 2 ans et demi). Le format "rouleau" est assez économique. Il y a un système afin de découper une feuille par une feuille assez efficace. Les feuilles, sont biodégradables et passent donc dans les wc, très pratique, moins de déchets et moins d'odeur de couche.  Je recommande vivement ce produit!</t>
  </si>
  <si>
    <t>Attention il n'y a pas de socle détachable. En fait la bouilloire ne se détache pas de son socle. Donc pour la remplir il faut se balader avec le socle et la prise électrique à chaque fois.</t>
  </si>
  <si>
    <t>Produit très fin Taille bc trop grand et très fin aucun intérêt</t>
  </si>
  <si>
    <t>Défaut de produit Bonsoir , j’ai acheter ce produit il y a 1 mois , sauf que il y a une fuite et je ne peux plus me servir , je commande souvent sur Amazon mais là niveau qualité c’est n’est pas le bon produit , comment pourais-je faire pour faire marche la garantie. C’est vraiment nulle , Pour le site Amazon comment fonctionne votre garantie ? Là il faut m’aider merci</t>
  </si>
  <si>
    <t>PROBLEME D'EPAISSEUR DU PAPIER TOILETTE LE TREFLE Bonjour Hier j'ai ouvert le nouveau paquet de papier toilette rien à voir avec les paquets précédents largeur identique mais l'épaisseur à complétement disparue une feuille de papier à cigarette rien de plus. Le nouveau papier est très fragile. Avant 5 feuilles à l'utilisation maintenant 9 et c'est pas BIEN. Je suis très déçue meme si ce n'est que du papier toilette...!!! Salutations Bonne Journée MTB</t>
  </si>
  <si>
    <t>télécomande trop lourd car la télécommande + et - est trop imposante</t>
  </si>
  <si>
    <t>Confortable Délais de livraison respecté et arrivée du paquet en bon état ! Essayées de suite, elles sont bien taillées, confortables, chaudes et parfaitement fidèles aux photos. La taille 38 avec chaussettes me va parfaitement, mais bien que jolies, je trouve qu'elles font un gros pied !! à voir comment elles vont tenir dans le temps et si l'imperméabilité sera réelle !  j'attends les rouges ;)</t>
  </si>
  <si>
    <t>Bien Bien rien a dire Bon rapport qualité prix</t>
  </si>
  <si>
    <t>Y a plus qu' à attendre la neige Montage très robuste sous un look plutôt tonique, ces bottes qui me tentaient depuis des années ont fini par rejoindre mon parking à chaussures. Au milieu des autres, et dans une taille assez ample, elles s'imposent un peu, raison pour laquelle j'enlève une étoile. Leur vraie place sera l'espace blanc immaculé, et là, elles seront à la bonne échelle. Intérieur amovible, laçage très aisé, je recommande. Si vous pouvez les essayer avant de les acheter, ce sera parfait !</t>
  </si>
  <si>
    <t>Très bon casque, confortable, bon rendu audio. Mon Sennheiser HD280 ayant rendu l'âme, j'ai longuement cherché son remplaçant. Je me suis tourné, après mûre réflexion et sans l'avoir jamais écouté en magasin, vers le AKG K712 pro, ce pour plusieurs raisons : c'est un des rares casques à être encore fabriqué en Europe (AKG ne fabrique plus que ce modèle sur le vieux continent, le reste est fabriqué en Chine), il est le mieux noté dans sa catégorie (casque ouvert) et restait dans mon budget (le haut du haut de mon budget pour un casque audi (la moto, c'est encore plus cher :-) ).  Les plus de ce casque : un très bon rendu audio, fidèle et neutre dans la restitution des morceaux (attention à la qualité de votre source, un mauvais MP3 vous frustera au possible, de même que de la musique en ligne de moyenne qualité). D'après les critiques et autres experts audiophiles, ce casque a été amélioré dans le basses fréquences ; je ne peux vous confirmer ou infirmer, mais comparé à mon vieil HD280, je lui trouve la même qualité (ou défaut pour d'autres) : il n'a pas de basses trop présentes. Amateurs de basses, il conviendra de faire un +1 sur votre bouton d'ampli (mais comme je vieillis, mon oreille ne sera jamais la votre). Le détail sur les morceaux de jazz est remarquable, dans les scènes live je trouve qu'elles manquent un peu de profondeur, ce comparé à mes enceintes audio (de "vieilles' Cabasse).  En ce qui concerne le confort d'écoute, les coussinets tiennent bien sur l'oreille, ils isolent assez du monde extérieur sans pour autant vous en couper, et en hiver vous englobent d'une douce sensation de chaleur. En été, au bout de 2 heures, une pause fraicheur s'impose. Le maintien est très bon, aucune gêne de ressentie que ce soit sur le haut du crâne ou sur les oreilles. Pas de mauvaise sensation de compression. Bref, casque très confortable.  Dernier atout, le cordon de ce casque peut se dévisser, et il est livré avec un adaptateur jack lui aussi vissable. Donc, si votre chat est comme le mien fan de cordons électriques et qu'il passe son temps à les boulotter, pas de panique, votre beau casque AKG marche toujours, il vous faudra juste racheter le cordon.  En résumé, si vous avez le budget, il ne faut pas hésiter.</t>
  </si>
  <si>
    <t>Très bien Excellent produit,taille bien je fais un 40 en haut et j’ai pris M la couleur,matière et rapport qualité prix me convienne</t>
  </si>
  <si>
    <t>Très pratique grand capacité et solide pour le moment Pour mon mari</t>
  </si>
  <si>
    <t>Pas d'importance Parfait</t>
  </si>
  <si>
    <t>parfait cartouche d'origine donc parfaite rien a reprocher juste que l'on paie la marque met des fois faut mieux</t>
  </si>
  <si>
    <t>Joli bracelet Le colis est arrivé bien emballer. Joli bracelet en argent de bonne qualité. Il y a deux charmes. L’un est un joli arbre de vie et l’autre est un brillant Swarovski. Le bracelet est joliment fini, bien polis. Je le trouve élégant, fin et a la fois solide. Il est facilement réglable à la dimension de son poignet. Il pourrait faire un joli cadeau mais je le garde pour moi 😊</t>
  </si>
  <si>
    <t>Chaussons chauds La couleur des chaussons et originale (pour un garçon) et le fait que le col soit pas très haut on peut mieux les enfiler et on a moins chaud aux pieds. Semblent résistants.</t>
  </si>
  <si>
    <t>Foncer acheter les Top top top rien a dire</t>
  </si>
  <si>
    <t>Cadeau parfait Je l’ai acheté pour mon fils de 4&amp;nbsp;ans. Il aime chanter et parler avec ce microphone et faire écho. Je l’aime bien aussi.Il est facile à utiliser et l’effet sonore n’est pas mal. C’est pourquoi je vais en acheter un autre pour ma nièce. Le service client est génial. Merci</t>
  </si>
  <si>
    <t>Grands Les bracelets sont de taille M, bien trop grands pour moi. Du coup, j'ai du les reduire, et c'est assez difficile. Vu qu'il y a des tailles, ça aurait été bien d'avoir le choix. Hormis ça, ils sont parfaits, les pierres sont belles. Je ne saurai me prononcer sur les effets.</t>
  </si>
  <si>
    <t>Une bonne affaire Au vu du prix soyons direct c'est une excellente affaire. Scotch de bonne qualité. Au décollage la colle reste bien sur le scotch et ne pollue pas la partie scotchée. Très discret car bien translucide et tient très bien en place. Un bon produit.</t>
  </si>
  <si>
    <t>Élégance et style Pochette classe, de belle qualité.</t>
  </si>
  <si>
    <t>Conforme à la description Chaud et confortable, conforme à mes attentes, taille légèrement grand</t>
  </si>
  <si>
    <t>Super biberon Je trouve c’est biberon super et je conte en recommandé</t>
  </si>
  <si>
    <t>Parfait Très joli collier</t>
  </si>
  <si>
    <t>Parfait Je recherchais un support pour la tablette graphique 15.6" de ma fille, et ce support pc portable fait totallement bien le job !!! l'angle de positionnement est ajustable et stable, les 2 petits rebords de devant sont en metal tout comme le reste du support et sont recouvert de petits empiecements doux pour acceuillir votre pc ou tablette avec douceur et l'empecher de glisser. un organisateur de fil est a clipser à l'arriere du support il est pas des plus pratiques à mettre mais çà se fait ....et franchement pour le prix il n'y a pas à hesiter. Le poid du support est nikel car ni trop lourd ni trop leger çà fait pas camelotte du tout.....donc ras, nikel, parfait.</t>
  </si>
  <si>
    <t>Déçue Chaussures de sécurité inconfortables toujours mal aux pieds déçue</t>
  </si>
  <si>
    <t>Mieux vaut avoir 2 pieds gauches ! Reçu 2 pieds gauches</t>
  </si>
  <si>
    <t>Chaussure de sécurité Je suis très dessus de la qualité du produit une usu de la semelle rapide et le tissu du dessus ce dechi aussi et surtout aucune réponde du vendeur sur ce souci je suis un peut en colère</t>
  </si>
  <si>
    <t>un peu difficile à utiliser la forme est trop allongée du coup ce n'est pas facile à utiliser. Le produit est de bonne qualité mais ça n'a pas été concluant.</t>
  </si>
  <si>
    <t>Qualité Bose au rendez-vous Ces écouteurs sont une petite merveille, encore faut-il être amateur de la sonorité Bose, ce qui est mon cas.  Les + :  - Qualité du son. - Confort des écouteurs Stay-Ear. - Légèreté de l'ensemble. - Configuration très facile. - Décallage audio/vidéo à peine perceptible (selon moi) lors de l'utilisation pendant la lecture de fichiers vidéo.  Les - :  - La longévité de la batterie qui ne tient que +/- 5-6h. Un peu dommage. - L'impossibilité d'utilisation pendant la recharge de la batterie.</t>
  </si>
  <si>
    <t>Tres joli mais attention aux allergies Très jolie mais me font des allergies et pende car un peu lourde . Attention pour les personnes fragiles des oreilles</t>
  </si>
  <si>
    <t>Bon rapport qualité prix Ca fait presque un mois que je l utilise pour écouter de la musique et j en suis satisfait la qualité est au rdv j ai mis 4 étoile par ce qu on peut trouver mieux surtt au niveau des basses. Je l utilise rarement en kit main libre maisbj ai remarqué que mes interlocuteurs ne m entendent pas bien. Autre chose c est que en cas de déchargement on peut continuer a écouter avec le cable fournis sauf que le son n est pas du tout le même la qualité est mauvaise.</t>
  </si>
  <si>
    <t>Conforme Conforme</t>
  </si>
  <si>
    <t>Indispensable Super pour accessoiriser l'egouttoir à biberons de la même marque. Ma fille utilise les biberons MAM Anti-Colique et j'y suspend les valves Anti-Colique. Parfait</t>
  </si>
  <si>
    <t>du costaud tres bonne chaussure un peu lourde peut etre au debut pour certains , tres confortable , attention les cat ca chausse assez grand prendre 1 pointure en dessous</t>
  </si>
  <si>
    <t>Rien a dire, il est magnifique! Super contente!</t>
  </si>
  <si>
    <t>Bonne stabilité. Bonjour, Comme je le faisais avant, lire au lit, cette lampe me le permet aussi. J'ai été surpris par la très petite taille de l'adaptateur secteur. Bonne stabilité.  Satisfait de mon précédent achat, j'ai acheté de nouveau cette pour le bureau.</t>
  </si>
  <si>
    <t>Super Pile comme sur l’image</t>
  </si>
  <si>
    <t>Conforme J'ai pris ma taille habituelle et c'est parfait. Chaussures très confortables et très joli. J'ai le pied fin et en général j'ai du mal à trouver des chaussures sérrées et confortables. Mais là pour le coup c'est parfaitement adapté.</t>
  </si>
  <si>
    <t>Génial Trop contente  d'entendre crépiter  mes vieux vinyles .... Génial !</t>
  </si>
  <si>
    <t>Classe Si je dois résumer :"Elles sont sympas tes vans, j'aime bien la couleur ". Voilà tout est dit. Sinon niveau taille j'ai pris mon 41 habituel . Confortables, fidèle aux M Atwood.</t>
  </si>
  <si>
    <t>formidable quel confort !!</t>
  </si>
  <si>
    <t>Vraiment comfortable Pris en taille M pour un tour de taille 31 - 32 aucun soucis. Il est serré au niveau des mollets comme sur la photo , mais reste ample en haut vraiment super.</t>
  </si>
  <si>
    <t>Trop belles ! Produit conforme  !</t>
  </si>
  <si>
    <t>Super conforme a la photo Tres bien pour le prix,super legere a porter belle couleur tres original je prendrez les grises la prochaine fois merci</t>
  </si>
  <si>
    <t>Très bon produit Produit conforme a l'image Assez grande pour y fourrer pas mal de petites choses et confortable à porter</t>
  </si>
  <si>
    <t>Montre à l'ancienne Look rétro comme les années 80.</t>
  </si>
  <si>
    <t>Très bien Rien a dire super. Très hydratant je l' utilise pour effectuer le palper rouler sa chaaaaaauffe, efficace. Bon!! a utiliser sur le corps le soir avant de dormir de préférence.</t>
  </si>
  <si>
    <t>Déçue Au bout d une semaine, une rondelle à lacet s est détachée. Elles se déforment vite et s élargissent. La couleur du «&amp;nbsp;cuir-plastique&amp;nbsp;» n est pas la même que les lacets et la semelle, ce qui les rendent plus beige ou jaunie. La matière fait plus plastique que cuir , ce qui augmente la transpiration. Pour le prix, je ne m attendais pas à du haut de gamme mais parfois le prix ne fait pas la qualité, j ai tenté et je me suis plantée !</t>
  </si>
  <si>
    <t>Déçu Pas costaud du tout ! Peu recommandable</t>
  </si>
  <si>
    <t>Correct Soutien gorge oui mais pas de sport. Le maintien n’est pas adapté pour des mouvements de sport tels que la course, le saut, etc... Cependant bon maintien pour une utilisation hors sport. Il est confortable. Reste à voir avec le temps et les lavages.</t>
  </si>
  <si>
    <t>avis bien mais beaucoup, beaucoup, beaucoup, beaucoup, beaucoup, beaucoup, beaucoup trop cher. Prix dissuasif qui pousse à acheter des cartouches génériques.</t>
  </si>
  <si>
    <t>Polaire assez legère Taille comme prévue plutôt plus grand que plus petit, à utiliser comme un pull sous un sweat out un manteau.</t>
  </si>
  <si>
    <t>Confortables et bien taillées Je ne sais pas si ça vient des chaussures qui sont plutôt confortables, mais a ls 1ère utilisation j'ai vite senti des crampes sous les pieds...comme si la semelle forçait sur la voute plantaire. A voir à la longue!</t>
  </si>
  <si>
    <t>Très bien Très belle bague, belle qualité pour le prix ! Mais attention elle est assez épaisse et du coup dur à régler mais sinon super rapport qualité prix !</t>
  </si>
  <si>
    <t>A propos du grille pain Très joli grille pain et qui fonctionne bien. J'ai eu un soucis avec le premier .. Mais comme d'habitude le jour même où je l'ai communiqué à Amazon ils m'ont contactée et sans aucun problème m'en ont réexpédié un dans un délai de 4 jours contre le retour à leurs frais du grille pain défectueux . Je recommande ce produit . ( belle couleur rouge conforme à la photo )</t>
  </si>
  <si>
    <t>Le Top Très bon produit 👍👍👍</t>
  </si>
  <si>
    <t>Rapidité, grande efficacité, simplicité d'utilisation et silencieux ! J'ai énormément de vieux papiers à détruire, mais je ne peux pas les jeter ainsi au recyclage : la pile atteint 60cm de hauteur ! Factures EDF, eau, loyers, assurance, anciens logements, crédits, banque, etc... Je suis très conservatrice, mais là.... Bref : je suis ravie de cet achat, machine sûre, rapide et presque pas de bruit ! Les vieilles cartes de fidélité passent très vite, autant que le papier, hyper rapide. Je n'ai pas encore essayé le destructeur de CD mais je l'utiliserai. J'aurais dû en prendre un bien avant ! En 15mn j'ai rempli le bac récupérateur, j'ai bien brassé le tout et zou...au recyclage. Je n'en reviens pas de cette efficacité. Je suis très satisfaite, vraiment, et je recommande vivement cet article, même aux particuliers : il n'est pas bon de jeter des documents qui contiennent des renseignements sensibles.</t>
  </si>
  <si>
    <t>parfait Parfait pour les grand biberon vendu avec tetine 2 (ce qui est dommage d ailleurs. Bébé passe à 150 ml avant la tétine 2)</t>
  </si>
  <si>
    <t>Collier d’ambre cognac Collier d’ambre de 33cm avec fermoir  de sécurité vissé. Les perles d’ambre sont sécurisées avec entre chaque perle un noeud. Livré avec le certificat d’authenticité.</t>
  </si>
  <si>
    <t>chaussures de sécurité Ces chaussures sont confortables  pratique jolie et j'ai aucune douleur. ..dés les moments où je les ai porter.</t>
  </si>
  <si>
    <t>Bien soutenue Pratiquant le crossfit j’ai besoin d’un bon maintien pour les différents exercices j’adore ! Prenez votre taille habituelle. Il sera votre allie</t>
  </si>
  <si>
    <t>la qualité très jolie montre</t>
  </si>
  <si>
    <t>Produit Haute Gamme : 10/10 : recommandation +++ Très jolie produit : Je recherchais des écouteurs pour remplacer mes écouteurs TRANYA qui dépérissaient, anciennement achetés sur Amazone il y a 1 an et demi et je suis clairement ravis de mon achat.  Utilisant mes écouteurs principalement dans les transports et pour faire du sport ces écouteurs me paraissent très adaptés pour ce type d'utilisation.  - Lors de la réception : les écouteurs sont dans une boite très épurée. Un guide d'utilisation (en français) est fournit et les instructions sont enfantins : l'installation ne m'a pas prit plus de 2 minutes. Une petite pochette en tissu est fourni avec : très pratique pour les accrocs du rangement comme moi. - Sur le support de chargement on peut voir le pourcentage de charge ce qui permet de se rendre compte en temps réel du niveau de chargement : très pratique. - L'utilisation du tactile : Très intuitif +++ et facile d'utilisation tout est expliqué dans le guide. - Qualité sonore : EXCEPTIONNELLE ! Je suis sous le charme si vous aimez écouter la musique avec un gros volume, aimez les bonnes basses / aigüe et j'en passe ces écouteurs sont fait pour vous ! Satisfaction garanti. Je suis très agréablement surpris d'une telle qualité sonore pour un si faible coup. - Atout non négligeable : Une garantie de 24 mois = 2 ans. - Autres informations : les écouteurs clignotent en vert fluo clair lors de l'utilisation : personnellement je ne trouve pas ça choquant du tout, c'est même original et donne une valeur ajoutée au produit. Les écouteurs imprègnent bien les conduits auditifs sans sensation de gêne : assez confortable. En ce qui concerne l'étanchéité je n'ai pas pu encore l'évaluer.  En conclusion : très satisfais de mon achat : je recommande.</t>
  </si>
  <si>
    <t>Original et surprenant J'aime beaucoup ces sweat et j'en ai commandé une dizaine. très original et il y en a pour tous les goûts.</t>
  </si>
  <si>
    <t>Niquel Tres beaux resultat</t>
  </si>
  <si>
    <t>Compact et surtout pliable ce qui en fait un casque nomade isolant bien du bruit exterieur Nickel,suis enchantée de cet achat ,car le son est super clair et net et aussi casque très pratique pour écouter un film passant  sur la tablette Le petit hic est que l'on doit enlever la micro s.d.( où l'on a mis de la musique) pour passer en Bluetooth pour regarder un film (ou alors je n'ai pas bien lu la notice) L'apparaige est facile à faire</t>
  </si>
  <si>
    <t>Montre femme au top Livraison rapide. Article conforme à la description.</t>
  </si>
  <si>
    <t>"Trop trop drôle" Je cherchais un livre pour ma fille de 14 ans, et lui expliquer que les parents ne sont pas là pour mettre des barrières "pour rien". Elle était sceptique et n'en voulait pas, mais je l'ai acheté quand même. Résultat, elle a adoré ce livre qu'elle a trouvé "trop trop drôle", même s'il explique tout de même de manière amusante le rôle protecteur des parents.</t>
  </si>
  <si>
    <t>Très bonne surprise Je viens de recevoir mes écouteurs S9 de chez HETP et je suis très surpris. La packaging est digne des plus grand. La qualité de l'étuie et des écouteurs est au rendez vous. Le son est plus que convenable pour le prix et surtout les commandes tactiles réagissent très bien. Je recommande.</t>
  </si>
  <si>
    <t>bonne qualité très satisfait de cet achat. conforme à l'annonce.  bonne qualité pour le prix. je recommande vivement vu le prix  auquel j'ai payé</t>
  </si>
  <si>
    <t>Chauffe trop lentement J'ai suivi les avis positifs en commandant ce produit et finalement je le regrette : il met beaucoup de temps à chauffer correctement les aliments et les indications ne sont, je trouve, pas correcte. Moralité : il est resté dans le placard. Un achat inutile me concernant..</t>
  </si>
  <si>
    <t>Taille grande Déçu je taille du 39 et j’a Pris ma taille mais elles sont trop grande</t>
  </si>
  <si>
    <t>Aucune différence Aucune différence avec sans ... Décevant rapport qualité prix.</t>
  </si>
  <si>
    <t>Cadeau C'est un cadeau</t>
  </si>
  <si>
    <t>Fait la blague... sauf pour le téléphone portable ! Le sac est arrivé dans les délais. Le cuir est de qualité moyenne, il est déjà griffé par endroit lorsque je le déballe mais à ce tarif, c'est plus ou moins ce que j'attendais. A vide, il est relativement léger, ce qui est non négligeable. Les anses sont un peu courtes, difficile de le porter à l'épaule lorsqu'on met une veste, dommage. Etant donné la taille colossale du compartiment central, une poche plaquée supplémentaire et/ou une ou deux poches zippées en plus sur l'extérieur auraient été les bienvenues.  Le plus gros bémol : la poche plaquée supposément dédiée au téléphone portable est déformée et trop petite. j'ai un Galaxy S7, ce qui est plutôt standard comme taille de téléphone, et il n'entre pas. Je suis donc bonne pour une séance de spéléologie intra-sac à chaque fois que je veux mettre la main dessus.</t>
  </si>
  <si>
    <t>Bon rapport qualité prix. Une montre premier prix sans prétention mais d'un rapport qualité/prix correct.</t>
  </si>
  <si>
    <t>rapport qualité/prix correct Au premier essai ce ne fut pas concluant pourtant nous avions pesé l'objet, mais au bout de 10 minutes c'était à  terre, c'est pour cela que j'enlève un étoile. Nous nous sommes donc résignés à le coller sur toute la longueur de cet objet et la ça ne bouge plus 😊 espérons que cela dure. Donc rapport qualité /prix correct ;)</t>
  </si>
  <si>
    <t>Isolation efficace, son excellent Le son est à la hauteur du prix, la réduction de bruit n’est pas parfaite mais permet d’écouter à bas volume dans des endroits bruyants comme le métro. Les commandes tactiles sont pratiques. J’ai quand même deux critiques.  Premièrement, les commandes tactiles peuvent être gênantes dans certaines situations; si une capuche ou une couverture de lit touche le côté droit du casque, les commandes s’activent. De plus, elles supportent mal les grandes variations de température : passer d’un appartement chauffé à l’extérieur où il gèle va activer les commandes aléatoirement, mettre la musique en pause ou changer de morceau. Il faut redémarrer le casque dans la nouvelle température pour que le problème disparaisse. Le support Sony dit qu’ils travaillent sur une mise à jour depuis plusieurs mois.  Deuxièmement, on ne peut pas passer d’une source Bluetooth à une autre facilement, je dois déconnecter mon iPhone du casque puis le reconnecter sur mon PC.</t>
  </si>
  <si>
    <t>Supe  solide Pour ranger des mini jouets de la fille et toop</t>
  </si>
  <si>
    <t>très pratique je suis enchantée de mon agenda très pratique, car on peut voir d'un coup d'oeil toute sa semaine. par contre, les dimmensions de l'agenda sont assez grande, donc plutot utilisable dans un bureau</t>
  </si>
  <si>
    <t>Égal à la photo Cadeau</t>
  </si>
  <si>
    <t>MES CONVERSES TELLEMENT PRATIQUE DE COMMANDER UN CLASSIQUE DE LA CHAUSSURE . JE DEVAIS REMPLACER LES ANCIENNES ET EN UN CLIC  MES CONVERSES SONT CHEZ MOI 😎</t>
  </si>
  <si>
    <t>achat concluant achat très intéressant, taille S = 90 C comme indiqué dans un autre commentaire. Bel article couvrant et d'excellent soutien pour activités à fort impact. Pratiquante Running et Arts Martiaux très satisfaite . Article conseillé.</t>
  </si>
  <si>
    <t>Cadeau réussi Ma nièce les a reçus en cadeau et ne les quitte plus, la pointure est parfaite et elle les adore! Un cadeau réussi :)</t>
  </si>
  <si>
    <t>Reveil très complet Quelle belle surprise avec ce réveil et c'est fonction fourni avec cest cable notice  facile a programmer grace a l application Affichage de l'heure 12/24H  la luminosité LED Simulation du lever du soleil Simulation du coucher du soleil 7 couleur 4 programme de  réveil 7sonneries Radio FM Port USB Je recommande ce produit</t>
  </si>
  <si>
    <t>Top! Super couleur, je suis tombée amoureuse de ces vêtements de fabrication italienne. Tissu chaud et très belle couleur. Super bien!</t>
  </si>
  <si>
    <t>Génial! Très bon résultat je suis littéralement dévoré par les moustiques lorsqu’il yen a petit minuscule ou gros c’est un vrai problème depuis qu’il est branché rien à dire je n’en suis plus piqué pour preuve après un mois pendant qu’il n’y avait plus de moustiques et que j’étais tranquille jenlai retirer une nuit ! Total le lendemain 3piquures et de belles!!donc je recommande pour celles et ceux qui comme moi sont de vrai pompe à sang!!lol</t>
  </si>
  <si>
    <t>A conseiller Très utile pour apprendre à lire</t>
  </si>
  <si>
    <t>Excellent Excellent produit.. Le câble est de très bonne qualité. Il est fidèle à l'image et à la description decrite sur le site.Merci</t>
  </si>
  <si>
    <t>bon appareil Bon appareil de massage, il est puissant et facile à manier. Pour l'effet anti cellulite, je pense qu'en utilisant l'appareil régulièrement, il y aura un résultat car après 10 min de massage mes cuisses sont rouges, ce qui prouve que la circulation sanguine a été stimulée donc ma cellulite aussi !</t>
  </si>
  <si>
    <t>tres bon achat cette montre est exactement ce qu'il me fallait : un outil du quotidien. ses fonctions sont faciles d’accès et assez précises pour une personne lambda ... et en plus : elle donne l'heure !!!!</t>
  </si>
  <si>
    <t>chaussure ma petite fille à adorer</t>
  </si>
  <si>
    <t>Efficace Produit efficace</t>
  </si>
  <si>
    <t>Légères et un bon amorti Ces TBS répondent à mes attentes. Légères, très bien conçues et couleur très sympa. Une marque de qualité</t>
  </si>
  <si>
    <t>trop petit trop petit</t>
  </si>
  <si>
    <t>lourd trop lourd et gênant à la longue. dommage</t>
  </si>
  <si>
    <t>Des grésillements et aucune réponse du service client... Je n'avais jamais utilisé de micro pour mes vidéos de famille ou pour faire des interviews pour ma page facebook de blog.  Reçu en 24h avec Prime, ce micro est plug and play et permet d'améliorer notablement le son. Ce n'ai pas un micro professionnel mais nettement suffisant dans un cadre amateur.  Malheureusement après quelques utilisations les enregistrements sont devenus inaudibles en raisons de grésillements. Malgré plusieurs demandes au service clients, je n'ai eu droit qu'à des réponses par mail sans signification, sans doute pour me décourager.  Je déconseille l'achat de ce micro, pas tant pour le problème technique qui peut toujours arriver, mais pour le service client qui n'est pas sérieux pour ne pas dire malhonnête...</t>
  </si>
  <si>
    <t>Moyen Taille un peu grand ! dommage ! garder car peux servir en cas d'urgence. Sinon matière agréable et solide.</t>
  </si>
  <si>
    <t>Bon produit Bon produit pas très épais mais reste convenable pour l’an demi saison. Habituellement je porte du 40/42 en taille, j ai pris l’an taille M/L et il taille très bien.</t>
  </si>
  <si>
    <t>Parfait Pour ma canon mg3000 aucun problème</t>
  </si>
  <si>
    <t>Très joli et très grand bon cartable idéal professeur, un peu grand mais du coup permet de ranger énormément d'éléments, pc, papiers... Matière de qualité correspond à ma demande, la sangle n'est pas très élégante mais peu facilement se remplacer. Rapport qualité prix idéal</t>
  </si>
  <si>
    <t>bon produit et original conforme aux attentes, bonne qualité pour le prix , et produit bien fini. seul bémol , la taille, je conseillerai ce cibler une taille au dessus . (taille un peu petit)</t>
  </si>
  <si>
    <t>État neuf Parfait je les porte encore aujourd'hui</t>
  </si>
  <si>
    <t>Pratique pour le sport Tres bon produit</t>
  </si>
  <si>
    <t>Tres contente de mon achat Ensemble de biberons qui permet d'avoir tout ce qu'il faut lors de l'arrivée de bébé. Ils sont de bonnes qualités. Excellent rapport qualité prix comparé aux prix qu'on peut trouver que Internet ou en pharmacie</t>
  </si>
  <si>
    <t>Solide Très pratique</t>
  </si>
  <si>
    <t>Remarquable J ai acheté  ces écouteurs bluetooth car je suis professionnelle de danse. Ils sont parfait ! Le son est imbattable. Idéal pour rester dans sa bulle et danser sans être perturbé. Une fois mis au niveau de l oreilles ne bougent pas même avec les différents mouvements.</t>
  </si>
  <si>
    <t>Boucles d'oreilles en Argent 925 Clous d’Oreilles belle et discrete, offerte pour un anniversaire.</t>
  </si>
  <si>
    <t>Une histoire très sympa J'ai acheté ce livre pour ma fille de 5 ans et demi suite aux bons commentaires et nous n'avons pas été déçues par cette petite poule "rebelle" qui voulait voir la mer ;) Jolie histoire avec de "l'aventure" et même une jolie histoire d'amour ;) et le format est bien à prendre en main (pas trop grand).</t>
  </si>
  <si>
    <t>excellente produits Je suis très satisfaite du produit je le connais très bien et depuis des années un parfum d ambiance très agréable même des personnes qui ne supporte pas les parfum d intérieur disent que ça sent très bon, et la livraison très rapide.</t>
  </si>
  <si>
    <t>Premiere experience reussie Confortable et legere, bon maintien, bon amorti, donc parfait</t>
  </si>
  <si>
    <t>Bon matos Rapport qualité prix impeccable</t>
  </si>
  <si>
    <t>Cool Reçu en avance est qualité top. Je ne regrette absolument pas</t>
  </si>
  <si>
    <t>Smith La Stan . . . indémodable.</t>
  </si>
  <si>
    <t>Liquide nuk Prix panier plus. Très utile pour nettoyer les biberons et les tétines de ma fille sans utiliser de liquide vaisselle agressif . Je recommande</t>
  </si>
  <si>
    <t>Confortable et sexy Beau leggings , mise en valeur des formes. Prendre votre taille ou taille plus petite pour un effet plus serré comme sur les photos du produit Noir pas transparent qualité correcte Le L est confortable pour38/40 mais pas assez serré  Effet remonte fesses sympa / ouvre bien. Porter un string noir de préférence  Je vais essayer la combinaison moulante dans le même style.</t>
  </si>
  <si>
    <t>Trop belle Tres belle boucle d oreille ,tres bonne qualité le les porte tout les jours</t>
  </si>
  <si>
    <t>la galère à enfiler Le modèle m'est trop petit. J'ai hésité à commander la taille au dessus car il est très difficile à enfiler. Je préfère essayer de commander un modèle qui s'ouvre sur le devant. C'est dommage car l'article parait de bonne qualité, la matière maintient bien et est très douce.</t>
  </si>
  <si>
    <t>Déception J'ai acheté ce produit car j'ai en déjà acheté par le passé en boutique. Malheureusement, le soutien gorge que j'ai reçu ne correspond pas aux images qui sont données en référence.  En effet,  alors que je m'attendais à avoir 2 attaches à  l'avant, je me retrouve avec 3. De plus, derrière le sigle triaction noir et rouge ne s'y retrouve pas.  Alors pour moi cela ne correspond pas à mon attente. D'ailleurs l'image sur l'emballage est différente du soutien gorge lui même  ???? Je vais le retourner car pour moi ce n'est pas ce que j'ai commandé.</t>
  </si>
  <si>
    <t>basket confortable sans plus</t>
  </si>
  <si>
    <t>Quel fonctionne bien mais pas encore essayer Cadeau de noel</t>
  </si>
  <si>
    <t>Vrai Converse qui du coup taille trop grand Bonne qualité de cuir. Toutefois, la chaussure couine lorsqu'on marche ( À voir la tenue dans le temps ). En ce qui concerne la taille. Il faut vraiment prendre 1 taille en dessous de votre pointure habituelle. Je fais du 38 et j'ai pris un 37,5, par précaution ( j'avais peur que ce soit trop petit ). Mais, j'ai encore de la marge. Il faut réellement prendre un 37 si vous faites du 38.</t>
  </si>
  <si>
    <t>Produit qui s'adapte à tous les styles Très confortable. Ligne élégante. Entretien facile. Manque une légère pointe de style pour plus de glamour. Rien à rajouter point.</t>
  </si>
  <si>
    <t>Incomplet Biberons livres sans sucette .Contrairement à l’image sur la photo</t>
  </si>
  <si>
    <t>Bien Mon homme et charpentier il travaille beaucoup sous le vent et grasse à se ticherte sa lui change tout il et allez pas de problème à recommander san problème</t>
  </si>
  <si>
    <t>Joli bracelet avec de vrais pierres Très bon rapport qualité prix, toutefois les perles sont un peu petites  à mon goût. Très belles finitions et beaux matériaux.  Délais de livraison raisonnables. Message à l'attention des Messieurs:  ils risquent d'être trop petits pour des poignets masculins</t>
  </si>
  <si>
    <t>Chaussures confortables et jolies J'ai trouvé ces baskets très confortables. Au départ, j'avais un peu peur de la avoir prises trop grandes (selon les marques, je fais du 38 ou du 39), mais finalement, en les gardant au pied toute une journée, je n'ai eu aucun problème. Je les ai trouvées vraiment confortables et elles tenaient bien au pied. La couleur est jolie et même si je trouve les rubans un peu encombrant, cela ajoute une touche féminine.</t>
  </si>
  <si>
    <t>Super article De bonne qualité. L'outil fourni avec n'est pas super solide mais fait le job pour ajuster le bracelet à votre taille. Après 2 mois et demi d'utilisation quotidienne, le bracelet est encore en très bon état.</t>
  </si>
  <si>
    <t>Bien Bon biberon pour les nourrissons qui ont des reflux et vomissement cependant mon bébé se débrouille mieux pour téter avec des tétines plates style MAM</t>
  </si>
  <si>
    <t>Parfait Converses hautes, blanches et en toile, reçues avant la date prévue, description conforme. Commandées en 4.5 c'est-à-dire en 37. Ne pas prendre de taille ni au dessus, ni en dessous, les chaussures finiront par prendre la forme du pied quoi qu'il arrive.</t>
  </si>
  <si>
    <t>Montre Très bon produit très satisfait de la montre une grande finesse et très belle vue à l œil exelent 20 sur 20</t>
  </si>
  <si>
    <t>Réveil Lumineux au TOP J’ai reçu le Réveil Effet Lumineux 2019 de chez FITFORT la semaine dernière et je l’adore déjà !! Réception du colis dans les temps. Même si le carton était complétement déchiré, le réveil lui était en vie. 1er point positif : il est facile à régler (notice en français / Boutons de réglage accessibles) en 15 mn il est prêt à l’emploi ! 2nd point positif : il est esthétique. Petite touche futuriste sur ma table de chevet. 3éme point positif : Je l’ai testé comme lampe pour lire le soir et c’est parfait! Mon mari ne me demande plus d’éteindre pour qu’il puisse dormir ! 4éme point positif : J'ai testé la simulation de lever du jour, 10 min avant l'heure du réveil et c’est TOP !  Se réveiller par une lumière progressive c’est vraiment agréable (je n’ai même pas besoin du cui-cui des oiseaux). Il me semble que je suis moins fatiguée et j’ai plus d’entrain. Pourvu que ça dure !! 5éme point positif : Pouvoir régler une heure de réveil pour le Week-end et la semaine ou tout arrêter c’est bien pratique. Désolée mais je n’ai pas testé les autres fonctionnalités. Même si je l’utilise que depuis 1 semaine, il est devenu un objet indispensable.  Pourquoi ne l’ai-je pas acheté plus tôt ? (Surtout à ce prix, il faut tester)</t>
  </si>
  <si>
    <t>La contenance importante. Bonne marque, un peu lourd comme bouilloire, attention au calcaire au bout de 5 jours ils s'étaient déposés au fond. Mettre du vinaigre de vin blanc, attendre une vingtaine de minutes, et rincer.</t>
  </si>
  <si>
    <t>très pratique la personne à qui je viens de l'offrir est vraiment ravie, cette bouilloire est petite, impeccable pour une personne qui boit le thé souvent.</t>
  </si>
  <si>
    <t>cartouches d'excellentes qualités Au début j'avais un doute pour utiliser ces cartouches sur mon imprimante qui est neuve et j'ai donc remplacer lorqu'elle étaient vides les cartouches origines CANON. Je dois que les photos sont superbes au niveau couleur et la protection des cartouches avant de le mettre dans l'imprimante est aussi bien que les CANON d'origine. J'ai fait une autre commande de ces cartouches.</t>
  </si>
  <si>
    <t>Très satisfaite de mon achat Très belle très légère j'aime bien livraison rapide merci Amazon juste je fais de 39 j'ai pris 40 je conseille ce produit j'ai acheté pour ma fille aussi il fait 24 jai pris en 25 c'est pile poil</t>
  </si>
  <si>
    <t>L'incontournable du massage C'est LE produit de massage de référence Il sent bon, en se frottant les mains avec, l'huile s'échauffe pour un massage plus décontractant.  Bref: c'est un gros contenant et c'est bien à voir chez soi</t>
  </si>
  <si>
    <t>Excellent casque neutre Je l'utilise tous les jours pour aller au travail, il est très confortable. Depuis plus d'un an que je l'ai acheté, il ne montre aucune trace d'usure. Le câble est de très bonne qualité, celui de mon ancien Beyer Dynamic P51 ne durait que 1 an et n'était pas remplaçable.  Côté son il est top, un son neutre où les basses ne marquent pas. Il n'a rien à envier à mon casque studio que j'utilise à la maison, le SHURE SRH840.  Par contre il n'isole pas de l'extérieur et il est parfait pour les petites tête. Je vous le conseille vivement, je ne peux plus m'en passer !</t>
  </si>
  <si>
    <t>Bon qualité prix Qualité prix très bien par contre je l'ai pris en M car ma fille qui fait du S voulait un effet loose mais du coup sa fait entre deux (S-M)donc si vous voulez plus loose je vous conseille de prendre L. La photo est mauvaise qualité désolée. Ma fille mesure 1m65 afin de vous donner une idée.</t>
  </si>
  <si>
    <t>Tres satisfait Tee shirt de très bonne qualité, tres bien pour le sport, ou pour sortir, taille bien et le modèle est très jolie, je recommande</t>
  </si>
  <si>
    <t>Parfait pour offrir Parfait pour offrir et gain de place !</t>
  </si>
  <si>
    <t>Manque de précision ?? Je n'avais pas eu de soucis de fonctionnement jusqu'à présent, mais depuis peu, je pense qu'il fonctionne mal. Je veux bien accepter un écart de 1 °C ou 2 °C par rapport à la météo, mais là, un écart de 9 °C, c'est beaucoup trop. Peut-être que je l'ai mal placé ? Pourtant, le module extérieur est majoritairement à l'ombre (photo) et situé à environ 5 mètre du module intérieur. Il n'y a que moi qui a ce problème ?</t>
  </si>
  <si>
    <t>NE FONCTIONNE PLUS DU TOUT ! A FUIR Après 2 mois d'utilisation, ne fonctionne plus du tout. Obsolescence programmée ? Ca fait cher le produit. Je vais en acheter un ailleurs. Si vous avez des recommandations, je suis preneur. Merci à vous !</t>
  </si>
  <si>
    <t>Pas de tee-shirts Bonsoir je viens de recevoir ma commande , à ma grande surprise il n y avais rien à l'interieur du carton ! Cela est intolérable , j espère que vous trouverez une solution à mon probleme . Cordialement</t>
  </si>
  <si>
    <t>Un peu petit Beau  bijou un peu petit pour bracelet pandora.Bien brillant,plus grand aurait été mieux.Se perd parmi les autres charms du bracelet qui restent plus visibles.</t>
  </si>
  <si>
    <t>Cartouche d'encre Les cartouches sont bien , le problème c'est le prix que je trouve exagéré ,quand on connait le prix de l'imprimante à elle seule ,il y a de quoi se poser des questions. Néanmoins ,l'offre proposée ici est intéressante .</t>
  </si>
  <si>
    <t>le confort pour le déroulé du pas ,lors de la marche .</t>
  </si>
  <si>
    <t>jolies boucles d'oreilles une très jolie paire de boucles d'oreilles, bel éclat des pierres, dommage que le métal soit très doré, de ce fait donne vraiment l'impression d'un joli bijou fantaisie et pas d'un "vrai bijou", mais le rapport qualité/prix vaut vraiment la peine de se faire plaisir, je ne regrette absolument pas mon achat</t>
  </si>
  <si>
    <t>Bien mais cher Bon produit mais cher, attention, les boîtes sont vendus à l'unité !!</t>
  </si>
  <si>
    <t>Parfaitement parfait !! Montre en bois, parfait un peu plus grosse que prévu mais fait largement l'affaire je recommande sans problème la montre est légère</t>
  </si>
  <si>
    <t>Chaussure de bonne qualité à prix mini Les chaussures sont de bonne qualité et confortable. Elles amortissent bien les chocs et tiennent bien les pieds. Vous n'avez rien à perdre à acheter ces chaussures en raison du prix (33€) et vous serez même surpris ! A recommander.</t>
  </si>
  <si>
    <t>tres bon produit Colis livré en un jour. Très joli petit emballage, joli design. Beaucoup de choix de senteurs. Tous les soirs, je change de senteur dans mon diffuseur. 5 gouttes à peine suffisent à diffuser une belle odeur dans la maison pendant plusieurs heures. Je recommande vivement ce produit. Rapport qualité/prix imbattable.</t>
  </si>
  <si>
    <t>Comfortable et pas cher pour le boulot à la maison Je fais 1,80m et 100Kg, je travaille avec des chaises assez haut-de-gamme dans le monde informatique depuis plus de 20 ans, ceci pour vous laisser un repère. La chaise est extrêmement comfortable et fait bien son travail. Le dos est bien soutenu. La souplesse et la rigidité de l'ensemble ne fait pas l'équivalent d'une chaise pro mais s'en rapproche et permet de travailler sans souci de longues heures. Le revêtement comme le reste est très "plastique" et peut vous gêner si vous êtes à la recherche de qualité au niveau matériaux. Le montage du dossier est le plus difficile, et pour le réussir seul il suffit de ne rien serrer avant d'avoir mis toutes les vis en place. Les réels plus sont les accoudoirs escamotables et le comfort d'utilisation qui restent très très au dessus du prix demandé. Bons achats à tous.</t>
  </si>
  <si>
    <t>Très beau Le collier est arrivé dans les temps, très beau, dans un bel écrin. Je suis ravie.</t>
  </si>
  <si>
    <t>Très bien Petit, joli et pratique</t>
  </si>
  <si>
    <t>Trousse Très bon produit, de bonne qualité. Assez grande on peut y mettre beaucoup d’affaires.</t>
  </si>
  <si>
    <t>bon produit pour le prix !! Pour le prix franchement rien à redire pour le moment, ça a l'aire plutôt solide, les touche souple sont agréable a utiliser, les potars ne font aucun bruit parasite. OK ce n'est pas un produit pour les "pro", mais moi qui anime 15 soirée par ans et ui ne suis pas un fan du scratch, elle me conviens parfaitement. Le programme fourni avec fonctionne correctement. A noter que pour l'utilisé avec virtual DJ il faut payer presque 100 $ !!  Bref je recommande à tous ceux qui veulent mixer simplement a petit prix !!</t>
  </si>
  <si>
    <t>top cadeau</t>
  </si>
  <si>
    <t>A suivre Premier essai dans 3 jours</t>
  </si>
  <si>
    <t>RAS. RAS.</t>
  </si>
  <si>
    <t>Ok Niveau qualite prix, imbattable. Elle fait son travail...</t>
  </si>
  <si>
    <t>Nettoyage parfait.odeur superbe L'odeur est juste superbe.ca sent super bon.ça laisse l'odeur dans toute la maison.c'est très agréable.et elle nettoie bien les vetements.impeccable</t>
  </si>
  <si>
    <t>LA PAIX DES MENAGES d'abord un grand merci à :Anthony, Moloko,Alexia,Fafaletek et Patrick qui ont répondu à ma question : grâce à cette petite communauté Amazon j'ai acheté sans crainte ...et en offre reconditionnée ! il ne manquait que l'emballage, abimé. résultat : en titre ! la paix des ménages ! chacun son casque ! je garde "mon" 770 pour "mon" pc, il garde "son" 990 pour "sa" chaine hifi ..et chacun est satisfait selon ses besoins; les caractéristiques répondent tout à fait à ce qui m'a été signalé , je n'ai qu'à ajouter que c'est un casque ouvert pour le confort mais qu'il ne gêne pas du tout l'entourage , la scène est plus ample que sur le 770 : il convient mieux pour la musique symphonique par ex.Et le rapport qualité/prix est très satisfaisant; maintenant, un casque audio, ça dépend aussi des oreilles qu'on met dedans , c'pas?</t>
  </si>
  <si>
    <t>Parfait Je n'achète que ce soutien-gorge de sport, il soutient bien, de bonne qualité et agréable à porter, n'écrase pas la poitrine.</t>
  </si>
  <si>
    <t>Très bon produit Très beaux chaussons et pratiques car grace à la hauteur de semelle si l'on doit se rendre à l'extérieur occasionnellement par temps humide on n'a pas les pieds mouillés. La taille correspondant bien à celle commandée, bien sûr le cuir se détend un peu et c'est plus facilement enfilable après plusieurs jours.</t>
  </si>
  <si>
    <t>parfait ce cirage est de la bonne couleur. c'est à dire violet foncé qui correspond à la couleur des chaussures achetées ultérieurement.</t>
  </si>
  <si>
    <t>Boîte sale et eclater Le bijou est nickel franchement bien, mais là boîte est totalement éclater, sale pleins de trace de graisse mécanique et abîmer. Je ne le recommande pas pour un cadeau.</t>
  </si>
  <si>
    <t>Très déçu Aucun guide des tailles pour tous les articles Panzeri vendu par cette société. Du coup, le modèle que j'ai choisi était trop petit. Donc retour à mes frais de l'article et au bout d'une semaine toujours aucun remboursement.  En plus l'expédition a été assez longue. Ce n'est pas un vendeur que je pourrai recommander.</t>
  </si>
  <si>
    <t>Inutilisable Ce câble est simplement inutilisable. Il n'est pas du tout blindé et rien que le fait de le déplacer provoque des interférences horrible.</t>
  </si>
  <si>
    <t>Trop long mais agréable à porter Agréable à porter car très doux dommage qu'il soit un peu trop long arrive presque à mi cuisse</t>
  </si>
  <si>
    <t>Mitigé Super niveau grumeaux problème réglé mais par contre très chiant le fait que ça se dévissé tout le temps c est pas de la grande qualité on va dire il faut qu il travaille dessus il vaudrait mieux avoir juste l embout anti grumeaux et qu il tienne plutôt que 2 qui se devissent donc patience mais ça vaut le coup de ne plus voir bebe pleurer car ça ne passe pas dans la tetine mais bien se laver les mains car pas top de devoir recup l'embout dans le bib</t>
  </si>
  <si>
    <t>Bonne qualité. Sans cela les couches lavable ne seraient pas si pratique. Je les utilise depuis 2010 et mes 3 filles ont été en couche lavable. N'oubliez pas que ces feuilles peuvent se laver en cas de pipi uniquement. Elles sont adaptés aux premier mois de bébé, ensuite vous pouvez passer aux feuilles moins épaisses.</t>
  </si>
  <si>
    <t>Pas mal Honnêtement c'est clair elle est canon, pr le prix c'est pas une marque donc elle a tout ce qu'il faut, je mettrais comme bcp de commentaires un bémol pr le lien qui sert à fermer.... C'est galère à fermer.</t>
  </si>
  <si>
    <t>rapport qualité prix au top ! Achetée en beige clair pendant les soldes, donc prix imbatable, et les puma sont super confortable. Reçues rapidement et bien emballées.</t>
  </si>
  <si>
    <t>BIEN Je recommande cette article. Correspond a l'annonce. Agréable au touché. Beau. Rien d'autre a signaler. Très bonne journée à vous.</t>
  </si>
  <si>
    <t>Produit haut de gamme J'ai acheté cette calculatrice graphique pour mon fils, qui entre au lycée. C'est celle qui est recommandée par l'éducation nationale, et on le comprend. Véritable ordinateur, cette calculatrice suivra mon fils jusqu'au bac, et même ensuite, en fonction des études qu'il choisira. C'est un bon rapport qualité/prix, rien à dire.</t>
  </si>
  <si>
    <t>Genial！ je suis très satisfait de ces écouteurs avec son design intra-auriculaire. Ces écouteurs sont exceptionnels pour le prix！</t>
  </si>
  <si>
    <t>Très agréable J'ai acheté cet appareil de massage pour de petites douleurs aux cervicales, et j'avoue que c'est très agréable. Déjà sa forme permet de bien le caler contre le dossier du fauteuil. Ensuite, une fois en marche, il produit un massage ferme mais tout en douceur. La chaleur qu'il diffuse est très douce, elle ne brûle pas. On peut l'utiliser avec ou sans l'émission de chaleur, directement en contact avec la peau, ou à travers un vêtement (à ce moment, la chaleur n'est pas ressentie, mais le massage est très doux).  Une sangle se trouve derrière le coussin de massage et ainsi il peut être fixé en haut d'un dossier de chaise pour le massage de la nuque ou sur l'appuie tête de la voiture. A ce sujet, une prise allume cigare est fournie pour l'alimenter quand on est en voiture. Pratiquant le running assez intensivement, je l'ai utilisé pour me masser les cuisses après un trail assez éprouvant, et je dois dire que ça m'a facilité la récupération. Pour moi, c'est un bon produit !</t>
  </si>
  <si>
    <t>une commande pour une amie mon amie était ravie Elle s'est présentée à la maison avec et  m'a bien montré à quel point elle était à l'aise avec!</t>
  </si>
  <si>
    <t>Très bien . Reçu dans les temps . Ces chaussettes correspondes a ce que j'attendais . Je les utilise pour la marche et le vélo , elle sont confortable et très solide . Je vous conseil de les laver au moins une foie avant de les enfiler , sinon elles seront un peu raide . Donc , pas de mauvaise surprises , s'est du Puma . Je vous les recommandes , surtout pour le prix qu'elle sont vendu ici . Jean 34 .</t>
  </si>
  <si>
    <t>Sobriété et finesse pour ce bijoux contemporain Très jolie bracelet «&amp;nbsp;infini&amp;nbsp;» . Strass sur le signe Infini donnant toute sa finesse à ce bijoux. Bracelet en fil facilement réglable. Succès garantie si vous offrez ce bijoux.</t>
  </si>
  <si>
    <t>A l'aise Aussi bien que les bleus et très solide j'ai alterné une rouge et  une bleu trop la classe Merci amazon</t>
  </si>
  <si>
    <t>Decouverte Parfait</t>
  </si>
  <si>
    <t>Un réveil en douceur (un peu trop), parfait pour des enfants de verre et dispose de très bonnes finitions. Aucun souci de ce côté-là. Idem pour la partie technique. La lumière est douce, les boutons sont faciles d’accès et agréables à utiliser. L’heure est bien lisible sans produire trop de lumière (on peut de toute façon régler le contraste), ce qui est pratique pour ceux qui n’aiment pas être dérangés par des sources lumineuses quand ils dorment. La radio marche bien aussi.  Avantages: +le mode réveil doux qui augmente la lumière et le son tout doucement. Intégralement  paramétrable et bien conçu +La veilleuse réglable en intensité +Le mode veilleuse qui éteint la lumière doucement +Les sonneries et bruits d’ambiance variés et agréables à l’oreille Inconvénients -Mode réveil doux un petit peu compliqué à configurer -Mode réveil doux ne réveillera pas les gros dormeurs -La couverture en verre et son poids font qu’il ne résistera pas, à mon avis,  à une chute  Bref, un réveil de très bonne qualité. Je l’utilise dans une chambre d’enfant pour le côté veilleuse et le réveil doux pendant les vacances (pour un réveil fiable, il vaut mieux utiliser la fonction réveil classique)</t>
  </si>
  <si>
    <t>Pour un peu plus de 14€ tb Au mieux cet envoie.</t>
  </si>
  <si>
    <t>beau et pratique Très bon produit très pratique. Conforme au descriptif et en plus une fermeture éclair permet d'elargirr la profondeur du sac</t>
  </si>
  <si>
    <t>Chaussons chauds avec semelle isolante A porter avec des chaussettes... sinon, très bien !! très chauds !</t>
  </si>
  <si>
    <t>chaussures de gymnastique 46 chaussures qui correspond au critère de la haute école au point de vue semelle , correspond à la demande du professeur , belle qualité , livraison rapide , merci</t>
  </si>
  <si>
    <t>bon produit trés pratique , compacte , ideale . avec un filtre anti tartre bien vu ! j'en ai meme acheté un pour ma mere qui est aussi trés satisfaite !</t>
  </si>
  <si>
    <t>bien bon rapport qualité prix fait sont job pour un produit d entretien l'odeur est agréable et la  durée s y trouve</t>
  </si>
  <si>
    <t>Retourné. Je n'est pas pu utiliser ce micro car ma chaîne n emplifiait pas assez le son . J est étais attiré par le prix mais retourné</t>
  </si>
  <si>
    <t>Horrible et toxique ? Qu'attendre d'un produit à 0.88€ livré de Chine ? Bah rien, matière horrible (plastique), gratte, très fin on voit à travers... Je n'imagine pas après quelques lavages l'état de ce truc, mais il n'ira pas jusque là, direct poubelle !  Je me questionne même au niveau de la santé si c'est bien légal, vu l'odeur de produit chimique.  Modèle commandé : noir uni.</t>
  </si>
  <si>
    <t>Problème de fermeture du bracelet j'ai commander 2 bracelets, un cadeau qui a fait très plaisir, dommage il y en a un qui s'ouvre régulièrement et elle ne le porte plus car elle risque de perdre les perles,</t>
  </si>
  <si>
    <t>très moyen pas assez de luminosité, alarme inaudible</t>
  </si>
  <si>
    <t>Parfait Parfait.</t>
  </si>
  <si>
    <t>Bien Bien mais au bout de 3 mois elle ont jaunis sur tout le pourtour de la semelle ...</t>
  </si>
  <si>
    <t>Bien mais compliqué Bien pour un relais aux massages traditionnel Mais pour masser les épaules il faut se caler avec des coussins et c'est assez compliqué</t>
  </si>
  <si>
    <t>Taille plutôt petit Bon rapport qualité prix</t>
  </si>
  <si>
    <t>bonne capacité très bonne capacité et extrêmement facile de défaire la poubelle à chaque fois. on l'utilise quotidiennement et il est toujours en excellent état  depuis 1 an</t>
  </si>
  <si>
    <t>Bien enclencher les cartouches..... Il y a un problème reçurent avec ces cartouches: elles ne fonctionnent jamais au premier essai!. Alors pas de panique : ouvrez le cran de blocage de chaque cartouche et réenclenchez le d un coup sec et ça marchera!!</t>
  </si>
  <si>
    <t>Je peux leur donner cinq étoiles. Pour moi, trouver des écouteurs que j'aime bien n'est pas facile. Mais ici, j'aime leur fonctionnalité et je suis très satisfait de leur apparence simple. J'ai recommandé à plusieurs amis de les acheter.</t>
  </si>
  <si>
    <t>la coupe et le tissu bonne qualité ......j aime bien</t>
  </si>
  <si>
    <t>Très bien pour voyager Très bon rapport qualité prix,pou voyager impec...aucun regret d’achat Merci amazon</t>
  </si>
  <si>
    <t>Couette chauffante Quel plaisir de pouvoir de mettre sous une couette bien chaude lorsqu'on vient de l'extérieur et qu'il fait très froid. Pour ma part je l'ai utilisée une fois et c'est ma compagne qui me l'a réquisitionnée parce quelle est très frileuse. La couette est très douce c'est donc très agréable de s'y blottir. Je recommande.</t>
  </si>
  <si>
    <t>Très bonne qualité Livré très rapidement, les chaussette sont de très bonne qualité et correspond à la description! Je recommande.</t>
  </si>
  <si>
    <t>Des CONVERSE qui son de RETOUR. J'ai DÉJÀ ACHETER ses CONVERSES il y a pas si longtemps que ça ET je me suis dit, OK, j'en reprend un 2ème et même pointures et TOUT est c'est que du beau...heur.  LOL. JE RECOMMANDE ENCORE et TOUJOURS.</t>
  </si>
  <si>
    <t>Très  agréable a porter Montre année 80/90 Légère idéal pour porter tous les jours mais surtout pour les porteurs de chemise a manche longue car comme elle est extra plate elle n'accroche pas à la Manchette De la chemise</t>
  </si>
  <si>
    <t>Sac poubelle qui correspond parfaitement à mes attentes à un prix plus que correct dans le cadre d'un "panier groupé". RAS bon produit.</t>
  </si>
  <si>
    <t>Collier Disney Mickey Très mignon pour faire un cadeau !</t>
  </si>
  <si>
    <t>Tip top Qualité prix imbatable, 8euros livré !!!</t>
  </si>
  <si>
    <t>Au top Au top à fait plaisir à la future maman! Un style assez ancien mais chic dans sa boîte bijou et en prime avec deux ficelles de taille différentes... si future maman est grande ou pas.. c’est très sympa je recommande !</t>
  </si>
  <si>
    <t>Bon écouteurs je recommande Pour écouter de la musique ou faire son sport c'est nickel je m'attendais pas as une aussi bonne qualité je recommande</t>
  </si>
  <si>
    <t>Bon feutres Ces feutres sont utiles pour le BAC, dessins ou juste cours. Je recommande vivement !  Si mon commentaire a été utile vous pouvez le marquer ça m'encouragerais à écrire des commentaires pour vous :)</t>
  </si>
  <si>
    <t>Produit défectueux, 3 fois d'affilée J'ai acheté ce produit une première fois car celui-ci m'avait beaucoup été recommandé. Je n'ai pas été déçu, il a très bien fonctionné pendant environ un an. Après ça, celui-ci n'a plus du tout fonctionné. J'ai donc fait marcher la garantie, Amazon m'en a donc envoyé un autre. Au déballage, celui-ci était également défectueux, produisant un son inaudible. Pensant à un coup de malchance, j'ai à nouveau fait marcher la garantie, rebelote, produit défectueux. Je me suis donc orienté vers un NT-USB de chez RODE.</t>
  </si>
  <si>
    <t>Attention arnaque promo Je devais bénéficier d'une promotion hp de 15€ pour l'achat de plusieurs cartouche (promo toujours affichée) et elle m'a été refusée car on doit faire la demande sous 1 mois (même si la promo est valable jusqu'au 31-10-17). Cette condition est vraiment cachée dans les conditions générales accessible sur le site hp et donc nullement accessible à l'achat (le lien sur les conditions de l'offre menant à un conseil pour imprimer sa facture amazon ?!). Impossible d'obtenir réparation malgré appels au sav Amazon. Je suis très déçue, moi qui avais toujours apprécié le service Amazon...</t>
  </si>
  <si>
    <t>Vu le bignou, et le prix... Parfait Ca répond à mes besoins actuels. A 40€ je referais le même choix. Le tout semble de bonne qualité bien que le crossfader semble un peu léger.</t>
  </si>
  <si>
    <t>Pas si mal La qualité est bonne, et le produit aussi, pour pa brassiere , elle est bien pour tout les jours mais pas pour faire du sport</t>
  </si>
  <si>
    <t>tussus trop epais des chaussures qui me plaisent beaucoup mais un tissus tres dur et qui manque de souplesse ce qui cree une douleur au pieds j ai du achete des elargisseurs en bois et pour l instant j attends le resultat mais j ai deja eu des amploules!</t>
  </si>
  <si>
    <t>Très bien Très bien ne regrette pas mon achat</t>
  </si>
  <si>
    <t>très bien reçu dans les temps, conforme aux attentes</t>
  </si>
  <si>
    <t>la taille et la qualité du tissu. Très bon produit bonne qualités .</t>
  </si>
  <si>
    <t>idee cadeau jolie chaine argent de bonne qualité</t>
  </si>
  <si>
    <t>Une qualité de micro professionnel accessible à tous La qualité du micro et professionnel le son est super aucun bruit autour ça enregistre exactement ce qu'il y a en face de vous comme quand vous l'avez écouté c'est franchement le micro accessible à tous pour une qualité professionnelle à la maison</t>
  </si>
  <si>
    <t>Très bien Parfait pour l apprentissage du pot Les feuilles ne sont pas en carton mais reste rigide pour un tout petit</t>
  </si>
  <si>
    <t>Très bien Conforme aux images, il a l'air solide.  Il est assez grand pour y rentrer un iPad pour ceux que ça intéresse.</t>
  </si>
  <si>
    <t>Excelente Excelente</t>
  </si>
  <si>
    <t>Chose a avoir pour aerographe Nickel pur dillution aerographe..</t>
  </si>
  <si>
    <t>très pratique super produit, marche très bien, une cable USB fournie.</t>
  </si>
  <si>
    <t>Très bon rapport qualité/prix ! Me satisfait beaucoup ! Pas chère, résistant et assez grand ! Je l'utilise sur un Samson C0U1.  De plus, il réduit un peu la résonance !</t>
  </si>
  <si>
    <t>ma platine revi Après une longue période sans fonctionner,la courroie de ma platine c'est désagrégée .Cette courroie m'a permis de faire revivre cette chose sur laquelle je peu réécouter ma collection de vinyle.Quel plaisir</t>
  </si>
  <si>
    <t>compacte idéal pour ranger les bureaux , bon rapport qualité-prix</t>
  </si>
  <si>
    <t>Compact, compatible, un bon son Acheté pour mon fils, une fois connecté, il est venu me voir pour me dire : c'est génial, quel bon son. Compact, ne tient pas de place. Compatible avec presque n'importe quel appareil, mon fils à un honor et ça fonctionne parfaitement. Il les utilise pour faire du VTT, il est ravi. Je recommande vraiment.</t>
  </si>
  <si>
    <t>Magnifique Très jolie, reçu très bien et dans le temps marqué.</t>
  </si>
  <si>
    <t>Bon casque rapport qualité prix casque sans fil bluetooth 4.1 petit ,léger prend en charge un micro sd jusqu a 32 GO une très bonne qualité de son ,facile transporter il est pliable et léger compatible IOS ET ANDROID ce recharge en 2 heures et la batterie tiens de 6 a 8 heures selon l usage musique ou conversation téléphonique  Très bon rapport qualité prix. Je recommande pour ceux qui veulent un casque Bluetooth de bonne qualité pas très cher.</t>
  </si>
  <si>
    <t>Bom Bom</t>
  </si>
  <si>
    <t>bon produit Je m'y attendais pas. Legging a dépassé mes atteintes. Il est bien taillé, montre très belles formes. Les petites poches sont pratiques. La matière est douce, agréable à porter. La taille est haute est, cache bien le ventre. Il est un peu longue pour moi, mais ça ne me dérange pas, car legging lui-même est bien assis sur le cors. Satisfaite de la qualité de ce produit, je recommande.</t>
  </si>
  <si>
    <t>les temps et les crocs sont  durs les  crocs  ne  sont  plus  ce  qu'ils  étaient ...celles  la  sont  dures , peu  confortables .Les  crocs  c'est  un look  peut être  , mais  surtout  un confort , non ?</t>
  </si>
  <si>
    <t>UTILE Avec seulement une dizaine d'utilisations l'appareil ne fonctionne plus, manette bloquée, recharge de gaz vidée, et bruit d'un objet dans la tête de commande ? Dommage car utile pour réduire les plastiques de bouteilles d'eau gazeuse. Retour de l'appareil !</t>
  </si>
  <si>
    <t>Pourri à ne pas acheter ! Pourri elles sont déjà décollées sur le côté, pour le prix c'est la honte !!! Je ne recommande pas du tout.</t>
  </si>
  <si>
    <t>TRES DIFICILE A EFFACER LE ROUGE Le rouge s'efface très mal, pas idéal pour un tableau blanc. Surtout ne pas laisser l'écriture plus d'une heure ou deux, il faut frotter très fort pour effacer le rouge.</t>
  </si>
  <si>
    <t>Déçu par le produit mais bon vendeur Ayant une tête de petite taille j'avais du mal a bien placer le casque pour avoir une écoute correcte. De plus, le son est entendu par tous le monde dans un open space, ne correspond pas à mes attentes. Le vendeur est cependant très bon, il m'a contacté par la suite pour trouver une solution, respect des délais, très aimable etc. Je recommande</t>
  </si>
  <si>
    <t>Je recommande qualité prix J'adore ces bic's, c'est un véritable plaisir d'écrire avec, cela faisait longtemps que je cherchais une telle qualité. je ne suis pas déçue, de plus il efface rapidement sans laisser de trace nos petites erreurs et se recharges facilement. Je ne peux que recommander.</t>
  </si>
  <si>
    <t>Superbes et de belle qualité Magnifiques boucles d'oreilles féminine et élégante et sa couleur bleue et exactement comme la photo</t>
  </si>
  <si>
    <t>Top pour le sport Très belle montre, par contre l'éclairage est moyen c'est pour ça que j'enlève une étoile.  Elle est très robuste, c'est du bon matos G Schock c'est très solide ;o)  Dernier point elle est prise de tête à régler car trop de fonction mais ça c'est annexe.</t>
  </si>
  <si>
    <t>Parfait J'avais hésité avec un autre micro de meme gamme et je suis ravie d'avoir choisi celui-là. Le timbre est chaleureux et surtout le micro est très solide, je l'ai fait tombé et il est resté impeccable ouf, belle qualité.</t>
  </si>
  <si>
    <t>Cadeau On s'est bien amusés avec ce microphone. Super cadeau !</t>
  </si>
  <si>
    <t>Excellent produit Cérémonie de mariage</t>
  </si>
  <si>
    <t>Belle montre qui fonctionne toute seule La livraison est rapide et l'emballage simple. A l'intérieur une montre sobre qui trouve l'heure exacte toute seule. Le métal du bracelet et la finition du cadran donnent à la montre un sentiment de qualité. Même si les touches sont un peu dures, les fonctions sont assez simples à paramètrer. En main depuis quelques jours seulement, elle me plait beaucoup.</t>
  </si>
  <si>
    <t>Je recommande a 100% Prix très convenable pour la qualité des écouteurs reçu. Beau design, ne fait pas mal au oreilles. Le plus important- Je l'est est fait tomber plusieurs fois dans l'eau et il non jamais rien eu. Je recommande!</t>
  </si>
  <si>
    <t>Bien pratique ! J'ai pris cette montre dans le cadre d'un voyage sac à dos de plusieurs mois, sans regret !  Pour : + peu chère, s'il lui arrive un "accident" ce n'est pas dramatique + discrète (idéale pour de petits poignets ! contrairement aux montres baromètres...) + durée de vie au sens large (batterie et résistance du boîtier) + indémodable  (... ou démodé depuis toujours ! c'est selon :-))  Neutre ou méfiant : ~ le bracelet tient toujours, mais effectivement (pour rebondir sur d'autres commentaires) c'est souvent le premier point qui lâche sur ce type de montre ! ~ l'alarme est très (trop) discrète</t>
  </si>
  <si>
    <t>Nikel Super qualité prix</t>
  </si>
  <si>
    <t>bon article bon produit très bien j’espère que  sa marche tripe protection</t>
  </si>
  <si>
    <t>Parfait pour devenir le prochain Messy Le produit est conforme et de bonne qualité. la laine est douce et suffisamment épaisse. Je recommande ce produit sans hésiter.</t>
  </si>
  <si>
    <t>Claquettes très confortables ! Elles sont très agréables, je ne les quitte plus, elle sons constamment à mes pieds !</t>
  </si>
  <si>
    <t>Fini les coliques Diminue de quantité les coliques ! Par contre gros débit pour bebe de 2 mois malgré tout.</t>
  </si>
  <si>
    <t>satisfait mais un regret bonne cartouche mais son prix élevé permet à Canon de compenser le prix modique de ses imprimantes</t>
  </si>
  <si>
    <t>parfait De bonne qualité, envoie rapide et bien emballé. Je recommande cet achat, pour un petit sac contenant juste ce qu'il faut.</t>
  </si>
  <si>
    <t>Bon produit. Reçu dans les délais et conforme à mes attentes.</t>
  </si>
  <si>
    <t>cool Jolie montre bien empaquetée et identique à la photo, mais son défaut est que les chiffres ne vont que jusqu'aux deux chiffres des millions. (Anastase, 10 ans)</t>
  </si>
  <si>
    <t>Simple et naturel La pédiatre de notre grand a toujours été contre les stérilisateurs car les pastilles de l'époque pouvaient apporter une dose d agents extérieurs. Ici pas de soucis, la stérilisation est faite par la vapeur. L interieur des biberons et tétines sera stérilisé efficacement et ils  seront prêt à être remplis de nouveau. Imposant mais remplace 2 appareils . On adore la simplicité et la sécurité du système.</t>
  </si>
  <si>
    <t>Défauts Cela fait 9 mois que j'ai cette montre, et vraiment, elle est bien. Ou en tout cas elle est belle, il n'y a rien à redire sur son apparence. En revanche... les aiguilles sont quasiment invisibles dans le noir alors qu'étant phosphorescentes, elles devraient briller. Ensuite, le cuir à l’intérieur du poignet commence à s'ouvrir. Et surtout, le gros point faible, c'est l'odeur. N’espérez plus reposez votre tête dans votre main, l'odeur vous réveillera tout de suite...  Je l'ai lavé à la brosse et cirée, rien n'y fait, l'odeur finit toujours par revenir. J'ai déjà porté des montres en cuir mais c'est la première à me faire ça.</t>
  </si>
  <si>
    <t>Appareil en panne totale dès la première semaine! A fuir!!! Premier achat de cet appareil en octobre 2018 qui tombe en panne 6 mois plus tard (impossible de le démarrer). Retour sous garantie à Amazon qui reconnait le problème t propose l'envoi d'un appareil neuf. J'accepte cette proposition satisfaisante et reçoit ce nouvel appareil. Hélas il présente le même défaut après une semaine de fonctionnement erratique. J'aurais dû accepter le remboursement également proposé par Amazon. J'ai retourné ce second exemplaire et attend une offre d'Amazon. Modèle à fuir!!!</t>
  </si>
  <si>
    <t>Bof Hum Scotch 3M? remarquez, ça a peut être baissé en qualité 3M, au point que ça se déchire juste en le déroulant. A moins qu'il n'y ait 2 usines de scotch : une qui fabrique du scotch et l'autre qui fait... heu... ce... enfin ce truc jaune.</t>
  </si>
  <si>
    <t>Fait son travail, sans plus Il chauffe bien et fonctionne mais sa forme n'est pas non plus idéale : ce tour du cou ne chauffera que le bas du cou, éventuellement les trapèzes. A moins de s'allonger, difficile d'atteindre les cervicales du haut.</t>
  </si>
  <si>
    <t>bien pensé mais gare aux fuites... Chauffe biberon à la fois simple et bien pensé. Peu etre utilisé pour réchauffer 2 biberons au cours de la sortie. Un seul bemole, une fuite est apparu au niveau du bouchon, j'ai retrouvé mon sac à langer trempé! J'ai beau bien reserer le systeme la fuite persiste.</t>
  </si>
  <si>
    <t>Bien Bien conforme</t>
  </si>
  <si>
    <t>TRES BON PRODUIT idem</t>
  </si>
  <si>
    <t>Bien taillé Ma petite fille est ravie de ce produit et comme c'est une princesse : elle reviendra dans vos rayons !</t>
  </si>
  <si>
    <t>C'est cool Bien cette huile essentielle....rien à dire pour se faire du bien avec un remède naturel et sans produits chimique. A tester pour ce qui aime les huiles essentielles.</t>
  </si>
  <si>
    <t>que de l'excellente qualité française de la marque dodie pour ce joli coffret naissance Je suis fidèle à DODIE que j'utilise depuis des années pour mes nourrissons dont j'ai à m'occuper comme nounou. ce coffret est très joli et a tout ce qu'il faut pour un enfant de la naissance à 3 mois environ, voire un peu plus.  Il y a 3 biberons en verre comme on achète dans les très bonnes pharmacies et 3 tétines anti-colique, celles ci ont la forme du sein maternel,  ainsi qu'une sucette dès la naissance jusqu'à 3 mois environ.  Je prends toujours quand j'en ai connaissance cette marque avec sa fabrication française, signe de grande qualité et surtout qui sont garantis sans bisphénol a ni bisphénol.</t>
  </si>
  <si>
    <t>impeccable mais attention à la pointure ! très bonne facture, aucun défaut, pour 85,84€ livré plus retour gratuit, peux pas mieux faire! (surtout pas timber) Si, commandé le 22-12-16, reçu le 23..........je les souhaitais depuis longtemps ! Merci encore !  PS je chausse du 41.5 mais grâce aux autres avis, j'ai commandé deux paires avec une taille de pointure en dessous ce qui m'a évité de les renvoyer !!!  &lt;a data-hook="product-link-linked" class="a-link-normal" href="/Caterpillar-Colorado-Bottes-Chukka-homme-Noir-Black-41-EU/dp/B0050B40VE/ref=cm_cr_arp_d_rvw_txt?ie=UTF8"&gt;Caterpillar Colorado, Bottes Chukka homme, Noir (Black), 41 EU&lt;/a&gt; &lt;a data-hook="product-link-linked" class="a-link-normal" href="/Caterpillar-Colorado-Bottes-Chukka-homme-Marron-Chocolate-41-EU/dp/B001HB5XP8/ref=cm_cr_arp_d_rvw_txt?ie=UTF8"&gt;Caterpillar Colorado, Bottes Chukka homme, Marron (Chocolate), 41 EU&lt;/a&gt;</t>
  </si>
  <si>
    <t>Taille du vêtement adaptée. Livraison rapide. Promotion prix. Esthétique, simplicité, qualité, taille L adaptée. Très bon sweet Adidas.</t>
  </si>
  <si>
    <t>Converse all star Commander sans problème</t>
  </si>
  <si>
    <t>Boucles d'oreilles Femme ANGEL NINA Bonjour ; Très beaux bijou de belle facture et surtout qui  on fait énormément plaisir a mes petites filles je les recommande pour toutes occasions</t>
  </si>
  <si>
    <t>Excellent rapport qualité prix! Utilisation avec imprimante à jet d'encre. Très bon résultat. Je viens d'acquérir une imprimante laser, on verra si le résultat est aussi bon. En tout cas, prix très correct, livraison très rapide et bonne qualité.</t>
  </si>
  <si>
    <t>Chaud bouillant ! 🔥🍵 J'ai beaucoup de produits de marque Bosch, je n'ai pas trop réfléchis pour acheter cette bouilloire. mon choix s'est porté sur celle-ci car j'adore la couleur elle est magnifique. j'ai également le grille-pain dans cette couleur ça se marie très bien. avec ma cuisine. Rien à redire sur l'utilisation elle est très facile on met de l'eau on appuie sur le bouton et ça chauffe, une bouilloire quoi 😁. J'ai bien le fait qu'il y ai le nombre de tasses a côté de la contenance. Les graduations sont bien visibles et vont jusqu'à 1,7 L.</t>
  </si>
  <si>
    <t>Parfait Parfait pour le filtrage des bruits sourd et constant. Petit bémols sur les voix qui passent quand même à travers le filtrage. Le son est quand même très orienté basse (a priori une constante Bose)</t>
  </si>
  <si>
    <t>chaussons Chaussons super chaud et agréable, avant d'acheter j'avais regardé les commantaires et j'ai bien fait, comme apparament ils taillaient petit j'ai pris une taille au dessus, c'était donc parfais niveau taille et pour l'odeur désagréable de colle, je les ai fait tremper une nuit dans de la lesive, ensuite un peu d'adoussissant, un séchage à l'exterieur, et plus d'odeur. Je recommande</t>
  </si>
  <si>
    <t>Confortable Le casque est efficace et confortable, ce sont ses 2 points positifs principaux. De plus, le son est clair et j'ai aussi remarqué qu'il marchait à quelques mètres de distance de plus que mon ancien casque (qui avait coûté le même prix) donc cela me permet de me balader avec dans toute la maison. Après plusieurs heures d'utilisation il me reste encore de la batterie. Les boutons sont intuitifs et après avoir testé, le son est bien contenu et très peu audible pour ceux qui ne portent pas le casque. Pas de risque de déranger du coup. Je recommande cet achat pour les budgets limités et pour ceux qui cherchent quelque chose de léger et efficace.</t>
  </si>
  <si>
    <t>Excellent Cadeau pour ma mère qui avait mal au cou, elle adore, elle ne s'en passe plus vraiment je le recommande. Je l'ai testé c'est confortable et une fois chauffé c'est tout bonnement agréable.</t>
  </si>
  <si>
    <t>Bracelet cuir Bonjour reçu en temps et en heure, agréablement surpris bien emballé et facile à monté je le conseil !</t>
  </si>
  <si>
    <t>Pantoufle de sécurité Conforme à la description sur le site. La pointure est parfaite (43 avec pied large). Des pantoufles de sécurité. Légères et souples utilisation en intérieur et dans un bureau Attention pas vraiment faites pour des chantiers</t>
  </si>
  <si>
    <t>CONQUISE C'est LE Soutien gorge de sport !! je fais du fitness, marche , footing depuis plus de 15 ans et je n'ai jamais porté un soutien gorge pareil ! Il n'y a pas d'armature, le maintien est impeccable. J'ai sauté durant 5 minutes comme une folle tellement je n'y croyais pas. Le plus, c'est le dos nageur. Je fais un bon 90 D avec un petit dos, taille 38 et je suis ravie. Ce soutien gorge bat largement les autres marques dans lesquels j'ai déjà investit. Et le prix défie toute concurrence. JE RECOMMANDE, aucun regret. Satisfaite de la livraison rapide: 2 jours !</t>
  </si>
  <si>
    <t>Taille bien et confortable Taille bien et confortable</t>
  </si>
  <si>
    <t>Pas vraiment du A4! Déçu, j'avais acheté ce sac en pensant obtenir un vrai format A4, comme précisé dans les dimensions et sur les schémas, mais en réalité le sac fermé mesure 28cm et non 30cm. Si vous voulez mettre un document A4 dans ce sac, il faudra au moins laisser le zip du dessus grand ouvert, et tendre le rabat au maximum pour que les deux velcros se touchent à peine. Voir ci-joint les 3 photos du sac fermé (avec mesures), ouvert avec des documents A4, et "fermé" avec les mêmes documents A4 (souples, d'une dizaine de pages, et repliés au fond pour pouvoir fermer les velcros). Les véritables dimensions devraient être présentées, ou au moins préciser que le rangement A4 n'est possible qu'avec la sacoche ouverte.</t>
  </si>
  <si>
    <t>Rien avoir avec les photos Pas satisfaite du tout je les ai acheté afin de remplir un livre d'or à page noir pour mon mariage le résultat est nul. Les couleurs ne correspondent pas à la vente on vois presque rien même après séchage complet du feutre. Je suis très déçu.</t>
  </si>
  <si>
    <t>super comme sur la photos bien epait</t>
  </si>
  <si>
    <t>Satisfaite Niveau taille nous ne sommes pas content. Il est mit nulle part sur la description de l'article que c'est une taille américaine ... Si on avait su on aurai directement commandé la taille au dessus.... La taille commandé 45/46 est une taille 11. Mais nous allons reprendre cette paire tout de même.</t>
  </si>
  <si>
    <t>Belle qualité, esthétique et branché Très joli sweat de belle qualité, belle couleur ! Acheté en taille S pour un ado de presque 14 ans mesurant 1,62 mètres. Il l’adore...</t>
  </si>
  <si>
    <t>Compatible avec ma Canon MG7750 J'utilise ces cartouches en remplacement de celles d'origine pour mon imprimante Canon MG7750. Pour l'instant, tout fonctionne parfaitement. Pour le reste, le rendu des couleurs et l'impression N/B sont conformes à ce qu'on obtient avec des cartouches d'encre d'origine de marque Canon. A valider sur la longueur.</t>
  </si>
  <si>
    <t>tres bonne paire de ballerine achat en noir et blanc , les deux paires sont de bonne qualité ; taille assez grand attention quand même. la semelle isole bien le pied</t>
  </si>
  <si>
    <t>Se sentir bien dans ses chaussures Je n'ai pas encore utilisé ces chaussures mais les ai essayées ,elles chaussent à la pointure exacte et sont confortables.</t>
  </si>
  <si>
    <t>superbe article belle qualité plein de place vraiment contente de mon achat je le recommande superbe article belle qualité plein de place vraiment contente de mon achat je le recommande vraiment en plus très  pratique et identique à la photo</t>
  </si>
  <si>
    <t>Un réveil tout en douceur Les réveils sont compliqués? Et bien, grâce à ce réveil lumière, vos réveils se feront avec davantage de douceur... La lumière éclaire progressivement la chambre 30 minutes avant l'horaire indiqué sur votre alarme. Et laissez-vous aussi réveille aux sons de la mer, des chants d'oiseaux, du violon au autres (parmi les 6 préenregistrés + radio). Les différents réglages sont assez simples à réaliser, la notice est complète: réglages à l'avant de l'appareil et aussi sur le dessus (photo 3). Ce que j'apprécie aussi, c'est le design du produit: courbes arrondies, effet zen et épuré, une poignée à l'arrière (voir photo 3). Pour le branchement: soit sur secteur mais attention il y a un cordon USB fourni sans l'embout secteur, soit par piles. Destiné à mon fils: ce réveil fait aussi fonction de veilleuse, différents couleurs (lumière blanche et couleurs), on peut choisir une couleur ou bien les faire défiler. Objet qui plaira aussi bien aux enfants qu'aux adultes! Ravie de mon achat! Je conseille!! Et bon réveil à tous!</t>
  </si>
  <si>
    <t>Cartouches Top. Cartouches XL, portent très bien leurs noms. On peut s'apercevoir que le poids par rapport à la marque d'origine est vraiment différent. L'imprimante vous dit que si vous n'utilisez pas les cartouches d'origines vous perdrez la garantie mais au prix de l'encre , je crois que ces cartouches valent largement l'origine. Les puces intégrées vous indiquent le niveau comme les originales. A voir dans le temps comment réagi l'imprimante comme les constructeurs maîtrise toutes les données de celle-ci. Je conseille ces cartouches.</t>
  </si>
  <si>
    <t>Design épuré Efficace pour chauffer de l'eau. Et puis son allure est vraiment épuré</t>
  </si>
  <si>
    <t>Reveil en douceur Facile d'utilisation. Agréable de pouvoir éteindre complémentent la luminosité de l'heure. Dommage de ne pas pouvoir programmer différentes heures de réveil. Prend peu de place ce qui permet de l'emporter et de ne pas encombrer la table de nuit. L'intensité progressive de la lumière permet de se réveiller en douceur avant même que le son choisi (bruit de vague, oiseau, pluie..) sonne.</t>
  </si>
  <si>
    <t>. Parfait ! Absolument rien à dire, taille parfaite, aucuns défaut et livraison très rapide !</t>
  </si>
  <si>
    <t>tres bien tres bien</t>
  </si>
  <si>
    <t>Hyperconfortable Un legging tout confort au motif original. Il taille plutot bien, le tissus semble de bonne qualite et est tres extensible. Adepte des leggings a bas prix (3/5 euros) ne regrette aucunement mon achat.</t>
  </si>
  <si>
    <t>Sécurité Très fonctionnelle mais dû rajouter des semelles à l'intérieur car semelle de dessous pas assez épaisse sinon confortable pas l'impression d'avoir des chaussures de sécurité aux pieds</t>
  </si>
  <si>
    <t>C'est un très bon Kipling Tout est bien : la qualité Kipling,le modèle exactement de la bonne taille et avec plein de poches, la contenance,  la couleur (je l'ai commandé en beige), le poids ; je l'utilise même pour emporter mon ordinateur portable en avion... Livré dans les délais... Cliente satisfaite !</t>
  </si>
  <si>
    <t>Parfait pour hp envy photo 6232 J'ai acheté ces cartouches pour mon imprimante hp envy photo 6232 et je n'ai eu aucun soucis. Moins cher qu'en magasin donc ravie.</t>
  </si>
  <si>
    <t>Quelle qualité! la qualité est top, même mieux que mes airpod de la pomme. Ils tiennent aussi beaucoup mieux à l'oreille. L'autonomie est parfaite. à peine sorti de l'emballage, ils se connectent en 5sec au tel.. pas besoin d'être bricoleur ou informaticien pour les faire fonctionner. Regarder bien la notice pour le sens de mise à l'oreille.</t>
  </si>
  <si>
    <t>Au Top J’aime beaucoup. Bonne tenue et sens super bon</t>
  </si>
  <si>
    <t>Elles sont parfaotes Elles sont parfaotes</t>
  </si>
  <si>
    <t>Parfait pour le petit prix Je viens de le recevoir et de l'utiliser pour découper 20 pièces de coton., il est top, il semble léger mais fait parfaitement le travail.</t>
  </si>
  <si>
    <t>pas fan :) On est un peu obligé de prendre ces cartouches mais l'autre jour apres une impression, cartouche noir défaillante, obligé d'en changer .... bref l'arnaque et on est obligé d'en reboire si on les remplis pas soi-même (tâche a laquelle je m'attelle).</t>
  </si>
  <si>
    <t>Mauvaise expérience Je ne recommande pas du tout ce produit. Une oreillette ne tient à peine qu'une heure une fois chargée. Problèmes  récurrents de micro coupure. Fuyez pauvre fou.</t>
  </si>
  <si>
    <t>Gros regrets: transforme la voix J'ai acheté ce micro dans le but de réaliser des enregistrements vocaux. A partir d'un logiciel (wavepad) sur mon ordinateur, j'expérimente ... lorsque ce micro n'est pas branché et que le micro intégré de mon ordinateur prend en charge l'enregistrement, les tonalités de ma voix sont bien respectées (mais la qualité du son n'est pas excellente); une fois le micro bird branché, la qualité du son est nettement meilleure, mais les tonalités de ma voix sont totalement modifiées !! Après de multiples essais, je me vois réduite à effectuer mon enregistrement sans micro, ou rechercher un autre micro..</t>
  </si>
  <si>
    <t>Confortable mais adhérence sur sol humide très mauvaise Confortable, proche du sol et facile à enfiler.  Taille petit : prendre 1/2 pointure de plus.  Gros défaut qui lui coûte un bon score : très mauvaise adhérence sur sol humide ! A la limite du dangereux. Dommage, car du coup les crampons profonds qui inspiraient confiance n'ont en fait guère d'autre utilité que de retenir la saleté...</t>
  </si>
  <si>
    <t>Malheureusement elle prenait l eau alors qu elle etait vendue pour etanche j ai du la retourner. Jolie montre.</t>
  </si>
  <si>
    <t>Satisfaite Je viens de les recevoir Pour l instant contente Bonne pointure.. légère.. tient bien au pied</t>
  </si>
  <si>
    <t>Moyen Produit bien mais le seul point negatif est sûils ne tiennent pas bien il faut les tenir sinon ils tombe</t>
  </si>
  <si>
    <t>pratique Pour un prix défiant toute concurrence, ce masseur permet de se masser le cou et le haut du dos ( là ou j'en ai le plus besoin, mais il est également possible de se masser le bas du dos ou les jambes. Le massage est vraiment fort, mais j'apprécie.</t>
  </si>
  <si>
    <t>ensemble bijoux très joli, très agréable a porter. ca fait son effet</t>
  </si>
  <si>
    <t>Taille un peu petit Je marche toute la journée pour mon travail et je suis bien a l'aise dedant.</t>
  </si>
  <si>
    <t>Très bon massage C’est bien cette massage, car elle est ensemble 2 en 1, pouvoir un coussin et pouvoir un massage de épaule, très facilement utile, moi utilise par pour tout , explique : message dos ; bras ; jambes ; cou etc..., c’est vraiment bien utilisé quand nous avons fatiguée, mais j’ai achetée pour préparer un cadeau de Noël, c’est très bon pour cadeau, je recommande.</t>
  </si>
  <si>
    <t>Rien a dire Parfait</t>
  </si>
  <si>
    <t>Hotte Un peu bruyant</t>
  </si>
  <si>
    <t>Utilisation professionnelle Bien que recommandée pour une utilisation domestique, je l'ai acheté pour un usage professionnel (étiquetage de tableaux électriques) au vu de sa petite taille et de sa simplicité d'utilisation (je ne suis pas un expert en technologie et perds vite patience). Je suis tout à fait satisfait des résultats obtenus, fonctionne avec 6 piles ou adaptateur 9V-18W, peu encombrante et d'un design séduisant, je recommande vivement. Expédition rapide et soignée reçue bien avant la date annoncée, produit dans son emballage d'origine scellé, le prix est modique et le professionnalisme notoire du vendeur à féliciter.</t>
  </si>
  <si>
    <t>Conforme à la description Mon fils a adoré cette collection, les livres sont un peu petits mais je le savais avant de commander l'article.</t>
  </si>
  <si>
    <t>Je recommande Très bonne qualité</t>
  </si>
  <si>
    <t>Bien Bien</t>
  </si>
  <si>
    <t>Conforme Livraison et conformité du produit ok</t>
  </si>
  <si>
    <t>Très pratique Très petit et facile à transporter, le son est très clair et la charge est rapide</t>
  </si>
  <si>
    <t>estetique pratiques</t>
  </si>
  <si>
    <t>agreablement surprit &lt;div id="video-block-R2FXO5T4RWX4T6"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src="https://images-eu.ssl-images-amazon.com/images/I/91ALpclgcOS.mp4" style="position: absolute; left: 0px; top: 0px; overflow: hidden; height: 1px; width: 1px;"&gt;&lt;/video&gt;&lt;/div&gt;&lt;div id="airy-slate-preload" style="background-color: rgb(0, 0, 0); background-image: url(&amp;quot;https://images-eu.ssl-images-amazon.com/images/I/81Pb0-5HuxS.png&amp;quot;);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value="https://images-eu.ssl-images-amazon.com/images/I/91ALpclgcOS.mp4" class="video-url"&gt;&lt;input type="hidden" name="" value="https://images-eu.ssl-images-amazon.com/images/I/81Pb0-5HuxS.png" class="video-slate-img-url"&gt;&amp;nbsp;produit conforme a la description , je suis epater pour le prix , tun super beau cadeau a offrir !!!! un embalage digne d un bijou , tres bien emballe . la motre et tre jolie , assez grosse mais facile a utiliser . elle fait chronometre , date heure et alarme , le retroeclerage est bien net . les boutons sont facile a utiliser , le bracelet est en abs plutot confortable  il y a un petit objet qui d apret ce colle derierre les tel portable , afin de servir de support pour voir des video sur tel , c est fournis dedans , mais je m en servirai pas . quand au bracelet fournis en plus de la montre c est tres sympas et jolis , ca fait bien mieux que d offrir que la montre ! la notice est asse claire  mais elle est en anglais</t>
  </si>
  <si>
    <t>super produit très bon produit aussi bien sur de la boue que sur la neige. utilisation pour un poids lourd 95 kg pour 1m93 et RAS</t>
  </si>
  <si>
    <t>Conforme à la description Pour marcher..très agréable et confortable..</t>
  </si>
  <si>
    <t>Jolie montre homme rempli sa fonction Bon produit rempli sa fonction éclairage top</t>
  </si>
  <si>
    <t>super trop bien super cadeau elles vont êtres super contentes bon surement pas leur parents super son  pas trop lourd  maintenant a voir en pleine nuit pour les lumières</t>
  </si>
  <si>
    <t>Ne tient pas dans le temps et le debit est trop rapide. Difficile a utiliser chez un petit. Debit trop rapide pour du lait+cereales. Cela convient pour les soupes ou lorsque ma fille est tres préssée de finir son biberon, mais ce n'est pas le mieux. Il y a une grosse différence ente le debit des tetines rapides qui ont un simple trou et le debit variable en croix. De plus avec le temps, la tetine se dechire, agrandissant l'ouverture en croix. Donc a changer tres regulierement. Je continuerai d'en commander car il n'y a pas d'intermediaire mais cela reste dommage.</t>
  </si>
  <si>
    <t>Pas de produit dans la boîte ! Bravo je reçois le colis pour la saint Valentin et je découvre la boîte vide ! Remboursez moi !si j’avais pu mettre -10 étoile je l’aurais fais</t>
  </si>
  <si>
    <t>Sandales Sandales de mer, piscine : Les semelles se sont décollées en quelques jours, j'ai dû les recoller, sandales de mauvaises qualité.</t>
  </si>
  <si>
    <t>Biberons Anti-coliques pas top pour le prix Quelques soucis avec ces biberons : Les valves sur les grands biberons ne fonctionnent pas ce qui fait que la tétine s'enfonce (peut être parce que nous utilisons du lait épais ?) Ensuite les inscriptions de quantités sur les biberons commencent à s'effacer au bout d'une semaine d'utilisation. La forme des biberons fait qu'il reste toujours du lait dedans à la fin de la tétée. Seul point positif pour moi, les tétines qui ont une bonne forme pour la prise en bouche par bébé.</t>
  </si>
  <si>
    <t>Bon rapport qualité prix Chaussent petit Les lacets sont difficiles à nouer sur la partie supérieure La semelle est très confortable Le maintien est parfait</t>
  </si>
  <si>
    <t>gommettes produits correct</t>
  </si>
  <si>
    <t>Une montre qui fait l'affaire Solide et fonctionnelle pour un prix raisonnable. Je recommande ce produit pour une utilisation dans un cadre sportif où professionnel (armée, sécurité...)</t>
  </si>
  <si>
    <t>Qualité au top, encore trop de plastique La bouilloire fonctionne très bien, la sélection de la température est très aisée. C'est un détail mais elle aurait pu être simplifiée : sélection de la température puis bouton marche/arrêt, aurait pu être simplifiée en appuyant seulement sur le bouton de la température. Fonction de maintien au chaud pratique (pas automatique, il faut appuyer sur un troisième bouton). Dernier reproche, le plus dérangeant à mon goût : la présence de plastique au niveau de l'intérieur du couvercle (pas en contact avec l'eau mais avec les vapeurs), du support de filtre à calcaire (peut être en contact avec l'eau si trop rempli ou lorsque l'on verse l'eau chaude) et l'indicateur du niveau de l'eau.</t>
  </si>
  <si>
    <t>Montre Benyar Montre assez simple. Assez confortable mais qui fait son petit poids.  Cadran lisible.  Réduction importante (37€ au lieu de 114€ lors de la rédaction de ce commentaire) ce qui vient faire douter de la qualité. Je ne connais pas trop le domaine aussi j'appelle à la méfiance.  Au premier abord rien à dire mais je pars de base sur une montre à 37€. Si c'était plus cher je me poserais plus de questions.  Bon produit.</t>
  </si>
  <si>
    <t>Très bien Cadeau pour ma belle mère elle est ravie et s’en sert très souvent</t>
  </si>
  <si>
    <t>Un jeu d'enfant pour monter le nouveau  bracelet J'ai aimé le tourne vis livré avec le bracelet</t>
  </si>
  <si>
    <t>Le livre dont on a l'usage longtemps offert à un garçonnet de 3 ans, il lui apportera des réponses dont il comprendra d'autres détails dans quelques années.</t>
  </si>
  <si>
    <t>Comme un gant Je fais mon footing avec ce pantalon et du yoga. On ne le sens pas du tout, colle bien à la peau sans avoir l'impression d'être compressée. Je recommande ce produit.</t>
  </si>
  <si>
    <t>Bien Bien fait</t>
  </si>
  <si>
    <t>Satisfaite Reçu rapidement dans joli sachet. Taille comme il faut, en coton de bonne qualité. Bon maintien au niveau de l’élastique.</t>
  </si>
  <si>
    <t>Étonnamment surprise ! Pour avoir été un peu sceptique au moment de la commande je dois m’avouer totalement convaincue. Premier point le coli devait être livré le 14 décembre hors je l’ai reçu le 27 novembre (premier point positif !). Ensuite j’ai reçu les bracelets dans une petite boîte très jolie (sur la photo) et celle ci était emballé dans du papier bulle. Les bracelets étaient tout les deux emballés dans un sachet plastique qu’en j’ai déjà retiré puis ils étaient encore emballés séparément dans des petites pochette hermétiques. Très très contente de en mon achat, on peut voir également que les bracelets sont de qualité même si le fil paraît un peu fragile..</t>
  </si>
  <si>
    <t>Excellent rapport qualité prix Excellent rapport qualité prix, très beau bracelet fidèle à la description. Il y a des outils prévu pour régler les tailles du bracelet, et c'est bien pensé. Le bracelet fait habillé et donne un aspect très esthétique. Pour la solidité je ne me prononcé pas encore ça ne fait que 2 jours que je le porte. Seul remarque que je peux faire c'est de prévoir un autre bracelet silicone pour le sport car celui ci ne serre pas assez le poignée pour des relevés fiable</t>
  </si>
  <si>
    <t>Top Top juste pas de zip mais sa m'arrange</t>
  </si>
  <si>
    <t>parfait parfait</t>
  </si>
  <si>
    <t>J'adore Super égouttoir à biberon que ce soit au niveau esthétique ou pratique. Je l'ai disposé derrière mon évier et il convient parfaitement. Les biberons sont bien maintenus ainsi que les tétines. La partie verte peut se lever très aisément afin de pouvoir nettoyer et vider l'égouttoir. Le nettoyage est vraiment très simple. Les "pics" ne sont pas souples comme je le pensais mais assez rigide ce qui assure un maintien optimal. J'ai installé 5 biberons sans souci et sans aucun accessoire en plus point Je suis super contente de mon achat et je recommande très fortement ce produit</t>
  </si>
  <si>
    <t>parfait j'ai une imprimante hp desket 3050 qui date un peu. je n'ai même pas eu à la reconfigurer. Les étiquettes s'adaptent parfaitement à l'impression des timbres et aucun soucis dans le passage de l'imprimante. je recommande vraiment ce produit. colle impeccable. prix raisonnable</t>
  </si>
  <si>
    <t>Hyper confortable Hier j'ai testé mes nouvelles chaussures de sécurité pendant une journée de 10h tout le temps debout à marcher et le soir vraiment pas mal aux pieds elles sont légères et confortable et vous les conseils petit bémol sur sol mouillé elles glissent</t>
  </si>
  <si>
    <t>J'adore très frais Très bonne lessive</t>
  </si>
  <si>
    <t>Confortable, qualité Chaussette adapté comme prévu je chausse du 42, pratique pour cette été cela suivra avec mes pentacourt, très bonne qualité et confortable.</t>
  </si>
  <si>
    <t>Moyen Déçue par ce produit. Il fonctionne correctement mais la taille est trop petite.</t>
  </si>
  <si>
    <t>Manue une perle JOLI MAIS MANQUE UNE PERLE ET NE TIENT PAS EN PLACE</t>
  </si>
  <si>
    <t>Contrefaçon? Qualité très médiocre On m'avait assuré que c'était de vraies vans, mais cela au bout de 2.5 mois d'utilisation moyenne (1 à 2 fois par semaine) la toile au milieu du côté interne du pied s'est légèrement déchirée et la qualité reste à prouver. Déçue d'Amazon a qui je faisais confiance, ne les achetées pas ici!</t>
  </si>
  <si>
    <t>Fer pas assez epais Bijoux adapter pour mes locks On reçoit 120 pièce dans des pocheton Très jolies bijoux 3 étoile car les bijoux son très fin donc sa s'abime vite</t>
  </si>
  <si>
    <t>parfait pour la prise de médicaments ce tout petit Dodie-Microbiberon 50ml col étroit tétine 3 vitesses débit 1 - Modèle aléatoire est en fait non pas un biberon pour les tout-petits bébés prématurés, ni pour liliputiens, mais calibré pour administrer les médicaments aux nourrissons. il n'est pas étudié pour être secoué afin de mélanger lait en poudre et eau, mais juste pour recevoir les médicaments à administrer.</t>
  </si>
  <si>
    <t>satisfaite de cet achat un peu grandes mais sans plus, large aux mollet c'est très  bien, parfaites pour le jardin</t>
  </si>
  <si>
    <t>Plus efficace au niveau chauffage ! Après avoir commandé en premier le modèle "choisi par Amazon", je me suis fait livrer ce modèle qui semble plus efficace au niveau chauffage ! Malheureusement le chausson a moins de tenus aux pieds et a un peu tendance s’écrouler ! Mon épouse semble satisfaite, c’est le principal !</t>
  </si>
  <si>
    <t>Bon micro Commandé avec quelques défauts soi-disant esthétique, je me rends compte qu'ils sont vraiment mineur et ne gène pas du tout la qualité de diffusion. Utilisé avec un Xenyx 302usb, les réglages se font facilement, la large capsule permet une très bonne captation de la voix et la retransmission est assez fidèle. En revanche, je mets un 4 étoiles parce que le pas de vis pour filtre anti-pop n'est pas bien usiné, je peut le retirer et le remettre sans dévisser quoi que ce soit.</t>
  </si>
  <si>
    <t>Très bon produit. Très bien pour des sorties VTT...</t>
  </si>
  <si>
    <t>Joli Ras</t>
  </si>
  <si>
    <t>je ne m'en passe plus produit génial pour les baskets, les couettes et serviettes de toilettes entre autre bien sur; parfois donc en complément de la lessive ARIEL Simply</t>
  </si>
  <si>
    <t>Super produit top qualité Bon produit conforme à la description. Le produit masse très bien et fait très peut de bruit. Plusieurs positions pour le massage et notice complète. Cela fait plusieurs semaine que je l'utilise et mon mal de dos est passé. Super produit je recommande</t>
  </si>
  <si>
    <t>Je recommande Rien à dire , le produit est très bien</t>
  </si>
  <si>
    <t>Basket Basket parfaite livraison rapide</t>
  </si>
  <si>
    <t>Pratique pour le sport J'ai acheté ces chaussettes en lot de différentes couleurs pour mes séances de sport. Je les trouve très bien, de bonne qualité et toute douce. adaptée à ma pointure.</t>
  </si>
  <si>
    <t>Attention aux tailles Prendre trois tailles au dessus, Je fais du 38 et je l'ai donné à ma nièce de 12 ans Sinon super sympa</t>
  </si>
  <si>
    <t>Triple 👍 Commande effectuée avec une simplicité , produit nickel. Livraison rapide et suivi de commande efficace.</t>
  </si>
  <si>
    <t>Parfait Esthétique, serré, je l'ai acheté pour faire plaisir à mon conjoint. Et on adore</t>
  </si>
  <si>
    <t>Joli et de qualité très correcte Beau bijou, plutôt plus grand que la photo ne le laisse penser et de qualité tout à fait acceptable pour un bijou de ce prix là réalisé dans des métaux non précieux. Ce n'est pas du platine bien entendu mais c'est un beau bijou.  Seul l'emballage est un peu cheap.</t>
  </si>
  <si>
    <t>Écouteurs au top Les écouteurs sont parfaits: autonomie de plusieurs heures, ne tombent pas des oreilles et la qualité du son est excellente. Et en plus ils ne sont pas chers.</t>
  </si>
  <si>
    <t>Excellent rapport qualité-prix J'ai acheté ces biberons en promo (18€ les 6 !!) et j'en suis très satisfaite. Ils sont vraiment beaux et mon petit garçon de 3 mois et demi apprécie vraiment les tétines Tommee Tippee.</t>
  </si>
  <si>
    <t>top ! bon produit , kit tres complet , facile à utiliser , fonctionne parfaitement , tres bon rendu :) fournis avec plein de feuilles donc directement pret à l'emploi je trouve que pour le prix c'est un tres bon rapport qualité prix , je ne rencontre pas de problème avec cet achat je suis donc satisfait</t>
  </si>
  <si>
    <t>Nickel Super chaussettes, bien taillé et bien réalisé</t>
  </si>
  <si>
    <t>Moyen Moyen</t>
  </si>
  <si>
    <t>Très mauvaise qualité De gros problème de faux contact avec le câble alimentation, ne marche déjà plus au bout de quelques mois, à éviter</t>
  </si>
  <si>
    <t>Aiguilles trop fines Les aiguilles sont trop fines ce qui rend la lecture de l'heure difficile du fait qu'il y a le fonctionnement du mécanisme en arrière plan.</t>
  </si>
  <si>
    <t>BELLE CASIO, Belle montre de bonne qualité, arrivée dans un étui en veleur avec manuel et garantie. livrée avant la date prévue.je la recommande</t>
  </si>
  <si>
    <t>Bon rapport qualité prix Bon rapport qualité prix pour c’est Bottines timberland légère et élégante à la fois acheter d’occasion elles sont neuves juste la boîte était abîmé</t>
  </si>
  <si>
    <t>Parfait ! Jolie, bien construite,  facile à utiliser. Temps de chauffe TRÈS  rapide. Je recommande.</t>
  </si>
  <si>
    <t>Qualité/ prix correcte Fonctionne bien, vu son prix pas déçu de mon achat</t>
  </si>
  <si>
    <t>chaussette à son pied chaussettes sympa et agréable. Un bon look. nous verrons pour la tenue dans le temps après plusieurs lavage... faites vous plaisir à ce prix</t>
  </si>
  <si>
    <t>pour enfant Le micro marche très bien et la qualité du bluetooth est top il n'y a pas de décalage entre le téléphone et le micro。</t>
  </si>
  <si>
    <t>Bonne taille et conforme et envoie rapide ..Au top .Merci Super produit</t>
  </si>
  <si>
    <t>Apres 6 mois utilisation temps plein rien à signaler Conforme description livraison rapide bon produit chaussure Solide Un peu lourd à mon goût Pas très étanche par temps de pluie</t>
  </si>
  <si>
    <t>super bonne coupe, tient bien</t>
  </si>
  <si>
    <t>38/40 Taille S ou 38/40 les coutures sont de bonne facture il est simple tissu assez fin mais solide je m'en sers pour mes cours de Tai chi</t>
  </si>
  <si>
    <t>RAS Reçu en temps et en heure produit conforme à la photo et en taille aussi rien à redire</t>
  </si>
  <si>
    <t>Incroyable J'ai acheté ce micro pour un de mes enfants. Là qualité m'a extrêmement surpris. J'en avais acheté un différent pour l'autre de mes enfants. Là différence est incroyable. Sans commune mesure. De fait nous avons renvoyé le micro pour racheté un deuxième comme celui ci. N'hésitez vraiment pas. Ils coûtent aussi chers que des micros pour enfants mais là, la qualité est au rendez vous et vous n'aurez pas de produit manquant cruellement de fiabilité. Ils sont également aussi simples d'utilisation. C'est tout gagnant.</t>
  </si>
  <si>
    <t>À acheter ! Franchement pour quelqu'un qui se lance sur Youtube ou même pour quelqu'un d'expérimenté il n'y a pas à hésiter. J'ai pu moi même faire la comparaison avec un set-up quasi identique avec la marque RODE et le constat et sans appel : Une qualité excellente et semblable mais avec 200€ de différence. Donc au lieu d'acheter tout séparé ou d'une autre marque tout aussi professionnelle, vous pouvez acheter ce produit les yeux fermé avec un rapport qualité/prix imbattable. Et la marque Blue est bien réputée pour ses produit d'exception.</t>
  </si>
  <si>
    <t>Bon son et bonne tenue pour courir !!! J'ai testé samedi fin de journée et dimanche fin d'après-midi ce casque Bluetooth pour aller courir. Un son de très bonne qualité et une tenue sur les oreilles parfaites pendant mon footing d'une heure. J'ai déjà testé ce genre de matériel sur des marques beaucoup plus onéreuses. Je trouve que le rapport qualité-prix est quasi imbattable je le recommande sans problème. Cordialement.</t>
  </si>
  <si>
    <t>Top top top Juste super, on s'en est bien servi au début de diversification et en été pour les fruits. Ma fille a vite compris le principe et n'hésitait pas de me demander de resservir la grignoteuse avec les morceaux. Un vrai glouton c'est reveillé en elle))))</t>
  </si>
  <si>
    <t>CIVO Montre Dijitale Militaire Homme Grand Nombre 50m Etanche Très bonne qualité lecture facile bonne prise en main, un petit bémol notice Anglais alors que cet article est vendu en France une notice française aurait été bien, mais j'apprécie tout de même cette montre……. bonne cotination</t>
  </si>
  <si>
    <t>pantoufles très pratique Très jolies pantoufles, super confortables, semelles anti dérapantes au top, elles taillent vraiment "normale", je conseille fortement ce produit</t>
  </si>
  <si>
    <t>très belle C'était pour faite un cadeau de noël, RAS pour l'instant, très belle montre, emballage, présentation tout y est ! Papou est ravi lui donc moi aussi !</t>
  </si>
  <si>
    <t>Mon cable VGA Cable me servant à relier mon écran à ma tour. Rapport qualité prix parfait . je recommande le produit .</t>
  </si>
  <si>
    <t>Très belle montre La montre est présentée dans un beau boitier noir à l'effigie d'Ice Watch et de BMW Motorsport. Son bracelet en cuir la rend agréable à porter, bien qu'il manquerait un trou pour les hommes ayant le poignet fin. Sa fonction chronomètre est un bon plus. Attention d'ailleurs, la trotteuse n'en est pas une, il s'agit de l'aiguille du chrono. Côté esthétique, je trouve cette montre très belle ! Elle a une allure à la fois classe et sportive, avec ses touches de rouge vif. Pour ceux qui n'aimeraient pas spécialement BMW, ne vous en formalisez pas, la marque est très discrète sur la montre, un petit logo sur le cadran et une mention ton sur ton sur son contour. La montre est lourde mais sans trop, cela inspire confiance quant à sa solidité. Les finitions sont très belles, tant sur le cadran que sur le bracelet.</t>
  </si>
  <si>
    <t>tétines tailles S et non M Contrairement à la description, les tétines ne sont pas de taille M 6-18 mois, il y a une taille S 0-6mois et une M 0-6 mois, la sucette est également 0-6 mois. Dommage, ces biberons sont super, mon fils les adore, je dois donc prendre des tétines en plus à côté.</t>
  </si>
  <si>
    <t>déçu ++ Très déçu !  Je déconseille vivement ce produit ....pas de voyant lumineux pour la mise en marche, pas de niveau d'eau visible, bouilloire extrêmement  chaude  à l’extérieur, on s'y brûle très facilement !........ si cette bouilloire n'est intéressante que pour son design.... alors !!!!!!!</t>
  </si>
  <si>
    <t>Coupure et déconnexion Coupures en permanence, pour une marque comme Bose et après autant de mise a jours tjs pas stable je déconseille cette achat pour le sport</t>
  </si>
  <si>
    <t>Moyennement pratique mais finition correcte Finitions correctes, mais Intérieur plus petit que prévu en raison de la fermeture éclair qui gêne un peu l accès.</t>
  </si>
  <si>
    <t>tres bien montre arrivée dans un colis bien ferme dans les temps et delais prevus donc je conseille seul bemol le reglage du bracelet qui est impossible a faire soi meme donc frais de mise a la taille a regler en sus pour info mais cela n a rien a voir avec le vendeur</t>
  </si>
  <si>
    <t>Très bien Super petite boucle d'oreille pour une petite fille avec les oreilles percées déjà je le recommanderai pour une fan de minnie</t>
  </si>
  <si>
    <t>élastique et lacets je n'avais pas fait attention qu'il y avait un lacet pour serrer la taille, je ne pense pas que je l'aurais acheté sinon. Il est donc un peu grand pour moi, malgré les lacets serrés le plus possible et n'existe pas en taille S.</t>
  </si>
  <si>
    <t>Pointure chaussures Très bon produit mais chausse une pointure trop grande .Très  sympa comme modèle . Tendance et discrète pour des chaussures de sécurité</t>
  </si>
  <si>
    <t>Cahier au top C'est un cadeau. Mais je l'ai feuilleté avant et je le trouve très bien pour apprendre le coloriage aux tous petits. Le contour du dessin est surélevé avec les paillettes ce qui empêche de dépasser. Il est vraiment top !</t>
  </si>
  <si>
    <t>Tres bon produit Un produit de qualité, belle matière, un blanc subtilement nacré et intérieur de la cuve en inox. Température programmable avec échelle de 5 degré. Chauffe vite. Apres dans les défauts qui moi ne me gênent  pas : 1-La paroie extérieure n'est pas isolée donc on ressent la chaleur. Pas jusqu'à se brûler quand même ! On est sur un produit de qualité. Moi je prefere ressentir que la paroi est chaude pour éviter de me bruler en l'attrapant un peu n'importe comment quand je l'utilise. 2- elle émet un bip mais il n'est pas strident et plutôt court alors ceux qui n'aiment pas les appareils qui bipent ca peut être agaçant le matin notamment 3 - elle se réchauffe toute seule et donc se met en marche automatiquement pour conserver la température de sélection et ce pdt 20 taine de Minutes ( ca le fait 2 fois ).  Pas possible de l'arrêter ou alors faut débrancher l'appareil</t>
  </si>
  <si>
    <t>Ambiance festive assuré Un beau cadeau à offrir. Le micro en lui-même et le packaging est impeccable! Bien emballé, bien protégé, bel effet! Ce fût un cadeau d'anniversaire pour ma fille de 6 ans qui a amusé toute la famille. Le micro est passé entre les mains des plus jeunes comme des plus vieux. Tout le monde c'est pris au jeu! Très simple d'utilisation... On le connecte en bluetooth ou par cordon. Vous pouvez utiliser YouTube ou dautres appli pour chanter. Nous avons aussi la possibilité d'y insérer une carte sd. Les réglages se font directement sur le micro. Nous pouvons l'utiliser comme karaoké biensur, mais aussi pour faire des commentaires, faire des effets sonores amusants, etc... Le son est impeccable voir même étonnant par rapport à ce petit micro qui est aussi très léger ! L'ambiance festive est assuré !</t>
  </si>
  <si>
    <t>C est cool C est super merci avec le sourire martine</t>
  </si>
  <si>
    <t>Sont géniales Top</t>
  </si>
  <si>
    <t>Le top du top! Je l’adore! Et ma fille aussi forcément Très très facile a nettoyer contrairement à d’autres biberon et tétine Il est vraiment top! Je le conseille à toutes les mamans ou futur maman sans aucune hésitation ! Et pourtant ayant 3 enfants, j’en ai essayé des marques de biberons et MAM sont vraiment le top du top!</t>
  </si>
  <si>
    <t>Ras Trop beau</t>
  </si>
  <si>
    <t>ravie très contente de ces baskets , rien a redire , elles durent dans le temps et passent au lavage, contrairement a bien d'autres achetées dans des magasins , je recommande</t>
  </si>
  <si>
    <t>Crocs très bon produit de bonne qualité (a voir comme ça) taille impeccable ,j'ai pris du 45-46 sa corresponds parfaitement Très bon vendeur et rapide en livraison A recommander</t>
  </si>
  <si>
    <t>Par emballage très peu  soigner merci Belle boucle d oreille merci</t>
  </si>
  <si>
    <t>Vans old school Tout à fait ce que je demandais, tailles comme des vans prévoir une taille en dessous de sa taille habituelle.</t>
  </si>
  <si>
    <t>Très facile à utiliser Utilisé comme humidificateur d'air dans la chambre de bébé . Très bien, joli design.</t>
  </si>
  <si>
    <t>Bon produit Nickel</t>
  </si>
  <si>
    <t>Parfait Utilisé il y a trois pour un changement d'écran de téléphone, facilité de mise en œuvre, et trois mois après l'écran est toujours en place, le téléphone fonctionne et aucuns défauts d'apparus. Ne pas hésiter à mettre la dose.</t>
  </si>
  <si>
    <t>De bons écouteurs pas chers Un très bon rapport qualité prix. Confortables avec de nombreux embouts, le son est très bon avec des basses bien présentes. Les aigus sont bien dessinés sans trop tirer sur le médium. On regrette juste l'absence d'un réglage de volume intégré. Livrée dans une petite housse en simili cuir.</t>
  </si>
  <si>
    <t>Gommette Recus en temps voulu le paquet contient deux feuilles de chaques couleurs ,super pour travailler avec des petits ou même s amuser</t>
  </si>
  <si>
    <t>Trop petit ! 40€ ça c’est cher. de bonne qualité coté conception cependant l’article est tout petit. A peine plus gros qu’un porte feuille. En gros, pour sortir en soirée, mettre son iphone + une carte bleu et les clés c’est parfait sinon passé votre chemin.</t>
  </si>
  <si>
    <t>Déçue. Durée de vie très courte Je me trouve déçue. À la première utilisation à la piscine, l'oreillette gauche ne fonctionne presque plus, le son devient très faible par rapport à la droite ou même inaudible (cela crée un déséquilibre sonore et même corporel). Vraiment dommage, parce que la qualité du son était impeccable au début. Le micro ne capte pas bien, je dois tenir l'oreillette près de ma bouche. Deux mois plus tard, ça marche presque plus. Ça charge durant 5 secondes puis le voyant lumineux devient bleu comme si la charge est complète. Sauf après à peine une minute je reçois le message "low battery" et les écouteurs s'éteignent. Je ne peux plus les utiliser. La durée de vie de ce produit est vraiment très courte</t>
  </si>
  <si>
    <t>déteint au contact des vêtements laisse de grandes traces marrons sur le pantalon, le polo, le T-Shirt. J'ai dû renvoyer l'article pour cette raison</t>
  </si>
  <si>
    <t>Pantoufles à paillettes Chaussons étranges mais confortables et moelleux. Maille couverte de fibre pailletée.</t>
  </si>
  <si>
    <t>Bof Depuis le temps, que je colles 20, 30 blattes pas nuits, il y a toujours autant. Affaire à ne pas suivre</t>
  </si>
  <si>
    <t>Parure Ensemble collier et boucles d oreilles très jolie, fait son effet pour le prix.</t>
  </si>
  <si>
    <t>tres chouette jeu tres rigolo!!meme si quelque fois le stylo ne fonctionne plus!!on rigole bien avec ce jeu de dessin en famille</t>
  </si>
  <si>
    <t>Très bon achat, je le recommande! Sac de belle qualité et finition. De plus il semble robuste, mais seul le temps le dira. Après plusieurs semaines d'usage quotidien, très chargé,il se maintient bien. Il aurait pu avoir plus de petites poches internes pour stylos, iPod etc.</t>
  </si>
  <si>
    <t>Pour le dégonflement des jambes et chevilles Les contractions musculaires des mollets et les mouvements des chevilles provoqués par l'appareil provoquent le dégonflement des membres inférieurs. Par manque de recul et d'analyses, aucun jugement sur l'action de l'appareil sur l'arthrose et le diabète.</t>
  </si>
  <si>
    <t>Peut être utilisé sur une GoPro. En un premier temps, je ne savais pas si le micro allait dépasser et se voir en haut (dans l'image de la GoPro) et si il y avais une compatibilité. Je me suis décidé et je l'ais acheter. Je ne savais pas vraiment la différence de son entre le vidéomicgo ou le plus petit. Finalement le micro est parfait pour l'utilisation que j'en fait. je l'utilise sur la GoPro comme sur le Canon EOS.</t>
  </si>
  <si>
    <t>Très bien. Bon rapport qualité / prix Produit plus grand et plus long que celui acheté dans le commerce</t>
  </si>
  <si>
    <t>Produit tout à fait conforme ! Contrairement aux nombreux commentaires, ce produit est tout à fait conforme. Il s'agit bien d'une recharge System express + donc avec un trou au milieu pour permettre l'essorage...et heureusement !!! Il suffit de bien lire ce qui est écrit et d'acheter un produit en adéquation avec le kit de base..............</t>
  </si>
  <si>
    <t>Belle casquette Très belle casquette pour mon ado ! Elle est aussi jolie en gris quand bleue</t>
  </si>
  <si>
    <t>Superbes ! La livraison est ultra rapide, J'ai reçu le colis 5 jours avant la date prévue !.  Les chaussures sont magnifiques, exactement comme dans le descriptif .  Elles taillent effectivement  petit. il faut bien prendre, comme conseillé, 1 taille au dessus de sa pointure habituelle ; je chausse du 37.5 j'ai pris du 38 2/3 et c'est bien. Ce sont des chaussures de fitness à la base,  mais leur finesse et leur legereté les rendent tres agreables à porter au quotidien.</t>
  </si>
  <si>
    <t>Qualité et protection Pour basket</t>
  </si>
  <si>
    <t>massage pieds très contente de cet appareil qui permet de vous faire du bien aux pieds grâce à ses multiples fonctions sa fonction de chauffe fait vraiment la différence car on se sent vraiment bien assis au fond de son fauteuil et changer de fonction grâce à sa telecommande et cela est agréable la appareil est très designe et les housses des pieds sont lessivables afin d avoir plusieurs utilisateurs</t>
  </si>
  <si>
    <t>Top Acheté avec l'offre panier plus 3€ piece, nickel pour le delais de reception. Ce produit est vraiment genial, je fais seulement cuisse de poulet pour l'instant, elles sont tendres a souhait bien cuites... Et en plus qyasi pas de vaisselles un gain de temps appréciable!</t>
  </si>
  <si>
    <t>Parfait, valeur sûre Livré rapidement, ce sont les seuls biberons que ma fille prend et ils conviennent parfaitement. Couleur neutre et motifs plutôt mignon .</t>
  </si>
  <si>
    <t>TRES BON PRODUIT Feuilles super white et très bonne épaisseur.  Bonne tenue.</t>
  </si>
  <si>
    <t>TRÈS BIEN RAS reçu rapidement. Un t-shirt Nike léger et confortable.</t>
  </si>
  <si>
    <t>Top Comme sur la photo en espérant que ça tienne le coup !</t>
  </si>
  <si>
    <t>Transaction parfaite. Ayant eu des problèmes de coupures notamment avec le RS 120, j'ai contacté Seinnheiser le SAV et j'ai eu la chance d'avoir un correspondant compétent qui m'a aidé à choisir le casque en fonction de mes besoins ainsi que des accessoires recommandés. Depuis l'achat et l'installation du RS 175 je n'ai plus aucun problème.</t>
  </si>
  <si>
    <t>Arrivé très vite et qualité très bonne. Très satisfaite. Je recommande. Arrivé très vite et qualité très bonne. Très satisfaite. Je recommande.</t>
  </si>
  <si>
    <t>Finition cheap... Bien moins jolie en vrai que sur la photo. Petite taille, et finition très cheap... En même temps vu le prix... Marche correctement.</t>
  </si>
  <si>
    <t>EarPods gauche ne fonctionne pas EarPods gauche ne fonctionne pas</t>
  </si>
  <si>
    <t>Il me faut  41,5 Ça  me fait mal au pieds</t>
  </si>
  <si>
    <t>A voir Article en apparence d'assez belle qualité, mais il faut voir à l'usage. Fermeture/ouverture moyennement pratique. Cuir vraiment brillant. Attendons après quelques temps d'utilisation.</t>
  </si>
  <si>
    <t>robe sans manche Cette petite robe d été est belle et bien taillée. la couleur et les motifs imprimes plaisent beaucoup à ma mère. je conseille cet achat</t>
  </si>
  <si>
    <t>grille pain grillage du pain de mon petit dejeuner.</t>
  </si>
  <si>
    <t>Mitigée La bouilloire est bien mais elle est quand même un peu bruyante et surtout le câble d'alimentation est un peu court</t>
  </si>
  <si>
    <t>Bien Bonne qualité prix</t>
  </si>
  <si>
    <t>Economique, efficace et de qualité J'utilise ce masque pour ma peau grasse et pour réguler la production de sébum. Mes conseils : à appliquer 3 fois par semaine en phase d'attaque puis en entretien 1/semaine. Le remède le plus naturel pour nettoyer sa peau ! :-) Bon achat...</t>
  </si>
  <si>
    <t>RAS Le produit est de qualité et correspond a se que j'attendais.</t>
  </si>
  <si>
    <t>les pieds au chaud j'ai toujours froid aux pieds et suis souvent devant l'ordinateur donc j'ai vu ces chaussons et me suis dit que c'était l'idéal . effectivement, c'est efficace :j'ai les pieds au chaud même sans chaussettes . ils ne sont pas faits pour marcher car ils sont instables mais c'est le top lorsque l'on reste assis ou que l'on ne fait que quelques pas .je vous les recommande</t>
  </si>
  <si>
    <t>Economique Pour nettoyage terrasse et autres. Très puissant le top. Ultra eco car concentrè.</t>
  </si>
  <si>
    <t>Jolie Bien juste un peu trop grande</t>
  </si>
  <si>
    <t>Tout simplement parfait. Superbe montre elle très légère, la recharge solaire fonctionne à merveille et le réglage radio piloté est tout simplement parfait ! Toujours une montre bien réglée et plus de changement de piles que du bonheur !</t>
  </si>
  <si>
    <t>Lessive Cette lessive sent vraiment bon</t>
  </si>
  <si>
    <t>Je recommande Très suprise de la qualité du produit. Le son est plutôt très bon. La connexion bluetooth est facile et fonctionne très bien. Possibilité de mettre une carte sd directement dans le casque ce qui est très appréciable. Le tout très bien emballé et livré très rapidement</t>
  </si>
  <si>
    <t>Article conforme à la description Très bon produit !</t>
  </si>
  <si>
    <t>Rien à dire... si ce n'est que ces chaussettes sont très agréables à porter, très confortables et taillent bien. En résumé, très bien, à recommander.</t>
  </si>
  <si>
    <t>Conforme Pas encore utilisé. A voir dans le temps.</t>
  </si>
  <si>
    <t>Confort et détente Confortable et bonne qualite</t>
  </si>
  <si>
    <t>Très bien Cool</t>
  </si>
  <si>
    <t>Sobriété Voici une montre qui correspond très bien à la description faite sur le site. Montre sobre, bien finie, très classique mais très "classe". Envoi rapide et colis bien emballé.</t>
  </si>
  <si>
    <t>Vraies pierres . Belle facture . Joli rendu . Happy ! ( taille mixte , attention petits poignets ) Livraison en avance . Vraies pierres . Belle facture . Joli rendu . Happy ! ( taille mixte , attention petits poignets )</t>
  </si>
  <si>
    <t>Insatisfaite Pour les douleurs de dos et nuque, pas du tout satisfaite, on ne ressent rien avec les picots du tapis,</t>
  </si>
  <si>
    <t>Cafetière Luna Ce produit n’a jamais fonctionné! Affichage «&amp;nbsp;erreur 02&amp;nbsp;»!</t>
  </si>
  <si>
    <t>Pas taille adapté Je chausse un petit 38 et là, ils proposaient un 37/38. Malheureusement la taille est trop petite. Pas jolie quand on a les pieds qui dépasse</t>
  </si>
  <si>
    <t>Un peut déçu Fuit un peu.</t>
  </si>
  <si>
    <t>Bien Rien à redire. Très pratique.</t>
  </si>
  <si>
    <t>Sacoche Personnelle</t>
  </si>
  <si>
    <t>Belle chaussures Ses chaussures m ont accompagné de nombreuses années, c était ma deuxième paire j aimais beaucoup la couleur bordeau. Au bout d un certain temps et après un usage intensif la semelle à commencé à se détacher et s user au point qu un trou se forme et les rendent inutilisable; rien d anormal pour les chaussures de ce genre après un certain temps. Je recommande quand même.</t>
  </si>
  <si>
    <t>ras ras</t>
  </si>
  <si>
    <t>Très pratique. Ensemble très pratique cette produit. Je recommande vivement .</t>
  </si>
  <si>
    <t>Parfait Article arrivé et déballé = tout semble parfait et il me convient parfaitement pour le prix. Pas encore utilisé car le bébé de 4 mois arrive fin juillet.</t>
  </si>
  <si>
    <t>Super bouilloire Super pour les amateurs de thé ! On peut régler la température . Elle est très silencieuse et jolie . Contente de mon achat.</t>
  </si>
  <si>
    <t>Petite sacoche Eastpak Exactement ce que je cherchais pour transporter ma phablette Asus ZenFone 2 qui est très bien protégée. J'y ajoute différents accessoires: kit main libre, câble de chargement avec la prise secteur...</t>
  </si>
  <si>
    <t>Très satisfaite Bouilloire attendu car plus en stock pendant plusieurs mois, mais très contente d'avoir pu la commander ! La seule pour plaque à induction avec un design moderne qui ne fait pas mauvaise allure ! Temps de chauffe très rapide, siffle bien et poignée non chaude ! Je recommande !</t>
  </si>
  <si>
    <t>Belle montre - tres bon rapport qualité/prix Utilisation journalière. Look digne d'une montre de grande marque.</t>
  </si>
  <si>
    <t>super chaussures!!! de vrais pantoufles,excellent produit</t>
  </si>
  <si>
    <t>Remplace le balai !! &lt;div id="video-block-R34WYXOFQZ4VQN" class="a-section a-spacing-small a-spacing-top-mini video-block"&gt;&lt;/div&gt;&lt;input type="hidden" name="" value="https://images-eu.ssl-images-amazon.com/images/I/81j5YkGzIOS.mp4" class="video-url"&gt;&lt;input type="hidden" name="" value="https://images-eu.ssl-images-amazon.com/images/I/81j-7qPkgcS.png" class="video-slate-img-url"&gt;&amp;nbsp;Aspirateur très pratique , il remplace complètement le balai , très maniable, il aspire bien et  il a un  design plutôt sympa ! Le petit aspirateur est super facile d’utilisation aussi pour le nettoyage des voitures !</t>
  </si>
  <si>
    <t>Protection assurée. Article satisfaisant. Pièces fragiles protégées pour déménagement. Très satisfaite.</t>
  </si>
  <si>
    <t>Géniale ! D'après moi c'est vraiment pratique,jolie et géniale Merci</t>
  </si>
  <si>
    <t>La chaleur provoque de la détente J'utilise ce coussin chauffant pour détendre le bas de ma colonne vertébrale car j'ai des problèmes de dos. Je m'en sert tous les jours  et ça calme bien mes douleurs. J'en suis très satisfaite.</t>
  </si>
  <si>
    <t>Indémodables Des baskets indémodables, un modèle au look simple mais toujours réussi. La qualité est tout à fait correcte pour ce type de produit, et niveau confort rien à redire ! Concernant la pointure, elles taillent tout à fait juste. Prenez votre pointure exacte.</t>
  </si>
  <si>
    <t>Parfait pour un budget moins élevé que le qc35 de chez Bose ! Casque imercif pour des sensations en 360 ! La réduction de bruit sans son est déjà très bon mais quand on met la musique on entend plus rien sauf la musique qui est très bonne avec une bonne expérience d'écoute ! Reste plus que les réglages a pofiner ! J'apprécie le fait de pouvoir désactiver la réduction de bruit ! Manque plus que les boutons tactile ! Malgré le son, on entend encore un peu le son environnement !</t>
  </si>
  <si>
    <t>parfait fonctionne correctement et délai de livraison rapide</t>
  </si>
  <si>
    <t>ECOURTEURS SANS FIL POUR SMART TV Excellent. Se connecte vraiment très facilement. Le transmetteur se met en route immédiatement à l'aide du câble USB et pour moi du câble optique sur un Smart TV. Écouteurs très légers reconnus immédiatement Bluetooth (voyant bleu de l'émetteur et du receveur câble écouteurs). Couper le son sur la télécommande de la TV (mute). Le son est claire. Le son n'est pas aussi bon qu'un casque HIFI traditionnel mais on évite le poids et la chaleur sur les oreille. Pour des personnes portant des lunettes c'est un avantage. Nombreux câbles de connections et très bon emballage. J'en ai offert un à une personne âgée qui est ravie.</t>
  </si>
  <si>
    <t>Satisfait Pas mal</t>
  </si>
  <si>
    <t>Pas terribles,😠 Ne tien pas au bout de 4 jour tout mes tableaux on finit par terre  et en mettant quand même 4 languette par tableaux  sur le pack dit jusqu'à 7kg 😕 les miens ne pèse pas plus de 360g je suis vraiment déçu de ce produit et bien évidemment vu que je les est accroché sa va être compliqué de se faire rembourser donc de l'argent gaspillé</t>
  </si>
  <si>
    <t>Je ne recommande pas Produit non conforme à la description pas la bonne matière et ne tient pas bien au cheville</t>
  </si>
  <si>
    <t>Une montre bien pratique Montre très pratique avec ses nombreuses fonctions et son mode vibreur. J'aime l'ergonomie des boutons de commandes, la qualité de l'éclairage, la facilité de réglage de l'heure. Je n'aime pas la hauteur excessive du boîtier. Prix bas et donc une bonne affaire. Service marchand et délai de livraison impeccables.</t>
  </si>
  <si>
    <t>Polar hiver Produit moyen. Taille correcte, mais boursouflure sur le tissu !</t>
  </si>
  <si>
    <t>Bague mixte. Très belle bague solide grande qualité, belle finition. Facile de trouver la taille avec le tableau fourni.</t>
  </si>
  <si>
    <t>Un cadeau qui a plu. Celle a qui j’ai offert ces baskets en a été ravie.</t>
  </si>
  <si>
    <t>Super Acheté bracelet pour douleur articulaire.  Depuis 1 mois je ressens du mieux. Moins de douleurs musculaires Je suis super ravie.</t>
  </si>
  <si>
    <t>Je recommande Produit de bonne qualité je recommande</t>
  </si>
  <si>
    <t>Super 👍 Indémodable 👍 je ne les quitte pas et va avec tout 😉</t>
  </si>
  <si>
    <t>livraison rapide _ efficacité à vérifier dans le temps Livraison rapide et conforme à ce qui était annoncé. J'ai acheté ce produit afin de faire fuir les éventuels oiseaux qui ravagent mes cerisiers. Efficacité à valider dans le temps, pour le moment, c'est impossible de juger.</t>
  </si>
  <si>
    <t>Lampe pratique et bien conçue C’est une petite lampe compacte (14 x 14 x 4 cm) et légère (env. 400 grammes). Elle se branche sur le secteur, ou sur sa batterie incorporée (environ 4 heures de charge pour une heure d’utilisation). La notice d’utilisation fournie est très claire et complète. D’un design passe-partout, la lampe est très bien finie, très simple à utiliser : un bouton pour la mettre en marche, et deux boutons pour régler la puissance d’éclairage. Le pied sur lequel elle repose n’est pas très stable, mais cela reste acceptable. Je l’utilise tous les jours une vingtaine de minutes, entre 9 H et 10 H du matin, depuis 3 semaines, et cela ne me pose aucune contrainte… je suis retraité, mais je pense que dans un bureau, son utilisation ne devrait pas perturber votre entourage. Vu son encombrement et le fait qu’elle soit rechargeable, elle peut être emmenée partout (Une poche de rangement est prévue). Concernant sa réelle efficacité, je peux difficilement me prononcer : je n’ai pas de problème de déprime, et je dors correctement. Effet placebo peut-être, mais je me sens très actif pendant la journée depuis que j’utilise cette lampe… Pour ceux qui ne connaissent pas la luminothérapie, et ses effets positifs contre la dépression saisonnière et les troubles du sommeil, je leur conseillerais de lire les articles à ce sujet sur internet, et d’en parler à leur médecin : son jugement sera certainement plus précis que le mien.</t>
  </si>
  <si>
    <t>Parfait pour la sécurité Conforme à l'attendu. A recommander pour ceux qui travaillent avec des pierres, des parpaings à la maison !</t>
  </si>
  <si>
    <t>Mystic J'utilise ce produit pour parfumer des pièces et faire en sorte que mon chat n'urine pas a certains endroits. Je recommande !!!</t>
  </si>
  <si>
    <t>Super bouilloire ! Je recommande J’ai acheté cette bouilloire car elle donne la température de l’eau, indispensable pour faire un bon thé. Son design rétro est très chic. Je recommande vivement.</t>
  </si>
  <si>
    <t>Collier cœur argent Je viens de recevoir ce jolie collier vraiment jolie il est très fin reçue avec une boîte a bijoux très bien présenté je ne regrette pas de lavoir acheter bien au contraire je recommande vivement pour un effet Cadeau. 😃</t>
  </si>
  <si>
    <t>RAPPORT QUALITE PRIX PARFAIT</t>
  </si>
  <si>
    <t>C'est  bon Cartouches d'encre de bonne qualité. RAS</t>
  </si>
  <si>
    <t>Surprenant Par rapport a l'encombrement, le son est très bon, les basses sont présentes mais saturent un peu au volume maximum. La housse rigide et le câble de sont de bonne qualité. L'appairage bluetooth est simple, il suffit de laisser le bouton central enfoncé quelques secondes. La portée bluetooth avec le téléphone permet de s'éloigner d'une dizaine de mètres sans perte de signal, top! Il est très stable sur les oreilles, aucun soucis pour courir avec. Je recommande!</t>
  </si>
  <si>
    <t>Pour mon père Commandées pour mon père qui est un adepte de cette marque, elles sont parfaites pour un prix très correct !!</t>
  </si>
  <si>
    <t>top mode cadeau  d anniversaire pour jeune femme 23 ans elles est ravie</t>
  </si>
  <si>
    <t>Le top ! Ma première montre casio. Je l'ai acheté par curiosité et j'en suis ravi. Montre très discrète (on oublie qu'on la porte tellement qu'elle est fine), à les fonctions de base (chrono, date, lumière, étanche) et le petit "bip" à chaque heure est pratique.</t>
  </si>
  <si>
    <t>Très bon produit Très pratique. Reçu très vite. Se nettoie facilement</t>
  </si>
  <si>
    <t>TEMPéRATURE DE LA MER Je nage beaucoup et longtemps, en début de saison et à l'arrière saison, en combinaison si nécessaire. Il est important pour moi de connaître la température de l'eau, suivant la météo. Cette montre répond à mes attentes, facile d'emploi, (notice explicative en français), chiffres très lisibles, bracelet souple qui s'adapte à mon petit poignet. (je suis une femme). Mais ce modèle comporte d'autres applications... Je recommande</t>
  </si>
  <si>
    <t>Pas de son Le son est très léger et pourtant la charge est à 100%</t>
  </si>
  <si>
    <t>Remboursée ou échangé ? Menteau recut trop grand et recut avec la moumoute de la capuche colplètement tachée.</t>
  </si>
  <si>
    <t>Non-recommandé. Joli petit bouilloire; dommage que l'interrupteur ne marche plus avec deux utilisations. Je vais essayer de demander qu'il soit remplacé. Fabriqué en Chine, bien sur.</t>
  </si>
  <si>
    <t>Conformes et agréables à porter, mais un peu légères (fragiles) Biens finies, douces et agréables à porter, mais je ne pense pas qu'elles feront très long feu car tissage un peu léger et talons guère renforcés. Pas mécontent, mais j'attendais un peu mieux de Puma en terme de résistance et tenue dans le temps</t>
  </si>
  <si>
    <t>Très belle montre résistante Montre parfaite pour moi qui découvre l'univers des G-Shock. Elle fait parti de l'héritage de cette marque.  Très facile à utiliser, même sans lire le manuel.  Un seul regret, je l'ai reçu avec une micro rayure sur l'écran mais cela ne se voit que d'assez près donc inutile de la renvoyer.  Envoi très rapide et prix le moins cher par rapport à boutiques physiques.</t>
  </si>
  <si>
    <t>bon produit parfait pour les balades en foret  , faire du sport il est doux et chaud et a une belle coupe</t>
  </si>
  <si>
    <t>pas cher et très bon Ce micro est idéal pour réaliser ce que je voulais faire. je souhaitais améliorer les enregistrements video de formation que j'effectue avec un logiciel de capture d'écran, et ce Bird UM1 usb se connecte parfaitement avec le mac, et fonctionne tout de suite. La qualité du son est extrèmement bonne pour ce type d'usage. Il n'y a rien à redire sur la fabrication. Il faudra sans doute acheter un filtre anti-plosive pour faire de mes enregistrements un vrai succès.</t>
  </si>
  <si>
    <t>Bien sauf bouchons Petit prix pour deux pack de feutres. Seul bémol les bouchons tiennent très mal, donc il faudra sans cesse passer derrière vos enfants pour vérifier. Après les mines fines sont quand même solides. Large choix de couleur.</t>
  </si>
  <si>
    <t>Impeccable Super et très belle</t>
  </si>
  <si>
    <t>Je le conseille Sympas léger et bonne qualité pour le prix</t>
  </si>
  <si>
    <t>Tapis Tapis</t>
  </si>
  <si>
    <t>Colle parfaitement Rien à redire</t>
  </si>
  <si>
    <t>Converse Bien taillé, nickel confortable</t>
  </si>
  <si>
    <t>Parfait ! Très belles chaussures elles scintillantes et elles sont rehaussées comme je voulais. Pour ma part je fais du sport avec et c'est nickel car je ne supporte pas les baskets plates.</t>
  </si>
  <si>
    <t>Satisfaite Convient parfaitement en 2-3-4 mm pour les piercings très rapprocher comme les miens, pas d'allergies, les fermoirs sont biens, je suis très satisfaite</t>
  </si>
  <si>
    <t>Faciles d’entretien et résistantes Excellente chaussette pour la marche active</t>
  </si>
  <si>
    <t>Simple mais efficace Livraison rapide. A peine arrivé il a été testé ! son design style bois lui donne un style agréable Il suffit de mettre de l'eau quelques gouttes d'huiles essentielles et il remplit sa fonction. Il diffuse une petite vapeur donc attention aux supports en dessous et peut être mis en fonction avec une petite lumière. très facile à utiliser</t>
  </si>
  <si>
    <t>Ravie Très bien, j'en suis contente! Je dois ouvrir le capuchon pour obtenir la température désirée mais cela va très vite. Elle est belle et l'avantage c'est qu'on peut choisir nimporte quelle température que lon souhaite !</t>
  </si>
  <si>
    <t>Lessive fait pour les problèmes cutanées ou d'allergie Mon fil fait beaucoup de réaction cutanée mais avec la lessive paillette plus de souci...a doser car laisse facilement un dépôt blanc dans la machine.</t>
  </si>
  <si>
    <t>All 972 Lourd comme dab</t>
  </si>
  <si>
    <t>Casque de très bonne qualité Casque parfait rien à critiquer ! Casque confortable..isolant bien le.bruit environnant.</t>
  </si>
  <si>
    <t>magnifique cadeau ce bracelet en cristal Améthyste Swarovski est livré dans un élégant coffret cadeau bijoux, je l'ai offert a ma femme pour l'occasion d'anniversaire mariage, et elle était aux anges.. C'est un très joli bracelet, Bijoux en cristal élégants, Il est de très bonne qualité (le temps le confirmera). très agréable et donne un excellent effet au poignet. ma femme est ravie ! À ce prix , facile de faire plaisir.</t>
  </si>
  <si>
    <t>Parfait pour préchauffer la partie du dos dans le lit avant de se coucher Parfait pour préchauffer la partie du dos dans le lit avant de se coucher La température est agréable , elle mériterait d'être un peu plus chaude, surtout que c'est prévu (pour moi) pour préchauffer la partie du lit, où se trouvera le dos. Il faut impérativement mettre la température au maxi c. à d.: 3</t>
  </si>
  <si>
    <t>Arrivées cassées Très jolies boucles d'oreilles, très fines mais arrivées cassées du coup je ne peux pas les mettre, dommage car elles me plaisaient beaucoup.</t>
  </si>
  <si>
    <t>Roland non le produit est tres mal cousu au niveau des coudes</t>
  </si>
  <si>
    <t>sabot de bon sabot en bois et cuire ,taille correctement maintenant a voir sur le long terme pour la qualiter sinon vu comme sa a l aire de bonne qualité</t>
  </si>
  <si>
    <t>Produit correct moyen La couleur sur les photos imprimées ne gardent pas leur vivacité d'origine. Les photos ne restent pas plates. Elles se vrillent.</t>
  </si>
  <si>
    <t>Taille grand, Belle qualité Acheté pour mon fils de 13 ans en S, porté par mon compagnon qui porte normalement du L. Un peu grand, mais sinon beau produit, belle qualite. Satisfaite, mais pas pour le bon porteur.</t>
  </si>
  <si>
    <t>Assez cher mais qualité correcte Aucun souci au niveau de la commande, la livraison est rapide, le produit bien emballé. Mais ces cartouches sont assez chères, même si je préfère utiliser des cartouches HP plutôt que des cartouches "non authentiques", la qualité est bonne mais pas exceptionnelle. Je n'ai pas compté le nombres de pages que nous imprimons avec un ensemble de cartouche noir/couleurs, mais il me semble que ce n'est pas énorme. Cependant la différence entre la cartouche "normale" et la cartouche "XL" se remarque.</t>
  </si>
  <si>
    <t>Un livre à mettre entre toutes les mains Les textes sont un peu trop minimalistes peut-être, mais les illustrations sont vraiment magnifiques,originales et pleines de créativité, ce qui est précieux pour évoquer celle des femmes! Toutes sortes de femmes, et pas seulement des héroïnes politiquement correctes car même Mme Thatcher y figure: pas de raison! l'égalité des sexes c'est aussi donner aux femmes le droit d'être aussi dures que les hommes!</t>
  </si>
  <si>
    <t>Bien Fait sont job.</t>
  </si>
  <si>
    <t>Biovie Savon Noir Liquide à l'Huile de Lin 1 L - Lot de 2 Bon produit ,efficace ,lavage ,et utilisation correcte.</t>
  </si>
  <si>
    <t>Parfait Je voulais depuis un moment une montre casio. Je trouve celle la tres jolie, élegante, habillée. Elle est facilement réglable et s'adapte à tout type de poignet !! Confortable, elle se marie avec n'importe quel type de tenue. Elle resiste à quelques gouttes d'eau type si vous vous lavez les mains avec ou faite la vaisselle ou qu'il pleut dehors, aucun soucis !!</t>
  </si>
  <si>
    <t>Recommande Nikel</t>
  </si>
  <si>
    <t>sacoche poitrine j'en suis tres content et vraiment pratique pas encombrant quant on la sur soit super produit</t>
  </si>
  <si>
    <t>Très confortable Impecable je chausse du 39 j'ai pris 39 et elles vont très bien. Très condortable</t>
  </si>
  <si>
    <t>Des chaussons pour randonnée Hyper confortables. Très bonne semelle qui permet de tout franchir. Donne un jolie style en plus.</t>
  </si>
  <si>
    <t>Excellent produit Le pied est fort heureusement doté de dispositifs de serrage. Le poids de ce micro est parfait pour le bras en extension maximale. Très agréablement surpris par la bande passante du micro qui pour mon oreille est parfaite. Très bonne facture surtout à ce prix-là. Avant que les questions n'arrivent : Oui, il lui faut une alimentation phantom sinon pas de son ! Il est préférable de remplacer le Jack 3,5 en bout de câble par un connecteur XLR Mâle. Je recommande vivement.</t>
  </si>
  <si>
    <t>Très belles boucles Très jolie créole argent. Elle sont très fine et discrète tout en étant grande. L'avantage très légère à porter donc ça ne déforme pas le lobe de l'oreille. Le fermoir est coulissant est facile à fermé.</t>
  </si>
  <si>
    <t>Top Très bien et livraison rapide</t>
  </si>
  <si>
    <t>Parfait Étanche, pratique, solide. Fait parfaitement son travail. Et résistant. Caoutchouc de bonne qualité qui résiste aux à-coups. Bon produit .</t>
  </si>
  <si>
    <t>Parfait On a commandé celui en 330ml car 270 ça faisait juste. On adore Dodie et ses animaux. Tétine solide. Je recommande.</t>
  </si>
  <si>
    <t>Confortables et bien ajustés Shorty très agréable à porter de par la matière et la coupe. Il prend bien la taille sans écraser le ventre et monter trop haut et descend bien juste à peine au-dessus de la mi cuisse. Un shorty digne de ce nom et non pas un panty. Parfait !</t>
  </si>
  <si>
    <t>Idée cadeau anniversaire Ces feutres ont eu un bon succès pour l'anniversaire de ma fille ! Original, cela change des bonbons !</t>
  </si>
  <si>
    <t>super confortable Je men sert tout les jours au travail elles sont super</t>
  </si>
  <si>
    <t>Très belle chaussure mais chaussent grands Chausse trop grande</t>
  </si>
  <si>
    <t>Bof je l’ai retourné Pour les appels ça a été un désastre mon interlocuteur ne m’écoutait pas et ça coupait tellement.</t>
  </si>
  <si>
    <t>Me faire rembourser ! J'ai utilisé les baskets 2 mois, uniquement de manière urbaine. Pas de sport. Un vrai scandale. Troué à la semelle, elles prennent l'eau, je n'ai jamais vu ça !</t>
  </si>
  <si>
    <t>Très déçu Au bout d un moi cable HS espère un geste du vendeur pour reprendre son produit</t>
  </si>
  <si>
    <t>commander d'une boite de 12 pierres et ils manquent l'Agathe et la sodalite IL manque deux pierres dans la boîte et c'est décevant pour ma petite fille qui adore collectionner ces pierres. Pouvez-vous l'échanger? Merci de me tenir au courant.</t>
  </si>
  <si>
    <t>Qualité très moyenne. Très esthétique ! Mais un peu longue pour chauffer l'eau.</t>
  </si>
  <si>
    <t>Attention c'est petit! Mon redmi note 5 tient tout juste dans les poches zippées et ne rentre pas dans la poche frontale aimantée. Aimant qui est très faible voir même anecdotique. J'y mets téléphone, portefeuille et clés, je ne pourrais pas mettre plus. C'est ce que voulais donc ça tombe bien ! 4 étoile car ça fait le taf et c'est pas trop moche pour un petit prix.</t>
  </si>
  <si>
    <t>tres belle Hotte tres belle et efficace , silencieuse , et pas cher , que demander de plus ?</t>
  </si>
  <si>
    <t>Trés bien , facile à utiliser A voir sur la durée si cela aide vraiment le mal de jambes...</t>
  </si>
  <si>
    <t>produit conforme pour son prix il absorbe bien et ne se déchire pas trop vite</t>
  </si>
  <si>
    <t>Bon produit Je l'utilise pour la première fois pour faire ma lessive maison c'est un bon produit</t>
  </si>
  <si>
    <t>Parfait ! C'est dans cette boutique que j'ai trouvé le meilleur tarif et mon produit a été envoyé très rapidement et très bien protégé. C'est tout ce que j'attendais de mieux, parfait !</t>
  </si>
  <si>
    <t>Rapport qualité-prix imbattable Moins cher que sur puma.fr ou autre commerces Très bonne qualité</t>
  </si>
  <si>
    <t>CARTON DE 20 CARTOUCHES D'ENCRE Très bonnes cartouches d'encre. Attention au carton d'emballage trop juste: il a dû être recollé dans les locaux du transporteur. Il vaut mieux envoyer deux cartons de 10 groupés.</t>
  </si>
  <si>
    <t>top tres bon rapport qualite / prix</t>
  </si>
  <si>
    <t>Validé Grand et pas moche.</t>
  </si>
  <si>
    <t>Rendre l'éclat au linge blanc Le linge blanc devenu gris a retrouvé tout son éclat très  satisfaite de ce produit.</t>
  </si>
  <si>
    <t>génial ce leggings peut etre portés comme pantalon, ou pantalon de sport, s'adapte très bien au physique, ne glisse pas, tiens bien à la machine!</t>
  </si>
  <si>
    <t>bottes Bonjour super contente de mon achat, mon fils est ravi!!! pour balades et bricolage jardin, très bonne finition et bon produit!  merci</t>
  </si>
  <si>
    <t>parfait et confortable Il est parfait, il taille bien et il est très confortable a porter. Je le recommande vivement. Je n'ai pas regretté mon achat</t>
  </si>
  <si>
    <t>Une odeur de propre 1 berlingot pour une grosse machine (ma machine est une 7 kilos)... je n’y croyais pas trop. D’autant que mon linge était trèèèès sale. Bref, 6-7 kilos de linge très sale, un programme «&amp;nbsp;mixte&amp;nbsp;» à 30 degrés, un berlingot de lessive et mon linge est ressorti nickel avec en prime, une odeur de propre (oui oui, je sais que c’est chelou de parler d’odeur de propre 🙄🤔)... je disais donc AVEC UNE ODEUR DE PROPRE. En plus, la boîte est super pratique. J’adore</t>
  </si>
  <si>
    <t>Magnifiques! Confortable et jolies, elles se prêtent très bien à une tenue casual.  À un prix défiant toutes concurrences. Je recommande!</t>
  </si>
  <si>
    <t>Conforme Très beau bracelet, et qui a bien les effets décrits. Pourtant je n'y croyais pas trop... Je ne le quitte plus !</t>
  </si>
  <si>
    <t>A voir pour ce qui est de la résistance des arches Rien à redire des évolutions en terme de réduction de bruut par rapport à l'ancien modèle, reste a voir ce que cela donne au niveau de la durabilité car le précédent modèle très fragile sur la structure péter rn moins de 2 ans pas terrible</t>
  </si>
  <si>
    <t>Super montre Reçu la montre en temps et en heure. Identique à description.</t>
  </si>
  <si>
    <t>contrefacon contrefacon</t>
  </si>
  <si>
    <t>Moteur HS au bout d'un mois Certes bien pratique pour mélanger le lait infantile épaissi, mais le nettoyage est délicat si l'on ne veut pas déformer la tige du mélangeur qui se tord malgré le suivi des recommandations du manuel. Gros point négatif : le petit moteur du mélangeur est mort au bout d'un mois d'utilisation !</t>
  </si>
  <si>
    <t>Mauvaise recommandation de Amazon Ce produit n'est pas adapté au micro NT USB que j'ai acheté. Impossible de monter le pop shield du micro sur le support, et impossible d'accéder aux boutons de réglage du micro une fois monté sur le support. Merci Amazon de m'avoir fait dépenser mon argent pour rien</t>
  </si>
  <si>
    <t>Très jolie mais douloureuse Chaussure bien taillé (je fais un 37/38 j'ai pris un 38), très jolie, véritablement blanche. Gros point négatif : elles tiennent mal au niveau du talon et glissent en marchant ce qui crée un frottement permanent et les ampoules qui vont avec. A prévoir pour la première semaine : des pansements et de la patience</t>
  </si>
  <si>
    <t>Un peu deçu Bof.. vue le prix je ne m'attendais pas au top du top de la qualité.. Mais j'espérais quand même un peu mieux. Le casque semble fragile, et le son n'est pas terrible. Enfin bon au vue du prix je recommande quand même</t>
  </si>
  <si>
    <t>Très bon produit et qualité prix. Très bien pour les clefs papier téléphone portable et même des fois sandwich.</t>
  </si>
  <si>
    <t>Très bien mais Taille très étroit Taille tres étroit , donc d’une certaine façon petit. Selon votre coup de pied et largeur de pied, commander une voire deux demi tailles au dessus. Sinon très confortable et bon maintien. Dommage que ce soit fabriqué en Asie du sud est.</t>
  </si>
  <si>
    <t>Ravi Bonne qualité!</t>
  </si>
  <si>
    <t>Très bon mais attention aux finissions Respecte la compatibilité promise par le constructeur. L'esthétique du micro est très belle. Cependant, les finissions ne sont pas très belles, quelque fils qui dépassent. Cela reste tout de même un très bon produit.</t>
  </si>
  <si>
    <t>Vraiment pas mal. Fonctionne parfaitement sur mon imprimante EPSON DWF 2650. Effectivement l'imprimante détecte que ce ne sont pas des cartouches de marque mais il suffit de lui dire qu'on veut tout de même continuer. La qualité des couleurs est clairement pas aussi bonne que pour les cartouches originales mais bon quand on n'imprime qu'en noir et blanc, pour le prix il ne faut pas se priver.</t>
  </si>
  <si>
    <t>Qualité d'impression à bas prix Edit au 18 novembre: Contrairement à beaucoup d'avis négatif sur le produit, je le possède depuis mai, j'ai fait 314 impression et il me reste toujours 64% d'encre. Sachant que j'imprime toutes mes factures avec le logo, donc avec mon utilisation franchement je pense être pas loin des 1k de pages sans trop de problèmes.  Fin mai: On retrouve la qualité des toner Samsung, vu que s'en est un, il fonctionne bien, a une vrai bonne capacité d'impression, contrairement à des produits compatible, et il ne bave pas. Super</t>
  </si>
  <si>
    <t>Chaussettes nike Super rapide je recommande</t>
  </si>
  <si>
    <t>Article de qualité Design et qualité de la sacoche incroyable.</t>
  </si>
  <si>
    <t>Couette super Acheter pour l'hiver car je suis une très grande frileuse au points que je dois dormir avec 2 bouillote. J'en avais marre de les faites le soir j'ai donc opté pour l'option de la couverture chauffante. Nous avons un lit de 2x80 du coup la couverture est juste sur mon lit mon mari apprécie vu que lui a toujours chaud. Le coter gris est tout doux ce qui est très agréable moi j'adore. Le H sur le boitier est la puissance maximale. La couverture chauffe en 1h est après elle se mets 1. Facile d'utilisation la 1er fois.  Je crois que personnellement je ne pourrais plus m'en passer je l'adore</t>
  </si>
  <si>
    <t>Super pour de multiples utilisations &lt;div id="video-block-R1GT9H3CYH16DA"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src="https://images-eu.ssl-images-amazon.com/images/I/B163CipKONS.mp4" style="position: absolute; left: 0px; top: 0px; overflow: hidden; height: 1px; width: 1px;"&gt;&lt;/video&gt;&lt;/div&gt;&lt;div id="airy-slate-preload" style="background-color: rgb(0, 0, 0); background-image: url(&amp;quot;https://images-eu.ssl-images-amazon.com/images/I/91vaBEfmJYS.png&amp;quot;);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center;"&gt;0:41&lt;/div&gt;&lt;div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5.83201%;"&gt;&lt;/div&gt;&lt;div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value="https://images-eu.ssl-images-amazon.com/images/I/B163CipKONS.mp4" class="video-url"&gt;&lt;input type="hidden" name="" value="https://images-eu.ssl-images-amazon.com/images/I/91vaBEfmJYS.png" class="video-slate-img-url"&gt;&amp;nbsp;Je ne vais pas vous refaire tout le descriptif technique, il est complet. Cet ampli avec 2 microphones fonctionne à merveille. Branchement simplissime, cela m'a pris 2 minutes. Les réglages sont aussi simples que le branchement. Réglage des basses, trèbles et fonction Echo. Les 2 micros ont chacun leur bouton de réglage du son. La portée est raisonnable, pour ma part je me suis promené dans toutes les pièces de la maison et pas de problème de perte. Branché sur ma chaîne HIFI, ne pas oublier le câble RCA Audio qui n'est pas fourni. Les micros fonctionnent avec 2 piles AA non fournis. La notice n'est pas en Français mais les nombreux schéma sont explicites et pas de problème de branchement.  Il est compact, on peut le prendre partout avec soit sans difficulté.  Moi qui aime organiser des Karaoké chez moi, le fait d'avoir 2 micros utilisable en même temps est un grand plus.  Très peu d'interférence, quasi pas de larsen ou grésillement.  Je recommande ++++</t>
  </si>
  <si>
    <t>. Fidèle à l annonce  réception rapide</t>
  </si>
  <si>
    <t>Réglable et très jolie ! Commandée pour un cadeau, le bracelet est réglable, tous les outils sont dedans pour enlever des mailles ce qui est pratique. Bel aspect général et belles finitions. Conforme à la photo je recommande.</t>
  </si>
  <si>
    <t>trés bon son La qualité du son est digne d'un matériel professionnel. Le branchement et le réglage se font facilement et rapidement. L micro fonctionne avec des piles classiques beaucoup moins chères que mes piles carrées. De bons karaokés en perspective.</t>
  </si>
  <si>
    <t>minimalistes pour la vie courante</t>
  </si>
  <si>
    <t>Magnifique chapelet Très beau chapelet et de bonne qualité !</t>
  </si>
  <si>
    <t>Ras Ras</t>
  </si>
  <si>
    <t>Exellent. Très bon produit. Très satisfaisant.</t>
  </si>
  <si>
    <t>Au top Basket impeccable, livraison rapide, authentique paire de lacoste</t>
  </si>
  <si>
    <t>ma plus tres contente</t>
  </si>
  <si>
    <t>Attention, la chaleur be tient ps Je suis déçue par ce produit car la chaleur disparaît très vite. Il n'y a qu'une minute de chaud et ce n'est pas de la grande chaleur, L'effet chaud ne tient pas.</t>
  </si>
  <si>
    <t>Ne jamais l'acheter Je n'ai pas aimé cet article trop de défauts je ne le recommande plus</t>
  </si>
  <si>
    <t>Nul Contrefaçon la semelle c’est retirer en quelque jour</t>
  </si>
  <si>
    <t>Pratique Très pratique ! Mais bon, après 3 mois d’utilisation, les poils au bout ne reprennent plus leurs formes... dommage</t>
  </si>
  <si>
    <t>New Balance Pour tout les jours</t>
  </si>
  <si>
    <t>Bon taille 43 Très comfortable</t>
  </si>
  <si>
    <t>super micros Je trouve ses micros d'une bonne qualité et un son net très agréable</t>
  </si>
  <si>
    <t>Tres bien et encore ameliorable C'est vraiment pratique et spacieux. À laver régulièrement car la saleté se dépose dans la rigole de devant. Pas de place pour les assiettes ni les opercules qui servent à fermer les flacons de conservation du lait maternel</t>
  </si>
  <si>
    <t>Bon son. Longue autonomie Ecouteur Bluetooth de très bonne qualité. Pratique avec sa boîte de charge. Agréable à l'oreille. Très bon son. Longue autonomie. Fontion lampe torche également.</t>
  </si>
  <si>
    <t>Montre sport Je l utilise tous les jours elle est légère et très design j apprécie la fonction «&amp;nbsp;pas&amp;nbsp;»,facile d utilisation elle est très ludique le cardiofrequence mètre pour son prix est pour moi l atout qui m a fait acheter ce produit plus toutes ses fonctions qui sont loin d être négligeable et primordiale pour tout sportif qui se respecte</t>
  </si>
  <si>
    <t>RAS Peut chere que en grande surface pour la même quantité d ancre. Bon qualité prix. Je recommande.</t>
  </si>
  <si>
    <t>Bonne montre oua, que dire de cette montre que j'ai toujours sur moi.je l'ai acheté il y a au moins 2 ans. et aucun soucis avec. à acheter les  yeux fermée.</t>
  </si>
  <si>
    <t>Confort Travaille</t>
  </si>
  <si>
    <t>Super chaussure Super chaussure, comme vu avec tommy, prendre une taille en dessous. Recu rapidement. Je conseille ces chaussures, on est aussi bien que dans des chaussons!</t>
  </si>
  <si>
    <t>Très bon son Très bon produit, très facile à connecté et le son est très bon que demander de plus. Je vais en recommander pour la famille car ils ont trouvé ce produit très intéressant.</t>
  </si>
  <si>
    <t>Mieux que sur les photos Achetées en noir Chaussures prévues pour ambulancier Elles sont superbes, les collègues sont jaloux, et ne croient pas à son prix Je recommande vivement</t>
  </si>
  <si>
    <t>Bracelet Agathe Noire Livraison rapide et conforme à la photo du site. Il semble quand même être un peu moins clair que sur la photo mais c'est exactement ce que je souhaitais...même un peu plus foncé aurait été encore mieux!</t>
  </si>
  <si>
    <t>Top Très bon produit Bonne taille</t>
  </si>
  <si>
    <t>Super ce grill-pain Un abord estétique, mais pas que !! mais il faut dire qu'il est super beau. Les côtés pratiques, les tartines aprés grillages sont éjectées à la bonne hauteur, on ne cherche pas à les attrapées et on ne se brule pas les doigts en les prenant. Le réglage de la température est hyper precis. La fonction réchaffachage des croissant est super bien aussi. Je n'ai pas essayé la fonction décongélation. mais si c'est comme les autres fonction il ne devrait pas y avoir de problème. Que du bonheur</t>
  </si>
  <si>
    <t>Belle taille. Belle surprise que la taille de ce bijou.  A compléter avec les boucles d'oreilles qui comme le collier sont de bonne taille.  L ensemble donne un effet élégant sans être trop clinquant .</t>
  </si>
  <si>
    <t>Ras Super rien à dire qualité confort classique casio incontournable je ne vois pas quoi lui reprocher ...je recommande vivement à l achat</t>
  </si>
  <si>
    <t>Montre J'adore la montre le style, c'est classe, jolie et élégant.  Franchement on est classe avec et ça passe avec tous ce que l'on porte! C'est simple, styler et c'est ça qui fait sont charme et avec sont juste prix c'est vraiment parfait! Je suis un amateur des montre Quartz et franchement j'adore c'est parfait!</t>
  </si>
  <si>
    <t>Impec Rien à dire.. correspond très bien à la demande</t>
  </si>
  <si>
    <t>Plutôt déçu Prix attractif au moment de l achat mais Cartouche qui semble s être vidé très rapidement .. donc je ne recommande pas</t>
  </si>
  <si>
    <t>très deçu J'ai reçu cette montre très rapidement. Niveau design, très belle comme sur les photos. Par contre impossible de régler l'heure et le bouton sous la "goupille" est tombé. Donc je l'ai renvoyé et Amazon m'a remboursé.</t>
  </si>
  <si>
    <t>Peu mieux faire Ne pas être chatouilleux comme moi mais super pratique... mais ne chauffe absolument pas</t>
  </si>
  <si>
    <t>MAM Biberon Anti-Colique - 260ml - 0 à 6 mois Il n'est as mal, il se démonte entièrement, ce qui n'est pas mal du tout pour le nettoyer. On trouve facilement des tétines qui vont avec. Le seul petit bémol pour moi, c'est qu'il manquait le petit truc qui bouche le biberon, quand on fait des préparations a base de farine.</t>
  </si>
  <si>
    <t>Genial Montre de très bonne qualité seul point négatif la lumière ne sert à rien casio pourrait passer au Led sur leurs g schock</t>
  </si>
  <si>
    <t>Tétine avec embout large Très pratique Embout plus large que les autres  donc débit important ce que je voulais Je le conseille sans souci</t>
  </si>
  <si>
    <t>Super montre Très belle même magnifique mais se des synchronise rapidement mais c est un plaisir de ra remettre a l heure</t>
  </si>
  <si>
    <t>La fermeture Mise à part la fermeture produit sympa</t>
  </si>
  <si>
    <t>bien reçu bien reçu . produits conformes / Merci</t>
  </si>
  <si>
    <t>Parfait Je suis très a l’aise dans ce jogging, parfaitement adapté à ma morphologie et aux couleurs sympas.</t>
  </si>
  <si>
    <t>Fragile Très joli mais très fragile</t>
  </si>
  <si>
    <t>Très confortable pour l’hiver ! J’étais à la recherche de pantoufles pour me protéger du froid du carrelage pendant l’hiver, je suis tombé sur ce modèle qui estTrès confortable pour l’hiver, Ils sont très moelleux donc agréable aux pieds, il protège très bien du froid. Ils sont beau et de bonne qualité</t>
  </si>
  <si>
    <t>TRES BELLE MONTRE Bon rapport qualité prix. J'ai acheté cette montre pour faire un cadeau et elle a rencontré un grand succès. Envoi rapide et soigné. Très satisfaite.</t>
  </si>
  <si>
    <t>Satisfaisant Livraison rapide pour ces petites Puma jolies comme tout</t>
  </si>
  <si>
    <t>Top Très bonne cafetière RAS après plusieurs mois d’utilisation</t>
  </si>
  <si>
    <t>très bonne chaussure malgré une ampoule au pied gauche (opéré) les chaussures sont légères avec une excellente semelle, pointure....44 c'est du 44 dommage pas de demi pointure, si vous voulez mettre de grosses chaussettes prenez une pointure de plus !</t>
  </si>
  <si>
    <t>fidele a la photoTRES TRÈS APPRÉCIE PAR MON ÉPOUSE ET MOI MÈME A BIENTÔT.</t>
  </si>
  <si>
    <t>Lot de biberons pour nouveaux nes Lot de biberons roses pour nouveaux nés. Contient 2 grands biberons' 2 petits  une brosse et une tétine.  Biberons d excellente qualite' La marque Avent est le must en matière de puériculture. Une superbe idée de cadeau, fort utile !</t>
  </si>
  <si>
    <t>Montre de tres bonne qualité et finition Et encore une Casio.</t>
  </si>
  <si>
    <t>Très bien Sac d'épaule très pratique. Il y a beaucoup de poches et suffisamment de place pur ce que j'ai à y mettre.</t>
  </si>
  <si>
    <t>super j;ai chosi cet article car il a trois feuilles et qu;il est ultra doux, de plus il y a dix huit paquets , c'est économique</t>
  </si>
  <si>
    <t>Bon produit Très bonne qualité, boîte qui permet de les ranger et de les charger. Agréable à l’oreille sans avoir mal Il y a des ambouts supplémentaires pour els différentes taille d’oreillers Fonctionne sur android et sur iphone sans souci</t>
  </si>
  <si>
    <t>bouilloire couleur sublime pour ma cuisine, look parfait et fonctionnalité sans surprise, je ne regrette pas mon achat, tout est parfait</t>
  </si>
  <si>
    <t>Moyen Qualité du papier trop fin</t>
  </si>
  <si>
    <t>passez votre chemin !!! 3 exemplaires testé et rien na faire l'imprimante n'en veut pas !!! La leçon est qu'il faut tout de même aller lire les commentaires , même pour un article de marque et "binaire" avec plus de mille appréciations et 4 étoile sur cinq. Bref ?</t>
  </si>
  <si>
    <t>Dommage Beaucoup trop grand. Même pour 1 poignet très fort cela n'ira pas. Pas de possibilité de réglage et ou de serrage : dommage.</t>
  </si>
  <si>
    <t>bien mais bof un peu déçue, mon fils aime par contre il ne joue pas beaucoup avec. Nous nous en servons ensemble avec l'ordi à coté pour faire des recherches sur les pays nommés. les chiffres sont trop longs du coup c'est compliqué à comprendre ( distance, superficie, population,...)</t>
  </si>
  <si>
    <t>chaussures pour madame modèle superbe coloris mode , la chaussure va bien aux pieds agréable a porter je les recommandes a d' autres personnes</t>
  </si>
  <si>
    <t>Fun Correspondance parfaite Avec La description</t>
  </si>
  <si>
    <t>bague magnifique j'adore!</t>
  </si>
  <si>
    <t>Niquel Rien à redire la qualité est bonne, juste un petit bémol sur l'odeur quand on le sort du paquet, ça devrait partir avec le temps.</t>
  </si>
  <si>
    <t>Très bonne lampe d’appoint C’est une lampe d’appoint de qualité. Le réglage de l’intensité se fait facilement de manière tactile, ça répond parfaitement. Elle n’est pas très haute, environ la hauteur d’une écran de PC de 24 pouces. Je recommande cette lampe qui a un bon rapport qualité prix.</t>
  </si>
  <si>
    <t>Le prix Livraison très rapide chaussures adaptées à son pied nickel</t>
  </si>
  <si>
    <t>Parfait Ils fonctionnent très bien et surtout, ils sont non toxique pour les enfants. Ils se compose de craie liquide qui s'efface sur le tableau en verre avec un essuie-tout (sopalin) sec ou humide. ils sont devenus indispensables dans notre cuisine!</t>
  </si>
  <si>
    <t>Sans hésitation ! Très bon modèle,  qui convient aussi aux pieds fins ! Chaussure confortable et robuste,  faite d'un cuir de qualité. Très jolie en plus.</t>
  </si>
  <si>
    <t>Aukey IS ok Un son excellent, un confort parfait, super autonomie, de plus allié au petit boîtier de chargement permet une utilisation encore plus longue.</t>
  </si>
  <si>
    <t>très bon aspirateur J'ai choisit cet aspirateur sans fil au petit gabarit mais avec de très bonnes performances en échange de mon aspirateur classique filaire. Je suis un client très satisfait car en plus d'avoir un beau design et une belle couleur, il est facile à utiliser, aspire aussi bien que mon ancien aspirateur de marque connue, il est peu encombrant avec sa base de recharge, l'autonomie est correct ( étant maniaque je passe tous les jours l'aspirateur ! ). Livré rapidement encore une fois grâce à amazon premium. Je ne peux recommander cet aspirateur.</t>
  </si>
  <si>
    <t>PRODUIT MIRACLE ' avec un peu d ' huile de coude quand même beau boulot avec ce produit . Notre fauteuil était en piteux état 11 ans sans nettoyage ni produit ( récup ) mais là il est comme neuf ; Plus besoin de coussin pour cacher la misère  NICKEL</t>
  </si>
  <si>
    <t>Très bon achat Mes premières oreillettes en BlueT, et je ne regrette pas .. !  Très bon emballage, avec un petit sac de rangement pour les trimbaler tranquille, faciles à mettre en œuvre malgré l'absence de notice française, bonne autonomie, et surtout un très bon maintien grâce aux cadres d'oreille, le son est correct, j'ai troué un peu limité dans les aigus, mais les basses sont excellentes, autonomie correcte, .. bref, je conseille l'achat ..</t>
  </si>
  <si>
    <t>quo vadis ! toujours aussi fonctionnel, efficace, clair....suffisamment large pour y glisser des documents, sans qu'ils ne dépassent....Ma référence en matière d'agenda civil.</t>
  </si>
  <si>
    <t>Très bien Acheté pour remplacer ceux que j'avais. Excellent en tout point de vue.</t>
  </si>
  <si>
    <t>Un petit peu cher Reçu en temps et en heure , comme prévu . Articles conformes à la commande . Un petit peu chers !</t>
  </si>
  <si>
    <t>Très beau ! Parfait</t>
  </si>
  <si>
    <t>Très beau collier il est toujours sur mon cou je le garde précieusement il est beau robuste pour le moment le fil ne se voit pas je le recommande il est vraiment beau et scintillant</t>
  </si>
  <si>
    <t>Bonne qualité de confection Je fais un 40 mais j'ai aussi des mollets assez forts. Si à la taille et aux fesses, ce legging de sport en taille M me va parfaitement, au niveau des jambes c'est un chouïa trop serré si bien que ça fait descendre le tissu au fur et à mesure des mouvements. Pour un bon 40, je recommande de prendre le L dans ce modèle.. Pour avoir testé différents modèles de cette marque, les tailles différent un peu à chaque fois. Je vous recommande de vous fier aux commentaires laissés par les acheteurs.  En dehors du sujet taille, je trouve ce legging très sympa au niveau du graphique violet. Il ne sert pas à la taille, et est particulièrement confortable (pourvu qu'on est choisi la bonne taille dès le départ).  Ne bouge pas au lavage et sèche très rapidement. Il y a une bonne qualité de confection sur ce vêtement. C'est le cas de tous les produits Aurique que j'ai pu essayés jusqu'à présent.</t>
  </si>
  <si>
    <t>Hyper pratique Hyper pratique, se ventouse très bien</t>
  </si>
  <si>
    <t>Converse qui passe toutes les époques Indémodable , rien à dire j’achète depuis des années, jamais déçue !</t>
  </si>
  <si>
    <t>Trop petit Dommage taille trop petit déçue sinon aurait un bon maintien</t>
  </si>
  <si>
    <t>Moyen. Prendre un papier autre pour meilleur rendu Rapport qualité/prix au top car pas cher mais pas terrible non plus en qualité. L’impression dessus n’est pas géniale. Peu importe les réglages de l’imprimante. Le papier pompe trop l’encre, du coup le noir devient limite marron, enfin il ternis beaucoup trop.</t>
  </si>
  <si>
    <t>ne surtout pas acheter ce produit bottes tres fragiles  se degrade a tous niveaux au niveau de la semelle du cuire et la jonction entre les deux  ne surtout pas prendre ce modele</t>
  </si>
  <si>
    <t>Mitigé Très bon produit mais sur les 2 commandés en XL un des deux tshirts est livré en taille M, du coup je reste déçu</t>
  </si>
  <si>
    <t>Quel bonheur Après une dure journée quoi de mieux de s'allonger sur ce tapis pour déstresser et se détendre</t>
  </si>
  <si>
    <t>Notation du casque Ecoute dde musique sur youtub Bon rendement, confort sur les oreilles ,legerete du casque sur la tete Satisfait du produit  bon rapport qualite prix</t>
  </si>
  <si>
    <t>Beau design, dommage pour le bip bip Cafetière élégante, qui chauffe vite et bien. Mais pourquoi nous infliger (et aux voisins aussi sans doute) un bip-bip obligatoire aussi strident? La sonnerie devrait être optionnelle et douce à l'oreille.</t>
  </si>
  <si>
    <t>Très bon investissement Le cuir est d'une très bonne qualité,la livraison très ponctuel.Légèrement déçu car la semelle interieure se décollait légèrement à l'ouverture du paquet. Après seulement quelques jours la chaussure c'est faite à mon pied.Je suis donc tout de même très satisfaite de mon achat.</t>
  </si>
  <si>
    <t>Parfait pour l’hiver Chaussons mignons et confortables. L’extérieur est conforme à la photo. Et l’intérieur est doux, épais et chaud. Ma petite de 9 ans ne les quitte plus à la maison. Je recommande !! Cochez «&amp;nbsp;oui&amp;nbsp;» si mon commentaire vous a été utile. Merci !</t>
  </si>
  <si>
    <t>Confortable Confortable, idéal pour l’été...</t>
  </si>
  <si>
    <t>TRES ABORDABLE DONNE UNE HEURE JUSTE</t>
  </si>
  <si>
    <t>Produit conforme Revetement de semelle agreable.  Amorti confortable.  Bref, elles font le travail</t>
  </si>
  <si>
    <t>Pratique, confortable, élégant Impossible de faire porter des chaussons à un enfant de 10 ans jusqu’ici. Sauf ce modèle. Parfait pour l’hiver !</t>
  </si>
  <si>
    <t>Top! Livraison le jour prévu, basket idem qu'en magasin, rien à redire</t>
  </si>
  <si>
    <t>Super Modele TBS reçu  ce modèle fin sept, je peux en conclure que j'en suis ravie, tout d'abord la couleur bleu très jolie et le confort est au rendez vous pour la promenade, ou marcher en ville. seule bémol pour ma part et je confirme certain commentaire, taille un peu petit et donc pour un confort maximal prendre une taille au dessus. j'ai donc pris un 39 au lieu du 38.</t>
  </si>
  <si>
    <t>Conformes Parfaites</t>
  </si>
  <si>
    <t>Chaussure pratique Rien à dire, j'adore il sont à la fois pratique et souple. Je n'existerai pas à prendre une autre  couleur très prochainement. Merci pour cette belle chaussure</t>
  </si>
  <si>
    <t>Bracelet de très bon rapport qualité prix Très facile à remplacer. Il est monté que depuis 6 mois mais pour le moment je ne rencontre aucun problème. Il faut préciser que je ne mets pas ma montre tous les jours</t>
  </si>
  <si>
    <t>Cartouche Originale HP Produit Original HP. J’utilise ces cartouches pour mon imprimante HP 8600 pro. Certes ces cartouches sont cher mais elles ont un prix à la page parmi les moins cher du marché (4.8 centimes selon le test des numériques). Avec mon utilisation, elle dure un an et environs 2500 pages. Rapport qualité prix excellent.</t>
  </si>
  <si>
    <t>Conforme à la commande Parfait</t>
  </si>
  <si>
    <t>Montre Sublime</t>
  </si>
  <si>
    <t>Tres bien Je suis très satisfaite de ce survêtement, la qualité de tissu est magnifique je l'ai porté deux fois et je l'ai lavé une fois et il est toujours intacte, le couleur la douceur... etc.</t>
  </si>
  <si>
    <t>Le meilleur du marqueur pour tableau blanc. Grand consommateur de marqueurs effaçables au travail, je me réjouis à chaque que je tombe sur ces Bic Velleda à pointe large et réservoir translucide. Alors que la plupart des produits Bic sont fabriqués en France voire ailleurs en Union européenne, ces exemplaires viennent de Chine. Le lot de 4 feutres de 4 couleurs différentes est emballé dans un carton. La pointe large est très agréable si la surface du tableau est bonne. Les couleurs sont bien vives et l'encre sèche vite. L'effacement est facile.</t>
  </si>
  <si>
    <t>P'tit cadeau Beau petit collier qui a fait plaisir merci</t>
  </si>
  <si>
    <t>baskettes je les ai revendu très mal aux pieds dommage sinon la couleur et les stass parfait pas faites pour moi</t>
  </si>
  <si>
    <t>Mauvaise qualité Je conseil pas ce produit</t>
  </si>
  <si>
    <t>Bien Très doux et très chaud, cette veste a juste un défaut: les manches sont un peu longues. Ne pas forcément prendre la taille en dessous, à moins que vous soyez longiligne, sinon vous serez trop serrée à la taille.</t>
  </si>
  <si>
    <t>une gtx c'est choses différentes avec la normal. bonjour, sur le site de Amazon c'est noté noir sûr blanc chaussure gtx j'ai reçu une normal pas de gtx , je suis handicapé la gtx c'est pour garder les pieds au sec malheureusement c'est pas le cas.</t>
  </si>
  <si>
    <t>cool Je l'ai acheté large, pour qu'il ne soit pas moulant et cache mes rondeurs, il fait tout ça ! un peu transparent, il donne une allure sportive et décontractée, j'ai enlevé une étoile pour les finitions des coutures qui tiraillent un peu, mais pas grave! Joli ...</t>
  </si>
  <si>
    <t>TAPIS FLEUR DES CHAMPS Contente de ce produit ,dommage qu'il n'y est pas de notice a l'intérieur ,on ne sais pas très bien command s'en servir</t>
  </si>
  <si>
    <t>Pendentif Très joli</t>
  </si>
  <si>
    <t>Pas de problème Nickel</t>
  </si>
  <si>
    <t>Un colis rapidement reçu Colis bien reçu avant même le terme du délai de livraison. Cartouches bien emballées. Pour la qualité d'impression et la longévité, je répondrai quand j'aurai utilisé les cartouches, ce qui n'est pas encore le cas.</t>
  </si>
  <si>
    <t>Bon rapport qualité /prix Ficelle classique en jute. Fine mais suffisant pour l’utilite que je compte en faire.</t>
  </si>
  <si>
    <t>Collier Je suis juste tombe amoureuse de ce produit. Il a l'air beacoup plus beau que dans l'image et semble etre tres cher. Les couleurs sont tres vifs et claires😍 Cest un cadeau parfait et je vais encore en acheter un autre pour ma soeur.</t>
  </si>
  <si>
    <t>L'oreillette MPOW EM13 est vraiment au top de la qualité du son et du confort L'oreillette MPOW EM13 a était  vraiment bien conçue petite légère est agréable à portée est le son est parfait  même en dehors dans le jardin  le son est au top petite est maniable est très facile à utilise.  Par contre c'est dommage qu'il ne ait pas de boite pour la ranger et la charger en même temps a part ca5je ne regrette vraiment pas mon achat</t>
  </si>
  <si>
    <t>Bon manteau Super pour cet inter saison! Manteau, polaire, avec capuche. J'aime bien sa coupe et son style, il va m'accompagner quelques années. La texture semble résistante et la qualité  globale est bonne (fermeture éclaire, boutons, capuche etc...). Je suis contente de mon achat!</t>
  </si>
  <si>
    <t>Fan des années 80 Très belle montre pour les nostalgiques, cela me rappelle mes souvenirs d'enfance, je l'ai offerte a ma fille de 13 ans qui ne la quitte plus du poignet.</t>
  </si>
  <si>
    <t>Très bien Très beau produit et de très bonne qualité. Très simple d'utilisation. Le bip n'est audible que suffisamment sans réveiller toute la maison!très design, je recommande complètement</t>
  </si>
  <si>
    <t>Parfaite Super ! Le patron ne m'embête plus parque je ne mets pas les sécu... Celle-ci sont agréables et jolie rien a dire .. et le prix est super.</t>
  </si>
  <si>
    <t>tisane prête petite, chauffe rapidement. Je m'en sers tous les jours, pensez à faire un premier rinçage.</t>
  </si>
  <si>
    <t>Je recommande pour les petits budget J’apprecie beaucoup ce casque et voilà plus d’un an que j’en lutilise. Il est très confortable et possède une bb bonne qualité son pour son prix. Ce qui fait un très bon rapport qualité prix. Je vous le conseil que ce soir pour vous ou pour un cadeaux</t>
  </si>
  <si>
    <t>Très bon câble Je m'en sers pour relier mes claviers à mon ampli et il remplit très bien son rôle. Très bon rapport qualité/prix, il paraît solide et tenir dans le temps.</t>
  </si>
  <si>
    <t>Trop grand mais beau sweat Agréable , bien doux à l'intérieur et marrant avec sa capuche l,  mais  vraiment trop grand,  pris  XXL , finalement un M aurait  suffit !  D'après  vos conseils en regardant  le tableau des tailles à commander... Retour pour l'échange bien compliqué,  voir impossible..je  l'ai vendu à une amie  pour mettre son  petit chien dans la poche !! Donc  attention lors de votre commande pour la taille...</t>
  </si>
  <si>
    <t>Écouteurs au top ! Les écouteurs relativement tiennent bien aux oreilles et le son de bonne qualité, il isole parfaitement les bruits. Pour la batterie ils tiennent bien vers 7h mais ça dépend du volume.</t>
  </si>
  <si>
    <t>Top Superbe basket J'ai aussi celle en rouge Au top</t>
  </si>
  <si>
    <t>Chaîne de belle qualité Je recommande cette chaîne de sécurité Elle est facile à mettre et de belle qualité Je suis rassurée !</t>
  </si>
  <si>
    <t>Plait beaucoup Un très bel album offert pour éviter les chocolats des traditionnels calendriers de l'Avent. De très jolies couleurs, lu au moins 30 fois depuis début décembre, c'est sans doute que décembre va avoir 40 jours cette année ! Bonnes fêtes à tous.</t>
  </si>
  <si>
    <t>TRES BON PRODUIT MON PETIT FILS EN RAFOLLE DE CETTE COLLECTION</t>
  </si>
  <si>
    <t>Sensibilité du Rode VideoMic Me Microphone Le Rode VideoMic Me Microphone, sitôt reçu, sitôt testé sur Samsung Galaxy S4 et Galaxy Note 8, sitôt retourné : sensibilité micro "directif" décevante. Le niveau d'enregistrement est limite inférieur à celui des micros intégrés aux mobiles. L’atténuation des « bruits » latéraux est certainement efficace… Matériel testé en lieu clos non perturbé, sans la bonnette anti vent, face à une TV (pour le son et l’image). Le son enregistré commence à être perceptible à moins de 1,5 mètre de la source audio… Non testé en extérieur, avec la bonnette...!</t>
  </si>
  <si>
    <t>Passez votre chemin Reçu déjà utilisé, du scotch pour tenir le réservoir d'eau, des poils sur la prise, aucune protection en carton ou polystyrène dans le carton (très abîmé) contenant la machine. Dommage de payer un produit reconditionné aussi cher qu'un neuf, et de ne pas être prévenu....</t>
  </si>
  <si>
    <t>Bon rapport qualité prix Ces chaussettes sont très confortable mais hélas 1 match de tennis et déjà une cloche.</t>
  </si>
  <si>
    <t>Gibeciere visconti Gibecière Visconti très pratique conforme à mes attentes. Très bon rapport qualité/prix. Belle qualité et finition. Je ne regrette pas et Je recommande</t>
  </si>
  <si>
    <t>Conforme à la description Reçu avant la date prévu , conforme à la description. Satisfaite de mon achat</t>
  </si>
  <si>
    <t>Conforme à la photo beau bijou Sublime collier conforme à la photo avec de très très jolie nuance et un beau coffret qui met bien en valeur le bijou.</t>
  </si>
  <si>
    <t>très bien C'est un très bon article je n'ai pas eu de soucis pour cet article qui est bien moins cher que l'original</t>
  </si>
  <si>
    <t>Suunto original Après 3 ans de bons et loyaux services journaliers le bracelet de ma montre a commencé à montrer des faiblesses... Il était donc temps d'en changer. Avec ma précédente montre Suunto (un model plus ancien) le changement du bracelet c'était très (TRÈS) mal passé, rendant la montre inutilisable. Cette fois ci pas du tout!  Tout d'abord il faut souligner que c'est un produit Suunto original. Le sachet reçu contient les deux bras du bracelet, une notice, et les visses avec les boulons de rechanges, et un tube de colle. Pour effectuer le remplacement un tourne vis de type T7 (en étoile à 5 branches) sera nécessaire et n'est pas fourni. Pour retirer les vieux boulons un tournevis plat 1.3 à fait l'affaire.  Le remplacement m'a pris une dizaine de minute. Étant un produit original pas de mauvaise surprise l'ajustement  est parfait. Juste à noter la différence de design (cf photo : le neuf est à gauche et l'ancien à droite) sans importance à mon avis.  Le seul point négatif la colle pour sécuriser le serrage est à mettre soit même sur le bout des vis... et vu la taille de ces dernières difficile de travailler proprement.  Bref très satisfait... Mon Ambit 3 est repartie pour un tour!</t>
  </si>
  <si>
    <t>Très bien Parfait comme 1er kit.</t>
  </si>
  <si>
    <t>Vraiment petit!!! Bel objet qui fonctionne bien Le dernier dictaphone de ma fille n'ayant pas résisté à une chute en amphi… elle a opté pour ce modèle. Franchement le design de ce dictaphone est vraiment sympa, et le petit format est top!!! Leger, facile d'utilisation avec un son correct. Elle est très satisfaite car c'est vraiment très utile pour prendre ses cours. Bon cadeau à offrir à un étudiant! J'espère que mon commentaire vous sera utile ; )</t>
  </si>
  <si>
    <t>Très bon son Au top super son contente de mon achat car ma fille et ravie merci je recommande</t>
  </si>
  <si>
    <t>Parfait Les cartouches sont parfaites ce sont les originales donc pas de problèmes de reconnaissance avec l'imprimante et en XL elles durent beaucoup plus longtemps. Elles sont également beaucoup moins chères qu'en magasin. Je les recommande totalement. J'espère que mon avis aura été utile.</t>
  </si>
  <si>
    <t>Dodie reste Dodie ..... Ce lot de 6 biberons bleus est le cadeau de naissance parfait, car toutes les mamans le savent bien, nous n'avons jamais assez de biberons. Le fait qu'il y a 3 tailles différentes sont utiles car au début le plus petit suffit puis ensuite le moyen et le grand quand bébé est plus grand. Et les petits peuvent alors servir pour les jus de fruits ou tout simplement pour l'eau. Les dessins sont très ludiques et la forme triangulaire des biberons, permet à bébé quand il a grandit de mieux le tenir seul. Les tétines sont à 3 vitesses et cela facilite le débit de lait que l'on souhaite pour bébé. Bref, une qualité et une marque qui n'a plus rien à nous prouver. Même s'ils sont un peu chers, le savoir faire est là. Je les recommande +++</t>
  </si>
  <si>
    <t>Identique Parfait Superbe basket pour personne qui travaille debout toute la journée</t>
  </si>
  <si>
    <t>Très satisfait J'ai acheté ces chaussettes pour le confort et la durabilité. Entièrement satisfait concernant le premier aspect. Elles donnent une sensation agréable et s'adaptent bien à l'anatomie du pied et de la jambe inférieure sans entraver la circulation du sang. Lavage possible à 40° donc OK (plus bas ne satisfait pas). C'est trop tôt pour évaluer la durée de vie. Mais pour le moment, c'est mon choix préféré.</t>
  </si>
  <si>
    <t>Confortables Mon fils adore ces chaussures. Elles sont idéales pour ses pieds forts et confortables. Efficaces également contre les mauvaises odeurs De bonne qualité elles durent, je les ai recommandées lors des changements de pointure. Prévoir peut être juste une taille au dessus.</t>
  </si>
  <si>
    <t>OK même avec des "grands" pieds Je fais du 45, Ras avec le 41/46</t>
  </si>
  <si>
    <t>Super Super</t>
  </si>
  <si>
    <t>Top Qualité Magnifique montre</t>
  </si>
  <si>
    <t>très bien. Je ai un très large pied. Avec les sommets des sandales, étant velcro, je suis en mesure d'ajuster à mon exacte. l'amortissement sur la plante des pieds excellents. Je suis aussi un homme très grand, donc je ai tendance à être très dur sur des éléments tels que shoes.as de maintenant, ils se maintiennent très bien.</t>
  </si>
  <si>
    <t>Excellente montre à petit prix Rapport qualité prix imbattable. J'adore cette montre. Le bracelet a vite pris une teinte de cuir vintage mais j'adore. Fonctionne très bien. Seul détail : le bruit de la trotteuse la nuit</t>
  </si>
  <si>
    <t>Magique Avant j'ai dépensé quelques bonnes centaines d'€ dans des trackers Garmin et autres marques de grande réputation, avec plusieurs déconvenues sur la fiabilité et la qualité. Là avec Wincase j'ai un bracelet performant et fiable pour le 10ième du prix des autres grandes marques. Que demander de plus !!! Fiable et agréable à porter elle ne me quitte plus. Gageons que la qualité soit durable. En regard de tous ces éléments je ne peux que conseiller son achat !!!</t>
  </si>
  <si>
    <t>Coutures un peu fragiles Joli sac pratique et pas trop cher mais il ne faut pas lui en demander trop. Les coutures des attaches sont faibles et se déchirent plutôt facilement. Ne pas trop charger donc ni trop tirer dessus. Si vos enfants s'amusent à tirer sur votre sac cela risque de déchirer. Après bien sûr un peu de couture et ça tient bien mieux qu'avant mais bon...</t>
  </si>
  <si>
    <t>Chaussettes  à  éviter Chaussettes  pas confortables dutout. Je les ai jeter car ma fille ne les supporte pas.  Impression  de porter du synthétique  😱 Je déconseille vivement.</t>
  </si>
  <si>
    <t>Défaut de qualité au bout d’un mois Au bout d’un mois l’une des 2 Un croche noir à côté de la fermeture éclair c’est mystérieusement enlevée (comme effritée). Impossible de retourner le produit car l’achat date d’il y a juste un mois comment faire marcher la garantie SVP ? Je suis très étonnée de la basse qualité de cette trousse étant habituée aux produits Eastpak.</t>
  </si>
  <si>
    <t>dommage reçu en temps et en heure mais trop petit ne convient pas pour un porte feuille ,un mobile (6''), porte carte (papiers voiture ) ni 2/3 petites choses avec</t>
  </si>
  <si>
    <t>taille grand , couleur non conforme Taille un peu grand et la couleur jaune est plutôt couleur vieille moutarde périmée. Mais pour l'ensemble, c'est confortable.</t>
  </si>
  <si>
    <t>Achetez le ! J'ai décidé d'écouter les commentaires d'un chacun sur ce casque et je peux vous dire que je ne suis pas du tout déçue  ! Confort excellent, son d'une bonne qualité pour le prix et facilement rangeable. Il est très discret et n'attire pas les regards dans la rue c'est ce que je cherchais avant tout. Le seul bémol est que la batterie s'affiche seulement quand on le connecte un appareil, pourquoi ne pas faire une touche spéciale batterie à cote des touches de commandes la prochaine fois ? Malgré  ça, les 18 heures sont assurées 👍🏾  Enfin bref, rien à dire, achetez le.</t>
  </si>
  <si>
    <t>très bon casque! très bonne restitution des sons. confortable.</t>
  </si>
  <si>
    <t>brassière très jolie En principe les brassières sont sombres avec un maintien moyen....... Celles-ci sont très jolies, belle dentelle, et très très bon maintien que l'on ne retrouve pas non plus avec les brassières toutes simples, taille correctement (taille L prise pour un 42 et 95B, cela convient parfaitement)</t>
  </si>
  <si>
    <t>bien produit de bonne qualité pointe fine, tres conforme à la descritpion par contre bien attendre que ca seche sinon tout s'efface...</t>
  </si>
  <si>
    <t>La taille Idéal pour le sport</t>
  </si>
  <si>
    <t>tétine dodie J'utilise ses tétines avec les biberons mam car ma fille n'accepte que ces tétines depuis qu'elle prend le biberon. Tétines trois vitesses à un prix correct et de bonnes qualités</t>
  </si>
  <si>
    <t>sweat bleu à capuche doublée en fourrure Ma fille de 12 ans mesurant 1 m 52 a adoré cette veste super cool et tendance pour ado. (taille XS) De marque allemande, donc aucun problème sur la qualité et le prix reste très abordable.</t>
  </si>
  <si>
    <t>Très bien (un peu juste en dimension) Produit conforme à la description (adhérence, couleur, texture). Je regrette un peu d'avoir pris un tapis de souris de cette dimension (23 x 18 cm), c'est un peu trop juste pour travailler confortablement... Mis à part ça, rien à dire !</t>
  </si>
  <si>
    <t>SUN TRES BON PRODUIT NETTOIE TRES BIEN LA CUVE DU LAVE VAISSELLE. MOINS ONEREUX QUE DANS LE COMMERCE. DE PLUS LE CONTENU DU SACHET RENTRE SANS PROBLEME DANS LE COMPARTIMENT LAVAGE.</t>
  </si>
  <si>
    <t>Super Parfait très joli</t>
  </si>
  <si>
    <t>Très pratique Super pratique ! Très rapide pour une stérilisation au micro-ondes ! Idéal pour les mamans actives qui n'ont pas toujours le temps d'attendre que l'eau bout à la casserole. La base peut également servir d'égouttoir à  biberons !</t>
  </si>
  <si>
    <t>Chaussure de securite Super chaussure de securite confortable et jolie a porter ,par contre taille très grand . Fournie avec 2 paires de lacets une noir et une rouge .</t>
  </si>
  <si>
    <t>Trés bien Très douce bien chaude rien a redire.</t>
  </si>
  <si>
    <t>Magnifique Nickel</t>
  </si>
  <si>
    <t>Bonne qualite Tres facile a mettre en place, il prends une bonne heure et demi a construire, deux heures si vous prennez bien le temps.  Je suis satisfait du rendu de la boite</t>
  </si>
  <si>
    <t>conforme Produit livré dans les temps, conforme à sa description et fonctionne très bien ! J'ai pu remettre en route une vieille Technics SL-B210 qui fonctionne au top maintenant !</t>
  </si>
  <si>
    <t>Répond à mes attentes Fonctionne bien</t>
  </si>
  <si>
    <t>Evaluation Je suis vraiment satisfait de ma commande.ces chaussettes sont a la fois chaudes et resistantes.c est un produit de bonne qualite.le rapport qualite /prix est imbattable.je recommande vivement cet article</t>
  </si>
  <si>
    <t>Confort Bonjour, Le pantalon de sudation est confortable à porter. Il est également bien taillé. On peut le porter durant toute une matinée pour vaquer à ses activités. On aura une légère sudation.</t>
  </si>
  <si>
    <t>Bien mais... En soi cet un chauffe biberon qui fait son job mais les moins : - le temps de chauffe est legerement erroné car pour un biberon de 150ml en le chauffant normalement et bien il ressort pas vraiment chaud il faut soit le remettre un peu soit le mettre sur la fontion petit pot ... - l'eau a tendance a deborder du chauffe biberon quant elle boue. - quand on retire le capuchon pour recuperer le biberon effectivement on peut se bruler et du coup plein d'eau en resort. - obligé de systematiquement remettre de l'eau dans le bain marie. Bref ce n'est pas tres pratique. Les plus: - il est petit donc gain de place. - compatible avec les biberons avent. Je pense quand meme que ppur faciliter le chauffage du biberon (surtout la nuit) il faudrait revoir 2 /3 points.</t>
  </si>
  <si>
    <t>Mauvaise taille. Commander en taille XL recus un tee shirt qui me parait etre de taille M.Je fait 1m90 pour 75kgs donc inutilisable.Faudrais voir a mettre les tailles correctement.Merci.</t>
  </si>
  <si>
    <t>decue Il y a des coussinets dans le soutient gorge qui bougent a chaque lavage ! tres complique a remettre conrrectement Pas un tres bon soutien</t>
  </si>
  <si>
    <t>Article de qualité mais pas de bonnes  odeurs Produit de bonne qualité et bien présentable mais attention ils ne sentent pas très bons on reste sois sur les agrumes ou sur les styles eucalyptus , mais pas des odeurs modernes et agréable</t>
  </si>
  <si>
    <t>Discret Discrétion, facile d’utilisation.</t>
  </si>
  <si>
    <t>Bien mais fin Attention, adepte de chaussettes Puma, j'ai pris celle-ci entre autre pour un usage sportif, c'est à oublier tout de suite. Le tissu est agréable, mais très fin, c'est bien pour porter dans des baskets de ville, pour sortir et se balader, mais n'espérez en aucun cas mettre ça pour courir ou faire du tennis. Sinon comme toujours avec Puma, la chaussette est de bonne qualité, semble bien tenir au lavage.</t>
  </si>
  <si>
    <t>De bonnes chaussettes Chaussettes bien étudiées, avec partie orteils et talon renforcés.  Ne coupent pas la circulation, avant de les mettre, je les ai lavées à 30°. ça les a un peu resserré, mais on peut les enfiler sans avoir de pb.</t>
  </si>
  <si>
    <t>Usuel Quotidien et bien moins cher que dans les tabacs !</t>
  </si>
  <si>
    <t>génial parfait pour alimention led et son 110 v</t>
  </si>
  <si>
    <t>sublime Ce bola est juste magnifique, de très bonne qualité. Le tintement est discret et très agréable. Je suis ravie de cet achat!</t>
  </si>
  <si>
    <t>Top Super’produit Très facile à utiliser même pour les plus jeunes très bin’e Qualité et le son est super</t>
  </si>
  <si>
    <t>Chaussures conformes chaussures hyper légère bien protégé je les utilise depuis deux semaines au travail aucun problème je recommande .</t>
  </si>
  <si>
    <t>Jolie Superbe couleurs</t>
  </si>
  <si>
    <t>Parfait J’a déjà essayé plusieurs marques mais celui-ci est meilleur, ne tombe pas, ne glisse pas. On voit la différence</t>
  </si>
  <si>
    <t>Conforme à la description et recommande vivement Article livré avec un jour de retard. Mais exactement conforme à la description. Table robuste, confortable, pour un première table de soin je recommande vivement. Très bonne qualité.</t>
  </si>
  <si>
    <t>Qualité Très bon produit</t>
  </si>
  <si>
    <t>Superbe pull!!! Acheter cet hiver je le porte souvent n’a pas bougé au lavage</t>
  </si>
  <si>
    <t>Oh, c'est geniale J'ai des problemes de dos. Trois interventions deja (hernie discale et arthrodese). On peut choisir entre trois temperatures. Ca prend un peu de temps pour que ca chauffe. Ce que j'ai fait c'est que je l'ai mis sur un minuteur (pas inclu). Automatiquement, le minuteur le fait marcher en temperature le plus bas. Mais c'est nickel. Des que je rentre dans le lit, le temperature du lit est super-agreable (tiede, mais pas chaud). Dans le cas que je souhaite un peu plus de chaleur, j'ajuste le reglage a la minute. Tres bon achat. Et tres bon marque.</t>
  </si>
  <si>
    <t>Moderne Super qualité</t>
  </si>
  <si>
    <t>Trop belles, j'adore Vraiment belles, la pointure et correcte et le prix canon (par rapport aux autres revendeurs de cette marque)</t>
  </si>
  <si>
    <t>Super produit au top Merci tout simplement Livraison rapide je peux écouter Netflix tranquillement le son est comme au cinéma je recommande foncez</t>
  </si>
  <si>
    <t>Très satisfait Très satisfait</t>
  </si>
  <si>
    <t>Jolis, pratiques, parfaits! Ce lot de biberons est à première vue très jolis, les couleurs sont sympa, les décor très jolis.  La forme des biberons permet à bébé qui grandit de le tenir facilement tout seul. Le bouchon est pratique et se décapsule d'une seule main (un gros plus quand on est maman et qu'on a toujours les mains occupées). Les tétines rondes (mais pas larges) sont classiques mais conviennent parfaitement car l'allaitement est déjà loin pour nous.  Le nettoyage est aisé, tant pour le corps du biberon que pour les tétines.  La marque Dodie ne nous déçoit jamais, c'est joli, c'est solide, c'est pratique, on a confiance à 100%, que demander de plus?  En plus, ce lot peut faire un joli cadeau de naissance. Je recommande, oui, sans hésiter!</t>
  </si>
  <si>
    <t>Moyennement satisfaite Faisant du 39 j'ai pris du 40 mais c'est un "40" petit j'ai l'impression d'avoir du 38 aux pieds...</t>
  </si>
  <si>
    <t>Tong L'article a été renvoyé car beaucoup plus grand que la pointure correspondante. Le produit correspond à la photo. Un peu cher pour des tongs.</t>
  </si>
  <si>
    <t>Bien mais très fragile Je suis professeur des écoles et pour la fête des mère j’ai confectionné avec mes élèves des boucles d’oreilles le produit correspond à la description le seul problème est qu’une sur 3 casse au montage donc à manipuler avec précaution</t>
  </si>
  <si>
    <t>Commande conforme Commande conforme</t>
  </si>
  <si>
    <t>Qualité et silencieuse dans les travaux d'impression... Silencieuse ! Trop cher pas rapport à d'autres marques ! Son point fort : elle accepte les cartouches génériques.</t>
  </si>
  <si>
    <t>Matière, couleur, poches tout est bien J’ai acheté ce sac pour la vie de tous les jours. Il est d’un matière très souple et agréable. Petit bémol sur les glissières (la partie que l’on prend fraise glisser et ouvrir le zip) qui sont un peu écaillées. Mais la «&amp;nbsp;fermeture est facile et fluide. Beaucoup de poche qui sont mise face contre nous et pas vers l’exterieur Puisque opposé au logo devant. Idéal pour ne pas s’encombrer  Et prendre juste l’essentiel. Le format est idéal.</t>
  </si>
  <si>
    <t>Brassière sport Brassières au top, maintien nicquel. Elles sèchent vite ! Seul petit bémol, elles tiennent chaud... mais elles me sont devenues indispensables</t>
  </si>
  <si>
    <t>Bonne affaire Boucle d oreille il me semble a 2 euro . Bonne qualite .on pourrait presque croire que c est de l or.malgre qu elles sont pendante elles sont legeres a porter.je vous les recommandes mesdames pour les fetes ou autre.</t>
  </si>
  <si>
    <t>Vraiment top!!! Je recommande sans hésiter cet ensemble de sport. Je mesure 1m67 et je taille du 38 en bas et du 36 en haut. Il me taille parfaitement !</t>
  </si>
  <si>
    <t>Bon prémier casque anti-bruit Depuis j'ai pu comparer TaoTroncs TT-BH22 avec Bose QC35II (tout en sachons que QC35II coûte 5x plus en moyenne) :  Réduction de bruit : TaoTronics offre une performance de réduction à la hauteur de 25%-30% de Bose QC35II. C'est beaucoup moins comparé face à face, mais TT reste néanmoins bien utile au travail ou dans l'avion et permet de se familiariser avec des avantages de la réduction de bruit active.  Qualité de son : la qualité de son est très bonne chez TT et dans un test rapide très étonnamment elle ne parait pas très éloigné à celle de Bose, en tout cas pour un usage simple.  Confort : TaoTronics sont confortable à porter et similaire à Bose. Les deux casquent ont une construction mécanique similaire et peuvent être pliés de même manière.  Interface : L'ergonomie de contrôles n'est pas idéale sur TT (pas d'indication en marche, embranchement de la réduction par un bouton séparé).  La caractéristique du son de TT change bizarrement (en mal) quand la réduction de bruit est désactivée. Bose n'a pas ce type de défauts, en plus Bose dispose d'une application mobile pour sa configuration.  Autonomie : très satisfaisante pour TT, semble conforme aux spécifications. Pareil pour Bose.  Globalement, TT offre beaucoup de qualités pour son petit prix. Parfait pour un usage quotidien. La réduction de bruit est considérablement inférieure par rapport au leader du marché, mais elle n'est pas ridicule et apport un confort additionnel dans des endroits bruyants.</t>
  </si>
  <si>
    <t>Parfait La sacoche correspond parfaitement à la description et aux photos. Produits de bonne qualité La grandeur permet de mettre un portable et plusieurs accessoires</t>
  </si>
  <si>
    <t>Joli Joli Et en plus elle chauffe mon père l’a adopté papa heureux que du bonheur</t>
  </si>
  <si>
    <t>Recharges conformes Pour imprimante photos, idéal pour imprimer de façon ponctuelle quelques photos.</t>
  </si>
  <si>
    <t>Beau bijoux J'ai offert ce bracelet et je trouve qu'il est franchement très joli et gracieux pour une femme. C'est un beau cadeau à faire</t>
  </si>
  <si>
    <t>Achat parfais ! Achats parfais !</t>
  </si>
  <si>
    <t>très confortables J'ai acheté ces baskets pour mon fils ado qui d'habitude ne porte que de la marque, en plus de les trouver "trop" belles, il les trouve hyper confortables. Je suis contente de mon achat surtout à ce prix !</t>
  </si>
  <si>
    <t>Invicta... La  diamètre du verre fait 30 mm, 38 sans la couronne crantée de mesure du temps de plongée, 40 avec les crans extérieurs de la couronne, ce qui peut faire petit pour des gens musculeux, forts qui préfereront , je suppose une 45 mm. (Mesures prises sur un double décimètre, pas de pied à coulisse disponible).  Pas trop lourde, présentation soignée, fond en verre laissant apercevoir le mécanisme et ai pu lire sur le bâti du mouvement 24 jewels que je traduis par 24 rubis, signe encourageant d'un mécanisme de qualité. Ma Seiko ne doit avoir que 21 rubis. Tellement satisfait que j'en commande une deuxième pour offrir. G.</t>
  </si>
  <si>
    <t>des feutres pour des aprés midi de tranquilité familiale génial pour toutes les surfaces</t>
  </si>
  <si>
    <t>Super Très bon produit de très bonne qualité</t>
  </si>
  <si>
    <t>Tout a fait conforme Bon produit, tout a fait conforme à la description. L'huile est de bonne qualité.</t>
  </si>
  <si>
    <t>Des crocs quoi Aucun problème à signaler. Des Crocs robustes et légère qui peuvent être utiliser dedans comme dehors. Très bon produit qui ne glisse pas sur le sol.</t>
  </si>
  <si>
    <t>Je recommande Confortable, la bonne taille, bonne qualité, elle conforme à la fichier. Ça a l’air bien avec mes vêtements de sport, et j’ai acheté deux de plus après j’ai essayé la première.</t>
  </si>
  <si>
    <t>Très moyen Pas de bretelle réglable. Fermeture éclair sur le devant très difficile à utiliser.Je ne le recommande pas du tout.Je suis déçue.</t>
  </si>
  <si>
    <t>Attention ce n'est pas des converses Les baskets me vont, par contre méfiez vous ce n'est pas des converses all star mais une marque les ayant tres bien copié (pour ne pas dire contrefacon). Décu parce que je pensai vraiment acheté des converses...</t>
  </si>
  <si>
    <t>L"'affaire " est dans sa boîte. Produit reçu avec les côtés des semelles décollées à plusieurs endroits. Je ne l'ai pas constaté de suite, car portées plus tard. Il s'agissait d'un produit reconditionné avec comme indications : salissures. Sachant bien détacher cette matière, je ne me suis pas inquiétée et pensais faire une affaire. Il n'y avait aucune salissure. C'était un pur et simple gros défaut de fabrication. C'est irréparable étant donnée la couleur des chaussures en cuir poreux. Impossible d'utiliser une colle sans imprégner le cuir et le tâcher. Dixit un cordonnier qui ne veut pas prendre ce risque. (Alors qu'il est un véritable orfèvre. ..). L"'affaire " est dans sa boîte depuis des mois.</t>
  </si>
  <si>
    <t>Perle Andante Stones j'ai acheté ces stoppeurs pour mon bracelet P.......pas facile de les glisser sur le bracelet il faut vraiment forcer.</t>
  </si>
  <si>
    <t>Ça va Pour l’instant il y a rien à direIl faut voir la suiteÇa fait que deux semaines je les ai bonne journée</t>
  </si>
  <si>
    <t>A utiliser avec précaution Très bon diffuseur avec de belles couleurs. Il est petit et nécessite très peu d'entretien. Il n'est pas bruyant donc possible de le laisser fonctionner la nuit sans gêne. Le seul reproche qu'on pourrait faire est le volume d'eau (150ml) qui je trouve est assez petit si on le laisse fonctionner 4 à 5 heures par jour. Ps: je remarque une forte fluctuation du prix pour ce diffuseur. Je l'ai acheté il y a 15 jours à 11.99€ et maintenant il est à 14.99€. Soyez vigilant au prix et Mr. Le Fabricant si vous me lisez, soyez moins gourmand svp.  Voici une liste de différentes huiles essentielles à utiliser en fonction de votre besoin:  1- Difficulté à s'endormir: les huiles essentielles d'ylang yang (parfum envoûtant), lavande et valeriane sont connues pour aider à trouver le sommeil. Versez 4 gouttes pour l'ylang ylang car assez puissante et 4 à 5 gouttes pour les autres.  2- Purification de l'air: versez 4 à 5 gouttes d'huiles essentielles de citron ou de lavande.&amp;nbsp;  3- Booster l'énergie et le mental: versez 4 à 5 gouttes d'huiles essentielles de bergamote, ou de menthe poivrée ou de sauge sclarée (odeur un peu repoussante à mon goût mais efficace).  4- Repousse insectes: versez 4 à 5 gouttes d'huiles essentielles de citronnelle, clou de girofle, ou bois de cèdre.  Pensez bien à nettoyer le bac du diffuseur au vinaigre à chaque utilisation d'huiles essentielles différentes. Si l'odeur des huiles ne vous dérange pas vous pouvez encore augmenter la quantité (5 à 7 gouttes). J'achète mes huiles essentielles chez Aroma zone.  Bonne utilisation et vive le naturel!</t>
  </si>
  <si>
    <t>Bon chauffe-biberon J ai troqué mon chauffe-biberon Avent pour celui-ci. Beaucoup plus rapide et pratique. Par co'tre je ne trouve pas la fonction chauffe petit pot terrible, c'est long et souvent pas à la bonne température</t>
  </si>
  <si>
    <t>Ballerines pour vols internationaux. Taille normale. J’ai acheté ces chaussons pour les utiliser dans mes déplacements longs courriers. 10 à 12h d’avion...Ils sont légers, confortables, smart et antidérapants...et ne prennent guère de place. C’est super ! Je recommande.</t>
  </si>
  <si>
    <t>Correct Bonne qualité. .. correspond à la description.. moins souple que ceux que j utilise d habitude mais sans consequence</t>
  </si>
  <si>
    <t>Une montre simple mais essentielle Prix modéré pour cette montre qui propose l'essentiel et surtout un cadran bien lisible. Look classique et sobre. Fonctionnement sans incident depuis 1 mois.</t>
  </si>
  <si>
    <t>Parfait et confortable Tres satisfait de ma commande , très léger, convient parfaitement à se dont je souhaitais. Confortable à l'oreille.</t>
  </si>
  <si>
    <t>Bonne qualitée Montre très élégante et pas chère pour la qualité du produit. Fonctionne très bien à première vu</t>
  </si>
  <si>
    <t>c'est une machine trés fonctionnelle Bonjour, très facile à installer, très bonne qualité d'impression y compris les photos. je recommande cette machine, elle rassemble beaucoup de fonctions très utiles .</t>
  </si>
  <si>
    <t>bien cadeau</t>
  </si>
  <si>
    <t>CONTRE LE FROID Article un peu long à arriver mais il est là et correspond tout à fait à mes attentes . Bien fini, sympa, mon chien l'adore !! Difficile d'évaluer la taille idéale, je m'étais trompé lors de mon précédent achat.</t>
  </si>
  <si>
    <t>⭐ Belle G-Shock rouge ⭐ Couleur rouge pas trop flashy, très belle montre, ma 6ème G-Shock dans se style. Indémodable et solide, ma plus vieille G-Shock date de 1999 acheté en Australie.  Pour l'éclairage du cadran, toutes les montres  de cette série et du modèle avec le bouton de lumière au bas de l'écran (GA-700) n'éclairent que très peu. Une simple diode.  J'avais le système Illuminator sur des G-Shock dans les années 90, c'est regrettable que ça ne soit pas utilisé actuellement sur ces montres.  Mais bon, comme j'utilise que très rarement la lumière ce n'est pas rédhibitoire.  Info pour les potentiels acheteurs, acheté 59,99€ le 29/08/2017. Comme le prix fluctue, si ça peut aider...  Si vous avez trouvé mon commentaire utile, n'hésitez pas à cliquer sur "UTILE" en dessous, ça fait toujours plaisir :)</t>
  </si>
  <si>
    <t>Top Produit conforme à la description Nickel</t>
  </si>
  <si>
    <t>Ok Les indispensables de l’ete. Produit conforme au descriptif.</t>
  </si>
  <si>
    <t>Belle robe agréable à porter Confirme à la description et à l’image. Satisfaite de cette robe.</t>
  </si>
  <si>
    <t>tres bon la qualite Reçu les écouteurs à l’instant le temps d’ouvrir l’emballage lire la notice et le pairage est fait sans problème ni fausse note. Ce ne sont pas les premiers écouteurs Bluetooth que j’achète mais étonnamment ils sont de très bonne qualité. Très bonne tenue, son impeccable et par moment j’oublie même que j'ai des écouteurs. Pour moi c’est tout bon à tous les niveaux surtout le rapport qualité prix qui est excellent</t>
  </si>
  <si>
    <t>tres bien la montre remplit parfaitement son office, il faut bien penser à la mettre en exposition lumineuse régulièrement pour ne pas perdre de capacité en pile.  deux points regrettables à mon sens : les marées ne sont pas géolocalisées... mais bon à ce prix là c'est normal et les vis sur le boitier sont des fausses...  super montre sinon!!!</t>
  </si>
  <si>
    <t>Grigri Jolis, pas chers du tout. Un excellent investissement pour de sympathiques cadeaux. Ces bracelets conviennent aussi bien pour les filles que pour les garçons.</t>
  </si>
  <si>
    <t>Bien dans mes baskets Les basket lacoste sont trés confortable, j ai les pied sensible donc je suis trés difficile. Taille bien elle sont ni trop grand ni serré.</t>
  </si>
  <si>
    <t>Excellent chaussons J'en suis à ma 2ème paire. La première paire est toujours en très bon état après plus de deux ans d'utilisation quotidienne. Très bonne qualité : semelle épaisse et qui ne d'affaisse pas avec le temps, chauds mais pas trop. Sobres et esthétiques.</t>
  </si>
  <si>
    <t>Pas neuf Le produit reçu n'est clairement pas neuf. Quelques rayures ici et là et des traces de colle. L'angle 90° a du jeu et n'est pas tout-à-fait droit. Le produit n'a pas l'air solide et ne vaut pas son prix, ça devrait pas valoir plus de 15€. Pas sûr que ça tienne une année. 3 étoiles en moins à cause de ces désagréments.</t>
  </si>
  <si>
    <t>Très bas de gamme &lt;div id="video-block-R34BFRAM3DUB3P" class="a-section a-spacing-small a-spacing-top-mini video-block"&gt;&lt;/div&gt;&lt;input type="hidden" name="" value="https://images-eu.ssl-images-amazon.com/images/I/81UgpzLHMwS.mp4" class="video-url"&gt;&lt;input type="hidden" name="" value="https://images-eu.ssl-images-amazon.com/images/I/81YgWAjLt5S.png" class="video-slate-img-url"&gt;&amp;nbsp;Beau de loin, loin d'être beau ! 😂 Du Made in China, bas de gamme. Les jours sont en pictogrammes... Déçu de mon achat !</t>
  </si>
  <si>
    <t>Trop petit Trop petit</t>
  </si>
  <si>
    <t>bon rapport qualité prix juste un petit problème avec l'élastique sur le coup de pied, trop court et impossible de rentrer le pied. J'ai coupé!!!</t>
  </si>
  <si>
    <t>Pour les grands bébés Quand son bébé grandit (ou celui que l'on garde) il faut du matériel adapté. Le biberon de lait est important et nécéssaire (quand on ne donne pas la tété) pour bébé, ça lui apporte à la fois de l'eau et aussi du calcium et des protéines de lait et tout un tas de trucs écris sur les boites de lait. Mais bébé aime aussi boire en quantité ; c'est à dire plus de 210 ml et aussi il aime tenir son biberon.  Ce biberon est idéal pour être tenue entre les petites mains de bébé. En effet, il est aminci sur les côtés ce qui permet une bonne prise en main. Mais si on donne le biberon, je le trouve pas trop pratique. La tétine a plusieurs vitesses : 3 . Elle est souple et "rappelle" le sein , ce qui doit permettre une meilleurs préhension.  Pour le nettoyage, je le fais à la main, bien plus simple (puisque je n'ai pas de machine) et j'utilise une brosse.  Des biberons vendus par 2.  Ils sont pratiques et bébé est content.</t>
  </si>
  <si>
    <t>Bien Les écouteurs sont corrects, le son est très bien, avec une petite commande pour régler le volume sur le fil, ce qui est très pratique. Je recommande</t>
  </si>
  <si>
    <t>Efficace et agréable Cadeau offert à mon épouse pour Noel et qui a ravit toute la famille ! Les "points" de massage sont assez épais et ne font pas mal. Le chauffage est léger mais suffisant pour être ressenti et agréable. Le produit est pratique et efficace, parfait ! seul petit bémol : les boutons de commande situé sur la bretelle gauche sont mal placés. La localisation a proximité des "poignées" droite ou gauche aurait été parfait. Je recommande néanmoins.</t>
  </si>
  <si>
    <t>grande visibilité Tableau étudiant idéal pour les schémas</t>
  </si>
  <si>
    <t>top Super brassières, je voulais un bon maintient c'est chose faite! Je ne peux que les conseiller vu le prix ca vaut le coup!</t>
  </si>
  <si>
    <t>Sacoche Très bien et bravo pour la qualité</t>
  </si>
  <si>
    <t>le top bottes techniques et esthétiques. passe dans l'eau, la boue et la neige sans problème. les pieds sont bien au chaud, la fourrure intérieur est moelleuse: des vrais chaussons, même à -12o</t>
  </si>
  <si>
    <t>rapport qualité prix impeccable Je l'utile pour faire des karaokés, ils sont geniaux</t>
  </si>
  <si>
    <t>Très pratique ! Fini la colle en tube qui fait gondoler les photos ! La découpe des carrés est simple et la pose encore plus ! Idéal pour la réalisation d'albums photos maison ! je recommande !</t>
  </si>
  <si>
    <t>Câble Audio 3.5mm vers Double 6.35mm 2M Article correspondant aux indications données par le site et apparemment de très bonne qualité. Aucun reproche à formuler</t>
  </si>
  <si>
    <t>La classe absolue Bon d'accord, c'est cher mais franchement, cette théière vaut son prix. Et puis, les objets de cette marque sont faits pour durer, l'investissement en vaut la chandelle. Sur la boite, il est écrit "objets d'art culinaire" et ce n'est pas une vue de l'esprit. Cette théière est belle, autant que peut l'être une théière, mais surtout elle est fonctionnelle, complète et pratique. Des modes pré-réglés en fonction de la nature du thé ou de l'infusion, des modes programmables personnels, une fonction bouilloire et même une fonction thé glacé, eh oui . La fonction maintient au chaud réactivable peut s'avérer utile dans le cas de préparations plus importantes. A noter que la théière accepte le thé en vrac aussi bien que celui en sachet. Il est possible de régler l'appareil quasiment au degré voulu, ainsi que la durée d'infusion. Toutes les commandes sont intuitives et on peut se passer du mode d'emploi pour utiliser l'appareil aussitôt déballé. Une petite coupelle aluminium est fournie pour poser le réceptacle à thé, on est dans le détail mais ça reste toutefois très appréciable. Tout cet ensemble en aluminium satiné et verre trempé est du meilleur effet et peut rester sur le plan de travail de la cuisine sans honte. Des patins anti glisse tapissent le fond de la théière ainsi que de la coupelle pour davantage de sécurité. Traité sans bisphénol pour les parties en plastique et donné pour 20% économe en énergie. On appréciera également la possibilité d'enrouler le fil d'alimentation sous la base pour un rangement efficace. Vraiment un très bel objet, efficace et facile d'emploi qu'on ne peut que recommander.</t>
  </si>
  <si>
    <t>Très bon produit J'ai pris ces feutre pour ma fille et elle les adorent il n'ont pas sécher et s'enlève facilement quand faut nettoyer bébé la mienne plate très légèrement arrondit ne bouge pas même si elle apui fort la qualité est la</t>
  </si>
  <si>
    <t>pantoufle ces pantoufles sont super epaisse parfaite pour mon papa qui est a la maison, ces pantoufles son epaisses, chaudes et adapter comme il faut a la pointure</t>
  </si>
  <si>
    <t>Super Rapport qualité / prix, rien à redire. Super qualité. J’en ai acheté 2. Le goulot est très bien adapté pour l’introduire dans le biberon sans en mettre partout. Le fait que les doses soient cumulables, c’est parfait, on peut mettre dans le sac à langer soit une dose soit plusieurs doses, c’est très pratique. Je recommande.</t>
  </si>
  <si>
    <t>Tres bonne huile essentielle ! Super rapport qualité-prix et je l'utilise comme çà !  Application cutanée : Abcès, acné, eczéma, gingivite, herpès, mycoses, parasites cutanés, piqûres d'insecte, tonique physique (fatigue cardiaque) Voie respiratoire (diffusion, inhalation) : Angine, bronchite, grippe, otite, rhinopharyngite, rhume, sinusite, toux Voie interne (orale, rectale, vaginale) : Bronchite, cystite, grippe, parasites intestinaux, rhinopharyngites</t>
  </si>
  <si>
    <t>Excellent rapport qualité / prix Utilisées depuis quelques mois, c’est conforme à la description. Du coup elles sont toujours dans la machine/sèche linge.</t>
  </si>
  <si>
    <t>la montre la montre super !! voit avec les linges tous habillés !! merci amazone</t>
  </si>
  <si>
    <t>Bon produit Apple mais le prix reste très élevé comme tous les produits apple Bon produit très bon son mais reste cher pour des écouteurs</t>
  </si>
  <si>
    <t>Parfait Très jolie casque et très bon son</t>
  </si>
  <si>
    <t>Dans une boîte cassé Cadeau reçu le jour de l'anniversaire de mon fils de 8 ans dans une boîte cassé 😠au top 👎pfff autant dire que je suis juste un peu dégoûté mais mon fils était quand même très content !!!</t>
  </si>
  <si>
    <t>Déconnexion de l'oreillette droite Qualité audio correcte, bonne autonomie, grosse batterie super pratique mais ... l'oreillette droite fait des micro-coupures toutes les 10 secondes.  Testé avec un samsung galaxy S7 et un LG G4 Testé avec un ordinateur Dell XPS 15  Même comportement. C'est inutilisable en l’état. On peut accepter une qualité  audio inférieur au produit apple mais pas ce comportement.  J'ai tout essayé, hard reset, changement d’oreillette, j'ai toujours le même comportement. Problème de mon exemplaire ? Je ne sais pas.  J'ai décidé de le renvoyer au bout d'une journée. Je ne m'explique pas les bonnes notes des acheteurs.</t>
  </si>
  <si>
    <t>met plus de temps à atteindre ébullition met du temps chauffer</t>
  </si>
  <si>
    <t>Tres grosse montre. Tres bien pour moi conforme au descriptif. Commandée a 13 H 40 reçue avant 22 H le même jour (moyennant 4,99 € en plus) très bien renvoyée au bout de 8 jours : affichage analogique retarde par rapport au numerique (1 H en une nuit)</t>
  </si>
  <si>
    <t>Très bien Super rien à dire pour le prix très joli</t>
  </si>
  <si>
    <t>c'est des bonnes chaussettes. je chausse du 44 et ça va. aussi ça serre bien en haut et ça reste en place.</t>
  </si>
  <si>
    <t>Pas mal Je mets 4 étoiles car je n'ai pas eu le bandeau qui devait être inclus dans le lot !  Sinon l'article est correct. Les picots sont en plastique, quand je les ai touchés au début, j'ai pensé que ça serait trop douloureux à supporter, mais au final j'ai été assez agréablement surprise.  Testé 10 minutes, c'est pas mal pour un début ! Je suis contente</t>
  </si>
  <si>
    <t>bien Default constaté : Info temperature difficile a regler Peinture sur le contour qui part facilement Rayure possible du verre si contact forcé avec un objet surtout pointue.</t>
  </si>
  <si>
    <t>Idéal pour une écoute en pleine canicule En cette période de canicule, il est inconcevable pour moi d'écouter de la musique dans les transports avec mon casque habituel. Il me fallait vraiment un casque / écouteur empêchant toute transpiration.  Je ne connaissais pas l'existence des écouteurs à conduction osseuse jusqu'au jour où un collègue m'en parle et me fait tester 10 secondes son Aftershokz Trek Air. J'ai été séduit par son design, sa légèreté et surtout son côté très ouvert. Je me suis décidé à prendre ce type de casque. J'ai finalement opté pour l'Aftershokz Aeropex. Après plusieurs recherches sur le net, il s'avère qu'il s'agit du meilleur casque à conduction osseuse à ce jour.  Le packaging est vraiment top, on voit tout de suite qu'il s'agit d'un produit finit et soigné. J'ai été un peu dérouté par la présence de 2 câbles, de la sacoche à fermeture magnétique mais surtout des bouchons d'oreilles.  Le casque est quant à lui très léger et la qualité de restitution du son (aigu, médium) n'a presque rien à envier aux casques classiques à l'exception des basses. Ces derniers manquent cruellement de punch malgré les améliorations faites par rapport aux Trek Air. La restitution des voix est vraiment top également. Alors, certes, ça ne vaudra pas un bon casque. Certains détails sonores disparaissent complètement. Les 5 premières minutes d'écoutent étaient assez désagréablement du fait que l'écouteur exerce une certaine pression sur les tempes et le fait que les transducteurs vibrent énormément. Même en l'ayant retirer, je ressentais encore cette gêne. Mais le lendemain, j'ai pu enchaîner une écoute quasi non stop dans les transports et au bureau. Je regrette seulement l'absence de bass bien péchu et surtout l'utilisation de connectique propriétaire (surement dû à la norme IP67/IP68).  Bref, la technologie est prometteur. Et si vous cherchez un moyen d'écouter de la musique en période de canicule alors foncez.</t>
  </si>
  <si>
    <t>C'est étrange j'ai reçu l'écouteur bien emballé et dans une petite boite toute mignonne et bien protégé. Mais au bout de quelques jours d'utilisation, l'écouteur coupe la musique, démarre la lecture, change de chanson et pour couronner le tout, il ne fonctionne plus. Hier je l'ai examiné et j'ai constaté que le fil est cassé de l'intérieur. Peut-être que c'est un défaut de fabrication. Mais bon, vu le prix.</t>
  </si>
  <si>
    <t>Adidas tour simplement Super rien à ajouter.</t>
  </si>
  <si>
    <t>satisfaite a fait beaucoup plaisir</t>
  </si>
  <si>
    <t>MAGNIFIQUE je le porte tous les jours il est MAGNIFIQUE et livré dans une belle boite La chaine est un peu longue à mon gout donc j'ai changé pour que l'arbre de vie soit pile dans le creu de mon cou Il brille et est de très bonne qualité JE SUIS TRES CONTENTE MERCI</t>
  </si>
  <si>
    <t>Pratique Très pratique, beaucoup de rangement</t>
  </si>
  <si>
    <t>Annonce conforme au produit Marque Amazon - AURIQUE Jogger - Pantalon – Femme  Quoi dire dessus : Vous ne quitterez plus ce pantalon de jogging conçu pour vous mettre l'aise en toute circonstance. Que ce soit pour aller au sport avec un haut de survêtement, ou rester chez soi pour cocooner, ce modèle tout doux et stretch offre un confort absolu. Emballage : Dans un sachet Le point négatif : Le point positif : La matière est douce à l'intérieur Les poches appliqué sont grande. Belle matière et jolie coupe. Très pratique à enfiler , douceur , confort du tissu.  Cédric</t>
  </si>
  <si>
    <t>bottes rien a dire parfait !!!</t>
  </si>
  <si>
    <t>parfait^-^ J'ai acheté cette montre pour mon père et ça a l'air tellement bon qu'il en est très content. Montre conforme à la description et les photos. Elle a une forme simple et élégant et emballer dans une boite magnifique. sa couleur noire dégage une dimension de mystère. elle&amp;nbsp; apporte de la rigueur par sa couleur. Le bracelet fait en acier inoxydable de qualité, il est durable, pratique et réglable, idéal pour un usage quotidien, avec surface lisse pour un port confortable. Elle a un designe minimaliste avec des aiguilles et des repères colorés en rouge contrastant avec le cadran noir qui confère à la montre un aspect à la fois élégant et séduisant. Bref, de manière générale, je suis tellement satisfait de cette montre et je le recommande.</t>
  </si>
  <si>
    <t>parfait bonne contenance, peu encombrante sur un plan de travail, très rapide, se nettoie très facilement. gain de temps tous les matins</t>
  </si>
  <si>
    <t>Parfait Ceux qui aiment beaucoup de rangement, passez votre chemin ! Petit sac parfait pour les voyages car permet de prendre l'essentiel lors d'une visite sans être encombre.</t>
  </si>
  <si>
    <t>Veste homme Bonne qualité bonne taille tient chaud</t>
  </si>
  <si>
    <t>Super Pas trop épais. Fonctionne très bien avec une petite plastifieuse à 30€ achetée ici. RAS. Très content de mon achat.</t>
  </si>
  <si>
    <t>Très bien Le bonheur frissons garantit</t>
  </si>
  <si>
    <t>Parfait Les vendeurs de lait écrivent toujours que le mélange des laits en poudre est facile. Quand le bébé hurle devant son biberon bouché par un grumeau, on n'y croit plus. cet ustensile est indispensable pour des nuits tranquilles!</t>
  </si>
  <si>
    <t>bracelet de montre Swatch Très joli bracelet en silicone et facile à monter sur une montre, les outils sont fournis.</t>
  </si>
  <si>
    <t>Déçue J'ai commandé ces chaussures de plage pour mon fils. Elle sont jolies mais taillent beaucoup trop petit !! La taille commandée ne correspond absolument pas aux tailles habituelles de la marque. Je les retourne.</t>
  </si>
  <si>
    <t>décevant vraiment enfantin</t>
  </si>
  <si>
    <t>contrefaçon ce ne sont pas des vrai, j'ai fais un retour immédiatement</t>
  </si>
  <si>
    <t>Déçu 5 petits livres  simples et une boîte en carton pour combler le vide</t>
  </si>
  <si>
    <t>Taille petit J'ai commandé ce pull pour Noël pour mon copain. Celui porte selon les marques entre la taille M voir du L (il est fin mais très grand). Pour ne pas prendre de risque je lui ai commandé ce pull en taille L, qui lui va plutôt bien mais qui taille tout de même un peu petit pour une taille L. Sinon le pull est de bonne qualité, cela reste un basique à avoir dans son armoire.</t>
  </si>
  <si>
    <t>Good Good</t>
  </si>
  <si>
    <t>A croquer ! Pour une première expérience, c'est plutôt une réussite. C'est sabots sont très agréables à porter, aussi bien dehors que dedans, à la maison comme en vacance. Ils sont légers, faciles à enfiler, confortables, tiennent bien aux pieds. Des sabots tout terrain. Le seul bémol, ils taillent petit, il faut le savoir avant d'acheter, prévoir une taille de plus. Bref, un achat que je ne regrette pas, pourvue que ça dure.</t>
  </si>
  <si>
    <t>Jolis très jolis et taille de perles adequate</t>
  </si>
  <si>
    <t>Matière légère et douce Bon article</t>
  </si>
  <si>
    <t>Satisfaite Satisfaite du Collier...la longueur parfaite...ni trop long ni trop court... fermeture a visser... je recommande ce collier pour nos bébés.</t>
  </si>
  <si>
    <t>Sacoche cuir pour homme Superbe !!! Très belle qualité, sent bon le cuir, belles couleurs et coutures parfaites. Je suis ravie de cet achat.</t>
  </si>
  <si>
    <t>quello che cercavo Ce poco da dire, paio identico ad un altro che ho dovuto buttare perché ormai distrutte. Restano sempre un valore sicuro.</t>
  </si>
  <si>
    <t>Parfait Pas de commentaire particulier</t>
  </si>
  <si>
    <t>Parfaite Parfaite...pour un homme plutôt grand, mais cette montre «&amp;nbsp;a de la gueule&amp;nbsp;» et fonctionne très bien. Facile à paramétrer.</t>
  </si>
  <si>
    <t>idéal indispensable lorsque l'on a des animaux, aucun risque pour les peaux fragiles</t>
  </si>
  <si>
    <t>confortables légères et confortables</t>
  </si>
  <si>
    <t>Excellent sac en cuir C’est du véritable cuir. Nombreux rangement. Finitions et qualité sont excellentes Qualité prenium, à acheter sans hésitation. Deux modes utilisations bien pratique: sac à dos et en sacoche normale</t>
  </si>
  <si>
    <t>Finesse du produit Tres bel article Tres féminin et bien taillé</t>
  </si>
  <si>
    <t>Stérilisateur, chauffe-biberons... top Super cadeau offert pour la naissance d’un petit bout, L’appareil a une superbe finition, Beaucoup de fonctions, il n’est pas trop volumineux. Tout est bien expliqué facile d’utilisation. Je recommande</t>
  </si>
  <si>
    <t>Bonnes chaussettes de la marque Dim Très bine chaussettes de marque Dim</t>
  </si>
  <si>
    <t>Parfait ! Acheté pour les études et pour respecter la réglementation contre les calculettes programmables.</t>
  </si>
  <si>
    <t>Magnifique lampe Je l’avais déjà acheté chez nature et découverte, pas du tout au même prix que sur le site Amazon ,  je suis simplement ravie est elle est d’une qualité exceptionnelle</t>
  </si>
  <si>
    <t>Commentaire c’est un bon produit, j’aime bien. Il a une bonne qualité; donc je vous recommande.</t>
  </si>
  <si>
    <t>mini bouilloire de voyage je suis très contente de mon achat. elle est parfaite pour faire une tasse de thé en vitesse à toute heure de la journée et elle tient peu de place.</t>
  </si>
  <si>
    <t>A peine reçu et déjà elle ne fonctionne pas J'ai reçu la dymo ce jour toute contente et en voulant l'essayer il s'avère que celle ci ne fonctionne pas. Je suis à la lettre les explications et rien ne se passe. Je suis déçue moi qui était si contente de l'avoir !</t>
  </si>
  <si>
    <t>Puma taille petit donc prenez 2 tailles au dessu heureux de l'avoir reçu rapidement mais déçu de la qualité du produit, la finition est clairement douteuse et une tache jaune à l'interrieur de la chaussure.. Néanmoins content de la réception mais pour son prix les constructeurs auraient au moins pu faire un effort sur le logo BMW</t>
  </si>
  <si>
    <t>Mauvaise qualité / me correspond pas à la description Produit reçu sans coffret dans un simple sachet plastique. Pas de manuel d'utilisation Pas de garantie Pas de tige métallique permettant la fixation du bracelet au cadran  L'ensemble ne correspond pas à la description du produit et à la qualité attendue.</t>
  </si>
  <si>
    <t>Un super design mais pas très pratique, Ils sont très beaux, design mais pas super pratique. Ils sont plus larges que la normale. Notre bébé de 9 mois n’a aucun mal à bien le tenir en main , néanmoins il a du mal à boire son lait. En effet, ce dernier ne laisse pas couler le lait.</t>
  </si>
  <si>
    <t>bonne qualité mais problème de taille un soutien-gorge qui aurait pu être parfait, très bon maintien. Doublé à l'intérieur, bretelles ajustables en X avec système d'amorti dans me dos...sauf que taille au moins une taille en dessous, le 85A =80A et encore! tailles chinoises???? Dommage!!!</t>
  </si>
  <si>
    <t>nikel chrome alors que je les avais essayé en magasin, et qu'il n'avait pas ma pointure, je les ai trouvé sur amazone, livrée en 72h et 35€ mois chers qu'au magasin!</t>
  </si>
  <si>
    <t>Tres bon sons Très bon casque, seul inconvénient il n’y a pas de micro pour parler au téléphone. Le rapport qualité prix est excellent</t>
  </si>
  <si>
    <t>tres utile Règles très utile notamment pour les bacheliers pour les croquis de géographie. Très facile à utiliser. J'enlève 1 étoile car ils ont remis les même symboles à peu près (carré, rectangle) dans les memes dimensions alors qu'ils auraient pu en proposer d'autres.  N’hésitez pas à laisser un avis positif si mon commentaire vous a aidé. Je vous en remercie.</t>
  </si>
  <si>
    <t>Excellent Très bon produit  Agréable et confortable</t>
  </si>
  <si>
    <t>Table de massage pliante bonne largeur, patte en inox. Juste le trou pour la tête à une couture et c'est gênant. les accessoires sont bien en dessous de la table</t>
  </si>
  <si>
    <t>Bon support de casque à petit prix Produit reçu dans les temps, bien emballé, pas de mauvaises surprises.  Le support de casque est conforme à l'annonce, utilisé pour un casque Sennheiser PC 360 G4ME, et rempli parfaitement son travail. Très facile à monter, il est également très léger. A ce prix, les 5 étoiles sont entièrement méritées.  Je recomme le produit et le vendeur.</t>
  </si>
  <si>
    <t>Supers sacs ! Bon produit Bonjour à toutes et tous, Vraiment génial ! Surtout n'hésitez pas. Si vous avez la moindre question, pensez à m’en un message.</t>
  </si>
  <si>
    <t>Pratique Utile</t>
  </si>
  <si>
    <t>top a tres bien fait le job! on etait envahi de mites a la maison, en moins de 3 jours, plus rien :-)</t>
  </si>
  <si>
    <t>Jolie et pratique Très pratique pour verser. Bonne prise en main de la poignée. Joli design rétro et pas trop encombrant vu la contenance.</t>
  </si>
  <si>
    <t>jolie , top il es juste magnifique</t>
  </si>
  <si>
    <t>Autonomie/ qualité /son au Top Super d'utilisation, une fois chargé l'oreillette dure longtemps voire plusieurs jours. Son nikel, rien à dire. Je ne suis pas déçue de cette marque MPOW après des écouteurs commandés de même marque et également de super qualité. Je recommande🎧✅👌</t>
  </si>
  <si>
    <t>Chauffe vite et garde la température Cette bouilloire me donne entière satisfaction : bonne prise en main, petit ne prend pas de place. facile d'utilisation, montée en température rapide, elle verse bien, pas particulièrement bruyante, design élégant. Permet de choisir facilement la température souhaitée pour l'eau.  Maintient la température une fois atteinte. Cette Mode "Maintien température" est très  efficace Je suis satisfait.</t>
  </si>
  <si>
    <t>Super Super pour nettoyer les biberons et l'embout a tetine est nickel, le biberons et bien nettoyer</t>
  </si>
  <si>
    <t>rapport qualité prix Très bon produit pour un prix très correct avec une livraison très rapide Enchantée de cet achat</t>
  </si>
  <si>
    <t>rouleau sopalin Très bonne qualité, je recommande</t>
  </si>
  <si>
    <t>Ne fuit pas et chauffe rapidement ! La bouteille ne fuit pas si on respecte bien l'assemblage préconisé : pour le transport, le couvercle violet doit se visser SOUS la bouteille (photo 2). Le récipient vient ensuite recouvrir la bouteille (photo 3), même vissé à fond il n'appuie pas sur le bouchon verseur de la bouteille : il n'y a donc aucune fuite pendant le transport. Il y a un tableau sur le récipient qui indique la durée pour atteindre 37°C en fonction de la quantité d'eau dans le biberon et de sa température (ambiante ou sorti du frigo). Je remplis donc la bouteille d'eau bouillante, j'assemble comme indiqué plus haut et je pars en balade. À l'heure du biberon, je dévisse le récipient et le couvercle, je place mon biberon rempli de 210 ml d'eau à température ambiante dans le récipient. Je verse l'eau chaude de la bouteille dans le récipient jusqu'au trait "Max", et je visse le couvercle pour maintenir au chaud (photo 1). Au bout de 2 min 30 s je sors le biberon du récipient, il est bien à 37°C. Je m'en sers même à la maison, ainsi bébé patiente pendant la même durée qu'on soit à domicile ou en balade, ce qui évite les pleurs de frustration.</t>
  </si>
  <si>
    <t>Beau sweat Beau sweat à capuche, bonne qualité, taille bien, grands choix de couleurs. Je recommande cet article.</t>
  </si>
  <si>
    <t>Très bon produit Produit identique aux photos, livraison très rapide. Très bon achat, je recommande.</t>
  </si>
  <si>
    <t>baisse de qualité Retour de deux semaines de trekking . Semelles beaucoup moins performantes que sur mon ancien modèle :Trop fines et adhérence nulle sur surfaces (pierres) humides.Également, je n'ai jamais eu les pieds humides avec les précédentes... là oui. Je suis déçu de mon achat. La course au poids à un prix !</t>
  </si>
  <si>
    <t>A fuir Commande jamais reçue Certes boucles pas chères Même pas fait les démarches pour réclamation Mais donc à éviter lourdement</t>
  </si>
  <si>
    <t>Qualité mediocre Très déçue par la qualité des paires de chausettes. Elles n ont pas de tenue. Achetées pour mon fils 35-38, elles vont à mon ami 43-46</t>
  </si>
  <si>
    <t>Bon produit mais... Les grands biberons des autres marques (remond par exemple) ne rentrent pas dans le stérilisateur. Le socle rouille rapidement. Heureusement la stérilisation est rapide.</t>
  </si>
  <si>
    <t>Comparer c'est choisir J'avais un casque de la même marque acheté il y a 2 ans, mais il s'est retrouvé écrasé entre 2 valises dans un sac.. J'ai donc racheté le nouveau model de la marque.  D'un point de vue qualité du son, je suis un peu perplexe. Il manque franchement des basses, et lorsqu'on enclenche le mode "Réduction du bruit", le son est bien amplifié (on se retrouve dans une bulle de confort), mais les basses disparaissent.. Certes, on peut compenser en modifiant les réglages sur le smartphone, mais s'il m'arrive de trouver le bon réglage pour une musique, il ne correspond pas à la musique suivante... Bon à la longue on s'y fait.  J'ai comparé avec un Bose à 350€, et compte tenu de la différence de prix, je ne suis absolujment pas décu .J'ai même l'impression que le S7, à ce prix là - 100€ avec une réduction de 25€, c'est cadeau.  Concernant l'autonomie, c'est parfait. Paris-San Francisco, 12 heures de vol sans aucun problème, en Bluetooth. C'est idéal pour l'avion, car le mode Réduction de Bruit élimine VRAIMENT le bruit des moteurs, mais il est possible d'entendre l'hotesse vous demander si vous voulez "Poulet/Riz" ou "Boeuf/Carottes"...  J'ai aussi testé le micro intégré pour les appels main libre... c'est bien... pas besoin de câble. Je recommende.</t>
  </si>
  <si>
    <t>bon produit Un seul défaut, elle s'arrête toute seule au bout de quelques secondes. Il faut faire vite pour les manipulations hors système de pesage car la balance s'éteint. Sinon très satisfaisant et précise.</t>
  </si>
  <si>
    <t>Produit conforme à mon attente. La montre est simple d'utilisation et est très pratique d'emploi. Le bip sonore est cependant un peu faible et il faudra avoir le sommeil léger pour se réveiller avec l'alarme. Il ne restera plus qu'à tester l'étanchéité.</t>
  </si>
  <si>
    <t>Pour faire le DJ ! Génial cadeau pour un ou une adolescente. Génial cadeau pour ceux qui aiment expérimenter en musique et veulent jouet au DJ pendant une soirée. Pour ceux qui partage l'appartement ou la maison, ce sera peut être un peu plus difficile à supporter. S'installe via un port USB sur l'ordinateur portable et là, la musique résonne. C'est l'heure des expérimentations auditives. Il y a toutes les fonctions indispensables pour un vrai DJ. Pour les fêtes, c'est un bel outil.</t>
  </si>
  <si>
    <t>Parfait Taille parfaite</t>
  </si>
  <si>
    <t>Bien Je recommande</t>
  </si>
  <si>
    <t>Taille un peu grand Très bonne chaussure avec une semelle en reliefs qui épouse parfaitement le creux du pieds, taille un peu grand donc prenez bien votre taille voir 1/2 en dessous.</t>
  </si>
  <si>
    <t>confortable Chaussons agréable à porter et bonne taille.</t>
  </si>
  <si>
    <t>Livraison rapide Parfait</t>
  </si>
  <si>
    <t>GENIALES!!! Elles sont vraiment adorable et de très bonne qualité! Elle font vraiment leur effet "petit aquarium". En achetant je me demandais si c'était vraiment de l'eau avec un petit poisson en plastique mais c'est en résine dur. Je les ai reçues très vite en plus! Pour le prix je recommande!! (si mon commentaire vous a plus, cliquez sur "utile" Merci :)  )</t>
  </si>
  <si>
    <t>Difficile de faire mieux ! Nous apprécions énormément cette gamme car les feutres ne sèchent pas, la mine est résistante à la pression et aux chutes, les couleurs sont vives, et surtout l'encre part facilement à l'eau éventuellement savonneuse (peau, tissu...)  Il existe plusieurs formes de feutres et de mines. Ici les 2 paquets de 18 feutres embarquent des mines medium et des feutres relativement fins. Pour des enfants en maternelle, préférez les feutres plus épais pour que leurs petites mains puissent les attraper et surtout les tenir plus facilement. En fin de maternelle ou dès l'élémentaire (ce sera aussi vrai pour la suite !) ces feutres répondront parfaitement aux exigeances et sont donc tout à fait recommandables sans limitation aucune.</t>
  </si>
  <si>
    <t>acheté 2 pack car je connais c'est bon j'avais déja acheté ... bons stylos de bonne qualité assez solides et fins même a l'écriture moi je les trouvent très bien et bien reçus en pochettes de 10 pièces ; je suis satisfait et je vous les conseils</t>
  </si>
  <si>
    <t>Bôme musculaire Je suis très satisfait de se bôme livraison très rapide</t>
  </si>
  <si>
    <t>Coffret dinosaures Coffret que j’ai acheté pour offrir à Noël pour mon neveu fan de Dinosaure, je ne sais pas ce qu’il contient réellement mais le coffret et très joli d’exterieur.</t>
  </si>
  <si>
    <t>Géniale Super pratique. Hygiénique. Peuvent être séparées, comparé à d autres modèles.</t>
  </si>
  <si>
    <t>Une première pour moi! C'est la première fois que j'achète des converses! J'ai 30 ans. Et bien je suis super satisfaite! Ce colorie "jeans" va avec tout! Heureusement par contre que je suis allée dans un magasin, essayer une paire car moi qui met du 39, j'ai du commander du........38!!!!!! J'ai eu un peu mal les deux premiers jours mais la toile se fait rapidement a mes pieds. Je pense déjà a me prendre des montantes en marron pour l'automne prochain ;-)</t>
  </si>
  <si>
    <t>Rapide, précise, perfectionnée J'ai reçu cette bouilloire pour Noël (donc je ne peux dire où elle a été achetée). A l'origine, j'avais parlé de la QD658A de la même marque, mais les commentaires négatifs (odeur et goût de plastique dans l'eau) me faisaient hésiter... Et aussi mes parents qui souhaitaient me l'offrir et qui ont finalement opté pour ce modèle. Bref,  les avantages de la Serena : - chauffe rapide avec la température qui s'affiche au fur et à mesure (donc on sait où on en est à tout moment de la chauffe). - température réglable avec précision : de 5° en 5° de 50° à 100° + 3 températures préréglées. Bref, on peut tout faire ! - maintien au chaud 30 minutes : idéal pour anticiper (ici, on démarre la bouilloire du thé et on prépare tout avant le repas, l'eau est parfaite à la fin et il ne reste plus qu'à verser !). - bouton marche arrêt : si on lance l'eau et que finalement on n'en a plus besoin, ou si on souhaite interrompre le maintien au chaud par exemple, pas besoin de soulever la bouilloire de son socle, juste une pression sur le bouton. - pas de lumière LED en permanence : outre le gâchis, certains évoquent des risques pour les yeux... Je ne sais ce qu'il en est mais dans le doute je préfère éviter. Les moins (parce qu'il faut dire quelque chose) : - ouverture/fermeture du couvercle : j'avais une bouilloire avec bouton d'ouverture en haut du manche et je pouvais ainsi ouvrir et tenir la bouilloire d'une seule main. Là, il faut les deux mains, c'est un peu moins pratique. - emplacement du niveau d'eau : situé sous la poignée et non sur les côtés, il est moins pratique à voir. Ce sont les seuls défauts que je lui trouve actuellement après quelques jours d'utilisation, et franchement rien qui me fasse regretter un autre modèle vu les avantages de cette bouilloire.</t>
  </si>
  <si>
    <t>Rapport qualité prix impressionnant • Livraison rapide et emballage nickel • RAS produit conforme à la description • Ma fille ne fait plus de colique grâce à ses biberons et tétines • Longévité assurée Je recommande sans hésiter</t>
  </si>
  <si>
    <t>Bonne idée cadeau Acheté pour un cadeau de Noël. Très belle présentation dans une jolie boîte.</t>
  </si>
  <si>
    <t>7 mois plus tard utilisé avec un raspberry pi 3B+ défaut de puissance ne délivre plus l'ampérage suffisant</t>
  </si>
  <si>
    <t>Pochette ordinateur trop petite Mon ordinateur de 15.6" ne rentre pas dans la pochette (il manque 4cm de hauteur).</t>
  </si>
  <si>
    <t>Chauds confortables mais Chaussent vraiment grand, si vous hésitez prenez la pointure en dessous. Chauds, confortables, mon père les trouve glissants ( sur 1 revêtement type moquette)</t>
  </si>
  <si>
    <t>Pas mal, mais... Le son, la connectivité Bluetooth, l'autonomie, c'est pas mal. Aucun pb pour s’éloigner de &amp;gt;10m de l’ordinateur ou du téléphone, la connexion Bluetooth continue à fonctionner. Par contre, déçu par le mode annulation de bruit, on entend toujours les gens parler et il faut monter le volume de ce que l'on écoute. Le micro est sensible, mais trop sensible pour les conversations Skype; le micro capte la voix des personnes à 2-3 mètres, et s'ils sont dans la même conversation Skype ça ne marche plus très bien. Et le micro marche uniquement par Bluetooth; la connexion audio filaire permet uniquement d'écouter de la musique. Sur ce modèle, la connexion USB sert seulement a la recharge de la batterie, contrairement a d'autres Sennheiser comme la PX550 ou la Momentum M2  wireless qui se comportent comme des casques/headset USB.</t>
  </si>
  <si>
    <t>Bon produit Produit conforme à la description, très confortable.</t>
  </si>
  <si>
    <t>attention aux demi taille correspond tout à fait à la description mais attention, je fais du 37 1/2 et le 38 est quand même très grand et le 37 vraiment trop petit ...  (normalement je trouve mon bonheur malgré mes pieds bizarres).</t>
  </si>
  <si>
    <t>Réception rapide mais moins bonne qualité L'encre semble de moins bonne qualité que les cartouches originales. Le jaune l'emporte sur mes impressions. Puis j'ai toujours un message mentionnant que je n'utilise pas des cartouches officielles.  Cependant, réception rapide et prix intéressant.  Update : super service client et suivi. N'hésitez pas à commander pour bénéficier d'un prix intéressant pour des impressions "maison"</t>
  </si>
  <si>
    <t>Bien Convient au clipper.une pierre à briquet est une pierre à briquet convient au Zippo sans doute ..</t>
  </si>
  <si>
    <t>Adapté au grand froid Elles ont passé l'hiver à mes pieds dans le nord Canadien et tout va bien !! Je recommande cette marque</t>
  </si>
  <si>
    <t>Top Super gamme de biberon utilisés dés le 2 ème mois pour l'eau, anti colique et joli design. Tétine en silicone agréable</t>
  </si>
  <si>
    <t>Efficace impeccable tout ce que j'attendais. Petit pratique</t>
  </si>
  <si>
    <t>HAPPY Je recherchais ce modèle depuis longtemps et après un coup d'oeil sur amazon j'ai trouvé mon bonheur! Très bon rapport qualité/prix, je suis pleinement satisfait de ma ICE WATCH!</t>
  </si>
  <si>
    <t>Solide / Pratique / Contenance Juste Parfait Après 3 essais de boîte , celle ci est la meilleure . Le système de dévissage est vraiment solide et se tord pas à la longue comme les dodies. La contenance est top : 7 cuillère + 4 de céréales !! L’utilisation pareil, rien a dire de négatif ! Et j’avais hésiter car le prix était bas ... aucun regret !!!!</t>
  </si>
  <si>
    <t>Ok Produit conforme</t>
  </si>
  <si>
    <t>montre vintage casio montre plus bronze que or rose. Mais je l'adore. La qualité CASIO est au rendez vous. Le bracelet est en acier peint et pour l'instant aucune rayure . donc ça a l'air solide :-)</t>
  </si>
  <si>
    <t>Cartouche fonctionnelle Tout a fait fonctionnelle sur mon imprimante HP, cette cartouche répond parfaitement à mes besoins d'impression occasionnelle. Installation facile et impression de qualité.</t>
  </si>
  <si>
    <t>Café pour grande famille. Une cafetière dont je connais la marque et la qualité qui par sa contenance plus grande m'offre un café selon mes goûts et désirs. Juste une chose, prévoir des filtres n° 5 ou 6 Pour ma part j'ai pris du numéro 6 pour ne pas avoir un débordement de mare dans mon café du matin. Je recommande sans hésiter ce produit ...</t>
  </si>
  <si>
    <t>Belle chaussure Bon rapport qualité prix, ma fille l'adore, livraison rapide et bien emballée</t>
  </si>
  <si>
    <t>Taille S Ayant une petite poitrine (80 A)  j'ai pris la taille s, je pensais que sa allait m'aller trop grand mais finalement elle est pile Poile a ma taille . Niveau esthétique elles sont très jolie. Et qualité prix rien dire</t>
  </si>
  <si>
    <t>TRES BON SON Téléphone sony, écouteurs sony... les deux sont parfaits</t>
  </si>
  <si>
    <t>Sacoche pratique et solide Sac avec de multiples poches très pratique pour se balader et avoir ses papiers sur soi. Solide et semble imperméable à voir à l’usage...</t>
  </si>
  <si>
    <t>Réception FM Radio indigne J'avais choisi ce modèle pour la fonction radio FM embarquée, mais la réception n'est pas suffisante pour rendre le produit utilisable. Seuls les crachotements sont nets quelle que soit la fréquence choisie. ... Je le renvoie.</t>
  </si>
  <si>
    <t>Arrêtez de vendre du vent. Le produit n'a rien à voir avec la photo de vente. Grosse arnaque! Les gars c'est carrément à éviter ce produit. J'ai du patienter presqu'1 mois pour recevoir un flocage de logo sur le dos et sur les manches. Le tissu ressemble à du plastique. Ne vous faites pas avoir c'est du fake à 100%</t>
  </si>
  <si>
    <t>Basket Semelle.dessous qui ce fent en.moins de  3 semaines décevant car j y suis bien.dedans</t>
  </si>
  <si>
    <t>Entre 3 et 4 étoiles Reçu hier... Voici mon impression sur ce casque : Les moins :  - déçu des basses du casque, un peu trop dans l'aigu a mon goût  - un peu cher pour une qualité de son comme ça de sennheiser, habitué à mieux en casque de jeu - sorte de sifflement, claquement de bille par moment au début du parrainage avec un tel  - beug par moment avec le blueetown du pc sur un film  Les plus :  - casque qui semble solide  - volume assez haut  - casque anti bruit, pratique dans les transports en commun etc  - légé, tient bien sur la tête</t>
  </si>
  <si>
    <t>Jolie paire pouvant se marier avec beaucoup de tenues. Cette paire de chaussures blanche vous démarquera du lot de stan smith et superstar d'Adidas. La chaussure est  sobre et bien proportionnée. Elles sont très confortables. Attention cependant au cuir assez fragile.  La semelle est également très fragile et se découd peu à peu, laissant entrer toutes les saletés et l'air à l'intérieur de la chaussure.  Bilan mitigé, donc.</t>
  </si>
  <si>
    <t>indispensable pour la géographie A utiliser tout au long de sa scolarité jusqu'en fac : permet de rendre une copie détaillée et propre dans cette matière jusqu'en master ! La rareté fait le prix mais la qualité est au rendez-vous</t>
  </si>
  <si>
    <t>produit bien</t>
  </si>
  <si>
    <t>ok Rapport qualité prix correcte pour le prix que je l'es acheter</t>
  </si>
  <si>
    <t>Ma fille de 16 ans adore Offert à ma fille, et adoptée aussitôt. Dommage qu'il n'y ait pas de dorure sur les côtés du bracelet, mais faut vraiment avoir l oeil.</t>
  </si>
  <si>
    <t>BO avec style Très jolies BO. Elles sont fines.</t>
  </si>
  <si>
    <t>Sweat adidas Sweat très sympa belle qualité reçu en avance prix nikel</t>
  </si>
  <si>
    <t>Canon - KP-108IN - Cartouche d'Encre d'Origine. Aucun problème avec cet ensemble cartouche et papier pour une imprimante Canon SELPHY CP810. Je commanderai d'autre produit de même type.</t>
  </si>
  <si>
    <t>Top Très amusant, le son est d’une qualité plus que surprenante. Vraiment bien et très jolie. Les enfants adorent</t>
  </si>
  <si>
    <t>Ça marche avec tout les âges Bon qualité</t>
  </si>
  <si>
    <t>Parfait pour ranger son casque Le casque est posé dessus et est très stable. C'est parfait, design et ça évite que ça traine !</t>
  </si>
  <si>
    <t>bonne machine Cette machine de mise sous vide fait bien son travail en aspirant l'air correctement et sans effort que ce soit des aliments secs ou humide, pour le pain on peut même faire le vide manuellement et scellé, et même que sceller sans mise sous vide. J'en suis très content</t>
  </si>
  <si>
    <t>superbes Adepte des polychromos de faber castle et des prismacolors, je suis bluffée par la qualité des crayons, ils sont gras, les couleurs très vives, pas besoin d'appuyer pour avoir un bel effet, se mélangent tout en nuance. Solides, franchement une très bonne surprise à recommander sans hésitation.</t>
  </si>
  <si>
    <t>Parfait Produit conforme ,convient parfaitement à un bébé de 6 mois ma fille adore et cela permet de ne pas angoisser à l'idée qu'elle s'étouffe avec un morceau de fruit.</t>
  </si>
  <si>
    <t>Salomon Comme toute les baskets salomon nickel. Par contre j'ai pris la meme pointure que d'habitude et un peu juste dommage</t>
  </si>
  <si>
    <t>très douillet ! vive l'hiver ! c'est parfait de rentrer dans son lit tout chaud ! l'avantage , ce sont les 2 télécommandes ! chacun règle comme il veut ! bonne qualité..</t>
  </si>
  <si>
    <t>Superbes baskets Taille parfaitement bien !</t>
  </si>
  <si>
    <t>PARFAIT!! pratique, spacieux, design original. égouttoir hygiénique qualité au top: solidité+++ rapport qualité prix: investissement durable sera également pratique pour la vaisselle de bébé</t>
  </si>
  <si>
    <t>Superbes !! Ces boucles d'oreilles sont juste superbes. Très élégantes, vraiment belles. J'adore !!</t>
  </si>
  <si>
    <t>A acheter les yeux fermés A seulement 11€, ce bracelet ne fait pas tâche monté sur une montre à plus de 1500€. Après plus de deux ans d'utilisation, il montre quelques signes d'usure mais s'est montré plus endurant que le bracelet original de cette montre de luxe.</t>
  </si>
  <si>
    <t>Un peu déçue Jolie mais pas facile à attacher car elles sont très fines et petites donc un peu déçue.. elles ont l’air fragiles</t>
  </si>
  <si>
    <t>Je ne recommande pas La qualité est bof les pièces ce casses avant qu'on est pu les poser correctement.</t>
  </si>
  <si>
    <t>Qualité minable... L’une des deux paires été cassée lors de l’arrivée de la commande Très léger, son mauvais Je ne recommande pas du tout</t>
  </si>
  <si>
    <t>Impeccable Très bon modèle , taille légèrement plus petit que d autres marques ( semelle moulée ) , bon confort. Excellent rapport qualité / prix</t>
  </si>
  <si>
    <t>Beaux produits pour le prix Beaux produits pour le prix</t>
  </si>
  <si>
    <t>forme triangulaire surprenante Biberon de grande contenance (270 ml) à la graduation lisible. Les anses - amovibles - aideront bébé à apprendre à prendre son bibi comme un grand. Une étoile en moins pour la forme triangulaire que je trouve surprenante et moins aisée à nettoyer qu'un biberon rond.</t>
  </si>
  <si>
    <t>Micro correct Points positifs : - Pas cher - Peu encombrant - Très pratique : pas de soucis de batteries puisqu'il est branché sur l'appareil  Point négatif : - Même en intérieur sans bruit autour, il y a un gros bruit parasite qu'il me faut corriger en post-prod. On perd énormément en qualité sonore, même si le son capté est proche du micro. Ai-je reçu un micro défectueux ?</t>
  </si>
  <si>
    <t>Bon maintient et confortable J'ai pris taille M(S) et la taille est parfaite! Un bon maintient sans être trop serré donc très confortable! Le seul petite inconvénient (pour l'été) est que la matière tient chaud. Je compte bien commander d'autres brassières de cette marque et je les recommande.</t>
  </si>
  <si>
    <t>Ras La protection est aux bonnes dimensions pour une carte grise 3 volets avec le coupon detachable, pour info carte grise éditée en 2017 Un peu compliqué à enfiler, il faut y aller délicatement pour le dernier volet au risque d'abîmer la carte grise L'envoi a été relativement rapide, quelques jours</t>
  </si>
  <si>
    <t>bon rapport qualité prix ras</t>
  </si>
  <si>
    <t>Ok J'adore !Les chaussures sont très confortable et la qualité est présente.Je suis très ravie d'avoir achhiverr ses Chaussures car ils sont bien adapté comme prévu et de plus je me suis fait livré rapidement.En bref une bonne paire de chaussures, bien aérées à un prix très raisonnable.Je recommande, la pointure est correct.</t>
  </si>
  <si>
    <t>Diffuseur parfait J’ai commandé ce diffuseur d’huiles essentiels à un vendeur très sympathique. Le colis a été livré très rapidement et en parfait état. Très simple d’utilisation, je l’ai installé sans aide et facilement. La notice explicative est claire et simple, j’ai donc pu mettre en route le diffuseur sans la moindre complication. Il fonctionne parfaitement bien, est silencieux et s’arrête tout seul lorsque le niveau de l’eau est trop bas. Les lumières changeantes du diffuseur sont apaisantes. Je suis très satisfaite de mon achat. Je recommande ce vendeur.</t>
  </si>
  <si>
    <t>Chauffe l’eau très vite Super produit</t>
  </si>
  <si>
    <t>Wouahw Très beau , et très simple. Je me lave avec chaque jour depuis maintenant 1 mois environ, il tient très bien, la couleur ne pars pas ou ne se transfert en un vert sur mon poignet. Pour ma pars il ne me gêne pas du tout et ne s'accroche nul part , même dans les pulls en laine.</t>
  </si>
  <si>
    <t>Belle pochette à bandoulière - Parfait pour un EDC Je pensais que le produit allait être grand  vu la taille mais au final c'est parfait. La contenance est importante avec toutes les poches. Un ventrale, une centrale et une dorsale, de quoi bien remplir votre sac. Mon carnet de chèque rentre sans problème ainsi qu'une petite bouteille d'eau. Ce sac remplit parfaitement son rôle pour un EDC urbain, couverture de survie, lampe torche, garot tourniquet militaire,baton lumineux type Cyalume, firesteel, petite trousse médical, couteau pliant, pince multitools  marqueurs/crayons, papiers d'identités, carte grise, chéquier attache clés... J'étais parti sur un sac d'une marque Maxpédition pour faire mon EDC mais à 90 euros le sac similaire en taille j'ai préféré me rabattre sur celui-ci beaucoup moins cher et plus passe partout. Je recommande. Pour la couleur, on serait plus sur un gris anthracite que sur du noir</t>
  </si>
  <si>
    <t>Sony MDR-ZX310B Casque Pliable - Noir ... Tout simplement parfait  pour l'usage auquel il est destiné. Principalement utilisé pour écouter les clips vidéos et les films sur smartphone, tablette, ordinateur ou télé, ce casque remplit bien son rôle. Je le trouve confortable et le fait qu'il soit pliable me permet de le faire suivre dans le sac à dos lors de mes déplacements en moto. Je trouve aussi très pratique la fiche jack à 90° qui permet au fil d'être toujours dans l'alignement d'un éventuel tiraillement. Difficile de demander beaucoup plus pour un tel prix.</t>
  </si>
  <si>
    <t>j'aime beaucoup J'aime beaucoup, taille 3XL tres bien. la qualité également est tres bien. visuellement ca en jette ! j'ai 37ans ca me rajeuni de 10ans !</t>
  </si>
  <si>
    <t>Très bien Ces aimants sont puissants. Étant souvent sujet à des douleurs au niveau du mollet (tendon d’Achille). Je les glisse dans mes chaussettes et cela s'avère efficace.</t>
  </si>
  <si>
    <t>Excellent Très bonnes chaussures</t>
  </si>
  <si>
    <t>PADGENE Baskets Les baskets sont sympas mais prévoir une taille au-dessus. Retour et remboursement effectué en moins de 24 heures. Je recommande ce vendeur très professionnel.</t>
  </si>
  <si>
    <t>Tres confortable Chaussures tres jolies et agréables a porter mais 8je chausse du 38 et les ai trouvées un peu grandes je conseil de prendre une demie taille en dessous dessous de sq pointure habituelle</t>
  </si>
  <si>
    <t>Joli Vraiment joli</t>
  </si>
  <si>
    <t>Super Je recommande ces livres. Ma fille qui est en cp les lis toute seule. L'histoire est écrit en gros caractère et n'es pas charger sa ne décourage pas les enfants</t>
  </si>
  <si>
    <t>Déçu par l'article Synthetique</t>
  </si>
  <si>
    <t>plastique léger  je déconseille le sac poubelle ne tiens pas , la structure plastique très très léger et cher pour ce que c'est!!  décu</t>
  </si>
  <si>
    <t>Paramètres divers à prendre en compte Je ne connaissais pas et j’ai découvert. Bon, au premier essai j’allais le renvoyer, puis en l’apprivoisant ou, plus exactement, en contournant la difficulté, j’avoue que ce n’est pas si mal, mais ce n’est pas le paradis non plus. Je m’en explique. Il faut bien reconnaître que si on le place sur une chaise longue (position semi-horizontale), en marche totale normale, on se détruit le dos dans la foulée... et je suis intimement convaincu que pour tout appareil de ce genre c’est du pareil au même, mais passons. Effectivement, si on le place à la verticale on peut doser le ressenti, mais c’est parfaitement inconfortable, car on a alors tendance de partir en avant vu la place qu’il lui faut et qu’il prend sur la chaise ou le fauteuil où il se trouve installé. Comme je le disais précédemment, j’ai contourné la difficulté en plaçant entre l’appareil et mon dos (sur une chaise longue, précisons), un matelas de plage... et là, tout devient différent... et surtout possible !</t>
  </si>
  <si>
    <t>la sonnerie ne fonctionne pas la sonnerie ne fonctionne pas, donc pas d'alarme</t>
  </si>
  <si>
    <t>Bien Produit conforme à l'attendu</t>
  </si>
  <si>
    <t>Simple Principe simple du bain marie Il faut juste savoir anticiper le biberon et s'y prendre 10 minutes avant l'heure Facile à transporter</t>
  </si>
  <si>
    <t>Belle montre mais Magnifique montre, juste on entend le bruit des aiguilles qui est assez fort quand on est dans un endroit calme ou avant de dormir</t>
  </si>
  <si>
    <t>Bon rapport qualité prix Chaussures pour le sport. Très légère et très confortable.</t>
  </si>
  <si>
    <t>Bien. Un peu abîmé sur le dessus dès le départ, un gros plis en travers, avec le temps ça se confond avec les autres.</t>
  </si>
  <si>
    <t>Biberons parfaits Parfait. Pour moi ce sont les meilleurs biberons.</t>
  </si>
  <si>
    <t>Belle et pratique Très belle sacoche, pas encombrante, de taille parfaite pour un porte feuille. Je l'ai prise en grise, très belle couleur et qualité. Je recommande</t>
  </si>
  <si>
    <t>Basket de qualité Basket de qualité, bonne pointure, confortable d'après l'utilisatrice. livraison dans le temps .</t>
  </si>
  <si>
    <t>INTERACTIVITÉ EXCEPTIONNELLE 1 an d'utilisation en intensif et toujours au top.  LES PLUS .Tout fonctionne parfaitement/bonne réactivité des connections externes/bon son/batterie ok/très léger/solide/housse protection pour voyage ok/bon design de plus discret/les options sur le casque son simples et utiles/qualité prix ok.  LES MOINS . Malgré une voix et un voyant sur le casque qui indique les connections, un icône visuel sur écran serait un plus..  Un casque tout en un vraiment pro et opérationnel, Je recommande. Opération d'achat et livraison Amazon 👍🚀.</t>
  </si>
  <si>
    <t>TIGER MCA68-BK Pied de microphone Facile à installer et à utiliser , pour cérémonie  dans une église , je recommanderais cet article à toute personne  qui en aurait besoin.</t>
  </si>
  <si>
    <t>Clarks Batcombe Lo Bottes très confortable, taille bien et elle sont belle. Merci</t>
  </si>
  <si>
    <t>Bon rapport qualité-prix Un produit que j'aime bien, il évite les traces de calcaire teintée dans le fond de la cuvette. Une sensation de propreté chaque fois qu'on tire la chasse.</t>
  </si>
  <si>
    <t>Très contente Correspond parfaitement à mes attentes</t>
  </si>
  <si>
    <t>Très bien, jolie Bracelet très jolie, conforme à la description... J'adore la couleur des différentes pierres, la grosseur des pierres est très bien pour moi... Il a rejoint les autres bracelet  ... Je ne l'ai pas acheté pour un effet santé, après si il en a un tant mieux...</t>
  </si>
  <si>
    <t>RAS Tres confortable et très dou</t>
  </si>
  <si>
    <t>Très bien Je ne suis pas une experte en aquarelle, seulement une débutante, mais je trouve ces pinceaux de bonnes qualités. Les poils tiennent bien et sont soyeux. Très très bon rapport qualité / prix.</t>
  </si>
  <si>
    <t>Excellent chauffe biberon, rapide et complet &lt;div id="video-block-R7Y3J2JITN1IU" class="a-section a-spacing-small a-spacing-top-mini video-block"&gt;&lt;/div&gt;&lt;input type="hidden" name="" value="https://images-eu.ssl-images-amazon.com/images/I/C1uCRB9aZqS.mp4" class="video-url"&gt;&lt;input type="hidden" name="" value="https://images-eu.ssl-images-amazon.com/images/I/81Vd3IRfSyS.png" class="video-slate-img-url"&gt;&amp;nbsp;J'ai acheté ce chauffe biberon pour les petits que je garde et franchement je ne suis pas déçue. Il chauffe le biberon à 37° en 1 minute maxi, maintient au chaud, stérilise les biberons. Il est un peu cher mais complet, pratique et facile d'utilisation. De plus, la fonction bain mari est pratique pour maintenir le biberon au chaud lorsque bébé fait une pause.</t>
  </si>
  <si>
    <t>Très bien écrit et s'efface correctement.</t>
  </si>
  <si>
    <t>Bons écouteurs avec de bonnes fonctionnalités Les écouteurs sont agréables à porter et la qualité du son est conforme aux attentes. Les écouteurs gauche et droit peuvent fonctionner ensemble ou indépendamment l'un de l'autre. les écouteurs ont un contrôle tactile et facile à utiliser. La mallette de transport a un affichage LED pour vous montrer le statut de charge restant. Il existe également un port USB qui peut être utilisé pour charger votre téléphone, mais la batterie intégrée n’a pas la capacité suffisante pour changer complètement votre téléphone, mais elle est utile en cas d’urgence. Attention: L’extérieur du boîtier de chargement se raye facilement. Veillez donc à le ranger. si non c'est un bon produit</t>
  </si>
  <si>
    <t>Conforme a la description Ce destructeur est très bien. J’ai pris la version micro coupure. Ce sont vraiment des tout petit morceaux. Je n’ai pas encore eu l’occasion de faire passer une carte bancaire dedans mais les tas de feuilles de 7-8 passent, un plus lentement mais elles passent.  Niveau bruit disons que si c’est pour un ou 2 papiers ça va. Mais si vous avez plusieurs documents à détruire peut-être faut il attendre d’être en journée. Le soir c’est un peu bruyant. Pas suffisamment pour retirer une étoile.  Pour moi il rempli le contrat Je reviendrai éditer  mon commentaire si je rencontre des soucis  pour la destruction de carte bancaire</t>
  </si>
  <si>
    <t>Super bouilloire Super produit une couleur pour chaque température. RAS</t>
  </si>
  <si>
    <t>En dirait c du contre façon La veste est nikel...mais le pantalon est trop grand en dirait taille l .. Cest vraiment dommage par rapport au prix 215 €  . Je suis vraiment dessus</t>
  </si>
  <si>
    <t>LEGGINGS arrivé trop grand et transparent, je ne le recommande pas</t>
  </si>
  <si>
    <t>Trop petit Je ne vais pas les utiliser trop petit</t>
  </si>
  <si>
    <t>Très bon rendu si il n’e Pas mouillé. Très joli bracelet, mais ne doit pas être mouillé  , même accidentellement car les auréoles ne partent plus.</t>
  </si>
  <si>
    <t>Bien Bon produit dans l'ensemble, mais le coton laisse beaucoup de petites peluches dans la machine au premier lavage et je trouve l'encolure et les manches un peu trop larges..!</t>
  </si>
  <si>
    <t>Super maintien Après un mois d’utilisation 3x/semaine l’article n’a pas bougé. Le maintien est toujours aussi top. Pas forcément simple à mettre et à enlever mais c’est le prix pour ce bon maintien.</t>
  </si>
  <si>
    <t>super je l'ai acheté en violet en taille M au lieu de L et j'ai bien fait  car il taille grand. Le M peut correspondre à une personne mettant du 42. Le tissu est fin attention ce n'est pas un molleton de fou lol. la couleur en violet est juste sublime je recommande</t>
  </si>
  <si>
    <t>Hotte aspirante Très bon produit content de mon achat fonctionne très bien très belle effet dans la cuisine</t>
  </si>
  <si>
    <t>Super Super joli ce penditif... Peut se porter pour toute occasion, il fait discret et en même temps super joli... En revenant de vacances sur un petit bronzage, une robe noire, il est vraiment parfait...</t>
  </si>
  <si>
    <t>Très très bien Je l'ai acheté pour ma fille , la taille qu'on a  demandé correspond , le tissu est doux au toucher et étirable. Au niveau de la taille ça ne tombe pas et ça ne serre pas non plus . Le jogging lui va très bien deux poches devant . Je suis contente de mon achat .</t>
  </si>
  <si>
    <t>Super produit Simple et efficace, rien à dire de plus sur ce produit.</t>
  </si>
  <si>
    <t>Qualité et efficacité Microphone presque parfait pour mon utilisation, il ne me manque plus qu'un filtre anti-pop pour éviter certains bruits désagréables mais facilement effaçables au montage. Ne prends pas trop de place, facile d'utilisation même pour les novices, beau design très pro, pied résistant avec un antidérapant en dessous pour le maintenir. On peut passer le fil à l'arrière du pied ce qui est extrêmement pratique. Pour ma part il n'y a pas vraiment d'aspect négatif,  si ce n'est peut-être que le micro enregistre les bruits environnants mais ça reste un détail encore une fois récupérable au montage. Rien à signaler, il change la vie ! Surtout pour les petits budgets qui veulent de la qualité.</t>
  </si>
  <si>
    <t>Fabriqué en italy il est très bien pour les pieds grecques Fabriqué en italy il est très bien pour les pieds grecques.  J'avais déjà commandé d'autres modèle de la même taille plus féminin de fabrication chinoise mais qui convenait mieux au pieds égyptien ou asiatique.  Ce modèle là reste de forme classique et de taille plus standard.</t>
  </si>
  <si>
    <t>Trés efficace Tablette qui nettoie bien zéro trace ! Très satisfaite</t>
  </si>
  <si>
    <t>Bon produit ! Très content de mon achat. J’avais les cumulus 17, ces nouvelles chaussures sont plus légères et très agréables.</t>
  </si>
  <si>
    <t>Parfait. Le top. Rien a redire. Fonctionnement au top. La progressivité de l éclairage est très bien diffusé. Bref je suis très satisfait</t>
  </si>
  <si>
    <t>botte comme un chausson Les bottes Aigle sont gages de qualité et en plus ce modèle est très confortable. De plus elle sont faite pour les gros mollets.</t>
  </si>
  <si>
    <t>Super produit ! Parents de jumeaux on cherche donc des produits efficaces et bon rapport qualité prix ! On en a acheté 2, on a beaucoup de biberons !! Ici aucun souci, que du positif ! Très facile à nettoyer, très résistant. Seul point négatif, on en a acheté 2 mais pas à la même date... L'un était vert fluo (très beau) et l'autre était vieux vert (moche...).  Si mon commentaire vous a été utile, merci de cliquer ! Si mes commentaires et partages d'expérience vous intéressent, vous pouvez vous abonner ! Merci!</t>
  </si>
  <si>
    <t>Plus aucune piqûre Produit efficace car les insectes  m'évitent maintenant</t>
  </si>
  <si>
    <t>Anti calcaire Parfait</t>
  </si>
  <si>
    <t>Parfait Les enfants adorent cette collection !</t>
  </si>
  <si>
    <t>Magnifique charm Pandora Très belle qualité pour ce charm Pandora que mon mari m'a offert à Noël. J'aime beaucoup la couleur bleu soutenu. J'ai vraiment été gâtée.</t>
  </si>
  <si>
    <t>Super je vous la recommande très pratique pour nous suivre partout Idéal pour le camping petite et pratique</t>
  </si>
  <si>
    <t>Masque facial. Parfait en masque facial !  Faire attention de l'enlever en vous rinçant, avant qu'il devienne trop vert clair, car cela risque de vous déshydrater la peau et de vous tirailler.  Le contenant est de bonne facture  :  très hermétique.</t>
  </si>
  <si>
    <t>Dommage Tout les types de biberons ne rentrent pas correctement. J'ai aussi bien des Dodies, des Avent, des Mam's, des Tommee tippee et des Suavinex et quand je les met ils ne s'emboîtent pas correctement et je suis obligé de retirer soit les bagues,soit les capuchons. En plus ce stérilisateur prend beaucoup de place</t>
  </si>
  <si>
    <t>Très mal tailler Pas du tous adapter, on croit acheter du s mais limite on se retrouve avec une taille entre le M et le L</t>
  </si>
  <si>
    <t>TROMPERIE SUR LE PRODUIT CE CHEMISIER N EST PAS EN MOUSSELINE DE SOIE MAIS C EST UN CHEMISIER EN POLYESTER 100% IL Y A TROMPERIE SUR LE PRODUIT</t>
  </si>
  <si>
    <t>Ne pas utiliser sur du tissu Acheté pour scratcher des coussins sur un cadre de lit afin de faire un tour de lit, le velcro ne colle pas au tissu et en essayant de le coudre au tissu, la colle de l’adhésif se dépose sur l’aiguille et la rend inutilisable. Dans le cadre de mon usage je ne recommande pas le velcro adhésif.</t>
  </si>
  <si>
    <t>Qualité/prix non justifié Ne tient pas le chaud aussi longtemps qu' une bouillote traditionnelle. De plus il faut la chauffer au 2minute 30 pour que ce soit à peu près chaud</t>
  </si>
  <si>
    <t>Bruyant mais rapide Bonne bouilloire de grande capacité et simple d'utilisation. Chauffe vite mais un peu bruyante</t>
  </si>
  <si>
    <t>Nickel Super produit</t>
  </si>
  <si>
    <t>Livraison rapide Cadeau</t>
  </si>
  <si>
    <t>sac impeccable ;C'est ma femme qui m'a pousser à acheter ce sac ,depuis je ne le quitte plus tellement il est pratique . Tout tient dedans portefeuille ,papiers voiture, liseuse et même un petit parapluie . Vraiment bien</t>
  </si>
  <si>
    <t>Legging avec poche très pratique Legging  de bonne qualité non transparent et avec poche sur le côté  très pratique</t>
  </si>
  <si>
    <t>Les yeux fermés Je vous recommande fortement cette montre à très bas prix pour une automatique de cette qualité! Invicta est un marque vers laquelle je vais acheter davantage c'est sûr!</t>
  </si>
  <si>
    <t>Une belle parure à offrir à son amoureuse ou à s'offrir Je cherchais un cadeau pour l'anniversaire de ma compagne. Cet ensemble paraissait être la bonne réponse.  Je n'ai pas été déçu de mon choix.  La première surprise vient de la taille du "cœur" du pendentif : beaucoup plus gros que je ne me l'imaginais. En plus le cristal est très beau et brille beaucoup. Les petits cristaux qui entourent le cœur sont eux-aussi très brillants (voir photos). Avec la monture qui brille d'un beau doré, l'ensemble est vraiment très joli et luxueux. Beaucoup plus que son prix. Le vendeur revendique des cristaux venant de chez Zwarovski, et vu la beauté des cristaux je pense que c'est effectivement le cas.  Les boucles d'oreilles sont à l'avenant. Les pierres sont très jolies et le montage est plutôt bien fait.  L'ensemble est de bon goût et brille de mille feux au soleil ou sous les lumières tamisées d'une soirée romantique. La parure sublime l'heureuse personne qui la porte.  Autant dire que j'aime beaucoup et ma compagne l'adore au point d'aller au travail avec et presque de vouloir dormir avec.</t>
  </si>
  <si>
    <t>Parfait, sauf l’absence d’un bouton on/off Cette version 2019 du mixamp est de très bonne qualité, tant sur la construction du produit que sur la qualité du son (avec un beyerdynamic DT 770 moddé et un modmic de chez Antlion pour moi). Aucune déception donc en ce qui concerne le son.  Le seul bémol du mixamp 2019, c’est l'incompréhensible absence d’un bouton on/off. Donc soit vous le débranchez à chaque fois (en risquant d’endommager vos ports usb/micro usb à force), soit vous le laisser allumer en permanence (led allumées et usure prématurée, même s’il est censé être conçu pour), notamment si vos consoles restent en veille.  Autant dire qu’aucune solution n’est satisfaisante. Pour pallier à ce défaut de conception, il faudra passer par un câble magnétique micro usb/usb de type netdot gen 10 (par ex) qui règlera le problème de manière pérenne et sans dégradation des slots usb/micro usb causé par des branchements/debranchement multiples.</t>
  </si>
  <si>
    <t>Plaisant J'ai acheté ces écouteurs Bluetooth spécialement pour mon jogging ou quand je fais du vélo. Comme sur la photo, les écouteurs sont livrés dans une boîte disposant de 4 voyants pour indiquer le niveau de charge. Ce boîtier fait office de chargeur et peut rechargé entièrement les écouteurs 4-5 fois. Les écouteurs sont censés avoir une autonomie de 6h. Je ne les ai jamais utilisés jusqu'à décharge complète, donc point à vérifier. La tenue est excellente et la qualité de son est bonne si l'on raisonne en termes de rapport qualité/prix. Un câble usb-c est fourni avec l'ensemble. Je recommande.</t>
  </si>
  <si>
    <t>joindre une notice pour règler l'heure j'ai eu un mal fou à la mettre à l'heure ! de plus aucune notice d'explications n'était jointe. de plus, je suis dans l'obligation de vous la retourner, souffrant un e différence de vingt minutes entre l'heure digitale et l'heure aiguilles !</t>
  </si>
  <si>
    <t>Amazing &lt;div id="video-block-R2LDEI7GVTESQ" class="a-section a-spacing-small a-spacing-top-mini video-block"&gt;&lt;/div&gt;&lt;input type="hidden" name="" value="https://images-eu.ssl-images-amazon.com/images/I/81RqPW52qDS.mp4" class="video-url"&gt;&lt;input type="hidden" name="" value="https://images-eu.ssl-images-amazon.com/images/I/91lO8taRhVS.png" class="video-slate-img-url"&gt;&amp;nbsp;J'ai été agréablement surpris du rendu visuel de cette montre. Je la porte tous les jours. J'espère qu'elle tiendra dans le temps</t>
  </si>
  <si>
    <t>Super Super j'ai offert à mon mari. Il aime trop cool.</t>
  </si>
  <si>
    <t>Article conforme Très jolies baskets conformes à mes attentes. Livraison ok</t>
  </si>
  <si>
    <t>Super offre à un prix intéressant Pas encore utilisés mais ils m'ont l'air bien solides, il y en a pour un bout de temps et en plus à un prix défiant doute concurrence. Je les conseille.</t>
  </si>
  <si>
    <t>Très bon produit Très bon produit conforme à la description Pas déçu par la marque Puma qui garde sa qualité</t>
  </si>
  <si>
    <t>Bien Très utiles en cas de débordement de couche sur les draps, en cas de rhume ou de gastro pour bien éliminer les virus....</t>
  </si>
  <si>
    <t>Beau produit J'ai acheter ce micro pour mon fils qui l'utilise très souvent sur un bras perche suspendu . Il est de bonne qualité avec un rendu visuel super. Je recommande ce micro, Très classe</t>
  </si>
  <si>
    <t>Tres bonnes baskets Ma fille les adore !</t>
  </si>
  <si>
    <t>Superbe Vraiment suprise très bonne qualité, agréable à porter et jolie sur le cadran il a un dégradé couleur ce n’est pas un reflet comme on pourrait le croire sur la photo , mon Fils l adore , de plus très bien emballée garantie et reçu rapidement</t>
  </si>
  <si>
    <t>Trop petit Trop petit mais c pas grave je vais l'offrir</t>
  </si>
  <si>
    <t>Arnaque !! Impossible de mettre la chaîne de sécurité. Très déçu. Ne pas prendre pour bracelet pandora</t>
  </si>
  <si>
    <t>Sans intérêt Câble à 2 balles ça fait câble fabriqué à la va vite  j ai pris le premier qui venait ça m apprendra</t>
  </si>
  <si>
    <t>Solide Il est un peu petit. Mais il est solide.</t>
  </si>
  <si>
    <t>Jolis bandeaux. Très joli et bien englobant comme j'aime. Les couleurs sont conformes à la photo. Le seil bémol est qu'ils se détendent en cours de journée.</t>
  </si>
  <si>
    <t>Attention a la taille !!! Bon produit, belles finitions… en revanche n'hésitez pas à prendre au moins 2 tailles au-dessus surtout si comme moi vous avaient un fort coup de pied… je viens de renvoyer ma paire de 44 pour du 45 alors que je chausse du 43 habituellement… j'espère que cela ira....</t>
  </si>
  <si>
    <t>Grille tout pain Un bon grille Reglages temp aisés A commander</t>
  </si>
  <si>
    <t>Bonne qualité du produit. Des chaussures, je vais les utiliser pour marcher !</t>
  </si>
  <si>
    <t>sweat ce sweat est très bien adapté pour mon travail Il est chaud avec sa capuche et de l'avoir lavé et relavé, le tissu n'a pas bougé je suis satisfaite de mon achat</t>
  </si>
  <si>
    <t>Très bien Très belle montre! Et longue garantie</t>
  </si>
  <si>
    <t>Parfaites converses, taillent bien Parfaites pour ma fille de 5 ans. Taillent correctement, plutôt grand. Pas facile à enfiler pour la maternelle.</t>
  </si>
  <si>
    <t>Génial Confortable, je n’ai jamais eu d’ampoules , c’est la première fois que je me sens si bien dans une chaussure de running</t>
  </si>
  <si>
    <t>Indispensable Livraison rapide en bon état. Pratique de part le nombre de dosette même quand bébé est petit et boit plusieurs fois le lait en petite dose. Petit bémol sur l'attache des capuchons qui a tendance à se casser mais empêchant aucunement l'utilisation des dosettes. En cas de perte d'un capuchon, les bouchons de bouteille tiennent très bien.</t>
  </si>
  <si>
    <t>Parfait Fonctionne bien</t>
  </si>
  <si>
    <t>parfait étui pratique pour les garder ranger, choix de couleurs Ils sont conforme à mes attentes et de bonnes qualités je recommande</t>
  </si>
  <si>
    <t>Son côté pratique Pour voyager ! C'est mieux qu'un sac à main ! Surtout pour promener dans les grandes villes !</t>
  </si>
  <si>
    <t>Montre homme avec rétro éclairage Robuste et stylé porté tout les jours depuis presque un an et aucun problème ni signe de détérioration je suis très satisfait de mon achat.</t>
  </si>
  <si>
    <t>Qualité bonne rapport qualité prix. 😉 Très jolies ces boucles d'oreilles pour  l anniversaire de ma petite fille  (5ans )elles ont toutes mimi cela lui à plu 😉</t>
  </si>
  <si>
    <t>Parfait Parfait ! Très beau et léger ! Merci</t>
  </si>
  <si>
    <t>petite, bien précise et sensible, ne pas souffler dessus on fausse la mesure !!! utilisée pour des poudres, la tare permet de multiples récipients.</t>
  </si>
  <si>
    <t>Idéal pour aider au devoir Vraiment parfait pour ma petite nièce.</t>
  </si>
  <si>
    <t>Légères et très confortables Utilisées pour une après-midi shopping, top confort. Je recommande à tous les fans de chaussons chaussures. On s'y sent comme à la maison.</t>
  </si>
  <si>
    <t>Livraison gratuite et rapide. Très bon produit.</t>
  </si>
  <si>
    <t>Couleurs décolorées J'ai mis cette note car 5 des 10 mousses sont décolorées : la couleur des mousse plus claires a déteint sur les autres. Sinon les mousses sont correctes.</t>
  </si>
  <si>
    <t>Pour le lycée Bonjour la calculatrice est bien présentée mais pour le prix elle devrait être tactile. C’est bien dommage en plus le modèle est imposé par le lycée</t>
  </si>
  <si>
    <t>Problème Problème de chargement . Ne charge pas si télé éteint  ?</t>
  </si>
  <si>
    <t>basique tissu très fin</t>
  </si>
  <si>
    <t>Joli petit pendentif Le pendentif est joli et presente bien mais ne pas trop compter sur la chainette fournie un peu fine et faible si c est pour un enfant.</t>
  </si>
  <si>
    <t>Attention à la pointure car taille grand Elles sont jolies, malheureusement pour moi j’ai pris ma taille habituelle et non 1/2 pointure en dessous donc elles sont beaucoup trop grande même avec deux paires de semelles .</t>
  </si>
  <si>
    <t>Sobre et efficace Bon produit !</t>
  </si>
  <si>
    <t>Efficace Ça marche pour se détendre un peu et soulager légèrement certaines douleurs.</t>
  </si>
  <si>
    <t>conforme une petite montre sympas !</t>
  </si>
  <si>
    <t>Très grand très fonctionnel Très bon produit , mon mari est très satisfait de sa sacoche</t>
  </si>
  <si>
    <t>Efficace J'ai utilisé ça pour ma voiture. Dès le premier matin, plus de buée sur les vitres</t>
  </si>
  <si>
    <t>Chaussons en laine de france. J'ai pris ces chaussons pour mon petit gars de 9 ans. Ils sont beaux très confortables la matière est magnifique et ils sont chauds. Ils sont dans les premiers temps assez glissants. Mais mon fils les adore. Merci et vive Rondinaud</t>
  </si>
  <si>
    <t>Bonne qualité ! Câble de bonne qualité - aucun problème.</t>
  </si>
  <si>
    <t>Parfait !!! Mon alimentation et ma nouvelle carte graphique ne pouvait pas fonctionner sans cet adaptateur et le résultat est à la hauteur !! Pour quelques € j'ai évité l'achat d'une nouvelle alimentation Ma carte est une Asus Cerberus GeForce GTX 1070 Ti et tout fonctionne parfaitement</t>
  </si>
  <si>
    <t>qualité du produit bon produit. Idéal pour les biberons doddie</t>
  </si>
  <si>
    <t>Idée pratique J’adore ces papiers ! Ils permettent de faire tout et n’importe quoi, des stickers, des étiquettes, la seule limite est votre imagination</t>
  </si>
  <si>
    <t>Très satisfait &lt;div id="video-block-R1UZMRT0G3RM2U"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src="https://images-eu.ssl-images-amazon.com/images/I/91S87hhqNnS.mp4" style="position: absolute; left: 0px; top: 0px; overflow: hidden; height: 1px; width: 1px;"&gt;&lt;/video&gt;&lt;/div&gt;&lt;div id="airy-slate-preload" style="background-color: rgb(0, 0, 0); background-image: url(&amp;quot;https://images-eu.ssl-images-amazon.com/images/I/81o-BceE5YS.png&amp;quot;);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value="https://images-eu.ssl-images-amazon.com/images/I/91S87hhqNnS.mp4" class="video-url"&gt;&lt;input type="hidden" name="" value="https://images-eu.ssl-images-amazon.com/images/I/81o-BceE5YS.png" class="video-slate-img-url"&gt;&amp;nbsp;Le masseur est très facile à utiliser.  Il est très confortable après le massage et favorise la circulation sanguine.  Le masseur peut également être chauffé et massé pour se détendre.  L'intensité peut être ajustée à tout moment.  Rentable.  Très satisfait.</t>
  </si>
  <si>
    <t>Comme prévu Le sac correspond parfaitement à la description, il est de taille normal, ni trop grand, ni trop petit. On peut y mettre une tablette, une liseuse sans problème. La qualité est au rendez-vous, et son look très sympa. Son destinataire a apprécié et ne le quitte plus !</t>
  </si>
  <si>
    <t>très beau réveil ma fille adolescente est ravie de son réveil. très design</t>
  </si>
  <si>
    <t>Très bonne qualité Je beaucoup aimé mon bébé il boit très bien</t>
  </si>
  <si>
    <t>cartouche d'encre Super cartouche compatible avec mon imprimante Canon reconnait la puce Rapport qualité prix excellente ...Je recommande</t>
  </si>
  <si>
    <t>Nikel tres bon produit. les diams sont élégants et ils tiennent bien sur la couronne. Les peignes fixent bien la tiare</t>
  </si>
  <si>
    <t>Top Le design est beau et facile à transporter.</t>
  </si>
  <si>
    <t>malheureusement pratique habituelle comme d'habitude, après insertion d'une nouvelle cartouche, l'imprimante part dans un cycle de "maintenance" long et qui vide les autres cartouches... résultat, je remplace ma cartouche d'encre jaune, et la couleur magenta, dont il restait un bon quart, est maintenant vide! le cyan, dont il restait un bon tiers, est maintenant juste en limite : tiens, tiens, quel malheureux hasard. je me demande si le même phénomène se produit chez les autres marques, celle-là vient en tout cas de perdre un client. Halte Pigeons.</t>
  </si>
  <si>
    <t>trop petit tout d 'abord j ai commander cette chaussure pour le boulot  tres jolies d ailleur j ai pris une pointure 45 pour etre sur que se soit assez grand manque de chance ..ilaurai fallu prendre du 46 dommage :(((((((</t>
  </si>
  <si>
    <t>Coffret abîmé Le coffret n'est pas conforme à la photo. Il est abîmé! Les produits ont l'air corrects, à voir dans le temps...</t>
  </si>
  <si>
    <t>Sans plus Bon rapport qualité / prix ... sans plus</t>
  </si>
  <si>
    <t>Dommage pour les quelques griffure dessus Très bonne petite sacoche, assez profonde pour mettre pas mal de choses. Seul bémol, elle est arrivée griffé un peu partout. Autrement elle est top</t>
  </si>
  <si>
    <t>bien Fermoir conforme et de bonne qualité. Produit qui respecte bien le descriptif de l'annonce. Bonne taille. Pas déçu par ce produit</t>
  </si>
  <si>
    <t>Bon filtre anti-pop pour petits micro Ce filtre anti-pop est plutôt efficace, même si un filtre anti-pop devrait plutôt être proche de la bouche plutôt que du micro. Attention toutefois, les élastiques sont assez serrés et ne conviendront pas à tous les microphones. J'utilise celui-ci avec le Bird UM1, il convient parfaitement, donc il faut avoir un micro équivalent.</t>
  </si>
  <si>
    <t>biberon miracle biberon miracle par contre j aimerai bien quevla marque fasse les tirets plus foncé car on a du mal a voir parfois maivsinon exellent</t>
  </si>
  <si>
    <t>Excellent rapport qualité / prix Machine élégante, de bonne qualité.. Pratique</t>
  </si>
  <si>
    <t>bon produit impecc</t>
  </si>
  <si>
    <t>Superbe Je les adore vraiment trop belles et en plus livraison hyper rapide donc génial</t>
  </si>
  <si>
    <t>Top Parfait, livré avec le matériel pour réduire ou agrandir le tour de poignet, super</t>
  </si>
  <si>
    <t>IDÉALE POUR LE SPORT Ces trois paires de chaussette sont idéales pour les sports sur tapis grâce à leur revêtement antidérapant. Mais aussi pour les sports comme le fitness et la musculation pour ma part.  Adaptée plus à une saison automnale ou hivernale, elles sont assez épaisses et permettent de laisser respirer les pieds.  Le prix est très abordable pour ce produit qualitatif.</t>
  </si>
  <si>
    <t>Ok Jogging</t>
  </si>
  <si>
    <t>. Très bon sous-vêtement, le tissu est très doux, il est très agréable à porter, il ne se déformera pas après quelques lavages.pafait!</t>
  </si>
  <si>
    <t>parfait Semelle moelleuse pour plante des pieds sensibles; talon de hauteur suffisante pour calmer les douleurs lombaires; matériau adéquat pour la demi-saison pluvieuse; allure sport sans excès de fantaisie; robuste, joli, doux au toucher...What else? mon seul regret : qu'on ne la fasse pas en bleu (plus adapté pour les jeans). J'en rachèterai sûrement (j'ai encore ma première paire, en blanc, qui date de quinze ans : fatiguée mais tout-à-fait portable). Je suis fan!</t>
  </si>
  <si>
    <t>papier dessin juste un peu trop lissse, je pensais qu'il serait un peu plus rugueux c'est pour faire des dessins à l'encre de chine, je ne peut pas crayonner au crayon de couleur, je vais essayer de faire au feutre, mais c'était pas prévu!!! délais de livraison ok, emballage parfait, prix juste</t>
  </si>
  <si>
    <t>Je le recommande Bon produit</t>
  </si>
  <si>
    <t>Beau compressif Rien à dire de négatif  sur ce compressif. Il est parfait. Évacue parfaitement la transpiration donc pas d'odeur. Léger et agréable. Il taille comme prévu.</t>
  </si>
  <si>
    <t>tres bien J'ai acheté une paire pour mon grand-père. Il l'aime bien c chaleureuse et confortable. Ce n'est pas cher. Je vais  acheter une autre paire pour ma grand-mere asussi.</t>
  </si>
  <si>
    <t>Parfait Très efficace, effacement très facile. Livraison rapide</t>
  </si>
  <si>
    <t>Parfait! Très bonne qualité Léger Bien fabriqué Son excellent Micro très performant</t>
  </si>
  <si>
    <t>Bonne télécommande Télécommande très légère et très simple à utiliser pour faire ses présentations PPT. Elle me fait l’affaire! Bon rapport qualité/ prix.</t>
  </si>
  <si>
    <t>Magnifiques Comme marcher pieds nus, on les oubli. Elle sont tres basse. Elle s'adaptent bien tant au pantalon qu'aux jupes.. Contente de mon achat</t>
  </si>
  <si>
    <t>Doute sur l'authenticité J'ai bien reçu l'article , je l'ai pris taille M  comme tous mes pulls habituellement sauf que la c'est tres juste , presque trop petit , de plus j'ai de vrais doutes sur l'authenticité ... L'étiquuete etais mal placée , la qualité du tissus me parait égrange bref , je ne recommande pas</t>
  </si>
  <si>
    <t>En panne suite à une nuit de fonctionnement... Dans la notice du produit: "Le système de sécurité a désactivé le chauffe-matelas de manière irréversible." Sympa pour nous!! Il faut renvoyer l'article au service après vente. Deuxieme post, premier refusé par amazon.</t>
  </si>
  <si>
    <t>joli mais  inconfortable parfait pour un pied par contre de grosses douleurs pour l'autre pied. Il y a un défaut de fabrication ce qui les rend inutilisables sans l'intervention d'un cordonnier Dommage car de nombreux compliments sur le look!</t>
  </si>
  <si>
    <t>Oui, Mais... Il a un son correcte il est tres tres léger donc ca cest bien mais forcement parce quil est entierement en plastiques donc moyen, je pense que pour le prix on peut sattendre a mieux niveau son et finition</t>
  </si>
  <si>
    <t>Article conforme Bracelet offert pour un anniversaire qui fait son effet avec beaucoup d'interrogation sur les aimants (même si l'efficacité reste à démontrer sur le bien être de celui qui le porte... personne n'est dupe!)</t>
  </si>
  <si>
    <t>Confortables, sympathiques et permet de gagner quelques centimètres. Je mets les chaussures tous les jours parce-que TRÈS confortables.</t>
  </si>
  <si>
    <t>Longévité trés bien Rien à dire Tip top.</t>
  </si>
  <si>
    <t>Sac vintage très bonne qualité et pratique avec ses nombreuses poches et la bandoulière bien adaptée de plus bon rapport qualité/prix. Un bon achat.</t>
  </si>
  <si>
    <t>Bien mais pas sûr que ce soit nike Pas sûr que ce soit un vrai nike mais bon produit</t>
  </si>
  <si>
    <t>pratique facile d'utilisation rapide à voir ensuite sur la durée je viens de l'acheter et ne m'en suis servie que 2 fois</t>
  </si>
  <si>
    <t>désinfectant toujours à porté de ma main Je m' en sers souvent pour les poignées ,boutons  zapettes claviers robinet etc la gastro est moins présente dans ma petite famille . J' aime son parfum et son efficacité</t>
  </si>
  <si>
    <t>Montre sobre et efficace ! Deuxième montre de la marque que j'achète étant très satisfait de la 1ere. Ce modèle noir est sobre et efficace : pas de chichi, la classe discrète. Elle est super plate et passe partout : le bracelet se règle facilement pour s'adapter à tous les poignets. A noter la livraison dans une pochette feutre du meilleur goût !  Encore satisfaite de la marque.</t>
  </si>
  <si>
    <t>Très bonne qualité La qualité est vraiment top. Le marche pied est solide, mon enfant est en sécurité quand il monte dessus. Je suis ravie de cet achat et lui aussi, il peut à présent se laver les mains seul et me regarder faire à manger sans difficulté.</t>
  </si>
  <si>
    <t>parfait répond parfaitement aux attentes, expédition rapide</t>
  </si>
  <si>
    <t>Tres bon casque ss fil Cadeau pour mon conjoint il en est tres conent Acheter principalement pour les avant match il est pas encombrer et peut se concentrer tout en fesant ses échauffement avec le telephone dans la poche Super son bonne autonomie Je penseen acheter un 2eme pour moi</t>
  </si>
  <si>
    <t>Au top ! Super rapport qualité prix. Anime les soirées karaoké entre copains C est tout ce qu'on lui demande !</t>
  </si>
  <si>
    <t>Enfin du jour en hiver ! Cela fait 15 jours que j'utilise cette lampe. Le design est pas mal. L'intensité de la lumière est parfaite, je l'utilise plutôt le matin à une distance d'environ 20 cm et pas plus de 30 minutes, ça réveil bien et ça met en forme pour la journée. Ayant des soucis de maux de tête en ce moment, j'ai remarqué qu'au bout d'à peine 10 minutes d'utilisation, ils partent sans prendre de cachet. Du coup, je l'utilise parfois en fin de journée un petit quart d'heure. La lampe est facile à transporter même si elle est un peu imposante. Je ne sais pas si ça joue sur la déprime car je ne l'ai pas acheté pour ça, mais pour avoir de la lumière du jour en cette période hivernale. Elle remplie parfaitement cette fonction !</t>
  </si>
  <si>
    <t>sacoche bandoulière Eastpak Produit reçu dans les temps. Extrêmement satisfaite de la sacoche, belle, pratique, bonne taille, très bonne qualité. Bonnes Fermetures . Je recommande absolument.</t>
  </si>
  <si>
    <t>Parfait Kit parfait pour la maternité ! Ne prend pas de place et  est complet!  L’essentiel est là pour le séjour !</t>
  </si>
  <si>
    <t>Un classique Aucune mauvaise surprise pour moi . Belle chaussure d'été.</t>
  </si>
  <si>
    <t>Bon produit Les écouteurs sont super légèrs, agréables à porter et tiennent bien en place Ils se connectent rapidement en Bluetooth et dès qu'on les sort de la boîte La batterie tient longtemps c'est top</t>
  </si>
  <si>
    <t>Articles de bonne qualité et service au top ! Articles de bonne qualité et service au top !</t>
  </si>
  <si>
    <t>Stylé Bon look, finition soigné je recommanderai sûrement. A voir dans le temps comment elles tiennent. Livraison rapide. Je suis ravi</t>
  </si>
  <si>
    <t>Pour les jambes lourdes je ne recommande pas Performances faibles: bulles médiocres. Et surtout impossible de déconnecter le chauffage !!! Affreux</t>
  </si>
  <si>
    <t>Mini table de mixage inutile J'ai fait l'acquisition de cette table de mixage DJCONTROL COMPACT qui est totalement inutile il n'y a pas de préécoute sur la console, ni sur le logiciel. Passer votre chemin je vous déconseille ce produit. J'ai renvoyé mon produit pour une platine hercules instinct P8.</t>
  </si>
  <si>
    <t>Produit conforme mais... Produit conforme et qualité correcte mais attention ! Ne fonctionne qu'avec une alimentation spécifique (il faut rajouter 22€ à la note)</t>
  </si>
  <si>
    <t>Bien mais un peu trop petit Le produit est de bonne qualitée et semble solide, cependant la taille n'es vraiment pas optimale pour une bonne isolation acouqtique</t>
  </si>
  <si>
    <t>Top J’adore super son et effet</t>
  </si>
  <si>
    <t>Bon rapport qualité prix après plus d'un mois d'utilisation, je peux dire que je suis satisfait du produit. Même si au premier abord lorsqu'on ouvre la boite, le diffuseur est en plastique, donnant un aspect "bon marché", à l'utilisation avec le jeu des couleurs le produit trouve sa place dans le salon. La capacité de 500ml est très grande voire trop grande pour notre salon. Le produit fonctionne bien.</t>
  </si>
  <si>
    <t>Bonne qualité Jolie</t>
  </si>
  <si>
    <t>Très sympas Baskets très sympas à porter avec une tenue décontractée ou habillée pour décalé. Je suis ravie. Très bon confort.</t>
  </si>
  <si>
    <t>Pochettes Pochettes plastifiées d'excellente qualité, je recommande, tous mes documents sont bien à l'abri, elles sont assez épaisses et tiennent bien</t>
  </si>
  <si>
    <t>Produit de réelle qualité Super bottes, moins cher qu'en magasin je recommande vraiment, elles sont chaudes et agréables mais surtout très solides. Idéales pour travailler à la ferme</t>
  </si>
  <si>
    <t>Lecture Les premières lectures</t>
  </si>
  <si>
    <t>Bonne préparation du lit... Placé  dans le lit 1h avant de se coucher, quel bonheur de se faufiler dans des draps tièdes.</t>
  </si>
  <si>
    <t>H-Mastery Basket Je les adore Tres Confortables</t>
  </si>
  <si>
    <t>Le toppp Je suis hyper satisfaite de cette montre. Tient super bien l charge (je suis à 5 jours sans charger la montre et j’ai encore 42% de batterie) connection facilr. Suivi cardiaque et sommeil nickel. J’adore</t>
  </si>
  <si>
    <t>Impeccable ! Le produit correspond parfaitement à la description.  J'utilise principalement la montre pour le sport avec sa fonction "chronomètre". A l'ouverture, visuellement, la montre fait petite mais avec le temps on s'y habitue vite.  Idéal pour les petits poignets.  Petit bémol pour le rétroéclairage que je trouve un peu faible.</t>
  </si>
  <si>
    <t>super idéal pour partager un moment de plaisir et de bonheur avec bébé</t>
  </si>
  <si>
    <t>Très utile !!! Aucuns soucis avec cet appareil, chauffe vite via la prise, et à peu prêt 5 min via l'allume cigare... Il nous est très utile surtout qu'on sort souvent.</t>
  </si>
  <si>
    <t>Papier plastifier Ce papier est vraiment bien pour plastifier de grands documents ou éventuellement 2 feuilles A4. Je le recommande à tous.</t>
  </si>
  <si>
    <t>Parfait Vraiment très bien pour des enfants. Mes filles de 4 et 7 ans les adorent!</t>
  </si>
  <si>
    <t>confortable sport</t>
  </si>
  <si>
    <t>Très jolie Micro est très efficace Le son de ce micro est très agréable. il est vite chargé et simple d'utilisation  ma fille adore</t>
  </si>
  <si>
    <t>Fonctionne bien Premier achat pour offrir. Second achat également. Ma troisième commande, c'est pour moi. Mes amis sont très satisfaits de leurs écouteurs et j'ai pu confirmer la qualité. Très bon rapport qualité prix. Bon son. Tiennent bien durant ma séance de sport. Je suis ravie.</t>
  </si>
  <si>
    <t>Très satisfaite de cette huile Parfait pour accompagner une grossesse, por le moment cela fonctionne. Odeur et texture agréable. Je vais continuer après l'accouchement prévu en janvier.</t>
  </si>
  <si>
    <t>Bouilloire en panne après à peine 1 mois d'utilisation Je suis déçue pour une bouilloire à ce prix! La bouilloire ne fonctionne plus du tout, utilisation quotidienne pourtant normale.</t>
  </si>
  <si>
    <t>Juste joli rien de plus On peut juste dire qu'il est tres joli mais alors niveau qualité pas bien du tout.J'ai pu le porter qu'une fois car il a noirci quelques heures après l'avoir porté.Mais bon vu le prix,on perd pas grand chose</t>
  </si>
  <si>
    <t>PAS FIABLE Bonjour. Les sacs se cassent, s arrachent en dessous des fermetures. Articles inutiles. Mauvaise qualité. C est très désagréable un sac poubelle qui se casse. Demande remboursement. cordialement</t>
  </si>
  <si>
    <t>Belle bouilloire mais qualité médiocre Jolie bouilloire mais déçue de la qualité. En effet vous ne pouvez pas toucher l'inox quand l'eau est chaude au risque de vous brûler (attention aux enfants), et de la rouille apparaît au niveau de la jonction du couvercle et du contenant après seulement 3 mois d'utilisation...</t>
  </si>
  <si>
    <t>C'est une montre homme (pas femme) Montre homme aux fonctions intéressantes (notamment les alarmes).  Mais : pas de notice en français ni d'indications pour enlever des maillons au bracelet.</t>
  </si>
  <si>
    <t>Sweat pour automne-hiver Sweat que j’utilise à la maison pour traîner. A utiliser en automne-hiver, car il donne assez chaud. Passe au sèche-linge, même si sur l’étiquette cela n’est pas recommandé. D’où Repassage superflu. .</t>
  </si>
  <si>
    <t>Bien! Bien reçu à temps.Vendeur agréable. Merci pour le petit mot. J'ai l'impression que avec le temps le papier change et devient plus fin, moins parfumé et brûle plus vite.</t>
  </si>
  <si>
    <t>imprimante bon article</t>
  </si>
  <si>
    <t>Joue son rôle. Il peut être assez compliqué de juger de manière claire de l'efficacité d'un tel produit dans une salle de bains, pièce humide lors des toilettes, et sensée être suffisamment aérée. Néanmoins, j'ai constaté une atténuation de la sensation d'humidité dans les minutes qui suivent la valse des douches. Le produit se présente sous la forme d'un bac bleu sur lequel on fixe un gros palet blanc et que l'on recouvre d'une sorte de toit laissant passer l'humidité. L'eau récoltée dans l'air ambiant finit dans le bac bleu qu'il faut vider lorsqu'il est plein. Un petit bouchon permet de vider facilement l'eau. Facile à installer, donc, et à utiliser. Il suffit de le poser quelquepart. Dans un coin de la salle de bain pour ma part. Il semble donc faire son boulot, après une utilisation sur une pleine semaine.</t>
  </si>
  <si>
    <t>Conforme à la description,et paraît robuste (voir avec le temps ) Pour le thé ,et sa petite taille</t>
  </si>
  <si>
    <t>Ras tout est parfait Montage rapide, qualité sonore agréable A ce prix mieux vaut tout changer plutôt que de partir en quête d un saphir vintage rare ... Audiophiles montez en gamme</t>
  </si>
  <si>
    <t>Bon produit de bonne taille Tres bien bonne taille bonne qualité et très belle apparence bon produit</t>
  </si>
  <si>
    <t>Très belle bouillotte Très belle bouillotte, quand elle est allumée, elle a un très bel écran de lumière bleue, ainsi que la température de l'affichage numérique, la vitesse de l'eau chaude est très rapide, vraiment parfaite. Ma mère m'a aussi laissé l'aider à en acheter un autre!</t>
  </si>
  <si>
    <t>Très bonne tenue dans les oreilles Enfin des écouteurs qui tiennent dans mes oreilles lors de mes sessions de courses à pied! Ils sont légers délivrent un son de qualité. Pour l’autonomie je n’ai pas encore assez de recul pour en parler mais c’est suffisant pour moi</t>
  </si>
  <si>
    <t>Nikel Super produit,  comme dans mes souvenirs</t>
  </si>
  <si>
    <t>Parfait La matière est superbe la taille parfaite. Je l'adore. Je vais en recommander</t>
  </si>
  <si>
    <t>Très élégant Produit conforme à la description, le bracelet est livré dans une jolie boîte et un sachet idéal pour un cadeau. Le système de fermeture est malin. Élégant discret jolie. A acheter et à offrir</t>
  </si>
  <si>
    <t>ultra confort a peine livrées ,aussitôt mises.je les ai portées plusieurs jour en suivant ,et leur confort est sans égal. Je les recommande pour leur confort et leur efficacité , vous pouvez affronter  l'eau ,la boue , la vase et autres sans problèmes .Je n'ai pas été fatigué et pas de désagréments de les avoir porté toute la journée .</t>
  </si>
  <si>
    <t>Très bon produit Après 4 mois d'utilisation régulière, je recommande ce produit. Le long est la mise à jour du logiciel et de trouver les bons embouts lors de la première utilisation. Les écouteurs sont confortables et le son de bonne qualité, y compris lors des appels dans des lieux bruyants.  Un most-have</t>
  </si>
  <si>
    <t>Excellent !!! Super produit très bien présenté dans son petit sac franchement je conseille à tous et je ne regrette pas mon achat</t>
  </si>
  <si>
    <t>Utile Au début je doutais que sa aller être d’une autre façon que je l’aurais imaginer mais ce n’est pas du mytho il est conforme à la description mais aussi moins chers que certains vendeur Youpi</t>
  </si>
  <si>
    <t>Très bien Très bien comme d'habitude avec cette marque Cependant le silicone se trouble un peu avec le temps mais sinon la tétine ne se craque pas c'est de la bonne qualité</t>
  </si>
  <si>
    <t>Excellent rapport qualité prix Je recommande fortement cette paire d'écouteurs BLUETHOOTH.  J'ai été agréablement surpris par la qualité des matériaux et du son.  Petit détail facile à connecté et rapide , le niveau de charge est indiqué des la connections avec le smartphone.  Excellente autonomie,pour ce qui est de la qualité du son les basses sont bonnes et les aigus aussi. Le boitier est aussi une base de recharge et permet d'augmenter l'autonomie.  Je recommande ces écouteurs qui peuvent sans problème concurrencer les marques les plus connues.</t>
  </si>
  <si>
    <t>Veste chaude Utilisation pendant l'hiver.</t>
  </si>
  <si>
    <t>Pas tout à fait conforme Ils font ce qu'on leur demande en revanche la fonction "cliquer 3 fois pour la précédente chanson" ne fonctionne pas du tout.</t>
  </si>
  <si>
    <t>INUTILISABLE ! Papier ultra fin et râpeux. Je ne crois pas une seule seconde aux commentaires 4 et 5 étoiles, ce n'est pas possible. C'est inutilisable...</t>
  </si>
  <si>
    <t>À éviter Le bracelet s’est cassé moins de 24h après ouverture Le fil reliant les éléments est trop fin</t>
  </si>
  <si>
    <t>DUREE DE VIE : 1 AN ! Après avoir porté ces Caterpillars quasiment tous les jours (en journée) en alternant avec une paire différente de chaussures (en soirée), la semelle arrière du talon s'est décollée. Le rapport DUREE DE VIE / PRIX est donc à prendre en considération au moment de l'achat.</t>
  </si>
  <si>
    <t>TBS Archer blanc Tennis confortables à l'habitude mais ce modèle blanc à scratch est trop grand et large en comparaison au modèle noir à lacets de même pointure (45)donc tenant mal le pied! Obligé de mettre une bonne semelle.</t>
  </si>
  <si>
    <t>toute jolie dans ma cuisine elle fait le job</t>
  </si>
  <si>
    <t>pratique fait du bon travail</t>
  </si>
  <si>
    <t>Bon achat Très utile,  résistant</t>
  </si>
  <si>
    <t>Plutôt pas mal C’est bien d’avoir un trou d’évacuation d’air cette tétine, par contre c’est rapide pour un nouveau né quand même.</t>
  </si>
  <si>
    <t>Pas mal du tout. Excellent rapport qualité-prix pour ce produit qui fait son job de manière plus qu'honorable. Dimensions contenues, c'est un plus appréciable pour les petits espaces.</t>
  </si>
  <si>
    <t>Un indispensable L'odeur est un peu faible et il est un peu difficile de faire tomber les gouttes (ou c'est juste moi qui m'y prends mal) mais mon dieu, quelle odeur! Je voulais de l'huile essentielle de citron depuis tellement longtemps et il remplit parfaitement son job donc foncez!</t>
  </si>
  <si>
    <t>Très pratique Excellent ecouteur. Pour le prix il ont un super son un design très cool sans être inconfortable ou flashy aussi les boutons sont agréables et facile d'accès et le micro marche vraiment bien. Le rapport qualité/prix inegalé me fais e recommander apres en avoir essayé plusieurs.</t>
  </si>
  <si>
    <t>Très bien fait Diplômée en Lettres classiques, j’ai choisi cet ouvrage pour initier mes enfants à la mythologie. On lit environ 3 épisodes chaque soir. Ils le réclament! La narration des mythes est adaptée aux enfants, il y a toujours du suspens à la fin de l’episode, et un petit résumé débute le suivant. Nous l’avons presque terminé, j’ai acheté les deux autres tomes pour poursuivre. Un sans faute!</t>
  </si>
  <si>
    <t>Joli Très joli collier fin et discret ! Il se mari parfaitement avec une robe de soirée ! Je suis content de cet achat</t>
  </si>
  <si>
    <t>Top pyjama Je viens de l'essayé, il est top, extra fuide, grand, effet cocooning garantie je vais le mettre souvent, j'ai juste le cordon de la ceinture qui est rester dans mes mains, mais bon c'est pas bien grave. Je recommande .</t>
  </si>
  <si>
    <t>Bon produit Produit véritable, rien à redire</t>
  </si>
  <si>
    <t>Très bien Satisfaite</t>
  </si>
  <si>
    <t>tres bon produit bonne batterie, bon son , les enfants et les adultes s'éclatent</t>
  </si>
  <si>
    <t>Top Super produit je recommande au top.</t>
  </si>
  <si>
    <t>Très bel objet Très bel appareil qui fait peu de bruit. Il n'est pas très grand du coup peu de contenance mais idéal pour les endroits exiguës. Il décoré vraiment bien la pièce en plus d'occuper son rôle principale de diffuseur d'huiles essentielles</t>
  </si>
  <si>
    <t>Bon rapport qualité prix Arrivé vite comme toujours très contente du pack même si je ne change pas les deux ensemble je rachète entre temps de l’encre noire</t>
  </si>
  <si>
    <t>correspond à l'attente Livraison rapide, le produit parait fragile mais plus efficace que l'aiguille livrée avec le tourne disque. Ma fille a pu enfin écouter ses albums modernes</t>
  </si>
  <si>
    <t>Bonne qualité... très satisfait... Running. .. bonnes tenues de running. .. bonne qualité et semblent durables... recommanderai en taille inférieure pour les cuissards afin de gagner en compressif (M ou L...), le haut bien compressif en M... mais cela va car tissus vraiment élastique... mais prochaine fois du L...</t>
  </si>
  <si>
    <t>bon produit Super son très bonne qualité je suis très satisfait de ce casque et je le recommande</t>
  </si>
  <si>
    <t>Le goupillon pour le biberon se déforme en moins deux 15 jours. Le goupillon pour le biberon se déforme en moins deux 15 jours, ce qui ne permet plus de nettoyer les biberons correctement. Le petit goupillon pour les tétine en revanche est très bien !</t>
  </si>
  <si>
    <t>Défaut Produit arrivé très rapidement ras, mais la cartouche se met en défaut, elle est inutilisable, et je suis bloqué, et je dois racheter une cartouche... double dépense! Très mécontente</t>
  </si>
  <si>
    <t>Déçu Reçu le lendemain il se sont craquer au niveau des œillets</t>
  </si>
  <si>
    <t>Pas un parangon de confort Notez que je viens d'un vieux Sennheiser filaire plutôt orienté conférence / boulot, particulièrement léger et à l'excellent micro, ce qui teinte forcément mon expérience. Mais bon, je voulais du gamer sans fil, et niveau rapport qualité / prix celui-ci semblait être fréquemment recommandé.  Les + : - Qualité sonore satisfaisante - Solide et robuste ! - Excellente autonomie (de mon expérience, séance de 2h en stéréo -&amp;gt; ~10% de batterie) - Le logiciel est bien, en particulier son petit système de dashboard bien foutu qui pourrait devenir résident permanent de mon bureau. - Il bouge pas d'un poil sur la tête. Vous pouvez faire la roue dans votre salon sans crainte (j'y reviens plus bas).  Les bof : - Micro vraiment pas terrible (en venant du Sennheiser, mes camarades de jeu sous Discord se sont demandés pourquoi j'étais soudain passé "dans une cave"... au moins ça a le mérite d'être clair :'( ). - Surround 7.1 qui dénature le son (après, pour être franc je n'ai pas testé dans des conditions qui auraient pu tirer parti de la spatialisation, donc je n'en ai vu que l'aspect négatif). - L'isolation : le casque n'isole pas complètement du bruit extérieur (pas gênant pour moi, au contraire), mais étouffe quand même pas mal... J'ai l'impression que ce positionnement "médian" ne satisfait personne au final. Ceux qui privilégie l'immersion au max seront déçus, au contraire ceux qui comme moi préfèrent rester "disponibles" aux sollicitations extérieures se sentiront déconnectés.  Les arghs : - Bon sang que c'est lourd ! - L'arceau aurait pu être un peu plus rembourré. Là, s'il est positionné au milieu de ma tête il finit par me faire mal (parce que le casque est lourd, l'ai-je déjà dit ?). - Il "pince" fort la tête ! Alors oui ok, du coup il bouge pas d'un poil lors d'une séance, mais j'en avais presque mal aux maxillaires les premières fois. - Ça chauffe ! Pas que les oreillettes soient désagréable mais encore une fois, pourquoi diable est-ce que ça serre aussi fort ?? Est-ce que les gamers sont censés faire du pogo devant leur écran ? D'autant que du coup, si comme moi vous avez l'habitude de décaler une oreillette pour écouter ponctuellement quelqu'un qui vous parle, vous vous retrouvez avec des pressions excessives sur le crane et ça n'est pas confortable du tout...  Bref, je suis conscient que beaucoup de ces réactions sont imputables au fait que je viens d'un filaire particulièrement léger... Effectivement, au bout de quelques jours, je m'habitue déjà au poids et le confort du sans fil est indéniable.  Je sais également que certains problèmes sont systématiques sur les casques sans fil (le micro moyen, par exemple).  Conscient de ma représentativité limitée, je ne sanctionnerai donc pas trop le produit à ce stade, mais je dois bien admettre que je suis un peu déçu... Je revisiterai peut-être cet avis avec le temps :)</t>
  </si>
  <si>
    <t>Bon Un peu bruyant à mon goût</t>
  </si>
  <si>
    <t>Pas mal du tout Pack de biberon très bien pour commencer à la sortie de la maternité, même s'il est bon de préciser qu'il faudra investir un peu pour dire d'avoir assez de stock de biberon pour les premiers mois.  J'ai adoré ces produits, je suis pourtant habituée à la marque Mam, très bonne elle aussi, mais les formats de biberons anti-collique m'embêtaient lors du nettoyage, à cause de leur valve en silicone, qu'il fallait démonter entièrement à chaque fois.  Ici, les biberons sont légers légers, bien costauds, les inscriptions tiennent bien le coup, même après plusieurs lavages au lave vaisselle.  Tétines bien solides, mais tout de même bien souples, adaptées aux petites bouches.</t>
  </si>
  <si>
    <t>Superbe mais.. Collier magnifique qui a beaucoup plu Attention a la réduction de prix qui n'est pas réel Le produit reste du made in china en toc</t>
  </si>
  <si>
    <t>Très bon casque Très bon casque me fait mal aux oreilles quand on est un peu trop longtemps avec pour ma part</t>
  </si>
  <si>
    <t>Parfait Très beau design, et confortable. J ai préféré changé les semelles pour mettre des semelles cuir car mon fils transpire trop des pieds et c est nickel</t>
  </si>
  <si>
    <t>Livre Très bonne série de livres facile à lire.</t>
  </si>
  <si>
    <t>Très satisfaite Le coffret est très joli. Les bijoux sont bien finit, je craignais qu'ils fassent jouets, mais non, ils sont vraiment bien.</t>
  </si>
  <si>
    <t>J'adore ce pendentif Ce bijou est très agréable à porter, de bonne taille, il permet d'avoir un beau pendentif au cou, très classe. Une petite touche de lumière. Très contente</t>
  </si>
  <si>
    <t>Top ! Grande adepte des produits MAM je recommande vivement !</t>
  </si>
  <si>
    <t>Bon état Bon état</t>
  </si>
  <si>
    <t>Sac a dos Se sac peut être utilisé à beau de choses, moi je l'utilise pour mon sport mais aussi pour aller o travailler. Je peux ranger mon ordinateur portable, mon casque tous mes chargeurs, quelques livres, chaussures .. . Se porte bien Facile.</t>
  </si>
  <si>
    <t>son format Si je commande cet article c'est que cela me convient, sinon je ne le prendrais pas. Cela me convient pour noter se que je fais chaque jour; à mon age(85 passés) j'ai tendance à oublier.</t>
  </si>
  <si>
    <t>Montre casio Super belle montre c’est ma 2ème j’en ai commandé une blanche et une noire j’ai mélangé les deux et j’ai 2 montres unique.la 1ère est noir au centre et blanche la couronne et la 2ème inversée 👍.</t>
  </si>
  <si>
    <t>Impec Meilleures bottes que j'ai jamais eues. Très confortables, souples et résistantes. Prévoyez un spray imperméabilisant, elles en valent le coup !</t>
  </si>
  <si>
    <t>Nickel Livraison faite 1 jour avant 👌. Produit (chaussures pour mon fils), parfaites.</t>
  </si>
  <si>
    <t>Parfait Acheter sans hésiter ce sont deux tétines très simple qui remplissent leur fonction je ne peux rien dire de plus ça adapte très bien au biberon Mam et d’autres marques standard</t>
  </si>
  <si>
    <t>A recommander ?  un peu fragile, c’est du jetable Joli produit mais après un peu plus de cinq mois d’utilisati9n le fond s’oxyde et verdit. Je ne sais pas si je vais l’utiliser encore longtemps, de n’est pas appétissant et c’est peut-être toxique.... dommage</t>
  </si>
  <si>
    <t>Très bon casque je le recommande Super casque fonctionnalités nickel (bluetooth) très bien comme prévu connaissant déjà l'article avant achat je savais à quoi m'attendre déjà.Bonne autonomie,bonne sonorités surtout les basses et l'intéraction de la musique et des différent sons d'une oreille à une autre ou fait toujours son petit effet selon les musiques.Couleur rose pâle mignonne et discrète, J'aime.Pour l'instant à tenue toute ce promesse j'espère le garder très longtemps.</t>
  </si>
  <si>
    <t>Mauvaise qualité Dans les photos la qualité semblait meilleure</t>
  </si>
  <si>
    <t>Plus que bof... Très déçu par le qualité. C est la même matière que pour des articles de déguisement ou pour habiller des poupée. Et pas chaud du tout. Direction fond du placard...</t>
  </si>
  <si>
    <t>Conforme à la photo Montre élégante avec une belle esthétique, même si elle est bien plus épaisse qu'elle en a l'air. Je pense que pour ce prix il ne faut pas se plaindre, elle fonctionne parfaitement.</t>
  </si>
  <si>
    <t>satisfait très bon article j'aime bien je recommande a tous qui veulent acheté c'est bien vivement recommandé n'hésité pas c'est la qualité</t>
  </si>
  <si>
    <t>deçu bonjour j'ait reçu ma commande se matin le carton été  éventrée  ainsi q'un taquet  de lessive et le sac plastique de protection un  quart de la lessive  d'un des paquet et partie pendant la livraison je ne suit pas très content j'éspere que  la prochiene commande cela sera beaucoup emballer</t>
  </si>
  <si>
    <t>Pas mal mais ...... Correct mais attention taille trop grand ! Donc 2 tailles en moins pour se trouver très bien !</t>
  </si>
  <si>
    <t>Je le recommande Top mais je le trouve un peu petit pour une grande famille</t>
  </si>
  <si>
    <t>commande bien recu en avance très bonne qualités et souplesse garantie</t>
  </si>
  <si>
    <t>Instructif Cadeau anniversaire</t>
  </si>
  <si>
    <t>Agréable Bonjour la communauté, Je viens d'acheter ses écouteurs sans fil pour la pratique du sport, plus particulièrement de la musculation. Les écouteurs sont adaptés à la pratique et tiennent bien aux oreilles. Le son est agréable, cependant je ne peux pas vous dire la capacité de la batterie par un manque de temps d'utilisation. Ils sont vendus avec une housse de protection très tuile. Je recommande !</t>
  </si>
  <si>
    <t>parfait un très bon soutient et bien adapter pour ma taille - je prends du 105 A sans armature quand je trouve - ne sert pas au buste et pour le sport , c'est parfait</t>
  </si>
  <si>
    <t>Très bon rapport qualité prix Magnifique, confortable, ms très chaud,  très bien pour l'hiver.</t>
  </si>
  <si>
    <t>Jolie modèle et de bonne qualité. Je l'ai offerte à ma fille pour Noël depuis elle ne la quitte plus et le doré est bien resté.</t>
  </si>
  <si>
    <t>RAS Achetée pour un micro ZOOM H1... s'adapte bien et fait ce  pour quoi elle est prévu</t>
  </si>
  <si>
    <t>Très petit et pourtant si performant! Dictaphone extrêmement simple d'utilisation (je n'ai même pas eu recours au mode d'emploi). Enregistre vraiment bien et restitue fidèlement les voix et sons. Transfert des fichiers facile. Je ne peux que le recommander!</t>
  </si>
  <si>
    <t>parfait Tout à fait le type d'album que je recherchais. La couverture est très épaisse et les motifs étoiles sont un peu en sur-épaisseur, ils sont très sympas. Les pochettes pour ranger les photos 10/15 sont à la bonne tailles et j'apprécie tout particulièrement la partie annotation possible à côté de chaque pochette en plastique.</t>
  </si>
  <si>
    <t>Bien Article parfait, je recommande sans hésitation.</t>
  </si>
  <si>
    <t>parfait Envoie rapide Les oreillettes Bluetooth fonctionne correctement se connecte sans problème ma mon iPhone mon MacBook et mon téléphone professionnel Samsung Je recommande</t>
  </si>
  <si>
    <t>Très efficace ! Je suis très heureux de ce micro, simple et efficace. Le son est excellent et même par fort vent, avec la bonette, la qualité reste identique. Je l'utilise depuis 3 semaines, reste maintenant à voir sa durabilité.</t>
  </si>
  <si>
    <t>jolie parure Magnifique parure, l'ensemble est très joli. Obtenue pendant les soldes, je suis très satisfaite. Je la mets souvent avec une robe.</t>
  </si>
  <si>
    <t>Bon produit Produit conforme à notre attente</t>
  </si>
  <si>
    <t>ok ras</t>
  </si>
  <si>
    <t>Chaussures idéales. Achetées comme chaussures pour travailler sur chantier. Idéales pour l'extérieur. Très confortables, étanches, légères. Parfaites! A recommander à tout ouvrier.</t>
  </si>
  <si>
    <t>Pas la bonne tétine reçue Les informations écrites sur la présentation mentionnaient un débit moyen et j'ai reçu une tétine 1.... je dois donc racheter d'autres tétines</t>
  </si>
  <si>
    <t>télécommande diffuseur huiles essentielles Bonjour, mon appareil a très bien fonctionné, jusqu'à ce que j'aie voulu changer la pile. Impossible d'ouvrir le compartiment à pile et maintenant tout est coincé. Je suis mécontente de ce produit. Finalement, au lieu de mettre une télécommande, un bouton on/off serait bien plus utile.</t>
  </si>
  <si>
    <t>Affichage défectueux après un peu plus d'un an Comme d'autres personnes l'ont signalés, la moitié des caractères n'est plus visible, ceci au bout de 14 mois... La montre étant garantie 24mois, plus qu'à essayer de faire jouer la garantie...</t>
  </si>
  <si>
    <t>moyen ruban adhésif qui se déchire en travers dés qu'on le regarde un peu méchamment, faut avoir de la patience. Sinon ça colle et ça tiens y compris aprés plusieurs mois au froid sec(de haute montagne).</t>
  </si>
  <si>
    <t>Gw 2pcs espaceur  charms chaîne Bonjour, je ne suis pas déçu du cadeaux que j'ai offert à mon enfant.</t>
  </si>
  <si>
    <t>cool ok</t>
  </si>
  <si>
    <t>Pochettes de bonne qualité C'est déjà la troisième fois que je commande cet article et les pochettes me conviennent toujours autant. Elles sont utilisées avec une petite plastifieuse achetée à bas prix et elles ne bougent pas. J'apprécie leur tenue. Elles ne se décollent pas, et ne forment pas de plis. Un très bon rapport qualité-prix.</t>
  </si>
  <si>
    <t>biberon tres satisfaite du produit mais tres decu du livreur qui m a jeté mon colis dans le jardin car absente au moment de la livraison ; Franchement ,n importe qui aurai pu passer au dessus du portail et voler le colis . Merci</t>
  </si>
  <si>
    <t>Satisfait Petit, léger, mais j'ai eu plus rapide par le passé. Remplit bien son office, modeste mais appréciable pour qui veut son thé au réveil à l'hotel</t>
  </si>
  <si>
    <t>Pull imprimé animaux Pull taillé comme il faut, voire un peu grand. Attention, lavage à la main, ce qui peut être contraignant. Pour ma part,  il est parfait pour l'utilisation que je compte en faire.</t>
  </si>
  <si>
    <t>Pratique et confortable Utilisé pour la marche nordique. C'est un plaisir de faire du sport en écoutant de la musique sans fil ! La mise en place est facile. La qualité de son est bonne. Les commandes sont accessibles a l'écouteur coté droit. Ce casque est plus confortable que les intra auriculaires et il me semble que c'est meilleur pour garder ses capacité auditives. Je recommande.</t>
  </si>
  <si>
    <t>Bien surpris Puma confortable bien adapté à ma pointure et robuste je recommande</t>
  </si>
  <si>
    <t>Adapté Mon fils faisant du basket désirait cet accessoire, Il parait que cette marque est connue pour sa qualité , on verra bien. La taille en M est parfaite pour un ados de 14 ans ; au dessus c est trop grand je pense</t>
  </si>
  <si>
    <t>Arménie paper au top ! Parfum naturel, parfume parfaitement, odeur qui reste. Rapport qualité prix agréable. Je conseille vivement surtout contre la fumée de cigarette ...</t>
  </si>
  <si>
    <t>Super Très bon micro! Comme dans la description! Bons points: - Compatible tout types de téléphones - Petit. - Rapport qualité prix très bien. - Son clair. Bémols: - Son meilleur à distance (20cm) - Fragilité - Câble un peu court si on souhaite le mettre sous le t-shirt. J'ai quand même mis 5 étoiles car le micro est très bon dans l'ensemble et pour ce prix *_*</t>
  </si>
  <si>
    <t>le confort mon  fils et  mon mari adore elles sont confortable et bien chaude je recommande a d autre personne qui travaille dehors</t>
  </si>
  <si>
    <t>Très bon rapport qualité prix Un massage vraiment très agréable, le coussin détend vraiment bien les muscles. Il est plus tiède que chaud mais c’est amplement suffisant. Je recommande sans hésiter vu le prix !</t>
  </si>
  <si>
    <t>Super détente pour ceux qui ont des métiers debout !!! Appareil de très bonne qualité et de bonne conception très agréable après une bonne journée de travail ma femme n’ Pas voulu attendre la fête des mère pour l’utiliser bon on as rien dit aux enfants !!!</t>
  </si>
  <si>
    <t>son tres bon le son est excellent , c'est le micro des stars, trop bien et facile à utiliser j'adore, à conseiller; voila</t>
  </si>
  <si>
    <t>taille petit dommage elles sont sympas</t>
  </si>
  <si>
    <t>service rapide ça fonctionne très bien pour la petite imprimante canon  pour les petite photos qu'on a besoin tout de suite merci</t>
  </si>
  <si>
    <t>Chaud Très chaud</t>
  </si>
  <si>
    <t>TRES BIEN EQUITATION. RAS</t>
  </si>
  <si>
    <t>Baskets au top Livraison rapide avant la date,au moins 15jrs avant et puis qualité au top</t>
  </si>
  <si>
    <t>Très bien Pied de microphone utilisé dans plusieurs soirées ! Parfait ! ATTENTION : VÉRIFIER LE DIAMETRE DE VOTRE MICRO (car il n'y a qu'un seul embout), il faudra prévoir d'acheter un autre embout suivant le diamètre de votre micro (dispo à 3€) VÉRIFIER SON POIDS, si cela est un micro banale en plastique aucun problème, mais j'avais un gros sony en fer... et le pied à tendance a pencher ! Concl : PIED DE QUALITÉ</t>
  </si>
  <si>
    <t>S'abime très vite Je suis assez déçue de cet article, il s'abime très vite. Au bout d'à peine 1 semaine, le bout des poils se sont tout écrasés... par contre, très adaptés à mes biberons !</t>
  </si>
  <si>
    <t>Non officiel Produit de très mauvaise qualité, non conforme aux photos, son très mauvais. Acheteur si vous cherchez des écouteurs officiels passez votre chemin</t>
  </si>
  <si>
    <t>Achetee en janvier 2017, echangee en mars 2017 puis inutilisable en octobre 2018 ! J'ai achete cette bouilloire en janvier 2017, ai du me la faire echanger trois mois plus tard car le couvercle ne fermait plus. En octobre 2018 elle ne fonctionne plus du tout je ne sais pas a quoi c'est du... Pour le prix ca n'est pas tres resistant !</t>
  </si>
  <si>
    <t>Pratique mais pas solide Cette tétine est pratique car l'on peut sélectionner le débit souhaité en fonction de l'épaisseur du lait. Mon fils ayant des régurgitations, il doit boire un lait AR qui a une texture assez épaisse. Grâce à cette tétine, il aspire aisément son lait. Cependant, au bout d'un mois d'utilisation, la tétine se fendille au niveau de la fente ce qui augmente fortement le débit qui devient alors incontrôlable.</t>
  </si>
  <si>
    <t>Attention l'appareil ne dispense pas lui même le lait. En regardant la jolie vidéo de présentation on se dit c'est bon l'appareil prépare lui même le biberon, en fait c'est faux, vous devez d'abord attendre le premier jet d'eau à 70 degrés, puis mettre le lait en poudre et ensuite l'appareil ajoute l'eau. Je paie pas 70 euros un appareil qui fait pas la boulot à ma place. Demandé un remboursement au motif que la vidéo ne présente pas correctement le produit. Je préfère en prendre un plus cher mais qui soit vraiment la Dolce Gusto du biberon.</t>
  </si>
  <si>
    <t>Conforme à l'annonce Pas plus efficace qu'un autre produit car avant il résister aux antibiotiques et à la javel mais plus maintenant pourquoi ?</t>
  </si>
  <si>
    <t>Très confortables et légères pour aller travailler et pour marcher. Je les recommandrai Très légères et confortables pour marcher et au travail. Je recommandrai.</t>
  </si>
  <si>
    <t>Impeccable super bouilloire.</t>
  </si>
  <si>
    <t>Bien mais Sacs qui ferment bien pour congeler ou ranger au frigo. Que 4* car c’est pas très écologique tout ce plastique... je les ai pris pour rajouter à mon panier ;-)</t>
  </si>
  <si>
    <t>Trés content du produit Trés bon rapport qualité prix.</t>
  </si>
  <si>
    <t>Nickel Produit conforme à la description. Rien a redire dessus. Facile à nettoyer. La bouilloire chauffe vite. Je recommande ce produit.</t>
  </si>
  <si>
    <t>Bien Conforme à sa photo de présentation. Fidèle à la qualité scotch, RAS. Petit dessin amusant sur les tubes qui plaisent bien. La petite boîte en métal est solide et sympa. Peut servir à toute sorte de choses après...</t>
  </si>
  <si>
    <t>Avis sur article Bien</t>
  </si>
  <si>
    <t>Super Rien a dire</t>
  </si>
  <si>
    <t>Reebok classic intemporel Très bon produit de qualité, le blanc se marie avec tout, cependant il faut en prendre soin car  c'est très vite salissant, faire attention aux jean qui peuvent déteindre.</t>
  </si>
  <si>
    <t>Table Pliable pour pc Table Pliable assez robuste. après avoir trouvé la bonne hauteur et la bonne inclinaison, elle est parfaite pour travailler debout par exemple. Bien stable posée sur un bureau, par contre je n'ai pas essayé sur un lit.</t>
  </si>
  <si>
    <t>Excellent rapport qualité prix... Très pratique! Faible encombrement... très satisfaite de  cet achat!</t>
  </si>
  <si>
    <t>taille parfaitement  trés confortable parfait pour quelqu'un qui doit porter des bandes de contention</t>
  </si>
  <si>
    <t>Arcicle super Super content de mon achat, ensemble en verre , bonne qualité,  ravi de mon choix</t>
  </si>
  <si>
    <t>Ravi Très beau produit</t>
  </si>
  <si>
    <t>Super !  great item... Chaussures conformes à l annonce... super confortables Je recommande vivement ce produit</t>
  </si>
  <si>
    <t>Excellent produit Super produit!elles sont confortables souples et ont une joli forme. Je les mets tous les jours elles sont légères et très résistantes. Je recommande sans problème.</t>
  </si>
  <si>
    <t>Top et livré à la date prevue Super, très bon rapport qualité/prix.</t>
  </si>
  <si>
    <t>achat récent C'est exactement la chaussure de sport que je souhaitais. Elle s'adapte parfaitement à mon pied. Très très bon produit rapport qualité prix. Cordialement</t>
  </si>
  <si>
    <t>montre basique Je suis déçu par cet article et m'attendais à mieux. Bien sûr pour le prix il ne faut pas trop en demander.</t>
  </si>
  <si>
    <t>Abimé au bout de 5 mois Mettant des nikes depuis de nombreuses années, je cherchais un paire cuir noir en nike air. Ayant trouvé celles ci sur amazon, j'ai acheté. Mon avis 5 mois après l'achat : de gros doute sur l'authenticité du produit. Jamais aucune de mes nikes ne s'étaient abimées aussi vite. Au bout de 3 mois, le plastique sur les talons commençaient a partir comme une pelure de peau, au bout de 5 mois, la couleur s'en va sur le devant de la chaussure. Premier achat a distance pour des chaussures et surement le dernier. Tres deçu...</t>
  </si>
  <si>
    <t>tres tres dur je ne les ai jamais mis trop mal</t>
  </si>
  <si>
    <t>Bof Textile non résistant... déchiré au premier port</t>
  </si>
  <si>
    <t>Beaux mais... Confortables , pas d'odeur, mais l'intérieur  est entrain de se déchirer après 1 mois d'utilisation .</t>
  </si>
  <si>
    <t>Bon produit très esthétique Bon produit. Petit bémol, la fenêtre permettant la visualisation de la quantité d'eau reste constamment embuée. Autrement,rien à dire.produit très esthétique</t>
  </si>
  <si>
    <t>Débit trop rapide pour bb d 1 mois Pour lait épaissi bb d un mois le lait coule trop vite à utiliser peut être à partir de 2 ou 3 mois</t>
  </si>
  <si>
    <t>Très efficace Pour l'odeur fraîche et délicate on repassera ! On est dans la bonne vielle fragrance de chiotte ! Le produit en lui même s'accroche bien à la cuvette et le tourniquet à l'intérieur libère du produit qui entretien entre deux récurage pour les petites commissions !</t>
  </si>
  <si>
    <t>Magnifiques Converses Magnifiques Converses d'un beau rouge. Taille choisie 36,5 pour une pointure 37. Livraison rapide : commandées le 22 janvier et reçues le 29. Très satisfaite.</t>
  </si>
  <si>
    <t>calendrier bien amballer ce  calendrier correspond  complètement à  ce que je désirai  place  assez grande  pour écrire à coté de la date désirer,</t>
  </si>
  <si>
    <t>excellent rapport qualité/prix. J’ai reçu un paquet contenant : -2 Écouteurs Bluetooth Sans Fil -1 Boîte de chargement -1 Câble de chargement -3 Embouts de différentes tailles -un sac en tissu -le Manuel d'utilisation. Après quelques jours de tests, les écouteurs fonctionnent très bien. Ils sont agréables et légers à porter. Ils ne font pas mal et se font oublier. La texture de l’embout s’adapte parfaitement à la forme de mon oreille. Le jumelage avec mon smartphone se fait sans souci. Le son est de bonne qualité. Je m’en sers aussi bien pour téléphoner que pour écouter la musique, et je suis libre de mes mouvements, notamment à la gym. Les + : -Petits, -légers, -Ils tiennent très bien en place, une fois la bonne taille d’embout trouvée, -Le son est tout à fait satisfaisant, -Autonomie tout à fait satisfaisante, de plus de 3 heures en écoute continue, -réduction du bruit efficace, -l’utilisation est simple et intuitive, -La petite boite de transport permet de les recharger et en même temps de les ranger, -La portée du bluetooth est bonne. Pour moi c’est un très bon produit.</t>
  </si>
  <si>
    <t>Chaussure de sécu jb Les chaussures de sécurité me vont parfaitement bien elle sont très belle et il y à la coque de protection... très bon produit</t>
  </si>
  <si>
    <t>Conforme Satisfaite Conforme a la description Recu comme convenu a la date prévue</t>
  </si>
  <si>
    <t>Bien conçu et facile a utiliser La conception est super bonne, les axes sont aux pas a pas, des trous permette d'y accéder entre 2 positionnements. Vraiment agréable, je m'en sert dans ma voiture, les empattements sont parfaitement adapté aux sièges de ma 208</t>
  </si>
  <si>
    <t>parfait parfait de très bonne qualité</t>
  </si>
  <si>
    <t>Super surprise Très bonne idée de cadeau surprise pour ma copine. Le cadeau est bien différent de ce qu'on peut généralement retrouver dans les boutiques ou dans les grandes surfaces. Avec des composants fournis, on a la possibilité de le rendre unique et remarquable. Je suis tout à fait convaincu.</t>
  </si>
  <si>
    <t>excellent belle chaussure, bonne taille. En tout cas mon mari est très content !</t>
  </si>
  <si>
    <t>Un des meilleurs achat que j'ai fait ! Acheté il y a deux ans. je l'utilise tout les jours.  C'est confortable, le son est bon. Je m'y suis vraiment attaché.  J'ai dus changer le câble une fois. Mais je suis pas spécialement soigneux avec le câble. Et puis le fait qu'on sache changer le câble est vraiment un bonus.</t>
  </si>
  <si>
    <t>Bonne lampe de bureau Lampe de bureau très pratique avec le tactile et les diverses intensités lumineuses ainsi que le branchement USB qui permet de recharger ses appareils sans se baisser vers une prise au sol.</t>
  </si>
  <si>
    <t>bien cuir bien qualité très beau cuir épais，il correspond parfaitement à mes attentes，sacoche vrai cuir juste ce qu'il faut ni trop grande ni trop petite a l'air solide，belle qualité et très pratique, il est important pour moi de porter l'épaule. rangements nombreux. Très satisfaite de mon achat .</t>
  </si>
  <si>
    <t>Biberon avent philips Pour tous mes bébé c'est toujours cette marque que j'achète , c'est le meilleur biberon .</t>
  </si>
  <si>
    <t>Montre parfaite Très belle et super résistante. Vu la vie que les montres subissent avec moi il me fallait au moins ça. Le bracelet en métal est un réel plus en matière de solidité et de plus il est doté d'un système d'accroche qui ne se détache là où les bracelets plastique rendaient l'âme. Je suis satisfait.</t>
  </si>
  <si>
    <t>Beau produit sérieux ! Après 3 semaines d’utilisation... achat sérieux... bien heureuse d’avoir changé de modèle pour celui-ci... je ne connaissais pas la marque et bien allez-y... c’est une marque sérieuse... aucun regret !!!! En plus la qualité est au rendez-vous</t>
  </si>
  <si>
    <t>Bon produit, mais ne tient pas longtemps Je l'utilise depuis plus de 3 mois et c'est très pratique avec le petit goupillon pour les tétines. Je trouve dommage par contre que le gros goupillon ne ressemble plus à rien au bout de si peu de temps ... Les "poils" du goupillon sont tous rassemblés. Il faut déjà que j'en rachète un autre.</t>
  </si>
  <si>
    <t>Nul Son mauvais désagréable a porté chère pour rien</t>
  </si>
  <si>
    <t>prix intéressant mais chausse trop grand d'une taille Rend service pour un usage ponctuel, le temps d'un chantier  la durabilité pose quand même question, la finition fait un peu cheap, et surtout taille bien trop grand, une bonne taille au moins à compenser par une grosse paire de chaussettes supplémentaire</t>
  </si>
  <si>
    <t>Bonne qualité mais... Bonne qualité mais cuir assez raide. Elles aurais mérité de les assouplir.Habitué de cette marque ce ne sont pas les plus confortable mais font l'affaire</t>
  </si>
  <si>
    <t>De bonne facture. Casque de gaming de bonne facture, les fiches sont solides et protégées à la livraison. Réglage du son et coupure du micro possible. Le micro se replit sans gêner l'utilisation du casque sans celui-ci. S'adapte à toute taille de tête, même pour un enfant de 7ans.</t>
  </si>
  <si>
    <t>Sweat sympa Le tissus est de bonne qualité et ne bouge pas au lavage. La coupe est plutôt cintrée à la taille (je ne m'y attendais pas) pour un 38 j'ai pris taille M et c'est parfait mais la taille est marquée. La couleur est identique à la photo : très sympa. Je conseille mais attention à la taille !</t>
  </si>
  <si>
    <t>très bon quelque bémol pas de boutons on/off ça devient une basse de nos jours.. un son pas assez puissant, il n'y a pas de réduction des bruits alentour, sinon le son est relativement propre a ce prix là on peut pas s'attendre a vraiment mieux, le bras est parfait  par contre, très fluide, assez solide et assez long</t>
  </si>
  <si>
    <t>Bien Bonne qualité du papier , attention aux petites découpes pas forcément facile à découper ! Je recommanderai si besoin tout de même</t>
  </si>
  <si>
    <t>Style Bon produit</t>
  </si>
  <si>
    <t>Très bien Machine de lavage de parfum de qualité et de taille appropriée.La pulvérisation est très fine, l 'huile essentielle est ajoutée à l' eau et l 'odeur de la fumée par pulvérisation devient très douce.Petit objet ménager exquis, il est beaucoup plus confortable de dormir le soir.Ajouter de l 'huile essentielle pour faciliter le sommeil.C 'est bien de le mettre sur le lit et de l' utiliser comme lampe de nuit le soir.AIR diffuse confortable parfum pour détendre, le rapport coût - efficacité, de qualité, facile à transporter.</t>
  </si>
  <si>
    <t>Bon produit RAS livraison rapide. Conforme</t>
  </si>
  <si>
    <t>RAS impeccable</t>
  </si>
  <si>
    <t>Confortable et fonctionnelle J ai acheté cette table de massage pour un usage personnel. Je suis entièrement satisfaite , la mousse est assez épaisse pour permettre une position allongée confortable, les accessoires permettent de faire comme dans un salon d esthétique. Elle est très simple à monter Entièrement satisfaite Je recommande</t>
  </si>
  <si>
    <t>Boucles d'oreilles Excellent produit</t>
  </si>
  <si>
    <t>Brassière sport Très bonne qualité, taille parfaitement bien, soutien bien; rien à redire, j'en suis très contente!</t>
  </si>
  <si>
    <t>Très classe ! Franchement, pour le prix on ne peut pas demander mieux ! La montre est sobre et classe, par contre le bouton pour régler l'heure peut faire un peu mal si on plit un peu trop le poignet</t>
  </si>
  <si>
    <t>Satisfait Commande et livraison rien à dire Produit de qualité utilisé pour balades pépère à pieds sur terrain gras, boueux ou herbes mouillée : pas de problème d'imperméabilité Difficulté à enfiler et à enlever les pieds mais cela se prête à la longue (prévisible et normal)</t>
  </si>
  <si>
    <t>Super Nike MD Runner je suis déjà un adepte des Nike MD Runner mais c'est la première fois que je commande sur internet. Je suis trés satisfait du produit et de la livraison. Comme beaucoup de Nike, il faut prendre la pointure au dessus (je chausse du 42 mais en Nike je prend toujours du 43)</t>
  </si>
  <si>
    <t>Cafetière café Exélent ma cafetière rapide et fait du bon café s'entretient très bien et qualité prix. bravo</t>
  </si>
  <si>
    <t>super produit livraison rapide, bon produit qui a atteint mes demandes je recommande vivement cet article. la résistance se vérifiera après plusieurs utilisation dans le temps mais c'est conforme avec mes attentes</t>
  </si>
  <si>
    <t>Conforme à ce que j'en attendais C'est une montre comme j'en avais une en 1979, donc les fonctionnalités n'ont pas variées, mais cela reste un bon produit qui fait le boulot.</t>
  </si>
  <si>
    <t>Recommandation Trop parfaite. J'adore</t>
  </si>
  <si>
    <t>Taille ok super pantalon Parfait, la taille est correcte il est joli et agréable à porter. Le design est sympa.</t>
  </si>
  <si>
    <t>Top 5 ⭐</t>
  </si>
  <si>
    <t>Bof Très joli pendentif. Mais au bout de deux jours la chaîne noircit. Je suis contente de ne l'avoir payé que 9euros en promo et non pas 129 (prix d'origine).</t>
  </si>
  <si>
    <t>inconfortable le massage est douloureux il y a juste un filet qui recouvre les boules de massage, il aurait fallu une couche plus épaisse comme de cuir.</t>
  </si>
  <si>
    <t>Passez votre chemin. Acheté pour permettre à ma mère d'essayer sans se ruiner, et heureusement! Tapis trop mou, fleurs non douloureuses au premier essai (je sais, ça a l'air "maso" mais c'est l'effet que ça doit faire pour fonctionner, c-a-d vous obliger à vous détendre). Bref, au lieu de vouloir faire des économies, mieux vaut mettre de côté l'argent nécessaire pour "le vrai".</t>
  </si>
  <si>
    <t>Bien mais pas resistante Les chaussettes sont déjà percée en dessous (frottement dans les palme) Le principe d'une chaussette basse et bien, mais la qualité est un peu légère</t>
  </si>
  <si>
    <t>Très joli C'est un joli pendentif mais il faut y faire attention car il est vraiment très fin malgré cela il est très beau</t>
  </si>
  <si>
    <t>Peut encore mieux faire C'est parfait, on est sûr de ne pas se tromper mais ce serait encore mieux si on pouvait y ajouter un petit mot.</t>
  </si>
  <si>
    <t>Bof Jolie tape à l’œil pas étudie pour mon métier ( carrossier peintre ) , 2 mois , est je vois déjà les protections , je ne vais pas dire déçu Car elle on tenue au temps que des marque comme f..... ou ks..... mais d’une fragilité certaine</t>
  </si>
  <si>
    <t>Pas mal Jolie, beaux design. A voir avec le temps...</t>
  </si>
  <si>
    <t>Excellente Reçu rapidement, dans un emballage simple mais les chaussures etaient en parfait état. Agreable a porter, j'ai commandé ma pointure habituel et elle me conviennent parfaitement. Les lacets sont grands et ont l'air de bonne qualité. 1 mois a les porter et rien a redire</t>
  </si>
  <si>
    <t>Super ! Très utile, facile à utiliser. Son grand écran permet une bonne lisibilité du temps restant. Achat à recommander malgré un prix un peu élevé.</t>
  </si>
  <si>
    <t>Plusieurs couleurs possible a prix très raisonable. Pas d'occasions spéciale la forme et la couleur m'a plu  ,</t>
  </si>
  <si>
    <t>Très très confortablee J’ai pris taille 37,5 et pas 38 taille habituelle</t>
  </si>
  <si>
    <t>Kit KARAOKE ampli avec 2 micros sans fil Cet ensemble KARAOKE est devenu indispensable pour finir nos soirées du samedi soir en chantant. Les 2 micros sans fil se baladent entre les mains. La lumière bleue fait son petit effet aussi en soirée avec lumière tamisée. Les 2 micros en alu sont assez lourd et font réellement professionnel. La transmission VHF est bonne et je ne peux que recommander ce produit.</t>
  </si>
  <si>
    <t>SUPER Enfin un fournisseur qui a compris, que certaines personnes travaillent déjà leur planning de l'année prochaine, et en plus agenda français . On regrette seulement que 2021 ne soit pas déjà dispo, mais bon, peut-être trop exigeants.  Merci de toute façon</t>
  </si>
  <si>
    <t>Basket de sport J'ai acheté ces baskets en violet et la couleur est très jolie. J'ai pris ma taille habituelle et elle ne me serre pas du tout au niveau de la cheville, elles se portent bien. Je m'en sers pour le jogging et à la salle de sport et les semelles amortissent parfaitement les chocs quand je cours. Les chaussures ont des aérations qui permettent aux pieds de bien respirer. Tout a fait satisfaite.</t>
  </si>
  <si>
    <t>Bébé adore Pour une fois bébé peut peindre avec les doigts et il adore :-)</t>
  </si>
  <si>
    <t>La tong parfaite Tong parfaite. Les anciennes que j’avais ont été acheté en boutique et cellle ci rien à redire. J’ai pris la taille en me référant au tableau des tailles. La tong idéal pour sortir de la douche et traîner à la maison !</t>
  </si>
  <si>
    <t>Très class Boucles d'oreilles reçues dans une belle boite.  Elles sont très belles, avec un petit poussoir en caoutchouc pour ne pas qu'elles bougent.  Je suis très contente de mon achat.</t>
  </si>
  <si>
    <t>Jolies brassière Très agréable à porter, bonne matière, bien cousu, pas de mauvais détails. Bon produit !</t>
  </si>
  <si>
    <t>100% ok 100% ok</t>
  </si>
  <si>
    <t>Très sympa Vraiment sympa j’adore</t>
  </si>
  <si>
    <t>Confortable et pratique Produit conforme</t>
  </si>
  <si>
    <t>Costaud utilisée tous les jours pour mon travail , elle semble indestructible par rapport à de nombreux modeles que j'ai deja "testé" .</t>
  </si>
  <si>
    <t>Top Très joli bracelet ! 😉 Je recommande !</t>
  </si>
  <si>
    <t>Beaucoup trop petit Je viens de recevoir ce jogging , il y à un soucis , j'ai bien regardé le guide de taille avant de passer la commande , je taille du 38 en pantalon jeans , donc puisqu'il est mis dans le tableau guide des tailles que de 38 à 40 c'est S , j'ai pris un S , bha loupé , c'est trop petit , une taille en dessous , il m'aurrait fallut un M comme je pensais prendre , mais j'ai préféré me fié au tableau sur la page de commande du jogging .  J'ai du mal à comprendre tous ceux qui trouve qu'il taille large , j'ai l'effet absolument contraire , c'est domage , la qualité n'est pas mauvaise pour le pris , mais il va rester au placard , pfff.........</t>
  </si>
  <si>
    <t>Manque de douceur Rouleaux plutôt petits avec un grand trou. papier de toilette assez et manque flagrant de douceur; en  résumé,  un papier de toilette bas de gamme et peu économique.</t>
  </si>
  <si>
    <t>Deçu Produit arrivé, semelle mal collé ce qui fait que la chaussure prend l'eau.  Seule solution proposé par amazon : les recommander, sauf qu'elles sont maintenant a 159 euros au lieu de 102.  Aucun geste commercial possible, enfin si un bon de 5 euros. Je trouve cela inadmissible.</t>
  </si>
  <si>
    <t>Utile Manque un rabat en bas pour ne pas perdre les feuilles</t>
  </si>
  <si>
    <t>Bel effet Ces boucles d'oreilles sont magnifiques dommage qu'elles soient un peu lourdes et volumineuses en épaisseur du coup elles penchent vers le bas et l'effet est moins sympa sur l'oreille. Joli écrin pour les ranger</t>
  </si>
  <si>
    <t>Joli Conforme à la photo. Très joli. Chaîne très fine sans buttoir aux extrémités ; les deux éléments peuvent donc tomber lorsqu'on retire le collier.</t>
  </si>
  <si>
    <t>Pierres magnifiques J’adore la matière des pierres noires style volcaniques, un petit bémol la taille du bracelet un peu grande pour mon petit poignet, peut être est ce un modèle homme ?</t>
  </si>
  <si>
    <t>Prendre une taille au dessus Ras</t>
  </si>
  <si>
    <t>Collier cuir Pas decue produit de bonne qualite. Matiere assez solide. Je fabrique des bijoux gain de temps avec se colliers en cuir</t>
  </si>
  <si>
    <t>Super Ma fille les adore j' en ai recommandé d autres</t>
  </si>
  <si>
    <t>Un très beau produit...so british Après diverses recherches sur les grille-pain (internet, magasines consommateurs...), mon choix s'est porté sur ce modèle qui semble offrir l'avantage de la solidité de fabrication, présenter de nombreuses fonctions utiles et, accessoirement, mettre en évidence la beauté du produit. Pour mémoire, Russel and Hobbs est une vieille maison anglaise qui a une solide réputation pour la fabrication de ses produits de la gamme rétro, car ce produit semble en effet tout droit sorti des cuisines des années 50, dans les romans d'Agatha Christie. Le corps est en acier de couleur rouge empire (mon choix) surmonté d'un pourtour ouvragé de style victorien en inox. Un cadran vintage indique le temps pour griller / chauffer vos pains ou viennoiseries (n'excédant jamais 3 minutes) en fonction du degré de cuisson choisi. Le plus, c'est la grille (fournie) que l'on pose sur le toaster et qui permet de chauffer délicatement les viennoiseries n'entrant pas ou difficilement dans les fentes (d'environ 3 cm) servant à griller les toasts. La cuisson est relativement rapide, homogène (les parois sont légèrement chaudes mais non brûlantes !) et la puissance de l'appareil exige de bien choisir, à l'aide d' une petite manette, le niveau (de 1 à 6 ) de cuisson adéquat (je l'ai positionné sur 2). Enfin, un utile tiroir ramasse-miettes (et oui, il y en a un !) permet de maintenir l'appareil propre et de le nettoyer tout aussi rapidement avec une certaine facilité. La fonction décongélation est également fournie et il est possible de soulever la manette d'intrusion des toasts pour vérifier, de visu, le degré de cuisson tout en maintenant le cycle de fonctionnement. Enfin, le rapport qualité-prix est extrêmement satisfaisant par comparaison à d'autres produits (beaucoup plus chers pour certains) ne présentant pas les mêmes qualités ni la même esthétique ... unique.</t>
  </si>
  <si>
    <t>Bon goût de café moulu Bonne qualite de produit Bonne mouture du café Thermos qui maintient la température du café pendant longtemps Réglage du nombre des tasses appréciable Nettoyage facile et utilisation intuitive</t>
  </si>
  <si>
    <t>Super Je suis très contente de mon achat.</t>
  </si>
  <si>
    <t>très bonne qualité ne valent pas celles des années 80 fabriquées en angleterre mais quand même, elles ont toujours la classe et tiennent quand même bien la route</t>
  </si>
  <si>
    <t>Chaud et confortable. Parfait 👌</t>
  </si>
  <si>
    <t>Bon adaptation débit âge Mon fils avait l'habitude de ces tétines avec un débit très adapté à  son âge par rapport à d'autres marques</t>
  </si>
  <si>
    <t>Bon produit Ça fait 2 mois que je l'ai et j’en suis ravie. En tant qu’assistante maternelle je m’en sert très souvent. On peut y mettre 8 biberons (petit, grand, marque différente). Et les tétines et capuchons au dessus. On peut même y mettre des bouteilles adultes (Tupperware, Soda stream...) L’eau s’évacue bien dans le récupérateur grâce aux trous, l’eau ne stagne donc pas. Il est solide  Je recommande ce produit.</t>
  </si>
  <si>
    <t>Parfait ... Pour ma part, très content, adapté à la pointure commander, légère, costaux, bon prix, à recommander sans problème ..</t>
  </si>
  <si>
    <t>Amazon m'étonnera toujours. Ça alors, acheté jeudi soir, livraison le samedi matin, alors que je n'ai même pas demandé une livraison express, la rapidité d'Amazon et des transporteurs m'étonneront toujours. (France métropolitaine).  Alors que dire de ces Timberland, elles sont parfaite ! Ce sont bien des vrais, dans leurs vrai carton, n'ayez pas de crainte là-dessus, et surtout prenez bien une demie voir une taille en dessous. J'ai suivi ce que les autres on pu dire dessus, et au final je fais du 45 j'ai pris du 44 et c'est se qu'il me fallait. (Même si je vous conseille une taille en dessous perso, plutôt qu'une demie).</t>
  </si>
  <si>
    <t>Génial. Juste parfait</t>
  </si>
  <si>
    <t>très bonne montre Après presque 2 ans d'utilisation rien à redire. Pas besoin de s'en occuper elle est toujours à l'heure exacte avec le passage automatique des heures d'été et d'hiver. Le verre saphir, le boitier en inox et le bracelet en inox sont impeccables.</t>
  </si>
  <si>
    <t>Chanter en toute liberté Les commandes ont été reçues très bien emballées et en temps voulu. Le microphone est un très beau rose brillant, et nous l’avons trouvé très bon. L’appareil est léger, facile à manipuler et à tenir à la main, et je recommande vraiment ce microphone</t>
  </si>
  <si>
    <t>Excellent rapport qualité/prix Un très bon micro, parfaitement adapté aux débutants ou aux soirées karaoke. Il est livré dans un boitier plastique robuste, avec une mousse découpée à sa taille et un support pour pouvoir l'adapter sur un pied. Le rendu sonore est très bon une fois que l'on a jaugé de la bonne distance à laquelle le positionner pour obtenir le meilleur rendu. Le poids est assez élevé mais il lui confère un aspect qualitatif trés sérieux. Un très bon produit à prix raisonnable, je le recommande tout à fait.</t>
  </si>
  <si>
    <t>Assez petit Chaussures très élégantes. Le problème que la taille est assez petite . J'ai choisi une chaussure de 44 EU malgré ma pointure est 43 mais il reste petit !</t>
  </si>
  <si>
    <t>LA QUALITE N'EST PAS AU RV Ce produit vendu et expédié par Amazon n'est pas un critère de confiance apparemment. En effet, il y a quelques mois j'ai commandé une cartouche noire HP 302 XL, compatible avec mon imprimante HP, mais celle-ci ne la reconnaît pas. Je n'ai plus qu'à la jeter à la poubelle - je suis très déçue.</t>
  </si>
  <si>
    <t>Passable Beau tee shirt qui a fait son effet malheureusement à force de lavages la virgule nike se décolle c'est regrettable</t>
  </si>
  <si>
    <t>Beau et qualité moyenne. Nous avons acheté ce bola aussitôt l'annonce de ma grossesse. A deux mois de l'achat, le bola est à quelques endroits enfoncé car le matériel utilisé pour la boule est fin. De plus le cordon a cassé, j'y ai fait un nœud pour le garder le temps de racheter un autre cordon. Cela est très dommage car c'est un bel article mais de faible qualité.</t>
  </si>
  <si>
    <t>Taille trop petit Très bonne qualité de sweat, belle coupe, mais taille très petit par rapport à d’autres marques en vogue au collège !</t>
  </si>
  <si>
    <t>Chauffe biberon Un peu dur à comprendre les explications</t>
  </si>
  <si>
    <t>Sacoche pratique et bien pensée, mais attention aux coutures de la poche devant Belle sacoche, proportions nickel, je peux mettre tout ce dont j'ai besoin, y compris mon chéquier qui passe en hauteur. J'adore également la couleur double denim. Seul bémol, la poche de devant dont les coutures sont trop légères au niveau des angles de la fermeture éclair. Je vais devoir les consolider car il est évident qu'elles vont vite lâcher vu qu'elles sont très sollicitées.</t>
  </si>
  <si>
    <t>Bof Déçu sur la qualité de l’emballage et la qualité du marquage sur le produit. Les chiffres du dosage sont à moitié effacés. Sinon les biberons sont bien.</t>
  </si>
  <si>
    <t>Bien Chaussures confortables car assez larges les pieds sont à l'aise dedans , la pointure est bonne juste nickel , bon rapport qualité prix.</t>
  </si>
  <si>
    <t>Cool Cool</t>
  </si>
  <si>
    <t>Merci Merci beaucoup</t>
  </si>
  <si>
    <t>Très bon achat Chaîne très bien je la porte tous les jours elle ne bouge pas... très bon achat</t>
  </si>
  <si>
    <t>Bonne ergonomie Je suis très contente ces écouteurs au premier abord j'étais perplexe parce qu'il me paraissait un peu grand mais il reste parfaitement dans l'oreille la qualité est correcte au niveau du son et l'autonomie m'a permis de faire un semi-marathon.</t>
  </si>
  <si>
    <t>Parfaite Les chaussures sont très confortables, esthétiquement elles sont jolies et pour la conduite elles sont très agréables il n'y a aucune gêne.</t>
  </si>
  <si>
    <t>Pas trop petite donc pratique Conforme à sa description.</t>
  </si>
  <si>
    <t>Article correspondant exactement à mon attente. J'ai obtenu le produit que je souhaitait, la présentation était claire : bonne photo, bonne description, prix bien encadré. Non, rien à redire, très positif. Merci aussi pour l'exactitude de la livraison.</t>
  </si>
  <si>
    <t>Dr Martens J'adore, juste un petit peu grande mais ce n'est pas grave!!!</t>
  </si>
  <si>
    <t>Très bien Je n'utilise que cette marque pour mon bébé</t>
  </si>
  <si>
    <t>Parfait Parfait rien à dire</t>
  </si>
  <si>
    <t>Kimmes Très bon produit anti douleur. Pour offrir</t>
  </si>
  <si>
    <t>Gommette Gommette de bonne qualité il y a beaucoup de choix formes,motifs,couleurs,chiffres,idéale pour l’eveil des enfants. Se décole très facilement et se colle très bien.</t>
  </si>
  <si>
    <t>Confortables Jolies et confortables, elles se mettraient plutôt avec des chaussures de ville. Elles sont très bien car pas trop fines. Je les ai passées plusieurs fois au sèche linge sans problèmes malgré le fait que ça ne soit pas recommandé.</t>
  </si>
  <si>
    <t>Top Parfait sent excellemment bon rien à dire vraiment content de mon produit et livraison rapide que demander de plus et à petit prix surtt</t>
  </si>
  <si>
    <t>Très bien Les feutres s'effacent bien avec un chiffon humide sur surface non poreuse (étiquette ardoise).</t>
  </si>
  <si>
    <t>Pas mal, mais de marque redmi et non xiaomi Plutôt agréable pour le prix, son de bonne qualité mais micro pas idéal pour les appels et quelques coupures de liaisons Par contre ce ne sont pas les mi de xiaomi mais bien la sous marque redmi</t>
  </si>
  <si>
    <t>Déçue Je m’attendais à mieux en lisant les différents commentaires ... pas suffisamment de texte à mon goût, mon fils. 11 ans, l’a lu en 10 mn... vu le prix - pas négligeable tout de même - je m’attendais à mieux...</t>
  </si>
  <si>
    <t>ne marche déjà plus/son beaucoup trop fort après 2 mois d'utilisation (normale et sans chute) l'heure ne s'affiche plus et le réveil ne fonctionne plus... ça reste une enceinte qui s'allume... au passage, le niveau sonore du réveil était insupportable (un mal pour un bien donc!) enfin notice pas claire et réglages peu intuitifs je déconseille</t>
  </si>
  <si>
    <t>Bien Le descriptif annonçait. Une combinaison  alors que c est un ensemble. Peut être la traduction! Néanmoins contente de cet achat prête à repasser une commande</t>
  </si>
  <si>
    <t>le cable n'a tenu qu'une soirée et il était deja cassé. Micro de bonne qualité mais cable vraiment pas bon.</t>
  </si>
  <si>
    <t>Fait le job Ras</t>
  </si>
  <si>
    <t>Converse rouge La couleur est belle, la chaussure est une converse donc le confort ,et la légèreté reste ceux des converses. Je les recommande .</t>
  </si>
  <si>
    <t>Très joli bracelet C'est un cadeau de Noel... A voir donc plus tard</t>
  </si>
  <si>
    <t>Bon produit pour le prix Pas de problème à voir dans le temps</t>
  </si>
  <si>
    <t>Parfait Bien chaud, bien taillé. 1,73 m taille M, parfait ! Je recommande</t>
  </si>
  <si>
    <t>Parfait et efficace Satisfait</t>
  </si>
  <si>
    <t>Très bien mais Très bien. J'avais des problèmes avec le micro à condensateur et cherchait un amplificateur. Très facile à brancher, aucun problème de parasite. Seul problème : le transformateur chauffe, indiquant que le produit demande pas mal d'électricité.</t>
  </si>
  <si>
    <t>Chaussettes de bonne qualité Chaussettes de bonne qualité et confortable. Taille comme il faut, pas très haute. Tout ça pour un prix plus que correct.</t>
  </si>
  <si>
    <t>Bon produit utilisation principalement pour eau chaude à différentes température Répond parfaitement à notre attente</t>
  </si>
  <si>
    <t>Bon sweat Reçu très rapidement, conforme à la photo,pull assez fin ,commander en taille M convient pile poil</t>
  </si>
  <si>
    <t>TB prix qualite T B</t>
  </si>
  <si>
    <t>Contente Très jolie meilleure qualité que j’espérais! J’aime beaucoup!</t>
  </si>
  <si>
    <t>Robe sweat bordeaux Trop sympa et chaude, pour rester à la maison ou pour les sorties.avec des bottes ou des baskets, effet chic ou effet cool. C'est une robe sweat à capuche qui passe partout. Je l'aime beaucoup. La couleur bordeaux est parfaite. La taille est juste ce qu'il me fallait. Je suis contente de mon achat.</t>
  </si>
  <si>
    <t>Ff Cf</t>
  </si>
  <si>
    <t>joli bague Commande reçu avec un peu d'avance bague réglable en argent, elle est fine et très joli. je recommande cette bague</t>
  </si>
  <si>
    <t>Très beau Nickel</t>
  </si>
  <si>
    <t>Seiko SNG15K1 Montre reçue en moins de deux semaines. Aucun problème. Paraît plus petite sur la photo. Un bémol, le bracelet fait un peu cheap au regard de la qualité globale.</t>
  </si>
  <si>
    <t>Huiles essentielles J'ai testé mes huiles qui ont toutes une très bonne odeur. Chacune a sa particularité: ajouter quelques gouttes dans vos huiles de massages,sur vos mouchoirs,dans vos chaussures,vos crèmes...elles vous procurent bien etre,detente,anti-stress...les flacons sont bien remplie,très bon rapport qualité prix,économique.je vous recommande ces huiles essentielles</t>
  </si>
  <si>
    <t>Trop agréable Ce coussin chauffant est très agréable. Reçu juste à temps pour un week-end de 3 jours au chaud... Je suis ravie de mon achat et mon mari aussi, bataille assurée. Très simple à utiliser, en plus il est lavable. La sécurité qui l'éteins tout seul est très appréciable en cas d'oubli</t>
  </si>
  <si>
    <t>Certificat ? boite ? je ne sais pas si je vais garder, pas de certificat, un simple sachet plastique, est-ce un vrai ? je veux bien faire confiance à Amazon, mais je me demande si je vais pas aller voir en bijouterie</t>
  </si>
  <si>
    <t>Crocs Fan de cette marque, j’achete en toutes les couleurs pour toute la famille. C’est la première fois que je suis déçue de cette marque: laissée sur la terrasse cette été, elles ont rétréci considérablement a ne plus pouvoir les mettre! Je précise que c’est les seules à rétrécir, les autres paires n’ont pas bougé. Inexplicable car chaussures d’exterieur</t>
  </si>
  <si>
    <t>A éviter Déception cousus à l envers bien le chinois pas cher mais pour le reste on repassera</t>
  </si>
  <si>
    <t>Trop petit La fiche descriptive n'était pas suffisamment détaillée quant à la taille du produit. Dommage. Autrement les poches sont suffisamment fonctionnelles.</t>
  </si>
  <si>
    <t>top Très bon livre lu aussi a lecole</t>
  </si>
  <si>
    <t>Très bien vu le prix Très agréable, on peu mettre avec ou sans chaleur, par contre pour le dos si on veut s'appuyer contre le massage peut être un peu fort: avec une serviette entre le dos et l’appareille c'est mieux. Seul bémols: quand on le met dans le dos, le câble à tendance à se débrancher facilement. vu le prix je recommande</t>
  </si>
  <si>
    <t>Bon produit Très joli. Tien ces promesses</t>
  </si>
  <si>
    <t>Très bon compromis prix/performance De très bonnes finitions, un look sympa et un son plus qu'honorable au vue du prix. Attention tout de fois, la télécommande sur le fil ne permet pas de régler le volume mais juste les fonctions pause/play et prendre un appel. Je recommande pour les jeunes et/ou pour un usage de tous les jours (bus, train, métro...). Audiophiles exigeants passaient votre chemin ;)</t>
  </si>
  <si>
    <t>Nickel Très bien</t>
  </si>
  <si>
    <t>Parfait Chic</t>
  </si>
  <si>
    <t>Très faciles à utiliser On ne fait pas plus simple. Pour allumer les écouteurs, il suffit de les retirer du boitier de charge. Attendre 5 sec que l'un des anneaux lumineux clignote rapidement pour confirmer que les écouteurs sont appairés. Ouvrir le Bluetooth du smartphone et connecter l'appareil Hi-TWS L. Cette connexion se rétablira à chaque nouvelle connexion. Il est aussi possible de connecter un seul écouteur. L ou R. Tout cela est très bien expliqué dans le mode d'emploi en Français. Pour éteindre on replace les écouteurs dans le boitier de charge, ils s'éteignent automatiquement et la charge démarre. La capacité restante dans le boitier de charge est indiquée par un système à 4 LED bleues. Le boitier de charge est solide, pratique et peu encombrant. On peut faciler le mettre en poche ou l'attacher à la ceinture. Contrairement à d'autres modèles les écouteurs ne comportent pas de boutons mais des parties tactiles ce qui évite de se faire mal aux oreilles en appuyant sur des boutons. Par l'utilisation de ces parties tactiles sur l'un ou l'autre écouteur, il est possible de règler le volume, changer de chanson, décrocher etc... Les écouteurs tiennent bien dans les oreilles pendant le sport. Il faut utiliser un des quatre jeux de coussinet fournis pour les adapter à votre morphomogie. Le son n'est pas mauvais, les aigues sont claires et la stéréo est parfaite mais par rapport à mon casque Bluetooth (beucoup trop volumineux pour être transporté) je trouve que cela manque de basses. On ne peut pas tout avoir.</t>
  </si>
  <si>
    <t>Top ! Diffuseur au top , fonctionne très bien et diffuse dans toute la maison avec changement de couleurs . Discret et efficace</t>
  </si>
  <si>
    <t>👍 Très belles</t>
  </si>
  <si>
    <t>Ok Ok</t>
  </si>
  <si>
    <t>Génial Génial</t>
  </si>
  <si>
    <t>Produit Satifaisant Je voulais tenter l'expérience du sans fil et c'est chose faite ! Bonne autonomie, et bon son le produit est satisfaisant je recommande!</t>
  </si>
  <si>
    <t>Très bonne qualité. Vraiment ravie de cet achat. Les articles sont de très bonnes qualités et se maintiennent parfaitement bien.  Je suis très satisfaite.</t>
  </si>
  <si>
    <t>Très bien Les avions sont très bien faits. De bonnes finitions. Mon fils arrive à les faire voler jusqu’à 15 secondes à la suite Max</t>
  </si>
  <si>
    <t>parfaites très bon produit . livraison et suivi au top</t>
  </si>
  <si>
    <t>Top Je recommande Très élégant. Magnifique top</t>
  </si>
  <si>
    <t>Des écouteurs de très bonne qualité. Je recommande vivement ces écouteurs bluetooth. Leur autonomie est très élevée, ils tiennent largement la journée. Côté son ils sont très propres pour écouter de la musique, regarder des films ou des vidéos. Ils accrochent très bien aux oreilles.</t>
  </si>
  <si>
    <t>Plus que parfait Une belle qualité (assez épais pour ne pas être transparent une fois enfilé) un toucher doux et chaud à l'intérieur... Plus que satisfaite de la qualité... La poche profonde sur le côté permet de glisser un smartphone pour un sport en musique !!!!</t>
  </si>
  <si>
    <t>Très beau bijoux pour un prix raisonnable! Pendentif discret et pourtant pleins de couleur. Ce produit est totalement magnifique de très bon qualité prix je le conseille fortement mon amie était très heureuse de l'avoir.</t>
  </si>
  <si>
    <t>superbe bon produit je conseille</t>
  </si>
  <si>
    <t>Pas pratique Je n'ai pas du tout l'habitude d'utiliser de tapis de souris avec repose poignet. Cependant, je trouve celui ci franchement pas pratique. 1) Comme évoqué dans un autre commentaire, il n'est pas plat, il s'est/est déformé, les bords remontent. 2) Le repose poignet est trop épais, pour ne pas se casser le poignet, il faut légèrement soulever l'avant bras en permanence, c'est très désagréable. Après, comme dit précédemment, je ne suis pas habitué aux tapis de souris avec repose poignet. 3) Il est trop petit, en ayant le poignet sur le repose poignet, la souris dépasse à l'avant du tapis.  D'un autre côté, l'anti dérapant tient bien et le tissu qui recouvre le tapis n'est pas désagréable.</t>
  </si>
  <si>
    <t>Qualité plus que médiocre Après quelques semaines, la semelle a commencé à se décoller et aujourd'hui, alors que je n'ai pas dû les porter plus de 20 fois au total, sans beaucoup marcher, la semelle est totalement détachée à l'avant du pied droit, ce qui fait que j'ai les orteils à l'air ! Par ailleurs, le renfort du talon part en morceau, que je retrouve dans la chaussure régulièrement. Je n'avais jamais acheté de Converse et je ne suis pas prêt de recommencer ! Même à 45€ on trouve des chaussures de bien meilleure qualité.</t>
  </si>
  <si>
    <t>Nul Franchement j'ai reçu l'article ça correspond pas du tout à l'image et la taille ne correspond pas. Je le trouve moche.</t>
  </si>
  <si>
    <t>Bien mais... Serait plus pratique avec plus d’épaisseur selon la couleur sous vêtements visible</t>
  </si>
  <si>
    <t>Un bonheur Acheté pour remplacer un ancien réveil lumière Philips qui m'avait déjà convaincu il y a 10 ans, je suis fort satisfait de cet appareil qui continue à me réveiller en douceur. Au chapitre des regrets, j'épinglerais : - les boutons, discrets mais peu identifiables dans le noir. J'ai dû les repérer par des gommettes en relief - l'impossibilité de configurer l'alarme pour certains jours de la semaine. - l'affichage de l'heure qui ne varie pas en fonction de la luminosité ambiante, ce qui le rend soit trop fort de nuit, ou illisible en pleine journée.</t>
  </si>
  <si>
    <t>À vérifier et tester suivant le lait Un peu étroit pour le lait épaissi de mon fils mais conviendra parfaitement lorsqu'il faudra repasser sur du lait classique</t>
  </si>
  <si>
    <t>bon produit J’adore les DOC alors oui j'en suis satisfaite!!!  Il devrais y avoir plus de produit comme celui ci soldé dans l'année !!!!!</t>
  </si>
  <si>
    <t>Joli produit Joli produit mais taille légèrement petit tout de même. Je ferai avec.</t>
  </si>
  <si>
    <t>Très satisfait de mon achat Montre magnifique et vraiment pas cher. J'ai mis environ 3 semaines à la recevoir par contre mais ce n'est pas grave.</t>
  </si>
  <si>
    <t>Bottes de plaisanciers. Un mythe, une légende.   Elles en ont fait des tours de monde en solidaire ou en équipage. Présent sur tous les pontons du monde, de la Trinité à Dinard, elles terminent au café du bord à refaire les bords ,un pull négligement jeté sur les épaules.  La boite à chaussure fleur bon les embruns et le goémons et invite à une partie de pèche à pied, à la chasse aux étrilles.  Rien à voir avec de vulgaires bottes vertes avec ses gros crampons, non, ici c'est l'aristocratie de la botte ou tout se fait dans le feutré, le calme, entre gens de bonne éducations, sans cris ni bruits de fusils.</t>
  </si>
  <si>
    <t>Presque l'idéal ! Sensible, peu encombrant, économique, bien équipé d'origine ... sûrement un des meilleurs choix sinon le meilleur pour un DSLR, bridge ou camescope disposant d'une entrée micro en mini-jack 3,5 mm. Alimentation plug-in-power obligatoire, attention donc s'assurer auparavant que votre matériel la fournit. Attention à bien plaquer la bonnette à poils contre la lyre de suspension  (Rycote S.V.P. !), elle est imperdable mais si on ne prend pas cette précaution, elle risque ne pas couvrir les ouïes latérales de la tête micro. La suspension possède un filetage au pas de 3/8" ce qui permet de l'utiliser sur toutes les perches, toutefois avec quelques limites car pas d'articulation.</t>
  </si>
  <si>
    <t>Montre parfaite à mon goût Après deux ans d'utilisation, cette montre paraît aussi neuve qu'au premier jour. Esthétique remarquable, qualité des matériaux sans reproche. (Un souhait d'amélioration, que le dateur journalier tienne compte des mois à 30 et 31 jours)</t>
  </si>
  <si>
    <t>Top Modele plus adapté que mon ancienne g shock Awg m100b 1aer. Elle a une meilleur visibilité. De plus l'éclairage est bien au dessus. Cette montre est l'argement comparable avec les g steel pour beaucoup moins chere.</t>
  </si>
  <si>
    <t>Confort Pointure et confort Parfaite !</t>
  </si>
  <si>
    <t>Très bien pour le Tascam DR-05 J'ai hésité entre la version prévu pour le Tascam DR-05, mais en lisant les commentaires sur la difficulté à enfiler, j'ai préféré prendre la taille supérieure. Passe très bien avec un Tascam DR-05, pas de difficulté à enfiler et tien relativement bien.</t>
  </si>
  <si>
    <t>Super huile J'en ai acheté des flacons de cette huile pendant ma grossesse !! J'ai commencé à m'en mettre dès le 2ème mois, parano des vergetures que j'étais... Même si à priori aucune huile ne peut à priori empêcher d'en avoir chez certaines femmes, je pense que cela aide bien à assouplir la peau et cela ne peut donc que faire du bien. En tout cas pour ma part, je n'ai pas eu une seule vergeture. Je continue à m'en mettre de temps en temps car je la trouve très agréable.</t>
  </si>
  <si>
    <t>Superbe qualité Ce film alimentaire, c'est la qualité ultime : le film qui se fixe au récipient à couvrir et qui reste coller !! Lorsqu'on utilise du film alimentaire en restauration, on remarque assez bien la différence avec ceux vendus en grande distribution et même des marques les plus connues.  Je retrouve ici un film alimentaire de réelle qualité qui colle très bien aux plats et autres et c'est que je recherchais pour chez moi. La réglette ZIP est avantageuse, la découpe est très rapide et cela se passe sans s'énerver dessus.  Et vous en avez pour un moment! Le 1er rouleau a fait octobre 2014 à septembre 2016, le 2ème de septembre 2016 à novembre 2018! Nous en sommes donc au 3ème actuellement et je ne changerais pas de marque.</t>
  </si>
  <si>
    <t>Montre Très bien reçu</t>
  </si>
  <si>
    <t>CONFORME RAS</t>
  </si>
  <si>
    <t>Casio la référence des montres numériques Montre solide simple et précise</t>
  </si>
  <si>
    <t>Belke Pour un mariage</t>
  </si>
  <si>
    <t>Très joli bracelet pour femme Bracelet magnifique d'une finesse très élégante pour le prix je recommande vivement.... À réserver surtout pour les femmes relativement fines car niveau diamètre un peu petit pour les personnes un peu forte, je n'aurai jamais pu le porter si c'était pour moi</t>
  </si>
  <si>
    <t>jolie bouilloire esthetique et efficace J'avais besoin d'une bouilloire jolie pour préparer mon thé. Sa contenance de 1.8 L est idéale pour servir plusieurs personnes en un coup.  Elle est belle design , efficace et rapide. Elle chauffe entre 40 et 100 °C .Le contrôle de la température est visible sur un écran LCD. Elle a une option maintien au chaud en verre avec une jolie lumière LED bleue.  Article de qualité, en plus elle est bien silencieuse.  J’espère qu’elle me servira longtemps, à voir dans le temps.</t>
  </si>
  <si>
    <t>Nul Papier de mauvaise qualité par rapport à ceux que j ai l habitude d utiliser.  Soit je peine à l allumer et il s éteint constamment soit il brûle en totalité d un coup et ne produit aucune odeur</t>
  </si>
  <si>
    <t>article défectueux Mon ordinateur me dit que la cartouche est bien installée et dès que je lance une impression il commence à imprimer et à la moitié de la feuille , l'impression s'arrête et il met "Retirez et réinstallez la cartouche indiquée, en vous assurant qu'elle est bien installée." J'ai répété l'opération sans succès. Du coup, j'en ai acheté une autre et maintenant ça fonctionne. Donc déçue d'avoir perdu de l'argent et de jeter une cartouche neuve. Savez-vous s'il est possible de se la faire rembourser via Amazon ou HP ? Cordialement</t>
  </si>
  <si>
    <t>Sacs j'en ai recommandé ils sont solides les attaches fermeture aussi parfait pour ma poubelle de cuisine bons sacs poubelles je recommande</t>
  </si>
  <si>
    <t>Trop grand et pas d echange Basket étant trop grande échange impossible. Donc je me les ai jamais mise. Sinon belle aspect.</t>
  </si>
  <si>
    <t>PAS MAL DU TOUT Commandé avec appréhension, mais satisfaction à l'arrivée : ce sac n'est pas mal du tout. Assez grand comme je le voulais, beau, se tient bien ... Le compartiment central ferme avec une fermeture, les deux latéraux avec une pression aimantée. J'enlève une étoile pour la doublure intérieure plutôt cheap, qui fait un bruit de papier froissé, mais cela ne se voit pas et dans l'ensemble je suis plutôt contente</t>
  </si>
  <si>
    <t>Vendeur de confiance et très accessible Taille plus petit que le tableau mais compromis commercial avec le vendeur.</t>
  </si>
  <si>
    <t>Le naturel, c’est essentiel Une belle peau raffermie après l’argile</t>
  </si>
  <si>
    <t>Parfait Super feutres optimales pour des réalisations amusantes en famille. Jeu très ludique et parfaitement adapté à la jeunesse. Super activité</t>
  </si>
  <si>
    <t>Microphone En usage depuis 1 an fonctionne parfaitement</t>
  </si>
  <si>
    <t>Toujours aussi bien C'est ma troisieme paire - Gros usage duree moyenne 6 ans - confort - Goretex et Vibram pour les genoux</t>
  </si>
  <si>
    <t>Très satisfaite Très jolie collier en argent</t>
  </si>
  <si>
    <t>Parfaite ! très pratique le variateur sur le côté. Pas vérifié la "vraie" température. Bel objet qualitatif. La "passoire" est amovible et peut reposer dans un réceptacle dont le fond est en silicone très facile à nettoyer. Je conseille.</t>
  </si>
  <si>
    <t>Je ne peux plus m'en passer J'adore. Très confortable. Vraiment esthétique. Et super efficace. Je recommande à 100%</t>
  </si>
  <si>
    <t>Sac Très content de ma sacoche je peut le recommander à tout le monde</t>
  </si>
  <si>
    <t>Taille grand Grand</t>
  </si>
  <si>
    <t>Chaussures sport J'en avais déjà une paire depuis des années. Très confortables, tiennent bien la cheville. Les scratchs sont super. Pratiquement inusables....</t>
  </si>
  <si>
    <t>Parfait pour se détendre ou relâcher les muscles tendus !!! Sujet aux migraines, je compte sur le coussin de tête pour y remédier en partie. Je suis déjà adepte du tapis pour le dos et son effet est agréable et utile bien que tout sauf un remède miracle bien entendu. Le tapis apparait comme étant résistant, assez facilement transportable.</t>
  </si>
  <si>
    <t>À bon entendeur... Bonjour, j'ai sur les oreilles ce qui se fait de mieux, du moins en ce qui me concerne, dans le domaine de la restitution sonore, pour moi ce Casque déchire grave, c'est au-delà de tout ce que je pouvais espérer, en ce moment j'écoute Pink Floy, j'ai l'impression de les entendre pour la première fois, comment j'ai pu m'en passer jusqu'à maintenant, c'est tout simplement incroyable. Parlons du confort, il enveloppe parfaitement les oreilles, et les "coussins" sont en mousse à mémoire de forme, aucun son ne peut ni entrer ni sortir, c'est vraiment un super casque, je ne vous donnerais aucune info technique, tout ce que je peux vous dire c'est qu'il est puissant et j'ai vraiment du bol, il est pil poil à ma taille, je n'ai aucun réglage à faire et ça c'est plutôt cool, j'adore la couleur il est vraiment tel que je l'ai vu sur les photos de présentation c'est d'ailleurs ça qui m'a attiré, ensuite j'ai consulté quelques commentaires, en général, j'en regarde 4 ou 5, ils étaient tous favorables, je suis plus que satisfait par cette acquisition, en plus il est livré dans une très jolie boîte de couleur noir très mat dans laquelle ce trouve une petite sacoche en simili cuir à l'intérieur de laquelle se trouve le cowin SE7, un câble de charge usb, un câble jack +un adaptateur, y a aussi un petit adaptateur pour le brancher dans un avion, c'est ce que j'ai entendu en visionnant une vidéo, et ce que j'apprécie vraiment beaucoup c'est une notice en bon français, je suis sur que je m'en serais passé mais c'est rassurant, je pense avoir fait le tour de la question, il est aussi accompagné d'une garantie de 18 mois, j'en ai fini avec les câble qui s'accroche tout le temps et partout, plus d'une fois j'ai bien cru m'arracher les oreilles, je viens d'entrer dans une autre dimension, le vrai teste c'est pour demain, mais je sais déjà ce qui m'attend. Aujourd'hui je sais pourquoi j'ai longtemps hésité avant de passer au Bluetooth, ce matin encore je ne connaissais pas la marque cowin et pourtant... J'ai l' impression que ce Casque a été spécialement conçu pour moi ! Hier j'écoutais de la musique et aujourd'hui je l'entend ! Son prix peut sembler élevé mais je vous garantis qu'on en a pour son argent ! C'est donc avec plaisir que je vous recommande ce Casque Bluetooth cowin SE7 !</t>
  </si>
  <si>
    <t>Élégante Idéal  avec un jean.Elles sont un.peu brillantes  et surtout élégantes.</t>
  </si>
  <si>
    <t>Conforme a la description et surtout a une très bonne qualités se son Ce casque a une très bonne qualité se son et très facile a utiliser. Je le recommande on peut regarder des films sans mettre trop fort le son du téléviseur  ce qui fessait de l 'écho avant Très utile quand on a un certain age, depuis que jais ce casque  chacun règle le volume a son gout</t>
  </si>
  <si>
    <t>Adoucissant Très satisfait merci</t>
  </si>
  <si>
    <t>Envoi rapide et conformité du produit Bon prix</t>
  </si>
  <si>
    <t>Pas terrible Certains boutons ne fonctionnent pas vraiment, qualite mediocre</t>
  </si>
  <si>
    <t>très décevant Tout d'abord le câble est double et a tendance à s'entortiller ... Ensuite la puissance de restitution du casque est vraiment pas bonne. La source doit être à fond + la molette à fond pour entendre "normalement".  Je déconseille vivement !</t>
  </si>
  <si>
    <t>Ne fonctionne plus au bout d'une semaine. Ne fonctionne plus au bout d'une semaine. Modèle de poche intéressant mais ce produit n'est pas fiable. Dommage</t>
  </si>
  <si>
    <t>crayon de couleur castle art Ces crayons présentent l 'avantage d avoir une palette de couleurs très diversifiée ,ce qui manque a certaines marques. Travaillant avec beaucoup de marque de crayon de couleur différentes je dirai qu' il sont de qualité plutôt bonne mais rien avoir avec les marques haut de gamme .   L 'ensemble boite et crayon est jolie et sobre .</t>
  </si>
  <si>
    <t>graduations illisibles les graduations de volume sont mal placées.  Je tiens la bouilloire dans la main gauchche. Dans cette position les niveaux sont illisibles.  La petite grille du verseur est impossible à fixer...si on n'est pas spécialiste des  jeux de légo...Pourquoi faire compliqué?</t>
  </si>
  <si>
    <t>Bonne qualité De bonne qualité la semelle est solide taille 39 un peu grand mais avec une semelle sa devrait pas poser de problème</t>
  </si>
  <si>
    <t>Satisfaite Design dodu et sympathique Chauffage eau rapide il y a longtemps que je recherchais un modèle capacité inférieure à 1l</t>
  </si>
  <si>
    <t>Montre gousset Vu le prix, c'est très sympa</t>
  </si>
  <si>
    <t>Super doux ! J’ai utilisé cette bouillotte pour soulager mes douleurs de bas ventre ressentis après l’accouchement au cours de l’allaitement. La bouillotte est très grande et large donc la chaleur se diffuse sur une grande surface, le toucher est très soyeux, doux et apaisant. En revanche très forte odeur de latex qui persiste.</t>
  </si>
  <si>
    <t>Très bien De bonne qualité, pas de problème</t>
  </si>
  <si>
    <t>Bonne basket !! Très contente de mes baskets Vans ,je pense acheté les mêmes à mon fils mais avec Mario sur les côtés !!</t>
  </si>
  <si>
    <t>tres bien je lai achete car je suis arriere grand mere et tout les achats actuel c pour noel elle  a 2 ans</t>
  </si>
  <si>
    <t>Very good. Attention c’est chaud. Ça chauffe fort, ça chauffe vite, c’est fiable et même pas moche. Je vous souhaite un bon thé.</t>
  </si>
  <si>
    <t>Produit livré très rapidement Envoi rapide et soigné, je recommande.</t>
  </si>
  <si>
    <t>bien pratique Cette petite pochette est bien pratique. elle plait beaucoup à mon copain qui peut y mettre un portefeuille plutôt grand, son téléphone portable et ses clés très facilement. C'est parfait pour les rando pour alléger les poches du pantalon. Les fermetures fonctionnent bien . les poches sont rembourrées ce qui est une sécurité supplémentaire contre les coups ou la pluie. Les bandoulières sont fonctionnelles et assez sures (bon je n'aime pas la bandoulière sac banane mais chacun ses goûts) . En tout cas ce petite sac est bien pratique .. il est peut être petit mais permet de n'avoir que l'essentiel. en plus sa couleur noir renforce une certaine discrétion</t>
  </si>
  <si>
    <t>Conforme a ce qui est indiqué Conforme a ce qui est indiqué</t>
  </si>
  <si>
    <t>Converses grises Super livraison rapide soignée et parfaite mes chaussures sont au top et à la taille qu'il faut ! Tout Ca à un prix correct</t>
  </si>
  <si>
    <t>Excellent produit Excellent produit. L'isolation est très bonne et la bouteille pleine garde une boisson très chaude plus de 4 heures, contrairement à beaucoup de thermos bon marché. Je n'ai pas remarqué de difficulté particulière avec l'ouverture ou la fermeture du capuchon à visser.</t>
  </si>
  <si>
    <t>Parfait pour le sport Écouteur parfait pour le sport et très confortable</t>
  </si>
  <si>
    <t>Impeccable Génial rien a dire</t>
  </si>
  <si>
    <t>cartouche les cartouches canon sont de bonnes qualite. je les prends tout le temps sur ce site. envoi rapide</t>
  </si>
  <si>
    <t>Très beau bijou Très beau produit, livré dans une boîte très chic et qui est lui-même très chic. Les reflets sont magnifiques et il est tout discret et cependant on ne voit que lui. Ma mère en est ravie.</t>
  </si>
  <si>
    <t>Envoi très rapide, merci Envoi très rapide, merci</t>
  </si>
  <si>
    <t>Rapide Conforme à la description faite du vendeur.Je recommande.</t>
  </si>
  <si>
    <t>Tient très bien la tête Le casque est top ! J'aime vraiment beaucoup la réduction du bruit, surtout dehors c'est impressionnant! Le son est très très bon, et ne perd pas en qualité même en montant très haut. Le casque en lui même est super confortable, à en oublier qu'on le porte!</t>
  </si>
  <si>
    <t>Très decu Semelle vite usée et cuir vite fendu. Beaucoup trop cher pour une qualité devenue si médiocre. L'entreprise s'assoit sur sa marque qui ne vaut plus rien.</t>
  </si>
  <si>
    <t>déçu Livraison et taille: aucun problème. Mais... J'ai acheté longtemps des bottines Lévi's avant d'essayer d'autres marques. J'ai voulu réessayer Lévi's. Grosse déception, ce seront mes dernières.  L'aspect des chaussures est conforme mais grosse déception quant à la qualité. Une semelle très "plastique", des fausses-coutures, un intérieur qui m'a fait mal et provoqué des ampoules dès la première utilisation, surtout au niveau du talon. Pour un prix [d'origine] de 140 euros, il vaut mieux rajouter 50 euros et avoir un cuir &amp;amp; une finition / qualité tip-top par exemple chez h by-Hudson (j'utilise une paire de cette marque depuis 5 ans...)  plutôt que de dépenser entre 100 et 140 euros dans des bottines qui n'en valent pas plus de 70.</t>
  </si>
  <si>
    <t>A fuir ! A fuir! Reçue début juillet ... début août la chaîne est noire !!! Il ne s’agit pas d’argent 925 sterling !!! Du plaqué argent tout au plus et encore ! Très déçue !</t>
  </si>
  <si>
    <t>Bon produit J'utilise l'oreillette tout les jours pour mon travail, l'autonomie est excellente et le son est bon, par contre elle me fait très mal à l'oreille, la sortie est trop large.</t>
  </si>
  <si>
    <t>kdo môman Difficile de choisir une paire de chaussure quand ce n'est pas pour soi. Et pourtant, je l'ai fait ..... à une demi taille près. Petite semelle à rajouter et le tour est joué. A moins, pour mon prochain achat New Balance, je connais la pointure. Tres belle couleur</t>
  </si>
  <si>
    <t>Rode SC4 Parfait pour la prise de son sur un Samsung A5 à partir d'un micro ou bien connecté à une table de mixage sur une sortie out. Petit bémol, le câble est un peu fin d'où une fragilité apparente. C'est exclusivement pour cette raison que je ne mets que quatre étoiles. Livraison très rapide et emballage correct.</t>
  </si>
  <si>
    <t>Pratiques Parfaites</t>
  </si>
  <si>
    <t>Très Bien pour ceux qui aiment les massages énergiques Ayant des problemes de cervicales j' ai décidé d'acheter ce masseur. Il est dur et fait assez mal. Je ne l'utilise pas souvent car trop dur pour moi. Pour les personnes aimant les massages énergiques cet appareil est parfait.</t>
  </si>
  <si>
    <t>Légèrement différent La matière et l'élasticité sont légèrement différents de l'ancien bracelet de ma Vector. Du coup, la boucle se libère plus facilement. Sinon, la qualité des matériaux est tout à fait comparable et les vis sont bien founis.</t>
  </si>
  <si>
    <t>Très bien Conforme à la description. Bon rapport qualité prix</t>
  </si>
  <si>
    <t>Avis Super confortable</t>
  </si>
  <si>
    <t>ok jolie montre bien lisible pour un homme agé,mais le bracelet est dur au départ , trop rigide enfin le cadeau a fait plaisir</t>
  </si>
  <si>
    <t>Très bonne qualité Je n'ai à ce jour aucun problème avec l'objet, bien au contraire, il rempli sa mission parfaitement et le rapport qualité prix est bon.</t>
  </si>
  <si>
    <t>Super 👍 Super produits, pratique</t>
  </si>
  <si>
    <t>parfait Rien a redire</t>
  </si>
  <si>
    <t>Nikel Rien à dire impeccable</t>
  </si>
  <si>
    <t>Baskets black Hammer Pour mon travail en pharmacologie super produits je suis vraiment content de mon achat</t>
  </si>
  <si>
    <t>Parfait Légères confortables parfaites</t>
  </si>
  <si>
    <t>A acheter Magnifique comme sur la photo n'esitez pas. Il est brillant bijoux au milieux très beau discret un peu petit à mon goût</t>
  </si>
  <si>
    <t>Montre pas cher Tres belle montre, rien à dire qualité prix</t>
  </si>
  <si>
    <t>Beau petit pull Super pull Ne pas attendre la qualité la plus Folle pour les motifs mais très bien compte tenu de son prix.</t>
  </si>
  <si>
    <t>super sent très bon !! je conseille c'est frais!!</t>
  </si>
  <si>
    <t>Parfait Tout a fait parfait pour protéger ma carte grise, très rigide et de bonne facture. Rien a redire sur ce produit =)</t>
  </si>
  <si>
    <t>paire de chaussures tout-terrains, parfaite pour les loisirs en exterieur voici en substance les retours que ma compagne a formulé concernant ces Columbia Redmond V2 Mid WP, Chaussures de Randonnée Hautes Femme, Noir, Black Ch, 40 EU: ce sont des chaussures confortables, avec un bon amorti, que ce soit sur terrain plat ou rocailleux. pour aller sur les rochers, elles sont résistantes. la matière est respirante sans que l'on ait pour autant les pieds mouillés. le design est assez féminin pour de grosses chaussures de randonnée. bref, elle en est satisfaite.</t>
  </si>
  <si>
    <t>Short J'ai pas reçu la pochette de transport qui devrait normalement être dans la boîte sinon après 1ère séance de 3x20 min consécutive j'ai ressenti des petite douleur musculaire le lendemain donc pour le moment je suis pas en mesure de vous dire ce que vaut le short</t>
  </si>
  <si>
    <t>Doit etre bien pour le S voir M pas plus Acheter en XL 42 La taille haute nest pas le cas meme si je veux le remonter il redescend aussitot vu que la matiere est lisse et elastique Un peu decus mais bon jen avais besoin je le garde. Doit etre top pour celle qui mettent du S voir M pour le niveau taille haute sinon laissez tomber</t>
  </si>
  <si>
    <t>Mitigé Je ne pense pas que ca est un réel effet que les coliques...</t>
  </si>
  <si>
    <t>Trop grand Modèle taille grand et si comme moi poitrine généreuse attention car coque dans soutien gorge</t>
  </si>
  <si>
    <t>Fonctionne bien Globalement pas mal, en tout cas ma femme en est ravi. Attention pas adapté pour les voyage au vu de la taille, le format n'est pas compact mais on le savait.  Les plus:  - Efficace  - Embout très doux et facile à laver  - Les différents programmes  - La tête qui pivote légèrement pour s'adapter  Les moins:  - Un poil bruyant en fonctionnement "normal"  - Très bruyant en fonctionnement "maximal"  - La connectique au niveau du chargeur qui fait un peu "cheap" à voir ce que ça donne dans le temps  - La house de rangement de qualité très moyenne (poubelle en ce qui me concerne)  - Pas de chargeur secteur, uniquement le câble USB</t>
  </si>
  <si>
    <t>Le casque de Sauron Je suis plutôt fan du "son Bose", qui se veut un son plutôt "réaliste" et non ultra typé. J'ai adoré ce casque ! Déjà par son format : il est tout petit, et une fois plier intelligemment dans son étui il se glisse partout de façon protégée. Il est très léger et du coup il n'entraine aucune fatigue. L'appairage est ultra simple et surtout il se fait avec plusieurs appareils. En effet, appairé avec un smartphone Android, un iPhone, un Mac, ... dès que l'un des appareils émet un son, il bascule sur le casque. C'est assez magique. Bon de temps en temps il faut "forcer" la connexion, mais c'est plutôt rare, et surtout lors d'un appel sur un téléphone alors que j'écoutais de la musique depuis un autre appareil, je n'ai jamais manqué un appel. La connexion s'est toujours faite. D'où le titre de mon commentaire : "le casque de Sauron" en référence à l'anneau de Sauron du Seigneur des Anneaux et au fait que ce casque permet de réunir tous mes appareils bluetooth ! C'est super appréciable. Un point positif complémentaire : c'est un des rares casques où mes interlocuteurs, durant un appel téléphonie, me disent qu'ils m'entendent très très bien. Et pourtant j'en ai essayé des casques bluetooth !  Alors pourquoi retirer une étoile ? Par rapport à la qualité. Certes là le casque est tout joli tout beau, mais cela ne durera certainement pas. Par exemple mon premier Quiet Confort, acheté aux US, s'est brisé à la 5ème utilisation (casque à 400€ à l'époque) à cause d'un plastique trop fragile. Mais cela date ... le pire c'est le prédécesseur de ce caque que j'ai eu il y a 2 ans (maxi) et dont les cousins finissent pas se disloquer avec le temps.  C'est vraiment dommage que ces casques ne tiennent pas la distance, car le son est vraiment très bon, ce modèle est une perfection en déplacement urbain par sa légèreté, l'usage en communication est exceptionnel (dixit mes interlocuteurs) et l'appairage à de multiples appareils permet une utilisation vraiment ultra confortable.</t>
  </si>
  <si>
    <t>Puma Bon produit , la photo correspond bien au produit ! Les coutures sont propre , la pointure et adapter comme prévue ! Idéal pour la plage comme la piscine !</t>
  </si>
  <si>
    <t>Robuste, belle, fonctionnel Je l'utilise très souvent. Cette sacoche est très pratique. N'y trop grande, n'y trop petite. Elle à un look incroyable. Les couleurs de l'automne. Elle vas avec toute sorte de vêtements. Elle est très pratique. En plus cette marque la à fait ces preuves.</t>
  </si>
  <si>
    <t>Très bon achat !! Génial !!! Trop beau et belle qualité ! J'adore !! ❤️❤️❤️</t>
  </si>
  <si>
    <t>Le meilleur des chauffe  biberons Le top des chauffe biberons Je l'utilise en mettant de l 'eau chaude et quand je fait le biberon je met moitié eau chaude moitié eau en bouteille et c est nikel L'eau reste  chaude quasiment toute une nuit Vraiment hyper pratique</t>
  </si>
  <si>
    <t>Basket Les baskets sont confortables et de bonne qualité ! Bon rapport qualité prix ! Je suis très satisfait. 😊</t>
  </si>
  <si>
    <t>Bon produit Contenu de la boite : - Un flacon de 170 ml de produit pour nettoyer vos bijoux en or, platine, diamants, saphirs, rubis - Un panier pour poser les bijoux dans le bain de produit (inclus dans le pot) - Une petite brosse pour nettoyer les bijoux  On apprécie la simplicité avec laquelle on nettoie les bijoux, on pose les bijoux dans le panier, on remue, on laisse agir 2 minutes, on frotte avec la petite brosse, on rince à l’eau tiède et on essuie avec un chiffon doux ou avec une chamoisine,  Le produit est agréable à utiliser car il sent bon, le panier est assez grand pour y nettoyer plusieurs bijoux en même temps. Il faut savoir qu’après ouverture du flacon, le produit reste efficace 12 mois.  Le résultat est satisfaisant, les bijoux brillent, on s’aperçoit qu’ils étaient finalement bien sales lorsque l’on voit l’état de la chamoisine avec laquelle on les essuie, elle est pleine de trainées noires.  Très bon rapport qualité/prix, simple d’utilisation, agréable à utiliser et efficace alors sans hésitation, je recommande ce produit.</t>
  </si>
  <si>
    <t>Élégant, bel écrin Joli bracelet commandé pour offrir, reçu dans un bel écrin. Elegance et finesse.</t>
  </si>
  <si>
    <t>parfait mais un peu punk rire bien mais emande une petite coupe de cheveux a l avant  apres le placement sur le micro car sinon  apparition de poils  sur votre film car trop long poils rire  coté Amazon c est parfait , gens tres sérieux</t>
  </si>
  <si>
    <t>Montre lourde et tres belle sinon parfait Bonjour recu rapidement et prix tres corect pour loffrir a mon beau pere il a ete tres content et c une tres belle monte je recommande se produit sans hesitation vraiment jolie montre un peut lourde sinon mes trop trop jolie pas decus</t>
  </si>
  <si>
    <t>Parfait Conforme à la description</t>
  </si>
  <si>
    <t>Très bon et pas cher J'ai eu un petit doute en voyant le prix, mais en réalité ce papier aluminium est de très bonne qualité.</t>
  </si>
  <si>
    <t>Bon achat Agréablement surprise, la qualité est bonne et la taille choisie  XL suivant les conseils du vendeur me convient( je fais  un 95D  avec 78 cm de tour de poitrine sous les seins). Pour dormir je choisirai une taille plus grande pour plus de confort. Voilà j'espère que cela servira aux futures clientes!</t>
  </si>
  <si>
    <t>Excellente qualité Bonne qualité, bon service</t>
  </si>
  <si>
    <t>Qualité de son &amp;amp; confort J'avais un Audio Technica ATH-M50 avant, et là on est clairement sur un produit du même niveau de qualité, voir un cran au dessus. L'encombrement est un problème, le casque est vraiment énorme et je ne m'imagine pas me balader avec. Des basses un poil trop présentes pour un casque de monitoring mais cela reste largement acceptable. Attention, même si il s'agit du casque le plus fermé de la gamme DT de Beyerdynamic, on est en fait sur un casque semi-fermé et l'isolation est trop légère à mon gout. Niveau confort, il tient un peu chaud mais c'est clairement un des casques les plus confortable que j'ai pu essayer.</t>
  </si>
  <si>
    <t>❉ Un joli collier scintillant à porter en toutes circonstances ❉ Ce pendentif collier est ma deuxième commande de la marque B tacher chez qui j'avais apprécié la finesse du bijou et ses finitions. Celui-ci a une forme originale totalement différente. Les arcs sont rehaussés de brillants et il comporte un beau cristal central bien enchâssé, qui ne bouge pas, et qui lui donne un fini très agréable à l’œil.  Je n’ai pas hésité une seconde à l’acheter car je le trouve très esthétique, fin et gracieux, pouvant accompagner n’importe quelle tenue qu’elle soit habillée ou décontractée. Son prix est, par ailleurs, très compétitif par rapport à d’autres marques.  B-tacher fait de plus l’effort de livrer ses bijoux dans un écrin cartonné noir qui permet de le ranger proprement et, bien sûr, de l’offrir. Le tout est bien protégé par un film plastique (écrin et collier à l’intérieur).  Ce bijou en argent 925 est fin, gracieux, bien fini, la petite chaîne qui l’accompagne est élégante, j’en suis très contente. Son prix tout à fait compétitif permet de se faire plaisir sans se ruiner ou de l’offrir tout simplement grâce à sa belle allure et son packaging agréable.</t>
  </si>
  <si>
    <t>Déçu Je n'avais lu que des commentaires très élogieux sur cette montre, je l'ai donc commandé. J'ai vraiment été déçu. Ecran "couleur" de très mauvaise qualité et tout petit. Je m'explique, ne croyez surtout pas les images que vous pourriez voir sur les pubs, la résolution est médiocre, la luminosité plus que limite et le contraste faible. Suunto serait resté sur du monochrome, la qualité aurait été meilleure. Je ne vois pas comment avec cette faiblesse, on peut afficher 5 ou 6 paramètres et les voir clairement lorsque l'on coure. Deuxième point rédhibitoire pour moi : Suunto movescount. Il est impossible à partir de l'interface web de planifier des sorties précises et détaillées. On ne peut qu'indiquer le type de sport, la difficulté et la durée et voilà tout. Ce n'est que lorsque la séance est terminée et uploadée sur l'appli qu'il est alors possible de rentrer dans le détail ! Une planification fine avec fractionné, temps de repos et enchaînement n'est donc pas possible à l'avance. Comme il n'est pas possible de créer un programme complet avec tous les détails dont je parlais plus haut. Ou alors la créer sur la montre, je vous laisse imaginer le temps nécessaire pour une sortie un peu complexe. Enfin, sur la partie connectée, c'est super d'avoir les notifications du téléphone mais elle ne reste pas à l'écran si on ne les lit pas ! Elle disparaissent donc au bout de quelques instants et si on l'a loupé ben tant pis ! Autant ne pas proposer ce genre de fonctionnalités ! Voilà, à part ça, c'est une belle montre discrète qui offre beaucoup un bon GPS et un cardio de qualité à priori. Comme vous l'aurez compris, je n'ai pas eu l'occasion de tester ces fonctionnalités principales, je l'ai retourné illico.</t>
  </si>
  <si>
    <t>Article trop petit,politique de retour nulle J'ai commandé ce polaire,mais taille trop petit car la taille M correspondant aux normes européennes ne sont pas respectées, aussi prévoyez 2 tailles voir 3 tailles au dessus. Dingue. J'ai donc demandé un retour pour avoir le polaire en taille au dessus. IMPOSSIBLE car ils préfèrent que vous le gardiez,le revendiez vous même ,en contre partie, faut faire une commande chez eux et vous bénéficiez d'une réduction de 15,30 voire 40 %si vous insister pour le retour de l'article. Pas de remboursement possible même si les frais sont à votre charge. Pas sérieux du tout, s'abstenir ,ou alors faut ressembler à des crevettes et tout va bien .</t>
  </si>
  <si>
    <t>Il doit y avoir un problème avec la pile Ne fonctionne pas</t>
  </si>
  <si>
    <t>Parfait confortable Très confortable</t>
  </si>
  <si>
    <t>Robe Joli un peu grand mais avec un débardeur en dessous l'affaire est joué</t>
  </si>
  <si>
    <t>Produit tres sobre du puma tout simplement</t>
  </si>
  <si>
    <t>Bonne qualité Impeccable niveau taille et qualité</t>
  </si>
  <si>
    <t>les images sont belles ! je trouve que les images sont très belles mais je trouve le livre pas assez pointu pour l'age indiqué on n'apprend pas grand chose .ça ne mérite pas le titre d'encyclopédie à mon avis</t>
  </si>
  <si>
    <t>Prévenir de les laver à la main la première fois.. Très confortable..par contre le rouge doit être laver seul car il déteint énormément..sa ma bousiller 2 pull....</t>
  </si>
  <si>
    <t>Adaptateur pour enceinte Bose Livraison rapide. Adaptateur complet pour enceinte Bose. Bien emballé.</t>
  </si>
  <si>
    <t>Sophistiqué, pratique, longue batterie On m'avait offert des écouteurs sans fils de marque à Noël passé, mais pas comme ceux-ci car un fil reliait les deux écouteurs. La personne me les ayant offert pensait bien en m'offrant des écouteurs de marque, et je le comprends, mais 1 an plus tard, la batterie est HS et les écouteurs ne tiennent pas la charge. Obligé d'écouter avec le câble usb branché en permanence, pratique pour des écouteurs sans fil. Du coup j'en ai profité pour acheter des écouteurs plus sophistiqués et inspirés de tous les écouteurs récents (comme les AirPods). Je ne suis pas déçu du tout. Le petit boîtier permettant de transporter les écouteurs est compacte et fait office de batterie. Je n'ai pas eu besoin de recharger le socle une seule fois depuis que j'ai les écouteurs. Le son est bon, sans être exceptionnel. Ce sont des écouteurs et non un casque à plusieurs centaines d'euros. Largement suffisant pour mon usage et pour écouter mes podcasts le soir dans le lit ou dans les transports. Ils sont très discrets et tiennent bien en place. Le socle est aimanté de qui permet de pouvoir remettre les écouteurs en place les yeux fermés (pratique la nuit). Seul bémol, ils émettent une lumière en permanence, qui est certe légère, mais tout de même dérangeante pour le partenaire la nuit</t>
  </si>
  <si>
    <t>Magnifique Magnifique, MERCI</t>
  </si>
  <si>
    <t>BEAU bracelet très beau  et très bien pour l'instant, je le porte depuis 3 semaines</t>
  </si>
  <si>
    <t>Absolument rien à reprocher. Je chausse du 40 et contrairement à ce que j'ai lu, la taille correspond absolument à celle annoncée, ni trop juste ni trop grande. Très bien rembourrés et chauds, il ne me reste plus qu'à attendre ce que ça donne dans le temps (je viens de les recevoir).</t>
  </si>
  <si>
    <t>Qualité prix Pour le prix, rien à dire, qualité , légèreté finition. La taille est bonne . Pour l’été c’est très bien</t>
  </si>
  <si>
    <t>Jolies cartes Cartes en anglais mais conforme a la photo. Jolies couleurs. Rien a redire</t>
  </si>
  <si>
    <t>Sacoche spaher C’est un bel article bien doublé  en cuir  grandeur parfaite  finition au top je recommande rien à dire de plus</t>
  </si>
  <si>
    <t>Livre incontournable !!! Génial Super livre !!! Inspirant pour toutes les petites filles qui veulent et doivent croire en leurs rêves ! Ce livre raconte les parcours de 100 femmes aux destins extraordinaires. À offrir tant aux filles qu'aux garçons.</t>
  </si>
  <si>
    <t>COLLIER TRES BIEN ET JE SUIS CONTENTE MERCI</t>
  </si>
  <si>
    <t>Parfait Très mignon pour nos petits jumeaux!!! Pratique à l'usage et de bonne qualité. La marque est vraiment bien...Après c'est un biberon...</t>
  </si>
  <si>
    <t>Confortable Super belles, taille très bien Avec les sortes de coussins d'air la marche est super confortable</t>
  </si>
  <si>
    <t>design et performance a part le fil qui est un trop court ce qui oblige d avoir une prise a proximité immédiate une superbe bouilloire. tre peu bruyante et tres rapide. le design en plus. le prix ce justifie par la qualite du produit.</t>
  </si>
  <si>
    <t>au top Parfait</t>
  </si>
  <si>
    <t>pas terrible douleur a la voute plantaire, et le pied chauffe dans ce model ... dommage elles sont belles bien pour porter 4h maxi</t>
  </si>
  <si>
    <t>AMAZON .... Neuf n'est pas RECONDITIONE Plus je commande chez Amazon ....plus je me retrouve avec des articles reconditionné .... A savoir packaging OUVERT .... et produit visiblement testé...par d'autre utilisateur... Je trouve ça trompeur de la part d'AMAZON ..... J'aurais aimé pouvoir profité de ces écouteur mais la .... si je recommande avec quoi ....vais-je encore me retrouvé :( très déçus</t>
  </si>
  <si>
    <t>Ne fonctionne pas Bonjour, une seule oreillette fonctionne Ce n'est pas normal pour un produit neuf</t>
  </si>
  <si>
    <t>Mauvaise article Article très jolie mais pas de bonne qualité</t>
  </si>
  <si>
    <t>Mon avis Bonne chaussures , mais lourde et surtout n'oubliez pas les grosses chaussettes</t>
  </si>
  <si>
    <t>Conforme Belle bouilloire bonne qualité. Chauffe rapide avec réglage de température</t>
  </si>
  <si>
    <t>Bien Ras</t>
  </si>
  <si>
    <t>Bouilloire sympa Tbien, bon rapport qualité prix.</t>
  </si>
  <si>
    <t>fiabilité humidification</t>
  </si>
  <si>
    <t>Chaussures de rando nickel Chaussures de randonnée adaptée aux marches tout terrain</t>
  </si>
  <si>
    <t>Superbe réussi !!!! Ceux que j'ai aimer sur produit ont peut les avec un Jean et blazer !! Classe !!</t>
  </si>
  <si>
    <t>la confiance cadeau anniversaire</t>
  </si>
  <si>
    <t>Une bonne acquisition Tout à fait conforme à mes attentes. Ce thermomètre est précis tant à l'intérieur qu'à l'extérieur. Pour celui de l'extérieur je conseille de le mettre à la abris de l'eau. La livraison Amazon toujours au top.</t>
  </si>
  <si>
    <t>Excelent !!! Ravie de cet achat, je voulais la version 4 pour une connection rapide avec ma TV Génial, et très rapide d"installation. Superbe qualité de son et l'utilisation des touches sur l'écouteur du facilité.  JE VOUS LE CONSEIL LES YEUX FERMES !!!</t>
  </si>
  <si>
    <t>c'est tres bien! Livraison rapide Produit de tres bonne qualite.La taille bien et ca tient chaud. confortable et doux.</t>
  </si>
  <si>
    <t>Au top! Parfait, des converse simple et toutes mignonnes! Juste comme pour toutes les converses prendre une pointure en dessous de votre pointure habituelle</t>
  </si>
  <si>
    <t>Top Très joli comme cadeau</t>
  </si>
  <si>
    <t>Super ! Belles bottes j’ai pris une demi pointure en plus et c’était parfait !</t>
  </si>
  <si>
    <t>Pas cher pour des originaux Livraison rapide , pas cher par rapport aux magasins , satisfaite .</t>
  </si>
  <si>
    <t>boucles d'oreilles elles sont magnifiques mille mercis</t>
  </si>
  <si>
    <t>Blouson J'ai déjà acheté ce blouson en noir et je l'ai trouvé tellement bien que j'en ai racheté un en rouge exactement le même au niveau de la taille comme j'avais déjà mis sur l'autre annonce il faut qu'on ait un petit peu plus grand après je le savais déjà car ce genre de produit taille jour un peu petit sinon pour le prix il est vraiment super</t>
  </si>
  <si>
    <t>Pour le prix elles me conviennent C'est la deuxième fois que j'achète ces baskets, elles sont confortables et avec un jean elles sont parfaites je les recommande</t>
  </si>
  <si>
    <t>Impeccable Produit esthétique et ergonomique dans son ensemble. Bébé n'a pas de difficultés à prendre son biberon, très bien adapté à la morphologie des mains des tous petits. Six Biberons sont envoyé de 3 tailles différente avec chacun une tétine qui permet à bébé d'avaler un minimum d'air avec son repas. Un très bon produit pour les jeunes parents que je recommande fortement.</t>
  </si>
  <si>
    <t>un effet incroyable un effet incroyable, les premières minutes sont un peu inconfortable mais il faut absolument persister car la suite n'est que du bonheur.</t>
  </si>
  <si>
    <t>Scotch qui ne colle pas Acheté pour emballer les cadeaux de Noel j'ai eu la surprise d'avoir a recoller plusieurs fois les paquets qui s'ouvraient très rapidement après avoir été fait. Pensant que c'était un problème du premier rouleau je l'ai changé...tout pareil, il ne colle pas non plus le plastique. Il doit coller le papier "classique" en tout cas je l'espère car si ce n'est pas le cas il s'agit d'un scotch qui ne colle rien...</t>
  </si>
  <si>
    <t>Bracelet Très déçu des bracelets Ce sont casser au bout d’une semaine, vêlent pas solide du tout. Je ne conseille pas d’acheter ce produit !</t>
  </si>
  <si>
    <t>Livré mais sans écouteurs Écouteurs absents de la boîte !</t>
  </si>
  <si>
    <t>Tout juste au niveau de la taille Si le plastique parait de bonne qualité la carte grise y rentre en force. Si en plus elle a quelques années, ce qui justifierait de tel achat, vous avez un risque de détérioration lorsque vous la rentrez à l'intérieur ou lorsque vous la sortez pour le contrôle technique par exemple.</t>
  </si>
  <si>
    <t>Taille petit Surpris de la texture agréable pour un xl trop juste 1,87 m 100 Kilos , au niveau des bras mon fils plus fin juste aussi .</t>
  </si>
  <si>
    <t>Produit conforme Article conforme à la photo. La taille est conforme à la taille demandée, la couleur est également conforme. Rien à redire</t>
  </si>
  <si>
    <t>Bien Bon lot. Pratique avec la boîte pour les ranger. Un petit goupillon pour les nettoyer n'auraient pas été de trop.</t>
  </si>
  <si>
    <t>Satisfait Satisfait</t>
  </si>
  <si>
    <t>Excellente bouilloire qui ne brûle pas les doigts Produit de qualité, le renfort caoutchouté sur toute la hauteur rajoute de la sécurité : on ne se brûle pas par erreur en laissant trainer ses doigts ou sa main près de la bouilloire posée sur une table. Je recommande.</t>
  </si>
  <si>
    <t>conforme bon rapport qualité-prix</t>
  </si>
  <si>
    <t>Très bon crayons de couleur J'ai acheté ces crayons pour avoir une large gamme de couleur et je n'ai pas été déçu. La mine est assez grasse et ne casse pas facilement donc c'est parfait pour colorier. La boîte contient 3 étages de crayons de couleur que l'on peut soulever grâce aux élastiques sur les côtés et les crayons sont numérotés. C'est très pratique.</t>
  </si>
  <si>
    <t>Converse all star Bjr et merci Très contente de ma commande c est exactement ce que je voulais magnfiques C est parfait bravo à bientot</t>
  </si>
  <si>
    <t>Très bien Très bon. Produit</t>
  </si>
  <si>
    <t>Parfait Rapport qualité/prix : excellent ! Très jolie montre et qui malgré le prix ne fait pas du tout breloque</t>
  </si>
  <si>
    <t>Douceur Quand on enfile cette robe sweat, on a plus envie d'en sortir tellement elle est confortable, douce et bien chaude grâce à son intérieur tout molletonné ! Elle taille assez large, modèle oversize. Je recommande pour l'hiver qui arrive.</t>
  </si>
  <si>
    <t>Un super leggings qui taille bien J'ai un peu galéré avec les leggings avant, qui m’étaient tous soit trop larges au niveau de la taille, soit trop tendus au niveau des hanches. Celui-la m'habille parfaitement. Tres jolie couleur, matière douce, fine et extensible. J'ai rapidement commandé un deuxième !</t>
  </si>
  <si>
    <t>Casque / casque Bluetooth avec station de charge Casque Bluetooth avec une station de chargement portable. J'aime vraiment ce casque. Il suffit de charger la base noire, qui peut également servir de rangement pour vos écouteurs, afin que vous puissiez les transporter avec vous. La connexion Bluetooth à un casque est très simple et rapide. La qualité de l'écoute, la qualité sonore est très bonne, je suis très satisfait. Je crains que les écouteurs ne tombent pendant l'exercice physique, mais finissent par tomber et soient bien ajustés aux oreilles. Je suis très satisfait de cet achat! ! !</t>
  </si>
  <si>
    <t>Enfin une bonne colle Super</t>
  </si>
  <si>
    <t>Déjà conquis! Très beau biberon,  solide et bonne prise en main ! Reçu dans les délais!</t>
  </si>
  <si>
    <t>PARFAIT Depuis longtemps je cherchais un bon soutien gorge de sport pour ma poitrine volumineuse et j'entendais beaucoup parler de la marque Anita. J'ai donc voulu essayé et je ne suis pas déçu! Ce modèle (le momentum) est parfait. J'ai commandé ma taille habituelle et ça va très bien. Le soutien gorge est bien fait: l'intérieur des bonnets est très doux; les élastiques des bretelles et du dos ne grattent pas et n'entament pas la peau; l'élastique sous la poitrine ne roule pas; il absorbe bien la transpiration (désolé pour ce détail mais ça compte car on fait du sport!). Quant au maintient c'est juste super. Vraiment, je vous le recommande!</t>
  </si>
  <si>
    <t>Parfait Très bon XLR. Utilisé pour relier un processeur audio a un amplificateur professionnel, le son est nickel. Aucun souffle et il a l'air solide. Content de mon achat</t>
  </si>
  <si>
    <t>Top Très pratique et facile à nettoyer.</t>
  </si>
  <si>
    <t>R.A.S. Fait le job sur un Samson Meteor Mic quoi de plus à dire sur une bonnette. Elle n'a pas déchiré lors de l'installation et la mousse semble "généreuse" Je suis satisfait</t>
  </si>
  <si>
    <t>Appareil TRES BRUYANT Cette bouilloire émet un bruit très important , couvrant très largement le son de la radio ou de la télévision. On a véritablement l'impression qu'elle va décoller sans en connaître la cause !... C'est incompréhensible...Bien qu'elle chauffe bien et vite, j'ai décidé de revenir à ma vieille bouilloire !...</t>
  </si>
  <si>
    <t>Extrêmement Déçu Extrêmement déçu de ces Tongs, l'attache droit vient de me lâcher. À la lecture des commentaires il semble que c'est un vice de fabrication ou un défaut caché.Mes Tongs Timberland avaient tenu Cinq Ans.</t>
  </si>
  <si>
    <t>Correcte Bonne paire d'écouteurs, met du temps à arriver comme tt les produits venant d'Asie, et pour le moment (2 mois d'utilisations) rien a signaler tout fonctionne comme les écouteurs d'origine  UPDATE 15/02/2017 : Les écouteurs ne fonctionnent plus, du coup ils auront tenu 4 mois, pour le prix ils m'ont bien été utiles mais je ne recommanderais plus ce produit.</t>
  </si>
  <si>
    <t>PAT 89 TAILLE AU DESSUS  TAILLE L EGAL XL</t>
  </si>
  <si>
    <t>Correspond Je fait une taille 39 alors j'ai pris la taille 39/42 les chaussettes sont un peu grande</t>
  </si>
  <si>
    <t>Bon produit Super casque avec un bon son pratique et léger rien à y redire 👍 bon rapport qualité prix et tres bonne qualité</t>
  </si>
  <si>
    <t>excellent produit, avec quelques défauts Pour imprimer facilement ses photos, il est parfait, toutefois, quelques points négatifs existent : - l'impression depuis un ordinateur peut poser des problèmes, notamment depuis le MacOs, ou le format d'impression n'est pas bien pris en compte - les photos avec des noirs profonds ne seront pas imprimés avec suffisamment de contraste, cela est du au procédé par sublimation qui il me semble, ne donne pas assez de contraste a cause de sa colorisation en mode RGB. Un noir de soutien serait sans doute le bienvenu. - le consommable est finalement plutôt bon marché, mais dommage qu'il ne soit pas écologique.. après utilisation, il n'y a pas de programme de recyclage prévu, et les cassettes sont toutes en plastique...</t>
  </si>
  <si>
    <t>Légères Plus grande que je ne pensais mais jolie et légères.</t>
  </si>
  <si>
    <t>Parfait Très pratique</t>
  </si>
  <si>
    <t>Très bien présenté dans une belle boite Pour offrir</t>
  </si>
  <si>
    <t>Très confortable Taillant du 46, j'ai pris le 46-48 et cela convient parfaitement niveau taille. Elles sont très confortable à porter, pas trop épaisses, donc conviennent pour été ou mi saison. Remontent sur la cheville juste ce qu'il faut. Bref pour 2e/paire (sur le lot de 6), je ne peux que recommander !</t>
  </si>
  <si>
    <t>Genial Micro au top Branchement hyper rapide Produit que je recommande vivement</t>
  </si>
  <si>
    <t>Très joli pendentif Acheté pour un cadeau. Elégant et fin. Je recommande!</t>
  </si>
  <si>
    <t>Très satisfait Démontage et nettoyage des plus facile.</t>
  </si>
  <si>
    <t>BON Bon matériel. Indispensable pour alimenter les microphones à condensateur. Le résultat est très bon du point de vue sonorité de reproduction.</t>
  </si>
  <si>
    <t>Très bien Le sac est livré dans un sac plastique  sans fioriture ni papier de soie. La qualité du tissu, des scratchs, des fermetures éclair est indéniable. Sa conception est très bonne. Il y a de nombreuses poches de taille suffisante qui permettent de ranger de nombreux accessoires dans un espace assez réduit. J'y range une tablette 12.6 pouces, une souris, des câbles, une alimentation secteur, un cahier A4 et il reste encore de la place. Je recommande cet article.</t>
  </si>
  <si>
    <t>look très classe !!! Montre très chicos ... qui peut se porter quelque soit la tenue vestimentaire, sport ou classique. Les matériaux utilisés tant pour le cadran, que pour le bracelet, sont de qualité et la finition est top ... Bon rapport qualité/prix. Donc OK</t>
  </si>
  <si>
    <t>Parfaits ! La marque Avent reste pour nous une marque de référence pour les biberons. Dans ces biberons, Avent a revu la forme de la tétine, qui ressemble plus à la forme du sein de la maman. La tétée se fait bien, et bébé n'avale pas trop d'air. C'est très bien. La seule chose qui rendrait le biberon parfait pour nous, c'est qu'ils soient en verre, même si maintenant tous les biberons sont dépourvus de matières toxiques. Les tétines en rab, la sucette et la brosse sont un plus dans un kit de naissance.</t>
  </si>
  <si>
    <t>Bon achat Je suis très satisfaite de mon achat. L'article est de très bonne qualité ,les finitions sont soignées.je recommandé cet article.</t>
  </si>
  <si>
    <t>Trop beau Pour être à l'aise</t>
  </si>
  <si>
    <t>Converses très belles et qui chaussent juste,belle qualité et très bon rapport qualité prix. Que du bonheur!! Très beau produit!!elles chaussent juste. Belle qualité du cuir noir pratique à nettoyer. On est bien dedans.on trouve de grandes tailles.</t>
  </si>
  <si>
    <t>egoutte-biberons utilisation pratique et simple . super article je recommande</t>
  </si>
  <si>
    <t>Parfait Superbe veste ,taille bien ,bonne qualité peux être portée pour le sport ou même avec un jeans pour tout les jours .</t>
  </si>
  <si>
    <t>Beau sac, mais système de fermeture fragile C'est un peu à contrecœur que je mets 2 étoiles à ce sac. Globalement, il est vraiment bien et je le trouve esthétiquement très sympa. En revanche, le système de fermeture est beaucoup trop fragile et irréparable. Les deux clipses de fermeture sont chacun muni d'un ressort métallique sous la forme d'un arc métallique calé à l'intérieur de la fixation. Cependant, ceux-ci n'y sont pas fixés mais simplement maintenus de manière très approximative car il sont légèrement plus large que l'ouverture. Du coup ça n'a pas loupé, j'ai perdu un ressort et une des deux fixations ne se ferment plus.</t>
  </si>
  <si>
    <t>Matière en plastique Reçu cette paire de Basket Puma le 29 Avril 2019. La matière est en plastique !(Autre cuir soit disant)et non en cuir comme dit le descriptif lors de l'achat,on peut le  constater sur l'étiquette au niveau de la languette que ce produit Viens de Chine(Made in China).et déformation du talon droit dans les 10 minutes qui suivait. Qualité pas au rendez vous. A ce prix là fallait s'en doutait... Cependant j'ai ramené cette paire de basket dans deux magasins spécialisé de grandes marques,le premier magasin avait un gros doute sur la matiére et le deuxiéme magasin ma bien comfirmé qu'il sagissait de matiére qui était pas en cuir!,Donc pas d'état d'ame pour moi... Donc retour de cette paire de Basket Puma. Bravo Amazon!. (Voici le lien authentique d'une vrai paire de basket Puma Classic LFS,pour 10 euros! de plus,selon les pointures.): https://www.amazon.fr/gp/product/B00HRAAZM4/ref=ppx_yo_dt_b_asin_title_o02_s00?ie=UTF8&amp;amp;psc=1    Ben</t>
  </si>
  <si>
    <t>Micro ne fonctionne pas sur cette 2ème génération Micro qui ne fonctionne pas et le problème est récurent. Le support de Beyerdynamic répond qu'il faut tourner et enfoncer fort...  Drôle de réponse... mais ça ne change rien du coup c'est un retour pour ma part malgré qu'il soit confortable et un bon son je suis déçu de cette marque. Comment on peut rendre le micro inutilisable à 300€ ???  Heureusement qu'il y a un bon SAV comme Amazon.</t>
  </si>
  <si>
    <t>Peu mieux faire Je vais vous dire que pour le prix on peux pas se plaindre. Mais il ne fais pas le taff. Mon casque est trop grand donc obligé de rajouter de la mousse. Je déconseille pour les personnes ayant de gros et grand casques</t>
  </si>
  <si>
    <t>jolie sur la photo on peut penser que la pierre est légèrement translucide et avec des paillettes d'or, mais en vrai il n'en est rien!! la pierre est d'un joli bleu mais opaque et sans aucune paillettes dorées c.est dommage, jolie bague simple tout de meme..</t>
  </si>
  <si>
    <t>Reveil en douceur Le reveil du matin en douceur. Progressif et plusieurs possibilités d intensité de lumiere. Il faut plusieurs jours pour le regler selon nos desirs. Radio pas de bonne qualité.</t>
  </si>
  <si>
    <t>economique grace au côté "hyper-concentré" Indémodable, cajoline cajole la peau de bébé. Et sans mauvaises surprises svp!!! Donc....je valide et recommande.</t>
  </si>
  <si>
    <t>Pas déçu mais Cette brassière maintient bien mon bonnet D, mais je ne peux quand même pas l'utiliser seul pour des sports à "rebond", la matière est robuste et pas élastique ce qui permet un meilleur maintien je trouve, je vous conseille de prendre votre taille habituelle</t>
  </si>
  <si>
    <t>Chaussures belles et confortables Chaussures très confortable et agréable à porter</t>
  </si>
  <si>
    <t>Jolies bracelets C’est mon cadeau pour maman. Une belle bracelette … Ma mère adore ce cadeau.</t>
  </si>
  <si>
    <t>Très bon choix Casque reçu dans les temps. Utilisé pour l'écoute de musiques et vidéos. Il se connecte très facilement, la connexion est stable. En résumé il répond à toutes mes attentes.</t>
  </si>
  <si>
    <t>Sacoche Conforme a la photo, grande et pratique</t>
  </si>
  <si>
    <t>Produit conforme. Je travaille en milieu hospitalier adapter et confortable comme d'habitude. Je chausse du 40 mais pour les crocs je prend toujours une taille au dessous.</t>
  </si>
  <si>
    <t>impeccable Livraison rapide et soignée, c'est impeccable. mon fils va pouvoir reprendre son stylo</t>
  </si>
  <si>
    <t>Créoles en Argent C'est une très belle boucle avec de joli effet de reflet ma femme en ai ravi. Je recommande les yeux fermés.</t>
  </si>
  <si>
    <t>Jolies baskets Ce sont des baskets très confortables, légères et avec un tissu de bonne qualité.Je ne regrette pas cet achat.</t>
  </si>
  <si>
    <t>Bonne Choice Mettez-le au réfrigérateur et utilisez-le particulièrement confortablement</t>
  </si>
  <si>
    <t>J adore mes petites baskets ! Achetée en 2015 et je les porte encore, elles sont en bon état, j en prends soins et ne les porte que par temps sec car je les trouve très confortables et jolies. J avais adoré le parfum dedans quand on les reçoit ! Achetée en 39 pour une pointure 38,5, extra !</t>
  </si>
  <si>
    <t>Excellent qualité et taille impeccable Très bonne qualité, cette marque continue depuis des dizaines d'années à faire des produits confortables et indémmodables. Excellent rapport qualité / prix. Aucun problème lors du 1er lavage.</t>
  </si>
  <si>
    <t>.. Tres bon produit...sa fait 3 ans que je commande se produit...</t>
  </si>
  <si>
    <t>Micro HF plus bluetooth J'avais besoin d'un micro pour ma disco mobile j'ai voulu tester produit simple Basic de qualité sonore qui peuvent être bien pour faire du karaoké ou de soirée maison</t>
  </si>
  <si>
    <t>Très confortable J ai acheté ces chaussures pour mon mari. Il les adore ? Impeccable pour les personnes qui se déplacent beaucoup sur les chantiers</t>
  </si>
  <si>
    <t>Achat converse Av converse c'est ss surprise. Tout convient très bien. Petit bémol, la livraison n'a pas été faite à l'endroit convenu. Le nouvel endroit était assez loin de chez moi</t>
  </si>
  <si>
    <t>Nous en sommes content. Très facile pour un sevrage en douceur après l’allaitement, Le gros plus c’est facile de stérilisation en étant en sortie.</t>
  </si>
  <si>
    <t>faire attention avec la tailler D'habitude j'achete 46 (FR), 12 (US) dans ce cas j'aurais du prendre un 13(US), donc j'ai du renvoyer le produit.</t>
  </si>
  <si>
    <t>Erreur pointure J’ai commandé des baskets pointure 41,5 je les reçois en 41!!!!</t>
  </si>
  <si>
    <t>innadmissible ! A peine 3 mois après l'achat j'ai déjà un écouteur qui ne fonctionne plus ! vu le tarif c'est inadmissible.</t>
  </si>
  <si>
    <t>Fermeture éclair Fermeture éclair un peu fragile.</t>
  </si>
  <si>
    <t>Tailles conformes Je pensais que la taille 40 serait un peu juste en legging, car elle est aussi indiqué M. Je fais bien un 40 mais j'ai des cuisses et mollets assez musclés et craignais d'être un peu serrée. Ce n'est pas le cas. Le legging me va de manière très confortable. Il ne serre pas à la taille.  Le modèle est original avec ses différentes couleurs. Une micro poche sur le devant de la taille permet d'accueillir une clé.  Je regrette juste que les coutures se ressentent sur l'intérieur. Elles sont assez grosses et nombreuses compte tenu des effets de tissu. Pas redhibitif pour moi mais cela peut gêner certains.</t>
  </si>
  <si>
    <t>Solides et bons écouteurs, long fil, micro décevant Qualité de construction ⭐⭐⭐⭐⭐ Les écouteurs sont de très bonne qualité. En métal donc semblent un peu lourds après ceux fournis avec les téléphones, mais on s'y fait vite et c'est un gage de solidité :) A noter que leur verso est aimanté, ce qui est pratique pour le rangement.  Micro ⭐⭐ Le point noir de l'appareil. Il possède des fonctionnalités intéressantes (poussoir de contrôle du volume, bouton "appel" qui fait lecture/pause sur Android)  Mais il montre ses limites en appel : grésillements, bruits de frottement alors que je suis immobile (point remonté au constructeur, qui m'a répondu que c'était destiné à des appels occasionnels. Dont acte.)  Fil ⭐⭐⭐⭐ Très costaud, des renforts ont été prévu entre le fil et l'écouteur pour éviter les faux contacts. La prise jack est coudée pour ne pas s'abîmer dans la poche. J'enlève une étoile car il est trop long pour mon usage : il dépasse de ma poche lorsque je suis dans la rue/métro, ce qui le fait parfois se prendre dans les rebords. Cela peut cependant se résoudre avec la pince fournie en accessoire.  Qualité audio ⭐⭐⭐⭐⭐ Tout simplement imbattable dans cette gamme de prix ! Tout y est, aigus comme basses. C'est clair et équilibré, et le son est puissant.  Accessoires ⭐⭐⭐⭐⭐ Le constructeur n'a pas lésiné : pas moins de 4 paires d'embouts additionnels (cf. Photo) de tailles différentes pour combler tous les utilisateurs. Certains en mousse à mémoire de forme, d'autres en plastique. Tous isolent très bien de l'extérieur, et c'est un plaisir de les avoir dans le métro. A noter qu'il ne faudra sans doute pas conduire à vélo avec, sous peine de mal entendre les autres usagers de la route. On trouve également : - une pince pour gérer la longueur du fil - une pochette de rangement molletonnée qui saura bien protéger vos écouteurs des chocs. - aucun problème avec l'emballage, c'est une boîte métallique qui saura protéger au mieux votre précieux  En résumé ⭐⭐⭐⭐ On frôle l'excellence ! Très satisfait de mon achat, et je m'accomode de ses défauts. Ceux qui passeront beaucoup d'appels, passez votre chemin cependant car la qualité d'appel est juste moyenne. Les autres n'hésitez plus :)  N'hésitez pas à indiquer ci-dessous si mon commentaire vous a été utile</t>
  </si>
  <si>
    <t>pointure très juste Belles basket mais taille très juste ,il est conseillé de prendre une pointue au dessus pour être à l'aise surtout si vous avez le pied un peu large</t>
  </si>
  <si>
    <t>Super qualite Tres belle qualité et couleur eclatante et intense Très pratiques les couleurs fluo pr compléter la gamme des feutres stabilo</t>
  </si>
  <si>
    <t>Ras Un peu cher mais top</t>
  </si>
  <si>
    <t>Vraiment top Super chaussure ! trop douce et confortable !</t>
  </si>
  <si>
    <t>excellente qualité, 5 fois moins cher que le haut de gamme Très satisfait car je supporte mal les aigus et la totalité des autres casques bluetooth que j'ai essayés, même les haut de gamme, rendaient bien son plus aigu que celui-ci. Confortable, hélas pas très pratique quand on porte des lunettes (comme la grande majorité des autres casques)</t>
  </si>
  <si>
    <t>Un super investissement. Vraiment excellent comme micro. Avec l’application, c’est vraiment un outil simple à utiliser et de vraie qualité !</t>
  </si>
  <si>
    <t>bien Tres bon rapport qualité prix .Je recommande cet article sans problème.</t>
  </si>
  <si>
    <t>Très bon rapport qualité prix Très bonne qualité</t>
  </si>
  <si>
    <t>parfait conforme a la photo , livraison rapide , facile à utiliser bonne contenance , silencieux Très satisfaite de mon achat , esthétique malgré que ce soit du plastique. je recommande</t>
  </si>
  <si>
    <t>Robustesse au service du sport Robustesse pour usage quotidien .Attention pour la marque Salomon prévoir 1 pointure au dessus de votre pointure voir 1pointure et demi .</t>
  </si>
  <si>
    <t>Créoles top!! Très beau bijou, correspond à la photo</t>
  </si>
  <si>
    <t>Super produit Super, sauf qu' on ne peut pas baisser suffisamment le son . Il faudrait un niveau intermédiaire par rapport au tel.</t>
  </si>
  <si>
    <t>Au top ! Ce legging est très bien taillé. Ni trop grand ni trop petit. J'avoue que je ne cours pas alors que m'en sers comme bas de pyjama et je suis très à l'aise dedans. Il ne colle pas ; je ne transpire donc pas dedans.  Je l'ai lavé et il n'a pas rétrécie au lavage.  Top !</t>
  </si>
  <si>
    <t>Des bib’ en verre dans un joli coffret cadeau 🎁 Si on peut se passer du plastique (même sans BPA) et surtout pour les bébés, je pense qu’il faut le faire. Ce coffret fera toujours plaisir aux mamans. C’est un joli cadeau utile pour la maternité. Je l’ai offert à la fille d’une amie qui a accouché il y a peu et elle était ravie !</t>
  </si>
  <si>
    <t>Prendre une taille en dessous de la votre J'adore ! J'ai suivi les commentaires des autres acheteurs et moi qui met du 46 j'ai pris L Xl Et il est parfait. Matière agréable.</t>
  </si>
  <si>
    <t>mini, mimi et parfaite très contente de cet article. Elle est très pratique, belle finition, elle chauffe très rapidement pas trop grande ni trop petite parfaite pour 2 voir 3 tasses</t>
  </si>
  <si>
    <t>Trop lent ... Compte tenu du prix, nous nous attendions à un produit de grande qualité. Il s'avère que ce chauffe biberon met plus de 10 minutes pour chauffer de petites quantités (60 à 100 ml). Pas pratique quand bébé est en train de hurler à côté.  Prix bien trop élevé comparé aux autres chauffes biberons de gamme équivalente sur le marché.</t>
  </si>
  <si>
    <t>Qualité Je viens d’annuler ma commande car les commentaires ne sont pas top</t>
  </si>
  <si>
    <t>Bonne qualité mais service de livraison à fuire Papier bulle acheté pour notre déménagement Commande facile mais livraison catastrophique !</t>
  </si>
  <si>
    <t>Bien Ils sentent bon mais pas assez fort pour moi...</t>
  </si>
  <si>
    <t>Oui, ça colle bien entre nous Enfin je retrouve un adhésif qui permet de coller des objets au mur (espèce de crépi que je n'ai pas choisi), bizarrement ça n'a pas l'air de coller (pas aux doigts), mais une fois fixé au mur, on s'étonne de l'adhérence.  C'est un peu cher, mais ça marche !</t>
  </si>
  <si>
    <t>Comme décri Joli et livré avec un cordon supplémentaire en cas de casse</t>
  </si>
  <si>
    <t>confortable Chaussures confortables, amortissement très correct, chausse normalement ,pour l'usure, achat trop récent pour un avis . A ce jour un seul reproche : ces chaussures sont pour moi un peu volumineuses</t>
  </si>
  <si>
    <t>adapté pour coller sans détruire - conforme et très utile pour le bricolage</t>
  </si>
  <si>
    <t>Très belles chaussures ! J'ai acheté ces chaussures pour mon petit frère et il les adores ! Le designe est bien fait, elles tiennent bien au pied et sont confortable ! 5 étoiles bien mérité !!!</t>
  </si>
  <si>
    <t>Très nien Très bien</t>
  </si>
  <si>
    <t>Jolie Elles  sont superbe et en plus on a en cadeau des semelle intérieur c'est sympa je fait  35 j'ai pri 35.5 mais sur les chaussures c'est écrit 35 elles me vont parfaitement bien</t>
  </si>
  <si>
    <t>Génial Je fait du 39 j'ai pris du 38 et demis j'aurais pue prendre un 38 sans problème à pas sa elle son génial a classe et très confortable elle son fournie avec deux paire de lacet</t>
  </si>
  <si>
    <t>Magique Meilleure cire pour restaurer du cuir. Odeur très bonne et vraiment performant</t>
  </si>
  <si>
    <t>sublime j'ai commandé ces boucles pour l'anniversaire d'une amie. Elles ont beaucoup plu, bel emballage comme chez le bijoutier. L'argent est très beau, à l'oreille ça fait son effet et vu le prix j'en commanderai bien pour moi !</t>
  </si>
  <si>
    <t>très jolies Toutes douces et super confortables !!!</t>
  </si>
  <si>
    <t>Confortable Confortable et taille bien</t>
  </si>
  <si>
    <t>parfait à recommander</t>
  </si>
  <si>
    <t>Parfait Parfaitement satisfaite de cet achat, bracelet de 17 mm, noir pour redonner une seconde vie à ma swatch . Le bracelet est plus caoutchouté que l'original, mais parait solide . Je pense qu'il sera aussi solide que l'original . Petit kit d'installation livré avec . Bon packetage .</t>
  </si>
  <si>
    <t>Magnifique Gilet manches longues avec dos et épaules en dentelle ! &lt;a data-hook="product-link-linked" class="a-link-normal" href="/Gilet-coton-Femmes-Veste-Gilet-Femme-Manches-Longues-Boléro-Châle-Femme/dp/B06XRV55JY/ref=cm_cr_getr_d_rvw_txt?ie=UTF8"&gt;Gilet coton Femmes Veste Gilet Femme Manches Longues Boléro Châle Femme&lt;/a&gt;  Le produit correspond tout à fait à la description qui en est faite sur le site. Livraison très rapide et soignée. A l'ouverture du colis, on découvre un gilet à manches longues très bien plié et rangé dans une pochette en plastique. Ce gilet est tout simplement magnifique !!!  La matière est très légère et très agréable à porter. Il peut aussi bien se porter pour aller au travail avec un petit top de couleur et un jeans, ou encore pour être habillé sur une robe de soirée. Il s'accommode à toutes les circonstances. Il est original car le dos et les épaules sont en dentelle. Il taille correctement et ses finitions sont impeccables (pas de fils qui dépassent ou de coutures oubliées). Son entretien est très facile : il se lave à l'eau froide. Je suis tout à fait ravie de cet achat et vous le recommande vivement, très bon rapport qualité/prix. Vendeur correct et très courtois, à recommander.</t>
  </si>
  <si>
    <t>Excellent produit Superbe livre de coloriage qui a beaucoup plu à ma nièce de  3 ans. Très jolies illustrations et très belle qualité.</t>
  </si>
  <si>
    <t>A la hauteur Un bon rapport qualité prix pour ces essuie tout. Ils sont épais, très absorbants et résistent bien lorsqu'ils sont humides.</t>
  </si>
  <si>
    <t>Veste La veste est conforme à la photo sur le site.. Je suis très satisfait de ce produit.. Je le recommande</t>
  </si>
  <si>
    <t>Cafetière Filtre Verseuse Moulinex inox et Blanc Cafetière pratique de qualité et de marque connue , bon usage , j'utilisai l'ancienne programmable depuis des années, ayant cassé la verseuse, j'ai repris la même sans programme ,mais en Blanc à un prix attractif, commandé le dimanche soir et livré le mercredi rapidement chez Amazon comme habituellement Jean-Claude</t>
  </si>
  <si>
    <t>Jolies tongs Ce sont de belles tongs mais elles taillent petit. J'ai commandé du 41-42 et j'ai reçu quelque chose de plus proche du 40.</t>
  </si>
  <si>
    <t>pas nette originalité  douteuse, on l'a renvoyé et j'ai été remboursé</t>
  </si>
  <si>
    <t>Le micro ne charge pas Le produit a bien fonctionné quand je l'ai reçu. C'est un super jouet. Il s'est déchargé (normal) et là pas moyen de le charger. J'ai eu beau le brancher (jusqu'à 8h de temps) il ne charge pas. Donc je ne peux plus l'utiliser. J'ai utilisé le cordon USB fourni,j'ai aussi tenté avec mon cordon de charge de téléphone samsung mais toujours rien. Le voyant de charge clignote mais la batterie ne charge pas. C'est le 2ème micro que je commande et j'ai le même problème.</t>
  </si>
  <si>
    <t>Je m'attendais à mieux Vu la marque, je m'attendais un un son meilleur et plus puissant mais je crois que j'en ai eu pour mon argent, il n'était pas cher !....</t>
  </si>
  <si>
    <t>bon produit Produit conforme à la description de la photo. socquettes sympathiques rien à envier aux autres marques. Cela me va bien</t>
  </si>
  <si>
    <t>MONTRE LIGE LA MONTRE ET PLUTOT CLASSIQUE ET FAIT PAS MAL D EFFET A VOIR DANS LE TEMPS LA QUALITE, PRODUIT PEU CHER.</t>
  </si>
  <si>
    <t>Excellent rapport qualité prix mais pas parfait La tenue de la laque dorée peine un peu par rapport au reste de l'excellent rapport qualité prix de cette montre!</t>
  </si>
  <si>
    <t>Très simple et suffisant Utilisée au quotidien pour le travail, la montre est très pratique et suffisamment simple pour ne pas dénoter avec n'importe quelle tenue. Et pour le prix... Seul reproche, elle n'affiche pas les jours.</t>
  </si>
  <si>
    <t>Sacs poubelles  à poignées Très bien si on ne charge pas trop les sacs et si on possède une poubelle haute. Dans mon cas, c'est suffisant. Je pense refaire une commande.</t>
  </si>
  <si>
    <t>Tb Très bien</t>
  </si>
  <si>
    <t>Casque audio sans fil Thomson Très bon casque pour moi qui suis mal entendant. C'est le troisième de la marque que j'achète (je les casse en m'asseyant dessus !) vu son très bon rapport qualité/prix.</t>
  </si>
  <si>
    <t>Parfait Super grille pain. Nous l'avons acheté pour une maison secondaire. Nous en avons déjà un pour notre résidence principale depuis des années et il est top. Cette couleur est très belle.</t>
  </si>
  <si>
    <t>Parfait Parfait et très agréable aux oreilles</t>
  </si>
  <si>
    <t>Montre Très jolie montre pour un adolescent. Elle est fine et très classe.</t>
  </si>
  <si>
    <t>Excellent Excellent, ce livre est à la fois utile aux parents, aux ados, aux jeunes adultes. Un livre accessible, didactique, passionnant. J’ai beaucoup appris au fil des pages.</t>
  </si>
  <si>
    <t>super je laisse mon commentaire apres 1 an d utilisation ,tout ca pour dire que c est chaussure sont vraiment de super qualité ,confortable ,,vous pouvez les acheter les yeux fermées a votre pointure !je fais du 43 ,j ai recu du 43 et elle font du 43 !!les meilleur chaussure que j ai jamais eu....au top ;) !j aimerais en racheter une meme paire mais le prix a trop augmenter!</t>
  </si>
  <si>
    <t>J' adore Ayant  déjà  la petite  boîte  de 72 je ne pouvais pas passer  à  côté  des 120😁😁.  Les crayons  sont à  base de cire donc  et numérotés, rangé  sur 3 étages  avec  des élastiques  de chaque côté  pour les soulever  .  Par contre,  une forte  odeur  de pétrole  s' en dégage ( c'est  normal  pour  ces crayons ). J' ai opté  pour une trousse  plutôt  que la boîte  en fer que je ne trouve pas très  pratique  pour  les prendre et l'odeur  fini par s estomper.  Sinon  elle est de bonne qualité. Certains  crayons  sont plus secs que d autres ( les plus clairs en Couleur  évidemment ) mais il y a une bonne pigmentation. Pour le prix de 34 euros, ne vous  en privez pas ! Castle art supplies est une entreprise  qui monte et qui commence  à  être  bien  connue et reconnue 😊😊</t>
  </si>
  <si>
    <t>C'est génial Excellentes chaussures de course sur route ou chemin. Dès les premières foulées, une vraie sensation de confort et de dynamisme. L'amortie est excellente, mais sans alourdir la foulée. Au contraire, on est poussé vers l'avant, ce qui permet une course dynamique. Je recommande sans réserve.</t>
  </si>
  <si>
    <t>Joli,conforme a la description ! Bien,rien a ajouter !</t>
  </si>
  <si>
    <t>agréablement surprise au vu d un commentaire indiquant que le bijou faisait bling bling doré j avais un peu hésité mais J ai fait confiance aux autres commentaires car j aime bq les cristaux et je ne suis absolument pas décue ... BIENSUR il brille .. MAIS il est trés joli et va aussi bien avec une tenue noire classe  qu  avec des vétements bariolés ...la seule petite touche qui fait or rose un peu doré doré est la chaine de sécurité mais franchement ce n est rien !! donc pour les fantaisistes je recommande ...</t>
  </si>
  <si>
    <t>Parfait ! Simple et stylé</t>
  </si>
  <si>
    <t>Trop belle Taille très bien</t>
  </si>
  <si>
    <t>confortable tres confortable car je n'ai pas mal au pieds quand je marche longtemps . Et cela devient rare avec des chaussures a se prix a recommander vivement  !!!</t>
  </si>
  <si>
    <t>Taille bien. Ne "bouge" pas pendant la course. Ce legging taille bien. (Et je suis difficile car j'ai toujours l'impression que ce genre de vêtement moulant "grossi"...) Je le porte pour courir : il ne bouge pas : très confortable. Chaleur moyenne.</t>
  </si>
  <si>
    <t>Hanses cassées Le biberon est très joli. Les 2 tétines sont bien pensées. Mais, j'ai reçu l'article endommagé au niveau des hanses. Mon bébé ne peut donc pas s'en servir. J'ai informé le vendeur à deux reprises afin de trouver une solution à ce problème mais je n'ai encore pas reçu de réponse.</t>
  </si>
  <si>
    <t>Attention la croix mentionnée sur l emballage ne correspond pas à l ouverture de la tétine Ne correspond pas du tout à mes attentes, je pensais que la tetine etait ouverte en croix et non c'est juste un trou. Mon enfant prend du lait epaissi et donc cela ne va pas.</t>
  </si>
  <si>
    <t>Des chaussures uniquement pour le placard Je conseille ces chaussures uniquement pour les regarder. Pour marcher avec, je déconseille vivement. Elles m'ont tenu 3 semaines.</t>
  </si>
  <si>
    <t>Se rapproche plus d'un survêtement de jogging que d'un hoodie. Moi déçu, mais plairait à d'autres. Je suis embêté pour la note, j’hésite entre un 2 et un 3 étoiles; et vu que j'ai pris 2 articles, je vais en mettre un de chaque. (Mais je conçois aussi qu'une note de 4 ou 5 étoiles ne serait pas imméritée. Mais pour ma part je suis déçu.)  * LES PLUS: L'impression est jolie et semble de bonne qualité. Ça c'est très bien. Le tissu, en soi, semble aussi de bonne qualité, un peu élastique comme un survêtement de sport. La livraison OK aussi.  * LES MOINS: Par contre, ça taille petit et le tissus est quand même très fin (quoique peut-être de bonne qualité, je n'en doute pas). Mais grosse déception au niveau de la sensation. L'automne arrivant j'aurais voulu qq chose d'ample et chaud, un peu "moute-moute", et je me retrouve avec une espèce de grosse chaussette qui me moule bien mon embonpoint. Pourtant j'ai pris du L/XL (théoriquement 114-134cm). En même temps, le tissus étant trop fin, plus large n'eut pas été joli.  Ce n'est pas de la mauvaise qualité, mais je suis très déçu question "chaleur" et "confort". J'aurais voulu un hoodie dans lequel je me sente à l'aise et au chaud, en mode "chill-and-netflix" en quelque sorte; quelque chose d'ample et chaud.  Pour conclure, je dirais que c'est plutôt un survêtement sportif qu'un hoodie, en fait. Conviendrait davantage à quelqu'un de plus jeune, dynamique et sportif ? En été, le soir. Mais je ne compterais pas dessus pour me tenir chaud l'automne venu si je ne suis pas déjà mobile et en train de cramer des calories à la base.</t>
  </si>
  <si>
    <t>Convenable Emballage un peu cheap. Couleur un peu plus criarde que peut laisser croire la photo. Le fil sort des deux côtés, j'aurais préféré d'un seul mais ce n'est pas dramatique. Pour du Sony le prix est raisonnable. C'était pour un cadeau et la personne en a été satisfaite.</t>
  </si>
  <si>
    <t>Comfortable mais montage ardu Une fois le fauteuil monté, il supporte bien le dos et la tête permet de partir un peu en arrière, assez ferme ça change d'autres fauteuil où on s'entasse, bien fini (en apparence). Concernant le montage si on n'aime pas forcer les choses, le taraudage interne pour les vis des deux cotés du bas du soutien (dos) était vraiment dure à visser (même directement sans rien fixé) ainsi que les trous pour visser l'accotoir droit étaient un peu trop éloigné même en étant le plus dévissé possible,accotoir gauche beaucoup plus simple a visser. Avis revu pas de problème en vue après un mois, bon fauteuil pas de doute.</t>
  </si>
  <si>
    <t>Top Confortable mais l'élasticité du tissus se relâche un peu vite a mon goût</t>
  </si>
  <si>
    <t>Conforme à mes attente Super 😊</t>
  </si>
  <si>
    <t>Solide Un peu grand pour ma part mais bon produit</t>
  </si>
  <si>
    <t>Trésor bien pour le prix Fait son boulot</t>
  </si>
  <si>
    <t>Parfait Se produit et bien conçu il a un son et des basse parfait il a une bonne autonomie je suis content de se produit le prix et élevé mais pour le moment il a pas meilleur</t>
  </si>
  <si>
    <t>Vans Les baskets me vont bien</t>
  </si>
  <si>
    <t>Juste ce que je cherchais Une bouilloire au look sobre et sympathique, robuste et rapide = qualité Bosch. Attention, en finition inox, les parois ne sont, évidemment, pas froides lorsque l'eau finit de chauffer (conductivité thermique oblige).</t>
  </si>
  <si>
    <t>belle sacoche beau produit, belle finition</t>
  </si>
  <si>
    <t>Bon produit Super produit, le seul bemol c’est la luminosité de l’ecran un peu faible</t>
  </si>
  <si>
    <t>parfait Très satisfaite  de ce sac isotherme ! J'y met 2 biberons et une boite de lait en poudre c'est parfait, je recommande.  Pour info la fermeture est orange. Très jolie et mixte.</t>
  </si>
  <si>
    <t>Parfaitement conforme Parfaitement conforme Taille Couleur Matière Forme</t>
  </si>
  <si>
    <t>conforme au descriptif parfait</t>
  </si>
  <si>
    <t>Une forme avantageuse Elle correspond tout à fait à mes attentes Sous la poignée il y a une petite épaisseur qui empêche les doigts de se bruler.</t>
  </si>
  <si>
    <t>Rien Très bien et de bonne qualité</t>
  </si>
  <si>
    <t>Très bon rapport qualité/prix Sacoche en cuir de très bonne qualité. Un agencement remarquable. Prix très attractif.</t>
  </si>
  <si>
    <t>Lot de 3 boites de bicarbonate de soude 3×500gr Le bicarbonate de soude est largement connu dans le monde entier, acheté en lot de 3, je suis très content de cette bonne affaire qualité prix,  merci chère équipe à tous.</t>
  </si>
  <si>
    <t>Très bon câble VGA Produit de bonne qualité qui fonctionne parfaitement bien, la qualité de l'image est très bien</t>
  </si>
  <si>
    <t>Beau produit Nickel très beau produit (assez long pour les grandes femmes) je recommande</t>
  </si>
  <si>
    <t>Déçu Malheureusement, même si ces chaussettes sont de marque, et bien elles sont terriblement fragile et très fine... Je ne pense pas tenir plus de 6 mois avec ces chaussettes... Dommage.</t>
  </si>
  <si>
    <t>Attention, Amazon envoie l'ancien modèle et pas celui montré sur les photos !! Mis à part le fait que c'est l'ancien modèle qui est mis en vente et pas celui affiché sur les photos, le produit est de bonne qualité ! En effet, le produit que j'ai reçu est un ancien modèle de cette sacoche. Sur les photos du site web (3ème photo), on peut voir une attache (avec un scratch) sur la poche rembourrée. D'ailleurs, cela est aussi précisé dans les caractéristiques fournies par Amazon. Les nouveaux modèles sont ceux fournies avec l'attache. Je déplore cette tromperie et cette publicité mensongère alors que les dépôts d'Amazon cherchent à écouler le stock de l'ancien modèle qui est sans attache !! Le service client contacté par téléphone m'a proposé un produit de remplacement, et m'a assuré avoir remonté l'information au service logistique: le problème est que le 2ème produit reçu est lui aussi un ancien modèle ! Un remboursement m'a été proposé (alors que je m'attendais à ce qu'ils se réengagent à m'envoyer le bon produit et à me dédommager), mais jusqu'à quand peut-on se permettre de tromper les clients comme cela ?!!</t>
  </si>
  <si>
    <t>Déception ! Bonjour , complètement insatisfait. 2 mois que je joue avec environ 3-4h par jour , bourdonnement pendant la charge , bruit de plop et de grésillement, si la batterie est vide vous ne pouvez pas joué avec celui ci pendant la charge , même branché sur secteur , perte du son côté gauche ainsi que du micro et voilà que aujourd'hui il ne se charge même plus ... Je voudrais être remboursé. Comment faire ? Merci</t>
  </si>
  <si>
    <t>Bon rapport qualité prix!! Comme d'habitude pour les timberland euro Sprint..... Bonne chaussures, agréable à porter et belle coupe.  Taille comme il faut, plus légèrement plus grand que des chaussures de sports comme d'hab ( prévoir 1/2 pointure de plus que pour les basquettes, pour ceux qui ne le savent pas )  La matière n'est pas du cuir ordinaire mais plutôt un genre de din sur la partie supérieure. Pour autant elles ne semblent pas si fragile.  Je l'ai payer au alentour de 100 euros et cela vaut le coup.</t>
  </si>
  <si>
    <t>Taille parfaitement. Taille très bien, super produits.</t>
  </si>
  <si>
    <t>Bon produit Très joli bijoux .</t>
  </si>
  <si>
    <t>Correct Bon produit.</t>
  </si>
  <si>
    <t>Bien mais papier fin C’est toujours bien d’avoir du papier cadeau dans cette quantité car on en a toujours besoin. Le prix est bon mais le papier est assez fin, attention se déchire facilement</t>
  </si>
  <si>
    <t>Bon produit. Une accroche un peu compliqué Très jolie montre. Fonctionne extrêmement bien, rien à redire. Tient bien en mains. L'accriche est un peu difficile à passer mais une fois fait, plus aucun problème</t>
  </si>
  <si>
    <t>très bon produit j'ai pu tester plusieurs goupillons depuis 3 ans. Je n'avais jamais tenté Tommee Tippee Cette fois ci je voulais essayé quelque chose d'autre que ce qu'on trouve en grande surface, j'ai donc essayé celui là. Il convient pour tout les biberons. je l'utilise pour les biberons de la même marque comme pour les biberons a plus petit goulot de marque concurrente. Il est vraiment parfait, tient bien, solide, nettoie efficacement dans tout les recoins.  Je recommande ce produit.</t>
  </si>
  <si>
    <t>RAS il est bien pour l'instant RAS</t>
  </si>
  <si>
    <t>les vraies au bout d'un an, elles sont encore en vie!!! un coup de machine à laver et ça repart pour plusieurs jours</t>
  </si>
  <si>
    <t>Top Un produit simple d'utilisation, design, qui diffuse les huiles essentielles souhaitées. Il fait bien le boulot. Je ne regrette absolument pas mon achat !</t>
  </si>
  <si>
    <t>Satisfait C est bien emballée dans la boîte.  Il reconnaissance avec bluetooth facile  et le qualité de son est parfait. Clair.  la fonction première est bien sur le karaoké.</t>
  </si>
  <si>
    <t>Solide et esthétique Je l’utilise depuis 3 mois dans le train. Très bon son qui isole bien. Le casque se plie facilement et se range parfaitement dans son étui. Le casque est solide et le design sympa.</t>
  </si>
  <si>
    <t>Très bonne bouilloire Je cherchais une bouilloire à réglage de température, je ne suis pas déçu par ce modèle que j'utilise quotidiennement avec plaisir.  Points positifs : - facilité d'utilisation, le réglage des températures se fait aisément - rapidité de chauffe - design - fonction pour maintenir l'eau chaude - versement très aisé sans faire couler d'eau (c'était le cas de mon ancienne) - les filtres fournis  Points négatifs : - lorsque l'on souhaite retirer la bouilloire, le socle à tendance à rester fixé, il faut faire attention pour ne pas l'emporter avec. Petit problème de conception là - l'actualisation de la jauge de remplissage n'est pas immédiate</t>
  </si>
  <si>
    <t>sac beau et pratique Un sac qui est esthétiquement beau, j'y met mon portefeuille, mon s7 edge et les clés bref super pratique. Pour ce qui est de la marque j'ai déjà eu des sacs de cette marque qui ont bien duré donc j'espère que ça sera la même chose pour celui ci.</t>
  </si>
  <si>
    <t>sympa stylé</t>
  </si>
  <si>
    <t>Très très bon produit &lt;div id="video-block-RDCNMHLM2GPJ1" class="a-section a-spacing-small a-spacing-top-mini video-block"&gt;&lt;/div&gt;&lt;input type="hidden" name="" value="https://images-eu.ssl-images-amazon.com/images/I/B1++YMmbC8S.mp4" class="video-url"&gt;&lt;input type="hidden" name="" value="https://images-eu.ssl-images-amazon.com/images/I/912ECkfZKLS.png" class="video-slate-img-url"&gt;&amp;nbsp;C'est vraiment un super produit, en plus, on reçoit 2 micros, du coup on peut animer une soirée à 2 personnes, ou comme je l'ai fait s'amuser au karaoké... Très facile à installer, par exemple moi je l'ai relié à ma barre de son, la notice fournie est aussi en français, la portée des micros a l'air très bonne, un produit vraiment pour professionnel comme amateur, transportable partout.</t>
  </si>
  <si>
    <t>très bien j'ai offert ce casque à mon père pour son anniversaire. Déjà, il a su l'installer seul, donc je dirais qu'il est facile à installer. Mon père est très satisfait, le son est bien, et le casque "l'isole" plus du bruit extérieur que son précédent casque. seul bémol, il trouve que selon les programmes, il est obligé de monter un peu le son de la télé, car même avec le casque au maximum, il n'entend pas bien. Dans l'ensemble, il est très satisfait.</t>
  </si>
  <si>
    <t>excellent ou meme plus. Extraordinairement tres bien construit, en fait in crevable,fabriquer en chine mais qualite american a prendre avec le yeaux fermer peut etre briller avec creme sapphir</t>
  </si>
  <si>
    <t>Bracelet pierres Bracelet très joli qui tient bien au poignet Quant aux vertus escomptées, ce n’est pas flagrant mais je l’ai acheté en priorité pour son esthétique..</t>
  </si>
  <si>
    <t>Se taire et savoir écouter Parce que les moments de lecture sont des moments privilégiés avec son enfant mais aussi une détente et surtout l’occasion de donner à son enfant l’envie de découvrir d’autres histoires et le goût des livres. Je n’hésite pas à mette 5 étoiles car c’est un joli livre, une histoire qui fait découvrir à l’enfant diverses réactions, divers sentiments. Il n’y a qu’un seul personnage, un petit garçon qui s’appelle Camille mais il va recevoir la visite de beaucoup d’animaux.  Camille a construit un immense château mais voilà que sa construction s’effondre. Tous les animaux viennent le consoler, chacun à sa façon. Certains lui conseillent de crier, d’autres de ranger, de rire, de se venger, etc., mais Camille n’écoute personne jusqu’au moment où le petit lapin s’approche tout doucement de lui…  L’enfant découvre l’histoire en même temps que les images et fait la connaissance de plusieurs animaux. On pourra lui demander comment il réagirait à la place de Camille et lui permettre ainsi d’extérioriser ses sentiments.</t>
  </si>
  <si>
    <t>Pas mal ... quand il fonctionne ! A la réception nous l'avons trouvé pratique puisque ne prends pas bcp de place. Puis le temps de chauffe nous a semblé trèèès long surtout quand bébé a faim et puis la question a été réglée ce matin : ne fonctionne plus. Nous l'avons acheté il y a un mois à peine !! Déçus !!!</t>
  </si>
  <si>
    <t>Déçue par le masque et Amazon Après une utilisation l’élastique c’est déchiré.  Je n’arrive pas à sélectionner pour cet article un retour SAV.  Très déçue  par Amazon.</t>
  </si>
  <si>
    <t>Arrivée avec des taches de rouille :/ A l’ouverture, surprise: tâches d’oxidation sur la base du produit (voir photos), qui ne sont pas parties au lavage. Défaut principalement esthétique, mais je suis quand même déçue justement parce que l’esthétique est une des raisons pour lesquelles je voulais cette bouilloire, le design est sobre et rend bien dans ma cuisine. Autrement c’est une bonne bouilloire, je veux dire, elle fait son travail. A voir dans le temps. Bon rapport qualité prix à première vue, plutôt silencieuse par rapport à mon ancienne bouilloire et facile à nettoyer. Contente de mon achat malgré ses petits défauts.</t>
  </si>
  <si>
    <t>Pour la randonnée C'est chaussures ne me semblent pas adaptées pour le trail : trop rigides et pas assez d'amorti. En revanche pour les randonnées elle peuvent faire l'affaire. Attention, elles ont tendance à tailler un peu grand par rapport à des chaussures de running.</t>
  </si>
  <si>
    <t>très jolie montre je viens de la recevoir, conforme à la publicité, jolie et fonctionne bien ; vous choisissez la ville ( paris) et elle se règle toute seule :-) elle est lègère et semble bien solide. je recommande surtout avec le prix actuel.</t>
  </si>
  <si>
    <t>Belles chaussures Tres belle paire de chaussures qui correspond tout à fait à mes attentes. Ce cadeau a fait le bonheur de mon frère</t>
  </si>
  <si>
    <t>chaussure de plage merci de toute vos commentaire ma fille chausse du 36 pris du 37 ainsi nickel ormis que les tailles sont pas très bien adapté  la chaussure nickel</t>
  </si>
  <si>
    <t>Excellent produit! Notre bébé habitué au sein est passé sans soucis à cette tétine. Elle a 6 mois maintenant et nous utilisons encore cette taille 2 pour les biberons contenant uniquement du lait et la taille 4 pour ceux avec un léger ajout de céréales. L'unique point que je peux reprocher est un jaunissement du caoutchouc avec l'usage mais cela reste esthétique. Je recommande sans réserve... Edit du 04/01/2016: le jaunissement du caoutchouc était du à mon épouse qui avait mixé de la carotte dans le biberon... En aucun cas il ne s'agissait d'un jaunissement du plastique... Je remonte donc d'une étoile mon avis.</t>
  </si>
  <si>
    <t>Superbe Très joli,ravi</t>
  </si>
  <si>
    <t>Ravie de cet achat Coloris et taille correspondant à mes attentes</t>
  </si>
  <si>
    <t>Très bonne qualité Je l'ai acheté pour mon fils. Taille très bien et super qualité ! Livraison plus rapide que prévue. Je recommande cet article</t>
  </si>
  <si>
    <t>parfait biberon Ce biberon je m'en lasserai jamais après avoir utilisée plusieurs biberons de marque c'est ce biberon qui s'est adapté le plus facilement a mon bébé et surtout pour l'entretien, c'est très facile a laver et a stériliser.</t>
  </si>
  <si>
    <t>Très bien Très bon rapport qualité/prix</t>
  </si>
  <si>
    <t>Satisfaite! Pas beaucoup de biberon à motif vendu en magasin alors très satisfaite de cet achat et les images ne partent pas au lave vaisselle</t>
  </si>
  <si>
    <t>Excellente sacoche La sacoche est très belle, très sobre, on sent qu'elle est robuste et elle se tient bien. Attention au crocodile, il est en métal et perd facilement sa peinture si vous le frottez contre un mur par exemple</t>
  </si>
  <si>
    <t>Excellent appareil Très bon appareil dont on sent le haut de gamme dans les finitions. Le produit est en plus peu accrochant au calcaire</t>
  </si>
  <si>
    <t>Très bien Comme tous les autres produits de cette marque que j'ai pu utiliser : solide, sobre, et fonctionnel. J'arrive à rentrer plein de choses dedans, un smartphone 5,5" avec son étui, un chéquier, un gros carnet, un paquet de cigarettes... Très bon équilibre volume/taille/nombre de rangements</t>
  </si>
  <si>
    <t>Top Facile à monter, à transporter et à laver, élégant et de bonne qualité ! Rien à redire</t>
  </si>
  <si>
    <t>Ma femme aime "Différents modes de vibration en fonction de votre humeur et de vos souhaits. La batterie est utilisée depuis longtemps, le produit n'est pas trop bruyant, je le recommande!"</t>
  </si>
  <si>
    <t>Très bien Franchement on est très bien Je les utilises pour la maison</t>
  </si>
  <si>
    <t>Légendaire Peu d'objets peuvent se targuer d'être légendaires, cette montre en fait partie. Elle a garni le poignet des grands de ce monde (obama jeune) mais les africains de 50 ans et plus ne jurent que par elle. Elle affiche l'heure, fait le chrono, éclaire avec peine, et affirme sa présence par 2 bips aigus toutes les heures (on/off), elle ne fait rien d'autre, mais c'est un légende.</t>
  </si>
  <si>
    <t>Que du bonheur Wahou magnifique casque 🎧 d’excellente qualité super bien emballé je les  pris avec l’étui Marshall comme ça quand je part dans  mes déplacements mon casque 🎧 sera bien protéger casque idéal car il fait les feux  filaire ou Bluetooth  franchement vous pouvez vous faire plaisir vue la qualité du casque  bravo et merci Amazon !!! Je trouve toujours mon bonheur sur Amazon ❤️</t>
  </si>
  <si>
    <t>Pas convaincu dutout Matière pas terrible, taille conforme et motif bien imprimé. Coutures honteuses au niveau des manches !</t>
  </si>
  <si>
    <t>Bon produit Je l'utilise dans la vie de tout les jours et du jour au lendemain la rotation des jours de la semaine fonctionne à moitié je n'est plus que 2 jours qui fonctionne</t>
  </si>
  <si>
    <t>pas énorme, attention , vue la photo, je m'attendais à une grande bobine: pas de tout environ 10cm de haut . en bref c est pour dépanner au jardin .</t>
  </si>
  <si>
    <t>Collier pour femme Je mets 3 étoiles seulement à ce produit. La chaîne est très très fine.... Donc déçu de ce produit..</t>
  </si>
  <si>
    <t>ca va sans plus j'aime que ce casque peut se mettre à plat, j'aime que c'est discret, et le son est correct.  Par contre les oreillettes glissent sur mes oreilles quand je penche la tête, et ont donc tendance à tomber (j'aime écouter la musique en faisant le ménage!).  Un peu frustrant.</t>
  </si>
  <si>
    <t>Il n y a pas de bruit, et l utilisation très simple. Pour l intérieur, ça marche aussi pour éloigner les moustiques...</t>
  </si>
  <si>
    <t>Top Très agréable, très bon amorti et surtout très légère pour moi qui marche beaucoup au travail. Très satisfait de ces chaussures de sécurité</t>
  </si>
  <si>
    <t>Taille grand Bonne qualite</t>
  </si>
  <si>
    <t>Bon casque 👍🏼 Casque de très bonne qualité, son parfait, seul petit bémol mais vraiment pour dire un truc négatif il est un peu gros même plié mais c’est vraiment pour faire le difficile. C’est le 2 eme que j’achète un pour cadeau et au final le 2ème pour moi car il est vraiment top et livraison super rapide.👍🏼👍🏼👍🏼 Pour la durée de vie je ne peux pas me prononcer car le premier casque a 8mois et le mien 3jr. Le casque tien bien 5-6jr avec une moyenne de 2h d’utilisation pas jour. Et le raccordement jack est appréciable quand on a plus de batterie.</t>
  </si>
  <si>
    <t>Très jolie Rien dire tout est impeccable</t>
  </si>
  <si>
    <t>Belle qualité chaussure du bonne qualité,ça tailler comme il faut, à intérieur il y a des fourrure, et il tien vraiment chaud. Cette hiver on va pas avoir le froid du pied. la boîte de chaussure est aussi du bon qualité, ça peut servir pour mon grenier.  Chaussure recommander</t>
  </si>
  <si>
    <t>Vans Old Skool Bonnes chaussures Vans. La livraison est rapide, la pointure va parfaitement. Correspondent bien à la description faite par le vendeur.</t>
  </si>
  <si>
    <t>Super ! Super ! Doux comme prévu, taille sans problème , parfait ! je vous le conseille vivement, idéal pour faire du sport comme pour trainer à la maison</t>
  </si>
  <si>
    <t>vraiment classe tres belle montre et tres classe je conseil</t>
  </si>
  <si>
    <t>À recommander pour les Fans Cadeau pour ma fille, elle a été folle de joie !!!! Le sweet correspond bien à la description, ça taille normale. Aucun problème au lavage.</t>
  </si>
  <si>
    <t>Qualité nickel Fils content Qualité nickel</t>
  </si>
  <si>
    <t>Super produit Oui j'aime aimé</t>
  </si>
  <si>
    <t>legging à rayures Les rayures donnent du style je suis très contente de ce legging.</t>
  </si>
  <si>
    <t>Montre Homme Casio Wave Ceptor LCW-M100DSE Très satisfait de cet achat. seul reproche : la notice est très petite. Pas facile à manipuler.</t>
  </si>
  <si>
    <t>J'en suis très satisfait Bracelet très fin à la recherche. Ma femme adore ça et le porte souvent，J'en suis très satisfait, Je le recommande il est parfait.</t>
  </si>
  <si>
    <t>Très joli Article conforme à la description. Bien qu'un peu lourd ma fille a adoré</t>
  </si>
  <si>
    <t>Quel gain de temps pour la maman Ce praprateur de biberons est le meilleur du marché actuellement. Il permet de ne plus vérifier si la quantité d'eau ou de lait est bonne, s'il faut en ajouter ou en retirer, tout se fait automlatiquement. Je recommande ce produit comme cadeau de naissance !!!</t>
  </si>
  <si>
    <t>Impeccable pour les repas à l'extérieur... Et pour les nuits ! Impeccable pour les repas à l'extérieur... Et pour les nuits !</t>
  </si>
  <si>
    <t>A savoir très jolies chaussures, mais: la taille est petite, j'ai dû retourner la première paire (prévoir 1 taille en plus - j'ai l'habitude de cette marque et normalement, je connais la pointure) + assez étroit . Et assez peu confortable en terrain accidenté du fait d'un soutien latéral piégeur: semelle étroite avec très bon grip, mais les crampons sot assez hauts, donc,, le pied part assez vite latéralement: attention aux chevilles...(j'ai eu des alertes avec le pied qui se fait embarquer sur le côté)</t>
  </si>
  <si>
    <t>bof Mauvaise qualité de coton. Transparence sur le t-shirt et finitions bas de gamme.</t>
  </si>
  <si>
    <t>Fragile 2 fermetures cassées dont 1 décousue. De nombreuses poches mais inaccessibles quand elles sont remplies. A éviter. A éviter. A éviter</t>
  </si>
  <si>
    <t>Origine requise Je pense que le pays de fabrication devrait figurer sur la présentation des produit. Quand une marque à un multisourcing il est important de savoir d'où viennent les produits.</t>
  </si>
  <si>
    <t>Autonomie et qualité de reception Après avoir lu les différents commentaires, je m'inquiétais sur la qualité du son et les nombreuses coupures décrites dans les commentaires pendant l'écoute. J'ai utilisé ces écouteurs avec différentes interfaces et il apparaît que selon le moyen utilisé (tablette ou téléphone ou ampli), la stabilité d'écoute n'est pas la même sans toutefois êtres rédhibitoire car c'est seulement avec mon smartphone que j'ai eu ces coupures et a un niveau de son relativement fort . Ce bilan est également valable selon la qualité de l'enregistrement ou streaming écouté. Pour ma part  je suis très satisfait de la qualité d'écoute et surtout sur la qualité de réception. J'utilise ces écouteurs pour différentes activités(sport, bricolage, écoute musique dans la maison) et j’apprécie la réception de bonne qualité dans toutes les pièces et même quand je perds  la connexion dés que je reviens dans une zone de couverture les écouteurs se reconnectent automatiquement.</t>
  </si>
  <si>
    <t>Très chaud ! J'ai un mari extrêmement frileux des pieds et qui passait son temps à se plaindre . Je lui ai offert ces chaussons. Il adoooorrrrree !! il me dit qu'il a enfin chaud ! Par contre effectivement ils chaussent petit . Mon mari fait du 44/45  et je lui ai pris du 46 qui lui va très bien.</t>
  </si>
  <si>
    <t>Bon produit pratique Bon produit, très pratique pour le séchage des biberons. Ne prend pas trop de place sur le plan de travail. Les couleurs sont sympa. Par contre, la gouttière permettant de récolter l’eau n’est pas très large et tout est en plastique (d’où les 4/5 en matière de solidité)</t>
  </si>
  <si>
    <t>belle et lumineuse C’est une belle bouilloire d’une grande contenance (1,7 litre) dont la particularité est de s’illuminer en bleu lorsque l’eau chauffe. Joli design moderne en verre et acier chromé et belle qualité pour cette bouilloire qui est bien stable et très maniable, son couvercle s’ouvre d’une pression sur le manche et elle atteint l’ébullition rapidement. Bien compacte, elle occupe peu l’espace et elle offre visuellement un indicateur par le biais du dessin d’une petite tasse, bien pratique lorsqu’on a une petite quantité à chauffer. Ce qui fait sa beauté est aussi  un inconvénient car les parois de la bouilloire en verre sont très chaudes lorsqu’elle est en marche et le tartre les ternit très vite même en utilisant de l’eau de source, il faut donc régulièrement la faire fonctionner avec de l’eau additionnée de vinaigre d’alcool pour qu’elle retrouve tout son éclat, au moins tous les deux ou trois jours en cas d’usage répété et cela devient vite contraignant</t>
  </si>
  <si>
    <t>joli gadget fun mais des coté pratiques. les mesures en pluysieur normes aident</t>
  </si>
  <si>
    <t>casque Je cherchais un casque sans fil pour écouter la musique en tondant ma pelouse. Je l'ai trouvé avec ce casque qui en plus d'avoir été livré en 24h, de ne pas l'avoir payé cher, le son est vraiment vraiment bon. Je n'entend presque plus le bruit de la tondeuse et la corvée de tondre la pelouse et maintenant devenue un moment rock... Je vous recommande ce casque</t>
  </si>
  <si>
    <t>Taille Parfait, à rempli les objectifs fixés lors de l’achat</t>
  </si>
  <si>
    <t>Cadeau de naissance parfait A mettre sur toutes les listes de naissances! Ce kit est parfait pour bien débuter avec son nouveau-né. Il contient des biberons (2 petits et 2 grands), un goupillon de nettoyage et une sucette pour nouveau-né. Ces biberons sont un peu différents de ceux que j'utilisais, la valve anti-colique est en fait une tige qui va presque jusqu'au fond du biberon. En plus cette tige est réactive à la chaleur...si le lait est trop chaud la tige l'indique. C'est un petit plus très utile .  Les tétines sont bien adaptées aux bébés allaités mais conviendront à n'importe quel nouveau né.  Un super kit!</t>
  </si>
  <si>
    <t>Trop bien! Je fais du 42 normalement et j’ai dû prendre taille 40 de ce modèle. Des vrais chaussons!</t>
  </si>
  <si>
    <t>Cette montre est très utile pratique et joli Pour mon travail ,quand je sors en bateau  ,Pour me baigner</t>
  </si>
  <si>
    <t>Parfait pour les novices en quête de qualité! Je cherchais depuis longtemps un casque de bonne qualité sans pour autant me ruiner, simplement pour écouter de la musique (quel bonheur de lire des fichiers en FLAC au passage), le son est d'une pureté incroyable, surtout pour ce prix là...</t>
  </si>
  <si>
    <t>miracle quelle aubaine pour les douleurs lombaires, la nuque, les épaules meme entourée sur la cuisse contre les crampes, chaleur bien repartie et reglable</t>
  </si>
  <si>
    <t>Excellent rapport qualité prix Produit arrivé avec une sacoche de transport. Très beau et agréable à porter, prévoir 0.5 de taille en plus de mon côté. Au top pour de la ville et du sport en salle, néanmoins ne tiendra pas le choc en course à pied ou randonnées.</t>
  </si>
  <si>
    <t>soutien gorge trés bon produit je recommande merci</t>
  </si>
  <si>
    <t>montre parfaite et peu couteuse Elle a tout: étanche, 10 ans d'autonomie, une précision digne d'une montre suisse, 5 alarmes, 5 fuseaux horaires, un look proche de la seiko sport 1000, un bracelet métallique solide, une bonne lisibilité de l'écran, un très bon éclairage. Le seul défaut: la date est difficilement lisible.</t>
  </si>
  <si>
    <t>Ravi de mon achat En ville et ou au boulot (intérieur) originalité/simple elle plaise. légère et agréable à porter</t>
  </si>
  <si>
    <t>Réveil en douceur et en couleur Parfait pour les durs d’oreilles au réveil ! Lumière et son agréables ; bien lire la notice car plusieurs réglages</t>
  </si>
  <si>
    <t>papier toilette je recommande au clients de l'acheter moi a chaque je commande sa reste longtemps très bonne marque très doux pas très chère surtout vous êtes tranquille</t>
  </si>
  <si>
    <t>Résultat à la hauteur de mes attentes Utilisé sur deux paires (de la marque Hudson, je les ai payées autour des 100 euros) que j'ai depuis deux ans, sans jamais les avoir traitées auparavant. Le résultat est clair, je suis satisfait du produit.  Les instructions sont toutes simples et écrites sur le produit. J'ai personnellement utilisé un vieux t-shirt coton pour l'application, ce qui marche très bien.  Je recommande !</t>
  </si>
  <si>
    <t>Parfaitement parfait Chaussettes solide , parfait pour mes chaussures de sécurité</t>
  </si>
  <si>
    <t>These boots are made for walking Livrées dans les délais, ces boots correspondent parfaitement à leur description, excellente fabrication. Sitôt arrivées, sitôt chaussées et le confort est au rendez vous. Quant à leur durée de vie? On verra plus tard...</t>
  </si>
  <si>
    <t>palette incomplete bonjour c 'est la deuxième fois que je commande ce produit et dans les deux cas im manque deux crayon de couleurs</t>
  </si>
  <si>
    <t>Vraiment trop petit Déçue par la taille qui est vraiment trop petite par rapport aux standards. Point de vue qualité, le tissu parait très très fin.</t>
  </si>
  <si>
    <t>Originales mais pas conformes J'ai acheté deux paires de timberland sur amazon aux pointure 7.4 / 41 EU (Marron et noire) . La première me va parfaitement . La deuxième paire celle ci (noire) me serre beaucoup trop au pieds droit. De plus les bottes font énormément de bruit quand je marche avec. Sinon la livraison est assez rapide sous 3 jours ouvré. le produit est de qualité. Je suis juste déçu que je sois victime de faute de fabrication.</t>
  </si>
  <si>
    <t>Bague double phalange Jolie bague cependant par rapport à la photo je m'attendais à mieux mais cela reste un joli bijo à porter.</t>
  </si>
  <si>
    <t>hyper confortable mais pour ça, j'ai du renvoyé la paire que j'avais commandé en 39,5 (une demi pointure en plus que ma taille habituelle en Clarks) et je les ai prises en 41. dans le 39,5 j'ai mis un temps fou à en mettre une et encore plus à la retirer. Maintenant avec la nouvelle taille, je suis comme dans des chaussons</t>
  </si>
  <si>
    <t>Sympa Je m'attendais à une lampe un peu plus petite, j'ai mal lu la description.  Très légère donx on peut la déplacer sans problème un peu partout. Ne chauffe pas et la lumière est vraiment puissante.  Je ne l'ai pas depuis assez longtemps pour parler de l'efficacité sur le long terme. Mais elle m'aide à me motiver le matin</t>
  </si>
  <si>
    <t>Très bon choix Conforme a la commande très bonne qualité hors mis quelques files qui dépassent mais rien de significatif Et livré avec deux semaines d'avance 👍 Je recommande</t>
  </si>
  <si>
    <t>Bon produit, de qualité, un peu fort en basse Utilisé depuis 3 semaines, un bon rapport qualité prix. Bonne qualité audio, trop de basse à mon gout. Ça se corrige bien avec un égaliseur. Bonne tenue et confort oreilles. Réception bluetooth sans surprise, au moins 10m. Je bosse en openspace et atténuation du bruit écouteurs sur off très bonne (passif) Boitier de charge très correct.</t>
  </si>
  <si>
    <t>bon produit article conforme et de bonne qualité. remplie parfaitement sa mission, bonne resistance des pages</t>
  </si>
  <si>
    <t>Qualité de son impeccable à petit prix Apres 5 jours d'utilisation les écouteurs fonctionnent parfaitement. La qualité du son est excellente et l'appareil offre une bonne autonomie en plus du boîtier rechargeable qui permet de charger deux fois les écouteur Des bouton sur chaque écouteurs permettent de faire passer la musique ou de la mettre en pause Je recommande</t>
  </si>
  <si>
    <t>Pull capuche Viper Taille parfaite (je fais 1m85 pour 75kg environ et j'ai pris un taille L), très bonne coupe. Je suis très satisfait de cet achat. Pas encore tester en extérieur mais il semble tenir assez chaud. Seul petit bémol, la capuche est un peu serrée quand on la met (trop "collée" sur la tête).</t>
  </si>
  <si>
    <t>JADORE Produit conforme à la photo ,belle qualité ,taille bien.  je recommande !</t>
  </si>
  <si>
    <t>nikel pour une fan de Converse telle que moi j'avais un peu peur de commander sans essayer qu'elle ne fut pas ma surprise quand j'ai reçu la paire, aussitot reçue aussitôt essayée elle me va impeccable taille parfaitement en taille 40  je conseille et pour le prix on n'hésite pas une seule seconde</t>
  </si>
  <si>
    <t>super modèle très  bien très solide et tiennes bien le pied. Je reprends les memes les yeux fermés</t>
  </si>
  <si>
    <t>énorme le rouleau est énorme et ne rentre pas dans mon distributeur... MAIS le film plastique est vraiment beaucoup supérieur à celui des marques qu'on trouve en grande surface. Et ça compense largement.</t>
  </si>
  <si>
    <t>super à l'aise dedans Franchement c'est exactement ce que je voulais,je les avais déja commander l'année dernière et je me sens super à l'aise dedans,je recommande vivement cet article.</t>
  </si>
  <si>
    <t>Un des plus beaux livres sur Noël... Extrait de la page Facebook Livres Préférés de mes Enfants  La fin de l'année approche. Les sapins rêvent de la robe qu'ils porteront le soir de Noël. Dans l'ombre des grands arbres, il y a un tout petit sapin qui les écoute. Verra-t-il lui aussi son rêve se réaliser?  Points Forts :  - Magnifique histoire de Noël ! ! Rêve, poésie, imaginaire…  - Aborde Noël d’un biais original, du point de vue des sapins sans Père-Noël ni cadeaux.  - Montre que la réalité peut parfois être encore plus belle que le plus beau de nos rêves ! !  - Aborde avec poésie et délicatesse les thèmes de la différence et des goûts personnels.</t>
  </si>
  <si>
    <t>Bonne qualité Le bracelet blanc est un peu plus petit que le noir, et ils ont parfaitement la bonne taille pour nous (nous avons des poignets plutôt fins..). Les pierres sont belles et ont l'air de bonne qualité, la couronne cependant a déjà perdu un peu de couleur pour la partie contre la peau (en deux jours de forte chaleur). Il y a deux fils élastiques ce qui rassure quant à la durée de vie des bracelets. En bref, un très bon achat pour ma part, mais méfiez-vous si vous avez un gros poignet.</t>
  </si>
  <si>
    <t>Très bon rapport qualité/prix Cafetière design vintage Fait peu de bruit, rapide, maintien du café au chaud 40 minutes Grande contenance. Très bon rapport qualité/prix</t>
  </si>
  <si>
    <t>BELLE SURPRISE ! Pour le prix, on s'attend à avoir un gadget... Mais une fois reçu et testé, une belle surprise. Silencieux, simple d'utilisation (plus simple, c'est impossible), 2 boutons, un pour régler la lumière de son choix dans toutes les couleurs de l'arc en ciel. L'autre bouton pour diffuser une ou plusieurs heures. S'arrête automatiquement lorsqu'il n'y a plus d'eau ou lorsque le timing est terminé. Un design sympa, qui malgré le matériau plastique, fait un bel effet bois. Dès qu'on le lance, il diffuse immédiatement (1 seconde).  Autre détail appréciable, un long câble d'alimentation !  Bref, absolument rien à dire. Tout y est, qualité, prix, efficacité et design.</t>
  </si>
  <si>
    <t>Parfait Parfait , 41 femme juste et confortable . Je recommande.</t>
  </si>
  <si>
    <t>Très utile ! Un excellent chauffe biberon mais pas que , tous ses modes dont le système de décongélation fonctionne extrêmement bien. On apprécie la possibilité de mettre deux biberons en même temps Les boutons réagissent très bien</t>
  </si>
  <si>
    <t>très bien Satisfaite de cet achat pour ma fille. La taille, la couleur, et le prix rien à redire. Parfait pour une adolescente !</t>
  </si>
  <si>
    <t>Déteins sur la peau L'alliage de métal à déteins sur la peau de ma femme qui lui a laissée une marque bleu tout autour du cou à cause de la chaîne et l'arrière du bijou deviens tout rose. Dommage car le bijou en lui même est beau  mais son pris de base ne doit pas être à 100E, vue la qualité il mérite bien son 30e</t>
  </si>
  <si>
    <t>Très déçu L'extérieur est de bonne qualité par contre les semelles se sont désagréger en très peu de temps. J'ai du racheter une semelle et un coussin en gel pour remplacer le tout</t>
  </si>
  <si>
    <t>Tissus de très mauvaise qualité La description fait état d'un mélange de coton, en fait c'est du synthétique avec un touché presque plastique qui est très désagréable et pas joli du tout. J'ai envoyé une demande de retour mais le vendeur ne semble pas disposé. J'attends de voir comment cela va évoluer. Je suis déçue qu'Amazon accepte des vendeurs qui ne jouent pas le jeu et qui se permettent des descriptions mensongères.</t>
  </si>
  <si>
    <t>cellule ibizacart Le son est moyen et personnellement j'ai le son en mono peut être une autre panne ( faudrait t'il régler la position de la cellule)</t>
  </si>
  <si>
    <t>Joli mais ne servira pas....:-( Habituée des biberons Mam, très déçue de mon achat. J'utilisais jusqu'ici les biberons dotés du système anti coliques. Avec ce modèle, ma fille a beaucoup de mal à boire car la tétine s'aplatit malgré la petite fente sur la base de celle-ci destinée à faire passer l'air. Du coup elle s'étouffe sans arrêt. Il ne me reste plus qu'à racheter de suite le modèle anti coliques de 320 ml et je laisse celui ci au fond du placard :-(</t>
  </si>
  <si>
    <t>solac masseur appareil complet, très efficace !! jambes plus légères mais il faut le faire au moins 10 minutes par jour.A recommander à 100%.</t>
  </si>
  <si>
    <t>Aicok Bouilloire électrique 2200W petite bouilloire mignonne et sympa bon rapport qualité prix</t>
  </si>
  <si>
    <t>Pratique et facile à utiliser Super facile de remplir les petites gourdes et tellement pratique à prendre avec partout! Franchement je suis fan. Je n'avais pris que les gourdes du pack mais je vais en recommander! Bébé adore et franchement quel gain de place!!! Petit conseil: Il faut acheter la petite brosse aussi, cela facilitera le nettoyage des gourdes (Fill n Squeeze Reusable Pouch Cleaning Brush)</t>
  </si>
  <si>
    <t>Ca marche, mais... J'avais commandé ce produit en particulier car j'avais vu qu'en plus il y avait les ajusteurs plats, qui me correspondaient plus niveau esthétique, pourtant j'avais vu que ça ne marchait pas bien... Alors j'ai voulu avoir les deux.  Constat : J'ai voulu utiliser les ajusteurs qui s'enroulent, mais comme l'anneau de ma chevalière est plat et pas rond, ça marche pas de fou... Les ajusteurs plats viennent en multiples tailles différentes, et en DOUBLE (ça a son importance), et : 1 : Esthétiquement c'est très discret 2 : Ca marche exactement comme je l'avais espéré : très bien 3 : Certes ça tombe des fois, mais je n'ai pas voulu mettre le collant fourni avec car ça doublait la taille donnée en plus par l'ajusteur. Après ça ne me dérange pas de le remettre à chaque fois, donc c'est comme vous le sentez. Par contre, si vous le faites tomber, bon courage... Transparent comme c'est, j'en ai déjà perdu un (au bout d'une semaine d'utilisation), donc comme quoi, le fait que ce soit en double compte ! Si vous voulez que ça tienne, je conseillerai de mettre un point de colle forte, mais après bon courage pour l'enlever... Donc le mieux c'est de faire attention  Pour résumer :  Je ne me prononce pas sur les ronds, ça ne me convient tout simplement pas. Les plats sont très discrets et marchent bien, mais attention au collant qui est très épais. Mais sans ça, ça va souvent tomber. Mais je recommande quand même, le produit remplit parfaitement son office.</t>
  </si>
  <si>
    <t>Très bonne qualité Les feutres sont neufs et de bonne qualité, ils fonctionnent tous. L'assortiment de couleurs me convient, à ce prix c'est une offre très intéressante, merci beaucoup !</t>
  </si>
  <si>
    <t>RENAPUR J’ai utilisé Renapur pour nettoyer et entretenir les sièges en cuir de mon véhicule. Resultat impeccable. Éclat retrouvé, odeur très agréable !!! Entièrement satisfait.</t>
  </si>
  <si>
    <t>Très pratique Très sympa esthétiquement et surtout très pratique. Les matériaux semblent être de bonne qualité.</t>
  </si>
  <si>
    <t>Excellent casque vendeur moyen MAJ: le fournisseur vous insite a mettre un commentaire et vous demande la preuve pour avoir un bon d'achat etc... unz fois le commentaire posté plus de nouvelle, ne repond pas aux mails...Produit de qualité, s'adapte bien à la tête, son excellent pour gamming stereo</t>
  </si>
  <si>
    <t>produit parfait j'ai fait la meilleure affaire sur la nouvelle collection pendant les soldes le choix de couleur bien ravie de cet achat</t>
  </si>
  <si>
    <t>belle et intuitive batterie d'une journée au max très belle montre avec toutes les fonctionnalités qu'il faut (sport et multimédia) j insiste sur la beauté de cette montre elle fait vraiment très classe, sincèrement je la préféré de loin sur la Galaxy de Samsung -</t>
  </si>
  <si>
    <t>Au top Au top, très classe</t>
  </si>
  <si>
    <t>Bein Achetez Pour ma fille elle était super contente conforme à la photo</t>
  </si>
  <si>
    <t>Pratique Très bien</t>
  </si>
  <si>
    <t>Idéal kit nouveau né Lot complet de biberon pour bébé . Je l’ai offert à ma soeur elle est ravie de ce lot . Facile à nettoyer et à utiliser</t>
  </si>
  <si>
    <t>Masseur pied 5kg &lt;div id="video-block-R1SV7XGSVHR8X0"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id="103" preload="auto" src="https://images-eu.ssl-images-amazon.com/images/I/B1G482iDgmS.mp4" style="position: absolute; left: 0px; top: 0px; overflow: hidden; height: 1px; width: 1px;"&gt;&lt;/video&gt;&lt;/div&gt;&lt;div id="airy-slate-preload" style="background-color: rgb(0, 0, 0); background-image: url(&amp;quot;https://images-eu.ssl-images-amazon.com/images/I/91OSl-QuXCS.png&amp;quot;);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value="https://images-eu.ssl-images-amazon.com/images/I/B1G482iDgmS.mp4" class="video-url"&gt;&lt;input type="hidden" name="" value="https://images-eu.ssl-images-amazon.com/images/I/91OSl-QuXCS.png" class="video-slate-img-url"&gt;&amp;nbsp;Parfait après une journée de travail ou même après le sport waaaa lol j ai un durillon au pieds et ça me soulage vraiment..pression des doigts, pétrissage, rouleau, coussin gonflable et fonction de chauffage.Attention cependant à respecter les 15 minutes et de ne pas trop appuyer avec les jambes, vous risqueriez de vous faire mal mais sinon c est un appareil agréable, a voir dans le temps...</t>
  </si>
  <si>
    <t>pratique et tres leger mon mari est très content de petit sac, il est léger, plein de poches à l'intérieur, soit pour portable soit pour lunettes, il peut ranger plein de choses, la lanière n'est pas trop grande, bref il lui plait beaucoup.</t>
  </si>
  <si>
    <t>Belle Basckets La taille correspond. Elles sont bien blanche et confortable. Reçu rapidement. Bien pour l'été. Va bien avec toute les tenues.</t>
  </si>
  <si>
    <t>super produit!!! vendeur tres professionel!!! genial au top Génial!!!! Super rapide niveau livraison. Le professionnalisme du vendeur est parfait avec papier de garantie noté et tamponner. C'est montre paraît petite dans ça boîte mais me va très bien au poignet!!! 5 minutes pour la réglée</t>
  </si>
  <si>
    <t>excellente chaussure nous en sommes ravis, confortables, nettoyable facilement notre fils de 11 ans pourtant insupportable à habiller les adore !! on recommande</t>
  </si>
  <si>
    <t>Reçu en mauvais état et de mauvaise qualité J'avais racheté pour 2,59 € au total le modèle 3 chaînettes avec cristaux gouttes Swarovski. J'ai reçu un article de qualité moindre, avec des cristaux ne correspondant pas à mon premier achat. Et les chaînettes, qui avaient dû être écrasées, ne voulaient pas reprendre une forme tombante. J'ai donc demandé un nouvel article correspondant à ma commande. Le vendeur n'a pas du tout pris en compte ma demande ni ma réponse, et a procédé au remboursement. Le prix de ces boucles étant très fluctuant, si je veux racheter ces boucles d'oreilles, je devrai payer 3 à 4 fois plus cher.</t>
  </si>
  <si>
    <t>Défectueux Je suis très déçue, la fonction Bluetooth du casque ne fonctionne pas du tout... Au prix qu'il est et étant donné que c'est sa fonction principale, c'est vraiment dommage ! De plus, l'assistance m'a dit qu'elle me mettrait en contact avec le SAV de Marshall directement et ça n'a jamais été fait !</t>
  </si>
  <si>
    <t>Nul’ J’ai ouvert mon paquet et il yavait rien dedans</t>
  </si>
  <si>
    <t>Beau mais... Il est beau, semble de bonne qualité(a voir dans le temps) mais à 1 défaut: le cuir déteint sur les vêtements clair.</t>
  </si>
  <si>
    <t>belle paires de chaussures de securité Bonjour Je les ai acheté pour la forme et avoir une paire légère. Etant formateur, en atelier elle sont légère. Par contre en utilisation intense prendre autre chose prévu pour.</t>
  </si>
  <si>
    <t>Tient chaud Bon produit, mais la housse laisse bcp de peluche sur le tissu</t>
  </si>
  <si>
    <t>A4 MX410 BLACK EXELLENTE FEUILLE POUR IMPRIMANTE MX 410 CES DU SOLIDE .. DONC JE LA RECOMMENDE 10 SUR 10.  JEANCLAUDE  AIX EN PROVENCE</t>
  </si>
  <si>
    <t>Tres belle Le loock est juste sublime, tres belle bouilloire qui malgré ses 1L7 semble menue Arret automatique top  Petite lumière blue quand l'appareil est ennmarche c est appréciable. Elle est quand même tres brulante quand elle chauffe Je trouve qm le temps de chauff assez long, il faut compter quasiment 6min pour chauffer 1l7 d'eau...c'est un peu long a mon goût .</t>
  </si>
  <si>
    <t>conforme à la description Pour l'instant satisfait bon confort bonne tenue</t>
  </si>
  <si>
    <t>Belle qualité Paillettes de belle qualité, quasiment sans parfum. Je m'en suis servie jusque-là pour faire de la lessive maison. Le produit est parfait !</t>
  </si>
  <si>
    <t>Produit reçu pour avis. Produit de bonne qualité, très fin et compact. Il relis mon vidéo projecteur à mon enceinte. Pas de perte de qualité audible.Les connecteurs sont plaqués or pour une meilleure transmission du signal.Rempli sa fonction. Je recommande.</t>
  </si>
  <si>
    <t>Etonnant rapport qualité prix - bluffé J'ai cherché pendant des heures des écouteurs true free (sans fil). J'avoue avoir eu beaucoup de mal à me décider vu les écart de prix. Pour la plupart des modèle à 50€-100€ tout le monde à la même remarque, pas de basse... et bien ces écouteurs en ont. Le son n'est pas parfait, il n'est spécialement fort (mais je n'arrive pas a les mettres à fond quand même) mais franchement rapport qualité prix je suis vraiment bluffé. Je les ais acheté pour faire du sport, et je suis encore surpris qu'il tienne aussi bien (je suis dans une salle de fitness, course, eliptique et muscu). Pourtant j'ai souvent des problèmes a trouver des écouteurs qui tiennent dans mon oreille. Le boitier est tout petit et à l'aire de bien tenir la charge, aucun problème appairage.  En bref, je suis surpris, je ne connaissais pas la marque, j'ai fait confiance au commentaire et je suis vraiment content. Je ne met jamais 5 étoiles car je ne me sent jamais complètement satisfait, mais là encore une fois vu le prix je ne vois pas comment on pourrait demander mieux. Tout est nickel.</t>
  </si>
  <si>
    <t>On les a très vite il taille très bien merci continue comme ça Très pratique légère on est bien dedans et il taille très bien</t>
  </si>
  <si>
    <t>Bon rapport qualité prix Très beau livre offert à un enfant de 6 ans. Il se l'ai très vite approprié pour chercher les réponses à toutes ses questions... La présentation est très ludique pour des enfants. Il est facile à lire et ponctué et jeux et anecdotes ce qui le rend encore plus attrayant</t>
  </si>
  <si>
    <t>C'est elle qu'il me fallait En effet cette montre est exactement ce que je voulais . elle est très pratique avec toutes les fonctionnalités dont j'ai besoin et en plus elle est très légère .</t>
  </si>
  <si>
    <t>Confortable et légère Article reçu rapidement, conforme à la description. Elles sont très confortable, légère et souple. Le guide des pointures est fiable. Je prends habituellement du 41 et d'après le guide je devais m'orienter sur le 42, ce que j'ai commandé, et elles sont nickel. A voir dans le temps comment elles vont résister en utilisation normale</t>
  </si>
  <si>
    <t>Bon produit super rapport qualité/prix</t>
  </si>
  <si>
    <t>Parfait ! Ce micro est parfait pour mon usage, mes abonnés Youtube vont me remercier pour leurs oreilles :D S'adapte parfaitement à mon Panasonic Lumix DMC-FZ200. J'ai simplement dû acheter un adaptateur de Jack pour passer du 3.5mm du micro au 2.5mm de l'appareil photo.</t>
  </si>
  <si>
    <t>Jolie. Conforme à la commande. Satisfait des boucles d’oreilles. 👍</t>
  </si>
  <si>
    <t>Mon meilleur achat C'est incroyable. Cette perche est d'une qualité incroyable. Je ne pourrais plus m'en passer a présent.</t>
  </si>
  <si>
    <t>microphone merveilleux et haut-parleur sans fil Je l’ai acheté pour mon mariage afin que tous les invités puissent m’entendre. Facile à appairer et à utiliser. J’aimerais bien que la lumière puisse être plus brillante, mais il reste un produit de bon rapport qualité prix.</t>
  </si>
  <si>
    <t>La science à la portée de tous : c'est magique La qualité pédagogique des ouvrages scientifiques anglo-saxons.  De nombreuses expériences permettant de voir et comprendre (sinon de s'interroger) les grands principes de la physique, la chimie et la biologie. Les enfants aiment beaucoup car c'est en général assez facile à réaliser et l'effet est souvent spectaculaire comme un tour de magie. A partir de 7 ans (avec l'aide d'un adulte).</t>
  </si>
  <si>
    <t>Fait le job Fonctionnel ,fait ce qu'on attend d'un trieur nomade</t>
  </si>
  <si>
    <t>Excellent produit Ce micro est très facile a installer. La qualité du son en sortie est vraiment plus que correct.  J'ai vraiment l'impression d'utiliser du matériel de professionnel pour un prix réduit. Juste ce qu'il me fallait</t>
  </si>
  <si>
    <t>Trop petit pour un bébé de 4 mois Le collier est trop petit pour mon bébé. on fait à peine le tour du cou.</t>
  </si>
  <si>
    <t>Écouteurs pas dans la boîte ! Reçu la boîte sans blister, et rien dedans !!  Intolérable. J’ai du me rendre en boutique pour les acheter (absolument besoin pour le jour en question).  Déçue !!!!</t>
  </si>
  <si>
    <t>attention ne vous faites pas avoir j ai commandé ce produit car j étais en panne et je pouvais me faire livrer dans la journée livraison top  mais quelle déception en ouvrant mon colis les rouleaux sont tellement vieux qu ils sont tous noirs : une honte de mettre en vente des  produits autant délabrés dans l état où ils sont ils devraient être jetés ou donnés</t>
  </si>
  <si>
    <t>Joli mais ... Ensemble joli, fin et discret mais se terni très vite et peu solide. A porter lors d'une occasion particulière mais ne pas s'attendre à ce qu'il dure dans le temps, le prix étant ce qu'il est... Pour un meilleur effet, à accompagner du bracelet&amp;nbsp;&lt;a data-hook="product-link-linked" class="a-link-normal" href="/Bracelet-Femme-Coeurs-Entrelacés-Cristal-Blanc/dp/B00BQGT0IU/ref=cm_cr_arp_d_rvw_txt?ie=UTF8"&gt;Bracelet Femme Coeurs Entrelacés - Cristal - Blanc&lt;/a&gt;</t>
  </si>
  <si>
    <t>Une bonne bouilloire Ma bouilloire Tefal a douze ans, elle fonctionne toujours mais voilà le plastic des niveaux sur les cotés s'effritent! j'ai donc avec un bout de plastic et de la colle réparé ce problème pour continuer à faire chauffer mon eau. La chaleur ramollie la colle même forte. Vu que la marque ne fait pas de pieces j'ai donc racheté celle ci. Plus petite et très légère je l'ai trouvé dans ma boite aux lettres! Première utilisation pas de bruit! Et depuis la deuxième utilisation un bruit bien important ce qui est normal pour une bouilloire. Cela dit de moins bonne qualité que ma veille qui fonctionne toujours. Le socle est en plastique contrairement a ma veille qui est toute en inox. Le dessus très fin donc fragile et a tendance à s'ouvrir tout seul dès que l'eau chauffe et il  y a même de la condensation sur le dessus. Je doute qu'elle dure aussi longtemps que l'ancienne et comme tout produit qui était de qualité dans le passé est devenu bien médiocre aujourd'hui. Simple et utile et pas chère.</t>
  </si>
  <si>
    <t>Montre au top Très sympa. Merci beaucoup bonne qualité prix</t>
  </si>
  <si>
    <t>Produit correspondant à ce qui est demandé Les tétines sont très bien acceptées par ma fille! Le rapport qualité-prix est bon.</t>
  </si>
  <si>
    <t>Casque de bonne qualité Ce casque est plutôt bon dans l'ensemble bien que les matériaux ne soient pas très premiums le son 7.1 et le micro font de ce casque un excellent rapport Qualité/Prix. Je le recommande pour les budget sérrés mais qui recherchent la qualité !</t>
  </si>
  <si>
    <t>Ludique et simple à mettre en place Acheté pour ma mère. Elle est comblée. L'appairage en bluetooth ne pose aucunes difficultés. Le son est pas trop mal et il y a plusieurs touches pour atténuer le son d'écho. Les lumières sont sympas et permettent de s'intégrer dans l'ambiance.</t>
  </si>
  <si>
    <t>Sacoche type holster Livraison très rapide et produit conforme à la description. Maintenant ce sera le temps qui fera son office quant à démontrer la longévité du produit.</t>
  </si>
  <si>
    <t>au top très joli , de bonnes dimensions, fonctionne très bien. Bon rapport qualité prix.</t>
  </si>
  <si>
    <t>Un massage efficace et ciblé, plusieurs modes, un vrai bijou de technologie a petit prix ! &lt;div id="video-block-RFAW9UDYZ0MHD" class="a-section a-spacing-small a-spacing-top-mini video-block"&gt;&lt;/div&gt;&lt;input type="hidden" name="" value="https://images-eu.ssl-images-amazon.com/images/I/B1VypTc8+NS.mp4" class="video-url"&gt;&lt;input type="hidden" name="" value="https://images-eu.ssl-images-amazon.com/images/I/91MTa-nKROS.png" class="video-slate-img-url"&gt;&amp;nbsp;Un vrai bonheur ! J'ai découvert cet appareil de massage en plus petit format chez une amie et moi qui souffre de problèmes de dos, autant vous dire que j'en rêvais. Je travaille beaucoup et n'ai pas vraiment le temps d'aller me faire masser. Avec ce siège massant, je peux combiner travail et détente 😛 installé sur mon fauteuil de bureau, je me fais ma petite séance quotidienne. Il s'installe en un tour de main sur n'importe quelle chaise ou fauteuil grâce a une sangle élastique a scratch qui maintient bien le dossier. Une télécommande qui se glisse dans sa petite poche vous permet de choisir quel type de massage vous souhaitez (dos entier, bas du dos, épaules) et vous pouvez ou non activer le mode chauffant (les balles deviennent rouge). Un seul regret, ne pas l'avoir acheté avant !!!</t>
  </si>
  <si>
    <t>QUO VADIS = qualité Fidèle de la marque, je suis très satisfaite de mon achat - en ce qui me concerne, une référence  depuis de nombreuses années......</t>
  </si>
  <si>
    <t>Bien Très très bien Doux Taille bien Conforme</t>
  </si>
  <si>
    <t>Produit Durable et agréable... Perfecto....</t>
  </si>
  <si>
    <t>Super article appareil rechargeable, ça c'est vraiment bien, qualité super, rien à redire, il est bien fait et les matières sont agréables. D’où  , sensation beaucoup de plaisirs , c'est pas mal et les différents modes permettent de varier les plaisirs  merci</t>
  </si>
  <si>
    <t>Une Référence !!!!! Casque solide, qui tient bien sur les oreilles et isole assez bien... attention, pour certains comme moi, les oreilles peuvent chauffer au bout d'un moment (le casque sert assez fort mais c'est le prix d'une bonne isolation). Bonne longueur de câble et j’apprécie la possibilité de réglage sur la tête. Bon son et surtout rendu assez neutre (outil pro reconnu).  C'est l'hiver, je vais le ressortir ;). &amp;gt;&amp;gt; Petit point négatif... pour l'été, du fait qu'il sert pas mal, il doit être difficilement supportable dans la durée.</t>
  </si>
  <si>
    <t>Produit de qualité. A mes yeux, ces encres sont toujours trop chères (autant que le parfum DIOR sans en avoir le même charme !!!)</t>
  </si>
  <si>
    <t>Entièrement satisfait Entièrement satisfait. Un assortiment de parfum varié qui permettent d’etre utiliser à chaques saisons ... des parfums frais et fruité pour l’été et des parfums fort et épicé pour l’hiver. Très bonne tenue dans le temps. Et en plus très bon rapport qualité prix. Je recommande cette assortiment !</t>
  </si>
  <si>
    <t>Le top du confort Après une opération du pied, je recherchais des chaussures confortables et sympas ; elles sont parfaites. Leur semelle intérieure à mémoire de forme offre un confort inégalable. Le tissu est très souple et aéré et ne serre pas le pied. Le coloris choisi (bleu gris) se marie bien avec toutes les autres couleurs. Je les porte aussi bien avec des pantalons qu'avec des robes, et font un look sympa.  J'adore.</t>
  </si>
  <si>
    <t>Parfait Acheté pour mes memos de tous les jours, pointe fine, s'efface très bien à l'eau</t>
  </si>
  <si>
    <t>Conforme Aucune attente particulière vis à vis d'un tel produit de grande consommation. C'était donc conforme à ce qui était attendu.</t>
  </si>
  <si>
    <t>pas adapté pas adapté à un enregistreur numérique. je n'avais pas fait attention au connecteur jack 3 plots. livré sans adaptateur. sinon fonctionne sur smartphone. tant pis pour moi</t>
  </si>
  <si>
    <t>Fournisseur incompétent Commande d'un sweet homme couleur blanc, réception d'un tee shirt fille bleu.Envoi d'un message au fournisseur pour le changement en reprenant le libellé du produit. Résultat encore un tee shirt bleu pour fille de 12/14ans. Vraiment nul comme fournisseur</t>
  </si>
  <si>
    <t>7 conformes sur 8 Les produits sont conformes à l'exception du blanc ou il y a du marqueur noir marquer #55 + des traces marron donc le blanc n'est pas utilisable</t>
  </si>
  <si>
    <t>Petit et léger Bonne qualité à priori mais le sac est un peu petit à mon gout. Une fois, placés mon portefeuille, mon chéquier et quelques papiers, il ne reste plus beaucoup de place. De plus les fermetures éclairs sont assez durs : l'avantage, c'est que l'ouvrir (en cas de vol) est plus difficile ...</t>
  </si>
  <si>
    <t>Cartouches originales Ceci est mon premier achat de cartouches de cette marque, reste à savoir la durée de vie</t>
  </si>
  <si>
    <t>Ras Faire plaisir à petit prix</t>
  </si>
  <si>
    <t>RAS Conforme a la description</t>
  </si>
  <si>
    <t>Globalement satisfait Beau produit, attention seuls les deux grands côtés sont blanc (on ne le voit pas bien sur la photo) , les deux autres côtés sont en métal brossé. Facile à accrocher, pas aisé de placer les filtres aux charbon mais on y arrive. Il faut être très délicat avec les boutons contacts de ce genre de hotte car vous avez vite fait de provoquer un balancement, une hotte avec télécommande est plus adaptée.</t>
  </si>
  <si>
    <t>Satisfaite J'aime la couleur. Il est pratique pour les déplacements à glisser dans le sac à langer ou pour préparer des doses à la maison pour aller plus vite lorsque l'on doit preparer un biberon.</t>
  </si>
  <si>
    <t>Top qualité Rien à redire habitué à prendre ce produit</t>
  </si>
  <si>
    <t>Tétine avent Les Tétines sont adaptées aux liquides épais comme les soupes ou le lait épaissi....très bien. C'est un très bon produit.</t>
  </si>
  <si>
    <t>Efficace Suite a des maux de dos. J’ai acheter ce coussin, tres simple à utiliser. Tres efficace, chaleur diffuse et continu.</t>
  </si>
  <si>
    <t>Très satisfaite! C'est une petite sacoche et c'est exactement ce que je recherchais pour mon fils.. pile la place pour le porte monnaie, le natel et les clefs.. ça ne fait pas longtemps que je l'ai mais je pense qu'elle est suffisamment solide pour durer longtemps! Je recommande.</t>
  </si>
  <si>
    <t>Top Montre achetée pour un cadeau, qui a fait son effet. Livraison dans les temps.</t>
  </si>
  <si>
    <t>Bien pour Jet d’encre Papier de bonne facture</t>
  </si>
  <si>
    <t>j'en attendais pas moins Très bon t-shirt, respirant, évacue la transpiration et les mauvaises odeurs, confortable, a tendance à remonter au niveau des hanches</t>
  </si>
  <si>
    <t>Montre simple et solide Cette montre est discrète et pratique un classique.</t>
  </si>
  <si>
    <t>Efficacité casio Pour moins de 25 euros nous avons là une montre lisible en plein soleil comme en pleine nuit bien noire (rétroéclairage total de l'écran). Une alarme discréte par vibrations si on le désire (beep sonore ou bien vibrations au choix) cela fonctionne pour les alarmes mais aussi pour le beep horaire (sig) ces vibrations sont bien ressenties et modulées (changeantes) Un look gshock noir mate, 10 ans batterie, 100 métres étanchéité. Que voyez-vous à lui reprocher ? Cherchez bien... l'esthétique de la montre y  gagnerait nettement si les 4 vis qui encadrent l'écran étaient noires mate. Chromées comme elles le sont, elles piquent un peu les yeux !</t>
  </si>
  <si>
    <t>très bien ca marche bien, super ambiances pour les soirées, je vais pouvoir inviter plus souvent les amis à bénir chez moi</t>
  </si>
  <si>
    <t>Un pyjama sympathique Chaud, grand, confortable, ma fille adore ce pyjama. En plus, il supporte bien le lavage, les couleurs ne partent pas.</t>
  </si>
  <si>
    <t>balle eco très simple mon linge et naturellement plus doux et moelleux</t>
  </si>
  <si>
    <t>Très jolie Très jolie et j’espère que avec le temps on va avoir des résultats. Merci Amazon pour vos services. Mme Alexis</t>
  </si>
  <si>
    <t>Super Parfait merci</t>
  </si>
  <si>
    <t>Bof Citrine chauffée et non naturelle contrairement à ce que pourrait laisser croire la photo</t>
  </si>
  <si>
    <t>Décevant Pas du tout adapté pour le sport, aucun maintien. Je fais un 95E avec une taille XL=44 pour les hauts et la taille L est beaucoup trop grande. Ca baille !</t>
  </si>
  <si>
    <t>deja vide Imprimé 3 photos ..... la cartouche est déjà signalée par l'imprimante comme "vide" ????</t>
  </si>
  <si>
    <t>Bons sacs Des sacs à petits prix assez résistants. Attention tout de même à ne pas trop les charger. Les anses rouges peuvent en être fragilisées. D'ailleurs, je ne les aime pas trop ces anses. Pas très pratique et handicapent un peu l'ouverture du sac. D'autre part, ces sacs ne sont pas totalement étanches. Un peu trop de liquide dans votre sac et c'est le fond de votre poubelle qui sera tachée.</t>
  </si>
  <si>
    <t>La rapidité de livraison Pour offrir</t>
  </si>
  <si>
    <t>chausse juste reçu tres rapidement cette paire de chaussures est comme je l'ai vu sur le site. La taille est vraiment juste mais comme cette chaussure est en toile elle devrait se détendre un peu .</t>
  </si>
  <si>
    <t>Minerva n°46 Très bon produit, petit bémol sur le prix, un peu cher pour une simple règle avec des formes. Sinon très bonne qualité, beaucoup de formes de différentes tailles, et vendue avec une pochette très pratique pour ne pas l'abimer (surtout pour ceux qui en ont besoin pour le bac de géographie).</t>
  </si>
  <si>
    <t>Tres confortable De bonne qualité, bon maintient, très agréable à porter</t>
  </si>
  <si>
    <t>Bravo Top Agréable au poignet.</t>
  </si>
  <si>
    <t>recharge imprimante la recharge imprimante photo canon à un très bon rapport qualité prix</t>
  </si>
  <si>
    <t>Top Super confortable , aspect impeccable, on pourrait vraiment croire à des chaussures de ville . Je les utilise très régulièrement</t>
  </si>
  <si>
    <t>Bonne qualié et durable Il n'y a pas grand chose a dire sur ce produit si ce n'est qu'il est parfait, la qualité est au rendez vous, et l'on peut faire de nombreuses copies avec.</t>
  </si>
  <si>
    <t>Son impécable Casque vraiment très confortable, avec une très bonne qualité de son. Le réduction de bruit environnant est pas mal, et le Bluetooth est facile à mettre en place. En revanche, il n'a pas une très grande portée : compter 2 à 3 mètres. Le packaging est également assez sympathique.</t>
  </si>
  <si>
    <t>performances exceptionnelle pour un prix très modéré A ce prix, je doute que vous trouviez meilleur pour enregistrer la voix. Ce micro est livré avec l'anti vibration et l'anti pop, de très bonne qualité, ainsi qu'un câble XLR de très bonne qualité. L'usage préférentiel est la voix (studio), mais je l'utilise aussi pour le piano, et les résultats sont excellents. Il convient donc parfaitement pour la voix comme l'instrument. Le bruit de fond résiduel est le plus bas existant (5 dB!!!) et il est facile à utiliser avec un enregistreur numérique par exemple. Le rapport qualité prix est tout à fait exceptionnel.</t>
  </si>
  <si>
    <t>bonne taille produit parfait merci</t>
  </si>
  <si>
    <t>Parfaite Tres bon rapport Qualité prix !!!</t>
  </si>
  <si>
    <t>Très confortable, sobre et élégant Chaussures de danse achetées pour aller avec mes robes vintage 50's, elles sont telles que sur la photo, reçues en un temps record et taillent très bien. En plus, livrées avec des coussinets plantaires, super. Commandées avec une pointure au dessus et j'ai bien fait pour plus d'aisance (quand on danse les pieds ont tendance à gonfler). Je conseille ces chaussures.</t>
  </si>
  <si>
    <t>durable et de bonne qualité bonne qualité, facile à entretenir.</t>
  </si>
  <si>
    <t>Lacets pour les enfants et adultes... je suis très satisfait de mon collie est bien emballait que j'ai recommander une autre paire de lacet chez le même vendeur</t>
  </si>
  <si>
    <t>Efficace Habitant une grande maison un peu froide l'hiver, j'ai décidé d'acheter cette couverture .Ce sur-matelas est très efficace. Tout à fait bien. Bonne qualité. Selon le niveau de chauffe choisi température atteinte plus ou moins vite .</t>
  </si>
  <si>
    <t>Parfait Parfait parfait parfait, je recommande vivement.</t>
  </si>
  <si>
    <t>Bien Très joli sac de bonne qualité Les poches intérieure sont assez grande. Mon conjoint est ravi du style vintage</t>
  </si>
  <si>
    <t>Le sac Sac super, taille, couleur, matière,  finission...juste parfait, je recommande</t>
  </si>
  <si>
    <t>Veste polaire Veste super contente de mon achat et on a pas froid agréable à porter je le conseil et de bonne qualité</t>
  </si>
  <si>
    <t>Très bien Très bien bien fait solide et semble sérieux comme matériel..un peu lourd toutefois...mais top</t>
  </si>
  <si>
    <t>Pas très épais Déçu par ce produit Je m attendait a une matière sweat Et le pull est très très fin Dommage</t>
  </si>
  <si>
    <t>Nul En tant que couvreur zingueur aucun respiration très chaude et humide donc mauvaise odeur champignon je déconseille</t>
  </si>
  <si>
    <t>Pas top J'ai connu mieux avec une autre marque</t>
  </si>
  <si>
    <t>Pas très sécurisant Je ne suis par certaines des bienfaits de ce collier ca reste a voir dans quelques jours. Et niveau sécurité je suis pas rassuré, le collier ce visse du coup il ne ce détache pas tout seul.</t>
  </si>
  <si>
    <t>Plastique sur le couvercle Présence de plastique sur le couercle en contact avec l'eau qui chauffe. De plus le filtre anti calcaire possède des gros ce qui n'est pas très efficace. Déçu à première vue, j'attends de l'utiliser pour avoir un réel avis.</t>
  </si>
  <si>
    <t>ok conforme à mes attentes</t>
  </si>
  <si>
    <t>bonnets un peu grands bonnets un peu grands</t>
  </si>
  <si>
    <t>De bonne qualité Salut,  Livret avec 3 m de ruban impressions d'une taille de 12mm. Dommage qu'ils n'est pas fournis 7m directement.  Impression de qualité et facile d'utilisation. Néanmoins il faut 6 piles AAA. Je conseille donc une alimentation secteur 9V 2A sinon cela va coûter cher en piles.</t>
  </si>
  <si>
    <t>Pratique Moche mais pratique pour visiter les cours d'eaux. Taille grand.</t>
  </si>
  <si>
    <t>Super Très sympa prendre du xl pour du l j'en ai commandé 3 ravie.....</t>
  </si>
  <si>
    <t>Qualité J'en suis à 3 paires pour ce modèle! Qualité prix rien à dire. Couleur: correspond à la photo. Article arrivé rapidement. Pointure conforme à la taille indiquée.</t>
  </si>
  <si>
    <t>Ras Pas cher</t>
  </si>
  <si>
    <t>Un confort incroyable Après avoir lu les commentaires j'ai pris un 42.5 alors que  je chausse normalement du 43 mais il c'est avéré qu'elle était toujours trop grande ... Mais avec la rapidité d Amazon 5 jour après j'ai reçu du 42 et la parfait ! J'ai été agréablement surpris du confort de ces chaussures ! Au premier essai aucune douleur je me suis en faite jamais senti aussi bien dans des chaussure ! Le cuir est de très bonne qualité il faut l entretenir après ! J'aime le style chic qu'elles apporte ça fait un peu style anglais année 20 très élégant</t>
  </si>
  <si>
    <t>Parfait ! Je suis très comptent ! Le son est parfait, l'esthétique de la cellule est très bien et le rapport qualité/prix est excellent ! Seul bémol pour moi, sur ma platine Marantz TT2200, le broches étaient trop grande 'diamètre) pour les connecter à la cellules, mais un petit coup de pince à fait l'affaire !</t>
  </si>
  <si>
    <t>Écouteur noire &lt;div id="video-block-RKCH0JQD82ATM" class="a-section a-spacing-small a-spacing-top-mini video-block"&gt;&lt;/div&gt;&lt;input type="hidden" name="" value="https://images-eu.ssl-images-amazon.com/images/I/917jMD9cK2S.mp4" class="video-url"&gt;&lt;input type="hidden" name="" value="https://images-eu.ssl-images-amazon.com/images/I/A1cdyOv2w1S.png" class="video-slate-img-url"&gt;&amp;nbsp;Écouteur très bonne qualité Au vu de son tarif, et au niveau du  confort  écouteur a l'oreille je n'ai pas vu des choses négatif comme je fais d'endurance avec ces écouteurs là, et assez discret je trouve l'écouteur pas mal, et je m'attendais vraiment pas que le son fort ,  il est très simple à installer ,bon produit  à ce qui me concerne</t>
  </si>
  <si>
    <t>Un produit bien conçu...à voir sur la durée Je suis tr!ès agréablement surpris. Arrivée du colis de 13 kg bien emballé. Voilà un produit bien conçu qui fait du bon café et qui change des "machines à capsules" qui coûtent chères en consommables, sont peu respectueuses de l'environnement et qui souvent lâchent dans les deux ans. Les pires étant les machines qui paient le cachet de Georges le clownet ;-) Pour cette machine, réservoir d'eau généreux, tiroir pour récupérer le café usagé, flotteur alarme pour avertir du niveau de remplissage du réservoir d'écoulement (simple mais bonne idée), moue les grains de café, réglage de la finesse du café moulu, de la température, écran rétroéclairé bleu du meilleur effet... système de rinçage autonettoyant intégré et de préchauffe. Accepte les grains de café ou le café moulu (souplesse d'utilisation). Alarmes sonores d'eau insuffisante, de tiroir à café usagé plein, de grains de café à remplir... L'ensemble des réservoir et tiroirs sont bien accessibles sur les côtés ou dessus (grains de café). Je n'ai pas d'avis sur le capuchino car n'en suis pas amateur. Quelques inconvénients car il y en a toujours: plus encombrant qu'une machine à café standard, 13 kg, boutons en plastique qui font un peu toc, lumière déco en façade qui consomme de l'électricité pour rien, interrupteur situé derrière, menu et indication de l'écran en allemand ou anglais (Dommage pour le français mais pas trop difficile à comprendre). Notice en Français/Anglais/Allemand... A voir si cela fonctionne bien dans la durée. "Deutsche Qualität", donc devrait tenir ses promesses...A voir...</t>
  </si>
  <si>
    <t>Du béton Véritable basket qui tient la route, Vans a fait vraiment une belle réussite sur ce modèle surtout au niveau de la semelle qui est très robuste, je marche souvent et avec le temps elle sont résistantes. Je ne regrette vraiment pas cette commande et je conseille à l'achat</t>
  </si>
  <si>
    <t>Indispensable Indispensable pour brancher le micro avec une prise jack 4 bronches (TRRS) vers un PC ayant un récepteur 3 broches (TRS). Devrait être vendu directement avec selon moi.</t>
  </si>
  <si>
    <t>Montre rétro Très jolie montre rétro, va aussi bien aux femmes ( pas trop grosse) qu'aux hommes....Je l'ai achetée pour l'offrir, je l'avais déjà. Ravi de mon achat.</t>
  </si>
  <si>
    <t>Bracelet cheville Joli article Bon rapport qualité prix</t>
  </si>
  <si>
    <t>Rapport qualité prix au top Très bon rapport qualité prix, Très confortable.</t>
  </si>
  <si>
    <t>Conforme à la photo Conforme à la photo</t>
  </si>
  <si>
    <t>très bon produit bon produit, bonne taille et léger pour le printemps à venir</t>
  </si>
  <si>
    <t>Collier doré Gravure et envoi ultra rapide le collier est joli je l’ai choisi doré en revanche se décolore très rapidement. Je ne recommande pas!</t>
  </si>
  <si>
    <t>Déçu L'écouteur ne reste pas dans l'oreille et  qu'il est hyper léger donc je vous recommande pas.</t>
  </si>
  <si>
    <t>Pas content Chaussures livrées à l'heure, en même temps en payant un peu plus de 9€ l'inverse ne m'aurais pas étonné vu le manque de sérieux du vendeur: J'avais commandé une 1ere paire en 47 chez le même vendeur et arriver en 46, bon on peu se dire que l'erreur est humaine donc renvoi à l'expéditeur et recommande toujours en 47 et relivré.....en 46 mais bon pour changer une des chaussure avait des oréoles et des taches !!!! Là ce n'est plus une erreur mais de l'incompétence. Plus jamais je ne commanderai avec ce vendeur ou amazone.</t>
  </si>
  <si>
    <t>Agréable et sympa... Délai respecté et produit bien emballé. Le design est agréable, la couleur conforme à ce que j'attendais. Son coté rétro est plaisant. Je lui reproche cependant les 2 pochettes avant: elles sont trop petites pour être fonctionnelles. Elles ferment par de classiques pressions aimantées et je sais d'expérience que ce système est fragile. Globalement, c'est un sac agréable et sympa avec un bon rapport qualité/prix.</t>
  </si>
  <si>
    <t>Très belle Très masculine. Offerte à mon mari j'avais peur qu'elle paraisse trop petite, en effet elle n'est pas très imposante sur un poignet d'omme mais tant mieux car la couleur dorée est très tape à l'œil. Petit bémol l'écran n'est pas anti rayure</t>
  </si>
  <si>
    <t>Bien, mais..... Pas pour une poitrine supérieure au bonnet C</t>
  </si>
  <si>
    <t>N'hésitez pas Très satisfaite par cet achat qui est mon second d'ailleurs. Les cartouches durent longtemps et je n'ai rencontré aucun problème d'impression ni dur la qualité ni sur la durée. Je ne regrette pas cet achat et le recommande</t>
  </si>
  <si>
    <t>très bien Ce soutien-gorge est très bien .... seul petit bémol, le dessous de poitrine est un peu juste (2 cm de plus aurait permis d'être plus confortable). J'ai donc acheté un lot de 3 rallonges : Extensions de soutien-gorge 3 Crochets, 9,4cm x 5,6cm  (trouvé ici sur Amazon) .... et là, plus de problème, c'est super.</t>
  </si>
  <si>
    <t>Impeccable Répond à mes attentes</t>
  </si>
  <si>
    <t>Pratique et ca sent bon ! J'ai des chats et avec ces lingettes je désinfecte en nettoyant ! et ca sent bon !</t>
  </si>
  <si>
    <t>très belles couleurs et grande finesse de trait Oui en effet les couleurs sont belles, fidèles et nombreuses donc on peut faire de beaux dégradés. C'est l'idéal pour des petites surfaces, alors j'aimerais savoir si vous prévoyez une nouvelle gamme de feutres moyens, et épais ? Bonne continuation</t>
  </si>
  <si>
    <t>Rien a redire sur se produit Très bien</t>
  </si>
  <si>
    <t>chauffe biberons La chauffe vapeur est ultra rapide. Excellent achat. couleur chic. A la sortie le bibi est chaud mais le lait est à la bonne température. j'utilise le support à petits pots pour retirer les bibi.S'utilise avec très peu d'eau : 10 ml.Des que l'eau est évaporée ,le bibi est prêt.</t>
  </si>
  <si>
    <t>Très bonne qualité rapport qualité prix excellent Pendant bricolage ou tonte de la pelouse</t>
  </si>
  <si>
    <t>Très confortable Très belle matière. Taille parfaite Ne craignent pas la pluie Facile à enfiler Pour tous les jours Elles ont l'air solides</t>
  </si>
  <si>
    <t>Excellent rapport qualité/prix, son magnifique et longue autonomie Que dire sinon que Marshall a su maintenir la grâce de leur modèle en réadaptant légèrement les courbes, plus arrondies, et en assouplissant le cadre qui était pour certain un rien trop dur sur leur précédant modèle. L'autonomie est incroyable, je le tiens plus d'une semaine sans me soucier de la recharge.  Pour le prix, il est imbattable !</t>
  </si>
  <si>
    <t>Bien Après avoir dû retourner une première montre non fonctionnelle dans un emballage très déterrioré et sans le mode d'emploi, le second achat, celui-ci répond à mes attentes.</t>
  </si>
  <si>
    <t>Bon produit Super produit, le débit X permet de faire boire des soupes plus ou moins épaisse au biberon. Petit moment de câlin avant d'aller au dodo. Se nettoie bien avec du liquide vaisselle. Résistantes car elles ne se teintent pas facilement et ne sentent pas mauvais après plusieurs semaines d'utilisation.</t>
  </si>
  <si>
    <t>Je recommande Je suis satisfaite de cet veste,bien tailler!et chaud pour l hiver!</t>
  </si>
  <si>
    <t>Chaussure de sécurité bien travaillée Produit adapté</t>
  </si>
  <si>
    <t>Impec Très bien si vous recherchez des chaussettes épaisse qui tiennent bien chaud, celle ci taille très bien, la qualité est au rendez vous, après plusieurs lavage sont toujours en parfait état et non pas bougé</t>
  </si>
  <si>
    <t>Parfait Le masseur fait parfaitement le travail , ma femme l'utilise tous les jour pour le bas du dos et les épaules , très content de cet achat.</t>
  </si>
  <si>
    <t>Attention, chaussures pour pieds fins Attention, chaussures pour pieds fins Belle finitions. Emballées avec soin.</t>
  </si>
  <si>
    <t>Boucles d'oreilles Trop belles j'adore reçu rapidement  belle effet merci beaucoup</t>
  </si>
  <si>
    <t>Lent L'eau met énormément de temps à chauffer, prévoir un long temps d'attente ou faites chauffer de l'eau à la casserole</t>
  </si>
  <si>
    <t>Destructeur de chaussure Article vendu afin de renouveler la couleur de vos chaussures, mais celui-ci les détruit totalement ... Mes baskets noires sont passées à un noir avec reflets orange et de grosses auréoles ... De plus, vraiment pas facile à appliquer avec la mousse comme embout. Je ne suis pas du genre à me plaindre, mais là fortement déçu du produit et mes baskets à la poubelle alors que je voulais simplement les rafraîchir niveau couleur ...</t>
  </si>
  <si>
    <t>Mitigé Taille correctement super souple léger un vrais changement par rapport à des chaussure de sécurité classique. Seul bémol, chaussure complètement détruite au bout de 2mois d'utilisation et je ne les met que 2 heure par jour pour décharger mon camion 1h et pour le charger 1h... la coque en fer est littéralement sortis par la semelle sous la chaussure les trou pour passer les lacets ce sont détruits au bout de 3 jours, tout les jours j'avais un morceau de la chaussure qui se décomposait en miette surtout à l'intérieur. Donc voilà bon produit même très bon produit au niveau de l'idée mais pour la fiabilité dans le temps c'est meme pas la peine si vous compter les porter une journée entière elle vont durer 2 semaine</t>
  </si>
  <si>
    <t>trés belle j'ai était satisfaite de mon achat une semaine.  très honnêtement je m'attendais a une bague de tirette. et quand je l'ai reçu dans une belle petite boite avec un petit chiffon pour la nettoyer je les trouver vraiment magnifique et bien faite.  la gravure était parfaite et très jolie aussi. au bout d'une semaine j'ai une lettre de la gravure qui c'est effacé, donc déçu car du coup sa fait un trait blanc dans la gravure. mais bon pour 10€ je ne pouvais pas m'attendre a un produit d'aussi bonne qualité en sachant qu'elle soit gravé. en bijouterie beaucoup plus chère pour des fois la même qualité.</t>
  </si>
  <si>
    <t>Machine très pratique Appareil qui répond aux attentes qu'on lui demande. Eau à température toujours correcte pour bébé. Pour ma part mon fils a un lait épaissi, et cela fonctionne très bien. Le seul bémol que je peux émettre est le bip sonore indiquant la fin de la préparation, qui résonne vraiment en pleine nuit.</t>
  </si>
  <si>
    <t>Super gilet je l'adore Super gilet je l'adore. Au fur et à mesure des lavages il tient, je recommande.</t>
  </si>
  <si>
    <t>Conforme. Satisfaite. Conforme à la description. Vu la matière du produit, cela n’éclabousse pas partout comme un goupillon normal, c’est très agréable. Le petit embout pour laver les tétines est Très bien</t>
  </si>
  <si>
    <t>Un bon biberon ! Bonne fabrication de la marque MAM, comme d'habitude. Tétine de taille 3 que mon petit a un peu de mal à accepter, mais tout rentre dans l'ordre en repassant sur une taille 3.</t>
  </si>
  <si>
    <t>Quelle bonne idée Livre très bien illustré et écrit de façon à ce que les enfants puissent comprendre facilement. Super</t>
  </si>
  <si>
    <t>La qualité Je ne l'ai pas encore utilisé, mais au premier coup d'oeil, le cuir est beau et le sac bien fini. Expédition rapide en 2 jours</t>
  </si>
  <si>
    <t>Bracelet pour Fitbit Charge2 Cet article est arrivé dans les délais les + proches, et le retard de l'appréciation est que je viens juste de régler la Bonne taille et il me convient parfaitement ! Merci !</t>
  </si>
  <si>
    <t>Très jolie bijou avec Swarovski bien brillant Il a fait forte impression a ma compagne qui l'a apprécié instantanément. Il est facilement réglable et il brille vraiment bien. Il s'adapte à toutes les tenues grâce a une couleur vraiment agréable. La qualité est là pour ce produit.</t>
  </si>
  <si>
    <t>joli bracelet Vraiment joli bracelet, belles pierres vibrantes</t>
  </si>
  <si>
    <t>Bouilloire design Bouilloire installée dans cabinet de soin, parfaite, sobre et design à la fois</t>
  </si>
  <si>
    <t>Très bien Tres bien</t>
  </si>
  <si>
    <t>Excellent produit à la bonne taille, confortable et chaud Bonjour, j'ai reçu mes chaussures lundi dernier et j'en suis pleinement satisfait. Mes habitudes sont de comparer les modèles, les tarifs et les avis. J'avais opté pour ce produit esthétique, confortable et chaud pour l'hiver. Le rapport qualité prix est imbattable, elle semble bien résistante, l'intérieur est bien moelleux, je suis prêt pour affronter la neige et le froid !!</t>
  </si>
  <si>
    <t>Parfait J’adore elle sont résistantes</t>
  </si>
  <si>
    <t>LA DETAIL EST CONFORME POUR L'INSTANT RIEN LE PRODUIT EST CONFORME AUX  DETAILS</t>
  </si>
  <si>
    <t>Trop classe Produit vraiment sympa, très joli, il taille un peu petit mais il est bien coupé. Je recommande le tee shirt.</t>
  </si>
  <si>
    <t>Taille top Top bonne taille, je prend du 38 et c'est nikel</t>
  </si>
  <si>
    <t>pratique Correspond a mes attentes, assure ses fonctions de brosse a bireborns, quoi dire de plus , jespere qu'elle va durer, heureusement bébé va bientot arrêter ses biberons même le matin</t>
  </si>
  <si>
    <t>Bon produit pour le prix J'ai tenté ce produit dans le cadre de mon travail où je marche beaucoup et rien a dire elle sont légères a porter agréable</t>
  </si>
  <si>
    <t>Ras Très confortables et légères. Je me sens bien après mes 12h de travail. Mon seul regret c'est qu'elles se saliront vite mais on me complimente beaucoup sur mes chaussures 🙂</t>
  </si>
  <si>
    <t>Désagréables à porter La pointure (longueur) est correcte mais par contre, elles sont trop larges et hautes à l'intérieur. Du coup le pied est mal tenu et ça occasionne des frottements, ce qui les rend désagréables à porter. Je me suis forcé à les porter depuis une semaine et demi pour les assouplir et les faire à mon pied, et ça ne change pas grand chose, j'ai toujours mal dedans. Peu être l’hiver avec une grosse paire de chaussettes et une semelle supplémentaire, ça pourrait le faire mais je n'y crois pas trop. Autres problèmes : elles sont très glissantes sur sol mouillé et elles n'absorbent aucun choc, c'est direct dans les articulations. A considérer comme une paire de chaussure de sécurité de dépannage, pas plus.</t>
  </si>
  <si>
    <t>dommage l'eau sent le plastique C'est bien dommage car le produit au niveau electronique semble parfait par contre un gros problème et de taille l'eau et la bouloire sentent le plastique. L'intérieur de la bouloire est bourrée de plastique et de caoutchouc. Je retourne le produit illico.</t>
  </si>
  <si>
    <t>Matière du tee shirt nike noir La matières et absolument degeulasse et le nike et plus grand que le tee shirt Je n'aime pas je vous conseille pas</t>
  </si>
  <si>
    <t>culotte en fillet culotte en fille trop petit pour celles qui ont des grosses fesse comme moi ( taille 44 ) ce qui est dommage</t>
  </si>
  <si>
    <t>Avis mitigé sur l'efficacité Achetée pour entretenir les timberland offertes à la fille à Noël je suis mitigée sur l'efficacité... Je trouve que cette brosse laisse des traces sur le nubuck et en plus elle se salit très vite. Je pense plutôt investir dans une bombe imperméabilisant et une anti tâche</t>
  </si>
  <si>
    <t>Bien mais Les écouteurs Bose sont plutôt bien sachant que j’avais les AirPods avant qui sont moins imposants, j’ai beaucoup douter avant de prendre les Bose mais ça tient bien à l’oreille, l’autonomie est plutôt bien cependant lors d’une communication téléphonique seul d’un côté fonctionne ce qui est pas top et j’ai l’impression que le micro n’est pas bien positionné souvent les interlocuteurs ne m’entend Pas.</t>
  </si>
  <si>
    <t>parfait ! rien à dire niveau qualité et rendu sonore ! j'en suis ravi ... un petit moins niveau confort... perso avec mes lunettes ,je trouve qu'il me serre un peu trop la tête ... mais bon il est neuf donc a voir ! mais tres content quand meme ! je recommande !</t>
  </si>
  <si>
    <t>Bon rapport qualité/prix pour ce sac en cuir Produit en cuir résistant bon rapport qualité prix, design à améliorer et avec plus de rangement et d'ergonomie</t>
  </si>
  <si>
    <t>Bien mais... Biberon léger, mignon, par contre le bouchon est difficile à ouvrir d une main, je trouve qu il se dévisse très facilement, je me perds dans les 5000 milles tailles de tétines ( débit très lent, lent, rapide etc...), et je n aime pas trop la forme niveau prise en main.... Mais bon mon fils aime ces tétines donc c est le principal... dernier point négatif les tétines ne vont que sur les biberons de la même marque !!!</t>
  </si>
  <si>
    <t>Super pratique pour les sorties Super ! Je l'ai acheté pour les vacances. Je m'en sert tout le temps !!! Avant de partir en balade ou à la plage, je fais bouillir de l'eau (J'ai investi 5€ dans une petite bouilloire électrique) et je remplis la bouteille. Et hop quand je veux faire chauffer le biberon de bébé qui n'aime pas le boire à température ambiante ça prend 2min30 chrono. Une fois chaud je remets l'eau dans la bouteille et je peux réchauffer un deuxième biberon avec un peu plus tard. Par contre là C'est un peu plus long car l'eau a un petit peu refroidi.  Mais franchement, je recommande!</t>
  </si>
  <si>
    <t>Bon radio réveil Agréablement surpris par ce petit radio réveil qui en fait plus que ce que j'attendais. Sa taille compacte lui permet de trouver sa place sur le table de nuit sans problème, et son affichage de l'heure est paramétrable. si vous ne voulez pas être dérangé la nuit par un halo lumineux, vous pouvez diminuer l"intensité lumineuse de l'affichage horaire, voire le couper totalement. Effectivement ce n'est pas une chaîne Hi Fi, mais le son est correct. L'utilisation est simple et la possibilité de programmer deux heures de réveil et de les activer/ désactiver simplement (par boutons dédiés) est très agréable. Point important, je cherchais un réveil lumineux qui ne commence pas a faire le jour dans la chambre une demi heure avant mon heure de réveil. Celui ci me permet de débuter le réveil lumineux 10 minutes avant mon réveil, ce qui correspond à mes attentes. en résumé: bon rapport qualité/ prix et agréable surprise</t>
  </si>
  <si>
    <t>Magnifique bracelet Magnifique bracelet en véritable pierre je ne le quitte plus reçus dans une pochette en velours !</t>
  </si>
  <si>
    <t>MONTRE SQUELETTE + : PRIX COMPETITIF + : BEL EFFET</t>
  </si>
  <si>
    <t>Simple, souple, solide et économique Les connecteurs thermosoudés inspirent confiance et s'enfichent parfaitement dans les prises, le câble est souple sans crainte de pliure, le tout est sobre et parfaitement fonctionnel.</t>
  </si>
  <si>
    <t>N hesitez pas !! Je l ai acheté pour offrir, il y a un petit sachet qui présente très bien autour. Le bracelet est superbe, comme sur les photos.... parfait !!</t>
  </si>
  <si>
    <t>Parfait adapté au tétines de marque MAM Correspond à la description s adapte parfaitement à mes tétines de marque MAM solide et  souple Je suis très satisfaite Merci</t>
  </si>
  <si>
    <t>Bonne qualité Ce que j'aime bien c'est que c'est des chaussures pour des personnes qui ont le pieds large et c'est confortable</t>
  </si>
  <si>
    <t>qualité exceptionnelle ces bottines sont increvables le cuir est d'excellent qualité et elles sont totalement imperméables et très confortable une fois faites au pied indispensable pour l'équitation ou simplement un usage rural</t>
  </si>
  <si>
    <t>Juste parfait! Paire commandée par la pré-ado, taille 36 pour une pointure 36. Pas de souci. Un joli jaune paille (pas beige), qui va avec tout.</t>
  </si>
  <si>
    <t>Tétine MAM C'est parfait pour le relais, tété, tétine, Bébé accepte très bien, comme si c'était le vrai ! Je recommande ce produit.</t>
  </si>
  <si>
    <t>JOLIE ET PRATIQUE Voilà une lampe qui allie design et fonctionnel. C'est la second lampe de ce modèle que j'achète pour les chambres de mes petits enfants qui apprécient les trois intensités de lumière blanche, les couleurs modulables du socle et également la tige souple et donc orientable pour une utilisation à souhait comme pour la lecture... Très contente de mon achat. Je recommande cet article sans hésitation.</t>
  </si>
  <si>
    <t>Chaussure de sécurité J'utilise les chaussures tout les jours jours super léger et très très confortable je recommande ce produit</t>
  </si>
  <si>
    <t>très bon casque Acheté pour mon fils (qui a choisi lui même ce casque). Le son est super bon, les basses sont bien restituées et les aïgus aussi, la connexion bluetooth est très bonne, bonne autonomie. Mon fils de 19 ans est ravi ..!</t>
  </si>
  <si>
    <t>Bon rapport qualité prix Matos reçu hyper rapidos...merci amazon perso j'en possédais déjà un et en voici un deuxième pour le fiston qui l'utilise sur vdrum</t>
  </si>
  <si>
    <t>commentaire bien</t>
  </si>
  <si>
    <t>pieces manquantes bonjour,  il manque le'adaptateur de la carte son et le fixe table pour le bras dans le colis. Est-ce que je dois retourner le colis?</t>
  </si>
  <si>
    <t>non confome bague tres petite, limite pour une enfant. fausse pierre, rien a voir avec la photo. argent et reglages douteux. je suis hyper decue de mon achat et ne le recommande pas.</t>
  </si>
  <si>
    <t>Longueur pas identique ? Bon produit. Sur les 2 câbles de 1 mètre . La longueur n'est pas identique ? ??. Le câble de 2m  ok</t>
  </si>
  <si>
    <t>Savoir tout d'abord si le produit est aussi efficace que les cartouches CANON C'est la première fois que j'emploie vos cartouches...je ne peux pas encore vraiment juger sur la durée car je ne les emploie qu'une fois par semaine au club de bridge mais en ce qui concerne la qualité d'impression c'est exactement comme avec mes anciennes cartouches CANON….Et LE PRIX EST TOUT A FAIT DIFFERENT Donc pour moi, pour le moment c'est très positif Lorsque je vais devoir changer celles de la maison et là j'emploie plus souvent l'imprimante je prendrai vos cartouches et je pourrai ainsi mieux juger</t>
  </si>
  <si>
    <t>Très bon écouteurs Très bon écouteurs et facile à installer sur le tel, bonne qualité et bonne recharge avec un son très bon. Le pourcentage se voir très bien sur le boîtier qui contient une pochette pour le protéger des chocs extérieurs. Un câble et des rechange pour l'embout des écouteurs sont également dans la boîte sous le plastique.</t>
  </si>
  <si>
    <t>belle qualité, livraison expresse un peu grand , mais c'est pas grave dans ce sens, , beau produit, avec des poches confortables</t>
  </si>
  <si>
    <t>Bouilloire RIVERA BAR Pratique, belle, rapide mais ... Acheté il y a déjà presque un an elle marche toujours aussi bien!  LES PLUS  - Design épuré, sobre harmonieuse - Couleur gris métallisé très moderne - prise en main très facile - Contenance parfaite pour faire bouillir de l'eau et cuisiner plus rapidement (soupes, œufs à la coque, légumes vapeur...) - Très rapide 4 min 30 sec pour amener à 100°C 1 litre et 1/2 d'eau froide du robinet - Elle garde la température très long temps (si elle reste dans le socle et allumée) : eau à 90 °C après 10 min, eau à 88°C après 42 min - on peut voir la le volume contenu grâce à la graduation installée dans le coté - on peut sélectionner très facilement la température - Un petit bip de rappel et pas oublier l'eau chaude sur le socle tous les  LES MOINS  - Je la trouve un peu bouillante - bcp de calcaire se forme et le filtre anti calcaire laisse ne retient pas très bien le calcaire - après chauffe elle est brûlante donc il faut toujours faire attention - la fermeture n'est pas pratique il faut le faire à deux mains - le prix qui me parait très élevé si l'on tient compte des petits défauts  Je recommande!!  Si vous avez apprécié ce retour, votez "Commentaire utile" ! ça fait toujours plaisir. Sinon laissez une remarque !</t>
  </si>
  <si>
    <t>très joli bel écrin, jolie chaine, superbe brillance</t>
  </si>
  <si>
    <t>Le peu de bruit J'en suis très contente car elle fait peut de bruit et très élégante</t>
  </si>
  <si>
    <t>Joli pull léger Conforme dans la taille choisie je fais un 40/42 et j ai pris du L. Ce pull est en maille fine mais relativement chaud. La coupe ample le rend confortable.Il descend en bas des hanches. Manches serrées jusqu'au milieu des avant bras. Emplacements poches sur les côtés donne du style. Enfin la couleur noire est profonde et a bien tenue à 30 degré en machine.</t>
  </si>
  <si>
    <t>Trop top Trop top</t>
  </si>
  <si>
    <t>Impeccable Très bonne qualité - t’aille adaptée à la fille de 2 ans et demi. Jolis couleurs</t>
  </si>
  <si>
    <t>Excellent rapport qualité-prix! Petit compte-rendu après quelques semaines: confortable, reproduction sonore détaillée, basses profondes, grande autonomie, en gros parfaitement conforme aux spécifications; la réduction active de bruit est très efficace pour les basses fréquences, mais vraiment pas nécessaire lors d'une écoute à niveau "normal" - le casque isole suffisamment. Les accessoires sont vraiment complets, et tout comme le casque, de très bonne qualité; le sac de transport rigide est inclus et protège bien l'ensemble. Super content de mon achat!</t>
  </si>
  <si>
    <t>très bon produit Que ce soit pour les cartouches couleur ou noir, il est PRIMORDIAL d''acheter des cartouches d'encre d'origine correspondant à la marque de son imprimante. Les sous-marques, mêmes garanties compatibles par les vendeurs peuvent occasionner des dommages irréversibles à votre matériel. Donc, pas de fausses économies qui s'avèrent très onéreuses !</t>
  </si>
  <si>
    <t>good! love it, commandés en noir et gris, pas trop épais ni trop fin. je suis une femme et je fais 1m80, j'ai pris XXL pour etre bien large dedans, je suis pas déçue! très long aussi, je les retrousse au bout. j'adore.</t>
  </si>
  <si>
    <t>La pointure Super produit</t>
  </si>
  <si>
    <t>Très bon prix Très bon prix pour ce sweat,  très contente</t>
  </si>
  <si>
    <t>Superbe qualité Superbe qualité , je recommande fortement</t>
  </si>
  <si>
    <t>Nickel Idéal pour les tutute de ma fille de marque Mam qui n'ont pas d'anneau !  Se met et se retire facilement sur la tutute et tiens bien dans le temps ! Ne se déforme pas et ne change pas de couleur</t>
  </si>
  <si>
    <t>Super très très jolie montre,  dommage que c'était un peu grand pour moi .</t>
  </si>
  <si>
    <t>Huile parfaite Je l'ai utilisé pendant toute ma grossesse et aucune vergetures! Ce produit est super. A utiliser sans modération. Je vous le recommande.</t>
  </si>
  <si>
    <t>ne correspond pas en effet le coton, contrairement à ce qui est écrit dans le descriptif,  n'est pas super doux, plutôt rugueux et pas très agréable à porter</t>
  </si>
  <si>
    <t>Produit sans couvercle hermetique Le produit a coulé à l'intérieur du colis...super</t>
  </si>
  <si>
    <t>présentation - confort emploi pendant période de repos, positif bonne finition, moins semelle extérieur matière synthétique 100% coulée et peut flexible, dessus ext. simili -cuir  fin doublé, correspond à sa valeur prix mais surtout pas plus.</t>
  </si>
  <si>
    <t>Bien, mais fragile Bien mais fragile. Le dessus c’est abîmé rapidement, par rapport à d’autres chaussures similaires</t>
  </si>
  <si>
    <t>Radio reveil simulateur d aube genial Super produit, pour sa mise en oeuvre il faut bien memoriser le mode d emploi. Je recommande.</t>
  </si>
  <si>
    <t>Au top Hyper content de cet achat. La qualité est au RDV et il est hyper agréable meme en le portant toute la journée. Il se charge très rapidement.  Niveau connection Bluetooth,  pas de problème avec une clé Sennheiser BTD 500, l'appairage se fait sans souci. Je l'utilise pour mes appels Skype et ca fonctionne très bien.  Je ne mets pas 5 étoiles car je regrette qu'il n'y ai pas de logiciels pour des réglages plus poussés</t>
  </si>
  <si>
    <t>Bonne bouilloire mais attention lorsque qu’elle est chaude J’ai acheté cette bouilloire par son design tout alu. Chauffe rapidement, une simple impulsion sur le bouton et c’est parti. En revanche attention, étant donné que c’est en alu l’ensemble de la bouilloire est également chaud.</t>
  </si>
  <si>
    <t>Très confortable grande capacité très bien Pour mes loisirs</t>
  </si>
  <si>
    <t>Bon produit Commandé pour mon petit fils pour le ski en complément de moon boots.Confortable chaud mais peu utilisé donc je ne peux pas juger de la longévité</t>
  </si>
  <si>
    <t>satisfait Super sac d'épaule ! Je suis très satisfait de cet achat. Le produit est de bonne qualité, léger et idéal pour des activités quotidiens,  on peut y mettre tout le nécessaire : porte-carte, clés, papiers de voiture, mouchoirs....  En bref, Il est assez robuste, confortable, pratique et beau, absolument ce que j'attends. Je recommande vivement.</t>
  </si>
  <si>
    <t>Tout à fait contente de mon achat Superbes... bien assorties au pendentif.</t>
  </si>
  <si>
    <t>Nikel Comme bouilloire Produit exceptionnel très belle qualité et offre de chauffage de plusieurs températures vraiment top et tres ergonomique à conseiller vraiment 👍</t>
  </si>
  <si>
    <t>sacs solides et pratiques sacs solides et pratiques, je les utilise depuis 5ans sans aucun probleme a signaler. Commande sur Amazon sans soucis également.</t>
  </si>
  <si>
    <t>Rapidité de l'envoi article conforme Envoi hyper rapide</t>
  </si>
  <si>
    <t>bon produit Conforme au descriptif, convient a un biberon bebeconfort. Pour les soupes ou les cereales c'est bien, Bonne qualite, je recommande !</t>
  </si>
  <si>
    <t>Super écouteurs Bluetooth Ces écouteurs sont TOP. la qualité audio est vraiment très bonnes. L’ergonomie est génial. Il se place facile dans l’oreille et tiennent très bien. Le chargement est rapide et l’autonomie est très bonne. Je conseille vraiment ces écouteurs Bluetooth. Je recommande</t>
  </si>
  <si>
    <t>magnifiques ! mérite 6 ETOILES - pour filles et garçons - représentation des pays très réaliste en verre : topissime nettoyage facile pour tous les âges, il vous suffit de changer les tétines je m'en sers pour mon petit fils Ayden de 15 mois et, ils sont solides je les passe au lave-vaisselle</t>
  </si>
  <si>
    <t>Au top Très fan de ces billes hyper puissante en odeur avec a peine une petite dose. Le linge sens le frais très longtemps !</t>
  </si>
  <si>
    <t>tres bon tres bon</t>
  </si>
  <si>
    <t>Idéal comme cadeau Conforme à la description. Coloré et brillant</t>
  </si>
  <si>
    <t>Jolie découverte. Les machines à thé existent depuis longtemps. Cependant je les ai toujours ignorées pensant qu’il n’était pas bien compliqué de faire du thé dans une théière. Aujourd’hui je suis seule à boire du thé chez moi, soit une tasse de thé fraichement réalisée me plait. J’ai eu l’opportunité de tester cette machine à thé Electrique et j’en suis ravie.  Je pense que les utilisateurs de thé en vrac avec théière pour 6 tasses ne seront pas intéressés, mais les usagers de thé à la tasse seront comblés. En tout cas, à moi, elle me convient tellement ! Je l’utilise quotidiennement et plusieurs fois par jour. Je suis conquise. J’ai testé toutes les capsules de thés noirs comprises dans le pack de dégustation et j’ai immédiatement passé une commande sur le site web en profitant de l’offre de bienvenue.  Des infusions et des Rooibos sont également disponibles ainsi que des thés noirs, verts, bleus et blancs.</t>
  </si>
  <si>
    <t>Gola Très bien les chaussures</t>
  </si>
  <si>
    <t>Super marque J l’adore cette marque l’es matière sont hyper confortables et les coupes super sympa</t>
  </si>
  <si>
    <t>100% conforme, parfait. Offert pour un anniversaire, la personne a été conquise. Il est de belle taille, très zen avec son effet bois. Il diffuse bien les odeurs et dégage une jolie fumée blanche à l'utilisation. Rien à redire.</t>
  </si>
  <si>
    <t>Sympa mais matière peu agréable Sweat qui est super joli niveau design et coloris mais il est très serré au niveau des épaules et la matière fait très "plastique" : elle est pas du tout agréable. J'ai préféré le renvoyé !</t>
  </si>
  <si>
    <t>Pas étanche Je travail en boucherie et a chaque nettoyage je prends l eau</t>
  </si>
  <si>
    <t>Déçu Je déconseille vraiment ! J’ai commandé 3 legging différents, reçu 2 identique, et la qualité laisse à désiré car vraiment transparent !! Déçu de ma commande.</t>
  </si>
  <si>
    <t>Biens Bons feutres mais les couleurs sont surprenantes. ..deux jaunes fluos mais pas de jaune.4 ou 5 bleus mais pas de gris</t>
  </si>
  <si>
    <t>Grésillement trop fort Le micro  a un grésillement beaucoup trop fort er la qualité er un peu bof bof</t>
  </si>
  <si>
    <t>top Brassière qui maintient assez bien la poitrine, couleur qui correspond à la photo. Petit bémol, je pense qu'il est bien de les passer une fois à la machine avant de les porter, car j'ai vu que ça y déposer un peu de fibre sur les machines de muscu.</t>
  </si>
  <si>
    <t>Bonne cartouches Bonnes cartouches</t>
  </si>
  <si>
    <t>Ne se déchire pas et est même résistant Pratique et de très bonne Qualité</t>
  </si>
  <si>
    <t>Taille bien Taille correcte</t>
  </si>
  <si>
    <t>aimé C'est parfait pour le karaoké, l'enregistrement, les interviews ou tout simplement jouer avec un rap ou une beatbox. Je l'aime et mes enfants aussi.</t>
  </si>
  <si>
    <t>Impeccables!!!! les converses sont pour ma fille, taille 36  nickelle, elles sont top conforme a la description bref pas de mauvaise surprise en commandant cet objet , je recommande!!et livraison rapide!! merci</t>
  </si>
  <si>
    <t>Très jolie Originalité + prix</t>
  </si>
  <si>
    <t>Dodie nous a changé la vie!! Dodie nous a changé la vie!! Notre petit bout ne voulait pas prendre, on avait essayé Tigex, avent, ... Il n'en voulait pas jusqu'à tester les tétines Dodie... Magique !! Il paraît que Mam c'est pas mal également !</t>
  </si>
  <si>
    <t>Excellent Excellent !! Très facile d'utilisation , très bonne température mais il faut absolument mettre la housse car très chaud ! S'eteint après le temp voulu. 😉je recommande vivement 😁</t>
  </si>
  <si>
    <t>Beau, ergonomique, solide et son super !!! J'ai acheté mon premier casque Marshall il y a 5 ans et malgré le matériel du casque qui s’effrite, le son est toujours super ! Je voulais un nouveau casque avec fonction Bluetooth et j'ai décidé de racheter des Marshall ! Je suis tout à fait satisfaite de mon achat. Le casque est très beau, le design est ergonomique et moderne. Certains utilisateurs n'aiment pas que le casque serre bien la tête mais j'adore ! Il tiens en place et la fonction réducteur de bruit est bonne mais pourrait être meilleure. Le s petits bruits sont effacés pas pas l'ensemble des bruits. Je n'ai pas encore testé la fonction Bluetooth mais je conseillerais ce produit a 100%.</t>
  </si>
  <si>
    <t>Très bien. Parfait pour le sport, taille parfaitement.</t>
  </si>
  <si>
    <t>Guide idéal pour les pré-ados et ados Mon fils de 12 ans aime bien ce guide, il y a des rubriques où il n'est pas encore concerné mais cela viendra bien vite ! Je le conseille fortement car il peut répondre à beaucoup de questions, et je conseille également aux parents de le lire !!!</t>
  </si>
  <si>
    <t>sweat shirt à capuche homme taille L J'avais déjà commandé ce produit dans un autre coloris. Mon fils l'a adopté sans problème et a voulu le même en noir. Nous en sommes tout à fait satisfaits.</t>
  </si>
  <si>
    <t>Convient pour footing。。。~~~ "Le packaging est digne d'une marque du haut gamme La qualité de l'étuie et des écouteurs est irréprochable. Je les ai testé pour regarder mes séries sur mon téléphone et j'avoue que j'étais surprise de la qualité du son et aussi de la fonctionnalité du tactile des écouteurs. C'était un cadeau d'anniversaire pour mon mari mais quand je les ai testé je les emprunte tous les soirs pour profiter moi aussi！！！@。。。</t>
  </si>
  <si>
    <t>Très bien Cela fait plusieurs années que je prends ces asics. Elles me conviennent parfaitement.</t>
  </si>
  <si>
    <t>Parfait rempli bien sa fonction Top j adore Tous les biberons passent quelque soit leur grandeur ! Je recommande</t>
  </si>
  <si>
    <t>Parfait Tres bonne table ideale pour le Reiki. Je la recommande</t>
  </si>
  <si>
    <t>couverture chauffante Très contente du produit de qualité, merci!</t>
  </si>
  <si>
    <t>fonctionne très bien la notice à été traduite .... dans un français expérimental ... on arrive tout de même à comprendre. L'ensemble casque support émetteur fonctionne très bien c'est le principal. Il y a un micro pour être utiliser en audio-communication en utilisant le téléphone et juste le casque en Bluetooth ou avec le câble avec prise classique en Jack3.5.les communications passent très bien . c'est un très bon appareil merci</t>
  </si>
  <si>
    <t>bien dedans souple mais pas solide pour travaillé sur tu terrain plat</t>
  </si>
  <si>
    <t>ce n'est pas DU TOUT une tailleur Union Européenne Ce n'est pas une taille européenne mais chinoise !!!!! Ce n'est donc pas du 43 Union Européenne mais CHINOISE ya au moins 2 tailles en dessous... C'est de la publicité mensongère, elles sont importables... Je veux qu'on me rembourse !</t>
  </si>
  <si>
    <t>on fait la même chose avec liquide vaisselle ! liquide vaisselle et eau tiède et brosse douce et c'est parfait et pas cher .....je suis plus un pigeon et vous ?</t>
  </si>
  <si>
    <t>Nombre de poche insuffisant Bon usage quotidien, mais c’est deux poches différentes</t>
  </si>
  <si>
    <t>bon produit esthétique simple lisible solide bon rapport qualité / prix je l'ai offerte à mon père qui appartient au troisième âge il adore</t>
  </si>
  <si>
    <t>Bi office Brosse Très bon effaceur</t>
  </si>
  <si>
    <t>Conforme au produit attendu RAS</t>
  </si>
  <si>
    <t>Super boîte de présentation comme pour les grands Superbe ma fille va être ravie pour Noël.</t>
  </si>
  <si>
    <t>Parfait Particulièrement facile à utiliser, la couleur est aussi très jolie, la fille l'aime bien, le son est amusant, le prix n'est pas cher. 👍👍👍</t>
  </si>
  <si>
    <t>crayons parfaits pour les bébés Crayons parfaits pour les bébés : la taille leur permet de les avoir bien en main, ils sont gras donc bien couvrants (même sur les doigts prévoir un lavage de main après), les couleurs sont chatoyantes. On peut dessiner sur tous supports : papier, vitre, tissu, plastique et ...murs et sols....pas de panique, les coups de crayons partent au lavage ou avec une d'éponge</t>
  </si>
  <si>
    <t>Conforme a la description J'ai acheté ce produit car j'en voulait un et celui ci est au top très silencieux et esthétique je recommande</t>
  </si>
  <si>
    <t>parfais Magnifique petite bola au petit son (style clochette). J'ai reçut beaucoup de compliment en la portant. Je vous la recommande</t>
  </si>
  <si>
    <t>Peu encombrant Peu encombrant par rapport au bebea</t>
  </si>
  <si>
    <t>Biberon rose Bon produit</t>
  </si>
  <si>
    <t>contente Très contente de mon achat car ma fille en avait besoin pour elle s'organiser pour ses révision de bac. Reçu rapidement.</t>
  </si>
  <si>
    <t>très belles baskets Chaussures très confortables. Idéales lors de longues marches, très bon amorti. Je recommande.</t>
  </si>
  <si>
    <t>Doseur Parfait je recommande le produit</t>
  </si>
  <si>
    <t>Très satisfait Le cuir est super beau comme sur la photo et le rendu est très bien. l'intérieur est assez grand et il peut y mettre pas mal de choses, notamment mon chéquier et ma porte feuille. Il y a une fermeture sur le dessus : au prime abord elle peut paraître ne pas être pratique, mais en fait j’arrive à tout ranger.</t>
  </si>
  <si>
    <t>Cable de bonne qualité Installer depuis 8 mois maintenant avec un ensemble ampli home cinéma et je n'ai rien a reprocher a ses cables. Ils valent largement le rapport qualité prix.</t>
  </si>
  <si>
    <t>Top Parfait pour mon petit gars de 17 mois !</t>
  </si>
  <si>
    <t>Satisfait Elles sont très confortables je les recommanderais.</t>
  </si>
  <si>
    <t>Pas top Tennis qui taille vraiment grand et les lacets sont très bizarre....Je n'aime pas du tout leur matière....</t>
  </si>
  <si>
    <t>deçu il manqué une pierre</t>
  </si>
  <si>
    <t>Mauvaise taille / Mauvaise couleur Rien n'est bon par rapport à la commande : J'ai commandé taille 41-45 couleur noir. J'ai reçu taille 36-40 couleur violet...</t>
  </si>
  <si>
    <t>Beau produit mais... La taille est pas indiquée lors de l'achat. C'était pour offrir à un homme et le bracelet est légèrement trop grand ce qui est dommage. Il faudrait soit indiquer la taille en centimètre, soit avoir un double des attaches pour pouvoir le réajuster soi-même. Sinon il est vraiment très sympa.</t>
  </si>
  <si>
    <t>Bien Grave belle mais hyper rigide</t>
  </si>
  <si>
    <t>Prix Tres bien mais très chere pour utilisation 1 boite 1 semaine</t>
  </si>
  <si>
    <t>Haute qualité sonore bien au RDV, MAIS... Après plusieurs mois d'utilisation, je confirme mon commentaire sur la qualité de restitution audio ! Excellente pour ce type d'écouteurs. Un GROS point négatif : Comme d'autres utilisateurs l'ont déja évoqué, la charge batterie du boitier se dissipe très rapidement(+/- 2 jours) en cas de non utilisation de l"ensemble. Ce n'est absolument pas normal dans cette gamme de produits ! Alors Mrs Sennheiser, on fait quoi ???</t>
  </si>
  <si>
    <t>Beau bijou Très beau Très Bon prix Collier un peu fin</t>
  </si>
  <si>
    <t>Bon rapport qualité prix Bon produit je recommande</t>
  </si>
  <si>
    <t>au top super sac mieux en vrai que sur la photo et qui correspond parfaitement a celle ci ! j'y met tout ce dont j'ai besoin il est d'une taille idéal pas trop grand et l'aspect et très cool façon bandoulière a Indiana Jones ! j'adore ! il est super resistant la qualité se ressent d'aspect et au poid du sac ! je suis particulièrement exigeant et je suis ravi de mon achat qui fut très rapide a être livré (plus rapide que prévu !)</t>
  </si>
  <si>
    <t>parfait Bijoux redevenus neufs</t>
  </si>
  <si>
    <t>Super grignoteuse Jadore tres pratique quand on commence a donner des morceaux a bebe. Il peut manger des morceaux de fruits, legumes ou pain facilement sans risque d'étouffement</t>
  </si>
  <si>
    <t>T.shirt manche longue en M Bon produit, il a l'air de bonne qualité, après le tissu est assez fin.  Par contre, Heureusement que j'ai lu les autres commentaires comme quoi il vaut mieux prendre une taille en dessous que celle que l'on prend d'habitude. Je confirme! Je fait du L mais j'ai pris du M, il me va parfaitement.  Livraison dans les temps. Je recommande</t>
  </si>
  <si>
    <t>Une télécommande qui fait le job Rien à redire sur cette télécommande elle fait ce qu'on lui demande et même plus! La clé usb qui se met dans la télécommande est très pratique pour éviter de la perdre tout le temps. Il n'y a aucune latence et la portée est très bonne, j'ai même essayé à +20m et ça marchait toujours. Le bouton qui permet de couper l'affichage sur son écran tout en continuant de projet sur le deuxième écran est très pratique, fonctionnalité qui n'est pas sur beaucoup d'autres télécommandes. Le laser a lui aussi une très grande portée, à vrai dire je ne suis pas arrivée à savoir jusqu'à ce qu'elle distance il continue de se voir comme même en testant dans ma rue ça continuait de se voir de l'autre côté de la rue. En soit un achat dont je suis très content!</t>
  </si>
  <si>
    <t>Classe Joli bracelet marron que j'ai commandé pour un cadeau à Noël. Mon ami à l'air satisfait, et Le rendu est chic.</t>
  </si>
  <si>
    <t>très bonne marque (fila) utilisation pour marche</t>
  </si>
  <si>
    <t>BON CASQUE C'est pour mon mari il en est trés content bon rapport-qualité prix il le trouve trés agréable et surtout la traduction en français était  trés  plaisante</t>
  </si>
  <si>
    <t>Parfait Produit livré dans les temps, conforme à ma demande.</t>
  </si>
  <si>
    <t>Très bonne acquisition, très léger et son vraiment très polyvalent et précis! N'étant pas un spécialiste du son, je ne suis pas une référence mais je cherchais un bon casque fermé polyvalent car j'écoute aussi bien du classique, du jazz, de l'électro que du hardcore punk. Je suis comblé car le son est plutôt précis et neutre: pas trop de basse en particulier pour le classique... Le casque est semi-ouvert donc on entend un peu ce qui se passe autour mais le son se propage mieux et donne une impression d'ouverture très appréciable. Le casque est léger et peut se porter pendant très longtemps sans fatiguer à part un peu mal au cartilage de l'oreille au bout d'un long temps peut-être... Le casque est encombrant avec un gros arceau donc à utiliser plutôt en intérieur mais il s'adapte facilement aux têtes (peut-être attention si vous avez une petite tête) Le câble est long et amovible (mais connecteur proprio) mais assez mou donc attention à ne pas le pincer. L'ensemble fait un peu plastoc peut-être, en particulier le protège-tête tout plastique mais bon ça assure sa légéreté et puis au final pour le prix, je n'ai pas grand chose à redire!</t>
  </si>
  <si>
    <t>Super qualité ventilé et comfortable Super qualité ventilé et comfortable</t>
  </si>
  <si>
    <t>bon produit Je suis assistante maternelle et j'ai besoin de faire chauffer les biberons de manière sécurisés. Simple d'utilisation et à manipuler. Je ne l'utilise que pour les biberons pour le moment. Il semble long à chauffer mais quand bébé à faim tous semble durée une éternité. Je suis contente de cet achat.</t>
  </si>
  <si>
    <t>Super contante ! Je suis trop contente c'est comme je voulais même couleur , pas de différence et de défaut. Vraiment super j'adore</t>
  </si>
  <si>
    <t>Le TOP ASICS NIMBUS 21 Je cours tout le temps avec des asics et j’ai acheté cette paire d’Asics Gel Nimbus 21 à un super prix . Authentique et top  qualité prix.</t>
  </si>
  <si>
    <t>Bouilloire à bouder Pas très pratique car le calcaire est vite arrivé et la bouilloire doit être détartrer régulièrement à telle point que j’ en ai racheté une autre. Autre marque. Très déçu du produit</t>
  </si>
  <si>
    <t>Plastique dans la bouilloire Le produit est beau! Mais la mauvais surprise est qu’il y a du plastique à l’iNterieur à plusieurs endroits. On sait que le plastique pourrait être dangereux pour la santé avec de la chaleur. Je suis très déçue. Je trouve qu’il n’est pas bien conçu.</t>
  </si>
  <si>
    <t>Parfait Le top pour transpiré des pieds sinon pratique ..</t>
  </si>
  <si>
    <t>Pas bon marché HP vend ses cartouches toujours aussi chères ! Sinon produit de qualité 100% reconnu par l'imprimante ce qui n'est pas toujours le cas des cartouches reconditionnées hélas !</t>
  </si>
  <si>
    <t>Efficaces Pratiques ces lingettes qui évitent la décoloration du linge tout en contenant une poudre détachante a l’intérieur. Elles sont efficaces dans leurs deux fonctions. Seul petit bémol : si on lave à basse température et cycle court, la poudre détachante ne se diffuse pas lors du cycle de lavage et s’agglomère dans la lingette.</t>
  </si>
  <si>
    <t>Modèle d'origine Écouteur d'origine vendu avec les Samsung s8 et note 8 Tres bonne qualité</t>
  </si>
  <si>
    <t>Bien Conforme mais pas encore testé</t>
  </si>
  <si>
    <t>Super Tres bien</t>
  </si>
  <si>
    <t>parfaite lumière blanche! Si vous etes comme moi et que vous ne supportez pas la lumière jaune c'est parfait, (voir ma vidéo).  Je cherchais une lampe qui fasse lumiere blanche car je trouve la lumière chaude trop fade pour une environnement de travail sur ordinateur, cette lampe fait les 2 au cas où vous voulez vous reposer les yeux avec la jaune, c'est donc parfait!  - Allumage et intensité/couleurs réglable tactilement c'est parfait! - Pliage dans tous les sens c'est niquel! - Base peut etre un peu grosse mais ça peut aller  Cliquez sur "OUI" si mon commentaire vous est utile!</t>
  </si>
  <si>
    <t>Niquel J'adore cette bague je la met tout les jour elle n'a pas perdue son éclat. Le rapport qualité-prix est vraiment imbattable.</t>
  </si>
  <si>
    <t>Bon produit Je beaucoup cette marque de biberon je l'ai utiliser pour ma première et je fait de même pour la deuxième pratique a utiliser et à laver je recommande ce produit a toutes les mamans</t>
  </si>
  <si>
    <t>Super écouteurs Les écouteurs sont vraiment bien, la qualité son et l'autonomie sont vraiment exceptionnel je conseil a tout le monde avec un petit budget</t>
  </si>
  <si>
    <t>Bon son! Je cherchais un casque sans fil et pas trop cher. Ce casque offre un excellent son. Son autonomie permet d’écouter de la musique pendant de nombreuses d’heures. Petit bénol pour le réducteur de bruit: il faut augmenter le volume pour n’entendre plus aucun bruit externe. Je recommande ce casque pour sa qualité et son prix très intéressant.</t>
  </si>
  <si>
    <t>Simple, fidèle et solide : le casque efficace Je connaissais déjà ce casque avant de l'acheter car un ami l'avait acheté. On a vraiment du mal a repasser vers d'autres casques après l'avoir utilisé, tellement il est bien. J'aime bien la fidélité du son Sennheiser, et j'ai aussi bien des casques de salon que des casques nomades de la même marque. Je ne jette jamais mes casques : je les répare en SAV. Ce casque m'a particulièrement séduit par la disponibilité des pièces de rechanges. Il est conçu en Allemagne et fabriqué en Irlande en plus : c'est rare de nos jours. C'est du sûr et du solide, a acheter les yeux fermés. Les pro de d’audiovisuels l'utilisent beaucoup.</t>
  </si>
  <si>
    <t>Bien taillé J'achète toujours ce modèle Super pour le tennis toutes saisons ++++</t>
  </si>
  <si>
    <t>parfait très agréable a porter l'intérieur es un peu moumouté. taille parfaitement.</t>
  </si>
  <si>
    <t>Produit de qualité J'utilise ce produit depuis plus d'une semaine maintenant, et je peux dire que c'est très agréable de s'en servir, les moteurs de l'appareil sont costauds, quand c'est rouge ça chauffe légèrement la nuque c'est très cool Je l'ai acheté pour moi ( car Fan de massage) mais je pense que c'est une très bonne idée Cadeau. Beau produit de qualité</t>
  </si>
  <si>
    <t>Facilement accepté Seul biberon accepté par mon bébé.</t>
  </si>
  <si>
    <t>Très joli J ai aimé ce modèle comme cadeau pour ma fille aînée  fan de chouette et qui aime les symboles Zen comme l illustre ce collier. Le pendentif est bien dessiné et brille grâce aux zirconium. Poinçon certifiant l argent véritable. Chaîne solide poinçonnée aussi. Le plus : livré dans boite cadeau. Content de mon achat.</t>
  </si>
  <si>
    <t>Julie boucles d'oreille Boucles d'oreille de super qualité , la fermeture est bien protégé!  Moi qui suis assez sensible elle me conviens au top !</t>
  </si>
  <si>
    <t>Parfaites! Elles sont magnifiques et tres confortables.</t>
  </si>
  <si>
    <t>Top! Top! De qualité, livrées dans une jolie pochette.</t>
  </si>
  <si>
    <t>SACS POUBELLES ECOLO Handy Bag, rien que le nom on est pas déçu par la qualité et la résistance des sacs antifuites et en plus ils sont recycles. Moins de 7€ pour 20 sacs : Chapeau...</t>
  </si>
  <si>
    <t>J'ador, je conseil fortement Bonjour/Bonsoir je vais aller très vite, la qualité du micro est troppppp bien, sa rajoute du style a votre setup et facile d'installation plus d'usage. Je vous conseil d'acheter une carte CLS qui envoie le micro en 5V pour un son plus net Si vous voulez le mettre sur PS4, sa fonctionne mais il faut la carte, si c'est une PS4 PRO (pour mon cas) il faut prévoir une genre de mini rallonge USB mâle à USB femelle car la carte CLS est trop large est ne passe pas entre les rebord de la PS4 PRO. Je vous le conseil fortement est j'espère que sa vous aurat aidé.</t>
  </si>
  <si>
    <t>Déçu Au bout de quelques utilisation un écouteurs ne fonctionne plus</t>
  </si>
  <si>
    <t>problème connexion bluetooth Je viens de le recevoir mais lorsque j'appuie sur le bouton d'alimentation pendant 5 secondes, rien ne se passe. pas de bluetooth. J'imagine que je dois pas bien l'utiliser ou bien faut-il attendre que la charge soit complète ??</t>
  </si>
  <si>
    <t>C nul c chinois Ca taille trop petit faut renvoyer faut attendre 2 mois le remboursement...  Bref allez en magasin, les pompes de secu sont moins classe mais au moins on a direct ce qu'on veut...</t>
  </si>
  <si>
    <t>nous les garçons j'ai acheté ce livre pour mon fils, celà à répondu à certaines de ses questions car c'est toujours délicat de demander à maman !!!</t>
  </si>
  <si>
    <t>sympa mais un peu gros sur le poignet Ne serre pas le poignet mais sur un poignet fin, peut paraître un peu gros. conviendrait plus à un homme.</t>
  </si>
  <si>
    <t>Tétine. Top. Très bonne tétines. Mon fils ne tolère que seule ci. Un peu large dans la bouche mais lui convient parfaitement.</t>
  </si>
  <si>
    <t>environ 2 mois d'utilisation, simple à mettre en place L'appareil arrive complet avec sa recharge. Il suffit de l'ouvrir pour la mettre en place. Attention de respecter les consignes. Pour ma part je porte des gants en latex pour éviter tout contact. Le bouchon de vidange permet de savoir quand la recharge doit être remplacée. L'utilisation est annoncée pour 2 mois. Evidemment selon l'humidité de la pièce à traiter.</t>
  </si>
  <si>
    <t>parfait pour lait avec cereales et soupe A la base j'ai acheté ces tétines pour le lait épaissi mais attention les trous sont trop grands ça coule beaucoup trop vite ! par contre je les met de coté pour plus tard car elle me paraissent parfaites pour le lait au céréales. Pour le lait épaissi je conseille plutôt les tétines taille 3 de la même marque c'est beaucoup plus adapté.</t>
  </si>
  <si>
    <t>TAILLE très jolie coupe pour ce leggings + poche très utile</t>
  </si>
  <si>
    <t>Magnifique Super jolie murano !! J’ai reçu aussitôt avec le certificat d’authenticité et je suis ravie !! Comme sur la photo !! Excellent !!</t>
  </si>
  <si>
    <t>Commandé en taille 45 reçu 48 .chercher le malaise Parfait en atelier</t>
  </si>
  <si>
    <t>Très satisfaite Livraison très rapide et bon produit. C'était pour offrir et ça à beaucoup plu. Je recommande</t>
  </si>
  <si>
    <t>Parfait Taille très bien bonne qualité</t>
  </si>
  <si>
    <t>Qualité et stabilité Très bonne qualité super stable</t>
  </si>
  <si>
    <t>Magnifique bracelets Magnigique. Conforme à la photo. Emballé individuellement. Dommage qu'il n'y avait pas une petit pochette, style cadeau inclus. Délais de livraison respecté. Tout est impeccable.</t>
  </si>
  <si>
    <t>RAS livraison un peu longue mais c'est notifié. Ras au niveau du produit, fonctionne très bien</t>
  </si>
  <si>
    <t>A trouvé' sa place dans mon intérieur Livraison dans les temps Facile d'utilisation et très jolie</t>
  </si>
  <si>
    <t>chemise manches longues produit recu avant la date prevu, tres bonne matiere, douce a porter, adapter a ma taille, tres contente de mon achat je recommande</t>
  </si>
  <si>
    <t>Rien à dire Lot de 4 cartouches pour imprimante. Cartouches «&amp;nbsp;constructeurs&amp;nbsp;» donc pas de surprise. Tout marche bien. Qualité et sérieux signé HP... Tout va bien !</t>
  </si>
  <si>
    <t>Super sac Super. C'est exactement le sac que je voulais. Conforme à la description</t>
  </si>
  <si>
    <t>Génial Vraiment génial Ideal pour faire du sport très compact sans fil parfait pour la musculation et la course à pied j'adore ce produit je le recommande à 100 pourcent</t>
  </si>
  <si>
    <t>Très bon micro avec une bonne portée de son ! Je cherchais un micro pour les enfants qui soit sans fil et qui puisse directement transmettre le son sans ampli. Je dois dire que j'ai été assez étonné de ce produit qui envoi du son par les 4 côtés du micro. Il va tellement fort que je dois des fois demander à mes enfants de diminuer le son. Ce micro peut également être utile pour parler devant un grand nombre de personnes etant donné sa portée.  Il est bien construit et possède même un mode "écho" qui peut s'avérer pratique. Le fait de devoir laisser appuyer sur le bouton on off se manière plus longue reste intéressant pour éviter toute fausse manoeuvre. Ma seule critique est que j aurai préféré avoir un modèle noir plus partout qu' un rose davantage dédié qu'aux enfants ou à un public féminin. ca reste un très bon produit rapport qualité prix  !</t>
  </si>
  <si>
    <t>Rien Je me suis trompé</t>
  </si>
  <si>
    <t>Chaussure mauvaise qualité Je m'en sert en temps que menuisier en atelier et j'ai du avoir un de faux de qualité car les chaussure ce son casser au niveau de la semelle elle ne sont vraiment pas faite pour une marche soutenu je ne recommande pas cette achat</t>
  </si>
  <si>
    <t>Moyen Je trouve que la brosse est un poil trop petite et perd ses poils c'est pas top...Pas de grande qualité je trouve...</t>
  </si>
  <si>
    <t>Presque parfait L'aspect du sac est très beau. Il parait solide, l'avenir dira si c'est le cas. Il est grand avec quatre poches extérieurs ce qui est vraiment pratique. Par contre, je suis déçue car la deuxième poche ventrale (celle qui est à l'arrière du sac, est trop petite pour un ordinateur 15,6" (et surement pour un 15" aussi), l'autre l'est assez mais j'espérais mettre l'ordinateur dans l'autre.</t>
  </si>
  <si>
    <t>Conforme pack noir et couleur pratique, toujours un peu cher pour consommables</t>
  </si>
  <si>
    <t>montre invicta tres belle montre de tres bonne qualité une vrai montre automatique pour le prix je la conseille énormément un tres belle achat elle ressemble énormément a une grande marque de luxe suisse</t>
  </si>
  <si>
    <t>Ardillons non adaptés ! Beau bracelet cuir mais les ardillons métalliques présents dans le bracelet étaient trop courts et ne permettaient pas au bracelet de tenir. J’ai donc dû les retirer ce qui m’a pris pas mal de temps et j’ai mis des ardillons adaptés. Ce n’est pas normal et j’ai failli retourner ce produit !</t>
  </si>
  <si>
    <t>J'adore Je suis complètement fan !! Je trouve sa très jolie, pratique, je peut mettre mes biberons et tétine en toute tranquillité.  Je le recommande</t>
  </si>
  <si>
    <t>Fonctionne correctement Pas de problème, reçu rapidement, fonctionne correctement. Mais j'ai trouvé que la recharge se vidait vraiment rapidement. Elle n'a duré que 2 semaines je dirais et je n'ai pas tant écrit que ça (corrigé des copies...)</t>
  </si>
  <si>
    <t>impeccable Ces polos ont une très bonne présentation. Ils semblent être de très bonne qualité et de bonne tenue. Ils passent très bien en machine, sans risque de dégradation ou de décoloration</t>
  </si>
  <si>
    <t>Excellente huile essentielle ! Je ne m’en passe plus Parfait pour purifier votre peau en douceur au quotidien. Je la mélange avec de l’huile de jojoba et cela me fait un sérum incroyable pour le visage !</t>
  </si>
  <si>
    <t>Idéal Mon fils est diabétique et il emporte son nécessaire chaque jour avec lui, ce sac contient tout ce qu'il faut pour sa survie, c'est sa deuxième peau. Il avait exactement le même en gris, il lui a duré 3 années, jusqu'à ce que la fermeture éclair montre des signes de faiblesse. 3 ans, c'est très bien pour une utilisation aussi intensive. De plus, il passe en machine à 30 degrés (avec un usage quotidien, il faut le faire régulièrement). Ses précédents modèles étaient moins solides, nous allons donc désormais rester fidèles à Eastpak. J'aime les 3 compartiments, pour bien séparer ce qui est médical, ce qui est alimentaire (pour se sucrer) et les affaires personnelles (clés, papiers, téléphone). Pour nous, c'est LE modèle idéal.</t>
  </si>
  <si>
    <t>génial Un seul mot "Top"</t>
  </si>
  <si>
    <t>Pantalon chic Joli pantalon de taille et longueur nickel. Il fait classe.</t>
  </si>
  <si>
    <t>Bonne qualité de son pour son prix Ces écouteurs ont une bonne qualité de son et sont pratiques avec leur petite taille. Je ne les utilise pas pour le sport par peur de les faire tomber.</t>
  </si>
  <si>
    <t>Percing nickel Très contente de mon achat je cherchais un percing comme cela et à petit prix Je suis ravie</t>
  </si>
  <si>
    <t>Super Livraison rapide, chaussures confortables, taillent bien</t>
  </si>
  <si>
    <t>Impeccable Très bon produit comme tous les Faber-Csatell, pack pratique et complet. Utilisation parfaite pour le dessin. Correspond complètement aux besoins de ma fille.</t>
  </si>
  <si>
    <t>très bons chaussons pour hiver pour la maison plus froid aux pied c'est top !</t>
  </si>
  <si>
    <t>Super casque Casque avec une bonne qualité sonore, des lignes lisses et belles, j’ai abandonné le casque depuis que j’ai eu ce casque.</t>
  </si>
  <si>
    <t>Très bien pour relier ma platine Meuble des années 70, vieille platine et vieux lecteur à bande, grace à ce cable à prix bas, tout fonctionne AU POIL, le son est propre et pas de grésillements</t>
  </si>
  <si>
    <t>S'utilise sur toutes les parties du corps Masse toutes les zones du corps même si les "têtes" de massage sont plutôt destinées à la tête. Il y a deux vitesses de rotation qui permettent de s'adapter aux différents besoins. L'appareil n'est pas lourd et pas imposant, ce qui le rend très maniable. C'est pas mal pour détendre les muscles après le sport(les mollets chez moi après le footing). La charge tient longtemps, après une semaine il n'est pas encore déchargé et pourtant mes enfants l'utilisent régulièrement.</t>
  </si>
  <si>
    <t>Se dictaphone va vous surprendre Bonjour J ai acheté se dictaphone pour la prise de notes et réécoute d ' une formation  Je suis agréablement surpris de ses dimensions très petit ( voir photo a côté de un stylo pour vous donnez une idée )  Très simple d'utilisation utilisation - bouton enregistrement - volume + et - - menu - avence et retour  Il s'agit éteint pendant les silences et reprend automatiquement des qu il détecte un bruit  Sur une journée de cours il a enregistré 4 h sans soucis de batterie ou de coupure ( voir photo )  Le son est claire dans une salle de cours de 40 M2 environ avec 30 de personnes  Mon pc sous windows 10 a reconnu le dictaphone sans problème et vous avez facilement accès au fichier audio ( voir photo )  Merci de m'indiquer si mon commentaire vous a ete utile pour votre choix</t>
  </si>
  <si>
    <t>Parfait... Pair de sneakers cuir, parfaite pour une utilisation de tout les jours... (revoir la description/traduction idiote : "sneakers bas du cou" !!!</t>
  </si>
  <si>
    <t>même type de modèle pour les hommes comme pour les femmes?... Ce modèle taille assez grand. Je pense que je n'ai plus qu'à y mettre des semelles! C'est un modèle adulte que j'ai acheté pour mon fils, jusqu'à présent je n'ai jamais vu de différence suivant les modèles prédestinés, ce sont normalement les mêmes chaussures pour les hommes comme pour les femmes... Non?</t>
  </si>
  <si>
    <t>Problème d'écoute prolongé et taille de casque Très mal aux tympans ! La réduction de bruit créée comme une présurisation dans l'oreille qui ne me permettait pas de garder le casque plus d'une heure sans souffrir.</t>
  </si>
  <si>
    <t>qualité lamentable incroyable, les œillets sont de tellement mauvaise qualité, que les lacets ne durent que 15 jours......Ils sont dechirés, et bien sur impossible de retrouver des lacets identiques, on est oblibé d,acheter des nonames a la couleur hasardeuse ....je ne parle pas de la semelle, inexistante en epaisseur et qui s'use a vitesse grand V encore un souvenir d'enfance qui s'en va !! decu !</t>
  </si>
  <si>
    <t>Fait le job mais avec des défauts Cela fait plusieurs mois que j'utilise ce stérilisateur.  A l'ouverture, on se rend compte qu'il est assez grand, et les emplacements pour ranger biberons et tétines sont suffisants.  Il se place assez facilement dans un coin et c'est utile car avec un bébé on a besoin de place !  Concernant l'utilisation, elle est simple, mettre un peu d'eau du robinet dans le socle en bas, remplir le stérilisateur de biberons et tétines et appuyer sur le bouton. Ça prend environ 7-8 min.  J'en arrive aux défauts, lorsque le cycle est terminé, biberons et tétines sont humides, c'est normal mais ça met un temps fou pour sécher...  Le socle en bas pour mettre l'eau rouille au bout d'un certain temps.. ( voire photo)</t>
  </si>
  <si>
    <t>Qualité très correcte mais poids annoncé totalement trompeur ! Ce produit est dans la bonne moyenne de ceux essayés, surtout à ce prix et mériterait 4 voire 5 étoiles..  Avant achat l'un des seuls critères communs entre marques, à part la couleur, pourrait être le poids. Malheureusement, il est inexact, et c'est vrai pour d'autres sets de rouleaux et dans d'autres marques.  Annoncé (à ce jour) à 3.3kg, le paquet ne pèse en fait que 1.8kg... Comme c'est dans le mauvais sens, c'est très pénalisant pour les produits qui affichent des valeurs réelles !  Je l'ai signalé à Amazon mais la correction prend généralement plusieurs mois.</t>
  </si>
  <si>
    <t>elle aime ma femme adore cette  grande serie que nous lui avons commender en avez vous pour homme mais  comme celle  de ma femme  mais en 48 merci car je commenderai pour moi</t>
  </si>
  <si>
    <t>50 feuilles A4 papier adhésif blanc La livraison a été rapide. Les feuilles autocollantes sont à mon gout un peu fine. Sinon elles colles bien pour le moment.</t>
  </si>
  <si>
    <t>Bonne qualité Produit conforme à la photo. Très bonne qualité et très confortable!! Prenez votre pointure car selon les autres commentaires ça taille petit mais pas du tout</t>
  </si>
  <si>
    <t>Parfait pour les garçons Montre idéal pour le poignet d'un garçon de 10ans. En plus des multiples détails et fonction annexes, elle a tout pour leur plaire. Cependant pour un homme, je pense qu'elle serait trop petite.</t>
  </si>
  <si>
    <t>SUPER Que dire de ces mocassins? Ils ont un chaussant parfait , ont l'air assez robustes et pour le look à vous de juger!</t>
  </si>
  <si>
    <t>Bon rapport qualité/prix Le design du casque et magnifique en rose gold, la batterie du casque tient hyper bien en bluetooth. Petit bémol on entend un léger ultra son de fond, mais ce n’est pas très gênant.</t>
  </si>
  <si>
    <t>F&amp;amp;g Elles m’a pas plu du tout</t>
  </si>
  <si>
    <t>Efficaces et stables De bons écouteurs bluetooth pour bouger et écouter de la musique en faisant du sport par exemple ou la cuisine sans être attaché par un fil. Le son est bon mais manque de basses à mon goût. La connexion bluetooth avec un autre appareil est quasi immédiate: il suffit d'aller dans les paramètres bluetooth pour rendre l'appareil émetteur "visible par tous " puis on sort les écouteurs de leur coffret tout en restant proche de l'appareil émetteur, on joue un film ou de la musique et la connexion se fait. Les écouteurs gardent en mémoire le dernier appareil connecté. De plus on peut ne connecter que l'écouteur Droit (D) ou le Gauche (L). Ils sont légers et je n'ai aucun problème pour les supporter sans les perdre lors de mes activités quelles qu'elles soient. Surtout ne pas appuyer dessus pour les ajuster dans vos oreilles car toute la surface est tactile et vous risquez de hausser le son en faisant ça. Il suffit de les manipuler en les tenant sur les côtés. Bon! Il y a un mode d'emploi livré avec mais en gros pour les dyslexiques 😂 et les Jean-Claude Vandamme 🤣🤣: _1 tap long (2 ou 3 sec) pour activer ou désactiver le contrôle vocal Google assistant. _Deux taps courts pour mettre en pause ou remettre en mode lecture. _1 tap court sur le Droit pour hausser. _1 tap court sur le Gauche pour baisser. _3 taps sur le Droit pour suivant _3 taps sur le Gauche pour précédent La 1ere journée, on rame un peu, mais le lendemain on nage comme un poisson dans l'eau. Ça fonctionne parfaitement bien, pour l'instant : RAS.</t>
  </si>
  <si>
    <t>Les couleurs qui changent à la lumière Un cadeau</t>
  </si>
  <si>
    <t>Rapport qualité prix excellent Rapport qualité prix super je l'ai est achète pour courir avec mon chien et après des mois a courir dans la boue les cailloux la neige...aucun problème toujours en parfait état sans en prendre particulièrement soin niveau confort au top bon amorti</t>
  </si>
  <si>
    <t>Facile à nettoyer et grand Nous profitons de la qualité des biberons MAM pour notre fille qui n'a plus besoin de biberon anti colique et boit de plus grands biberons. Les dessins sont jolis, le nettoyage toujours aussi facile, la qualité top.</t>
  </si>
  <si>
    <t>🌟 Son et Lumière 🌟 Mon fils me demandait depuis un petit moment de lui changer son vieux radio réveil écran rouge, vous savez le bon vieux radio réveil ...  Visuellement, celui ci présentait bien je me suis laisser tenter !  Et que je suis content de mon achat ! Le haut parleur est vraiment d’une super qualité, le comtoir lumineux ambiant est vraiment top, et je ne pensais pas que la radio était Rds ! Recherche des chaînes automatique avec enregistrement des programmes, et même fonction endormissement avec des mélodies pour dormir !!  Vraiment trop content mon fils est au ange et il lui tarde de l’utilise à la rentrée !</t>
  </si>
  <si>
    <t>Écouteurs Bluetooth J'ai acheté ce produit pour pouvoir écouté la musique en pratiquant la course à pied et du VTT. Résultat très très bien rien à dire. On oublierai presque que nous avons des écouteurs dans les oreilles. Très très bon achat que je conseille fortement</t>
  </si>
  <si>
    <t>Bonne demelle antidérapante. Chaussons tres confortables, j'ai des soucis de marche et ils tiennent bien aux pieds, à verifier dans les escaliers</t>
  </si>
  <si>
    <t>Très bon produit J'adore les chaussons, il sont confortable et surtout ils tiennent chaud aux pieds J'adore je recommande</t>
  </si>
  <si>
    <t>Bon Bon</t>
  </si>
  <si>
    <t>Très confortable et livré rapidement Très confortable, bonne taille, comme décrit très joli, je recommande cet article</t>
  </si>
  <si>
    <t>Super pack Je recommande ce pack ! Avec ce pack on est tranquille un moment. 6 biberons suffisent ! Super produit et joli je recommande</t>
  </si>
  <si>
    <t>Bon produit Cordon de bonne facture. Malheureusement je me suis trompé de connectique. Du coup j'ai recommandé le bon modèle.</t>
  </si>
  <si>
    <t>Pas belle Cette montre est trop basique dans la présentation. Pour le fonctionnement nous verrons à l'usage. Dommage pour le look trop simple</t>
  </si>
  <si>
    <t>Déçue chaussures sales et mauvaise gestion des soucis de transports Chaussures supposées être blanches or elles ne le sont pas! Plutôt blanc cassé ou blanc sale, je dirais. Une tâche jaunâtre sur la devanture de l’un des pieds. Très déçue... je ne recommande absolument pas à ce prix en plus! Par ailleurs, le colis a été égaré par le transporteur et je n’ai eu aucun retour du vendeur concernant sa procédure auprès de son transporteur. Déçue!</t>
  </si>
  <si>
    <t>Produit ouvert non conforme à l'annonce Bonjour J'ai commandé un produit neuf, je reçois un produit d'occasion ouvert. Déçu du manque d'info et de considération du client. Ne recommande pas !</t>
  </si>
  <si>
    <t>Un peut déçu Papier pas de grande qualité</t>
  </si>
  <si>
    <t>Déçu des basses amateur de qualité de son, et surtout des basses profondes, je suis un peu dessus sur ce niveau. Très confortable, très léger, son clair et propre, mais les basses ne sont vraiment pas "extra" ... surtout avec du volume fort, elle disparaisse malheureusement ...  Je vais songer à un échange certainement</t>
  </si>
  <si>
    <t>Mignon biberon Ce biberon Philips Avent est plutôt rigolo avec ses trois petits tigres.  Il a une contenance de 260 ml et il est conçu pour les bébés de plus d'un mois. Sa tétine à bout large permet à bébés de bien la mettre en bouche.  Un système anti-colique y est intégré. La prise en bain du biberon se fait facilement. Il est top mais tout de même un peu cher pour un biberon.</t>
  </si>
  <si>
    <t>Hautement recommandé Bon rapport qualité-prix, superbe bracelet de montre</t>
  </si>
  <si>
    <t>Beau pas cher Ma deuxième peau</t>
  </si>
  <si>
    <t>La contention dans la chaussette et surtout la matière. Contente de mes achats,j'en ai acheté 4 paires,pas en même temps . J'ai fait un essai et comme en pharmacie il y a très peu de coton et étant allergique, J'ai misé sur celle ci et tout va bien.</t>
  </si>
  <si>
    <t>Rien à redire. Parfaite en toute occasion</t>
  </si>
  <si>
    <t>Bon’e Qualité Au top. Très joli sweat -shirt, bonne qualité même après plusieurs lavage. Taille correctement.</t>
  </si>
  <si>
    <t>Très Bien. Très mignonne petite boite, très bien commentée, il y a même un petit dépliant pour commenter une bonne quantité de pierre.</t>
  </si>
  <si>
    <t>Au top Très jolies baskets</t>
  </si>
  <si>
    <t>Merci Tres bonne qualité</t>
  </si>
  <si>
    <t>Colle Un peu cher mais très bien</t>
  </si>
  <si>
    <t>indispensable mais graduations à revoir simple à utiliser même si les gradations du récipient-mesure mériterait d'être en couleur. elles sont en relief mais cela ne rend pas la lecture plus facile pour autant. je dois parfois mettre plus d'eau qu'indiqué car cela ne chauffe pas assez. beau design épuré.  je l'utilise aussi bien pour réchauffer que décongeler. j'ai des biberons Philips avent et des pots de conservation de la même marque.  acheté avec branchement maison uniquement.</t>
  </si>
  <si>
    <t>Super Géniaux Doux, chauds, confortables et très beaux!!!</t>
  </si>
  <si>
    <t>bien bien bien facile a utiliser, design sympa. Les différentes intensité de lumière sont agréable pour se lever doucement. top top pour ceux qui galère au réveil</t>
  </si>
  <si>
    <t>Très sympa ! Mais plus fille que garçon Le rendu du cadran digital sur fond noir est très cool, surtout avec le boitier doré ! Juste attention car le bracelet devient de plus en plus étroit au niveau du fermoir, ce qui rend la montre assez féminine. Moi qui suis un homme avec un poignet assez large ça faisait bizarre.</t>
  </si>
  <si>
    <t>Très bien En matière très douce, ce coussin chauffe bien. La commande est un vrai plus, tout comme le fait de pouvoir le passer à la machine. Il remplit tout à fait sa fonction. Je l'ai pris pour des problèmes de tendinites et de trapèzes régulièrement noués.</t>
  </si>
  <si>
    <t>Sacoche J'ai acheté cette sacoche pour mon frère, elle est très solide et waterproof, l'article est arrivé avant la date prévue, il s'en sert tous les jours et en est très satisfait.</t>
  </si>
  <si>
    <t>Montre homme Elle a beaucoup de classe Elle est très jolie Reçue dans un bel  emballage</t>
  </si>
  <si>
    <t>Un super produit resistant Je recommande a 100% ce verre trempé, il est solide et il est fournis avec sa lingettes. Tout était très bien emballé et le vendeur est vraiment très gentil, c'est une personne très agréable. Je vous conseille ce produit si vous souhaitez protéger vos téléphones des chocs. Merci pour ce produit il me sert quotidiennement et protège mon téléphones d'éventuels rayures ou chocs et je suis vraiment ravie de l'avoir, j'en achèterai sans hésiter .</t>
  </si>
  <si>
    <t>montre homme ? montre homme ???? vraiment petite . je voulais la même montre que j'avais dans les années 80...... déçu</t>
  </si>
  <si>
    <t>Très déçu de mon achat ! Mauvaise expérience ne fonctionne plus un bout d’un mois ! Impossible de charger les écouteurs !</t>
  </si>
  <si>
    <t>deçus premier lavage  et le pull est complétement détendu je ne peu plus le mettre j'espére q'Amazone aura la gentillesse de m'offrir un petit bon d'achat ! mes j'en doute car depuis la petite fortune que j'ai dépensé chez amazone depuis des annérs mais j'en doute cordialemen.</t>
  </si>
  <si>
    <t>Qualité prix top mais bruyante Design sympa et rapport qualité prix pour l'instant top, gros bémol pour le bruit qu'elle fait et prévoir de faire bouillir du vinaigre blanc 1 ou 2 fois par semaine car le calcaire de l'eau fait très vite tâche sur cette belle bouilloire, le Led est un +, dommage qu'il ne s'allume que lorsque l'on met l'eau à bouillir</t>
  </si>
  <si>
    <t>Attention à la couleur ! la trousse est de bonne qualité, hors j' ai reçu une trousse de couleur Kaki.... Cependant je n' ai pas fait attention dans l' intitulé de l' article il n' y avait pas de couleur d' indiquée. Mais la photo donne une couleur gris foncé, donc je me suis fais avoir.</t>
  </si>
  <si>
    <t>Bonne bouilloire intérieur Inox basique avec bonne capacité (1.7L) Bouilloire qui fait l'essentiel : chauffer de l'eau à 100°C (pas de sélecteur de température, pas de matien au chaud). Pas de lumière de toutes les couleurs et qui ne se désactivent pas ici.  + : Intérieur Inox plutôt silencieuse simple avec juste le bouton marche/arret et donc moins de risque de panne  - : La quantité minimale d'eau à chauffer est de 0.8L ce qui est plutot conséquent, 0.5L voire moins aurait été préférable. La partie extérieure semble quand même assez chaude donc il faut rester prudent.</t>
  </si>
  <si>
    <t>Beau Pour le sport. Mon fils a aimé.</t>
  </si>
  <si>
    <t>👍 👍</t>
  </si>
  <si>
    <t>Bien Honnêtement cela fait l'affaire pour le tri ou poubelle normale. Pour plus de solidité jai coince le sac poubelle dans les fixations et ca tient très bien. Elle a eu beaucoup de succès.</t>
  </si>
  <si>
    <t>Trieur Envoie rapide Conforme</t>
  </si>
  <si>
    <t>Très bonne qualité A vir quand je devrais changer le saphir</t>
  </si>
  <si>
    <t>Casio... Au top comme toujours ! Casio, pas besoin de dire plus ! Au top comme d'habitude</t>
  </si>
  <si>
    <t>Bon produit et SAV Short sans couture sous robe ou jupe</t>
  </si>
  <si>
    <t>Chaussure de Sécurité parfait</t>
  </si>
  <si>
    <t>super super rapport qualité prix produits officiel de la marque je préfère acheter des gros packs car ils reviennent beaucoup moins cher car j'utilise ma sprocket surtout pour mon bullet journal</t>
  </si>
  <si>
    <t>Pierre a clipper J’adore j’ai jamais trouver si peux chère. Et la qualité est au rendez vous je ne m’y attendais vraiment pas</t>
  </si>
  <si>
    <t>Produit Très bon produit</t>
  </si>
  <si>
    <t>En compensées toujours prendre une pointure au dessus Elles sont confortables je pense les mettre tous les jours</t>
  </si>
  <si>
    <t>Excellent La commande a ete livre en temps et en heure, dans les delais prevus et en bon etat. L'article est excellent, parfait fonctionnement et correspond tout a fait a ce que j'attendais. Merci et bravo! Nathy</t>
  </si>
  <si>
    <t>Tres content Tres content des écouteurs. Je les utilises dans les transports et pour faire du sport. On peut transpirer avec, pas de probleme. Petit détail, plusieurs embouts pour oreilles sont livrés, moi qui est toujours des problemes pour faire tenir, ici aucun probleme meme pendant le running. Le son est bon, l'autonomie également (je fais ma séance de sport de 2h tranquillement). je n'ai pas essayé la prise d'appel et le micro, mais on entend lorsqu'on nous appelle.  Bon à savoir, car je n'avais pas compris à première vue. Le boitier, sans être branché, recharge vos écouteurs. Donc vous pouvez les emmener en déplacement et ils se rechargent chaque fois que vous les mettez dans le boitier.</t>
  </si>
  <si>
    <t>Superbe paire de baskets ! Taille très bien, super confortable, cette belle paire de baskets me plaît beaucoup ! Très classe, les baskets parfaites à porter en toute occasion ! Je recommande</t>
  </si>
  <si>
    <t>Mocassins Sebago Noirs Mocassins Sebago noirs taille 43 semelles cuir conforme à la commande. Très bon  rapport qualité prix.J'apprécie son côté intemporelle et habillé.J'aime également leur solidité.Envoi rapide et soigné.C'est parfait!!!</t>
  </si>
  <si>
    <t>Parfait Ce sont parfaits. Ils sont relativement souples et je suis sûr qu'ils deviendront plus doux avec le temps. Ajustement parfait si porté sans chaussettes ou avec des chaussettes fines. Achèterai la taille suivante à porter avec des chaussettes plus épaisses dans le temps froid.</t>
  </si>
  <si>
    <t>Qu'est-ce que vous attendez pour vous les procurer? Excellent produit fidèle à la photo. description parfaite.  taille parfaite  très confortable je viens de les essayer j'ai marché avec pendant 5 minutes dans la maison rien à dire!!  je recommande mille fois vraiment offre à ne pas râter.</t>
  </si>
  <si>
    <t>ne me convient pas a premiere vue ce casque était prometteur: emballage soigné, look sympa station de charge correcte. malheureusement après ce constat, le casque  ne fonctionne pas super. apres la charge de 24 h conseillé, au moment de la mise en route, rien ne se passe (malgré les bon branchements. je réessaye j'arrive à avoir un son mais uniquement côté gauche!! en essayant de changer de canal , pareil. ce casque ne me convient pas du tout. je renvoie.</t>
  </si>
  <si>
    <t>C’est pas bien C’est pas bon</t>
  </si>
  <si>
    <t>article non conforme pas aimé, non conforme à ce qui est écrit "Gel mission 3'' alors qu'il n'est mentionné nul sur les chaussures part la notion "GEL"</t>
  </si>
  <si>
    <t>Bof Très jolie mais : café moyen (pas assez en vapeur), pas de bip de fin donc la programmation doit être doublée d'un réveil synchronisé... Utilisation en programmation qui nécessite de sortir le mode d'emploi à chaque fois (à moins que vous n'ayez que cela à vous souvenir...), je ne recommande pas !</t>
  </si>
  <si>
    <t>Bon rapport qualité prix, par contre quelques petits soucis de traces d'encre quand on fait le gris Produit très bien, j'ai enlevé une étoile car quand on fait une impression en gris il ya du rose qui apparaît dans l'impression et ça fait des petits traits (peut être aussi du à mon imprimante), mais je préfère quand même le mettre. Sinon bon rapport qualité prix</t>
  </si>
  <si>
    <t>Fonctionnel et de bonne qualité apparente Bon article pour celui qui cherche un sac bandoulière élégant et de petite taille tout en disposant d'une capacité suffisante pour y stocker différents types d'articles (portefeuille, carnet de chèques, calepin, etc.). Pas adapté pour un I-pad ou même un smartphone de grande taille.  Les plus : - la poignée de portage, qu'il est rare de trouver sur un sac bandoulière de cette dimension, et qui est bien pratique quand on ne le porte pas à l'épaule. - le style sobre et assez élégant de ce modèle en cuir, discret et "jeune" à la fois ; j'ai choisi la couleur marron foncé qui va avec tous types de vêtements.  Les (petits) moins : - le rabat de devant se ferme grâce à un bouton magnétique pas assez puissant à mon goût, et qui n'assure donc pas une fermeture solide de la poche correspondante ;  par prudence, je n'y mets que des trucs plats (ex : papiers, cartes de fidélité) qui ne risquent pas de glisser hors de la poche si elle s'ouvre accidentellement. - la fermeture éclair de la petite poche plate zippée située sur le devant du sac est orientée verticalement, d'où le risque de chute de son contenu quand on l'ouvre : à l'usage, cette poche très plate s'avère seulement adaptée à une carte bancaire, mais pas pour y loger un petit trousseau de clés qu'on voudrait attraper sans avoir à ouvrir une des grandes poches principales.  Pour autant, c'est un bon produit, et je le recommande malgré les petits défauts de conception.</t>
  </si>
  <si>
    <t>baskets Un peu grand, avec une semelle ce sera parfait. Le 37 me serrait les pieds et là un peu d'espace au bout</t>
  </si>
  <si>
    <t>Relaxation Picots un peu douloureux au début, sentation de chaleur et détente avec ce tapis de fleur.  Très bon produit .</t>
  </si>
  <si>
    <t>beau Bon réveil, doux et fonctionnel, déjà il donne l'heure et me réveil chaque jours, et c'est déjà un super bon point. Ensuite le fait de pouvoir régler la couleur est un plus non négligable sur ce produit, avec une sonnerie douce. La construction est respectable et le prix est en réelle adéquation avec la qualité globale présenté ici. Bien</t>
  </si>
  <si>
    <t>En mode chill Très style</t>
  </si>
  <si>
    <t>belle montre fiable et robuste montre tout acier (même le boitier), verre très résistant, aucune rayure à ce jour. elle se recharge bien, fonctionne très bien, assez facile à régler. Dommage que le choix de la langue est oublié le français.</t>
  </si>
  <si>
    <t>Pantoufle Pour le travail ils sont bien, confortables e souples, mais il faut commandé 2 tailles plus petites Autremant ils sont trop grandes.</t>
  </si>
  <si>
    <t>Lampe vraiment géniale Enfin une vraie lampe de bureau ! éclairage à intensité variable du bout du doigt, mais aussi avec température de couleur modifiable (plutôt bleutée, blanche, orangée, etc). Idéal pour adapter l'éclairage à l'activité en cours. Rapport qualité/prix exceptionnel. Très bien emballée. Je recommande.</t>
  </si>
  <si>
    <t>Je le recommande! J'ai acheté ce sac pour mon copain, il l'aime très bien! Tout d'abord, le noir est bien assorti aux vêtements, et le noir est peu salissant. Deuxièmement, la capacité du sac est très grande et il peut contenir beaucoup de choses.La chose la plus importante est la qualité de ce sac est très bonne. Je pense que c'est un bon cadeau pour les hommes.</t>
  </si>
  <si>
    <t>Bien dans ses baskets Super baskets taille très bien. Agréable à porter. Matière souple. Jolie. Prix très correct</t>
  </si>
  <si>
    <t>Lee Cooper Workwear Lcshoe054,.. Très bon produit,  agréable à porter,  souple, légère  et peut se confondre avec une paire de basket traditionnelle. Moi je les portes toute la journée au travail et je continu de les porter avec le travail pour aller faire des courses par exemple. Je recommande  vivement ce produit.</t>
  </si>
  <si>
    <t>Parfaites Un peu de temps d'adaptation, mais sandales agréables, sobres et super résistantes.  Toujours en excellent état après environ trois ans.</t>
  </si>
  <si>
    <t>Répond à la demande Très bon bic que l on a pas besoin de tout jeter quand il est vide juste changer la cartouche effaçable le 👍</t>
  </si>
  <si>
    <t>très bien très bonnes chaussures de sécurité ,confortables et pour moi qui ai le pied large je n'ai absolument pas eu mal même le premier jour .Je dirai même qu'elles sont beaucoup mieux que celle fournies par mon employeur .J’espère que cette marque durera très longtemps pour que je puisse retrouver les mêmes dans un an :)</t>
  </si>
  <si>
    <t>Contente Bon maintien en vu de mon métier sportif. Je suis ravie</t>
  </si>
  <si>
    <t>tres satisfaite Weleda est une marque dont sa reputation n'est plus a faire! Produit de super qualité et tres efficace si bien utilisé comme indiqué sur la notice! Pas une seule vergeture n'a pointé le bout de son nez</t>
  </si>
  <si>
    <t>Sweat Très joli sweat. Supporte bien le lavage en machine (30°). Matière synthétique</t>
  </si>
  <si>
    <t>Très bons écouteurs Je ne peux pas les comparer à des écouteurs hauts de gammes car je n'en ai jamais eu la possession, mais de tous ceux que j'ai eu, pour à peu près le même prix (en général 20€), ce sont les meilleurs. J'ai été agréablement surpris, je ne m'attendais pas à cette qualité. Je tiens à préciser que j'utilise ces écouteurs pour écouter de la musique tout en allant au lycée, et pas du tout pour des sessions de game. Les + : - très élégants tout en restant style gamer - conformes aux photos - câble long - ont l'air solides autant au niveau du câble que des écouteurs - petit aimant sur le dos de chaque écouteurs, qui se rejoignent dos à dos dès qu'on les laisse pendre, ce qui permet de ne pas les emmêler - un micro, avec un bouton de contrôle (raccrocher, mettre sur pause, passer à la musique suivante) et un contrôleur de son très pratique car si on le descend jusqu'en bas, il permet de baisser le son sans le couper entièrement pour entendre quelqu'un de l'extérieur sans avoir à raccrocher/couper la musique ou retirer ses écouteurs - les 3 paires d'embouts à mémoire de forme confortables (2 paires vertes et 1 paire noire) - je les ai déjà fait tomber 2 fois sans trouver d'impacts - bon son bien équilibré - la petite pochette pour transporter les écouteurs - l'adaptateur pour le mettre sur pc  Les - : - quand je suis dans le bus et qu'il y a un peu de bruit, les personnes avec qui je téléphone entendent aussi fort ma voix que celles des passagers à l'autre bout du bus, ce qui peut être gênant pour les appels - le branchement jack est droit (en I et pas en L comme sur certains) donc je ne peux pas poser le téléphone sur le côté où sont branchés les écouteurs si je ne veux pas les abîmer - j'aurais aimé qu'un raccourcisseur de câble soit fourni avec car il est un peu long pour une utilisation en extérieur (un petit truc en plastique qui s'accroche aux écouteurs et sur lequel on enroule le câble) - le micro a un style un peu cheap, sans pour autant l'être, ça contraste visuellement sur le reste  Conclusion : Les défauts de ces écouteurs sont surtout personnels, ce qui n'égale en rien la qualité du produit. C'est un très bon rapport qualité prix. Le son est très bon, ils sont confortables, solides, élégants, et pas chers. Les meilleurs que j'ai pu trouver jusqu'à maintenant. Et mon Dieu, très bon service client, et qu'est-ce qu'ils sont drôles ! (vous comprendrez quand vous recevrez le mail de confirmation d'envoi de votre commande)  P.S.: Ils fonctionnent très bien pour le moment, s'ils se détériorent et que je trouve le moindre défaut, je viendrais l'ajouter ici et j'écrirais au bout de combien de temps ils ont survenu. J'ai écrit cet avis après une semaine d'utilisation quotidienne.  UPDATE 01/02/2018 : Ça y est les écouteurs ont lâchés aujourd'hui ! J'en ai toujours pris plutôt soin, et ce matin j'ai remarqué qu'un des deux écouteurs ne fonctionnait plus. Ça faisait ~2 semaines qu'ils commençaient à avoir un mauvais contact (mettaient sur pause ou changeaient ma musique tout seuls quand je les tripotaient un peu). Visuellement, ils ont très bien tenu. Les aimants ont commencés à enlever légèrement la peinture sur le dos des écouteurs mais ça ne se voit pas et reste esthétique. Entre temps, les embouts verts se salissaient beaucoup trop vite et s'effritaient alors j'ai mis les noirs, puis j'ai perdu un des 2 noirs et la taille me gênait donc j'ai mis ceux en silicones (rien à voir, c'est beaucoup moins isolant, mais bon...). J'ai rajouté des photos de leur état actuel après 119 jours d'utilisation quotidienne. Je suis content de les avoir essayés, je me demande maintenant si je reprends les mêmes mais avec le fil tressé ou si j'en essaie d'une autre marque...</t>
  </si>
  <si>
    <t>Des coutures qui se ...décousent Le pantalon est conforme aussi bien pour la coupe que le tissu mais  les coutures se défont petit à petit!</t>
  </si>
  <si>
    <t>Défectueux Produit de mauvaise qualité la semelle se décolle</t>
  </si>
  <si>
    <t>table pliable En voyant la vidéo et image, j'avais l'impression que c'est plus solide que cela, et plus maniable Je ne peux utiliser mont portable Asus professionnel dessus car trop lourd et le plateau de soutien n'a qu'un coté de solide, mes barres empêchent de mettre mes USB multi prises, donc j'en fais un autre usage, poser mon scanner pro, plus léger, plus petit sur lequel je peux mettre les différent cordons</t>
  </si>
  <si>
    <t>Produit très pratique MAIS Attention ne résiste que très peu dans le temps, ne comptez pas sur ce produit pour votre second enfant. Nous avons eu un soucis avec le premier au bout de 2 ans, le second au bout de 2 mois heureusement super SAV  Amazon remplacement ou remboursement immédiat puisque sous garantie ! Cependant très utile, eau a parfait température pour le bib, et sympa de pouvoir emporter la partie haute du produit.</t>
  </si>
  <si>
    <t>Très fiable Très fiable bien qu'un poile trop cher malgré sa quantité, c'est présenté en rouleau d'étiquettes à double face collante. Cela permet comme le produit l'indique de l'utiliser comme une colle en plus fiable et avec un rendu plus propre.</t>
  </si>
  <si>
    <t>utilisation facile, beau design Lampe commandée pour un enfant de primaire. Facile d'utilisation concernant l'allumage/extinction. Intensité lumineuse variable, utile. Rotation adaptée. Longueur du fil jusqu'à la prise murale ok. Port USB bienvenu. Je recommande.</t>
  </si>
  <si>
    <t>Très bien mais bouloche. Chaud comme on l’attend. Anti dérapant comme on l’attend. Sensation de marcher pieds nus quasi intacte ! Mais bouloche à mort, et rapidement. Globalement un bon produit. Prévoir une taille en-dessous.</t>
  </si>
  <si>
    <t>Très chic mais présentation a revoir J'ai une amie qui est vraiment fan des bijoux en forme de infini depuis qu'elle a suivi une certaine serie a la télévision et j'ai donc décidé de lui offrir celui ci pour les fetes de noel. J'ai reçu mon colis rapidement et dans d'excellentes conditions et ça c'est le côté pratique que vous avez en étant membre d'amazon prime, pour ce qui est du packaging je pense avoir très bien fait d'ouvrir la boîte pour vérifier ce qui se trouvais dedans car très sincèrement la je peu dire que le bas blesse, le colier est arrivé dans un écrin correcte mais a l'intérieur il est présenté dans un sachet plastique et ça c'est vraiment pas gage de qualité , bref ensuite je l'ai sorti du sachet et le colier était plein de noeud au niveau de la chaîne, j'ai du mettre au moins 5 a 0 minutes a tout défaire pour le remettre correctement sur le petit carton afin de lui donner le coté bijoux chic. Autrement le bijoux en lui même est tr!s joli et la chaîne est très fine et discrète, vous avez plusieurs endroit ou l'attacher ce qui vous permet de choisir la longeur. Donc je pense que ce produit est pas mal mais sincèrement sans plus, désolé.</t>
  </si>
  <si>
    <t>J’adOre Sa fonctionne très bien</t>
  </si>
  <si>
    <t>Hosaire Boucles d'oreile Femme torsion longue houpe Très beau! Ils sont brillantes et légères. J'aime la façon dont les boucles d'oreilles juxtaposées se déplacent d'avant en arrière.</t>
  </si>
  <si>
    <t>Bien, pas de moustique. Anti-moustique très efficace la nuit fenêtre fermés ou légèrement ouverte.</t>
  </si>
  <si>
    <t>Conforme Très joli</t>
  </si>
  <si>
    <t>Magique! A avoir absolument. Absolument RAVIE de ce produit que je viens de découvrir. C'est un must-have absolu dans les produits ménagers de la maison! Je suis assez choquée de son efficacité, mon linge est ressorti bien blanc alors qu'il était grisonnant depuis bien longtemps, les tâches disparues alors que tous les produits y étaient passés sans succès, et on dirait qu'il décuple l'efficacité de la lessive car mon linge a une odeur absolument divine de propre frais. Je ne trouve pas les mots tellement j'en suis contente.</t>
  </si>
  <si>
    <t>Tres beau collier Je suis très satisfaite de mon achat ce produit correspond tout à fait au descriptif et à a un très bel effet porté autour du coup</t>
  </si>
  <si>
    <t>Comme.il faut Il soutien bien.je fais un 90D .il taille bien. Je l utilise pour faire des sauts type corde à sauter.</t>
  </si>
  <si>
    <t>bon produit Demande de la vigilance pour ne pas trop chauffer les graines de lin. Légère odeur peu dérangeante - mais convient parfaitement pour détendre mes cervicales</t>
  </si>
  <si>
    <t>Très bien ! Efficace Un câble VGA des plus classique, qui fait très bien son job !</t>
  </si>
  <si>
    <t>Très bon produit Le produit est très bien le câble est épais et il n'est pas cher du tout... je l'ai même commandé 2 fois !</t>
  </si>
  <si>
    <t>Diffuseur Diffuseur très esthétique, silencieux et très efficace. A vivement recommander.</t>
  </si>
  <si>
    <t>super sac Belle couleur , sac costaud beaucoup apprécié par la personne à qui je l'ai offert ; il est super ,et très opérationnel !!!</t>
  </si>
  <si>
    <t>Ravi Fidèle aux attentes! A recommander bien qu’un peu encombrante mais c’est une belle G-Shock!</t>
  </si>
  <si>
    <t>boucles pendantes Jolies boucles très stylées. Un pendant parfait. Utilisées pour fêtes familiales. Du plus bel effet.</t>
  </si>
  <si>
    <t>Plus belles en réel que sur la photo Belle qualité réalisation fine et de classe. Elles rendent encore mieux que sur la photo. Système d'attache pratique et discret</t>
  </si>
  <si>
    <t>Leggings agréable Leggings confortable et agréable durant le sport (Zumba) en plus d’être assez original</t>
  </si>
  <si>
    <t>la qualité n'est pas au rendez vous !!!!!!!!! le talon flotte quand on marche car l'interieur du talon de la chaussure est en nylon ou matiére équivalente alors que l'on attend du cuir !!!!!!!</t>
  </si>
  <si>
    <t>Peinture et placo arrachés Peinture neuve de cet été. Une accroche pour une guirlande lumineuse à Noël a arraché peinture et place en plein milieu du mur du salon. Je suis déçue.</t>
  </si>
  <si>
    <t>NUL !!!! les écouteurs cassé en plus il y a du caca des oreilles dedans ce produit est vraiment une arnaque ! dire que j'ai dépensé 23 euros dans une arnaque je suis vraiment déçu en plus en voulant écouter de la musique la partie que l'on met dans le téléphone c'est cassé je vous déconseille fortement ce produit !</t>
  </si>
  <si>
    <t>Bien Assez grand, bonne qualité, mais pas vraiment noir comme sur la photo. Plus anthracite</t>
  </si>
  <si>
    <t>Je recommande Très jolie fonctionne bien.  Un peu bruyante mais ca reste raisonnable</t>
  </si>
  <si>
    <t>Évaluation d'un produit Bonjour.. article livre le 28 août 2018 ..bien avant la date limite.. c'était un cadeau Pour mon amie..donc sa lui vas bien et très contente.. Merci d'avance</t>
  </si>
  <si>
    <t>Bien Le produit est vraiment bien, il sent bon, il est agréable sur la peau. Le seul point négatif (c'est purement subjectif) c'est qu'il n'y a pas assez de bille comparé au soin en lui même.</t>
  </si>
  <si>
    <t>J'aime ça Pas mal</t>
  </si>
  <si>
    <t>Bien Nickel</t>
  </si>
  <si>
    <t>LE kit de naissance ! Un kit de naissance parfait, avec à la fois des biberons en verre (c'est ce qui est le moins toxique), des tétines de rechange, et une tétine-sucette à mettre dans la valise de maternité. Les tétines sont bien adaptées à bébé, le kit est évolutif, c'est parfait pour les premiers mois !</t>
  </si>
  <si>
    <t>Génial Trés pratique pas encombrant</t>
  </si>
  <si>
    <t>très sympa, nice j'ai pris la taille xxl et ça me va grâce à l'élastique, je fais du 50 / 52  la forme et la matière sont agréables à porter  perfect, thank you!</t>
  </si>
  <si>
    <t>J'aime beaucoup Je suis fan de bougies  : bougies cierges que je mets dans une lanterne et bougies chauffe plat, dans un photophore! (sécurité oblige) j'en allume une avant de m'endormir dans un photophore, ça m'aide à rejoindre les bras de Morphée. Les Led ne parviendront jamais à imiter la chaleur de la petite flamme. Et ainsi ces bougies là sont très bien!!!!</t>
  </si>
  <si>
    <t>Parfait Pas beaucoup de bruit, facile d'utilisation, vraiment surpris de la qualité de ce produit j'en reprendrai un second plus tard car il est super !!</t>
  </si>
  <si>
    <t>un produit multi-usages très efficace. J'aime particulièrement ce produit parce qu'il permet de tout nettoyer et qu'il est très simple à utiliser. Je l'utilise surtout dans la cuisine et il est parfait.</t>
  </si>
  <si>
    <t>Nikel Mon fils est ravi Superbe</t>
  </si>
  <si>
    <t>Bonne montre solide Très jolie et costaud</t>
  </si>
  <si>
    <t>Parfaite Tout simplement parfaite j'en avais déjà acheté deux paires et j'adore</t>
  </si>
  <si>
    <t>Très bon rapport qualité / prix Très beau produit, arrivé et livré à la date prévue. Confortables avec les semelles mais aussi sans : j’ai plus de sensations «&amp;nbsp;pieds nus&amp;nbsp;» sans les semelles. A tester pour marcher sur le sable ou dans l’eau... et dans le temps !</t>
  </si>
  <si>
    <t>Digne d'une montre de qualité fossil Elle est sublime et conforme à sa description. Rien à dire pour tout le moment  (à voir dans le temps)</t>
  </si>
  <si>
    <t>PARFAIT très bien pour le début de l'apprentissage de la lecture. les syllabe muettes, des mots courts et simple. Des petites histoires idéales pour le soir avant d'aller dormir même fonction d'apprentissage qu'à l'école donc l'enfant n'est pas déstabilisé.</t>
  </si>
  <si>
    <t>Parfait - Livraison dans les temps. Conforme au descriptif.</t>
  </si>
  <si>
    <t>Maniable Je suis très contente de ce ciseau cranteur . Coupe facile à travailler jusqu'à la pointe , précision de la coupe , bonne longueur . Quel changement avec mon ancien ciseau très lourd , aux grosses lames ,et raide à manœuvrer qui est parti à la décharge !</t>
  </si>
  <si>
    <t>Dépitée J'avais acheté celui pour garcon et je l'ai trouvé assez moderne, bien construit. Celui ciest bien construit mais completement demodé: approche un peu sexiste poussant les filles à se raser, le clitoris est un ptit bouton, les options pour les regles sont uniquement jetables, bref, un contenu digne des annees 90, dommage.</t>
  </si>
  <si>
    <t>Grande déception pour le scrapbooking sur feuille noire!!!! Bonjour Je cherchais pour ma fille des feutres pour scrapbooking sur feuilles noires, et la photo montrée sur Amazon est trompeuse...on devine à peine les écritures alors que sur la photo, elles sont lumineuses et facile à lire...Dommage ...je ne le conseille pas pour cet usage..</t>
  </si>
  <si>
    <t>Pas si efficace que ça! Contrairement à toute la pub faite sur ce produit, je ne l'avais pas encore essayé. Un gros pot était l'idéal pour en avoir d'avance persuadé que j'étais que Vanish était le plus efficace des antitaches! Las! J'ai commencé par un programme de linge à 30° Toutes les taches étaient toujours là. A moins de laver à 60° seul température efficace, les taches ne partent pas, mais tout le linge ne passe pas à cette haute Température. Je me suis débrouillée avec mes anciennes habitudes pour venir à bout des taches de sauce tomates, etc.</t>
  </si>
  <si>
    <t>A voir Mais je ne l'ai pas utilisé au final car chauffe des biberons beaucoup trop longue, bébé nouveau né ne peut pas attendre si longtemps que ça chauffe</t>
  </si>
  <si>
    <t>Dr Martins 1460 56 € sur Amazon au lieu d'un prix moyen à plus de 140 € . Tout est dit ! Prendre tjrs une taille en dessous de sa pointure habituelle. Si vous faites du 43, achetez du 42.</t>
  </si>
  <si>
    <t>Bon Ras</t>
  </si>
  <si>
    <t>Confortable J'aime beaucoup ce legging. La matière est ultra douce, bonne élasticité. Les couleurs sont superbes, les motifs de qualité. Il se porte très bien, je suis tellement à l'aise dedans ! J'ai acheté 2 modèles de la même marque, aucun regret. La  taille est adaptée et pour le prix c'est très correct</t>
  </si>
  <si>
    <t>Chaussure victoria Rien à dire produit de bonne qualité ma fille en ai ravi elles sont vraiment belle</t>
  </si>
  <si>
    <t>Tres bien et agreable Agréable  et très beau produit.</t>
  </si>
  <si>
    <t>Somptueuse Grand fan de la marque et possédant pas mal de modèle je peux vous dire que cette GShock est un must have a posséder de toute urgence Robuste , lisible pratique elle est juste terrible et m’accompagne tout les jours dans toute situations extrême (travail , piscine , douche ....) bravo casio et merci amazon pour la trouver à un prix bien inférieur au commerce Vous hésitez ? Foncez elle est splendide</t>
  </si>
  <si>
    <t>Pour les loisirs Idéale pour tous les loisirs où l'on risque de perdre ou d'abîmer sa montre, par exemple la piscine ou la plage. Elle ne se casse pas facilement, elle ne se dérègle pas trop, et le rétro-éclairage peut rendre service. Évidemment, elle ne passe pas du tout dans les situations où l''on veut avoir l'air un minimum élégant.</t>
  </si>
  <si>
    <t>L'utilisation du produit Je suis très contente de mon gratte-langue ; il est très facile d'utilisation et se range parfaitement dans sa petite pochette en lin que je trouve vraiment trop mignonne c'est un petit plus qui fait la différence avec un autre produit.</t>
  </si>
  <si>
    <t>COUSSIN DE MASSAGE A TRANSPORTER PARTOUT Cadeau apprécié et utiliser de manière régulière par mon amie. De petite taille, mais remplit bien ses fonctions. Je recommande le produit.</t>
  </si>
  <si>
    <t>Lumineux J'ai acheté ce diffuseur pour remplacer mon ancien qui m'a lâché, il est pareil, même capacité, même fonction... Il est sobre est passe presque inaperçu dans la maison, pas cher. C'est un bon compromis.</t>
  </si>
  <si>
    <t>Stylo bic Stylo bic simple</t>
  </si>
  <si>
    <t>Bouilloire très utile pour tout type et avec gestion de température C'est clairement une bouilloire haut de gamme, dans laquelle on peut garder l'eau au chaud, sa capacité est incroyable et on peuts ans problème gérer la température sur plusieurs niveau, 70, 80, 09 ou 100 Degrés selon son utilisation, ce qui est raremant faisable. Je recommande ce produit sans hésiter.</t>
  </si>
  <si>
    <t>très bien Je suis contente de l'article Super rapide et silencieuse, je la recommande prix très attractif , très jolie dans ma cuisine !</t>
  </si>
  <si>
    <t>Parfaitement satisfait Pour un prix très démocratique voilà un bel objet se mariant parfaitement bien avec la montre Fossil Q Commuter (argent). Livraison très rapide, boîte scellé contenant les outils pour installer ce bracelet très facilement à la dimension de votre poignet en une vingtaine de minutes. Il faudra voir avec le temps pour la qualité globale. Dans tous les cas je suis très satisfait et je recommande ce bracelet montre...  Cordialement</t>
  </si>
  <si>
    <t>Chaussons pour invités Bah écoutez, j'avais une appréhension au vu des commentaires, mais pour des chaussons d'appoint (donc uniquement pour les personnes de passage), ils sont bien, on a pas eu de soucis! précision: les personnes à qui je prête ces chaussons ne sont pas du genre à traîner les pieds quand elles marchent, donc c'est peut-être pour ça que les chaussons restent solides! ;)</t>
  </si>
  <si>
    <t>Etui Très bon produit.  Je l ai acheté pour mettre ma carte grise et je ne suis pas déçue.  Les dimensions sont parfaites.</t>
  </si>
  <si>
    <t>Qualité/Prix au top Très joli bijou, la propriétaire en est contente et l'a portée 2 semaines avant d'en changer à son habitude.  C'est de l'argent, le collier est fin, il laisse place à ce flocon de neige très joli à voir.</t>
  </si>
  <si>
    <t>Radical !!! Utilisation cet été en Charentes . Très efficace dès le premier soir branché dans le salon .  C’est simple je me suis rendu compte que le réservoir était vide un soir 1 mois et demi après  en me faisant piquer par un moustique . J’ai remis une prise le lendemain le temps de les retrouver et plus aucuns problèmes !!! Ça nous change la vie en été !!!!</t>
  </si>
  <si>
    <t>Saftey Jogger BESTBOY chaussures de sécurité L'article reçu correspond à la photo et au descriptif. Il chausse légèrement plus grand, mais avec des chaussettes plus épaisses c'est parfait. Satisfaite, je le recommande</t>
  </si>
  <si>
    <t>Très instructif Ma nièce est ravie de ce cadeau d'anniversaire</t>
  </si>
  <si>
    <t>chaussures avec les deux semelles décollées La livraison a été rapide, le modèle et la couleur de la chaussure étaient conforme à la description, mais, les semelles des deux chaussures se sont décollés dans les bords au bout d'une semaine. On m'a proposé d'être remboursé car, on ne pouvait pas m'envoyer les mêmes chaussures. J'ai préféré le réparer avec mon cordonnier car, j'aime bcp le modèle. C'est la première et la dernière fois que j'achète des chaussures sur internet. C'est dommage.  Rozas</t>
  </si>
  <si>
    <t>Fausse pierres La seule vraie pierre c'est l' œil de tigre le reste c'est du plastique</t>
  </si>
  <si>
    <t>Jamais utilise jamais fonctionne Le câble ne fonctionne pas. Première utilisation pas son du tout je l'essai sur d'autres instruments et il ne fonctionne pas</t>
  </si>
  <si>
    <t>Prendre une taille en plus pour les manches Bien sauf que j' aurai du prendre une taille en plus . Sinon ils sont très agréable.</t>
  </si>
  <si>
    <t>Bon casque, mais pas pour tout le monde. Je vais faire vite concernant la qualité sonore : c'est très bon, très neutre, dynamique... En revanche, le casque s'adresse vraiment à un public professionnel, dit "de terrain", ainsi, si sa robustesse et son maintien feront la joie des DJ et des preneurs de son, c'est moins évident pour le grand public. Pour écouter votre musique en sédentaire, ce n'est pas un choix idéal car il serre beaucoup, provoquant des douleurs aux oreilles au bout d'une heure d'écoute, même sans lunettes. Et en usage nomade, ce n'est pas un choix idéal car l'isolation n'est vraiment pas terrible, dans les deux sens, vos voisins entendent ce que vous écoutez et vous entendez pas mal l'extérieur. Je l'ai renvoyé au profit du MSR-7 de Audio-Technica qui propose les mêmes qualités sonores (neutralité, dynamique...) tout en proposant un confort et une polyvalence accrus. (meilleure isolation notamment) De plus, le packaging de ce Sennheiser laisse à désirer, on a le casque... et c'est tout... pas de housse, pas de second câble, rien... et le casque est présenté sur un bout de carton, j'ai limite eu l'impression de déballer un casque de chat Xbox à 10€.  Pour résumer : excellent son, robuste, mais peu confortable, ni pleinement adapté à un usage nomade ni sédentaire, packaging famélique. En revanche, les DJ, preneurs de son, ou même les sportifs apprécieront un son neutre et un maintien sur la tête irréprochable.</t>
  </si>
  <si>
    <t>TRES BIEN J'utilise beaucoup la marque eastpak  pour sa solidité, notamment avec les sacs à dos pour les enfants Je déplore juste que les dimensions soient un peu petites et que la poche avant soit quasiment inutilisable à cause du rabat qui ne permet pas de l'ouvrir en plein mais la poche arrière n'a pas de rabat et c'est tant mieux</t>
  </si>
  <si>
    <t>Pas mal Niquel et léger</t>
  </si>
  <si>
    <t>RAS Produit conforme aux normes et descriptifs.</t>
  </si>
  <si>
    <t>Superbe Conforme et tres jolie..je conseille ..moi elle me quitte plus..</t>
  </si>
  <si>
    <t>Stabilo original Classiques mais tres bien, dure longtemps et couleurs originales, je recommande ! Dommage, il manque le surligneur violet dans les couleurs classiques.</t>
  </si>
  <si>
    <t>trés bien écrit  et conviviale pour les enfants trés bien écrit  et conviviale pour les enfants PARFAIT pour noel</t>
  </si>
  <si>
    <t>Compatible Epson XP425 J’achète ces cartouches depuis qq temps. Aucun problème avec les imprimantes Epson XP425. Pas de repères quant à la durée de vie des cartouches mais à ce prix là et avec une livraison aussi rapide (3 jours avant la date prévue), je ne me pose pas la question 😁</t>
  </si>
  <si>
    <t>Mes chaussons d'extérieur ... Quand on a connu les TBS Brandy, c'est difficile de mettre autre chose, et oui, qualité cuir et confort absolu, je pourrai marcher 3 jours non stop avec ! Le petit talon apporte un confort supplémentaire</t>
  </si>
  <si>
    <t>J'adooore! Impeccable! Incontournable pour le modèle et trop pratique pour la matière (cuir) Elles sont de bonne qualité même après les avoirs portés par temps de pluie. facile à nettoyer et à entretenir. J’espère les garder un bon moment!</t>
  </si>
  <si>
    <t>top désodorise bien, pas cher, bien après la cuisine</t>
  </si>
  <si>
    <t>Top ! Superbe couleur, confort parfait et qualité puma, je suis très satisfaite de mon achat !</t>
  </si>
  <si>
    <t>Léger, parfait pour commencer à boire seul ! Un biberon de forme triangulaire très léger muni de deux anses pour permettre à l'enfant de saisir et boire seul. La tétine est ronde, anti-colique grâce à une bonne circulation de l'air. La tétine est suffisamment souple pour être bien appréciée des tout-petits. C'est une tétine 2ème âge possédant 3 vitesses de flux.  Les tout-petits adorent le dessin de Mickey sur le corps du biberon.  Malgré la forme triangulaire du biberon, le nettoyage reste aisé, les angles étant arrondis.  Je préfère les biberons en verre pour éviter les matières plastiques mais le plastique reste un bon choix lorsque l'enfant boit/désire boire seul. Le fait que le biberon soit incassable rend le désir d'autonomie sécure.</t>
  </si>
  <si>
    <t>decollee bjr j'ai acheté ce produit , et a ce jour la semelle est décolle du bord peut on les renvoyer mzeci</t>
  </si>
  <si>
    <t>Jolie montre Cadeau de Noël pour ma maman qui m'a trouvé superbe.</t>
  </si>
  <si>
    <t>L’avis d’adele &lt;div id="video-block-R1OYBJ66D0X13S"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src="https://images-eu.ssl-images-amazon.com/images/I/81It75CR4gS.mp4" style="position: absolute; left: 0px; top: 0px; overflow: hidden; height: 1px; width: 1px;"&gt;&lt;/video&gt;&lt;/div&gt;&lt;div id="airy-slate-preload" style="background-color: rgb(0, 0, 0); background-image: url(&amp;quot;https://images-eu.ssl-images-amazon.com/images/I/81j1RDIj7qS.png&amp;quot;);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center;"&gt;0:05&lt;/div&gt;&lt;div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value="https://images-eu.ssl-images-amazon.com/images/I/81It75CR4gS.mp4" class="video-url"&gt;&lt;input type="hidden" name="" value="https://images-eu.ssl-images-amazon.com/images/I/81j1RDIj7qS.png" class="video-slate-img-url"&gt;&amp;nbsp;J’utilise le papier toilette humide LOTUS depuis maintenant quelques temps et j’en suis ravie,  idéal pour toute la famille enfants et Mari 😂, il mon étaient envoyés pour tester et je les ai adoptés. Après utilisation je me sens fraîche et propre je vous recommande a 100%. #MomentLotus</t>
  </si>
  <si>
    <t>Magnifique Super, va avec tout, rien à dire, magnifique !</t>
  </si>
  <si>
    <t>Recommande ++ Produit conforme à la description... Attention ne convient que pour les biberons anti colliques Closer to nature, avec le système anti air à l'intérieur</t>
  </si>
  <si>
    <t>Nickel Conforme à la description!👍🏻</t>
  </si>
  <si>
    <t>Sur huawei p20 pro marche très bien Le rode SC7 sert à alimentée le micro rode sur smartphone sa marche très bien pas de soucis. Moi j'utilise sur un huawei p20 pro et il est important de savoir qu'il faut télécharger une application qui s'appelle caméra sur playstore et aller dans les réglage pour choisir micro externe. J'explique tout sa car il ya des personnes qui comprennent rien et au lieu de chercher la solution sa pleurniche car sa ne fonctionne pas. Rien à dire sur pour le produit rode à encore géré.</t>
  </si>
  <si>
    <t>bof Trop grande, trop lourde, au quotidien c'est bien compliqué à garder aux pieds... Pour conduire, j'en parle même pas, trop rigide..</t>
  </si>
  <si>
    <t>Visuel erroné Malgré le visuel affichant 2017, c'est le bloc-pratic 2016 que j'ai reçu (et vais donc retourner à Amazon, car qu'est-ce que je vais faire d'un 2e bloc 2016 à 3 mois de la fin de l'année...).</t>
  </si>
  <si>
    <t>Deux paires à la place de trois Je suis très déçue car je n'ai que reçu deux paires dans mon colis alors que l'annonce dit trois !</t>
  </si>
  <si>
    <t>trop petit même en taille 47 c'est juste ,d'habitude je fais plutôt 46.5. J'ai du faire le renvoi. Si non très bonne qualité,et confortable</t>
  </si>
  <si>
    <t>douce et fine couverture un peu petite à mon gout. belle qualité mais je la trouve très fine et la partie dessus dessous recouvrant les fils chauffants est trop fine et pas cousu ensemble ;-( je doute sur le temps que la qualité résiste. Très belle couleur marron et matière toute douce.</t>
  </si>
  <si>
    <t>Catouches d'encre compatible Epson Les cartouches sont identiques à celles d'Epson, elles sont utilisables malgré que l'imprimante ne les reconnaisses pas . Des astuces pour contourner le blocage voulu par d'Epson sont  disponibles sur internet.   Après plusieurs semaines d'utilisation, elles donnent toutes satisfactions. C'est parfait car le rapport qualité  prix est très atractif</t>
  </si>
  <si>
    <t>satisfait J'aime bien le style et le confort qu'elle me donne quand je marche en tout cas elle me plait bien</t>
  </si>
  <si>
    <t>Pratique mais reste cher Petite brosse qui s'aimante correctement sur un tableau (attention l'attraction est faible) et efface niquel. Dommage que le prix soit un peu élevé (9€ sans livraison), malgré tout la qualité est là, je recommande tout de même.</t>
  </si>
  <si>
    <t>Parfait Marche très bien</t>
  </si>
  <si>
    <t>Jolie Très jolie on se sent bien dedans</t>
  </si>
  <si>
    <t>Egal a la description Ras</t>
  </si>
  <si>
    <t>Parfait Bloqueur sobre et beau. Discret et parfait</t>
  </si>
  <si>
    <t>très grande taille parfait ! - couvre bien tout le dos - chaleur dure longtemps - parfait pour le bas du dos je recommande plutôt cette compresse de lin q'au coussin chauffants électriques</t>
  </si>
  <si>
    <t>supercontente de ce produit livre pour mes petits enfants, lecture adaptée pour un début de cp</t>
  </si>
  <si>
    <t>Top Super jolie.</t>
  </si>
  <si>
    <t>déchets journaliers très solides</t>
  </si>
  <si>
    <t>Top of the top Le top du top du top of the top du top du top. du top...of the top. En un mot, top!</t>
  </si>
  <si>
    <t>Géniale Correspond parfaitement à l'image et est très agréable à porter</t>
  </si>
  <si>
    <t>Leggings parfait ! Je cherchais des leggings pour l'hiver, mais je ne les voulais pas molletonné et bien je suis ravie. Ils sont épais mais juste ce qu'il faut pour le froid. La qualité pour moi est excellente. La large ceinture me plait énormément, niveau confort c'est le top. Si il y avait plus de couleurs, ça aurait été encore plus sympa. Ces leggings sont dans mes favoris.</t>
  </si>
  <si>
    <t>Parfaitement adaptées ! Les chaussures sont très biens. Portées tous les jours par mon fils elles ne sont pas déformées et ne se sont pas avachies. Le noir reste bien noir. Parfait.</t>
  </si>
  <si>
    <t>Excellent Excellent support pour ordinateur portable permettant un réglage très facile pour une meilleure utilisation de celui-ci et permet également d'attacher les câbles de connexion.</t>
  </si>
  <si>
    <t>Parfait très joli collier je suis ravie</t>
  </si>
  <si>
    <t>Bon rapport qualité prix. Pour le sport et la ville. Esthétique et de qualité.</t>
  </si>
  <si>
    <t>LAPASA LEGGING PRODUIT CORRESPONDANT A MES ATTENTES. JOLI LEGGIN  ADAPTE POUR LE SPORT.  TAILLE BIEN.  RAPIDITE DE LA LIVRAISON. JE SUIS CONTENTE DE MA COMMANDE.</t>
  </si>
  <si>
    <t>déçue la chaine n'est pas comme celle de la photo, elle est plus grise que argentée et ce n'est pas la meme maille, et le pendentif est joli mais ne vaut pas ce prix. je vais demander le retour. trop cher pour ce que c'est.</t>
  </si>
  <si>
    <t>Pétaradant, légêrement odorant, jaunâtre... Sur un dévidoir, il faut également acheter un casque de protection auditive car il fait autant de bruit que des pétards dans une rue de Chinatown le jour de l'an... assourdissant! Ce n'est pas une blague! Il a aussi une légère odeur, et est irrégulier et jaunâtre... pas sûr qu'à l'usage ça vaille le coup d'économiser quelques euros... Je lui préfère le rouleau Tesa transparent</t>
  </si>
  <si>
    <t>À éviter lessive dangereux Mes enfants et moi qui ont la peau irritée après avoir utilisé ces lessives !!!! des que je sort les linges avec mes mains. J'ai la peau qui pique et des boutons tout de suite. Je n'utilise que sur les vestes et manteaux maintenant pour les finir.</t>
  </si>
  <si>
    <t>Un peu déçue par la couleur. Bonne qualite Déçue par la couleur. Bonne qualite</t>
  </si>
  <si>
    <t>Impossible de la déplier seule La table est très stable et confortable mais n'a pas de barre pour la maintenir ouverte totalement. Du coup et vu le poids, des que je veux la redresser seule pour l'installer, elle se replie sur moi... Impossible de la mettre en place seule. Dommage mais bon j'en suis très contente tout de même</t>
  </si>
  <si>
    <t>T-shirt Levi's garçon Super... Qualité /prix... Taille un peu grand, mais bon....</t>
  </si>
  <si>
    <t>léger et beau Ça chauffe un peu grand je fais du 42 et j'arrive quand même à passer le pouce  au niveau du talon pour celui qui fait du 42 vaut mieux qu'il achète du 41</t>
  </si>
  <si>
    <t>Discret Juste comme je le voulais .</t>
  </si>
  <si>
    <t>Bon achat. Bonne qualité. Dimensions variées. Reçus dans les temps</t>
  </si>
  <si>
    <t>Et bien chantez maintenant! J'ai rien à dire franchement, c'est un super équipement qui premet de prendre des prises de son fantastique. Genial. Je recommande Facile de mise en place. Les nombreux réglages se font directement sur le micro. Ca facilite vraiment l'utilisation. Le support est solide, les plastiques de bonne facture.</t>
  </si>
  <si>
    <t>Interface USB Midi Simple, efficace, et fonctionne parfaitement, seul petit regret, la longueur du câble (déjà 2m) qui pourrait en faire un de plus.</t>
  </si>
  <si>
    <t>Superbe sac C’est un Très bel article,  excellente  finition,  très tendance, plein de poches, bien fermées, bandoulière doublée, grande capacité j’en suisvraiment content</t>
  </si>
  <si>
    <t>GENIALE DE SIMPLICITE Il y a l'essentiel : l'heure, la date, un chronomètre, un minuteur, une alarme, une deuxième heure. On peut faire sonner la montre ou la faire vibrer. Et les réglages sont enfantins. Les données sont très lisibles. Franchement pour le prix, il n'y a pas à hésiter</t>
  </si>
  <si>
    <t>TOP Toujours au top les tétines Nuk, mes filles adorent. En plus elles sont solides. Bien mieux que les tétines de la marque Tigex</t>
  </si>
  <si>
    <t>Parfait Parfait. Elles tiennent très bien. Il s'agit vraiment de chaussette sport. J'en suis tellement content que je viens d'en recommander 3 lot de 3. A recommander sans hésitation.</t>
  </si>
  <si>
    <t>Alimentation  Casio CTK-1500 Cette alimentation permet de se passer de piles sur le piano  Casio CTK-1500 .</t>
  </si>
  <si>
    <t>Produit conforme Produit conforme et livraison rapide.</t>
  </si>
  <si>
    <t>A recommander! Bravo! Je ne peux que recommander cet article qui répond à toutes mes attentes. J'avais regardé au préalable des comparatifs avec d'autres marques de crayons de couleurs présentés par deux youtubeuses qui mettaient en évidence la qualité des crayons Castle. J'avoue avoir été un peu inquiet vu le prix attractif. Et bien, oui, c'est vrai! les crayons Castle sont d'une qualité pratiquement équivalente aux Faber Castell et Caran d'Ache dont je dispose également, pour un prix tellement inférieur.  Le rapport qualité/prix est simplement exceptionnel. J'adore l'odeur une fois la boite ouverte. Et puis disposer de 120 couleurs c'est un pur bonheur me concernant. La boite a été livrée rapidement et en parfait état. J'ai découvert que les crayons étaient garantis à vie ce qui est rassurant. La texture de la mine est très agréable et très couvrante. Félicitations aux dirigeants de cette marque.</t>
  </si>
  <si>
    <t>Nickelle...superbes J'adore. Elles sont trop belles. Seul bémol elles taillent grand. Je chausse du 41 et elles sont un chouille trop grandes mais vraiment belles. Frotte un peu au niveau de tendon le premier jour mais le second jour, ça allait mieux. Je recommande</t>
  </si>
  <si>
    <t>Nice shoes Très confortable, stylé, couleur jolie et sympa. Chaussures grandes, il faut prendre une taille au dessous de la pointure habituelle</t>
  </si>
  <si>
    <t>Super Elle sont super je pas déçu jadore merci je vous les recommande très belle qualité et de marque à petit prix</t>
  </si>
  <si>
    <t>Diffuseur d'huiles essentielles &lt;div id="video-block-RW1M597FSFFKR" class="a-section a-spacing-small a-spacing-top-mini video-block"&gt;&lt;/div&gt;&lt;input type="hidden" name="" value="https://images-eu.ssl-images-amazon.com/images/I/A1P6AOb5ULS.mp4" class="video-url"&gt;&lt;input type="hidden" name="" value="https://images-eu.ssl-images-amazon.com/images/I/71-A0lB0bBS.png" class="video-slate-img-url"&gt;&amp;nbsp;Acheté pour remplacer un en forme de goûte d'eau très connu mais qui a force à son petit réservoir qu'on arrive plus à nettoyer à cause de sa matière Celui ci a un très grand réservoir, programmable pour 1h, 3h et 6h et son anneau lumineux fait un très bel effet Il y a une belle brume qui sort quand il est en marche et on sent très vite l'arôme de l'huile qui a été mise en place La couleur va très bien avec notre meuble TV :)</t>
  </si>
  <si>
    <t>Superbe montre classique à écran LCD Très bien cette montre de qualité Casio, performant et surtout facile d'emploi, bracelet et monture  ok, rien à redire !</t>
  </si>
  <si>
    <t>Mauvais traitement de la commande et qualité médiocre Je ne recommande pas cet achat; commandé en 41-42, reçu 39-40, lanière sur une tong qui s’est décrochée dû à un problème de fabrication, plastique de mauvaise qualité.</t>
  </si>
  <si>
    <t>Déçue déçue déçue Fin ! nul, à ne pas acheter. Tissu ultra fin. Il n'y a pas de petit coussinets. Je suis très déçue</t>
  </si>
  <si>
    <t>sert de veilleuse et se veut aussi un instrument de travail, mais tout ça fait chinois .... J'ai déjà acheté par le passé, un globe terrestre un peu plus grand, mais avec le temps, les guerres, les contours des nouveaux pays et de leurs dénominations ... un globe, ça évolue comme tout. Là, arrivé dans une belle boîte avec un regard d'enfant qui semble émerveillé, j'ai donc ouvert pour trouver un contenu déjà monté, avec sa prise et son ampoule LED de rechange. Au premier abord, j'ai trouvé que la réunion à l'équateur des deux parties du globe était grossière comme si les deux parties étaient mal emboitées. Le reste m'a semblé d'une construction style chinois pas cher, vendu malgré tout presque 34 euros et lorsque je l'ai allumé, j'ai trouvé l'éclairage un peu "faiblard". Certes, on peut s'en servir comme veilleuse dans une chambre d'enfant, mais deux niveaux d'éclairage, un comme veilleuse et l'autre plus fort, pour travailler sur le globe la nuit, m'aurait paru plus adapté. La petite lumière verte permet de retrouver l'interrupteur facilement. Globalement, je suis un peu déçu par ce produit qui fait "very cheap !"  Note globale : 6.5/10 - à la rigueur ....  J'aime beaucoup les cartes, les globes . J'en avais un , plus grand pour mes enfants, trop grand, maintenant, je l'ai donné. Celui-ci de 21 cm est parfait et surtout, il est magique : Globe terrestre le jour , qui me fait voyager et la nuit 88 constellations avec un joli ciel bleu, il sert de veilleuse toute douce dans une chambre , les dessins et les noms sont, malgré cette douce lumière, très lisibles. Le bouton poussoir a un petit point vert lumineux, ainsi facilement trouvé dans le noir. Les capitales et les pays sont écrits de façon très lisibles certains, très petits avec un nom long ne sont pas écrits en entier. J'ai certains de mes petits -enfants qui voyagent beaucoup, en ce moment dans un très petit pays africain : le Togo. je pourrais passer de longs moments à rêver devant un globe. Je suis satisfaite de ce globe Buki, 40 euros. un cadeau pour tout âge ; ) J'ai beaucoup de jeux Buki, scientifiques, souvent, toujours très intéressants avec des livrets explicatifs. Je n'ai jamais été déçue. Il est accompagné d'un livret de quelques pages , une par continent en montrant certaines capitales avec le drapeau et une photo. Globe monté diamètre 21 cm sur armature métal (laiton). Fonctionne sur secteur et livré avec adaptateur secteur USB. Notice illustrée</t>
  </si>
  <si>
    <t>Correcte Le produit est correct, ça reste de l'entrée de gamme peu cher. Toutefois, bien que le bras soit pas trop faible, les articulations au niveau du coude du micro et de la base prenne vite du jeu / se desserrent. Il se peu que la durée de vie soit limitée si vous le manipulez régulièrement.</t>
  </si>
  <si>
    <t>chaussettes c'est deja la quatrième pair que j'achéte et ma fille adore ce produit assez résistant et se nettoie tres facilement</t>
  </si>
  <si>
    <t>Rtt Conforme à la photo. Le bracelet marron d'étain au contact d'un peu d'eau.Envoi rapide.</t>
  </si>
  <si>
    <t>super style première paire de new balance et cette première impression et un grand " oui " le jaune / orangé est magnifiquement original. :)</t>
  </si>
  <si>
    <t>Parfait Parfait ! En accord avec la photo . Ces ronds de serviettes sont pratiqués et peu onéreux . Il ne reste plus qu' à écrire les prénoms.</t>
  </si>
  <si>
    <t>Excellente bouilloire à contrôle de température Excellente bouilloire à contrôle de température. Esthétique et facile à utiliser. Rien à redire</t>
  </si>
  <si>
    <t>classiques et modernes à la fois j'ai acheté ces boucles d'oreilles pour les porter au quotidien et elles sont parfaites. De bonne longueur, elles vont avec n'importe quel style en étant à la fois modernes et classiques. Je les ai adoptées! Fines tout en étant robustes, rien à redire!</t>
  </si>
  <si>
    <t>Super collier Très beau collier cependant la chaîne est un peu fragile mais comme tout bijoux.. je recommande ll est identique à la description.</t>
  </si>
  <si>
    <t>Solide et élégante Je cherchais une sacoche à offrir à mon mari, pas trop grande, élégante et pratique. J'ai trouvé avec cette sacoche tout ce que je recherchais. Tout est identique à la photo.</t>
  </si>
  <si>
    <t>RAS mon mari a bien aimé</t>
  </si>
  <si>
    <t>Bonne qualité pour le prix la perche est bien un peut cheap mais on se plaint pas pour le prix si peut élevé le micro est de bonne qualité</t>
  </si>
  <si>
    <t>Evao Produit correspondant au descriptif,livraison rapide.</t>
  </si>
  <si>
    <t>Confortable Agréable</t>
  </si>
  <si>
    <t>Paire de Converse authentiques Correspond à la qualité attendue, celle de vraies Converses neuves. Produit reçu dans les temps.  Très satisfait de mes chaussures. La pointure correspond parfaitement.</t>
  </si>
  <si>
    <t>Très bien Très bien je la recommande</t>
  </si>
  <si>
    <t>Découverte au top ! Un produit étonnant que je voulais testé et vraiment pas déçu, certe c’est pas un objet indispensable mais j’ai vu une différence après son utilisation ! Mon cuir chevelu est plus propre, plus de petites peaux et mes cheveux regraisse un «&amp;nbsp;petit&amp;nbsp;» peu moin vite à voir sur le long terme.</t>
  </si>
  <si>
    <t>Bon achat Très beaux biberons, le dessin ne s'efface pas au fur et à mesure des lavages. Casier de rangement pour 6 biberons de taille standard.</t>
  </si>
  <si>
    <t>Lacets Très bien</t>
  </si>
  <si>
    <t>Pas mal Plutôt sympa au regard du coût, cette montre est plutôt bien finie et fera illusion auprès du plus grand nombre !</t>
  </si>
  <si>
    <t>UN BASIC J'adore ses converses, je les mets très souvent. Elles passent partout, avec n'importe quelle tenue.</t>
  </si>
  <si>
    <t>A éviter car sav pas compétant. Acheter pour chauff le biberon. 1er a été tomber en panne 1 semaine après. Contacter sav, la fille a été sympa puis me remplacer contre une nouvelle appareil(mais frais de envoyer à mon charge). Puis 11 mois après la 2eme appareil est mtn encore tomber en panne. Donc je contacte le sav, cette fois ci pas d'échange ( encore sous garantie). Elle m'a proposer une autre apppareil Tigex.... en me disant c'est déjà cette remplacement est une titre exceptionnel pour moi???  Je l'accepte car j'ai besoin en "urgent". Bref, très déçu.</t>
  </si>
  <si>
    <t>micro utilisé en karaoké  le son gresille  ces micros sont juste de s jouets</t>
  </si>
  <si>
    <t>Arnaque! Je n'ai reçu au final que l'encre noir au lieu des 4 couleurs annoncées. Cela fait très cher pour une seul couleur!!!</t>
  </si>
  <si>
    <t>EST CE BIEN UTILE ? Bof , une certaine bonne odeur qui part vite</t>
  </si>
  <si>
    <t>Bien Bonjour, je trouve la languette pas assez large,  ne couvrant pas bien après avoir lace les chaussures, sinon bien le reste.</t>
  </si>
  <si>
    <t>Bon achat malgré un vrai problème de connection Bluetooth Casque très confortable,  je l'ai porté pendant plusieurs heures sans inconfort.  Il est vrai que le Bluetooth est complètement délirant et que des que je m'éloigne de mon portable le son coupe.  Mais j'avais lu les commentaires et étant donné que ' Mon utilisation est sédentaires, assise au bureau ou dans le train, cela ne m'embête pas plus que cela.  Il est beau, confort, batterie très longue durée. Pour moi, ça vaut le prix amplement.</t>
  </si>
  <si>
    <t>Micro de qualité convenable pour un prix très correct. Enregistrement voix podcast</t>
  </si>
  <si>
    <t>L’incontournable des ados Bon rapport qualité prix</t>
  </si>
  <si>
    <t>Super Je suis un véritable fan de la marque. La qualité de finition est toujours au rendez vous j'ai l'impression d'être en chausson toute la journée. La doublure est très efficace pour garder les pieds au chaud sans pour autant transpiré.</t>
  </si>
  <si>
    <t>pour un jeune enfant ça brille c'est joli pour une enfant de 5 ans</t>
  </si>
  <si>
    <t>Biberon Très bien mais manque des tetines taille 2 il faudra en acheter vers ses 2 mois</t>
  </si>
  <si>
    <t>Good! J apprecie ce sac les dimensions, ni trop petit ni trop large et grand, solide le côté vintage conforme à la photo.</t>
  </si>
  <si>
    <t>Tapis parfait Tapis très ergonome et surtout très agréable pour le gaming, je recommande cette article qui est de très bonne qualite pour sont petit prix ...  Vous pouvez l'acheter les yeux fermer !</t>
  </si>
  <si>
    <t>Joli bracelet Très joli bracelet et conforme à la photo, idéal en cadeau ou pour soi  meme, très bel effet, et orignal</t>
  </si>
  <si>
    <t>Parfaite montre J’adore ma montre Offerte par mon conjoint , je n’en m’en lasse pas Et elle est arrivée très rapidement Je ne pourrais plus me passer de mon abonnement prime</t>
  </si>
  <si>
    <t>Génial ! Des baskets toutes neuves ! Fonctionne à merveille</t>
  </si>
  <si>
    <t>Très bien Très bien malgré quelques petits défauts ca et la..</t>
  </si>
  <si>
    <t>Améliore rééllement le goût du café Réception rapide du produit - très bon produit - le café est vraiment amélioré - nuancé - je recommande - dommage que le paquet soit arrivé ouvert ! l'emballage est trop mince à mon avis.</t>
  </si>
  <si>
    <t>Pack de 2 cartouches noir et couleur pour HP J ai eu besoin de nouvelles cartouches en urgence pour mon imprimante HP . Grave ça AMAZON et la rapidité de livraison, J ai pu recharger cette imprimante pour un usage quotidien ..a un prix très raisonnable !</t>
  </si>
  <si>
    <t>Longues manches, bien taillée, agréable à porter. En effet les manches sont longues mais j'ai de longs bras : pour un fois je peux avoir les poignets au chaud ! Joli couleur, très confortable, monte bien sur le cou et descend bien sur les reins, avec une forme cintrée qui empeche de ressembler à un sac. Pas très épaisse mais tres bon rapport épaisseur / chaleur. Un seul bemol, pas de zip aux poches.</t>
  </si>
  <si>
    <t>parfait ! Ayant marre de me coucher dans un lit froid, j'ai investi dans ce chauffe lit. Je l'allume 1h avant d'aller dormir, au niveau 3, avec la couette relevée afin de garder au mieux la chaleur, et je peux enfin me coucher dans un lit bien chaud (environ 35° sur le matelas). De ce fait, je n'allume même plus le radiateur de la chambre, ce qui me fait économiser 1000W heure, avec seulement 120W de consommation pour 1h  pour le chauffe lit.</t>
  </si>
  <si>
    <t>Haut parleur &lt;div id="video-block-ROG8NH0AAYMXI" class="a-section a-spacing-small a-spacing-top-mini video-block"&gt;&lt;/div&gt;&lt;input type="hidden" name="" value="https://images-eu.ssl-images-amazon.com/images/I/A1FLplIF+OS.mp4" class="video-url"&gt;&lt;input type="hidden" name="" value="https://images-eu.ssl-images-amazon.com/images/I/61f+b8pNe7S.png" class="video-slate-img-url"&gt;&amp;nbsp;J’ai acheté ce haut parleur pour mon anniversaire. Il est puissant, ce que je recherchais. Tout le monde à été satisfais de la fête. Nous avons fais un karaoké puisque il y a deux micro intégré. Les micro s’allument vite, il y a un bouton juste en bas du micro et les micro s’allument.  Il y a deux prises compris dedans.</t>
  </si>
  <si>
    <t>Extra TRES  bien</t>
  </si>
  <si>
    <t>Parfait De très bonne qualité après 10mois d'utilisation. Rien a y redire. Les couleurs sont tout à fait celles qui sont présentées en photo. A noter que ce goupillon ainsi que le mini ne passent pas au stérilisateur pour micro onde!! La tige est en fer, mais pas forcément rédhibitoire pour cet achat. Je le recommande</t>
  </si>
  <si>
    <t>Son pas si mal, le reste... catastrophique Pour le prix c'est ok. La plastique est très cheap et peu confortable mais ça passe pour moins d'une heure. le son est surprenant pour le prix, un peu mou sur les moyennes fréquence mais globalement correct.  Parlons de ce qui pose problème : - le casque ne se reconnecte pas tout seul au bluetooth de mon mac, je dois faire la manip manuellement à chaque fois, sur iPhone c'est ok par contre - à chaque connexion bluetooth (mac ou iPhone) une voix énonce "your bluetooth device os connectes successfully" marrant au début, pénible à la longue car on ne peut pas moduler son niveau sonore donc tout le monde sait que vous branchez votre casque - idem, quand la batterie est faible, la même voie vous HURLE dans les oreilles qu'elle est faible et qu'il faut la changer, toutes les 5 secondes - durée de vie de la batterie : 1 heure, peut-être 45 minutes max - impossible d'utiliser ce casque pour marcher ou courir, les pièces bougent et produisent des clics très audibles à chaque pas</t>
  </si>
  <si>
    <t>mauvaise qualité,  déçu je suis très déçu pare cette article, la batterie ne tien absolument pas la charge; livre sans la clef USB bluetooth ( il faut le savoir avent d'acheter. je renvoie après plusieurs tentatives et vraiment je ne le conseille pas</t>
  </si>
  <si>
    <t>Pointe de lecture Ne convient pas sur platine Philips FP320/00G. Déçue par cet achat car ne correspond pas à mes attentes. Rien à redire sur produit et livraison rapide</t>
  </si>
  <si>
    <t>Appareil d'appoint Ce chauffe biberon est utilisé occasionnellement chez mamie, et pour cet usage il fait parfaitement l' affaire. En revanche, si son utilisation devait être quotidienne, je ne le recommanderai pas. D'une part, la quantité d'eau utile à rendre le biberon suffisamment chaud, ne correspond pas à la quantité indiquée sur le doseur. C'est un détail, une fois qu'on le sait... D'autre part, il est impossible d'éteindre l' appareil avec son bouton pendant la chauffe, il faut simplement le débrancher (  détail qui a son importance lorsqu'on a pas encore réussi à déterminer la quantité d'eau à introduire pour un avoir biberon à bonne température). En résumé, le temps de chauffe est du coup plus long que prévu, et Dieu sait que les minutes peuvent être interminables lorsqu'un bébé a faim !!!</t>
  </si>
  <si>
    <t>Bon casque mais... Un peu déçu par le rapport qualité/prix, le son est bien défini, mais manque un peu d'aigus. Fonction anti-bruit efficace. Avec le logiciel on aimerait pouvoir avoir une configuration  du casque plus riche, définition des boutons, égaliseur, possibilité d'entendre l'extérieur sans enlever le casque. Possibilité de régler l'antibruit plus finement. Gros défaut, autour du cou les HP se mettent a plat, mais hp vers l'extérieur, ouverts à la poussière.</t>
  </si>
  <si>
    <t>Très bien ! Bonne qualité de produit , chaussettes sympas ! Envoi rapide, les couleurs sont variées bien contente de mon achat !  Merci</t>
  </si>
  <si>
    <t>Top ! Bouilloire qualitative, très belle &amp;amp; design avec double coque qui permet de ne pas se bruler. elle est également silencieuse et très facile à utiliser comme à nettoyer...En magasin physique elle serait vendue sans doute 20 à 25 € plus chère si j'encrois mes visites chez les grandes  enseignes , de plus le service après-vente est à l'écoute et très réactif pour répondre au mieux aux attentes...</t>
  </si>
  <si>
    <t>Nickel Pour ampli guitare</t>
  </si>
  <si>
    <t>Excellent received it so fast , works perfect and i'm really happy with it ! what more do you want ?</t>
  </si>
  <si>
    <t>Collier Très beau collier. Pas du tout déçu de mon achat. Fine chaîne avec beaucoup d'effet. Je la recommande à tous.</t>
  </si>
  <si>
    <t>Vraiment parfait Cet accessoire est parfait pour déposer sont smartphone sans encombrer la vue de l’écran. La puissance de l'aimant est très bonne et le portable tiens bien (j’ai un téléphone de 155 grammes).  Seul point négatif mais dont on est au courant : le pack ne comprends qu'un seul récepteur d'aimantation a collé sur le téléphone, et donc si l'on change de téléphone on doit racheter un pack complet.</t>
  </si>
  <si>
    <t>J ai reçue mon colis Je l ai pour une amie</t>
  </si>
  <si>
    <t>Bien Satisfait</t>
  </si>
  <si>
    <t>Super Très bon produit. Je suis très content.</t>
  </si>
  <si>
    <t>Tres bien correspond à mes attentes Collage</t>
  </si>
  <si>
    <t>Conforme à la description! Livraison très rapide!</t>
  </si>
  <si>
    <t>Produit novateur Pratique pour donner ses 1er fruits en morceaux  à un nourrisson. Pratique et ludique.</t>
  </si>
  <si>
    <t>Sac de bonne qualité, pratique, et très bon style Sac impeccable pour mon ordinateur</t>
  </si>
  <si>
    <t>Parfait Très bien, très jolies et confortables</t>
  </si>
  <si>
    <t>Lampe de bureau ideal J'adore, je trouve le design doux,elle se fond dans la deco,la luminosité soit blanche soit jaune offre plusieurs intensités, facile a plier,ideal pour moi qui l utilise pour le bureau</t>
  </si>
  <si>
    <t>Colis soigneusement emballé Je les utilise principalement pour des appels et je les trouve satisfaisants. Très bon emballage, expédition rapide et un joli petit sac comme un conteneur. Marre des écouteurs Bluetooth qui capte mal à un certain endroit ou décharger en plein route. Ces écouteurs ont un bon système d'isolation, avec une pochette offerte pour les ranger et un bon design. La suppression du bruit fonctionne bien, tout comme le micro. Ils ne s'emmêlent pas et semblent résilients.</t>
  </si>
  <si>
    <t>Jolies Très mignonne je pense qu'elles ne feront qu'un été mais elles sont vraiment jolies avec leur reflet nacré</t>
  </si>
  <si>
    <t>Parfait Très bon son et très bonne isolation pour la personne qui écoute (qui n'entend pas la pollution sonore externe) et pour ceux autour de la personne qui écoute (pas de fuite du son depuis les écouteurs)</t>
  </si>
  <si>
    <t>Bof Chaussettes de moyenne qualité qui taillent vraiment trop grandes. Je ne recommande pas. Mon fils ne peut même pas les mettre</t>
  </si>
  <si>
    <t>Legging Transparent et taille trop petite le lettring ce décolle vraiment déçu</t>
  </si>
  <si>
    <t>Probleme je suis fan des biberons mam mais cette fois ci il y a un problème avec la bague qui doit retenir le bouchon il y a du jeu et du coup le biberon même fermé n'est pas étanche s'il n'est pas en position debout j'ai du récupéré les anciennes bagues dans la poubelle !!! de plus j'en ai pris 3 identiques qui présentent tous le même problème...</t>
  </si>
  <si>
    <t>Montre qualitative, mais... Montre qualitative, j'ai été surpris  de la recevoir en bleu au lieu de noir. La notice en francais est absente et incomplète. Dommage que Lige ne corrige pas ces aléas.</t>
  </si>
  <si>
    <t>Ultra confortable Bonjour, J'ai acheté ce casque à conduction osseuse, car j'étais très curieux d'entendre ce que ça donnait. J'ai particulièrement apprécié le confort d'utilisation, il est très léger et vu qu'il n'est pas sur les oreilles ça ne provoque aucune gêne. J'ai aussi beaucoup aimé le fait de ne pas être coupé du monde en écoutant de la musique.  La qualité du son et quant à elle un peu en retrait. Le placement des "transducteurs" et très important et change complètement le rendu si vous ne portez pas le casque correctement. Le placement idéal se situe juste devant le tragus, comme sur l'image de présentation. Sans les bouchons d'oreille, il y a très peu de basses, avec elles sont plus présentes, mais le son est un peu caverneux. Je suis un peu tatillon avec la qualité du son, mais clairement le son n'est pas mauvais. Pour moi, l'utilisation idéale sera pour les vidéos et ou les conversations, pour la musique pendant le sport ou le confort et le fait de ne pas être coupé de monde est un vrai plus.  Ce commentaire vous a été utile ? Faites-le-moi savoir en cliquant sur UTILE !</t>
  </si>
  <si>
    <t>Très mignon pour couple Super beau j’adore , les bracelets sont un peu grand du coup vue qu’il y a du fil vendu avec , je les Moi même retoucher j’ai retirer 4 perles je crois ou 5 pour qu’ils sont à ma taille car petit poignée</t>
  </si>
  <si>
    <t>Excellent produit Excellent produit qui répond totalement à mes attentes. Très confortable, agréable à porter. Je n’ai pas constaté pour lors de défaut particulier.</t>
  </si>
  <si>
    <t>Parfait ou presque ! Ce casque bluetooth est génial et je vous le conseille vivement. Seul petit détail : pour changer de musique ou autre on doit retourner sur le téléphone ce qui est dommage Mais sinon il est assez résistant et s'adapte très bien aux différentes tête,  et à une portée de 80m environ !</t>
  </si>
  <si>
    <t>fait ce qu on lui demande j avais acheté le chauffe biberon badabulle qui a grillé au bout de quelques utilisations J ai donc opté pour un modèle basic et avec thermostat Me permet d allaiter et de faire chauffer le complément pendant ce temps Garde à temperature utilisable en voiture si on a le matériel nécessaire pour mettre prise sur allume cigare car seulement 80w Attention vendu sans cordon allume cigare alimentation par prise qui ne se détache pas bouton off</t>
  </si>
  <si>
    <t>String Enfin du coton oufff</t>
  </si>
  <si>
    <t>Chaussures de sécurité Très belle chaussure pour le travail! C'est ma deuxième paire j'en suis très content!</t>
  </si>
  <si>
    <t>Casio de choc Vraiment pas déçu, conforme au descriptif. J'avais besoin d'une seconde montre pour la caserne (une autre G SHOCK) et j'avais choisi dans les reconditionnés sans emballage d'origine Hors quelle agréable surprise, un modèle totalement neuf dans un emballage d'origine Toujours pas déçu de mes choix en reconditionné, on peut faire confiance à AMAZON Le produit quand à lui est parfait, j'étais aller voir sur YOU TUBE pour compléter son descriptif, bien sur quelques réglages ne sont pas intuitifs mais bon, une G SHOCK à moins de 50€  quand ce modèle va jusqu'à 130 en commerce, il faudrait être vraiment difficile. Je recommande sans restriction.</t>
  </si>
  <si>
    <t>Bonne qualitée Je les utilises pour peindre des fleurs pour le moment. Ils ont une bonne précision du fait que les poiles ne ce sépare pas. La forme du manche est pratique pour une bonne prise en main. Pour le moment je n'est pas trouvée de défaut. Je suis contente de mon achat</t>
  </si>
  <si>
    <t>Parfait Produit conforme au descriptif, reçu 1 jour avant la date estimé, au top !</t>
  </si>
  <si>
    <t>Bon Je l’ai acheté pour mon usage personnel. Le délai d’attente pour la livraison express n’est pas long. Le produit est bien emballé et neuf. D’ai il n’ya pas de problème de qualité après l’essai. Si un ami me le demande, je lui recommanderais de l’acheter. En bref, je fais des éloges.</t>
  </si>
  <si>
    <t>produit bien fini et rapport qualité prix intéressant bas de survetemt et short pour le sport</t>
  </si>
  <si>
    <t>Bon rapport qualité prix Très produits conformes. Le rapport qualité prix pour des cartouches d’origine est excellent.</t>
  </si>
  <si>
    <t>très bon produit Contente de mon achat, je ne m'en suis pas encore trop servi mais le peu que je l'ai utilisé, j'en suis satisfaite .Super pour emmener en voyage.</t>
  </si>
  <si>
    <t>Utile. Utile pour smartphone.</t>
  </si>
  <si>
    <t>That shoes Je les ai commandés y a longtemps maintenant c’est de superbes baskets elles sont hyper cute et c’est pas chère quoi demander de plus ? Achetez le.</t>
  </si>
  <si>
    <t>Beau bracelet Très joli bracelet. Belles pierres. Conforme à la photo. Reçu très rapidement 👍</t>
  </si>
  <si>
    <t>Service client très réactif ! EDIT 2 : Second produit reçu très rapidement, SAV vraiment très efficace et arrangent. Aucun problème sur le deuxième produit. Je remet les 5 étoiles ! J'ai acheté cette lampe de bureau suite à de nombreuse recommandation sur internet et les bons avis qu'elle a reçu. Malgré la pertinence du produit et sa bonne utilité (tactile agréable, gestion des couleur bien pensée, etc.) je suis extrêmement déçu par la finition... En effet, je me suis rendu compte dès la première utilisation qu'il y avait un gros décalage une fois la lampe pliée sur elle-même, a tel point qu'elle n'est pas droite du tout ! J'ai pris des photos pour que ce soit plus parlant... Peut-être c'est juste le défaut d'une série et que j'ai pas eu de chance... EDIT 1 : Le SAV de la marque m'a proposé de me renvoyer un produit gratuitement, ce que j'ai accepté. SAV très réactif, je modifierai ma notation lorsque je l'aurai reçu.</t>
  </si>
  <si>
    <t>Super qualité Beau et bien fini</t>
  </si>
  <si>
    <t>Pas terrible Joli, pratique avec ses nombreuses poches,  et il parait plutôt solide. ...exceptées les fermeture. Celle d'une des 3 poches principales a rendu l'âme au bout d'un mois et je soupçonnes les autres de ne pas faire long feu...</t>
  </si>
  <si>
    <t>Vulgaire contrefaçon Vulgaire contrefaçon. Pas d infrarouge, manque une tete. Massage inefficace juste des vibrations. Je demande un remboursement au plus vite !</t>
  </si>
  <si>
    <t>Ne pas choisir ce modèle Le variateur de température a commencé à se détraquer dès les premiers jours d'utilisation. Je ne recommande pas ce produit qui n'est pas de bonne qualité.</t>
  </si>
  <si>
    <t>La matière n'est pas agréable a porter surtout pour le sport(ça démange) sport</t>
  </si>
  <si>
    <t>Jolis mais C'est vrai, c'est de très beau marqueurs, de très belles couleurs et ils fonctionnent très bien, seulement j'ai peint un tableau avec une peinture ardoise et aimantée et les marqueurs ne s'effacent pas du tout dessus, même avec de l'eau. J'ai du repasser une couche de peinture.</t>
  </si>
  <si>
    <t>Jeu stylo chrono Jeu très sympa ! Des bons moments en famille. Jeu ludique pour les enfants et partie de fou rire assurée!</t>
  </si>
  <si>
    <t>TRES SATISFAITE Pas de problème pour le produit que je connais. Par contre la bonne surprise c'est que j'ai reçu 3 flacons pour le prix de 2 car j'ai bénéficié d'une offre. Livraison rapide. Rien à redire</t>
  </si>
  <si>
    <t>Belle montre Très belle montre, le boitier est digne d'une grande marque par contre le bracelet fait vraiment bas de gamme. Une barrette ressort du bracelet a lâchée le lendemain de l'achat.</t>
  </si>
  <si>
    <t>Je recommande Article vu sur testzon.com.  Livraison rapide et conforme à la description, emballage résistant.  Les cosses sont livrées dans une boîte en plastique qui semble solide.  Il y a plusieurs tailles qui permettent beaucoup de possibilités.  Après utilisation elles s'avèrent être de bonnes qualités,  je recommande.</t>
  </si>
  <si>
    <t>Casio comme d'habitude J'avais deja eu  deux montres Casio dans le passe et je les avais trouvees tres fiables et solides. Ma nouvelle montre est toujours aussi excellente, simple d'emploi et fiable. Le bonheur !</t>
  </si>
  <si>
    <t>Satisfait Reçus hier, utilisés aujourd'hui, j'en suis grandement satisfaite. Le son est parfait et cela me permet de me plonger dans les atmosphères pour écrire en toute quiétude. Rien à redire.</t>
  </si>
  <si>
    <t>Bien Ce calendrier de l'avent à beaucoup de succès pour une petite fille passionnée d'équitation. Chaque jour est apprécié pour sa nouvelle surprise.</t>
  </si>
  <si>
    <t>On aime On aime les biberons faciles à nettoyer</t>
  </si>
  <si>
    <t>Génial Vraiment super pour que ma fille ne dessine plus sur les poupées. Feutres marche bien belle couleur s efface très bien sous l eau ma fille adore.</t>
  </si>
  <si>
    <t>Exellente imprimante de prêt Le moin cher sur le marché</t>
  </si>
  <si>
    <t>Sacoche Un sac parfait en cuir la qualité est top un VRAI produit de qualité je suis ravie de mon achat C est tout à fait ce que je cherchais avec ses Nombreuses poches c est tout ce que je recherchais. Il est arrive en excellent état un produit emballé pour le protéger dans un sac en tissu blanc! La livraison très rapide et parfaite! Il est de couleur marron foncé j aime assez la couleur! JE vais pouvoir le transporter au boulot y mettre mon pc et toutes mes affaires! Je ne pouvais avoir mieux! Vous pouvez soit le garder à la main soit A l épaule c est parfait! Moi je le porte à la main une vraie sacoche ! Les fermetures S ouvrent parfaitement sans aucune gêne! Il est grand j avoue que C est très bien car on en prend toujours trop!</t>
  </si>
  <si>
    <t>WAOUHHHH que dire de cet arbre de vie à part WAOUHHHHH !!! il correspond à la description. porté, il est ravissant !!!</t>
  </si>
  <si>
    <t>SUPER BIBERONS TRIANGULAIRES Ce lot de biberons DODIE est vraiment bien et complet. Il contient 3 tailles différentes, de couleur ROSE. Bébé arrive à le tenir grâce à sa forme triangulaire. Je recommande : mes enfants ont toujours préféré leur biberon dodie tout simple aux autres marques (trop gros, trop lourds et trop ronds) (et j’en ai essayé beaucoup)..  On ne pourra jamais empêcher bébé d’avaler un peu d’air en tétant son bibi, mais il en avale moins avec celui là.</t>
  </si>
  <si>
    <t>Très bien J’en ai reçu un rose! Dommage! En revanche la brosse est parfaite pour le nettoyage des biberons et la petit écouvillon caché dans le manche est de longueur idéal pour nettoyer les embouts de tétines et les petites valves des biberons Munchkin Latch. Fonctionne bien mieux que ma précédente brosse de même marque mais avec les poils en plastique qui ont cassé très vite</t>
  </si>
  <si>
    <t>Je recommande Super instructif je recommande . Mon neveu à adoré ce livre</t>
  </si>
  <si>
    <t>Parfait Je l’utilise lors de randonnée et de road trip en moto. J’ai personnellement retiré les mousses des bonnets par préférence et il est resté très confortable et maintient parfaitement ma poitrine (95B). Je les ai offert à  ma fille et à ma mère qui en sont très satisfaites aussi, même peut être plus, car elles l’utilisent  tout les jours et peuvent désormais sélectionner beaucoup plus de chemisiers souvent inadaptés à leurs poitrines (95D et 95E).</t>
  </si>
  <si>
    <t>Pas chèr pour la qualité J ai aimé ce produit très doux et confortable</t>
  </si>
  <si>
    <t>Léger et de bonne qualité du son Tout d’abord, mettez ces écouteurs dans une belle boîte pour les protéger. Le manuel est disponible en français et vous garantira que vous avez des doutes quant à son utilisation, mais en réalité, il est très facile à utiliser. Esthétiquement très élégant et discret, ergonomique, bien conservé. Les écouteurs ont une bonne autonomie, le contrôle par les boutons sur les écouteurs est efficace, et j’ai également testé les conversations téléphoniques, sans problème. La pleine charge est rapide et la durée de vie de la batterie peut atteindre plusieurs heures. Plusieurs pièces de rechange pour l’oreille dans la boîte peuvent offrir un confort optimal à de nombreuses personnes. Ils sont légers. L’entretien est parfait</t>
  </si>
  <si>
    <t>Chaudes mais douloureuses... Elles semblent bien chaudes avec le chausson amovible en laine. Par contre, le talon n'est pas maintenu (j'ai pourtant essayé deux pointures différentes) et cela frotte à la jonction des parties plastique et textile. Cette partie est vraiment grossièrement finie : il aurait peut être fallu coller une bande par dessus... Je n'ai pas eu l'occasion de les tester en situation réelle, j'ai eu trop peur d'avoir mal en marchant, je les ai donc renvoyées.</t>
  </si>
  <si>
    <t>Ne colle pas Incompréhensible, j'ai mis plus de 40 cm du produit pour faire tenir une lampe led (moins de 800 gr) - matériel : Plastique - carrelage. ça tenu pas plus de 10 minutes.... JE suis très déçu ! PUB mensongère</t>
  </si>
  <si>
    <t>image qui ne correspond pas au produit On s'attend à 4 paires de chaussettes . Or il n' y en a qu' une. Quelle déception !</t>
  </si>
  <si>
    <t>confortable semelle glissante</t>
  </si>
  <si>
    <t>Peinture Bonjour Je trouve ça beaucoup trop cher pour ce que c'est. Trop petit à mon goût.</t>
  </si>
  <si>
    <t>Pratique ! L'article correspond bien à la description et à la photo. Modèle classique de Palladium je n'ai pas été déçue. Livraison dans les temps.</t>
  </si>
  <si>
    <t>Jolies boucles, portables partout. Style classique.</t>
  </si>
  <si>
    <t>Meilleur rapport qualité prix à ma conaissance L'objet en lui même est imbattable en terme de prix, pour ce prix là vous ne trouverez pas meilleure perche pour micro.  Bien évidemment, a ce prix, on ne s'attends pas a une perche haut de gamme, mais la perche est relativement solide tout de même, bien plus solide que ce que j'imaginais par ailleurs. Comme vous pouvez le voir sur la photo, la perche tiens mon blue yéti sans aucun problème, alors que celui ci pèse son poids, donc aucun problème de ce coté là.</t>
  </si>
  <si>
    <t>pas mal !!! vu le prix, je m'attendais à un truc à peine moyen, juste de quoi faire le trajet maison-boulot, mais franchement, c'est plutôt une bonne surprise !!! y a sûrement mieux, certes, mais à ce prix là, c'est un bon rapport qualité/prix !  mis à jour : juste dommage qu'il n'y pas le contrôle du volume sur la telecommande du coup je lui enlève 1 étoile ! nah !</t>
  </si>
  <si>
    <t>Tip top Très contente, super produit, je suis entrain de l'essayer, je l'ai pris pour mes problèmes d épaules et règles douloureuses. Il chauffe bien, niveau 2 et 3, tellement contente que je compte en offrir à mes parents pour noël.</t>
  </si>
  <si>
    <t>Megaultra Tres bons ecouteurs ,je suis surpris</t>
  </si>
  <si>
    <t>bon patalon taille comme prévu. Exactement ce que voulait ma fille.</t>
  </si>
  <si>
    <t>Excellent produit pour les inflammations musculaires et après l’effort. Envois rapide; utilisation facile, produit pénétrant rapidement; produit utilisé pour inflammation musculaire moins efficace pour les déchirures musculaires.</t>
  </si>
  <si>
    <t>son mobilité</t>
  </si>
  <si>
    <t>parfait rien à redire. C'est parfait. les cartouches d'encre sont  pour 36 photos. En fait, la cartouche est une suite de 36 parties qui tourne à chaque photo. Donc pour chaque photo, une partie est utilisée. Il y a donc le nombre d'encre qu'il faut pour imprimer les 108 photos (3 cartouches).</t>
  </si>
  <si>
    <t>Top Bonne qualité, identique à photo</t>
  </si>
  <si>
    <t>Huile parfaite Super ! Livraison rapide petit message personnalise dans le petit colis L huile est tres agréable a appliquer,  son parfum est délicat et agréable Je recommande vraiment ce produit</t>
  </si>
  <si>
    <t>Excellent Tapis de souris de grande taille, semble solide, "accroche" bien au bureau sans "coller" on peut le déplacer facilement, la souris glisse bien, content de mon achat, à 3,99€ difficile de trouver mieux.</t>
  </si>
  <si>
    <t>Top Parfait très beau tee shirt taille bien</t>
  </si>
  <si>
    <t>J adopte! Très bien, j aime ce type de sous vetement qui s enfile par le haut et se ferme à la taille, très pratique pour le sport et de bonne qualité, je recommanderais</t>
  </si>
  <si>
    <t>Idéal pour se replonger dans la mythologie Livre intéressant car on peut lire un épisode chaque jour. Le résumé en début permet de remémorer les idées essentielles à chaque fois.</t>
  </si>
  <si>
    <t>Très bon rapport qualité prix Très jolie montre fonctionnelle avec deux affichages analogique/numérique. Très simple d’utilisation avec une finition de qualité. Je recommande ce produit</t>
  </si>
  <si>
    <t>Encore plus jolie en vrai Cadeau pour l'anniversaire de ma soeur, à fait son effet. J'ai pris le modèle en rose/bleu, et le bracelet est encore plus beau en vrai qu'en photo.</t>
  </si>
  <si>
    <t>Superbe qualité &lt;div id="video-block-R2N52ADD0U8TMM" class="a-section a-spacing-small a-spacing-top-mini video-block"&gt;&lt;/div&gt;&lt;input type="hidden" name="" value="https://images-eu.ssl-images-amazon.com/images/I/915Uen7xQHS.mp4" class="video-url"&gt;&lt;input type="hidden" name="" value="https://images-eu.ssl-images-amazon.com/images/I/81QYrLwwBhS.png" class="video-slate-img-url"&gt;&amp;nbsp;Superbe montre, la qualité est bluffante. Montre qui se recharge à la lumière, réglage de l'heure radio pilotée, chronomètre, date... Mais ce qui me plaît le plus c'est quand elle s'allume dans l'obscurité quand on la tourne vers soit. J'arrive pas à m'arrêter de jouer avec !</t>
  </si>
  <si>
    <t>Isotherme ? Le sac est très joli, pas très grand mais suffisamment pour contenir deux petits pots et un grand biberon. Par contre pour l'effet isotherme on repassera : petit pot mis dedans congelé, ressorti à température ambiante moins de 3h plus tard. La même chose que dans mon sac à langer, en somme... sans intérêt, donc.</t>
  </si>
  <si>
    <t>A eviter Il taille trop grand, il ne fait pas habiller. Jai pris du S on dirait du L. Pas cintrer manches trop large. Il n'est pas aussi beau que sur la photo. Très déçue</t>
  </si>
  <si>
    <t>Déçu Très déçu au bout de 2 mois la semelle c’est décollé</t>
  </si>
  <si>
    <t>Solide, jolie,MAIS pas pour le podomètre trop aleatoire Avis mitigé pour cette petite montre au demeurant très solide et très belle!! Évidemment c'est G-SHOCK En cela elle tient ses promesses... Cependant petit bémol quand a la fonction podomètre qui mérite a être revue...</t>
  </si>
  <si>
    <t>Fait son boulot ! Suffisant pour son utilité. Peut trouver moins cher ailleurs mais dépanne énormément. Je recommande</t>
  </si>
  <si>
    <t>Très bon produit Les + : casque est beau et il a l'air solide; le produit correspond à l'image. Envoi très rapide. Les - : les coussinets sont un peu dures et la réduction du bruit n'est pas totale. Pour l'usage non professionnel que j'en fais, ce casque est vraimement très bien</t>
  </si>
  <si>
    <t>Belle montre Acheté pour une amie lors de son anniversaire, le design est jolie mais je trouve la couleur or trop prononcée qui peut rendre le bijou un effet bas de gamme, dommage</t>
  </si>
  <si>
    <t>Taille grand J’aurais dû prendre un L plutot qu’un XL A part ça tout va bien</t>
  </si>
  <si>
    <t>TOP Les pailettes le top du top ,les taches les plus tenaces partent super bien ,respect pour le linge et nickel pour les torchon bien sale ,reçu rapidement je vais racheter ce produit</t>
  </si>
  <si>
    <t>étonnant produit (pour le prix) ma note est globale au vendeur, au produit, et au livreur (enfin la livreuse). Le délais de livraison a été plus que respecté. En lisant les commentaires avant l'achat, j'étais plutôt dans l'attente, mais dès les premières minutes ma femme et moi l'avons adopté sans problême. Moi j'aime quand c'est un peu rude, et le mouvement des boules ne me gêne pas. Ma femme utilise une serviette pliée pour atténuer un peu la dureté, bref, tous le monde s'y retrouve, et on fait l'économie de quelques séances de kiné.</t>
  </si>
  <si>
    <t>Tres bien Tres bien!</t>
  </si>
  <si>
    <t>Parfait Ce produit est vraiment parfait, et fait bien son travail, j'en suis très content.Filtre anti-pop basique qui réduit à néant les bruits pop, marche très bien avec bon attache pour acrocher à un bras articulé.</t>
  </si>
  <si>
    <t>pratique, esthétique, et facile d'utilisation PAS d'éclaboussures extérieures lorsque l'eau  est bouillante, grande capacité ( 1,7 l )</t>
  </si>
  <si>
    <t>Parfait je suis très satisfait de ma nouvelle montre, facile à utilisé et en plus on a même un mode d'emploi dans plusieurs langue très pratique pour pouvoir la régler.livrer dans un étui en plastique.</t>
  </si>
  <si>
    <t>Bel effet Rien à redire sur la qualité. Bel effet pour un prix très raisonnable</t>
  </si>
  <si>
    <t>Dans la gadou avec classe ! On a tous besoin un jour d'aller faire joujou dans notre jardin, patauger dans la gadou... Il en faut pour tout les gouts. Et bien avec ces bottes là, on se sent un peu moins cracra ! D'une qualité étonnante, résistante par tout temps, imperméable à la pluie et au karcher (et oui j'ai testé la pression sur le pied, on ne sent rien !) Un excellent produit, pour une marque habitué à la gomme et au caoutchouc !</t>
  </si>
  <si>
    <t>Ras Très bien</t>
  </si>
  <si>
    <t>Rapport qualité prix excellent ! Je recommande Très utile , absorbe les odeurs, l'humidité , dans n'importe quel lieu ! Super pratique et réutilisable</t>
  </si>
  <si>
    <t>Un must have! Casque parfait, arrivé en excellent état.  Bonne restitution des basses comme des aigus: un produit bien équilibré! Ce qui se fait de mieux dans cette gamme de prix. Le Design est sobre et la finition irréprochable. Je le recommande!</t>
  </si>
  <si>
    <t>Bon produit Satisfaite par le produit. Parfum très agréable. Paquet inouvrable pour les enfants</t>
  </si>
  <si>
    <t>Satisfaite Agréable</t>
  </si>
  <si>
    <t>MVPOWER Surmatelas Chauffant 150 x 80 cm,  conforme C.E MVPOWER Surmatelas Chauffant 150 x 80 cm, 3 Niveaux de Température, Protection Contre la Surchauffe, Pro article - conforme chaude facile à dormir et bonne santé quand-seul  . à bientôt</t>
  </si>
  <si>
    <t>Très belle montre! Montre du plus bel effet au poignet. Elle convient parfaitement pour un style habillé ou plus décontracté. A avoir dans sa collection de montre sans hésiter.</t>
  </si>
  <si>
    <t>N’ont que trois troues... Bonjour, J’avais déjà ces tétines vitesse 4 avec donc 4 troues. J’en ai racheté car certaines commençait à s’abîmer au bout de deux ans. Quel est ma surprise ce matin de voir en préparant le petit déjeuner de ma fille que les tétines pourtant notés vitesse 4 n’ont que trois troues ? Contrairement à mes anciennes qui en ont bien 4 ? Je suis vraiment mécontente de voir que l’on s’est bien moqué de moi ...</t>
  </si>
  <si>
    <t>Je ne recommande pas! J’ai acheté ces biberons en suivant tous les avis positifs, mais je suis tres deçue et ne recommande absolument pas!!!!!!!! 1) les biberons ne rentrent pas dans les micro-ondes classiques (biberons trop grands...) 2) en les chauffant avec un chauffe biberon classique, le plastique est brulant alors que l’eau à l’intérieur est froide... 3) ma fille a l’habitude de boire avec une tétine de vitesse 3, et avec les biberons mam, le débit est beaucoup trop rapide, elle s’est étranglée plusieurs fois, elle n’arrivait pas à suivre le débit alors il y avait du lait partout! Bref, passez votre chemin!</t>
  </si>
  <si>
    <t>pas cher donc on en a pour notre argent colis arrivé en retard il me fallait un sweat pas trop cher car ma fille voulait le customiser donc il fait l affaire . le tissu fait un peu bas de gamme mais pour le prix ça reste tres bien . la capuche est curieusement faite (au lieu d une seule morceaux de tissu  avec un ourlet  pour le passage du cordon , le tissu est plié en deux sans coulisse donc le cordon se balade entre les deux epaisseurs et ces deux epaisseurs ne se mettent pas un bien en place . le sweat taille petit mais c est indiqué donc j ai commandé une taille en plus et ça va juste .</t>
  </si>
  <si>
    <t>Garde de temps tout terrain Surpris qu' à la mise en service de la montre l'année 2010 est apparu ! Pas sûr que la pile dure 10 ans ? Attention pour les puristes pas de compte à rebours mais signalé dans le descriptif.  Réglages simplissime montre ultra légère, peut être bracelet fragile? Mais dans cette gamme Casio assez courant et pour le prix... Ce qui m'a plus embêté, l' alimentation.</t>
  </si>
  <si>
    <t>Bon Tres bien</t>
  </si>
  <si>
    <t>Pratique et conforme Aimé le pratique</t>
  </si>
  <si>
    <t>contre coup et douleurs huile de massage a l'arnica très connue mais c'est la meilleur et mois chère quand pharmacie .toujours en avoir a porter de main</t>
  </si>
  <si>
    <t>Bien Beau produit. Taille conforme.</t>
  </si>
  <si>
    <t>changez d'air ! je connaissais déjà. mieux que de l'encens pour ceux qui supportent mal la fumée de combustion, et parfum qui persiste longtemps. trés agreable et efficace............. j'adore.</t>
  </si>
  <si>
    <t>Chaussures Vraiment de bonnes chaussures, très légères et  discrètes, moi qui n'aime pas les chaussures tape à l’œil je suis content. Le rapport qualité/prix est excellent je trouve, à voir dans le temps.</t>
  </si>
  <si>
    <t>Ravie Cadeau pour ma mère, pas d’occasion particulière. Elle en est ravie et moi aussi</t>
  </si>
  <si>
    <t>Jérôme RAS</t>
  </si>
  <si>
    <t>Comment dire, ba c’est Des originaux Rien a ajouter, c’est des cartouches d’origine</t>
  </si>
  <si>
    <t>Très satisfaite J'avais déjà ses écouteurs et j'adore c'est d'origine que j'ai eu avec mon s8.  Je recommande.</t>
  </si>
  <si>
    <t>trés bon son Franchement,  le son est très bon, couplage rapide, contrôle efficace, charge de la batterie via le boîtier de stockage ou directement sur le casque à l’aide de l’adaptateur inclus. Grâce à un système efficace, le casque s'adapte parfaitement à l'oreille, même dans un environnement sportif. Je recommande ce produit a 200 pour cent</t>
  </si>
  <si>
    <t>très bien très jolie, confortable, elles chauffent un peu un fin de journée mais j'en suis content</t>
  </si>
  <si>
    <t>Élégant C'est un beau cadeau, mon compagnon l'a adoré.</t>
  </si>
  <si>
    <t>Parfaite pour le prix Parfaite, par contre taille legerement grand et un peu ample donc bien prendre sa taille si on est entre deux prendre en dessous.</t>
  </si>
  <si>
    <t>Très bien et pas cher Cadeau que ma fille a partagé avec sa copine d'école. Bien fini et résistant. Très jolie</t>
  </si>
  <si>
    <t>baskets très bien qualité prix bascket de bonne qualité et agréable a porter</t>
  </si>
  <si>
    <t>Parfait Excellent rapport qualité prix. Confortable (taille haute), facile d'entretien. Dès que je rentre à la maison, je le mets, je suis tellement à l'aise dedans! Je l'ai acheté déjà en 4 couleurs. Seul le violet n'est pas confortable, c'est une taille basse et est trop petit alors que je prends toujours la même taille.</t>
  </si>
  <si>
    <t>Super sac Produit très bon</t>
  </si>
  <si>
    <t>Peu solide très déçue, joli mais reçu avec plusieurs déformations malgré un emballage correcte</t>
  </si>
  <si>
    <t>Tétière de très mauvaise qualité Comfortable et epaisse. Bonne table à première vue. Par contre la qualité de la tétière est inadmissible. Un de mes clients s'est fait mal aux cervicales à cause de ce système de serrage très faible.</t>
  </si>
  <si>
    <t>Décu.. Trop petit! Pas évident a nettoyer si par malheur du fromage dépasse sur les cotés. Et des le premier soir d’utilisation, il est tombé en panne!</t>
  </si>
  <si>
    <t>Un peu gadget... A voir dans la durée mais je suis pour le moment déçu car le produit se trouve en difficulté pour rapidement mélanger un biberon de lait épaissi.</t>
  </si>
  <si>
    <t>DIFFICUTES DE CALAGE je "galère" un peu pour le calage de l’altimètre et baromètre, par manque d'instructions précises dans la notice , qu'il faut trouver en français !</t>
  </si>
  <si>
    <t>Aspire bien Pour la voiture il est très bien</t>
  </si>
  <si>
    <t>très bon achat pour avoir essayer des dizaines de paires de chaussures de travail, celles ci sont très confortable, la marche est agréable, et on l'air de très bonne qualité. seul point pour lequel je n'ai pas mis 5 étoiles c'est que je les trouvent un peu lourdes.</t>
  </si>
  <si>
    <t>Conforme Produit en relation avec son prix</t>
  </si>
  <si>
    <t>Joli et pratique Très joli sac que j'utilise chaque jour pour transporter mes affaires de travail, les coutures autour de la petite pochette externe zippée se sont très rapidement défaites alors j'ai réparé moi même..</t>
  </si>
  <si>
    <t>Très satisfaite !! Les huiles sont arrivées dans un très beau coffret. Je met les huiles essentielles dans mon diffuseur et ça sent super bon! Odeur agréable et pas entêtante. je recommande.</t>
  </si>
  <si>
    <t>Bon produit agreable a porter Tres bon produit . Qualité tres bien .confort tres bien. Et taille juste.</t>
  </si>
  <si>
    <t>Très doux, grand, léger et chaud Utiliser par ma petite dans sa résidence universitaire où le chauffage ne marche pas, cette couverture lui est d'une grande utilité, très doux, grand, léger et surtout chaude lui permet de rester au chaud et couvert. Faite toutefois attention car la couverture est branché à l'électricité et on est jamais à l'abri d'un feux</t>
  </si>
  <si>
    <t>Petite sacoche très fonctionnelle avec ses multiples compartiments. Utilisation quotidienne dès que l'on à faire à l'extérieur. J'aime beaucoup sa légèreté tout en restant solide.</t>
  </si>
  <si>
    <t>Du grand Sony Un beau packaging pour cet ensemble dans une belle boite. Documentation, 6 jeux d'adaptateurs pour les oreilles en sus de ceux déjà présents sur les écouteurs, câble de charge USB (attention usb-C).  Le boitier permet la recharge des écouteurs 3 fois, je n'ai pas encore pu mesurer l'autonomie, mais elle me semble très importante du coup.  L'application sous Android pour moi est très complète et permet une bonne personnalisation (réduction de bruit adaptatif, Equalizer....  Les écouteurs peuvent sembler un peu volumineux par rapport à la concurrence, mais en fait ils sont très confortables, légers et tiennent très bien.  Coté SON, c'est tout simplement excellent avec un equalizer très efficace qui offre de vrais profils. La réduction de bruit s'adapte automatiquement et semble performante. En ce jour de chaleur, je me suis placé devant le climatiseur plutôt bruyant, avec de la musique et il a pratiquement disparu de la surface (sonore). Il reste une petite perception du bruit ambiant, mais juste ce qu'il faut.  Rien à signaler coté téléphonie, ça fonctionne parfaitement avec une bonne écoute.  Un bon produit.</t>
  </si>
  <si>
    <t>Ressentie Esthétiquement jolie  Le point négatif c'est la petite cuillère</t>
  </si>
  <si>
    <t>parfait parfait et rapide correspond à la demande</t>
  </si>
  <si>
    <t>Comme au Cinéma ! &lt;div id="video-block-R19DNT34TDTNFP"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id="23" preload="auto" src="https://images-eu.ssl-images-amazon.com/images/I/A1ARJcf0xpS.mp4" style="position: absolute; left: 0px; top: 0px; overflow: hidden; height: 1px; width: 1px;"&gt;&lt;/video&gt;&lt;/div&gt;&lt;div id="airy-slate-preload" style="background-color: rgb(0, 0, 0); background-image: url(&amp;quot;https://images-eu.ssl-images-amazon.com/images/I/A1VU76k9G2S.png&amp;quot;);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value="https://images-eu.ssl-images-amazon.com/images/I/A1ARJcf0xpS.mp4" class="video-url"&gt;&lt;input type="hidden" name="" value="https://images-eu.ssl-images-amazon.com/images/I/A1VU76k9G2S.png" class="video-slate-img-url"&gt;&amp;nbsp;J’ai acheté ce vidéoprojecteur pour projeter des films sur le mur de mon salon et le rendu est impressionnant, mon seul regret est de ne pas l’avoir acheté avant.  Le rétroprojecteur est d’une taille peu encombrante, on peut donc facilement le ranger dans un meuble de télé, pour l’utilisation, on peut le poser sur un petit meuble mais il y a aussi un trou sur le dessous de prévu pour le fixer sur un pied d’appareil photo je pense.  La télécommande permet une parfaite navigation dans le menu et sur l’écran d’accueil, on a la possibilité de regarder des photos, des films, des vidéos…  Pour un rendu impeccable, il vous faudra un mur dégagé tout blanc uni ou acheter un écran adapté.  L’utilisation est simple, on branche un disque dur externe ou une clé USB dans l’appareil et dans l’écran d’accueil, on voit le périphérique, on rentre dedans, on sélectionne le film et on met lecture, possibilité de voir également des photos ou vidéos à partir d’un lecteur DVD, d’un appareil photo ou caméscope qu’on branche sur AV ou PC qu’on branche sur VGA.  Le rendu de l’image est bon, le son est correct, pour ma part, j’ai branché une mini enceinte externe sur la sortie casque pour un meilleur son comme au cinéma et là, on s’y croirait vraiment !</t>
  </si>
  <si>
    <t>Parfait ! Le produit correspond à nos attentes et nous en sommes très satisfaits. Il est efficace et de très bonne qualité.</t>
  </si>
  <si>
    <t>kdo ç'était pour offrir a ma belle fille elle a super adoré trés belle chaussure rien à redire</t>
  </si>
  <si>
    <t>Très bien. Très bien. A avoir des le début.</t>
  </si>
  <si>
    <t>ma fille adore Offert à ma fille de 5 an. La mise en route est un peu longue, mais très vite elle a mis en place les pochoir elle même et a même fait de très jolis dessins. L'activité paillette qui va avec demande un peu d'aide mais rend les dessins très jolis.</t>
  </si>
  <si>
    <t>Parfaites Chaussures pratiques pour marcher sur les galets ou sur les cailloux au fond de l'eau. Très jolies et taille adaptée comme prévue.</t>
  </si>
  <si>
    <t>très bien très chaud, très agréable à porter, prévoir taille au dessus ; j'en ai acheté deux du coup, un trop petit que j'ai donné à ma faille et un plus grand pour moi</t>
  </si>
  <si>
    <t>parfait je l'utilise tous les matins pour mon thé sans déranger la famille</t>
  </si>
  <si>
    <t>La photo ne donne pas la taille sur une oreille, dommage Trop petit</t>
  </si>
  <si>
    <t>heure et podometre Bonjour Suite au changement d horaire fin octobre impossible de mettre la montre à l heure Que dois je faire merci</t>
  </si>
  <si>
    <t>Deviens tout noir zéro il ne faut surtout pas acheté ce genre de bijoux pacotille . Ce pendentif c'est vraiment du toc il ne vaut rien il deviens tout noir au bout de quelques jours zéro ne pas acheté ce bijoux de pacotille je ne recommande pas.</t>
  </si>
  <si>
    <t>Moyen. Micro faible. Son ok Micro très faible. Les interlocuteurs n'entendent rien.</t>
  </si>
  <si>
    <t>Beyerdynamic DT 770 J'ai acheté 4 casques sur AMAZON et je profite de cette demande d'avis pour en donner ma comparaison (sur le sérieux de mon site de vente en ligne préféré, rien à dire, parfait). J'ai testé ces quatre casques sur deux baladeurs MP3, sur l'ampli casque d'une table de mixage (Home studio) et sur un piano numérique. Commençons par les AKG K240MKII (55 ohm) et AKG K702. Du point de vue "rendu sonore", ils sont quasi équivalents avec une toute petite supériorité au modèle K702 (un peu plus de basses fréquences). La spatialisation est moyenne, le manque de basses fréquences donne un son déséquilibré mais pas fatigant pour autant. Ces deux casques exigent d'avoir une grosse tête, sinon ils tiennent mal (pas de réglage) et ils ont un câble détachable. J'utilise donc le 240 pour écouter le son de ma tablette le soir pour ne pas déranger et le 702 sur ma table de mixage lorsque je n'ai pas envie d'être "coupé du monde" puisque c'est un casque ouvert. Le troisième casque est le BeyerDynamic DT770 pro (80 ohm). Un bon compromis du point de vue rendu sonore. Plus de basses fréquences que sur les AKG, pas du tout fatigant, il tient bien sur la tête et est très agréable à porter (réglable). Son défaut, pas de câble détachable. Je l'utilise sur ma table de mixage (plus volontiers que l'AKG K702). Enfin, l'Audio-Technica ATH-M50X. Le meilleur rendu sonore, la tessiture est étendue, les basses fréquences bien présentes pour un casque et la spatialisation plutôt bonne. Le confort est très bon (réglable) même si je préfère le velours et l'absence de rotules (perturbantes lorsque l'on manipule le casque) des trois autres. Le câble est amovible. J'utilise ce casque sur mon piano Kawai hdg étant relativement exigeant sur le son du piano vu que je joue principalement sur un Yamaha C3X. Sur ma table de mixage, et donc avec des sons de synthé, je trouve ce casque fatigant, trop extraverti pour cette utilisation sur la durée. Ce casque ATH-M50X est à conseiller pour l'écoute de musique sur lecteur MP3 ou sur ampli casque. Une fois que l'écoute a débuté, difficile de l'enlever.</t>
  </si>
  <si>
    <t>Impec Comme dit ci dessus: arretez d'obliger les gens à deposer un nombre de mots minimum...vous risquez de ne plus avoir d'avis ou que les negatifs!</t>
  </si>
  <si>
    <t>matériel de qualité pour avoir du café rapidement</t>
  </si>
  <si>
    <t>Rapport qualité/prix très bon Ayant tester de nombreux écouteurs Bluetooth, je suis très impressionné par le rapport qualité/prix de ces écouteurs Klim. Points positifs: -Prix très abordable -bonne qualité du son -emballage style luxe mettant le produit en valeur -très simple d'utilisation  Points négatifs: -les écouteurs sont larges ce qui ne rend pas vraiment beau sur les oreilles -le niveau sonore (poussé au maximum) n'est pas très puissant -la boîte de transport est plutôt fragile (j'ai fais l'erreur de la laissé dans la poche avant de mon sac. Rien de grave).  Je recommande donc ce produit seulement si c'est pour une utilisation simple comme écouter de la musique dans les transports, ect.. Si vous souhaitez écouter une musique avec une grande qualité ou assez forte, vous n'avez pas trouvé votre perle rare.</t>
  </si>
  <si>
    <t>Ce Produit correspond parfaitement à la photo Offert en cadeau, il a plu tout de suite. Qualité, finition... Très bon rapport qualité/prix. Envoi rapide dans un joli étui. Tout semble parfait, nous verrons à l'usage si elle tient ses promesses...</t>
  </si>
  <si>
    <t>tres fonctionnel tres bonne montre pratique le 'eclairage me convient tres bien, le bracelet ne fait pas mal  les numéraux sont tres visibles la vraie question est pourquoi les autres montres sont elles plus cheres franchement pour moins de 25 euros frais de port compris: 5 alarmes, un chrono un compte à rebour  2 horaires et une simple touche pour passer de l'heure d'été à l'heure d'hiver et risitante 10 bars( soit 90 metres sous l'eau)</t>
  </si>
  <si>
    <t>bouilloire elle convient parfaitement a mes besoins</t>
  </si>
  <si>
    <t>SACOCHE CUIR Bel aspect Parait solide Rangements pratiques et suffisants</t>
  </si>
  <si>
    <t>Bon rapport qualité prix Cette bouilloire est vraiment le top. Facile à manipuler et à nettoyer . C'est le produit idéal pour le bureau.. Elle ne prend vraiment pas beaucoup de place.</t>
  </si>
  <si>
    <t>utilisation classique, le prix et qualite idem</t>
  </si>
  <si>
    <t>Très bon produit J'ai fais de la marche, ils sont très confortables en plus il y a un petit trou pour les accrochées au cas où ils tomberaient. Très bonne autonomie et bonne qualité de sons. En plus il y a le pourcentage de la batterie sur le support de charge. La qualité du micro est bonne.je conseil cet article</t>
  </si>
  <si>
    <t>La classe Bracelet acier noir de bonne qualité et robuste. Le fermoir est efficace et simple d'utilisation, il ne s'ouvre pas tout seul. Un + pour la fourniture de l'outil à extraire les maillons pour adapter à la bonne taille.</t>
  </si>
  <si>
    <t>Satisfaite Article conforme</t>
  </si>
  <si>
    <t>Reçu rapidement Je ne trouve pas les tétines associées ... Joli biberon</t>
  </si>
  <si>
    <t>Lolo Excellente qualités très  bonnes  chaussure</t>
  </si>
  <si>
    <t>Produit conforme Le produit est de bonne qualité pour le cuir mais la semelle s'use trop vite. Moins de 1 ans</t>
  </si>
  <si>
    <t>Super sandales Très confortables, je les emporte partout, surtout bien adaptées pour les vacances autour des piscines. Me servent également comme pantoufles de chambre.</t>
  </si>
  <si>
    <t>tres bon ecouteurs Absolument satisfaite, parfait pour sport et quotidien  contient : le boitier, petit sac pour mettre le boitier les ecouteurs les rechange petits embouts plastique chargeur  tres bonne qualite du son, arrive deja charge pret a l'emploi. tient tres bien dans les oreilles, boitier ipetit et discret. Je suis entierement satisfaite et le recommande</t>
  </si>
  <si>
    <t>Super Très bien</t>
  </si>
  <si>
    <t>Non Le papier est certes doux mais fin. Comparé au Lotus Aqatutube que j'avais précédemment avec celui ci il me faut mettre trois fois plus de couches de papier pour ne pas qu'il se déchire au moment de l'essuyage. Le paquet va donc duré 2 à 3 fois moins de temps pour le même prix. Je n'en rachèterai pas.</t>
  </si>
  <si>
    <t>Rigide Taille grand et rigide</t>
  </si>
  <si>
    <t>Passable! Pour le fun!! Il ne faut pas s'attendre à un article extraordinaire !!!</t>
  </si>
  <si>
    <t>puma Bon maintient du pied dommage que la finesse les rendent fragile .À utiliser avec parcimonie si on ne veut pas voir des trous apparaîtres  .</t>
  </si>
  <si>
    <t>super Bien ... C'était pour un cadeau demandé par une adolescente qui était ravie...le produit semble  conforme à la demande.super ravie</t>
  </si>
  <si>
    <t>SAV  - Matériel ok J’ai reçu le colis en parfait état et dans les temps, malheureusement au déballage il manque le câble spiralé rouge (liaison caméscope /récepteur) D’apres Le SAV en ligne (chat) je dois juste renvoyer le tout et me faire rembourser ! Je dispose d’un autre câble d’un autre micro, néanmoins très déçu de l’expérience... Pour ce qui est du matériel proprement dit : super produit, son parfait et matériel qualitatif, dommage cet incident.  (Édit j’ai eu en ligne téléphonique une commercial, il crédite mon compte afin de recommander le câble, tout est bien qui fini bien donc !)</t>
  </si>
  <si>
    <t>Le juste choix pour remplacer les cartouches originales Indispensable pour imprimer les gros e-manuels des appareils récents et en avoir un usage pratique sans se ruiner. Quelques soucis  de gestion de la puce quand la cartouche doit être remplacée ( affiche cartouche non reconnue ). Mais le gestionnaire d'impression ( status monitor ) fonctionne correctement, donc il suffit de lancer la procédure de remplacement de cartouche et tout rentre dans l'ordre. Epson WF-2010 sous windows 10.</t>
  </si>
  <si>
    <t>très beau très joli rendu - pas transparent mais taille grand</t>
  </si>
  <si>
    <t>Basket Transaction rapide et chaussure conforme à la description</t>
  </si>
  <si>
    <t>Diffuseur d'huiles essentielles Je souhaitais profiter des bienfaits des huiles essentielles et j ai commandé ce diffuseur. Il est tout mignon par sa taille et son design mais il est également très efficace, il a trouvé sa place rapidement. Je ne regrette pas mon choix, je le conseille vivement.</t>
  </si>
  <si>
    <t>Excellent rapport qualité/prix Bonjour, Je viens d’acheter ces écouteurs et je suis agréablement surpris par la très bonne qualité général du produit. À voir sur la longue durée. Point fort: - son et matière de bonne qualité - 6 pairs d’embouts - mousse à mémoire de forme est juste génial Point faible: - La longueur du fil est bien trop long à mon avis.  Cordialement</t>
  </si>
  <si>
    <t>BTS concert il valait 40€ Ma fille adore</t>
  </si>
  <si>
    <t>Superbes chaussons La qualité est là. Taille normalement, ne blesse pas le pied, bon rapport qualité prix ! Je recommande ce produit à tous les hommes qui veulent des chaussons de qualité</t>
  </si>
  <si>
    <t>suoer marque Je prends que cette marque depuis la naissance de mon fils, ils sont au top et tétines adaptées à l'âge de l'enfant. Pas de maux de ventre non plus, j'en suis ravie</t>
  </si>
  <si>
    <t>Je recommande Parfait envoi rapide</t>
  </si>
  <si>
    <t>la cire qui a la couleur qu'il faut Superbe, un bonheur à étendre, on cirerait ses chaussures pour le plaisir uniquement avec cette cire. Et quelle gamme de couleurs !</t>
  </si>
  <si>
    <t>Comme des pantoufles Bon produit à usage quotidien</t>
  </si>
  <si>
    <t>Parfait qualiter au top super il a une qualiter ireprochable pour son prix rien a dir qualiter de son et super bonne et le trepied trop bien</t>
  </si>
  <si>
    <t>bien confort</t>
  </si>
  <si>
    <t>Chauffant très bien La couverture électrique est très bonne. C'est le meilleur cadeau pour les parents, les amoureux, les amis et les enfants cet hiver. Cet Coussin Chauffant peut réchauffer efficacement votre corps et soulager sa douleur</t>
  </si>
  <si>
    <t>J'adore Je porte cette montre au poignet depuis déjà 1 mois tous les jours sans exception, c'est parfait, merci beaucoup pour ce produit.</t>
  </si>
  <si>
    <t>Bouilloire facile à utiliser C'est une bouilloire bonne idée d'avoir incrusté des lumières LED</t>
  </si>
  <si>
    <t>au Top mon adolescente en est très contente , le son est de bonne qualité ,facile a mettre aux oreilles et  facile dans sa petite boite a ranger et pour recharger c'est original , je vais en recommander pour mes neveux car pas cher et bon rapport qualité prix</t>
  </si>
  <si>
    <t>Super produit, sauf la livraison ! Un beau sac, le cuir est de bonne qualité, les coutures sont solides, la conception est parfaite, je suis super satisfait de mon achat, par contre les livreurs ne sont pas du tout professionnels, colis jeté dans ma cours, malheureusement il pleuvait ce jour la, le carton d'Amazon était complétement détrempé, par chance, VISCONTI doit connaitre nos livreurs, la sacoche cuir était enveloppée dans plusieurs contenant, au final seul le sac en toile qui enveloppe le produit était légèrement humide, le cuir n'a pas eu de dégât ! Amazon 10/10 VISCONTI 10/10 Livraison 00/10</t>
  </si>
  <si>
    <t>Très décevant Bof trop serré pas bien coupé matière légère et n est pas du tout solide. Pas imperméable  donc inutile pour le sport</t>
  </si>
  <si>
    <t>Solidité médiocre au niveau de la semelle Pour être honnête ces chaussures esthétiquement ne sont pas horrible mais en terme de solidité c'est quand même une catastrophe j'ai dû les porter une quinzaine de fois et la semaine commence à se décrocher très déçu de ses chaussures</t>
  </si>
  <si>
    <t>DÉCEPTION J'ai acheté ce micro comme cadeau de Noël pour ma fille. ÉNORME DÉCEPTION. Seuls les haut-parleurs fonctionnent et non pas le micro, or c'est pour le microphone que j'ai effectué cet achat. Je ne recommande pas.</t>
  </si>
  <si>
    <t>le fonctionnement manuel est pratique mais merite d etre amelioré le principe est sympa, pas besoin de batterie ou de piles, l etiqueteuse est manuelle se qui est plutot pratique. mais pour que les lettres s imprime correctement il faut appuyer assez fort et encore plus pour couper le ruban. le plus simple s est de retirer la petite poignée afin d avoir directement la petite gachette qui se trouve dessous et la sa devient plus simple...</t>
  </si>
  <si>
    <t>Qualité moyenne pour passer des appels Ce casque remplit sa fonction principale, qui est écouter de la musique, le son est vraiment bon l'isolation au bruit extérieur est assez bonne. Le confort devient gênant au bout d'un moment, le casque sert et commence à faire mal au bout d'un moment.  Mais le vrai point négatif est lorsque que l'on prend un appel, la personne qu'on a en ligne nous entend de loin même dans un lieu sans bruit. Impossible de faire une conversation dans la rue avec.  Je conseille donc ce casque à ceux qui veulent écouter de la musique avec une bonne qualité audio</t>
  </si>
  <si>
    <t>Un peu plus épais ne serait pas mal.... Commandé pour remplacer mon ancien polaire qui avait fait son temps.. Dans l'ensemble c'est un bon produit mais un peu mince à mon goût lorsque l'on veut s'en servir à l'extérieur. Pour l'intérieur c'est parfait.</t>
  </si>
  <si>
    <t>Grille-pain vintage ! Super grille-pain vintage ! Il ne peut pas prendre de grande et épaisse tranche c'est le seul point négatif. Un peu imposant aussi, mais cela fait un bel accessoire de cuisine.</t>
  </si>
  <si>
    <t>Discret. Reçu dans les temps. Le dénudage de la gaine est un peu difficile et il faut faire attention, en séparant les conducteurs, de ne pas déchirer la gaine de l'autre (un peu comme les sachets de lardons). Un fois installé le long de mes poutres, ce câble est très discret.</t>
  </si>
  <si>
    <t>Satisfaite Exactement ce que j'attendais .pas de surprise,recommenderai ultérieurement. J'espère que cet article sera suivi.Ce serai bien s'il y avait plus de couleurs.</t>
  </si>
  <si>
    <t>Excellent produit Solide, beau, pratique. Parfait pour tous ceux qui apprécient ce type de produits. La qualité de fabrication laisse présager une longue utilisation.</t>
  </si>
  <si>
    <t>super produit plus que conforme et à un prix imbattable</t>
  </si>
  <si>
    <t>Top Acheté pour la rénovation d'un appartement et poser des prises hauts parleurs murale. Le câble est de bonne facture et robuste. Je recommande</t>
  </si>
  <si>
    <t>Un véritable coup de coeur Pour ce très beau petit sac passe partout.  Oui, il est petit mais suffisant quand on est pas du genre à s'encombrer du superflu.  On peut le porter à l'épaule ou en bandoulière ( pour ma part, je préfère ). Il est léger ( quand il est vide, bien sûr ^^ ) et assez souple. J'ai lu beaucoup de commentaires sur l'odeur qu'il dégage, mais seulement après l'avoir commandé, du coup, j'avais un peu peur de ce que j'allais découvrir à l'arrivée. Mais en fait, ce n'est pas dérangeant du tout . Ça sent le cuir quoi ! Un sans faute en ce qui me concerne. J'ADORE !</t>
  </si>
  <si>
    <t>Toujours efficaces ! Cela fait partie des incontournables à avoir pour des tournées de linges mélangés qui soient sans soucis, à savoir sans transferts de couleurs à la sortie si vous voyez ce que je veux dire. C’est simple mais tellement pratique que je ne saurais plus m’en passer et je vous les recommande vivement.</t>
  </si>
  <si>
    <t>parfait tetines resistantes dans le temps</t>
  </si>
  <si>
    <t>Stable et léger Très bon petit trépied, stable, léger mais solide, de conception simple et au prix ridicule. Utilisé avec un Rode NT4 réputé pour son poids important. Pas de basculement. Un deuxième trépied me permet de positionner deux Rode NT5 en grand AB pour des prises de son panoramiques en extérieur</t>
  </si>
  <si>
    <t>Au top pour les sportifs ou non Alors livraison et produit conforme. Les écouteurs s'adaptent facilement, il est existe trois tailles possible à l'intérieur du coffret. La connexion en Bluetooth est rapide et facile. Le son est d'une qualité exceptionnel, et la réduction du bruit est efficace. Au sport , ils tiennent très bien dans les oreilles malgré la transpiration, leur autonomie est fiable et conforme, le boitier rechargeable est fiable du coup toujours prêts pour mes séances de sport. La gestion avec bose connect est facile et rapide. Le sport avec de tels écouteurs, c'est vraiment le top!</t>
  </si>
  <si>
    <t>Très bien Produits conformes aux attentes</t>
  </si>
  <si>
    <t>Rien Satisfait</t>
  </si>
  <si>
    <t>Très satisfaite Chaussures très confortable Idéal pour randonnée Commande super</t>
  </si>
  <si>
    <t>Une super paire ! Tellement classes et ultra confortables ! Une super alternative aux StanSmith que tout le monde porte. Elle se portent avec tout</t>
  </si>
  <si>
    <t>cartouche encre 541 xl canon prix intéressant, grande capacité, livraison rapide</t>
  </si>
  <si>
    <t>Top Génial</t>
  </si>
  <si>
    <t>Impeccable, pas déçu 5 jours sur 7 7h30 / jours dedans et zéro soucis, se porte bien, pas de douleurs.  Attention certains collègues ont voulu testé mais les pieds larges ressentent une douleur à droite ou à gauche au niveau de la coque</t>
  </si>
  <si>
    <t>Rénovation cuir. Produit pas terrible, ne repart pas le craquage sur un canapé en cuir, et enlève la couleur. Je suis déçu.</t>
  </si>
  <si>
    <t>le prix ne correspond pas au produit (trop cher) impossible de faire correspondre les jours et la date  !!!</t>
  </si>
  <si>
    <t>Trop petites Il vaut mieux prendre une taille au dessus !</t>
  </si>
  <si>
    <t>Jai trouvé les même a boucoup moin chère .. Utilisez pour marcher, tres fragile...</t>
  </si>
  <si>
    <t>Bon rapport qualité prix Non rapport qualité prix Mais dommage que l'ouverture doit se faire avec une autre mains pas de bouton ouverture auto</t>
  </si>
  <si>
    <t>Tres sympa à utiliser Chants lors de soirées entre amis</t>
  </si>
  <si>
    <t>Bien chaud Super pour se balader dans la maison quand il fait froid, mais a porter avec un t-shirt en dessous car les coutures grattent un peu ;-)</t>
  </si>
  <si>
    <t>Stylé Magnifique mais le survêtement est un peu large</t>
  </si>
  <si>
    <t>Paraît fragile Fait le job pour du live entre un contrôleur et les réseaux sociaux</t>
  </si>
  <si>
    <t>Très bon produit Génial hyper confortable et reçu à la bonne taille je ne pourrai plus m'en passer je vais même en commander dans une autre couleur</t>
  </si>
  <si>
    <t>Grandes enveloppes de super qualité Comme toujours avec les produits Clairefontaine que j'utilise depuis mes années collège, super qualité. Ces enveloppes sont grandes et solides.</t>
  </si>
  <si>
    <t>Très bien Tres bien, fait son job</t>
  </si>
  <si>
    <t>Parfait Il est parfait ! Epais il galbe bien et fait une très belle silhouette Je l'utilise pour le Running, il est très agréable, taille haute, je me sens très bien en mouvement et bien maintenu je recommande vivement</t>
  </si>
  <si>
    <t>simple mais très agréable à porter une montre très simpliste mais suffisante car c'est pour porter tous les jours elle est agréable à porter et s'accorde avec beaucoup de tenue simple mais jolie!</t>
  </si>
  <si>
    <t>super rapport qualité prix Ces brassières sont de bonne qualité, avec de très jolis couleurs. En revanche si vous cherchez un bon maintien, passez votre chemin, elles ne sont pas faites pour ça.Au niveau de la taille, je dirai que M irait de 85B/C à 90B/C.</t>
  </si>
  <si>
    <t>lot de cartouches hp J'ai acheté ce lot de cartouches d'encre Hp pour mon imprimante. Elles sont similaires à celles que j'achète habituellement en hypermarché sauf que j'ai payé ce lot beaucoup moins cher. Les cartouches sont vraiment conformes et identiques. Aucun problème après 15 jours d'utilisation. Je recommande. N'hésitez pas à cliquer si vous trouvez mon commentaire utile.</t>
  </si>
  <si>
    <t>sac très pratique très bon produit avec de multiple rangement</t>
  </si>
  <si>
    <t>Jolies petites gommettes Super qualité-prix! Mon fils de 18 mois est enchanté! Par contre elles sont vraiment petites.</t>
  </si>
  <si>
    <t>Très bien Taille très grand mais je les ai gardées quand même. Très bonne qualité, très confortables</t>
  </si>
  <si>
    <t>Commentaire Ficelle de bonne qualité pour plante suspendu.</t>
  </si>
  <si>
    <t>Idée pour un cadeau J'ai acheté ce grille pain pour l'offrir, et la personne en est très contente. Pratique, rapide, design et reçu du jour au lendemain.</t>
  </si>
  <si>
    <t>Super petit lot, idéal pour un cadeau de naissance ! Lot conforme à la description Amazon, pas de mauvaise surprise. Les biberons sont très solides, l’ouverture est suffisamment grande pour être à l'aise lors du remplissage du lait et nu nettoyage.  La couleur tient bien, pas de problème même en lavage au lave vaisselle.  Pack complet, ça plaiera beaucoup en tant que cadeau de naissance.</t>
  </si>
  <si>
    <t>Une belle montre automatique accessible. Comment s'offrir une automatique sans y laisser un bras ? En s'orientant vers ces SEIKO 5. Un mécanisme éprouvé, certes pas fabriqué au japon, mais qui ne pose pas de problèmes particulier. La précision n'est pas diabolique, loin des standards suisse, mais elle ne perd ou prend que 15 s par jour. Donc une petite mise à l'heure 1 ou deux fois par semaine et le tour est joué. De plus, ce qui m'impressionne le plus, c'est la qualité des finitions. Pour ce prix je la trouve bluffante.</t>
  </si>
  <si>
    <t>Attache cassée L'attache n'est pas résistante du tout, cassée des que le deuxième jour. Déçu</t>
  </si>
  <si>
    <t>tres mitigé... la boucle a l'air de qualité mais la ceinture est extrêmement fine, incompatible avec le rajout de matériel parfois lourd..</t>
  </si>
  <si>
    <t>De mauvaise qualité Le gilet se dégrage après quelque lavage</t>
  </si>
  <si>
    <t>Très utilt Crayon très utile, en revanche il faut bien appuyer fort pour avoir la peinture à chaque fois pour que la peinture arriver</t>
  </si>
  <si>
    <t>A confirmer ! Bonjour, le produit est conforme à la description , sauf pour l'étui De rangement  il n’est pas du tout le même !!!  serait-il possible d’avoir celui avec la marque dessus qui est décrit sur la photo ?</t>
  </si>
  <si>
    <t>Bon casque mais ... Le casque Bluetooth a un son bon et claire mais sans plus, manque un peu de basse, l'autonomie est moyenne (2 a 3 heures max) mais le plus dommage pour moi c'est qu'on ne peux pas utiliser l'oreillette gauche sans la droite, mes anciennes oreillettes dodocool c'est possible.</t>
  </si>
  <si>
    <t>Article de qualité Bel article de qualité, jolie couleur, confortable, facile à entretenir. Juste une réserve : malgré les consignes de lavage bien respectées, tendance à boulocher.</t>
  </si>
  <si>
    <t>chaussettes Puma J'ai attendu un peu avant de les recevoir mais elles étaient conformes à ce que j'attendais et je n'ai pas eu de surprises.</t>
  </si>
  <si>
    <t>Hyper confortables Très bon rapport qualité prix. C'est ma deuxième paire. S'use au bout d'un an et des centaines de km.</t>
  </si>
  <si>
    <t>Confort Très confortable, j ai l impression d etre dans des chaussons.</t>
  </si>
  <si>
    <t>PARFAIT Fonctionne aussi dans la cave qui  et à côté de mon appartement les deux portes fermé avec les écouteurs ET SANS TÉLÉPHONE DANS lA POCHE LES ÉCOUTEURS FONCTIONNENT TRES BIEN.</t>
  </si>
  <si>
    <t>Bon produit Bon produit qui semble de bonne qualité et en plus qui est jolie.</t>
  </si>
  <si>
    <t>Super Super le collier est compris vvment noel hihi</t>
  </si>
  <si>
    <t>Superbe ! Puma , une marque que j'adore car elle tiennent longtemps , pas juste 2 ans comme Nxxx ! Elle sont vraiment jolies , la touche rouge a l’arrière lui donne un effet Whou . L'amortie niveau talon est top grâce a cette matière rouge . Devant la semelle est très fine , idéal pour les pilotes auto en herbe , Un excellent touché de pédales , on sent tout . La finition est exemplaire , le seul reproche est que la chaussure est assez fines devant , et moi j'ai les pieds large . Bref pompe au top pas si chère que ca finalement .</t>
  </si>
  <si>
    <t>belle montre de sport belle montre, j'adore suunto,  et pas cher. il y a 10 ans elle coûte le double. j'ai vu un promo ici même pour à peine 100 et quelque euros... j'ai payé plus mais aucun  regret.  le problème de suunto était de changer la pile,  problème  résolu,  on ne peut pas faire plus simple et le piles à moins de 2 euros à changer soi même.</t>
  </si>
  <si>
    <t>100% coton Agréablement surprise par ce pantalon 100% coton, je m'attendais vraiment à moins bien au vu du prix. Il n'est pas d'une douceur incroyable mais on est tout de même bien dedans, l'élastique large ne serre pas le ventre et la taille est bonne. Très contente.</t>
  </si>
  <si>
    <t>Très bien Prendre une pointure au-dessus</t>
  </si>
  <si>
    <t>de qualité impeccable pour dialoguer et même pour enregistrer un instrument de musique</t>
  </si>
  <si>
    <t>Beau design Rapide peu bruyante, jolie</t>
  </si>
  <si>
    <t>Très satisfait Utilisé par un adolescent, ce casque le ravit. En effet le rendu sonore ainsi que le design sont digne d'une grande marque!! Les écouteurs se rangent dans une boite qui en plus de les protéger les rechargent. On peut les adapter, grâce à plusieurs embouts, à toute la famille. L'association en bluetooth se fait très facilement, les boutons tactiles sont intuitif pour l'utilisation du volume et des changements de plages sur les deux écouteurs. On peut également l'utiliser pour téléphoner le rendu est largement satisfaisant.</t>
  </si>
  <si>
    <t>Très bien ! Utilisation pour mes révisions, ces surligneurs sont très pratiques, clairs (la teinte n'est pas trop foncée) faciles à manier, je recommande !</t>
  </si>
  <si>
    <t>Parfaite Taille parfaite. Hauteur comme sur la photo légèrement plus haute que la cheville! De très bonnes qualités. Je les conseillé!</t>
  </si>
  <si>
    <t>Qualit_x0017_é. Mauvaise qualité.</t>
  </si>
  <si>
    <t>C’est nul Ça fait 6 mois que j’ai acheté jbl Bluetooth écouter  sur amazon. au début il est bien mais après 6 mois marche plus, 40€ perdu, mouvais qualité, jamais acheté jbl écouter !!!</t>
  </si>
  <si>
    <t>Bcp trop petit. Déçu de ce pantalon qui est trop petit je fais du 46 et j'ai pris la plus grande taille. Retour gratuit par contre mais voila 2eme pantalon reçu marre de renvoyer. Et qualité du textile moyen. A ce prix on peut en trouver des mieux.</t>
  </si>
  <si>
    <t>Bof Poches multiples et bien agancées. Contenance amplement suffisante. Les dimensions intérieures permettent d'y placer un (plusieurs) cahier spirale format A4 sans problème. Je suis moins optimiste pour ce qui est du tissu. Il est épais et très résistant mais d'un marron délavé avec parfois des "marbrures" de lavage. De plus le système de fermeture des poches par aimant n'est pas très pratique. Les aimants sont faiblard et il faut vraiment bien positionner les rabats pour qu'ils s'aimentent. 2 petites poches intérieures ( tel portable / badge)  -  1 grd poche intérieure zippé 1 grd poche ext zippé  -  2 petites poches ext à rabat aimantés.  Je conseille pour un style vintage-casual.</t>
  </si>
  <si>
    <t>Jolie bague. Un peu terne. Alors oui la bague est plutôt jolie, elle est aussi légère. Le seul point négatif à mes yeux: le bleu sur la photo est largement exagéré par rapport à la réalité. Du coup l’effet réel donne un aspect très sombre. A noter aussi qu’elle n’est pas lisse, le liseré est en sous impression (il y a un creux entre les deux bandes noires) et personnellement je n’aime pas trop. Après elle est assez sympa. Peut être un peu cher pour ce que c’est au final.</t>
  </si>
  <si>
    <t>bien mais attention au dimension</t>
  </si>
  <si>
    <t>Très bien Très bien. Bon produit. Envoyé rapidement. Le cuir n'est pas d'une excellente qualité, mais en accord avec le prix.</t>
  </si>
  <si>
    <t>Facile à changer , bonne impression J'ai choisi ce bracelet pour remplacer celui de ma Nokia Steel HR dont le soit disant silicone me provoquait des allergies et brûlures. Ravie de mon achat, facile à changer, et à ajuster. Maintenant à voir sur le long terme... Pour le moment je conseille. Très joli.</t>
  </si>
  <si>
    <t>Correspond au descriptif, trés simple à installer et utiliser Ce casque est très simple à appairer et utiliser, il s'appaire automatiquement avec le petit boitier émetteur d'origine mais également directement avec d'autres émetteurs (un téléphone portable par exemple). Le son est perfectible par rapport à un casque fermé (en écoute musicale via un portable) mais très bien pour la TV,  c'est un excellent compromis pour qui veut écouter la TV sans gêner son entourage, le casque est très lègé et plutôt agréable à porter (contrairement à un casque fermé), la portée du Bluetooth est très importante, même à travers une cloison. Grande autonomie avant recharge; reste à voir la fiabilité dans le temps.</t>
  </si>
  <si>
    <t>Produit ok Tous ok sauf achat je voulais payer en 4 fois sans frais et ça n'a pas fonctionné</t>
  </si>
  <si>
    <t>Oreillette Le design des oreillettes sont très aboutie, avec la petite boite qui va avec on peut le transporter partout c'est vraiment pratique, quand a la qualité du son le bruit est très bien isolé !</t>
  </si>
  <si>
    <t>Très bon achat Très satisfait par ce produit, ayant déjà remplacé une fois le chargeur de mon enceinte SoundLink III par un chargeur officiel Bose (malgré une enceinte de très bonne qualité, Bose a la fâcheuse manie comme Apple de facturer les pièces de remplacement à un prix excessif), j'ai cette fois décidé de m'orienter vers un produit générique plus abordable. La seule différence constatée avec un chargeur officiel se fait au niveau du prix. La charge est rapide et les connectiques robustes, je recommande.</t>
  </si>
  <si>
    <t>Recommande Acheté une 1ere fois, satisfaite du produit, très bon rapport qualité prix, taille bien</t>
  </si>
  <si>
    <t>RAS Bon produit. Je cherchais un stérilisateur qui pourrait entrer dans mon petit micro-onde, c'est le plus petit que j'ai trouvé et il entre parfaitement bien. Grande capacité de stockage à l'intérieur. Très facile d'utilisation. Permet de stériliser et sert de sèche biberon ensuite. Je suis entièrement satisfaite de ce produit. Bon rapport qualité/prix</t>
  </si>
  <si>
    <t>Pratique et utile. Assez facile à utiliser. Tiens bien le vêtement si on suit la notice....en espagnol ! (Même après lavage). Livraison rapide</t>
  </si>
  <si>
    <t>Bracelets Très jolis bracelets et de bonne qualité. Surprise pour le prix. Je recommande</t>
  </si>
  <si>
    <t>Au top pour taches d'huile sur sieges tissus A parfaitement fonctionné pour des taches d'huile sur siège tissus. Je recommande.</t>
  </si>
  <si>
    <t>Bon rapport qualité/prix Agréablement surpris par ces écouteurs, pour le prix le son est vraiment bon, avec d'assez bonnes basses, la réduction du bruit est plutôt efficace et ils tiennent bien en place (pas testé en faisant de l'exercice parce-que ce n'est pas mon truc ^^ ... mais je n'pense pas que ça bouge). Pas testé en appel encore mais en tout cas pour la musique j'en suis satisfait ! (bien faire attention d'allumer les 2 écouteurs par contre avant d'associer au téléphone sinon un seul écouteur fonctionnera)</t>
  </si>
  <si>
    <t>Super ! Super produit. Légère mais tienne aux pieds. Bon rapport quanlité prix. Je pense en recommandé en d'autre couleur</t>
  </si>
  <si>
    <t>Top Adapter parfaitement à mon imprimante produits correspondants à son descriptif</t>
  </si>
  <si>
    <t>Nickel Acheté en cadeau de Noël. Elles sont parfaites. Ma nièce est ravie de son cadeau et moi aussi par conséquent</t>
  </si>
  <si>
    <t>Belle chaussures Super chaussures(Salomon) de trail avec Du gripp .. le seul soucis c'est d'avoir votre pointure . Car c'est compliqué avec Salomon ( Perso j'ai pris du 46 pour une taille normale de 44 / 45 donc prendre une taille de plus que votre taille normale</t>
  </si>
  <si>
    <t>PARFAIT, rien de plus. Excellent produit, je l'ai comparé avec mon main libre de série que j'ai sur mon kangoo du travail, et il est bien mieux au niveau sonore. On m'entend mieux sur le SuperTooth, l'appairage se fait très facilement, bref, que du bon pour ce produit. Achetez le les yeux fermé. Il dispose d'un support qu'on pose sur le pare soleil, et le SuperTooth viens s'aimanter dessus.</t>
  </si>
  <si>
    <t>Tès décue j'avais lu les commentaires avant d'acheter et j'ai été très déçue, ce sac en simili cuir est très raide plus plastique que simili cuir de plus il est lourd même vide. J'ai eu beaucoup de difficulté à le remettre en forme les coins du sac étaient rentrés vers l'intérieur et j'ai du le bourrer de papier  pour lui redonner sa forme normale, j'espère que lorsque j'enlèverais le papier il restera en forme, D'autre par, conte tenu qu'il est très raide les fermetures éclair sont très difficiles à manipuler dans les angles. C'est dommage car l'organisation de ce sac est très bien faite et il est de bonnes dimensions. Ce sac ne me servira vraisemblablement qu'occasionnellement. Conte tenu de sa matière ce sac ne s'assouplira pas.Si ne le renvoi pas c'est que j'ai des difficultés à me déplacer. Je le déconseille vraiment !</t>
  </si>
  <si>
    <t>Trop grandes et trop lourdes Utilise au travail dans un supermarché,  bien trop lourdes pour ma part de plus trop grandes</t>
  </si>
  <si>
    <t>INADMISSIBLE merci pour vendre un produit ,il faut une NOTICE EN FRANCAIS je ne lis ni l'allemand ni l'anglais AMAZONE devrait contrôler  ces produit  je ne sais si c'est un chargeur  pour piles ou pour remplacer celles ci POURQUOI N'EST T'IL PAS COMPRIS AVEC LE PIANO  C'EST INADMISSIBLE</t>
  </si>
  <si>
    <t>Fragiles Très beau bijoux, mais très fragiles cependant.</t>
  </si>
  <si>
    <t>cordon d'alimentation trop court petite bouilloire très pratique, marche encore très bien après plusieurs mois d'utilisation au quotidien. Il n'y a pas  de socle détachable, alors  cela aurait été mieux que son cordon d'alimentation électrique soit plus long.</t>
  </si>
  <si>
    <t>Bon produit nickel pour le prix. Le son n'est pas le meilleur point fort de ce produit mais reste tres correct vue le prix et ca marche bien sans se déconnecter et l'autonomie est deviron 8h et se recharge vite. En 1/2h de recharge j'écoute pendant 4h. Nickel. Le meme avec un meilleur son je le prend direct.</t>
  </si>
  <si>
    <t>Bien Bien mais pas 100% efficace</t>
  </si>
  <si>
    <t>Contente Offert par mon fils pour la fête des mères, c'est un très beau cadeau et je le porte fièrement. Si je devrais donner un aspect négatif à ce collier c'est la maille de la chaîne pour la fermer qui me semble un peu fragile.</t>
  </si>
  <si>
    <t>Mon retour d'expérience Voici un rapide retour d'expérience :  + le style sweat capuche + à l'air solide  - livré taché (modèle en retour client ?) ! - taille grand  Me concernant, j'ai organisé le retour du produit en raison de la tache d'environ 1cm au niveau des poches ventral. Dommage</t>
  </si>
  <si>
    <t>Confortable légère  souple 1er merell pour moi je ne regrette pas mon choix  je recommande</t>
  </si>
  <si>
    <t>La qualité  au top ! Bonjour Les chaussettes  super bien ! De bonne qualité ! A recommandé , mon fils est très content  !  Merci</t>
  </si>
  <si>
    <t>Mes écouteurs préférés Très bons écouteurs, la qualité sonore est parfaite, en plus, ils sont confortables et ne font pas mal aux oreilles (mes oreilles sont hypersensibles et facilement abîmées, la majorité des écouteurs les fait saigner). J'aime aussi que l'isolation du bruit extérieur soit très bonne, mais pas complète. Je déteste le vacuum sonore proposé par beaucoup d'autres écouteurs qui fait qu'on n'entend absolument rien (pour moi, c'est une sensation désagréable, en plus, dangereuse dans la rue et pas très pratique en général). J'adore vraiment ces écouteurs !</t>
  </si>
  <si>
    <t>Une montre Casio comme on s’y attend Montre Casio qui respecte ce qu’on attend d’elle, c’est à dire supporter les promenades et surtout les plongeons dans la piscine cet été. Pour le style, c’est du Casio, il ne faut pas s’attendre à une montre design, mais ça on le voit sur les photos de l’article !</t>
  </si>
  <si>
    <t>Bonne affaire mais taille petit Attention il taille un peu petit le S est plutôt un 16 ans mais de bonne qualité tient bien au lavage</t>
  </si>
  <si>
    <t>Très jolie Simple et jolie, de bonne qualité à première vue, à voir sur le long terme. Conforme à mes attentes.</t>
  </si>
  <si>
    <t>Illumine le petit déjeuner ! Il peut trouver sa place presque partout car il est vraiment très classe avec son tableau de bord à 5 boutons et sa finition inox / verre noir !  Les boutons (+) et (-) donnent le choix entre six températures repérées par leds bleues. Les autres boutons permettent l'éjection, le réchauffage et, enfin, la décongélation, automatiquement suivie du grill. Son ouverture mesure 26cm de long et accepte les épaisseurs jusqu'à 28mm.  Astucieux : son levier peut être relevé en cours de fonctionnement pour vérifier le bronzage de la tartine sans interrompre le cycle de chauffage ! Le tiroir à miettes, discret, se libère d'un simple appui et peut se dégager totalement.  En plus d'être beau,  il est rapide et grille uniformément, un régal !</t>
  </si>
  <si>
    <t>Bon produit Bon produit fonctionne très bien et correspond à notre recherche, nous conseillons ce produit les températures se gèlent rapidement et simplement</t>
  </si>
  <si>
    <t>Super Cest génial ma fille cest éclater</t>
  </si>
  <si>
    <t>super c'est vraiment comme sur la photo très beau cadeau très belle pièce magnifique</t>
  </si>
  <si>
    <t>super super basket, très belle et surtout très confortable</t>
  </si>
  <si>
    <t>conforme aux photos, taille adaptée et tres bonne qualité générale. Je suis totalement satisfait de ce produit. Conforme aux photos, taille adaptée et tres bonne qualité générale. Egalement tres confortable.</t>
  </si>
  <si>
    <t>CHARMS J'ai commandé deux charms que j'ai reçu le 12 décembre 2017. Le délai prévu était à partir du 18 décembre. Je suis contente de ces deux jolis charms qui s'adaptent bien sur mon bracelet Ninaqueen. A voir comment ils vont évoluer dans le temps mais niveau qualité prix... Imbattable !</t>
  </si>
  <si>
    <t>très bonne qualité Pour des premiers écouteurs bluetooth c'est une grande surprise. Ils se sont connectés très simplement et rapidement. La qualité sonore est très bonne que se soit en écoute de musique ou en appels, d'ailleurs le micro fonctionne bien également car je n'ai pas eu de retour négatif de mes interlocuteurs au téléphone pendant mes appels et les touches tactiles font très bien l'affaire avec les fonctionnalités du téléphone. l'autonomie est bonne et suffisante surtout avec la boite de recharge qui se range facilement dans une poche.</t>
  </si>
  <si>
    <t>Conforme et livraison rapide Très bonne qualité, recharge annuelle que je ne trouve pas toujours en ville</t>
  </si>
  <si>
    <t>Nul Le talon se bouffe au bout de quelque jour . Totalement inconfortable. Laisse des traces sur les chaussettes blanche</t>
  </si>
  <si>
    <t>À l’air superbe correspondant à la description. Dommage veste superbe mais commandée en L et reçu en XL. Pas de proposition d'échange à part le remboursement.</t>
  </si>
  <si>
    <t>Très bonne qualité 3€ trop cher J'aime vraiment bien ces stylos, mais depuis qu'ils sont parfaitement copié par la concurrence pour la moitié du prix, je me demande vraiment si j'ai bien fait d'acheter ces recharge hors de prix !  Je conseille d'aller voir la concurrence.</t>
  </si>
  <si>
    <t>Fais son job Bien fais son job. Par contre, mes filles les décollent très facilement et j'ai reçu une couleur jaune alors que je m'attendais à du blanc... d'où mes deux étoiles en moins.</t>
  </si>
  <si>
    <t>150ml Diffuseur d'Huiles Essentielles VicTsing Acheté pour une amie elle est très satisfaite de cette achat, utilisation très simple, peu encombrant, ce fond très bien dans l'environnement du salon, beau, fonctionne parfaitement.</t>
  </si>
  <si>
    <t>Très confortable Chaussures très confortable, j'ai rangé mes souliers C'est terminé de ce casser les pieds</t>
  </si>
  <si>
    <t>Réveil Réveil pris pour notre fille de 6 ans. Il est très bien mais la programmation du réveil façon lever de soleil n'est pas évidente</t>
  </si>
  <si>
    <t>mon avis sac bandoulière de qualité, mais un peu petit ; bonne qualité de la bandoulière</t>
  </si>
  <si>
    <t>Basket compensée Jamron Très confortable, légèrement compensée (c’ est super pour les «&amp;nbsp;petites&amp;nbsp;»!), prendre sa pointure habituelle. Moi qui ne mettais jamais de basket,Je les ai en blanc, en noir et en beige et j’en suis ravie!</t>
  </si>
  <si>
    <t>Rapport qualité prix imbattable Rouleaux achetés pour un déménagement. Utilisé avec un dévideur, rien à redire, fait le job. Ruban résistant, permettant de fermer les cartons solidement.</t>
  </si>
  <si>
    <t>Rien a redire Pour a peine 50 € prix plus que raisonnable ces baskets on l air solide a voir dans le temps</t>
  </si>
  <si>
    <t>Génial Parfait</t>
  </si>
  <si>
    <t>Isolation active peu puissante, qualité audio, confort et connectivité au top. J'ai essayé plusieurs casques à isolation active : Bose QC35 &amp;amp; 700, Sony WH-1000XM3, B&amp;amp;O Beoplay H9. Mon analyse se basera en parti sur ceux-ci.  Commençons par les points forts :    - Confort exceptionnel. Je ne dis pas cela souvent, mais on pourrait presque oublié qu'on le porte, ses coussinets sont incroyables, et l'arceau est très bien pensé.   - Son excellent :   - Basses : Très présentes, elles ne sont pas aussi impactantes que sur le H9 (ce que je trouvais fatiguant à la longue), mais sont tout de même très précises et plaisantes. Clairement, ce casque est orienté vers cette partie du spectre, même si, comme je l'évoquerai juste après, les mediums et aigus ne sont pas sans reste.   - Medium : Doux et détaillés, ceux-ci rendent parfaitement les voix, dans pratiquement tous les genres. Ils complètent admirablement les basses sur du metal ou du rock.   - Aigus : Un peu en retrait, ils sont très chaleureux, détaillés, et agréables à écouter.   - Spatialisation : Excellente. La meilleure que j'ai pu écouter en sans fil.   - Connectivité : Il n'y a pas une myriade de codecs audio comme sur le Sony, mais suffisamment pour permettre une utilisation variée (codecs du produit : aptx, aptx low-latency, AAC). Il est cependant remarquable vis-à-vis de la stabilité de connection. Je n'ai quasiment aucune coupure, ni aucun soucis à me connecter à un nouvel équipement. De plus, le fait d'intégrer à ce casque le codec aptx low-latency vous permez de l'utiliser lorsque vous regardez un film, ou jouez à un jeu vidéo, sans aucun délai perceptible.  Points faibles :    - Isolation : Le casque n'offre, passivement, qu'une isolation peu importante. Soit, là n'est pas le problème, la majorité des casques à isolation active ne sont pas excellents dans ce domaine. Cependant, là où est le problème sur ce casque, c'est que l'isolation active n'est pas non plus très efficace. On peut certe choisir 3 modes différents d'isolation, permettant d'avoir un ressentit différent sur l'oreille (pression), mais l'isolation reste très peu impréssionante, et bien peu en dessous des produits Bose, Sony, ou même Bang &amp;amp; Olufsen.   - Petit point négatif : il est impossible (à ma connaissance, après avoir lu le manuel et cherché sur internet) d'éteindre le casque sans le plier, un peu embettant si on souhaite laissé le casque sur un pied.  Conclusion :  Je recommande fortement ce casque si l'isolation active n'est pas votre priorité. Elle fera quand même son affaire sur celui-ci, mais vous serez impresionné par tous les points positifs que j'ai cité plus haut, qui en font un des meilleurs casques sans fil du marché. Si l'isolation active est la principale de vos priorités, tournez vous vers le Bose 700, qui est également un excellent produit.</t>
  </si>
  <si>
    <t>Conforme à ma demande Produits conformes, mais encore essayé, mais bon ce n’est que du fils ça ne devrait pas poser de problème</t>
  </si>
  <si>
    <t>Produit au top !! Produit de bonne qualité. Ravi de mon achat. Produit bien emballé. Je suis satisfait.</t>
  </si>
  <si>
    <t>Deeplee Ça BIPE un peu fort à mon goût . Niveau de la qualité et esthétique il est vraiment pas mal.</t>
  </si>
  <si>
    <t>pratique et livraison rapide randonée</t>
  </si>
  <si>
    <t>qualité Rien a dire sur ce produit, elles sont top.</t>
  </si>
  <si>
    <t>Parfait Parfait .</t>
  </si>
  <si>
    <t>Légères et sympa Ces baskets légendaires sont légères et sympa à porter. Elles taillent un poil grand (1/2 à 1 pointure en plus en norme Française). Mais ce n'est pas gênant, car cela permet d'avoir des chaussures qui ne viennent pas blesser le bout des pieds, pour ceux qui marchent beaucoup avec. Arrivées dans les délais comme toujours avec Amazon. Seul petit bémol à reprocher parfois : selon les pays de fabrication, des traces de colle ou de problème de positionnement des languettes sont parfois constatés. Vive les vraies anciennes Converse made in USA de ma jeunesse qui ne rencontraient jamais ce type de problème. Mais ça, comme le fit la pub, c'était avant ...... De même, mes chaussures sont à chaque fois arrivées avec l'un des 2 lacets trop court et pas de même longueur que son homologue. ?? C'est pénible ! Je n'ai trouvé aucune explication à cela sur le net. Mais comme j'ai 2 paires de chaussures, j'ai finalement reconstitué une vraie paire avec ses deux lacets identiques à partir de 4 lacets.</t>
  </si>
  <si>
    <t>Blancheur, propreté ! J’utilise les produits VANISH depuis des années. Je ne connais rien de mieux pour blanchir, enlever les tâches et entretenir le linge, surtout le linge de maison ! Un incontournable à avoir chez soi !</t>
  </si>
  <si>
    <t>Très bonnes baskets Basket running comme des chaussons . J ai fais un très bon choix Déjà fait plus de 200 km de courses.</t>
  </si>
  <si>
    <t>C'est ce que j'attendais Le colis reçu correspond parfaitement à ce que je recherchais : 2 palettes, qui sont relativement petites et ne prennent donc pas trop place, et les 12 pinceaux, avec toutes les tailles. Je ne les ai pas encore testés, mais à première vue la qualité a l'air d'être au rendez-vous</t>
  </si>
  <si>
    <t>Niveau réduction du bruit on est bon Plutôt agréablement surpris par la qualité de l'écouteur. Petit plus avec la finition métallique pour relier la partie écouteurs au câble ! Je préfère les écouteurs avec réglage du volume. L’apparence est également très belle, mes camarades de classe l’aiment aussi, la qualité sonore n’est pas mauvaise!</t>
  </si>
  <si>
    <t>Modèle différent Déçue car je n'ai pas reçu ce modèle mais des biberons transparents avec des fraises ! Hors je les avais choisi pour leur design ...</t>
  </si>
  <si>
    <t>Pas confortable Bonjour Pas confortable je souhaiterais me faire rembourser</t>
  </si>
  <si>
    <t>Cool Dommage pour la taille il était vraiment beau et très sympa</t>
  </si>
  <si>
    <t>Levis classic Taille petit !!!</t>
  </si>
  <si>
    <t>Sachet très praty Classement</t>
  </si>
  <si>
    <t>Très bien Satisfait juste la sangle un peu petite sinon parfait et beaucoup de poches</t>
  </si>
  <si>
    <t>Moins épais que celles livrées avec la machine Très bien malgré l'épaisseur moins importante que celles livrées avec la machine.</t>
  </si>
  <si>
    <t>conforme produit conforme aux attentes. par contre la taille est identique au format non xl, ce qui montre bien l'arnaque sur ces consommables qui ne sont remplis qu'à la moitié de leur contenance pour un prix outrageusement élevé...</t>
  </si>
  <si>
    <t>Montre fonctionnelle. Je recommande cette montre solaire et radio controlée.Matériel fiable utilisé en mer.J'ai changé le bracelet pour lui mette un bracelet  nylon plus confortable touvé sur internet.Je recommande</t>
  </si>
  <si>
    <t>Cadeau très apprécié par le destinataire. Cadeau très apprécié par le destinataire.</t>
  </si>
  <si>
    <t>Brosse nickel Elle est parfaite comme brosse</t>
  </si>
  <si>
    <t>Très bonne qualité J'ai l'habitude de noter tous mes rendez vous et vraiment super, mais je l'ai acheté un peu grand</t>
  </si>
  <si>
    <t>Produit parfait pour bébé Madame l'utilise au quotidien et avec cela répond parfaitement à ces besoins. Le système en soi est ingénieux car on peux enboiter ou pas les socles selon la quantité de produit à stériliser. En moins de 10min, tout est propre. Pour être objectif, madame a aussi nettoyer les tétines et biberons sans à l'ancienne et elle ressent une différence de propreté. Avantage à ce produit Avent que l'on utilise depuis plus de 3 mois sans souci. [Si ce commentaire vous a été utile, n'hésitez pas à le signaler ci dessous. ]</t>
  </si>
  <si>
    <t>Top Livraison plus tôt que prévu ! Colis très très bien emballé et produit conforme à la photo Je recommande</t>
  </si>
  <si>
    <t>Très bon produit Bouilloire de très bonne qualité. Elle chauffe rapidement et permet de maintenir l'eau à la température souhaitée. En plus, c'est joli et fait son petit effet sur la table. (Y)</t>
  </si>
  <si>
    <t>Super Coupe parfaite,  ne sert pas au niveau de la taille, agréable à porter et jolie couleur</t>
  </si>
  <si>
    <t>A offrir Je l'ai offert à l'occasion d'un anniversaire pour ma nièce et en elle est très heureuse. Permets de retrouver les pays et un stylo est fourni avec.</t>
  </si>
  <si>
    <t>Parfait Très cher tout de même, mais effectivement tout convient, la qualité est au rendez-vous. Il taille bien est son maintien est super !</t>
  </si>
  <si>
    <t>Parfait Pratique Indispensable pour les mamans Facile à monter Facile à nettoyer</t>
  </si>
  <si>
    <t>Les pieds dans le confort. Ce ne sont pas mes premières Yuedge,  rando, vélo et en plus quel confort de les porter, surtout dans les chaussures de sécurités.</t>
  </si>
  <si>
    <t>le son se sent cool C'est en très bon qualité? Très confortable, vous pouvez changer de truc s'il ne vous convient pas. Le son se sent doucement et pas de bruit. Le couleur est noir, c'est classique. Et le venduer m'offre la coque. c'est bien et celle-ci peut protéger mes évouteurs. J'avoue.</t>
  </si>
  <si>
    <t>Chic et élégant ! Acheté pour offrir, ce bracelet est superbe.  Il est livré dans une boîte et protégé sous un film plastique (a retirer évidement) prêt à offrir.  La couleur passe du violet au bleu avec plus ou moins de transparence et de brillance en fonction de la luminosité.  Le bracelet est fin mais à l air solide. Il est réglable grâce à une petite chaînette lui permettant de s adapter au poignet (attention tout de même au poignet trop large, car malgré la chaînette, il faudrait écarter les parties «&amp;nbsp;rigides&amp;nbsp;» pour passer, pas sure qu’il soit extensible à souhait).  Les «&amp;nbsp;diamants&amp;nbsp;», bien que faux, font leur effet. Il fait chic sans faire trop bling bling. Il peut s’offrir à des femmes de tout âge et se mettre à tout type d occasion.  Livraison très rapide grâce à prime, malgré les fêtes de Noël.  Vous l’aurez compris, je suis très satisfaite de ce bracelet acheté en vente flash de surcroit, un super rapport qualité prix ! A voir avec le temps (je modifierai mon commentaire si besoin).  En espérant vous avoir été utile☺️</t>
  </si>
  <si>
    <t>Rien à dire. Excellent produit ! Parfaitement adapté pour les séances de sport et confortable. Je recommande mais attention à ceux qui cherchent des écouteurs discrets... en effet ceux-ci sont bien plus gros que les écouteurs Jabra élite sport (qui déjà sont assez conséquents en terme de diamètre), il ne s’agit là que d’une question d’esthétique biensur mais j’estime qu’au vu du prix c’est une information qu’il vaut mieux connaître. Sinon le son est parfait...tout simplement Bose quoi !</t>
  </si>
  <si>
    <t>Produit neuf bien emballé livraison rapide Pas de douleur lors de longue écoute Bon son pour un casque à 15euros en promotion j avais un LG impossible à retrouver la même qualité de son pour ce type de prix donc super casque se règle bien produit neuf bien emballé</t>
  </si>
  <si>
    <t>Super matière Super à porter avec un jean</t>
  </si>
  <si>
    <t>Déçu Qualité de tissu médiocre.</t>
  </si>
  <si>
    <t>Produit incomplet Seulement trois biberon et non quatre comme indiqué et aucune brosse reçu !!</t>
  </si>
  <si>
    <t>Glissantes J'attendais plus de la marque crocs, les tong son jolies mais dès que l'on a les pieds mouillés elles sont très glissante, acheter pour sortir de la piscine, et bien elles sont dangereuses les pieds glisses à l'interieur de la tong et du coup on risque la chutte. Il faut faire très attention avec ces tongs.</t>
  </si>
  <si>
    <t>Pour le prix ca va Petite coupure sur l'avant de la chassure genant mais pas si grave. Chaussure un peut rigide. Livrè en heure ok</t>
  </si>
  <si>
    <t>Super Sac super pratique avec plein de poche. Y a rien a redire dessus</t>
  </si>
  <si>
    <t>Ok Ras</t>
  </si>
  <si>
    <t>Article Il est bien</t>
  </si>
  <si>
    <t>le prix  livraison rapide bonne qualite ras</t>
  </si>
  <si>
    <t>Ravie, je recommande ces écouteurs. Écouteurs reçu dans les temps, packaging très design, bon son, pratique et agréable d'utilisation, parfait, très contente de mon achat, je recommande ces écouteurs</t>
  </si>
  <si>
    <t>Vendeur fiable, baskets géniales Le vendeur est fiable et expéditif avec les commandes. Les baskets sont arrivés en très peu de temps. Ce sont des vraies, originales.  Par contre attention! Les modèles adidas chaussent petit. Alors choisissez une, voire une pointure et 1/3 de plus de ce que vous chaussez d'habitude pour être bien.</t>
  </si>
  <si>
    <t>Irremplaçable Voilà des années que je l'utilise avec bonheur et pas seulement pour le linge des enfants. Ce produit est idéal pour détacher le linge. Une poignée dans une bassine, ajouter de l'eau un peu chaude pour faire fondre le savon et faire tremper le linge taché. Mon petit truc j'ajoute une goutte d'essence de lavande. J'utilise ensuite la "sauce" en machine et le linge est éclatant avec une bonne odeur de savon qui n'a rien à voir avec l'odeur chimique de désinfectant que l'on retrouve dans certaines lessives au savon dit de Marseille!</t>
  </si>
  <si>
    <t>TRES BIEN ET PAS BRUILLANT J'ai commandé ce diffuseur d'arômes pour le bureau. La livraison est arrivée rapidement et emballée en toute sécurité. Il y a à côté du diffuseur une petite tasse à mesurer, une brosse de nettoyage et le cordon d'alimentation emballés dans l'appareil. Le diffuseur est en plastique aspect bois, donc très facile à nettoyer. L'appareil fonctionne silencieusement, a un arrêt automatique entre 1 et 3 heures ou un fonctionnement continu. Les LED encastrées changent de couleur. Je suis satisfait et peux maintenant apporter un parfum et une humeur agréables à mon bureau.</t>
  </si>
  <si>
    <t>casio un jour... casio pour toujours Très belle montre. Elle est encore d'actualité en 2016 ! Pour le prix je vous la recommande ! Je ne suis pas déçu</t>
  </si>
  <si>
    <t>Pratique Super pratique pour faire sécher les biberons ma copine en est super contente.</t>
  </si>
  <si>
    <t>montre correspondant à mes attentes connaitre l'altitude et l'évolution de la météo en montagne et dans des pays étrangers, cette montre est relativement légère les réglages après quelques tâtonnements est relativement intuitive.</t>
  </si>
  <si>
    <t>A acheter sans hésiter ! Au top ! Le format est nickel, la qualité au rendez-vous. Je conseille sans hésiter. La livraison a été aussi très rapide.</t>
  </si>
  <si>
    <t>Bon son! Écouteurs de bonne qualité et avec un son d'enfer!!! Très utile pour passer les appel et tient bien dans l'oreille. Le tactile de l'oreillette fonctionne très bien.</t>
  </si>
  <si>
    <t>TRES BON PRODUIT vraiment adapté a celles qui ne supportent plus les soutien gorge classique c est un lot que commande pour une amie qui les a vu chez moi ,une petite brassière bien confortable et super prix 15,99 les trois,,,</t>
  </si>
  <si>
    <t>Nickel Bonne qualité</t>
  </si>
  <si>
    <t>Bon produit Il est arrivé dans les temps, ma fille était très contente, il est de bonne qualité et le prix est abordable donc satisfaite!</t>
  </si>
  <si>
    <t>Bon prix Elles sont bien</t>
  </si>
  <si>
    <t>Bonne Qualité Bonne qualité</t>
  </si>
  <si>
    <t>Déçu par Amazon Je l ai reçu rapidement mais très déçu il fallait une prise américaine il était pas français Amazon aurait du le préciser dans les commentaires</t>
  </si>
  <si>
    <t>Carastrophique... Commander pour offrir...  Et surprise !! Il manque un diamant...  Alors imaginez ma tête quand la personne à ouvert mon cadeau...  Le diamant n'est même pas dans la boîte..</t>
  </si>
  <si>
    <t>mauvaise qualité à la  réception  un  accroc  et  2 mn aprés  un gros trou dans  la  chaussette  direction  poubelle  pas  fiable du  tout  dans  la  durée je  regrette de ne pas  avoir  pris  la  photo  !!</t>
  </si>
  <si>
    <t>Ok Un peu plus petit de ce que je croyais et un bouton de fermeture qui ne marche pas . Sinon ça va.</t>
  </si>
  <si>
    <t>assez bon casque J'ai acheté ce casque pour le boulot et l'avion. A ce jour je n'ai pas encore eu l'occasion de le tester dans ces deux conditions mais je me suis amusé à faire quelques tests. Par exemple avec la hotte de la cuisine allumé... Réduction de bruit désactivée, on l'entend, réduction de bruit activée, on l'entend plus... C'est perturbant au début mais on s'y fait vite. Au niveau de la qualité de son, n'étant pas un mélomane, je ne peux pas vraiment juger, le seul point que je peux soulever est le suivant : les basses sont très présentes certain morceaux en deviennent un peu douloureux et désagréables. Peut être faut t'il faire un réglage sur l'équalizer du téléphone?  A voir dans le temps. Je mettrais à jour au fur et à mesure.</t>
  </si>
  <si>
    <t>Soutien gorge Je suis déçu</t>
  </si>
  <si>
    <t>Incroyable Wouaaaaaaaaah ! Ce design est si beau, la montre est fine bref là-dessus rien à redire. L’écran est incroyable, l’AMO LED est très lumineux et lisible en toutes circonstances. L’expérience wear OS est vraiment bonne et complète et personnellement j'aime beaucoup cette OS. Au niveau de la puissance s'est mitigé: défois elle est très fluide et lance les applications très rapidement et défois elle lag un peu mais globalement ça ne dérange pas l’expérience utilisateur. L’autonomie est médiocre mais personnellement ça me dérange pas: je ne porte pas de montre lorsque je mange du coup j’en profite pour la charger. Sinon on tient une journée complète en utilisation peu intensive et avec beaucoup d’option désactiver (comme le Gps....) et sinon ¾ d’une journée en utilisation intensive.&amp;nbsp;Le chargeur est raide mais j’aurais préféré un plus grand support afin que la montre ne glisse pas. L’écrin est beau sans être exceptionnel. Le bracelet en cuir est le plus beau que j’ai vu jusqu'à aujourd’hui (je ne suis pas un expert dans le domaine). Je recommande vraiment d’avoir une smart Watch et si ce n’est pas celle-là c’est un objet dont je ne peux plus me passer.</t>
  </si>
  <si>
    <t>Bouilloire rétro russel hobbs 21671 70 Très satisfaite,  belle bouilloire posée sur un plan de travail elle est  très décorative . Chauffe très vite, un plus pour la température,  je ne regrette pas mon achat.</t>
  </si>
  <si>
    <t>Pendentif un peu fade Je le trouvée très sympa pour le prix mais je trouve le pendentif un peu fade couleur qui ne ressort pas comme sur la photo ainsi que les petites pierres</t>
  </si>
  <si>
    <t>géniaux Bon, commen?ons par le négatif ... ce vendeur est plus cher que le site Wincase ... et c'est tout, service hyper rapide, en deux jours c'était chez moi. Pour les appareils ... ces trucs sont juste géniaux (et pas juste pour les Wincases addicts ), ils se connectent aux appareils (Wincase) sans aucune manipulation, on une super durée de batterie et le boitier fourni avec est une batterie d'appoint. Par rapport à toutes les autres copies (je sais je me suis fait avoir), pas de soucis de décalage voix/image ou un seul écouteur qui marche. Bref, ?a coute cher, mais niveau technologie, c'est incomparable.</t>
  </si>
  <si>
    <t>Super Parfait pour lait épaissi ! Mes enfants se sont tout de suite adaptés à ces tétines  et prennent beaucoup mieux  leurs biberons</t>
  </si>
  <si>
    <t>Tres bien Très pratique. Lanière solide. Sac solide et beau. Plusieurs pochette. Intérieur suffisament grand.  Pas déçu de cette achat est très pratique pour des voyages avec la place pour un ordinateur est des livres.</t>
  </si>
  <si>
    <t>Bonne qualité Produit bien coupé agréable à porter couleur conforme et taille M pour mon 38/40</t>
  </si>
  <si>
    <t>Le cadeau d'anniversaire de mon père! J'ai acheté ce produit pour l'anniversaire de mon père, la qualité de la montre est incroyable pour son prix. La montre est très élégante, la taille est très bonne et se sent vraiment à l'aise lorsqu'elle est portée. Mon père adore ça.</t>
  </si>
  <si>
    <t>Très satisfait Elles sont génial</t>
  </si>
  <si>
    <t>Indémodable modele Indemodable modèle. Multigenerationnel Très confortable, à la fois vintage et actuel. Pointure confirme. Demande un minimum d entretien. Ravie de cet achzt</t>
  </si>
  <si>
    <t>bien. pas du cuir mais bon produit.</t>
  </si>
  <si>
    <t>bonne qualité Très confortables et très légères.</t>
  </si>
  <si>
    <t>Ouaou ! Casque facilement transportable, assez confortable une fois porté. Je ne constate pas de douleur aux oreilles même porté trois heures de suite, c'est très rare</t>
  </si>
  <si>
    <t>BIEN BIEN</t>
  </si>
  <si>
    <t>Montre qui convient à tout le monde, très classe J'ai acheté cette montre pour offrir à mon copain. Il a adoré ! Elle est arrivée en avance et sans problème particulier (rayures ou autres...)</t>
  </si>
  <si>
    <t>plus rapide que son ombre livraison ultra rapide avant même la date prévue, et produit conforme à celui que j'utilise depuis des lustres; Cerise sur le gâteau, le prix, doux comme le temps  d'aujourd'hui.</t>
  </si>
  <si>
    <t>Confortable et pratique! Très confortable avec les semelles à mémoire de forme et pratique! Je suis une adepte des Sketchers et ne pourrais plus m’en passer! Elle offre une bonne tenue malgré l’absence de lacet. Je les ai mises durant une année, pratiquement tous les jours et elle s’use lentement. Seul défaut que j’ai eu, de même avec une autre paire, est le tissus intérieur situé derrière le talon qui s’abîme et ça devient douloureux car frotte. Mais vu l’utilisation, ça parait normal qu’il y ait une usure. Je recommande!!</t>
  </si>
  <si>
    <t>Produit moyen. Un peu deçu de cet achat. Reçu dans les delais. Bluetooth Ok. Mais Son faible. Pour s'écouter parler ou chanter, on est obligé de coller la bouche au micro... très désagreable quand durant un anniversaire par exemple, 6 enfants essayent d'utiliser l'appareil à tour de rôle.</t>
  </si>
  <si>
    <t>PAS POUR LES CARTONS ! Acheté pour emballer des cartons  Ne colle pas bien,  je ne recommande pas</t>
  </si>
  <si>
    <t>Ça ne plaît pas à tout le monde Livre reçu par ma fille de 9ans à noël, elle l a trouvé bizarre, pas vraiment de son âge. Je me suis inspiré des commentaires clients...déception totale de m être trompé. Pourquoi tu  as acheté  ça ?? Hum, malaise...</t>
  </si>
  <si>
    <t>Decue Joli produit sur la photo mais qui fait un peu quincaillerie en réel. Utilisation moyenne les 3h de diffusion prigrammables ne durent pas plus que 2h. Parfois la luminosité aléatoire s'emballe par des clignotements rapides. Par contre la diffusion des senteurs est parfaite. J'attend donc de voir si dans la durée ce diffuseur tiendra.</t>
  </si>
  <si>
    <t>très bon produit Mon bébé a direct pris le biberon MAM, on s'attendait a faire plusieurs marques mais la première a été bonne Seul point négatif : dommage que les graduation commencent a 60ml car c'est compliqué de voir la quantité que bébé n'a pas bu du coup, un marquage a partir de 20ml aurait été plus utile, surtout qu'il est très difficile de se rendre compte à l’œil du restant vu la complexité du biberon en bas (faut fond en caoutchouc)</t>
  </si>
  <si>
    <t>Rien à dire Rien à dire</t>
  </si>
  <si>
    <t>s'installent facilement simple à installer- fonctionne bien même si un message d'erreur apparait. par contre l'imprimante signale la cartouche vide mais on a l'impression qu'il reste un peu d'encre quand on secoue. Mais pour le prix j'avais déjà commandé et j'ai renouvelé car le rapport qualité prix reste très intéressant.</t>
  </si>
  <si>
    <t>Beau sweat Livraison dans les délais, veste de bonne qualité et de bonne tenue. Légère mais qui tient bien chaud, pour les aviateurs ou les autres .</t>
  </si>
  <si>
    <t>super nettoie très bien et j'adore l'odeur</t>
  </si>
  <si>
    <t>Au top ! Idéal pour le chant ou pour enregistrer des réunions. Idéal pour être bien entendu sur Skype ! J’apprécie la qualité de la marque donc je vais même prendre le Blue Microphones Raspberry.</t>
  </si>
  <si>
    <t>Très bien Bracelet très sympa, belle finition noire, il est facile de retirer des maillons grâce à l appareil fourni.</t>
  </si>
  <si>
    <t>Idéal Légères confortables et absolument modernes je les adore</t>
  </si>
  <si>
    <t>Genial Très satisfaits</t>
  </si>
  <si>
    <t>ok ok</t>
  </si>
  <si>
    <t>Trop belles!!!!! Super belles élégantes, elle se portent pour toutes les occasions aussi bien pour aller travailler que pour une après-midi shopping ou un dîner en amoureux 😍😍😍😍</t>
  </si>
  <si>
    <t>Bien Cadeau</t>
  </si>
  <si>
    <t>Trop beau Super</t>
  </si>
  <si>
    <t>Souple et confortable. J'Ai acheté  cette paire de baskets pour faire mon sport. Elles sont très confortable, souple et surtout très bon style à mon goût.</t>
  </si>
  <si>
    <t>Super Hyper pratique le seul inconvénient c’est la boîte est un peut grosse</t>
  </si>
  <si>
    <t>Parfait et bon prix Cadeau pour ma fille, exactement comme prévu. Parfait merci</t>
  </si>
  <si>
    <t>La qualité Très bon produit de très bonne qualité.</t>
  </si>
  <si>
    <t>Impeccable De bonnes manufacture, qualité impeccable, taille qui correspond. Je recommande</t>
  </si>
  <si>
    <t>Moins cher que dans le commerce et plus de sacs Dans le commerce ces sacs sont plus chers et il y en a que 8 par packaging! J'aime beaucoup ce produit, car les sacs sont ultra-resistants et ils ont des poignets qui permettent de pouvoir bien fermer les sacs au moment de les jeter.  Si ce commentaire vous parez utile merci de cliquer oui et pour plus de tests et de reviews visitez mon site, le lien est dans mon profil (site en anglais).</t>
  </si>
  <si>
    <t>Mais pas adapté pour le sport Se déchire très vite quand on utilise</t>
  </si>
  <si>
    <t>Mauvais M'a mis mon imprimante HP 3636 en panne. Il fut assez difficile de comprendre que l'imprimante refusait l'installation d'une cartouche HP d’origine à ce prix. Ai tâtonné durant 24 heures, le logiciel détectant une trace d'encre dans la cartouche noire. Ce n'est pas la première fois que j'aurai eu à changer une imprimante pour un défaut de conception de la cartouche HP. Panne volontaire? Panne involontaire? Obsolescence programmée?? Moralité que vous preniez des cartouchez d'origine ou ,pas, si ,la machine est programmée pour se mettre en panne rien n'y fera.Dans ce cas là une étoile est de TROP.</t>
  </si>
  <si>
    <t>confortable mais... J'ai pris ces sandales pour la piscine. Elles sont confortables, même si l'un d'elle glisse un peu sur le côté une fois mouillée. Mais le plus gros souci est le temps de séchage...Plusieurs heures sont nécessaires avant qu'elles ne soient suffisamment sèches pour pouvoir être rangées. Bien dommage et peu pratique!</t>
  </si>
  <si>
    <t>Trés correcte Les soundcore Liberty Air sont très correcte, elles se rapproche des airpods originaux. La boite contenant les écouteurs est esthétique et indique la charge. la tenue est bonne même dans la pratique d'un sport, il faut un peu de pratique pour passer d'un morceau à un autre, commande vocal etc. Attention, il n'y a pas de commande pour monter ou descendre le volume.</t>
  </si>
  <si>
    <t>Assez bon produit Un peu bruyante</t>
  </si>
  <si>
    <t>Très bien Je l'utilise pour écouter la radio dans toute la maison avec une bonne qualité de son, même à travers des murs épais. Jusque 50 m à l'extérieur.</t>
  </si>
  <si>
    <t>Parfaites et canons Parfait, elles sont canons et achetées en promo, une merveille :) très contente</t>
  </si>
  <si>
    <t>parfaite le coton est agréable - elles sont assez épaisses, trés bonne qualité</t>
  </si>
  <si>
    <t>LE PRIX MERCI J'AIME</t>
  </si>
  <si>
    <t>J'adore Matière très agréable !</t>
  </si>
  <si>
    <t>Gilet Gilet bien épais</t>
  </si>
  <si>
    <t>Des boots vraiment élégante et agréables à porter J'ai pris une taille au dessus de la mienne en rapport avec les commentaires des autres acheteurs et effectivement, elles taillent petit donc c'est parfait. Les chaussures sont élégantes, fines et très agréables à porter. Je ne les recommanldes pas pour une personne avec des pieds "épais" les miens sont fins et ça serre quand même. Par contre elles sont comme des chaussons! Je ne regrette pas mon achat, première fois que je prends de cette marque, je suis ravie.</t>
  </si>
  <si>
    <t>Je recommande une taille au dessus Très belle ! Je recommande une taille au dessus ex : je fais du 37 j’ai pris du 37 et demi</t>
  </si>
  <si>
    <t>Mon commentaire pour  étiqueteuse DYMO Label Manager 160 Je suis vraiment satisfait de mon achat. Cette étiqueteuse est très facile d'emploi et très complète. Lire quand même le mode d'emploi rapide livré avec la machine et mieux, aller sur Google pour avoir le mode d'emploi complet et en FRANCAIS en PDF que vous pouvez imprimer. Après cela, pas de problème, vous faites ce que vous voulez pour accéder aux diverses fonctions. Le clavier AZERTY est vraiment pratique et les touches en matière souple sont un plus, agréable à l'emploi. Ne pas oublier d'acheter 6 piles AAA, elles ne sont pas incluses avec la machine. Je recommande cet achat.</t>
  </si>
  <si>
    <t>Efficaces rapidement J étais infesté de mite dans la maison grâce à se produit plus rien même pas une seul c est vraiment très efficace</t>
  </si>
  <si>
    <t>Je le conseille @ J’adore parfait 👍👍👍</t>
  </si>
  <si>
    <t>exactement comme sur le descriptif Tres facile d'utilisation parfait qualité au top</t>
  </si>
  <si>
    <t>Tres belle montre Top top top superbe montre emballage nickel tres content de mon acquisition Un peu compliqué pour le réglage mais heureusement la notice de la montre est très bien faite</t>
  </si>
  <si>
    <t>Nickel Belle casquette, je voulais une casquette assez discrète avec une belle forme et celle ci est parfait. La visière est bien rigide, le tissu est bien et la couleur un beau bleu marine avec un p'tit logo "NY" discret mais qui ressort et apporte le côté classe. Je suis très content de cet achat</t>
  </si>
  <si>
    <t>L’important c'est de savoir sans servir Très bon produit si l'on sait s'en servir, éviter les lavages court ou pas assez chaud et tout ce passera bien. Produit moins chimique et agressifs que les lessives habituel autant pour l'environnement que pour la peau.</t>
  </si>
  <si>
    <t>efficace et sans odeurs par contre 45 nuits faut oublier, j'ai passer un mois de vacances et j'en ais utiliser 2.</t>
  </si>
  <si>
    <t>Enchantée Produit conforme, livraison rapide.</t>
  </si>
  <si>
    <t>Pinceaux pas solide. Les paletttes sont bien, les pinceaux sont pas solides. Ils tiennent 2min à peine dans la main de mon fils. Dommage</t>
  </si>
  <si>
    <t>ARNAQUE MAXI !!!! Cette boule de soi-disant lavage est constituée d'une sphère en vulgaire plastique souple sans couvercle pour une dissémination lente du produit de lavage. Ce morceau de plastique souple ne vaut pas plus de 10 cts pour peu que l'on veuille à tout prix l'acheter. Payé 9.95€ il vaut mieux extruder une vieille balle de tennis!!</t>
  </si>
  <si>
    <t>Odeur effroyable Ces mouchoirs ont une horrible odeur de Poisson</t>
  </si>
  <si>
    <t>Vaut son prix A tenu 15 jours porte tout les jours  . Pour le prix il ne  fallait pas s'attendre à mieux quand même !</t>
  </si>
  <si>
    <t>Beau sac Produit issu du commerce équitable mais qui laisse une forte empreinte carbone (fabrication en Inde, entreprise italienne). Beau cuir, taille conforme à la description.</t>
  </si>
  <si>
    <t>Attention, chaussent  grand !! Boots de qualité, la couleur  de la photo est fidèle à la réalité, sur ce point vous n 'aurez pas de mauvaise surprise, mais attention à la pointure, ces bottines chaussent grand, je les avais commandé en 42 , je les ai retournées et rachetées en 41.</t>
  </si>
  <si>
    <t>Basket travail Achat pour le travail pris une taille au dessus de ma pointure es cela va très bien Basket confortable A voir sur la durée Très jolie design</t>
  </si>
  <si>
    <t>Dreadlocks sympa mais dès la 1ère utilisation le produit s'abîme</t>
  </si>
  <si>
    <t>Sympa pour mon ado ! Mon ado adore !!! Modèle très sympa et prix très correct. Les baskets ont été reçues rapidement. La qualité semble être au rendez-vous</t>
  </si>
  <si>
    <t>Belle et solide Jen suis tres content..</t>
  </si>
  <si>
    <t>ok bon rapport qualité prix, il faut acheter le biberon Natural et non Classic de Philips Avent sinon ça ne s'adaptera pas.</t>
  </si>
  <si>
    <t>Très bien Rien a dire de particulier fait ce que l on attend d une tétine à débit moyen. Trou quand meme petit j ai du a acheté le débit au desssus</t>
  </si>
  <si>
    <t>Top pour melanger les biberons Ce mixeur est utilisé depuis les 1 mois de mon fils pour mélanger ses biberons! Idéal pour les laits qui ont dû mal à se dissoudre</t>
  </si>
  <si>
    <t>Très bon produit La marque ne faillit pas à sa réputation. Excellent siège de massage. Matériaux de qualité et finitions parfaites. Il est très efficace et permet vraiment de cibler exactement le massage qu'on désire grâce à ses très nombreux modes de fonctionnement. Une séance de 15 minutes chaque soir, un régal avant d'aller dormir. Je recommande vivement.</t>
  </si>
  <si>
    <t>Nickel Très bien Livraison rapide</t>
  </si>
  <si>
    <t>Très satisfait de mon achat Très bon produit la qualité du son est parfaite la connexion bluetooth excellente sans interférences ni coupure les écouteurs sont très jolies point de vue esthétique . Vraiment satisfait de mon achat</t>
  </si>
  <si>
    <t>BROSSE PRATIQUE super brosse pour tableau blanc pratique pour les petites mains de ma petite fille je recommande ce produit bon achat</t>
  </si>
  <si>
    <t>pochette tour de cou beau sac mais trop grand pour moi ,bonne qualité et solide dommage qu'il ne me convienne je prendrais un autre mais plus petit</t>
  </si>
  <si>
    <t>Pratique Petite sacoche compacte, vraiment très pratique. Son design est sobre, noir avec une petite plaque métallique sur le devant, très masculin. La qualité est très bonne. Bien que petite, elle est constituée de trois poches zippées et une poche sur le devant. Les poches sont suffisamment larges pour y faire rentrer de petites choses, mon smartphone 6 pouces y rentre sans problème. Il y a également un porte stylo sur le côté. Deux sangles sont fournies pour permet de porter la sacoche en bandoulière ou autour de la taille. Mon mari fait du XXL et la sangle réglable réglée à la taille maximum est largement trop grande. Pratiquement toutes les morphologies peuvent donc convenir ! On peut aussi grâce au crochet de suspension attacher la sacoche à la ceinture.</t>
  </si>
  <si>
    <t>BON PRODUIT SPORT EN SALLE PRODUIT TRES BIEN ADAPTE</t>
  </si>
  <si>
    <t>super produit Livraison rapide produit conforme a la description! Je suis une adepte de ces biberons que ma fille, allaitée, prend sans difficulté!</t>
  </si>
  <si>
    <t>la nuit ok +</t>
  </si>
  <si>
    <t>Cartouche conforme à ce que l'on peut en attendre Cartouche conforme en regrettant de ne pas pouvoir utiliser des compatibles, beaucoup moins chère !</t>
  </si>
  <si>
    <t>Le top du top Juste Wouahou ! Ils sont parfaits. Tant sur le prix que sur la qualité. Peu importe le lieu où vous êtes, vous pouvez écouter votre musique sans avoir les bruits environnants. S'adapte tres bien aux oreilles grâce aux 3 tailles d'embouts proposés. Se sont mes premiers écouteurs sans fil et franchement je ne regrette pas. Je recommande largement !</t>
  </si>
  <si>
    <t>produit excellent pour la création Je me sers de ce produit pour des créations de toutes sortes et j'adore le reflet métalisé, les couleurs et les mixages possibles ! je voudrais trouver au moins de 2 autres feutres métalisés blanc, car la tenue est extraordinaire pour moi, créatrice ! j'arrive à faire des mixages et mon travail sur le métal est positif, !  perso, je suis enchantée de cet achat,je le recommande et il y a une façon de tenir les feutres pour rendre les traits plus ou moins épais.</t>
  </si>
  <si>
    <t>Je ne recommande pas Le tissus gratte au bout de 10mn d’entrainement. Mon mari ne s’en sert plus.</t>
  </si>
  <si>
    <t>Loose back, perdu l'oreille en une journée! Les supports ne correspondaient pas et les boucles d'oreilles ont continué à tomber. J'ai essayé d'utiliser plusieurs types de supports que j'avais déjà, mais malheureusement, ces boucles d'oreilles ne pouvaient pas rester.</t>
  </si>
  <si>
    <t>bouche la tete d'impression ces cartouches sont compatible avec mon imprimante Pixma TS8000, mais bouchent la tete d'impression ce qui nécessite un nettoyage en profondeur avant chaque page a imprimer</t>
  </si>
  <si>
    <t>Ma seconde paire de checkers Je ne me souvenais pas qu'elles étaient aussi inconfortable au début... Ma première paire qui m'a tenu 2 ans m'a lâché (je les portais quasi tout le temps pour tout les jours, mêmes une fois trouée) Je ne sais pas si c'est le fait d'être passé au nike entre temps mais la semelle est pas la plus confortable et j'ai skaté avec une session et j'ai un peu beaucoup regretté... Bien pour la ville, à oublier pour les tricks</t>
  </si>
  <si>
    <t>Elle fait le job mais déçue par la capacité entre l’affichage et la réalité C’est marqué 1,7L mais en réalité on ne peut y mettre qu un litre à chauffer donc un peu déçue pour ça mais bon elle fait le job</t>
  </si>
  <si>
    <t>utile qualité moyenne+</t>
  </si>
  <si>
    <t>Montre Lige sport black &amp;amp; gold Très bon rapport qualité / prix / style .. très élégante au poignet</t>
  </si>
  <si>
    <t>Très bonnes chaussures de randonnée Très bonne tenue, résistantes et confortables C'est déjà ma 3eme paire de Columbia!</t>
  </si>
  <si>
    <t>un flocon très joli Un joli pendentif qui rend bien pour le prix que je l'ai payé (moins de 20€) Pour ma part je le porte sur une vraie chaîne en argent et il ne fait pas toc du tout, au contraire très contente de mon nouveau flocon</t>
  </si>
  <si>
    <t>utilité des huiles essentielles ! j'ai utilisé ce produit pour une rage de dent et  ça fonctionne .Une goutte sur un coton tige et on applique sur la dent et la gencive!</t>
  </si>
  <si>
    <t>Produits de qualité ! J'ai bien reçu mon produit sans problème, les bottes Aigle sont de bonne qualité. Par contre elle taille petite faite attention. En tout cas si vous cherchez des bottes de bonne qualité je vous les recommande. (Sachant que le prix n'est pas excessif pour des bottes de cette qualité.)</t>
  </si>
  <si>
    <t>Relaxation au top Génial! super produit de relaxation, livraison top et rapide ! je recommande ! zenatitude en vue!</t>
  </si>
  <si>
    <t>Top! Les new balance taille petit mais un confort une qualité au top</t>
  </si>
  <si>
    <t>Ce de la qualité Très performant au niveau du son et du volume et ce de la qualité au niveau du prix</t>
  </si>
  <si>
    <t>économique, pas de bavure ou de tache, effaçable un stylo tout en un qui se recharge très facilement et qui contient un effaceur. Il est très agréable d'écrire avec. Plus de fuite, d'encre partout, de bavure et à moindre cout. Je recommande vivement cette gamme dans toutes les couleurs.</t>
  </si>
  <si>
    <t>super super casque, bonne qualité audio, se plie facilement. Idéal pour budget limité. Mon ado de fils adore le bleu et ne se casse pas les oreilles avec des casques de mauvaise qualité, où on est obligés de mettre fort pour entendre les paroles.</t>
  </si>
  <si>
    <t>Très bon article Article à la hauteur de mes attentes</t>
  </si>
  <si>
    <t>Bon triplex Il fait se qu'on lui demande :)</t>
  </si>
  <si>
    <t>Nickel Dans les temps bonne taille</t>
  </si>
  <si>
    <t>conforme conforme au descriptif et bonne qualité</t>
  </si>
  <si>
    <t>Confortable et amplifié les sons Casque audio sans fil utilisé pour la tablette. Bien que celle ci ne soit pas d excellente qualité,le casque remédie au problème de son. Il est assez léger et confortable à porter.</t>
  </si>
  <si>
    <t>Nikel rien à dire arrivé en avance même Arrivé même en avance la taille est nikel j'ai pris du S/M et parfait normalement je fais du S et la couleur et bien juste petit bémol je croyais que le dessous était blanc mais enfaite il est beige mais rien de bien grave fin pour moi sur les photos on dirai blanc</t>
  </si>
  <si>
    <t>Une merveilleuse idée cadeau !!! Ce stérilisateur Babymoov turbo pure  se présente comme un arbre à biberon aménageable sous une cloche amovible qui permet de stériliser et/ou sécher jusqu’à 6 grands biberons ou des accessoires, un tire-lait etc. Cet appareil de fabrication française est garanti à vie après enregistrement sur le site... une excellente chose. Il suffit de remplir le petit réservoir d’eau et d’enclencher Le cycle pour voir les biberons être stérilisés 8 mn à 95 degrés , il faut par contre les nettoyer avant .. ce n’est pas un lave-vaisselle !!! Tout de même !! Une alarme vous prévient de la fin... l’appareil peut conserver les biberons ... il s’arrête Tout seul !!  J’ai particulièrement apprécié les buses qui vont jusqu’aux bouts des branches assurant l’accès de la  vapeur tout au fond des biberons retournés dessus... un excellent point.  L’appareil n’est pas tout petit mais quel gain de temps avec un nouveau né pour une jeune maman parfois un peu perdue... un cycle de 8 mn et on retrouve des biberons stériles ou un autre programmable au choix de 30 à 45 mn pour obtenir stériles et  secs!! Plus de soucis concernant la sécurité des nourrissons !!  Une mention très bien au filtre hépatite situé sous l’appareil garantissant une filtration de première qualité à l’air entrant ..  Son utilisation ne dure pas longtemps certes mais c’est un plus indéniable.  Avec 4 enfants, nous sommes rodés mais mon époux aurait apprécié cet appareil avec notre aîné tellement il était perdu et fatigué à son arrivée de la maternité !!   L’appareil n’est certes pas donné, mais l’investissement vaut le coup, au vu des services rendus et du temps gagné.  Une excellente idée cadeau !!!  Si cette évaluation a pu vous aider, likez, si bous aviez des questions, n’hesitez pas à les poser, merci.</t>
  </si>
  <si>
    <t>Couleur éclatantes Ce réveil est très bien pensé. La radio capte bien le son est bon et les différentes lumières sont très douces. J'adore mon nouveau réveil</t>
  </si>
  <si>
    <t>Bien mais ne fonctionne plus après 2 mois Après envriron 2 mois d'utilisation, la molette pour le son sur le casque ne fonctionne plus, elle tourne dans le vide, résultat, plus aucun son ne sort du casque, je ne sais plus quoi faire...</t>
  </si>
  <si>
    <t>C'est nul Mauvaise article</t>
  </si>
  <si>
    <t>Déçu Déçu par mon achat , cafetière bruyante et pas très stable , cet article ne mérite pas mieux qu'une étoile</t>
  </si>
  <si>
    <t>Consomme énormément d'essence.... Petite chaufferette bien pratique en hiver....</t>
  </si>
  <si>
    <t>Jolie tenue d’intérieur confortable, taille grand Grâce aux commentaires des acheteurs, j’ai commandé une taille au dessus, ce qui est parfait! Tenue d’intérieur confortable, je commande aussitôt dans un autre coloris.</t>
  </si>
  <si>
    <t>très beau produit Superbe lampe qui ravit un enfant. Elle semble de qualité et solide. 3 intensités de lumière pour la lecture et belles couleurs de veilleuse. Arrivée parfaitement emballée dans son carton et rapidement. Malheureusement, après 2 semaines d'utilisation, la prise a chauffé et la lampe a cramé. Belle déception, je renvois le produit. Suite à ce pb, le SAV vendeur a été très réactif, j'ai reçu rapidement un code pour avoir une nouvelle lampe gratuitement. Elle fonctionne parfaitement</t>
  </si>
  <si>
    <t>Bon rapport qualité prix mais pas de même qualité que celles d'origine J'ai acheté ces cartouches afin de remplacer celles d'origines qui étaient vides. Pour ce qui est de la longévité je n'ai pas encore assez de recul pour la juger.  Elles sont correctement reconnues mais la qualité de l'encre n'est pas comme celles d'origine, les couleurs sont moins vives, le résultat n'est pas le même. Bon ! après ce pack de cartouches coûte le prix d'une seule cartouche d'origine. Donc sa reste correcte pour le prix.  L'avantage c'est qu'il contient même le gris qui est assez rare dans les autres packs de substitution. Je suis donc moyennement satisfait de mon achat.  Si mon avis vous a été utile, n'hésitez pas à me le faire savoir en cliquant sur UTILE</t>
  </si>
  <si>
    <t>Très efficace Super adhérence pour fixer n'importe quoi au mur, un cadre de 2-3kg pour ma part. Mais poir le prix j'aurais aimé plus de longueur.</t>
  </si>
  <si>
    <t>CASIO J'ADORE Je recherchais ce produit depuis lontemps ( j'ai ai eu plusieurs , mais soit la bracelet cassait ( j'en ai fait mettre un autre ) , soit la pile était nase . . donc , plutôt que de "faire" réparer ( nouveau bracelet + nouvelle pile ) je m'en suis achetée une neuve : SUPER et j'ADORE</t>
  </si>
  <si>
    <t>Joli soutien-gorge de sport Les soutiens-gorge de sport vont bien et sont belle matière. Je dirais qu'il a un support léger à moyen en fonction de la taille de votre buste. J'achèterais encore.</t>
  </si>
  <si>
    <t>Excellent produit Excellent produit avec un ratio qualité-prix incroyable. Batterie qui dure super longtemps, bruits extérieurs réduits, bonne qualité de son. Je recommande à 100%</t>
  </si>
  <si>
    <t>produit conforme Prix similaire à celui de la grande pharmacie, bonne durabilité.</t>
  </si>
  <si>
    <t>Rapport qualité-prix Emballage très compact, montage facile, éclairage agréable grâce à ses différents modes de luminosité (convient à éclairage normal, lecture au coin du fauteuil...). Montant principal fin mais très design ! Très bon rapport qualité-prix, j'en suis heureux !</t>
  </si>
  <si>
    <t>Semainier de bonne taille 3 ans que je prends le même agenda, ni trop grand ni trop petit. Parfait!</t>
  </si>
  <si>
    <t>J'adore  Amazon Franchement  tooop jador Amazon</t>
  </si>
  <si>
    <t>Génial Legging génial pour faire du sport ou autres activités. Je l'ai mis la première fois pour aller faire de l'accrobranche et j'étais très à l'aise. Je fais du 42, j'ai donc commandé un legging Large et la taille était parfaite. Il y a aussi une petite poche de chaque coté pour pouvoir y mettre son telephone où baladeur. Le legging est juste top ! Je me recommande !!</t>
  </si>
  <si>
    <t>Cartouche authentique Cartouche d'origine HP, donc aucun problème de compatibilité ou même de message d'erreur sur l'imprimante. Je conseil de prendre 2 petite cartouche plutôt que 1 XL, car le prix est quasiment identique. L'avantage est d'avoir un tête d'impression neuve à chaque cartouche, et nous savons tous que l'encre de ces cartouches sèchent rapidement si on les utilisent que occasionnellement, donc avoir 2 petites cartouches à la place d'une seule grosse est vraiment un avantage.</t>
  </si>
  <si>
    <t>ça pique mais c'est chouette Je l'adore ... Je l'utilise pratiquement tous les jours. Je ne sais pas vraiment s'il y a des bienfaits ou non ... Je l'ai depuis plusieurs mois, mais j'aime m'allonger dessus. Dur de s'installer dessus en sous vêtements car ça pique, donc je mets un petits short. Je sens mon pouls battre dans mon dos, dans mon corps, puis une sensation de chaud et de bien-être. Je l'ai fait tester à des amis qui n'ont pas aimé car ça pique beaucoup et n'arrivent pas à rester que quelques secondes. Personnellement, je le pose sur mon lit et je m'allonge dessus 30 min par jour environ. Il me soulage surtout lorsque j'ai la migraine. Les piquants sont très durs, c'est du plastique. Ils me font une marque dans le dos et c'est rouge pendant quelques minutes après. Je n'ai pas essayé encore de le laver. Par contre j'ai des chats, et les poils aiment se coller sur le tissu ^^. Il y a une housse pour le rangement c'est pratique</t>
  </si>
  <si>
    <t>montre C'est presque un outil professionnel qui n'a aucune vocation à être remarqué. Il permet de se repérer dans le temps facilement avec une exactitude correcte. Des verres de dureté différente seraient appréciés pour le même modèle afin de limité les rayures</t>
  </si>
  <si>
    <t>Bon article J'ai acheté tout la collection du niveau 1. Ma fille adore, très facile à lire ! Je recommande.</t>
  </si>
  <si>
    <t>Taille correctement Super, taille parfaitement - Livraison le lendemain, emballage parfait dans boite vans.</t>
  </si>
  <si>
    <t>Pratique Il s abîmé  vite au niveau du fil pas solide à renforcer</t>
  </si>
  <si>
    <t>Décue :( La matière est agréable, la dentelle correspond bien à ce qu’on voit en photo. Par contre ce n’est ni plus ni moins qu’une brassière, les 2 bandes en dentelle à attacher n’ont aucun intérêt à part celui de devoir être attachés et faire perdre du temps. Ce n’est clairement pas une brassière de maintien pour le sport, il me servira tout au plus à tenir plus chaud qu’un soutien gorge en hiver... Les 2 coques sont super visibles sous le tissus, surtout comme j’ai pris la couleur blanche. Taille XXL impeccable pour du 105D par contre. Bref, c’est pas mal sous un t-shirt pour promener les chiens, mais pas plus...</t>
  </si>
  <si>
    <t>Couleur NON durable... en 1 mois à peine ! C'est écrit "couleur durable" pour la version "rose or" : malheureusement faux pour ma montre ! :( Reçue le 21 juin, la couleur rose disparaît déjà. Je travaille sur ordinateur toute la journée. J'imagine que c'est à cause du frottement du bracelet sur le bureau. Pour le reste, tout était conforme à mes attentes, j'étais totalement satisfaite (côté étanchéité, aucune idée car non testée). Vu les autres commentaires satisfaits, j'ignore si c'est un cas isolé... Du coup, je vais tester leur SAV.</t>
  </si>
  <si>
    <t>Pour les parents qui préfèrent les biberons en verre Commentaire d'une amie à qui j'ai offert ces biberons.  Niveau qualité rien à redire le biberon en verre est vraiment plus sympa et on ne retrouve pas de produits dangereux pour bébé, par contre le verre chauffe très vite dans le chauffe biberon donc il faut être plus vigilant.  La tétine est parfaite pour des bébés qui sont allaités ou en mixte, la forme est bien étudiée.  Comme la beaucoup de biberons ceux-ci bénéficient de l'option anti coliques un plus.  Enfin pour le nettoyage c'est le petit point négatif on passe plus de temps que sur des biberons classique qui passent au lave vaisselle.  Globalement un bon produit que je recommande pour les parents qui préfèrent les biberons en verre.  J'ai été plus convaincue par la marque MAM qui est vraiment pratique. les biberons passent aulave-vaisselle et se stérilisent au micro-ondes un méga gain de temps !</t>
  </si>
  <si>
    <t>Taille petit Cet Article Taille petit</t>
  </si>
  <si>
    <t>Trop beau Super jolie</t>
  </si>
  <si>
    <t>Plutôt chaussures de villes que de sport... Le revêtement sur la pointe du pied, à l’aspect cuir retourné et ça marque facilement avec la poussières. Mais j’y suis confortable pour la vie de tous les jours. Pour le sport intensif, la semelle semble un peu fine à mon goût.</t>
  </si>
  <si>
    <t>Très propre A la différence des autres boîtes diseuses qu'il faut bouger pour pouvoir les verser, sur celles ci chacune a une ouverture indépendante c'est pratique et plus hygiénique. A la longue les petits bouts de plastique se cassent mais cela n'est pas gênant.</t>
  </si>
  <si>
    <t>Ce pull est vraiment bien, a une seul exeption Ce pull est vraiment bien, a une seul exception, il est selon moi légèrement trop large en bas, mais au niveau des épaules et des pecs il est bien.</t>
  </si>
  <si>
    <t>C'est parfait Rien à dire, ça joue le role que ça doit jouer du coup pas de problème rien à dire il tient bien sur mon Rhode</t>
  </si>
  <si>
    <t>Parfait Je suis très satisfaite. Je les utilisé depuis plusieurs années, mais la problème était que dans les grandes surfaces ce produit n'est pas toujours disponible.</t>
  </si>
  <si>
    <t>Sweatshirt très jolis mon mari a été très content même qu'il a déjà mit et bien sur lessiver avant de le mettre</t>
  </si>
  <si>
    <t>Bonne qualité Je me suis servis de ce câble pour connecter des LEDs entre elles. Rien à redire, il remplit très bien sa fonction de câble.</t>
  </si>
  <si>
    <t>charme bijoux de beauté quelle féerie quelle brillance Magnifique</t>
  </si>
  <si>
    <t>Cadeaux pour un amis Jolie montre - mon amis fut ravi du cadeau</t>
  </si>
  <si>
    <t>Excellent Excellent</t>
  </si>
  <si>
    <t>Très efficace Fonctionne très bien, facile d'emploi. Je recommande</t>
  </si>
  <si>
    <t>nickel Très pratique, permet de donner des morceaux de fruits frais à bébé et le laisser grignoter en toute sécurité. le filet est très fin, aucun morceau ne passe, considérez cela plus comme un "distributeur de jus à mordiller" que comme un distributeur de morceaux de fruits. Donc super sécure. prévoir un "solide" bavoir par contre ! car bébé en mettra partout, mais le nôtre est réellement ravi !!! ;-)</t>
  </si>
  <si>
    <t>Qualité J'ai hésité à les prendre et finalement pas du tout déçu. La qualité du son est très bonne j'adore écouter ma musique avec. Le tactile est bien pensé, je peux mettre sur pause ou changer tout en continuant mon jogging. On peut aussi recharger sont téléphone avec le boitier en cas de secours. Petit plus le niveau de batterie s'affiche dessus et livrer avec une housse de rangement. Petit , discret et tiens bien a l'oreille.</t>
  </si>
  <si>
    <t>Joli et confortable  ! Leggings de sport , noir , avec des bandes parmes  et blanches . 83 % polyester et 17 % d' élasthanne , donc , très très confortable . Bien coupé , bien fini . sa taille est bien haute , il reste bien en place . Pas bougé ni au lavage , ni au sèche linge . Une petite poche pour les clés ou le tel . pour n 'importe quel sport . Adopté !</t>
  </si>
  <si>
    <t>qualité j'utilise les chaussons tous les jours, ils sont à la bonne taille et chauds. Je recommande</t>
  </si>
  <si>
    <t>Montre idéale ! Heure d'Eté ou d'Hiver automatique. Génial ! Pas besoin de remonter, pas besoin de pile car montre Solaire. Génial ! Esthétique avec lecture digitale ou analogique. Quoi de plus, franchement ? Je recommande vivement, et livraison rapide, en +.</t>
  </si>
  <si>
    <t>Beau produit Conception robuste comparé à mon ancienne "sans marque" un peu plus cher mais la qualité à un prix. La Base peut stocker le surplus du cordon d'alimentation ce qui évite que cela traine sur le plan de travail.  Bref je conseille cette bouilloire électrique sans soucis.</t>
  </si>
  <si>
    <t>diffuseur au top Le design du diffuseur de parfum Aroma d'Infinitoo est basé sur le look d'une dune de sable et ressemble à du bois sombre. Visuellement, il a l'air vraiment bien.  La mise en service est très facile. Connectez le diffuseur à la puissance, avec max. Remplissez 500 ml d’eau, ajoutez de l’arôme ou de l’huile de parfum au besoin, puis allumez.  Le diffuseur peut être utilisé pour une durée limitée ou en fonctionnement continu. Le commutateur correspondant est situé sur l'appareil. De même, vous pouvez choisir le diffuseur si vous souhaitez activer la lumière ambiante. Cela brille très agréablement en alternance dans 7 couleurs différentes ou vous recherchez une couleur permanente.  La vapeur sort en permanence d'une ouverture au sommet du diffuseur. Il est plaisant que le diffuseur soit vraiment très silencieux et que vous puissiez facilement l’utiliser dans la chambre à coucher.</t>
  </si>
  <si>
    <t>joli à l'extérieur, trop fragile à l'intérieur joli modèle , belle toile, bonne coupe, mais très déçue de la fragilité de la doublure intérieure au talon. Chaussures achetées  pour porter avec des tenues habillées. Très peu mises afin de les garder bien blanches et parfaites. Dès la 6 ou 8ème fois que je les ai mises, la doublure intérieure, talon droit, a laissé place à un gros trou. Depuis mon talon rape contre la toile plastifiée ...... BOF, TRES BOF !  déçue du produit et sceptique sur cette marque que je positionnais comme étant de bonne qualité.</t>
  </si>
  <si>
    <t>Vive internet j'aurais mieux fait d'aller en Chine à pied. Je ne peux pas mettre mieux étant donné que je n'ai rien reçu, super pour un anniversaire... Et après il demande une note ?</t>
  </si>
  <si>
    <t>La qualité Bonjour?  Jai recu la bouillard aujourd hui je viens  de la testé elle fuit!!!</t>
  </si>
  <si>
    <t>Jogging Très bond pour le joggings</t>
  </si>
  <si>
    <t>Conforme à la description Très jolie</t>
  </si>
  <si>
    <t>Pas de cuir C pas du cuir</t>
  </si>
  <si>
    <t>Bon achat conforme à la description Casque acheté pour jouer à la ps4? Contente de mon achat Pour la longévité je ne peux pas répondre car c’est un achat récent</t>
  </si>
  <si>
    <t>belle et douce lampe lampe acheté pour mon fils de 7 ans. il est ravi. de nombreuses possibilités en jouant sur le temps, la luminosité, le choix du son. Pas facile à comprendre dans un premier temps et nécessite un petit rodage pour comprendre comment modifier les paramètres. petit point négatif. le lever et coucher du soleil s'effectue par des changements de la luminosité et couleur à un moment donné selon les réglage et non une graduation douce. Un bon produit dans l'ensemble, je recommande</t>
  </si>
  <si>
    <t>top super pour le prix</t>
  </si>
  <si>
    <t>Conforme à la description Parfait très confortable</t>
  </si>
  <si>
    <t>un remarquable confort une semelle intérieure qui prend de suite la forme du pied lors de longues marches aucune contracture du mollet pas de douleur du tendon d'achjle quelque soit la déformation du sol le pied reste parfaitement tenu chaussure un peu chaude par très beau temps</t>
  </si>
  <si>
    <t>Super produit Très bon produit qualitatif le rendu est propre je regrette simplement la longueur du câble, qui relié à la manette est plutôt conséquent, et également le port USB juste à côté de la prise jack. Au delà de ça forcer de constater que la qualité est bonne avec un bon rendu des grave et aucune saturation des aigue. Il est également confortable bien qu'après une grosse session (3h) les oreilles ont juste chaud mais pas de douleur. Bref comme vue dans un article la qualité prix de ce casque est excellent.</t>
  </si>
  <si>
    <t>Confort Ces chaussettes sont très confortables. Il n'y pas de sensations de chaud et encore moins de froid. Elles sont douces.</t>
  </si>
  <si>
    <t>Merci Les ménages</t>
  </si>
  <si>
    <t>Bien Au top</t>
  </si>
  <si>
    <t>calculatrice pour le lycée Un des prix les plus bas. Calculatrice conseillée par le prof de math de ma fille de 2nde. Livraison rapide. Jusqu'au 30/09/18, il y a 10 euros de rembourser sur preuve d'achat. Amazon vous fourni de toute façon une facture d'office. Les ados n'étant pas précautionneux avec leur sac j'ai opté pour y ajouter une coque rigide un peu comme les portables ;)</t>
  </si>
  <si>
    <t>Très bon produit Je l’ai acheté pour ma maman et elle a complètement adhéré! Elle utilise le coussin le soir et s’endort même dessus! Très bon rapport qualité/prix</t>
  </si>
  <si>
    <t>NIKE AIR aucune galère !!!!! Design,confort et simplicité,je n'en demande pas plus pour une paire de chaussure qui à toujours su me montrer l'image que reflète la marque à mes yeux !</t>
  </si>
  <si>
    <t>Recommande Achèter pour premier bébé et juste très contente je recommande !</t>
  </si>
  <si>
    <t>parfait ! j'ai commandé 1 paire pour chacun de mes enfants et ils en semblent tres satisfait ! les couleurs et la forme correspondent à l'image du site ! Reçu en temps convenu.</t>
  </si>
  <si>
    <t>Bon produit ! Article de bonne qualite!  Le son est fluide et les oreillettes sont tres confortable !! Le systeme pr recharger est top et rapide !! Je suis ravie</t>
  </si>
  <si>
    <t>Cute ! Ma compagne a littéralement craqué sur ce superbe bijou fantaisie ! Il est livré dans un bel écrin bleu ciel qui change de ce qui peut se faire d'habitude et accompagné d'un petit chiffon microfibre de la même couleur.  Il dispose d'une chaine fine et réglable avec un maillon on ne peut plus classique. Il représente un Koala orné de nombreux cristaux brillants qui, je vous rassure est bien réussi. Il prend dans ses bras un superbe coeur bleu lui aussi avec de belles finitions.  Il s'agit bien évidemment d'un bijou fantaisie et non d'un bijou de luxe, soyez donc vigilant avec son utilisation (eau par exemple), au-delà de ça, pour son bon rapport qualité / prix et surtout pour son design inhabituel, je vous le recommande.  ■ Si vous avez trouvé mon commentaire utile, n'hésitez pas à cliquer sur OUI juste en dessous, ça fait toujours plaisir, merci ! :) ■</t>
  </si>
  <si>
    <t>Excellent Ben adapté produit conforme aux photos agréable à porter confortable seul petit bémol j'avais l'impression qu'un pied été plus grand que l'autre mais maintenant je trouve que ça va mieux un peu bizarre</t>
  </si>
  <si>
    <t>Casque de qualité Je viens de recevoir le casque ! Je me suis empressée de l’essayer ! Je suis vraiment très contente du casque ! Super son, on entend très bien. La couleur est très jolie. Il est léger et fonctionnel! De qualité! Je recommande !</t>
  </si>
  <si>
    <t>bof compliqué pour un enfant de  8  ans pour un adulte mon fils de 21 ans est le seul a comprendre les blagues je ne le recommande pas pour les 7 8 ans</t>
  </si>
  <si>
    <t>un mois et plus rien!! Voila trois semaines que nous avons reçu ce produit et l'éponge du bout s'est complètement explosée. il ne reste que les poils!! le petit embout pour les tétines reste cependant utile mais nous devons acheter un nouveau goupillon!! JE DECONSEILLE FORTEMENT.</t>
  </si>
  <si>
    <t>Déçu attention à la taille Bonjour produit de bonne qualité mais la taille ne correspond absolument absolument pas j’ai Commander un M qui doit faire un xl ou double xl vraiment déçu de cette achat prenez au loin de taille en dessous ...</t>
  </si>
  <si>
    <t>Yes Je suis heureuse de cette achat, mais trop tôt pour utilisation, donc reviendrai vers vous prochainement pour vous donner plus de renseignement.</t>
  </si>
  <si>
    <t>Bouilloire Bonne bouilloire</t>
  </si>
  <si>
    <t>douces devînrent ces rêves Elle fut ravie, délai de livraison nickel... MERCI!</t>
  </si>
  <si>
    <t>Nickel pour des impressions de "bureau" Soyons direct : nous ne l'utilisons pas pour des tirages photos. Juste pour du tout venant en mode familial : photocopies couleurs, impressions de documents noirs et couleurs... Ces cartouches compatibles sont amplement suffisantes pour notre usage et ne semble, pour l'heure, pas boucher les buses de notre imprimante Canon.</t>
  </si>
  <si>
    <t>Bon produit mon fils est ravi Pour le loisir plage. Très confortable mais quand il fait chaud on transpire beaucoup.</t>
  </si>
  <si>
    <t>Magnifique et ajustable Très joli produit, s'ajuste au poignet grâce à au fil élastique, petit ❤️ bien proportionné aux perles.  Un pochon en velours est même offert avec.  Je recommande</t>
  </si>
  <si>
    <t>Content Parfait, ça m'évite se chauffer toute la piece quand il fait froid et que je suis immobile devant mon pc avec les radiateur à l'autre bout de la pièce, Parcontre c'est horriblement chiant à nettoyer</t>
  </si>
  <si>
    <t>Bien Design conforme à nos attentes, livraison rapide, belle teinte de bleu à l’allumage Le couvercle n’est pas amovible un peu difficile à nettoyer, mais pas impossible tout de même! Le niveau sonore pourrait être amélioré.</t>
  </si>
  <si>
    <t>Très sympa Très belle découverte, mon fils de 5 ans à adoré ce livre plein d'humour et avec de jolis dessins. Du coup nous allons continuer la collection...</t>
  </si>
  <si>
    <t>parfait article conforme à la description. La taille à prendre est la taille habituelle. De bonne facture, à voir à l'usure mais rien à redire pour le moment.</t>
  </si>
  <si>
    <t>Bon produit Tres confortable</t>
  </si>
  <si>
    <t>Ras Conforme à la description.</t>
  </si>
  <si>
    <t>Parfait Article conforme à la description Matière très agréable Livraison rapide</t>
  </si>
  <si>
    <t>Couleur et velours tout se qui fait la mode cet hiver Pour le week end ou aller en salle de sport il est parfait.</t>
  </si>
  <si>
    <t>Les enregistrements sont de qualité! Je l'utilise en général pour retenir du vocabulaire ou enregistrer cours.La qualité du son est au top.l'appareil enregistre très bien tout type de moment que cela soit un concert ou une réunion. Une seule remarque quz je pourrai faire, c'est quand une grande foule chante en même temps, selon l'intensité ça peux être bruyant.</t>
  </si>
  <si>
    <t>Très utile en cas de colopathie fonctionnelle Etant atteint de ce problème depuis enfant, les seuls et uniques produits présentant un intérêt, sont l'argile verte, le charbon actif et les pro biotiques. L'évitement de certains aliments et les médicaments proposés par les laboratoires pharmaceutiques et les médecins ne sont d'aucune utilité. Tous ces produits, sont à prendre en cure de 2 à 4 semaines aussi souvent que nécessaire. Au bout de quelques temps, les symptômes diminues et les crises réapparaissent moins fréquemment, mais ne disparaissent pas totalement. Mais au moins, ces produits naturelles sans danger aident en attendant que la médecine trouve une ou des solutions à cette très désagréable maladie qui ne tue personne mais qui peut rendre la vie en société quasi inexistante dans les cas extrêmes.</t>
  </si>
  <si>
    <t>Nickel Nickel ma beaucoup aidé pour avoir des ports supplémentaires moi qui voulais rajouter 3 ventilos supplémentaire Be Quiet 120 mm</t>
  </si>
  <si>
    <t>Excellent produit Le cuir est très correct pour du made in china, le produit est bien agencé, la couleur est parfaite. A voir avec le temps, mais globalement je recommande ce produit.</t>
  </si>
  <si>
    <t>Belles doc martens !! Parfait, rien à dire.... Très content du produit....</t>
  </si>
  <si>
    <t>confortable sac parfait pour y loger un étui à lunette, un porte-monnaie un smartphone et 2 ou 3 papiers. la bandoulière est large et solide. petit moins si on veut chipoter, la pochette à rabat est peu accessible, elle est à réserver à des objets plats qu'on ne doit sortir que rarement, badge ou clef de voiture sans contact.</t>
  </si>
  <si>
    <t>Problème avec les tétines ! Assez déçue par cette marque pourtant reconnue. Comme l'autre commentaire, mon bébé prend toute la tétine dans sa bouche ce qui m'oblige à retenir le biberon en tirant un peu dessus ! (bébé de 7 mois, tétine débit 2) Franchement pas pratique ! De plus la tétine s'écrase complètement, l'air ne circule pas ce qui m'obligeait à retirer complètement le biberon de la bouche de mon bébé pour que l'appel d'air se refasse... Ça a fini sur un site de revente d'occasion !</t>
  </si>
  <si>
    <t>Bruit Fais trop de bruit on l'entend de très loin. Sinon le bracelet au bout de quelques jours il commençais à avoir des traces je me demande si c'est du vrai cuire</t>
  </si>
  <si>
    <t>Sympa Pas trés costaud a voir dans le temps. je ne conseille pas l'achat.</t>
  </si>
  <si>
    <t>. Chaud  mais  les coutures  ce craque  vite!!!!</t>
  </si>
  <si>
    <t>Taille grand Superbes baskets ! Mais elles ont  Tendance à faire des grands pieds  ... elles tailles grand</t>
  </si>
  <si>
    <t>Agenda semainier. très bien, je vais en recommander pour l'année 2019. Je peux tout noter...mais pas le mettre dans mon sac à main!!!trop grand.Mais c'était mon choix.</t>
  </si>
  <si>
    <t>Nickel Lot de chaussettes de sport "Dim" de bonne taille conforme et de bonne qualité.</t>
  </si>
  <si>
    <t>Tiens le frais longtemps J en commande tous les ans.. utilisation pour des migraines.. je les trouve plus fin que d habitude.. j espère tiendra dans le temps...</t>
  </si>
  <si>
    <t>Agréable chaussure Chaussure très souple et agréable,  taille exacte mais prend facilement l'eau en cas de pluie.</t>
  </si>
  <si>
    <t>J'adore ! Casque léger, sans fils avec une bonne autonomie. Le câble de recharge est assez long, et la qualité de son est sublime ! Les vibrations de casque sont très bien, ainsi que le logiciel pour activer et désactiver, modifier le son. Bon éclairage sur les côtés, petit bémol c'est que le son du microphone aurait pu être mieux pour ce prix, conclusion : Très bon casque.</t>
  </si>
  <si>
    <t>montre gousset très belle montre gousset vraiment pas chère et de bonnes qualités</t>
  </si>
  <si>
    <t>Excellent ! Après avoir testé le modèle trekz durant qlq semaines et l avoir renvoyé pour cause d inconfort, c est ce modèle depuis 2mois Et sa seule limite est son autonomie Je suis fan de ce casque Vraiment En voiture, en vélo, à pied ou simplement chez moi, je porte parfois le casque 8hr d affilée. Pas de gêne causée par les vibrations (raison du renvoi du trekz), oreillette parfaite en voiture, je pense que c est compatible avec la législation française vu que les 2 oreilles restent libres. J ai ainsi un bon autoradio en voiture et à pied. En vélo c est parfois plus compliqué avec le vent mais je préfère ne pas entendre parfois la musique 3 minutes qu'être coupé de l extérieur. La suppression des bruits est correct, mon interlocuteur ignore souvent que je suis en déplacement. L assistant google a un peu plus de mal mais rien de rédhibitoire. Je pensais ne mettre que 4 étoiles pour l exercice physique car avec casque vélo et lunettes, le casque audio bouge parfois mais cela serait vmt mépriser les qualités du produit. De l argent bien investi, testé même dans la douche. Le constructeur devrait mieux communiquer sur le contenu du packaging J ai reçu une pochette ventrale fort pratique et quasi étanche et surtout 2 câbles de recharge.  Je ne crains donc pas de me retrouver sans câble.</t>
  </si>
  <si>
    <t>Baskets au top Chaussure magnifique très confortable identique a l'image encore plus jolies en réalités, les chaussures taille normale prendre sa pointure habituel reçue en 3 jours une paires de lacets noires offertes je recommande ce vendeur sans hésitations</t>
  </si>
  <si>
    <t>Super! Super chaussures tout est comme prévu et parfait,  mais il a fallu courrir dans tous les sens pour les récupérer..</t>
  </si>
  <si>
    <t>UNE TRÈS BONNE BONNETTE Je rechercher une bonnette pour mon micro Eagletone UM30 depuis un certain temps je suis parti sur cette bonnette et j'en suis vraiment très content elle s'adapte parfaitement mon micro. Rien à redire, à ce prix là pourquoi ce priver</t>
  </si>
  <si>
    <t>bon rapport qualite prix bon produit, rapport qualite/ prix excellent . beau design, achete pour mon ado de 14 ans , le casque ne prend pas de place dans le sac a dos. je ne regrette pas mon achat . je recommande sans hesiter.</t>
  </si>
  <si>
    <t>Réveil avec lumière J'en avait acheté un qui ressemble mais un poil plus grand pour mon fils la semaine dernière mais ma fille de 3ans était jalouse du coup j'ai pris celui ci. Il est top et il y a beaucoup de fonctions : Réveil avec différents bruits, Radio FM, réveil avec lumière</t>
  </si>
  <si>
    <t>Confortable pull Très confortable et très bien dessiné jadore</t>
  </si>
  <si>
    <t>C'est miraculeux ! Après avoir lu des centaines de commentaires positifs, je me suis décidé à en acheter un. Je l'utilise 30 minutes par jour à la force 70. Mes douleurs aux genoux qui irradiaient tout le long du péroné et du fémur et qui m'empêchaient de dormir ont disparu en quelques jours. Je remarche vite et sans boiter. C'est miraculeux !</t>
  </si>
  <si>
    <t>Livraison rapide Livraison rapide Produit conforme Tres satisfaite</t>
  </si>
  <si>
    <t>Pratique et adaptables S'adaptent aux tires-lait Medela et à la tétine Calma. Solides, faciles à nettoyer. Pas de souci pour le lave-vaisselle et la stérilisation.</t>
  </si>
  <si>
    <t>Lingettes désinfectantes Achetées dans le programme' économisez en s'abonnant ' cela permet un lot de lingettes à bon rapport qualité-prix elles sont épaisses - sentent bon! et ppermettent des petits nettoyages ponctuels des toilettes notamment.</t>
  </si>
  <si>
    <t>Parfait Je suis très satisfaite, elle fait très bien son job ! Je fais beaucoup de créations et elle m'est donc très utile. Simple d'utilisation, tout est parfait pour moi !</t>
  </si>
  <si>
    <t>Fuite d'eau Après 10 mois d'utilisation quotidienne, la bouilloire fuit au niveau de la fenêtre :(</t>
  </si>
  <si>
    <t>Pas suffisamment durable Après 2 mois d'une utilisation normale et très satisfaisante, le chauffe-biberon ne fonctionne plus. Nous ne recommandonc pas ce produit.</t>
  </si>
  <si>
    <t>defectueux très déçu de l'achat pas en français et de plus se décharge rapidement ne tient pas plus de 20mn.Madame Rezolier</t>
  </si>
  <si>
    <t>Bien mais.. Utilisés dans une maison inhabitée, ils sont saturés en 1 semaine. Je dirais donc qu'ils sont efficaces en condition plus normale.</t>
  </si>
  <si>
    <t>collier Joli collier sans plus il fait quand même pas mal toc se qui est dommage. J'ai été surprise par sa légèreté. Les petites breloques du milieu n'est pas centré ça m'a perturbé, du coup, je me suis débrouillée pour la déplacer en rajoutant un anneau pour le recentrer. Ah et aussi il n'est pas aussi long que sur la photo. Ou alors la fille est très petite ou c'est moi qui est trop grande :p</t>
  </si>
  <si>
    <t>Bon produit, excellent SAV Rapport qualité/prix très bon. Le son est très bon pour cette gamme de prix. Le casque serre un peu la tête, ce qui fait un peu mal aux oreilles au bout d'un moment, mais sinon il est plutôt agréable à porter. J'ai trouvé le bouton d'activation fragile : le mien s'était cassé au bout d'un mois, mais le vendeur m'a rapidement contacté pour remplacer le produit défectueux. Excellente démarche de la part du service clients.</t>
  </si>
  <si>
    <t>Papier d'Arménie Produit déjà connu et utilisé régulièrement pour enlever les odeurs notamment dans les wc, que je ne trouve plus en magasin.</t>
  </si>
  <si>
    <t>Plutôt cool Je les ai depuis 2 jours donc je ne peux rien dire sur l'autonomie.  Niveau son, ça va... les basses ne sont pas corrects...domage. mais pour le prix, on a de bons ecouteurs avec un bon confort et du style. Et en plus, le support de chargement recharge ton portable. Je les recommande</t>
  </si>
  <si>
    <t>6 paires J’ai reçu 6 paires de chaussettes je n’avais pas vu je pensais qu’il y avait 3 paires mais dans la description du produit 6 paires sinon bonne qualité</t>
  </si>
  <si>
    <t>Super cadeau de naissance Coffret naissance comprenant 4 biberons, un goupillon et une tétine.  Il y a deux biberons de 125ml pour nouveaux nés avec tétines à débits lents et deux biberons verts de 260ml pour les laits premiers âges avec tétines à débit moyen.  Le goupillon est bien pratique et permet de laver les biberons et les tétines en enlevant les résidus de lait.  C'est un coffret vraiment sympa et très utile pour bien démarrer avec un nouveau né, le prix est raisonnable. Cela peut faire un cadeau de naissance pour une petite fille ou un petit garçon car les couleurs sont neutres.  Je suis très satisfaite et recommande.</t>
  </si>
  <si>
    <t>👍 Professionnel opérateur logistic</t>
  </si>
  <si>
    <t>piles bouton J'ai commandé ces piles pour des jouets de Noël et des petites bougies imitations bougies. Ces piles fonctionnent parfaitement et au prix indiqué c'est vraiment top. Je vous recommande ces piles et je donne 5 étoiles</t>
  </si>
  <si>
    <t>Basket de securite avec bout acier J ai commander les baskets noires en 37 pour le travail.taille impecable .je n ai aucune douleur avec je les porte 8heures.avec la chaleur d hier je n ai meme pas suer des pieds.elle ne sont pas lourde .pour l instant je suis contente.livraison rapide.je travail en grande surface .et je suis a l aise.je les recommande.</t>
  </si>
  <si>
    <t>Tennis Très bien, paire envoyée rapidement et dans une pochette bien pratique.. Mon dils adore et s’est enfin décidé à nouer seul ses lacets :-)</t>
  </si>
  <si>
    <t>Cartouches pour EPSON 325 XP Cartouches achetées pour une Epson 325 XP. Compatibles, Faciles à installer et très bonne qualité d’impression. 👍 parfait.</t>
  </si>
  <si>
    <t>Autonomie phénoménale Bien content de ce casque. Dommage qu'il n'y ait pas un système qui coupe le réducteur de bruit automatiquement car si on oublie de remettre le switch en position off lorsqu'on pose le casque il reste actif et vide la batterie. Heureusement comme la réduction de bruit, certes efficace dans les basses, est très moyenne en médium-aigu, je ne m'en sers pas. En utilisation normale l'autonomie est complètement impressionnante !</t>
  </si>
  <si>
    <t>Plug&amp;amp;play, ergonomique avec des fonctionnalités pratiques Reconnaissance par l'ordinateur immédiatement. On peut faire défiler les diapos, revenir en arrière, lancer le mode présentation ou afficher une page blanche. Le laser marche bien. Il faut prévoir 2 piles AAA.</t>
  </si>
  <si>
    <t>Grand QUO VADIS Bonjour ,  Toujours le même régal pour ma femme qui l'utise de manière pro.....toujours la même qualité de service pour s'épargner l'informatique , et recyclable au bout de quelques années......    Merci et BONNE ANNEE</t>
  </si>
  <si>
    <t>sweat shirt tres bon achat pour moi car simple et c est ce que j aime  en plus  couleur uni c parfait  je vais d ailleur en recommander</t>
  </si>
  <si>
    <t>A recommander J ai acheté ce produit pour ma femme qui en est très contente, elle s en sert pour le sport, les écouteurs tiennent très bien. Boite qui permet le chargement automatique et qui affiche le niveau de batterie ce qui permet d eviter de tomber à court de batterie.de plus, il est possible de charger son téléphone avec le boitier des écouteurs cr qui est très pratique.tres bon rapport qualité prix</t>
  </si>
  <si>
    <t>C'est qu'il va sur les montres connecté Samsung Cette bracelet est au top pour les montres Samsung s2 et s3 GRAND MERCI</t>
  </si>
  <si>
    <t>Impeccable Au top</t>
  </si>
  <si>
    <t>Super montre connectée J'adore, il s'agit de ma 2ieme montre connectée, très content, facile d'utilisation.</t>
  </si>
  <si>
    <t>👏 👏</t>
  </si>
  <si>
    <t>Bof Chaussures un peu trop petites elles me font donc mal aux pieds. Elles se sont abîmées très facilement aussi, notamment au niveau de la semelle</t>
  </si>
  <si>
    <t>non pour me chausser</t>
  </si>
  <si>
    <t>somthron trop fin se produit est trop fin pour moi je n'ai pas vu le coton dans ce produit  ce produit resemble a une feuille de cigarette</t>
  </si>
  <si>
    <t>Ecouteurs garantis? Bonjour je voulais savoir si les écouteurs étaient garantis  car souvent le son se coupe et pour écouter de la musique ce n est pas super.</t>
  </si>
  <si>
    <t>Pour les fans Le sweet est destiné à ma fille qui est fan du groupe. Pour moi, je le trouve un peu cher, mais à ce niveau, on ne peut plus juger... En terme de qualité du produit je le trouve à mon sens moyen, sans plus.</t>
  </si>
  <si>
    <t>Chauffe matelas Beurer Article ,correspond tout à fait à mes attentes (taille et qualité) A noter EXCELLENT SERVICE APRÈS VENTE D’Amazon et Électricité corner Je recommande</t>
  </si>
  <si>
    <t>Vintage is back Mieux que sur les photos, le bracelet parait fragile, pour le prix c'est bien pour une montre à 30€, livraison parfaite</t>
  </si>
  <si>
    <t>Confirme à mes attentes Chaussure légère et souple , plutôt pour un usage automne hiver car tient chaud , bon rapport qualité prix pour un usage uniquement marche et conduite</t>
  </si>
  <si>
    <t>A essayer. Filtre en fait l'enregistrement. Pas mal.</t>
  </si>
  <si>
    <t>inutilisable Commande arrivée avec rapidité. Sans problème, impression nickelle, reconnue de suite par mon imprimante qui est neuve. La deuxième fois que mes cartouches ont été à changer, je ne suis pas arrivée à remettre mon imprimante en route, j'ai dû racheter des cartouches d'origines, lorsqu'elles ont été vides j'ai a nouveau essayé les gohepi, même problème et voilà j'ai repris un pacte de cartouche d'origine mon imprimante est l'epson 255. Vu que je m'occupe d'une association nous imprimons beaucoup j'ai donc racheté une imprimante vieux modèle pour l'instant ça à l'air de fonctionner mais mes cartouches ne sont pas les mêmes ce sont des 16 j'ai donc dépensé beaucoup d'argent pour rien</t>
  </si>
  <si>
    <t>Boucle d oreille Je les ai acheté pour ma fille de 9ans, mais je les met aussi . Elles sont super jolies aussi bien pour un enfant que pour un adulte.</t>
  </si>
  <si>
    <t>excellent excellent produit comme toujours chez north face</t>
  </si>
  <si>
    <t>Lampe simulateur d'aube et de crepuscule J'avais acheté cette lampe pour moi à l'époque qui m'a énormément aidé les matins pour me reveiller en forme ou m'aider à mieux m'endormir . Tout est super réglable au niveau de ce avec quoi on veut se reveiller et le volume du son souhaité et simple d'utilisation.  J'avais acheté des lampes dans le même genre par la suite pour mes enfants qui malgré des commentaires positifs n'ont absolument jamais fonctionné sur leur réveil ni coucher.  J'ai décidé d'investir pour 2 nouvelles lampes pour chacun d'eux et depuis les réveils sont ultra simples, surtout pour mon grand qui avait beaucoup de mal à se reveiller et souvent de mauvaise humeur (9 ans). Depuis, c'est le premier levé et préparé, et de bonne humeur :) bref, un bonheur, je recommande +++</t>
  </si>
  <si>
    <t>Converse Article très satisfaisant, conforme à mon attente.  J'ai suivi les avis des clients en commandant une pointure de moins que ma taille et c 'est parfait !</t>
  </si>
  <si>
    <t>Très bien Rien à dire, la chaussure est parfaite. On peut la mettre à n'importe quelle occasion, pour de la randonnée ou juste à la ville, elle se porte avec tout.</t>
  </si>
  <si>
    <t>Bon produit Très bonne qualité et taille très bien. A porté avec un pantalon en pull long. Ou bien en robe avec un collant. Au top. Laver et passer au sèche linge ne bouge pas. Je recommande</t>
  </si>
  <si>
    <t>Pour le sport ou la ville tres beau joggings Belle qualité tissus très doux et souple aussi bien pour le sport  qu avec une tunique longue Apres essayage ce joggings est très convainquant</t>
  </si>
  <si>
    <t>Chaussure sécurité Super bien dedans</t>
  </si>
  <si>
    <t>Très bonne qualité Je m en sers pour alimenter des bandes de leds. C'est parfait. Très bonne qualité.</t>
  </si>
  <si>
    <t>On dirait des pantoufles!! Excellent produit. Comme des pantoufles!!! Attention prendre 1/2 pointure en Dessous</t>
  </si>
  <si>
    <t>Patch baume du tigre efficace contre les courbatures Patch baume du tigre parfait pour les douleurs musculaires. Cela colle bien sur la peau et chauffe suffisamment pour atténuer rapidement les courbatures.</t>
  </si>
  <si>
    <t>Très satisfaite Un produit de très bonne qualité très facile à utiliser  et l'arrondisseur d'angle très  utile pour que les petites ne se blesse pas avec les documents</t>
  </si>
  <si>
    <t>Essais concluants J'ai fait des essais sur un tissu très, très fin sur lequel je n'arrivais à rien avec une autre paire bien plus ancienne. Et là, coupe très nette, les ciseaux n'accrochent pas le tissu avec une très bonne prise en main, ce qui est un plus. Je n'ai pas encore essayé sur un tissu plus épais mais je pense que si on y arrive avec une cotonnade très fine, il ne devrait pas y avoir de problème. Enfin, les ciseaux sont arrivés le jour de livraison indiqué. Pour le moment, que du bonheur!</t>
  </si>
  <si>
    <t>Basique mais fait ce qu'on lui demande Si vous cherchez une paire d'écouteurs bluetooth pas chers, pour une utilisation occasionnelle c'est parfait. Je les ai acheté pour écouter de la musique à faible volume au bureau, de manière discrète.  Leur petite taille fait qu'ils passent inaperçus cheveux lâchés. Le son est correct, pas extraordinaire mais correct. Manque un peu de profondeur. Un peu de grésillement quand ils sont connectés et que rien n'est joué.  Confort ok, ils ne tombent pas du tout et se font oublier. Côté réduction du bruit c'est pas mal, ça me dérange beaucoup personnellement car du coup j'entends très fort les battements de mon cœur mais je ne m'en sers pas du tout en tant que bouchons donc bien :)  Pour le prix c'est très correct. Ceux à 50, 60 ou 120€ sont forcément surement mieux, mais on en a là pour son argent.</t>
  </si>
  <si>
    <t>Je regrette mon achat! Je connaissais déjà le principe et l'avais déjà testé. Mais là grosse déception... Après l'avoir chauffée, la bouillote ressort trempée! Donc vraiment pas terrible... L'humidité est très inconfortable.. Certe le prix était plus attractif que chez la concurrence mais du coup ça reste très cher pour un produit inutilisable! Bref passez votre chemin...</t>
  </si>
  <si>
    <t>Arnaque et abus Basket taille 35 alors que j avais commandé du 39 et elles sont arrivées noir je les avait commander rouge, honteux, c est de l arnaque..</t>
  </si>
  <si>
    <t>arrive casser très déçu</t>
  </si>
  <si>
    <t>Qualité moyen moins... Au début un peu difficile de les mettre en place ds l imprimante qui ne les reconnaît pas. obliger de forcer la mise en place.  L'encre est de qualité moyen moins. Les couleurs ne sont  pas aussi vive que la marque de l imprimante. Mais suffisant pour le bricolage et les dessins enfants. Pour le boulot je recommande de prendre meilleure qualité.</t>
  </si>
  <si>
    <t>trés bien très bien</t>
  </si>
  <si>
    <t>Bon casque Le son est plutôt bon mais il faut mettre le volume plus fort pour entendre. Je trouve qu'il fait mal aux oreilles au bout d'un certain temps d'écoute. Il n'isole pas beaucoup des bruits extérieurs, enfin ça dépend certainement du type d'environnement. Je le trouve quand même bien rapport qualité/prix. Livré rapidement.</t>
  </si>
  <si>
    <t>Trousse Eastpack noire Super trousse , juste un petit b-mol c’est qu’il manque la place pour environ 7 à 8 stylos . Ceci est dû au modèle qui n’est pas arrondi sur les côtes, sinon solidité et super fermeture , fidèle à la Marque Eastpack . Le prix est justifié. Rien a dire .</t>
  </si>
  <si>
    <t>Quelques petits défauts pas trop grave..... Reçu gratuitement pour être testé.... Je suis habitué à mettre des chaussons style "charentaises" depuis des années en période hivernale, donc j'ai testé ces pantoufles. Reçu dans un sac plastique avec les semelles légèrement déformées, d'une apparence pailletée un peu bizarre dans un premier temps....mais on oubli vite . La mise du pied dedans au premier abord est pas terrible car le pied a du mal à aller au fond, faut bien tirer, ça donne une impression d’étouffement du pied avec une pression gênante....qui disparaît après quelques heures. Pour l'aspect, les chaussons font large à mon gout par contre bien moelleux dedans et dessous. La semelle n'est pas trop épaisse, on sent rapidement si on marche sur un caillou ou même genre, mais elles sont bien antidérapante. Sur l’arrière de la pantoufle, il y a un petit rebord joli visuellement mais qui ne sert pas a grand chose, un rebord un peu plus haut ça aurait était beaucoup mieux. Pour ce qui est de la taille, je fais du 44/45 suivant les marques, j'ai pris la même taille disponible (44/45) et je trouve que c'est limite. Donc un produit testé gratuitement en 42/43 pour mon fils, j'ai commandé également une autre paire en 44/45 (payante) pour moi même. Les défauts à mon gout sur ce produit sont: - coté paillette....pas terrible mais différente version disponible - taille disponible uniquement par union de deux tailles - taille juste mais saut de deux taille si changement...... Pour le prix, ça reste dans la fourchette haute pour des pantoufles. A voir le temps que la semelle va durer avant de se déchirer en deux ou autres problèmes.</t>
  </si>
  <si>
    <t>Gégnal J'ai enfin franchi le pas… super expérience pour mon 1er écouteur sans fil. j'aime son  design … super qualité.  j'en suis ravie.  Merci Beaucoup.</t>
  </si>
  <si>
    <t>Appareil au fonctionnement satisfaisant pour le moment Casque acheté à la mi-février 2019 et testé depuis 3 semaines. Le fonctionnement est pour le moment satisfaisant (qualité du son, réduction du bruit). Fiabilité et qualité des batteries à voir avec le temps (je modifierai peut être l'évaluation présente). Possibilité de connexion filaire (j'ai acheté en parallèle un fil de 5 m pour une connexion à un téléviseur).</t>
  </si>
  <si>
    <t>EXCELLENT RAPPORT QUALITE PRIX je l'avais achetée sans conviction car c'était pour remplacer ma superbe DENON DL 103  que j'ai cassé  mais qui est devenue hors de prix(près de 300€) et là je suis bluffé  pour ce prix là une cellule à bobines mobiles  avec en plus un niveau de sortie suffisant  pour me permettre de supprimer le  pré  préampli  c'est dingue  et le son est excellent  surtout avec mes gravures directes japonaises et américaines  manque peut-être un tout petit peu de pêche par exemple les coups de talon dans "flamenco fever"  ou dans Oscar Peterson "we get request" les graves un peu moins pêchus par rapport à la DL103  mais en attendant que je gagne au loto c'est excellent quand même et pour 10 fois moins cher</t>
  </si>
  <si>
    <t>Merci ! Tout simplement merci pour la conception de ce coussin qui soulage grandement mon dos et ma nuque ! Je n'étais pas vraiment sûr du format à choisir et est opté pour ce modèle parce qu'il avait l'avantage d'être petit sans perdre en qualité. Je suis très satisfaite des massages qu'il procure, et à chaque fois que je sens quelques tension, il devient mon allié indispensable !</t>
  </si>
  <si>
    <t>bonne grandeur qui s'adapte au bracelet il devrait être tous de cette même taille cela serait idéal ...</t>
  </si>
  <si>
    <t>Qualité-prix au top ! Alors là franchement niveau qualité prix rien à dire je conseille ce produit vous pouvez l'acheter les yeux fermés cela fonctionne très bien dans nos TPE ;)</t>
  </si>
  <si>
    <t>Presse à briquette Tout simplement parfait. Je recommande de bien préparer le papier mâché pour qu'il vous fasse de magnifique briquette de papier compacte.</t>
  </si>
  <si>
    <t>Parfait ! Superbe cette bouilloire portative ! Génial pour l’emmener partout, dans son sac pour aller au boulot, en voiture, etc Livraison rapide, merci !</t>
  </si>
  <si>
    <t>Je recommande Très bon produit.</t>
  </si>
  <si>
    <t>Chaussures très confortable Un plaisir de les porter et de marcher et ou courir avec</t>
  </si>
  <si>
    <t>Bouilloire Très bon produit qui vous permettra de faire bouillir de l'eau très rapidement. Joli design, avec un bandeau de LED bleu quand en marche et qu'elle chauffe. Le verre est transparent, avec un grand contenance d’eau de 2L, l’affichage  clairement le niveau d'eau. Facile à utiliser, je recommande.</t>
  </si>
  <si>
    <t>Parfait ! Mes enfants adorent cette collection.Parfait!texte bien.</t>
  </si>
  <si>
    <t>Ecouteurs de bonne qualité Les écouteurs sont pratiques, donne un son de haute qualité. Ils tiennent bien. La charge est fiable et le design très beau. Le boitier est solide et ne prend pas de place. Je suis vraiment satisfaite de mes écouteurs. Je les recommande sans problème.</t>
  </si>
  <si>
    <t>Très bien Super ma fille est ravie belles perles</t>
  </si>
  <si>
    <t>Déçue par ce diffuseur. La lumière ne fonctionne pas correctement, l'appareil s'arrête seul alors qu'il a encore de l'eau et un faux contact au niveau des interrupteurs. Je suis déçue par ce diffuseur.</t>
  </si>
  <si>
    <t>ouverture difficile Il est dommage que ce sac soit aussi mal conçu car le matériel est correct et la couleur neutre mais jolie. Le problème réside dans les ouvertures par fermeture éclaires. Les poches ne s'ouvrent pas bien et il est difficile d'y insérer des choses dedans. Aussi la profondeur est assez restreinte, donc à part un petit portefeuille et un stylo, ce sac ne pourra contenir guère plus.</t>
  </si>
  <si>
    <t>joli modèle mais qui taille grand Malheureusement j'ai dû les renvoyer car bcp trop grand. Dommage.</t>
  </si>
  <si>
    <t>Bouilloire tout en inox J'utilise quotidiennement cette bouilloire pour préparer le thé, la tisane... Je l'ai choisie pour son prix, tres intéressant, son matériau de fabrication , l'inox, sa contenance, idéale qd nous sommes nombreux à la maison et son look, assorti à mon grille pain, ma cafetière.</t>
  </si>
  <si>
    <t>Jolie Elle sont jolie, souple. A voir si elle tiennent sur la durée</t>
  </si>
  <si>
    <t>Pratique Très classe pour une utilisation quotidienne</t>
  </si>
  <si>
    <t>Bon achat Très agréable, même si c'est vrai qu'il faut s'habituer les premières minutes (mais je pense que c'est pour tout masseur de pieds). Au niveau sonore, ça ne fait pas excessivement du bruit, donc pas besoin d'augmenter le son de la télé. Après une marche en talons toute la journée, c'est vraiment relaxant. Seul petit bémol, on sent à peine la chaleur, dommage.</t>
  </si>
  <si>
    <t>Nickel 👌 Super !  Très joli , se monte comme les bracelets originaux de chez apple 👍</t>
  </si>
  <si>
    <t>Bouilloire thermique Une bouilloire thermique adapté à moi. J'aime prendre du thé plusieurs fois dans la journée et surtout la nuit. Comme elle est thermique je n'ai pas besoin de chauffer l'eau constantement j'ai remarqué que l'eau reste tiède même le lendemain. Pas confirmer les litres mais 1 litre d'eau c'est sure. Le seule bémol c'est que quand la cafetière n'est pas rempli elle fait du bruit. Donc pas silencieuse🤔</t>
  </si>
  <si>
    <t>Parfait Produit parfait, arrivée dans les temps et très bonne qualité, taille impeccable.</t>
  </si>
  <si>
    <t>Bon achat Bon design</t>
  </si>
  <si>
    <t>achat chargeur prix et rapidité, tout nickel. et en plus ça fonctionne... sur le site de Bose j'en aurais eu pour 3 semaines et 10 fois plus cher.</t>
  </si>
  <si>
    <t>Très bon produit Acheté depuis 6 mois et utilisé tous les jours sans problème. Esthétique sympa avec ses led bleu mais le gros avantage, c'est quelle est en verre. Donc transparente ce qui permet de voir a quel point l'eau est très calcaire comparé à une bouilloire classique.  Donc une fois par mois, un peu de vinaigre blanc 15mn et elle est comme neuve.</t>
  </si>
  <si>
    <t>très bien belle montre, ça flatte, le bracelet est bon et joli, ressemble à un produit de marque bien plus cher. bref faites vous plaisir</t>
  </si>
  <si>
    <t>Impeccable Impeccable!!</t>
  </si>
  <si>
    <t>Agréables à porter Pour l été , elles sont top. Elles correspondent à mes goûts. Elles sont en plus confortables.</t>
  </si>
  <si>
    <t>Cadeaux Ceci était pour un cadeaux</t>
  </si>
  <si>
    <t>Bien Un peu grand pour moi (tour de tête 54cm). Il est très simple à brancher. Le son est vraiment impressionnant.</t>
  </si>
  <si>
    <t>Stérilisateur et chauffe biberons &lt;div id="video-block-R1WV7G9XK887SF"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id="14" preload="auto" src="https://images-eu.ssl-images-amazon.com/images/I/A1MZX2gcvOS.mp4" style="position: absolute; left: 0px; top: 0px; overflow: hidden; height: 1px; width: 1px;"&gt;&lt;/video&gt;&lt;/div&gt;&lt;div id="airy-slate-preload" style="background-color: rgb(0, 0, 0); background-image: url(&amp;quot;https://images-eu.ssl-images-amazon.com/images/I/818-3ey5d2S.png&amp;quot;);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center;"&gt;0:29&lt;/div&gt;&lt;div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2.43123%;"&gt;&lt;/div&gt;&lt;div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value="https://images-eu.ssl-images-amazon.com/images/I/A1MZX2gcvOS.mp4" class="video-url"&gt;&lt;input type="hidden" name="" value="https://images-eu.ssl-images-amazon.com/images/I/818-3ey5d2S.png" class="video-slate-img-url"&gt;&amp;nbsp;Cette appareil est destiné pour chauffer le biberon et stériliser, les biberons et sucettes. Il y a fonction chauffe lait à température normale et lait réfrigéré. Pour stérilisation des biberons et sucettes vous avez compartiment destiné à cette usage. Vous avez fonction stérilisation et séchage . Une fois la fonction est terminé, l’appareil ce met en mode veille. Vous avez le goblet doseur pour maître la quantité d’eau nécessaire pour l’usage de stérilisation et chauffage. Il faut vider l’appareil après chaque utilisation, et il faut pas maître les produits chimiques pour le nettoyage. Vous pouvais utiliser le vinaigre blanc ou acide citrique  pour enlevé le calcaire. Bon produit et surtout très pratique.</t>
  </si>
  <si>
    <t>RAVIE ! Quand on a un enfant en maternelle ou à l'école primaire et qu'ils demandent des boîtes de mouchoirs c'est idéal ! J'ai acheté ce lot l'année passée, à la fois pour l'école et pour la maison et je suis ravie. Ils sont parfait, épais, de très bonne qualité (tout comme l'essuie tout et le papier toilette de la même marque) Je recommande vivement face à toutes les autres marques !</t>
  </si>
  <si>
    <t>Veste Confortable Veste trop top ! Assez chaude et très confortable ! Je recommande</t>
  </si>
  <si>
    <t>Super ! Agréable chaussures de sport. Le ressentie est excellent. Pointure parfaite. Et de bonnes qualité. Bon sport!!! Livraison plus rapide qu'annoncée. Entièrement satisfait de cet achat. Je recommande.</t>
  </si>
  <si>
    <t>Impeccables Toujours la même bouille de super baskets... C'est vrai, elles taillent un poil petit (gros orteil un peu serré et cloque en fin de journée) mais pas au point de prendre la taille au dessus. Super allure, super couleur. Les TBS Opiace, c'est un standard. J'espère que celles-ci n'auront pas le même défaut que mes deux paires précédentes, dont la semelle externe avait fissuré d'un bout à l'autre au bout d'un an.</t>
  </si>
  <si>
    <t>Pantalon de jogging à utiliser en dehors de l'hiver, pas chaud du tout. La coupe est bonne.Le tissu est très léger. Je l'utiliserai au printemps. Pour le lavage vue la finesse , je suis sceptique sur la tenue??</t>
  </si>
  <si>
    <t>Ne sent rien même en doublant les doses. Habituellement je met 5 gouttes et ça fonctionne très bien, avec ce produit même avec 10 gouttes l'odeur est faible. Je ne conseille pas ce produit.</t>
  </si>
  <si>
    <t>Nettoyant semelle fer à repasser inefficace. J'ai suivi le mode d'emploi,complètement inefficace !!!!</t>
  </si>
  <si>
    <t>taille grand et pour du sport en salle Je ne vais pas retourné ces chaussures mais je vais acheter des semelles. si vous faites comme moi une taille 37 achetez du 36 car même avec des chaussettes, il y a une bonne taille en trop. Pour l'extérieur je les trouve un peu "légères" sans maintien. Elles sont souples et parfaites pour du sport en salle,</t>
  </si>
  <si>
    <t>Pas mal Bien comme le prix</t>
  </si>
  <si>
    <t>agréablement surpris ce casque m'a vraiment surpris , déjà niveau qualité de fabrication , il est plutôt bien fini tout est a sa place il n'y a pas de jeu entre les pièce et le plastique semble plutôt solide. mais le partie qui m'a bluffer , c'est le sont , on est certe les des casque haut de gamme a + de 200€ , mais pour sont prix il n'y a rien a redire , le sont conviendra a la majorité des gens. Et enfin pour ce qui est du confort tout vas bien le casque est super léger il tient bien en place sur la tète . bref je recommande ce casque.</t>
  </si>
  <si>
    <t>Top Très confortable rien à dire, quelques peluches après le premier lavage sinon RAS.</t>
  </si>
  <si>
    <t>Bon rapport qualité / prix Sympa pour le streetware</t>
  </si>
  <si>
    <t>Bouilloire Repond aux attentes</t>
  </si>
  <si>
    <t>Magnifique Montre Bel montre à la fois élégante et sportive，même si elle est assez légère.</t>
  </si>
  <si>
    <t>Le meilleur de tous! Ce détachant pour linge blanc est exceptionnel et est le seul qui a réussi à m'enlever une tache de vin sèche sur une chemise blanche en utilisant la procédure pour tache résistante. Bravo !</t>
  </si>
  <si>
    <t>Parfait Très jolies, bonne coupe, parfait</t>
  </si>
  <si>
    <t>Bon produit Conforme à la description. Très confortable.</t>
  </si>
  <si>
    <t>adidas Core18 Pantalon très bien, doux, chaud</t>
  </si>
  <si>
    <t>Très beau collier Anniversaire de ma mère</t>
  </si>
  <si>
    <t>Vive puma Je suis très ravi de mon achat j aime cette marque est cette on ai jamais déçu car côté qualité est top</t>
  </si>
  <si>
    <t>Du stock pour pas cher Avec 500 enveloppes, j'ai 3 ans de tranquilité! Enveloppe standard de bonne qualité</t>
  </si>
  <si>
    <t>Le top du top ! Ce tire lait à sauver mon allaitement déjà 2 mois d'utilisation ! Fait bien son travail, petit, pratique à transporter partout ! Je recommande vivement ce tire lait !!!</t>
  </si>
  <si>
    <t>Très joli travail . Très bonne qualité . Très belles finitions.</t>
  </si>
  <si>
    <t>Parfait Produit reçu rapidement et sans mauvaise surprise, très bien.</t>
  </si>
  <si>
    <t>A nouveau, excellents produit et service Je possèdais déjà, depuis un mois, le modèle similaire (1AER) avec cadran noir. Je dois dire que je trouve celle-ci (fonds bleu) extrêmement jolie : Ce fonds bleu est très classe, car discret et tirant vers le gris (la photo est un peu trompeuse). C'est un produit remarquable, que je porterai avec une tenue de loisirs, sachant que celle à cadran noir ira mieux, à mon goût, avec une tenue de ville. Merci, Amazon, pour le respect des délais de livraison annoncés, même en cette période de grève des transporteurs.</t>
  </si>
  <si>
    <t>Belle discrète et efficace Cette baguette magique est très stylée. Elle est très efficace avec ces différents modes de vibration que ma femme a su grandement apprécier. Dans sa petite pochette elle est méconnaissable et elle fait peu de bruit ce qui évite de réveiller ceux qui dorment dans les chambres annexes. Nous la recommandons.</t>
  </si>
  <si>
    <t>Belle montre La montre que j'ai reçue est de bonne qualité. Elle est assez sympa et tiens bien sur le bras... Une fois la taille réglée. La montre est livrée avec un tutoriel pour changer la taille mais ça reste un petit peu compliqué.</t>
  </si>
  <si>
    <t>Conformes et très jolies! Commande reçue dans les temps, les bouillottes sont très jolies. Le plastique a l'air solide. Elles se remplissent facilement et gardent bien le chaud! Très bon produit, je recommande!</t>
  </si>
  <si>
    <t>FAN je l'ai acheté et aucun regrets - je suis entièrement satisfait de cet achat  -  enfin un soutien gorge adapté et 100% confiance en la marque</t>
  </si>
  <si>
    <t>Converse Pointure trop grande, ne convient pas a un 37, elles taille plutôt en 38!!!! Dommage après l'attente ne de pouvoir les mettres !!!!</t>
  </si>
  <si>
    <t>Trop petit Taille très petit je suis un peut dégouté car le produit est bon</t>
  </si>
  <si>
    <t>Fermoir Renvoyé fermoir défectueux</t>
  </si>
  <si>
    <t>Pas mal Sympa, mais ma fille n'accroche pas plus que ça sur ce livre..</t>
  </si>
  <si>
    <t>Beau, solide, mais sent très fort La photo est conforme au sac, il est néanmoins plus foncé. Il semble solide et de bonne qualité, j'y rentre mes affaires pour aller a la fac (trieur, trousse, ordi 13'), il y a de nombreux compartiments à l'intérieur, quelques coutures ressortent sont mal finies. En revanche, il a une très très forte odeur de mouton, même après l'avoir laissé dehors tout un week end, en l'arrosant plusieurs fois de Febreeze, l'odeur est toujours présente (mais à diminué en intensité). Pour ce prix, on a tout de même un sac de bonne qualité.</t>
  </si>
  <si>
    <t>Impec ! Je la porte tous les jours, elle me convient parfaitement, les petites poches sont pratiques, je m'en sers d'EDC, impec !.</t>
  </si>
  <si>
    <t>Montre Casio Excellent rapport qualité prix. Je recommande vivement cette montre. Très joli design.</t>
  </si>
  <si>
    <t>Recalibrage du cadran analogique Au bout d'un an, j'ai un peu galéré à recalibrer les aiguilles du cadran analogique, mais finalement en suivant le guide d'utilisation, tout va bien.</t>
  </si>
  <si>
    <t>Bien Bonne paire</t>
  </si>
  <si>
    <t>Joli bracelet rose et bleu Bracelet très sympa et agréable à porter. Les couleurs et les reflets sont bien comme sur la photo donc pas de surprise.  Joli bracelet léger à porter.  Le fermoir est de qualité et pratique avec sa double petite chaînette.</t>
  </si>
  <si>
    <t>Au top ! Bouilloire parfaite pour nous qui adorons que chaque température soit respectée pour chaque thé ou tisane! Rien à redire conforme à sa description!</t>
  </si>
  <si>
    <t>GROS ROULEAU GRAND LARGEUR SUPER PRATIQUE POUR DEMENAGEMENT TRES PRATIQUE POUR SES DIMENSIONS ET SON RAPPOERT QUALITE PRIX</t>
  </si>
  <si>
    <t>Je ne peux que m'incliner ! J'ai eu les premiers écouteurs TrueWireless de Sony, qui étaient déjà très bons malgré des soucis de connexion entre les deux oreillettes.  Là nous touchons la perfection, une réduction de bruit impressionnante et similaire au dernier casque Sony dont tout le monde parle. Je l'ai testé dans une Austin Mini de 86 qui fait autant de bruit qu'une tondeuse, voir plus en accélérant, et bien j'avais l'impression d'être au calme dans mon salon, impressionnant !  Côté qualité du son comme d'habitude il est à couper le souffle, des balances justes entre toutes les fréquences, pas de domination des aigus comme on peut avoir chez bose. Ici tout est à sa place comme l'a voulu l'artiste !  Niveau finition on est sur du premium, clairement, ils sont beaux, les détails soignés, mieux que chez Bang&amp;amp;Olufsen pour qui les parties cuir vieillissent mal.  Si vous hésitez entre plusieurs modèles, aux prix affiché pour ces écouteurs Sony vous n'avez pas à réfléchir, c'est eux les mieux.</t>
  </si>
  <si>
    <t>Très solide Je la recommande vivement.Je l'utilise très souvent avec un blue yeti fixé avec un antipop et ça ne bouge pas d'un poil.La perche est toujours aussi rotative et accessible.Vous pouvez la déplier et la replier plusieurs fois c'est toujours ferme.</t>
  </si>
  <si>
    <t>Bon Bonne chaussures pour faire a peu près tout. La qualité est pour le moment très bien et je n'ai pas eu de problème de taille.</t>
  </si>
  <si>
    <t>facilité d'utilisation excellent produit, facilité des menus, très bon son, volume largement suffisant. Qualité remarquable. A recommander.</t>
  </si>
  <si>
    <t>Jupe bohème facile à porter Jolie jupe ample très agréable à porter l'été. La doublure empêche qu'elle soit transparente. Le motif est élégant. On peut la mettre avec un tee-shirt ou un chemisier.</t>
  </si>
  <si>
    <t>Très pratique Ça me facilite la vie, impression au bureau et hop, le courrier est prêt à partir</t>
  </si>
  <si>
    <t>Simple d'utilisation et bonne odeur J'adore faire brûler du papier d'arménie chez moi l'utilisation est simple et je trouve l'odeur agréable je ne suis pas fan de l'encens donc c'est parfait</t>
  </si>
  <si>
    <t>Achat régulier Mon épouse est fidèle à cet article et le renouvelle régulièrement en changeant de couleur ou pas. Elle n'utilise que ce genre de chaussant.</t>
  </si>
  <si>
    <t>belle parure article conforme à la description. belle qualité. je recommande</t>
  </si>
  <si>
    <t>écusson anarchiste Très bon écusson, facile à mettre ,rend très bien sur mon pantalon de travail.</t>
  </si>
  <si>
    <t>Pied RODE PSA1 Pied acheté pour aller avec mon microphone RODE NT-USB  1 an avec cette perche et fonctionne parfaitement, aucun couinement, aucun coinçage, comme neuve. Recommande fortement si vous voulez avoir accès à votre micro peu importe votre emplacement sur votre bureau.</t>
  </si>
  <si>
    <t>Vive UGG ! Chaussure parfaite dans le froid et la neige, très confortable même avec des petites semelles orthopédique, emballage correct, livraison dans les délais</t>
  </si>
  <si>
    <t>Pantalon cheap Pantalon médiocre : l'étoffe est de piètre qualité (tissu peu épais), les poches sont percées, certaines des poches zippées ne servent à rien (fausses poches) et il taille trop petit. N'achetez pas, ça ne vaut pas son prix...</t>
  </si>
  <si>
    <t>Allergies Allergique . Je ne sais pas en quoi est le métal mais c'est affreux. J'ai du le donner . Je précise que je porte régulièrement des bijoux fantaisie sans problème</t>
  </si>
  <si>
    <t>prix interessent que dire, 1er prix juste ce qu'il faut pour une micro et une perche basique</t>
  </si>
  <si>
    <t>Belle montre à un bon prix. Belle montre pas trop grande ni trop petite à un bon prix sur amazon par rapport au autre site et la livreson est assez satisfesant.</t>
  </si>
  <si>
    <t>Ça fonctionne!!! J'ai eu peur lors de la première utilisation car j'ai mis ces cartouches et j'ai voulu effectuer une photocopie sans avoir allumé mon ordinateur. Et cela n'a pas fonctionné. Il faut que l’ordinateur soit allumé et connecté à l’imprimante pour que vous confirmez que vous désirez utiliser ces cartouches et que vous savez que ce ne sont pas des cartouches EPSON. Après cette petite manipulation (très facile car l'imprimante ouvrira seule un écran de dialogue où il suffit de sélectionner oui), vous pourrez utiliser sans soucis ces cartouches. A première vue il n'y a pas de grosses différences entre celles ci et les EPSON. Je recommande!</t>
  </si>
  <si>
    <t>Best-seller Reçues au bout de 10 jours et conforme a ce dont je m'attendais car c'est ma 2eme paire et elles sont toujours aussi sobres et légeres. La pointe un peu dure s'assouplit au fil du temps et je recommande une paire de semelles amortissante pour un meilleur confort. Reçues couleur taupe et plus clair que sur l'image,pour l'hiver ça peut passer par temps sec et des chaussettes un peu épaisses c nickel Tres bon rapport qualité/prix,un best-seller.</t>
  </si>
  <si>
    <t>Nickel pour ado, et autres sans poche ... L'accessoire indispensable à l'ado Du collège au lycée et plus encore !!!</t>
  </si>
  <si>
    <t>Bonnes chaussures Joli produit Bien fini Un peu lourde mais on s'y fait vite Accroche bien lesûr sols humides et glissants Ressemble à des chaussures de randonnées</t>
  </si>
  <si>
    <t>tétines comme d'habitude, rie à dire !!!!! Toujours satisfaite de la marque avent que ce soit les tétines ou biberons certes plus cher mais rentable !!!!!</t>
  </si>
  <si>
    <t>Le meilleur goupillon du monde Et toutes ces années passées avec un vieux truc qui raye les biberons et ne sèche jamais... si seulement j'avais eu ce goupillon plus tôt ! Je l'offre à toutes les jeunes mamans :-) Il sert aussi pour les gourdes et tasses des enfants avec son embouts pour tétines. Il passe au lave vaisselle.</t>
  </si>
  <si>
    <t>Très bon produit Au delà de mes attentes. Cette montre est top. Packaging de qualité. Seiko toujours des bons produits. Rapport qualité prix inégalable pour une montre automatique !</t>
  </si>
  <si>
    <t>Bib prêt en 30 secondes et fin de l'inconfort digestif !! Le pédiatre nous a conseillé de faire tiédir le biberon car bébé avait des reflux importants et avait beaucoup de mal à faire ses rots et selles. N'ayant pas encore fini la boîte de lait, nous avons commencé avec ce produit pour tiédir le biberon. nous l'avons choisi car  il était le plus rapide du marché pour chauffer l'eau et à la bonne température, avec un bébé qui a de bons poumons chaque seconde compte la nuit. promesse respectée ! bonus : la facilité d'utilisation et l'auto clean. bonus 2 : la possibilité de réchauffer les petits pots selon la quantité de nourriture bonus 3 : le stérilisateur dont nous nous étions passés jusque là, mais nous aurions de toute façon acheté le produit. bonus 4 : meme si le produit est un peu encombrant sur le plan de travail, c'est pratique de pouvoir décrocher et transporter la partie chauffante. Si nous devions toutefois émettre une critique, ce serait que le produit n'est vraiment pas esthétique, le plastique est vraiment moche. Les personnes qui peuvent acheter le bibexspresso peuvent à notre avis mettre un peu plus pour avoir un produit de meilleure facture.</t>
  </si>
  <si>
    <t>Excellent Très bonne qualité Je recommande vivement C'est la 2e fois que je commande ce lot.</t>
  </si>
  <si>
    <t>Comme dans des pantoufles ! Quand on porte ces Columbia Canyon Point Waterproof on se sent presque comme dans des pantoufles, à un détail pres, prenez une pointure au dessus de votre pointure habituelle c'est plus sûr car elles taillent un peu petit. Je ne fais pas de trail ni de treck mais de la balade et de la rando en moyenne montagne, et c'est pour moi le type de chaussure idéale, confortable, légère et même esthétique car elles sont assez féminines avec des couleurs sympas. Vous garderez les pieds au sec mais en marchant sur des surfaces humides. Le genre de chaussure que vous oubliez d'enlever quand vous revenez à la voiture tellement vous vous sentez bien dedans,  c'est assez rare pour être souligné ! Vu le prix, difficile de trouver mieux !</t>
  </si>
  <si>
    <t>produit très efficace Très bien pour entretien de chaussures cuir</t>
  </si>
  <si>
    <t>Produit français Produit français de très bonne qualité. N'hésitez pas !!! J'en ai vendu lors de mon activité et celui-ci est vraiment très bien.</t>
  </si>
  <si>
    <t>Très élégant Joli bracelet, différentes couleurs d’œil de tigre</t>
  </si>
  <si>
    <t>Super pratique Super sac qui permet de faire mon vélo tranquillement . Peut être porter niveau dorsal et ventral . J'aime beaucoup son style et celui ci est très confortable . Je le recommande.</t>
  </si>
  <si>
    <t>Très jolie Ravis</t>
  </si>
  <si>
    <t>Magnifique Elles sont magnifique je recommande!!!!</t>
  </si>
  <si>
    <t>Merci Super</t>
  </si>
  <si>
    <t>AGREABLE ET CHAUDE chaussure agreable et chaude par contre qualite a revoir se decolle deja au pli du pied</t>
  </si>
  <si>
    <t>Couvercle ne ferme plus La bouilloire à un mois et le couvercle ne ferme déjà plus. Impossible de retourner l'article à AMAZON. J'ai contacté Koenig SAV. J'attends une réponse...</t>
  </si>
  <si>
    <t>Le produit que j'ai recu n'est past la meme.  Le tissu est different; tout est different. Produit terrible.  Pas comme dans la photographe.  La couverture a cassee une semaine apres j'ai recu le produit.  Le branchement  a cessee de travailler.  Tres decu!!</t>
  </si>
  <si>
    <t>Jolies Jolies</t>
  </si>
  <si>
    <t>Petit Taille petit. Peu dures au début. J’ai pris noir mais elles sont plutôt gris foncé</t>
  </si>
  <si>
    <t>Taille un peu grande Le 41,5 était un peu grand, il faut prendre une demi taille au moins que sa pointure habituelle,  du moins en ce qui me concerne</t>
  </si>
  <si>
    <t>sacoche idéale pour emporter le maximum et bon rapport qualité prix Taille idéale pour tous les documents, pochettes  sur les côtés suffisantes qualité en rapport avec le prix. Facile à emporter</t>
  </si>
  <si>
    <t>bon rapport qualité prix Papier de bonne qualité</t>
  </si>
  <si>
    <t>idem à la photo trés belles correspond parfaitement à la photo fait un pied trés fin par contre petit problème de semelle interne qui fait un pli au milieu du pied</t>
  </si>
  <si>
    <t>TROP CONTENTE une super veste ! Super douce trop trop chouette !!!! j'adore vraiment !  je la recommande la taille est nickel  pas de surprise</t>
  </si>
  <si>
    <t>Bon produit J ai acheté ce produit pour redonner de l éclat et recouvrir certains endroits sur des baskets stan smith, le rendu est parfait et facile a appliquer.</t>
  </si>
  <si>
    <t>conforme produit confortable</t>
  </si>
  <si>
    <t>Superbes Vraied ou fausses je m'en fous... Elles sont canons d'un blanc éclatant parfait pour la saison. Bref je suis très satisfaite... À voir sur le long terme.</t>
  </si>
  <si>
    <t>Bon produit efficace et apaisant Assouplit et relaxe bien les muscles, aussi bien avant l'effort qu'après. bon qualité /prix. Odeur à mon goût agréable. Contenance suffisante.</t>
  </si>
  <si>
    <t>La qualité Eastpak ! Tout le monde connaît tant la marque que l'aspect de ses sacs à dos devenus des références incontournables. Solides, légers, assez confortables, brides épaisses et surtout, l'esthétique de ce gris "black denim" est parfaite !</t>
  </si>
  <si>
    <t>Belle qualité Le produit est d'une belle qualité et finition. La personne qui les a reçues en cadeau adore. Très allergique, j'avais quelques craintes et il n'y a eu aucune réaction, donc c'est vraiment parfait</t>
  </si>
  <si>
    <t>Génial ! Super produit, idéal pour les soirées entre copines</t>
  </si>
  <si>
    <t>Top Trop mignon</t>
  </si>
  <si>
    <t>Meilleur rapport qualité/prix. Pour ne plus laisser trainer le casque sur le bureau, esthétique, discret et très utile. Je recommande !</t>
  </si>
  <si>
    <t>Nickel J'étais septique, j'ai un boulot physique, et je me sens beaucoup mieux le soir après une petite séance de 15mn</t>
  </si>
  <si>
    <t>facile Très facile à mettre en place et très stable</t>
  </si>
  <si>
    <t>Joli bracelet Conforme à l’attendu</t>
  </si>
  <si>
    <t>Fragile ++++ Très joli bracelet, mais fermoir très fragile. J'ai dû le renvoyer, car soudure cassé...</t>
  </si>
  <si>
    <t>Ne fonctionne plus en une semaine Ne fonctionne plus après 1 semaine et demi d'utilisation pas vraiment intensive... S'allume 1 seconde puis plus rien. S'il y a eu mauvaise utilisation, j'aimerais au moins savoir comment, mais j'ai plus l'impression d'un défaut de fabrication...</t>
  </si>
  <si>
    <t>pas de coque si on achète des chaussure de securite dite de travail c est pour les coques annonce très mal fait très dessus de mon achat  amazon perd de la qualité de ces produits pour faire du chiffre  tres dessus</t>
  </si>
  <si>
    <t>Bie Super, mais faire vraiment attention à la taille moi je fais du 39 j'ai pris 28-42 et c'est pile ma taille donc je doute qu'un 42rentre dedans</t>
  </si>
  <si>
    <t>2 su 3 parfait Je viens  de les recevoir.  bizarre  car dans le lot il y en a 1 qui est plus petit d'une bonne taille du coup  il sert et est trop juste  alors  que les 2 autres sont parfaitement  ajusté et confortable.... quelqu' un a eu ce problème  ??</t>
  </si>
  <si>
    <t>Très utile à l'approche de l'hiver &lt;div id="video-block-R2P9A8YRBE8WQ4"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src="https://images-eu.ssl-images-amazon.com/images/I/A1j0ukTVb4S.mp4" style="position: absolute; left: 0px; top: 0px; overflow: hidden; height: 1px; width: 1px;"&gt;&lt;/video&gt;&lt;/div&gt;&lt;div id="airy-slate-preload" style="background-color: rgb(0, 0, 0); background-image: url(&amp;quot;https://images-eu.ssl-images-amazon.com/images/I/713lMEcV6SS.png&amp;quot;);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value="https://images-eu.ssl-images-amazon.com/images/I/A1j0ukTVb4S.mp4" class="video-url"&gt;&lt;input type="hidden" name="" value="https://images-eu.ssl-images-amazon.com/images/I/713lMEcV6SS.png" class="video-slate-img-url"&gt;&amp;nbsp;Réservé à l’adulte ce chauffe matelas réchauffera vos nuits il est très facile à installer grâce à ses cordelettes qui le maintient  en place toute la nuit ￼il faut le poser directement sur le matelas ￼en dessous du drap housse le tirer vers le pied du lit afin que les oreillers ne soient pas￼ au niveau de la chaleur￼. Faire chauffer une demi-heure avant de s’installer  !! le lit est chaud. Si vous souhaitez le laisser allumé toute la nuit il faut le positionner au minimum. Personnellement je préfère le chauffer au maximum pendant une demi-heure et l’éteindre ! il se met dans le lave-linge position «&amp;nbsp;linge délicat&amp;nbsp;» En espérant qu’il va faire froid cet hiver! Attention aux personnes portant un pacemaker￼. J'espère avoir été utile</t>
  </si>
  <si>
    <t>bon produit et bonne livraison un produit efficace pour un petit prix. j'ai eu des kit main libre cher et de mauvaise qualité. j'ai été étonné par le rapport qualité prix. évidemment ce n'est pas du haut de gamme. mais franchement c'est excellent. le moins : sature quand on mets à fond.... mais bon... normal. et pas de possibilité d'écoute multimédia, ou skype. c'est juste de la téléphonie.</t>
  </si>
  <si>
    <t>Trompe l oeil! Premier jour douloureux ampoules....sur les orteils[4orteils de chaque pied] depuis plus rien.pas lourde.</t>
  </si>
  <si>
    <t>Jolie Donne bien et tres jolie</t>
  </si>
  <si>
    <t>Bon rapport qualité/prix vue la notoriété de la marque Jolie montre, légère, agréable à porter. A porter quand en tenue chic quand on a pas de vêtements Lacoste sur le dos (Sinon surcharge!)! Le quartz est très précis (Mécanisme américain de marque Movado [Je crois!]). Le bracelet italien est très bien et facile à régler par contre se n'est pas une montre de tous les jours car elle n'affiche pas la date du mois.</t>
  </si>
  <si>
    <t>Bon produit J'ai choisi cette note car je l'ai est reçu très rapidement, elles sont en très bonne états et la taille est très bien. J'ai aimée la rapidité de livraison. Je le recommande pour tous.</t>
  </si>
  <si>
    <t>parfait la taille XXL convient pour du 44 tissu elastis un peu extensible donc épouse bien les lignes du corps sur le bustier longueur idéale</t>
  </si>
  <si>
    <t>indispensables et multi fonctions Le top pour chauffer les laits des bébés (sans micro onde ) les garder au chaud plusieurs heures voir maintenir l eau chaude ds le bib la nuit et il n y a plus qu a verser le lait en poudre et pas d'attente pour bb 😁les plus  il décongèle le lait maternel et sert de stérilisateur pour 2 bib. Il prend moins de place que les gros stérilisateur je le recommande vivement pour nous les assistantes maternelles 😊</t>
  </si>
  <si>
    <t>Qualité lacoste Parfait du : LACOSTE</t>
  </si>
  <si>
    <t>Niquel Les chaussures sont arrivées un jour avant, de bonne qualité au regard. A voir dans le temps mais pour le moment satisfait !</t>
  </si>
  <si>
    <t>Super chaussures Chaussures de très bonne qualité, de toute façon avec vans on jamais déçu !</t>
  </si>
  <si>
    <t>Produit parfait pour son utilisation Nous utilisons tous les jours ce produit pour notre jeune enfant, pour les jeunes parents vous pouvez acheter sans problème ce stérilisateur.</t>
  </si>
  <si>
    <t>Apres 1an je rachète les meme! Portées tous les jours pendant 1an je rachète la meme paire! Rapport qualité prix imbattable! Excellent qualité pour cette game de prix</t>
  </si>
  <si>
    <t>sympa et d'un bon rapport qualité prix Cela fait plusieurs années que ma petite amie et moi achetons des produits de cette marque et nous ne sommes jamais déçus, les couleurs sont sympas, la qualité de fabrication est tout à fait correcte, la teinte reste bien vive même après des mois, et en plus ils arrivent rapidement, que demandez de plus ?  Si vous cherchez un sweat shirt sans fioritures mais qui fait parfaitement son office, je ne saurais trop vous recommander cette marque d'un bon rapport qualité prix</t>
  </si>
  <si>
    <t>Parfait ! Je viens de recevoir ma sacoche aujourd'hui. J'en ai déjà plusieurs de différents coloris et la qualité est au rdv. Aucune mauvaise surprise. La couleur (black denim) correspond à la photo. Je recommande.</t>
  </si>
  <si>
    <t>Plus joli que la photographie J'avoue être bluffé sur la qualité de ce bijou. A tel point que je m'empresse d'acheter les boucles d'oreilles. Ce pendentif est original et il fait de l'effet. Les jeux de lumières de ce bijou est bluffant.</t>
  </si>
  <si>
    <t>Bien pour bebe Vraiment bien pour bebe</t>
  </si>
  <si>
    <t>Exelent rapport qualite/prix La premiere impression au déballage est bonne il est plutôt beau mais un peu lourd . Le confort est correct  certain casques bien plus chers sont même mois agréable à porter. A l'écoute le son est agréable les basses les voix sont bien restitués mais l'ensemble manque un peut de precision mais à ce prix la rien à dire. L'autonomie est très bonne, je ne l ai pas mesurée mais je ne le recharge pas souvent. Pour résumer, un bon achat que je recommande sans restrictions attendu son prix.</t>
  </si>
  <si>
    <t>Le produit ne correspond pas à la photo, ancien modèle Le produit ne correspond pas à la photo, ancien modèle</t>
  </si>
  <si>
    <t>Déçu Déçu de mon achat. Je m'attendais à avoir un manteau chaud mais sa n est pas le cas.</t>
  </si>
  <si>
    <t>Conforme Produit conforme et prix très attractif. Par contre la tétine rentre beaucoup à l'intérieur. A chaque fois que ma fille mange je dois enlever le biberon pour que la tétine reprenne forme ce qui m'énerve beaucoup</t>
  </si>
  <si>
    <t>Belles chaussures Depuis longtemps je cherchais des bottines de ce genre. La qualité est au rendez-vous, attention cependant elle ont tendances à tailler un peu grand. Envisagez une taille de moins que votre taille habituelle.</t>
  </si>
  <si>
    <t>Bon produit Satisfaisant et a priori sans trop de produits à risque</t>
  </si>
  <si>
    <t>Top Produit qui détend et soulage certaines douleurs.</t>
  </si>
  <si>
    <t>convient à mes attentes à l'aise pour marché , pas encombrante , la poche est très bien pour le portable et tous les papiers tiennent dedans</t>
  </si>
  <si>
    <t>parfait Tres bon diffuseur que j'ai maintenant depuis plusieurs moi et qui fonctionne au moins 8 heures par jour.La capacité est grande et la qualité est bonne.je recommande ce produit.</t>
  </si>
  <si>
    <t>Peut être la plus belle ? J'ai déjà acheté des dissuseurs d'odeurs, tellement je trouve leur travail à la fois sain et agréable A chaque fois, j'ai essayé une forme différente Ma fille ayant été attirée par un diffuseur coloré è dont la lumière varie), je le lui ai offertt pour acheter celui ci : la classe Il est beau, ce qui compte Posé sur un bureau bois, il passe parfaitement Le volume de liquide, mais surtout l'ai expiré, est important, permettant selon le dosage et le produit de diffuser une odeur sensible ou plutôt discrète J'aime bien la possibilité de programmer sur 1h, 2h ou3h Et enfin la lumière, sous forme de cercle, est discrète, et peut aussi s'éteindre si on le souhaite Bref ce diffuseur m'enchante et je le recommande</t>
  </si>
  <si>
    <t>Acheté en cadeau. J'ai reçu plusieurs compliments sur ce bracelet. Aimer! Va avec à peu près n'importe quelle tenue.</t>
  </si>
  <si>
    <t>Au top Très satisfaite de mon achat. Fonctionne parfaitement bien.</t>
  </si>
  <si>
    <t>Elles sont confortables et de bonne qualité. Livraison rapide. Emballage soigné. J'ai acheté ses chaussettes afin de remplacer mes anciennes qui étaient trop usées. A l'ouverture de la boite agréable surprise on découvre de jolies chaussettes. Elles sont de bonne qualité. A l'utilisation elles sont confortables , elles épousent parfaitement la forme du pied , les élastiques sont résistant même après plusieurs lavages, elles sont chaudes on a pas froid au pieds. Un bon rapport qualité prix. Je vous recommande ses chaussettes.</t>
  </si>
  <si>
    <t>impecable Un anti-pop simple et efficace. Se fixe directement sur le micro. Perso, je trouve ça mieux que d'avoir à visser anti-pop sur le bras/perche qui supporte le micro. Maintenant, sur un micro chant je suis pas sur qu'il soit plus efficace qu'un anti-pop classique avec double couche. Mais vu mon besoin (stream) et vu le prix, j'en suis très satisfait. J'ai toutefois un doute sur la durée de vie des élastiques de maintient. Mais bon, c'est des élastiques, pas difficile d'en changer.</t>
  </si>
  <si>
    <t>Très bon Les biberons sont parfaits comme ceux de la pharmacie La couleur des dessins reste intacte</t>
  </si>
  <si>
    <t>Simplement géniale Marche urbaine. Top et confortable</t>
  </si>
  <si>
    <t>excellent Indispensable pour connecter un micro à condensateur à un ordi. un peu encombrant, mais c'est pas  trop gênant Les cables fournis (micro et alim) sont d'une longueur satisfaisante  (environ 2m)</t>
  </si>
  <si>
    <t>Identique Bonne taille et produit conforme à la photo</t>
  </si>
  <si>
    <t>Rien a dire Produit conforme et performant. Rien a redire. Bonne capacité. Rapide à la charge avec l'iPhone. On peut partir en week end tranquil</t>
  </si>
  <si>
    <t>Confortables belles et solides Confortable</t>
  </si>
  <si>
    <t>Très bon produit Parfait très bonne qualité. Simple efficace correspond à la description.  Simple à utiliser, simple à nettoyer. Prend peux de place.</t>
  </si>
  <si>
    <t>Contente Bonne qualité</t>
  </si>
  <si>
    <t>Déçue La couleur ( bleu ciel ) ne correspond pas du tout à la photo : il s'agit plutôt d'un bleu pétrole clair. La chaussure est comme tous les modèles 2750 de Superga et taille bien. Dommage que la couleur réelle n'ait rien à voir avec l'image sur le site...</t>
  </si>
  <si>
    <t>Déçue Je ne suis pas satisfaite de l'achat mais rien à voir avec le produit c'est simplement qu'il ne convient pas à bébé qui a 2 mois et qui était allaité,il a eu besoin d'une tétine avec moins de débit  et se rapprochant plus du sein maternel.</t>
  </si>
  <si>
    <t>Conforme Reçu a l instant. Colis soigné mais la boite des biberons etait tres abimées. Heureusement ils n ont rien ! Sinon le produit est conforme a la descriptions. Reste a voir comment ma pepette les aimera !</t>
  </si>
  <si>
    <t>pas mal, pratique pratique grande poche arrière . tissu qui déperle l'eau .bien pensé.Taille moyenne, c'est pas juste une petite pochette. se porte sur le devant aussi.rapport qualité prix correct</t>
  </si>
  <si>
    <t>Produit conforme Produit conforme , livraison soignée , bon rapport qualité-prix . 4 étoiles et pas 5 , car le cadran est un peu trop grand</t>
  </si>
  <si>
    <t>Les oreilles de chat sur la capuche trop excellent 👌 Coup de cœur de ma fille les oreilles sur la capuche au top tout le monde est fan 🤩 par contre ne pas s attendre à une épaisseur raisonnable mais tient bien aux lavage</t>
  </si>
  <si>
    <t>Nostalgie ... Très bon tissu, coloris et coupe conforme à l'original, tout y est pour revenir en enfance avec ce fameux sac army</t>
  </si>
  <si>
    <t>Excellente montre Montre mécanique achetée il y a presque 1 an et je la porte presque tous les jours. Bonne réserve de marche. Elle perd néanmoins 2 à 3 minutes sur un trimestre. De plus elle nécessite un entretien chez l'horloger au moins une fois tous les 3 ans...</t>
  </si>
  <si>
    <t>Génial ! Malgré une taille un peu grande ces timberlands sont magnifiques ! Elles sont plus légères que les originales et semble vraiment agréable une fois faites au pied !</t>
  </si>
  <si>
    <t>parfait Bonjour, je l'ai reçu rapidement, et c'est excellent ! Franchement c'est le troisième objet que j’achète de marque Klim ( clavier pc, casque pc et écouteurs) Je suis très content de cette marque, c'est de la qualité à prix abordable, et c'est Français). un conseil n'hésitez plus !!!</t>
  </si>
  <si>
    <t>Excellent ! Ce micro est parfait, un entrée de gamme qui a tout d'un grand pour moi. La rapport qualité/prix est vraiment super, rien à redire. L'araignée absorbe bien les chocs et les vibrations, et le filtre anti-pop est juste niquel.  A recommander les yeux fermés !</t>
  </si>
  <si>
    <t>Bon marché et efficace Le coussin peut s'utiliser sur le dos, le ventre, les jambes, la nuque... Bref, très polyvalent. Utilisation très facile vu qu'il n'y a qu'un seul bouton pour les deux modes. On a le temps de profiter d'un massage très agréable avant l'arrêt automatique pour permettre le refroidissement. Le massage n'est pas trop fort, mais il suffit de s'appuyer plus ou moins dessus (utiliser des coussins) pour varier la puissance. Pour le moment, l'article semble solide. A confirmer sur la durée. En hiver, le chat apprécie la fonction chauffante et essaie de se coller dessus... Bref, un achat validé par toute la famille.</t>
  </si>
  <si>
    <t>produit orignal belle</t>
  </si>
  <si>
    <t>Confortable Fidèle au modèle des années 80🌞</t>
  </si>
  <si>
    <t>Rien à redire ! Parfaite ! Convient parfaitement à ce que je cherchais. Super chaussures d'été, qui ce nettoie très facilement. Enfin elles sont très solide, on peut tout faire avec.</t>
  </si>
  <si>
    <t>parfaites je les ai choisies une taille au dessus pr pouvoir les porter avc des soquettes,j'aurais presque pu m'en abstenir,elles taillent vraiment bien.colori parfait,semelle interieure cuir pr le confort(et blanche pr ne pas tacher les pieds). livrées avc deux paires de lacets,un du colori des chaussures et un contrastant. rien a redire,j'ai reçu exactement ce à quoi je m'attendais.</t>
  </si>
  <si>
    <t>Super Moi qui cherchait partout ces valves. J'ai enfin trouver !!!! Produit conforme à la description</t>
  </si>
  <si>
    <t>Impec Un bon produit</t>
  </si>
  <si>
    <t>Bon produit Súper SAC. Ríen a redire sauf peut-être manque des poches...</t>
  </si>
  <si>
    <t>Chaussures au top Taillent bien, stylées et vont avec tout. Chaudes et confortables, avec un parfum agréable</t>
  </si>
  <si>
    <t>ok bon produit attention taille juste</t>
  </si>
  <si>
    <t>Très bien Montre superbe. Correspondant à la photo et description !</t>
  </si>
  <si>
    <t>bracelet j'ai bien reçu le bracelet, je vous remerçie !</t>
  </si>
  <si>
    <t>déçu par le produit Je n'ai pas aimé ce produit de par sa qualité, les feuilles ne sont pas électrostatiques comme celles que j'ai l'habitude d'utiliser, ce qui ne permet pas de maintenir correctement plusieurs éléments sur la même feuille et du coup tout glisse, je recommande ce produit uniquement  pour la plastification simple de feuille A4 uniquement</t>
  </si>
  <si>
    <t>Très mauvaise qualité!!! J'ai porté ces baskets 15 jours à peine et elles sont déjà déchirées sur les côtés, je suis très déçue...d'autant que je n'ai jamais eu de soucis avec les produits Amazon</t>
  </si>
  <si>
    <t>Trop grand Elle sont beaucoup trop grande pour un.39 impossibles de les échanger le vendeur ne répond pas depuis au moins.10 jours , oui je suis tes dessus car elle sont vraiment très belle et je ne peu pas les porter.</t>
  </si>
  <si>
    <t>gomme magique j aurais pense qu elles aurait tenues plus longtemps au bout d un nettoyage elles commencent a ce ramolir  dommage</t>
  </si>
  <si>
    <t>Un peu faiblard comme son même avec l'alimentation additionnelle Je m'attendais à qqch de plus puissant, surtout avec l'alimentation additionnelle. Il doit y avoir moyen d'améliorer ça, mais je préfère très nettement le blue Yeti acheté également sur Amazon, qui est impeccable !</t>
  </si>
  <si>
    <t>Bon produit petit temps de latence quand même, mais ça reste raisonnable pour le prix, j'en utilise donc je valide</t>
  </si>
  <si>
    <t>produit idéale printemps et été produit adapter pour l'été,on s'en bien l'aire passer en marchant et en courant, même en vélo, on ne transpire pas dedans</t>
  </si>
  <si>
    <t>Parfait. Très bien.</t>
  </si>
  <si>
    <t>Parfait Parfait pour mes bébés de 13 mois qui peuvent enfin boire leur biberon seul. Certes, ils en mettent de partout, mais ils sont fiers de pouvoir être autonomes, et nous les parents pouvons boire notre café en même temps qu'eux (pas le café voyons).</t>
  </si>
  <si>
    <t>bon produit trés confortable</t>
  </si>
  <si>
    <t>J'adore J'ai vu qu'il y a un volume 2 que j'ai hâte d'acheter. J'en ai pris pour toutes les petites filles que je connais, en différentes langues. Ce livre est fantastique !!</t>
  </si>
  <si>
    <t>Ecouteurs d'origine Très bon écouteurs, similaires à ceux d'origine que j'avais déjà. Livrés dans une petite boite de rangement en plastique Samsung. Livraison un peu longue car ils viennent directement de Chine. Il n'y a par contre pas de petits embouts de rechange de différentes tailles.</t>
  </si>
  <si>
    <t>Je le recommande vivement Je cherchais une bouilloire à température réglable pour mon thé.je suis satisfaite de ce produit.certe elle bip un peu mais bon pas de quoi réveiller tout le monde non plus. Il suffit de mettre de l eau elle s arrête une fois la température attent c est top et si on la laisse elle bascule en maintien de température et franchement rien à dire.pour des boissons chaudes c est l idéal.j été septique à cause des bip mais c est pas énorme non plus. Je la recommande vivement en plus niveau prix et fonction c est une affaire.</t>
  </si>
  <si>
    <t>parfait conforme à la description écouteurs strictement identique à ceux perdu c'est  parfait !!</t>
  </si>
  <si>
    <t>Brillant Je suis tellement content d'avoir acheté sac banane. C’est le lieu idéal pour garder mes essentiels pour les voyages et les promenades occasionnelles. Il a l'air bien et se sent à l'aise comme un sac à bandoulière. Je vais certainement recommander. Il a également été livré rapidement et emballé de manière adéquate.</t>
  </si>
  <si>
    <t>super! je l'aimé!</t>
  </si>
  <si>
    <t>Jolies sneakers Puma Je teste ces sneakers en pointure 37,5. En réalité, elles correspondent parfaitement à ma pointure 38. Ces baskets sont superbes, très féminines, blanches, très délicatement surlignées de rose et or. La fermeture, à lacets est originale, avec les œillets allongés d’un métal rose-doré. Les lacets sont larges et semblent résistants ; ils sont tressés. Mais nous avons aussi une paire de lacets en satin (qui vont ajouter élégance et originalité). Finalement ces ravissantes  chaussures ne serviront pas que de chaussures de sport, mais d’accessoire de mode raffiné. Par ailleurs, elles sont confortables. Je répète qu’elles taillent grand.</t>
  </si>
  <si>
    <t>Diffuseur imitation bougie, Très beau diffuseur imitation bougie scintillante comme les vraies. Il est original par son design et la qualité est là. Il peut servir autant de diffuseur d’huiles essentielles que de lampe d’appoint. Je ne regrette pas mon achat. Livré rapidement.</t>
  </si>
  <si>
    <t>Super jolie Du puma quoi ! Génial. La couleur est bien plus belle en vrai.</t>
  </si>
  <si>
    <t>Beau et élégant Acheter pour faire un petit cadeau à ma maman, elle a été enchantée par ce bracelet!  Les couleurs donnent vraiment bien en vrai, il me paraît résistant, les matériaux donnent confiance  C'est un bel objet pour faire un cadeau, pensez-y pour Noël ;)</t>
  </si>
  <si>
    <t>Très bonne qualité pour son prix La réduction de bruit fonctionne bien sauf avec certaines fréquences (dans un train, on n'entend presque plus les bruits de roulement mais on entend le sifflement de l'onduleur) mais je pense que le problème est le même avec tous les dispositifs de ce genre, ils ne peuvent pas contrer toutes les fréquences... Le son me plait beaucoup, il est chaud, les basses ronronnent sans être trop agressives, les mediums et aigues sont claires. Je le recommande donc pour son rapport qualité-prix. J'aurais juste aimé un interrupteur on/off car il faut attendre que le casque se mette en veille.</t>
  </si>
  <si>
    <t>Housse canapé Tissu paraissant un peu fin, mais finalement tres resistants, j ai 2 petits enfants de 5 ans qui grimpent dessus, 2 ados de 17 et 16 ans qui se prelassent dessus et 5 chats qui squattent  regulierement, le tissus ne bouge pas, meme au lavage. Tres bien</t>
  </si>
  <si>
    <t>Parfaite pour deux grandes tasses Très contente de mon achat. Elle prend peu de place sur le plan de travail et elle chauffe rapidement. Design sympa</t>
  </si>
  <si>
    <t>Appareil de massage électrique C’est un appareil de massage agréable pour masser la tête. L'utilisation est simple, il est léger et facilement maniable. Bon rapport qualité prix, Ravi de cet achat.</t>
  </si>
  <si>
    <t>Nul Nul</t>
  </si>
  <si>
    <t>Brûlure en versant ( vapeur) Beau design mais j’en ai assez de me brûler  ( mal formation) ....</t>
  </si>
  <si>
    <t>Bof Un parfum vraiment écoeurant</t>
  </si>
  <si>
    <t>Perte de son Grosse perte de son</t>
  </si>
  <si>
    <t>Parfait mais... Le plus dans ce Bola de grossesse est la plume qui l’accompagne. Elle donne une touche d’originalité. Mais du coup, le tintement de la clochette s’en trouve masqué. On entend plus le choc entre le bola et la plume, j’ai donc fini par ne garder que la clochette qui produit un bruit léger et agréable. La chaîne est assez longue pour que le bola arrive jusqu’au nombril. Parfait.</t>
  </si>
  <si>
    <t>Pantoufles ouvertes Pantoufles jolies et confortables. Correspondent à la description, Achat satisfaisant. Neuve mais semblent bonne qualité.</t>
  </si>
  <si>
    <t>pieds fins eviter coups de pieds forts elle s sont tres jolies mais j'ai le pied large et le coup de pied fort donc j'ai du les retourner</t>
  </si>
  <si>
    <t>Bien Cartouche originale , fait bien son job,dure longtemps. Prix élevé mais c'est le prix pour une grosse cartouche donc aucun regret</t>
  </si>
  <si>
    <t>Tres bien Ce sont des chemises cartonnées assez épaisses. Rien de spécial à en dire... Conviennent sans soucis pour le classement de papiers format A4.</t>
  </si>
  <si>
    <t>Chaussures sneakers Chaussures très jolie et très confortable. N'a rien a envier a de grandes marques. Très satisfait du choix et même la couleur est top. Recommandé :)</t>
  </si>
  <si>
    <t>Produit introuvable ds les magasins A votre avis????</t>
  </si>
  <si>
    <t>parfait rien à redire, article top vendu avec plusieurs petites barrettes de fixation au cas où ça casse, le cuir semble nickel s'adapte parfaitement à la montre super produit.</t>
  </si>
  <si>
    <t>Excellent Livraison rapide, allez chez ma sœur le week-end, apportez-le-lui dans le passé! Il n'y a pas de bruit quand on fait bouillir de l'eau, et c'est très rapide. Les articles sont les mêmes que ceux décrits, très satisfaits!</t>
  </si>
  <si>
    <t>Très satisfaite Elles sont exactement comme sur les images. Très agréable à porter, légère. Très bon qualité prix. Je marche super bien et longtemps.</t>
  </si>
  <si>
    <t>Satisfait Le look rose est très joli et est à la mode, la fille de mon amie l'aime bien, très approprié pour les filles.</t>
  </si>
  <si>
    <t>Parfait pour son prix J’ai un micro assez lourd dans l’ensemble (bird um1) et il s’adapte et tient parfaitement. Maniable dans l’ensemble et très stable.</t>
  </si>
  <si>
    <t>Idéal Super pour nettoyer les biberons (importe la marque des biberons)</t>
  </si>
  <si>
    <t>Top.Rien à redire Cartouche de très bonne qualité. Je recommande.</t>
  </si>
  <si>
    <t>pratique pour un petit prix chauffe assez vite etl'eau est très chaude</t>
  </si>
  <si>
    <t>confort ! Mon fils les a définitivement adoptées, sous toutes ses formes ces chaussettes ont toutes les qualités pour un ado exigeant.</t>
  </si>
  <si>
    <t>Très bonne baskets Très jolie et confortable et envoie rapide</t>
  </si>
  <si>
    <t>j'adore la couleur je suis habituée à acheter des bensimons et je dois avouer que j'adore vraiment cette couleur. Niveau taille, je prends toujours celle que je prends d'habitude et je n'ai eu aucunes mauvaises surprises.</t>
  </si>
  <si>
    <t>Très bon achat Quel bonheur ce coussin massant, j'ai des douleurs aux cervicales et au dos et le massage avec le coussin est vraiment agréable pour dénouer les tensions, j'ai également testé le massage en conduisant, c'est vraiment un + après une journée chargée!</t>
  </si>
  <si>
    <t>petit bracelet sympa. Bien adapté au poignet, pas trop lourd j'ai apprécié le fil et la perle en plus. Très bonne idée</t>
  </si>
  <si>
    <t>Photos du produit ne correspondant pas au produit reçu Les photos de présentation du produits ne correspondent pas au produit reçu. En effet j’ai commandé une paire de claquette entièrement noires comme indiquées sur les photos et je les ai reçues noires et blanches. Après vérification, il apparaît qu’une seule des 6 photos de présentation montre une paire noire et blanche alors que toutes les autres photos montrent une paire entièrement noire. D’autre part, ayant pris une taille au dessus de la taille habituelle, je trouve le dessus des claquettes très étroit et serré. À voir avec le temps si cela s’ouvre. Ne pas hésiter à prendre une taille au dessus comme indiqué dans les autres commentaires.</t>
  </si>
  <si>
    <t>verifiez vos cartouches.... J'ai achetée cette référence par précaution en avril. J'ai voulu les installer aujourd'hui et elles sont refusées par l'imprimante .En fait ,les  cartouches sont des 550/551 et non des 570/571.Le format extérieur est strictement identique. Evidemment je n'avais rien contrôlé  à la reception et jeté emballage et documentation. 40 € de perdus! Très déçu  (pour la première fois) du service Amazon. Moralité : vérifiez impérativement à réception le contenu de votre commande. Profitez de ma mésaventure!</t>
  </si>
  <si>
    <t>Un peu court, mais confortable Un peu déçue de la taille haute peu élatiquée, je trouve la taille un peu juste en longueur. A côté, le confort, la matière sont très bien.</t>
  </si>
  <si>
    <t>Semelles pas si compensées La taille est bonne mais la courbe de la semelle n’est pas en adéquation, obligée d’ajouter une semelle pour avoir une régularité de la courbe</t>
  </si>
  <si>
    <t>Lampe de bureau LED Design sympa, température et intensité variable ce qui permet d’adapter la lampe en fonction de ses besoins. Une étoile retirée car pour du LED je trouve qu’elle chauffe beaucoup après quelques minutes seulement. Livraison rapide et soignée.</t>
  </si>
  <si>
    <t>acheté pour un cadeau cadeau qui a été apprécié par la personne qui l' a reçu. quelques expérience sympath à faire pour passer le temps et s' amuser</t>
  </si>
  <si>
    <t>Bon produit ! La taille est un peu petite, je vous conseille de prendre une taille au dessus de la votre. Sinon la matière est confortable et agréable. Je recommande ce produit, et je pense le reprendre en une autre couleur. J'ai juste trouvée la longueur des ficelles devant un peu longue. Pour résumé, je ne regrette pas mon achat.</t>
  </si>
  <si>
    <t>Classique Ai dû renvoyer 41 car chausse trop étroit. Dommage qu’il ne soit plus disponible en 42!</t>
  </si>
  <si>
    <t>Facile à utiliser et efficace 👍 Mamie ne sort plus de chez elle et c’est un moyen de lui maintenir une bonne circulation. Bien qu’âgée de bientôt 97 ans, elle a compris le fonctionnement simple d’utilisation. C’était ma crainte mais c’est bon. Elle ne rate pas sa petite séance quotidienne.</t>
  </si>
  <si>
    <t>👍🏾 💪🏾</t>
  </si>
  <si>
    <t>Très bien La taille convient, qualité égale à Puma.</t>
  </si>
  <si>
    <t>Super Commandé pour mon mari lors d'une vente flash,très jolie. Taille comme prévu. Pour le prix (27€) ya rien à dire.</t>
  </si>
  <si>
    <t>Vive noel Parfait pour des enfants de début CP! J'achète donc la suite de la collection. Pour le prix, il faut en profiter!</t>
  </si>
  <si>
    <t>Impeccable J'ai lu les commentaire et donc j'ai pris une demis pointure en dessous, elles me vont nickel. J'avais peur car dans un commentaire la personne les a reçu en tissus au lieu du cuir OUF elles étaient belles et bien en cuir. Je les ai reçu 2 jours avant la date prévu, maintenant plus qu'à les emmener pour les mettre pour Anjoue Vintage 😊</t>
  </si>
  <si>
    <t>enfance Ravie de porter ses sabots confortable et bien fini. Livrés en bon état .  Je repense à mes années à la campagne. Les sabots reviennent à la mode. Cool</t>
  </si>
  <si>
    <t>Confortable et performant J'en suis très content, utilisation des plus simples et bien décrite dans la notice d'emploi. Maintenant e jne sais pas s'il peut l'utiliser longtemps sans problème, mais je le recommande comme meme</t>
  </si>
  <si>
    <t>Qualité et esthétique ! Il s’agit d’un lot de 3 biberons en verre  Dodie. Contenance : deux biberons de 270 ml. Un biberon de 150 ml. Ils sont tous les trois à colle large. Ils sont tous les trois anti colique. Ils sont tous les trois à tétine plate. Garantie sans BPA et sans BPS . Ils ont cependant des débit différents les plus gros volume ceux de 270 ml ont une puissance de débit de 2. Le biberon de 150 ml à un débit de 1. Esthétiquement ils sont très réussi. Ils représentent  trois capitales : New York, Paris, Londres. Je suis une habituée de ce type de produit, je n’ai jamais eu aucun souci. La qualité est là, le fait que ce soit en verre est très appréciable surtout pour le lave-vaisselle et la durée de vie des biberons. Bon rapport qualité prix. J’espère que ce commentaire vous sera utile, si vous avez des questions n’hésitez pas</t>
  </si>
  <si>
    <t>Prix défiant toute concurrence Excellent</t>
  </si>
  <si>
    <t>siege relaxant C’est trop bien ce siège massage, c’est vraiment un siège de professionnel très relaxant. Utilisation simple avec un télécommande fourni qu’on peut choisir à quel niveau de corps à masser et contrôler sa intensité. ( cou,dos ,fesse) je suis satisfait de cet achat.  Je vous recommande vivement. Surtout après une longue journée de travail ça nous détend .</t>
  </si>
  <si>
    <t>Lecture Idéal pour les premières lectures</t>
  </si>
  <si>
    <t>très bien Joli sweat. Pas très épais mais tout compte fait, il est bien chaud. Je ne regrette pas mon achat. Merci infiniment pour tout</t>
  </si>
  <si>
    <t>Beau Reçu à la date prévue, jolie ensemble de collier. À voir avec le temps si les chaînes ne rouilles pas. Je recommande.</t>
  </si>
  <si>
    <t>livraison rapide et correcte ça m'a l'air d'être un bon produit, en tout cas aucun soucis depuis que je l'utilise mais je ne peux pas garantir le nombre de feuille que j'imprimerais. car celle d'origine n'a vraiment pas tenue longtemps. (moins de 300 feuilles)</t>
  </si>
  <si>
    <t>Pas pour les peaux sensibles J'ai ce que l'on appelle une peau de blonde. les éclats des noyaux sont trop gros  et irritent. Par contre le mélange des huiles est très agréable</t>
  </si>
  <si>
    <t>Très jolies mais pas vraiment faites pour du running. Chaussure qui est faite essentiellement pour «&amp;nbsp;décorer&amp;nbsp;» mais que je ne conseillerais pas pour le running Trop instables. Taille parfaite. Pour le prix on ne peut pas trop en demander non plus.</t>
  </si>
  <si>
    <t>Ne pas acheter. Arnaque ! C’est inadmissible. L’article est un copié d’un vrai T-shirt Underground Armour. Il s’agit d’une arnaque ! Il y a même une faute d’orthographe sur l’etiquette en espagnol</t>
  </si>
  <si>
    <t>change de fuseau horaire sans intervention vous regardez l'heure, vous dites: je suis en retard pour tel ou tel chose, et après vous remarquez que l'affichage du jour est dans une autre langue, et l’osque vous et que vous remettez les bons paramètres, vous avancez d'une heure ou plus! a par ce souci les paramètres change bien au changement d'heure été hiver.</t>
  </si>
  <si>
    <t>Prends une taille au dessus J’aime bien les baskets</t>
  </si>
  <si>
    <t>Excellent qualité prix Bouilloire pratique avec un temps de chauffe rapide et pas trop de bruit. La couleur bordeaux marron change des coloris classiques.</t>
  </si>
  <si>
    <t>Très bon produit Privé</t>
  </si>
  <si>
    <t>Sympa. Légère et confortable mais pas aéré. Rajouter une semelle intérieure.</t>
  </si>
  <si>
    <t>Très bonne qualité Ces câbles répondent parfaitement à l'attente que j'avais, je suis audiophile, je voulais de bons câbles pas trop cher pour une seconde installation hifi, ils sont parfaits. Son clair et riche.</t>
  </si>
  <si>
    <t>parfait conforme à leur description et à la photo un joli design, mais surtout très agréable, car elles sont super confortables</t>
  </si>
  <si>
    <t>Le confort absolu Pour voyager et marcher il est d un confort super!</t>
  </si>
  <si>
    <t>Parfait Tres bon produit</t>
  </si>
  <si>
    <t>Impec a voir dans le temps Bonne pointure</t>
  </si>
  <si>
    <t>Basket converse Correspond bien au descriptif.  Bonne qualité  et belle tenue.  je recommande cet article . La fille est ravie de ses baskets</t>
  </si>
  <si>
    <t>IMPECC NICKEL</t>
  </si>
  <si>
    <t>ras Ras</t>
  </si>
  <si>
    <t>Excellente table usage quotidien, attention prévoir un autre sac car qualité médiocre</t>
  </si>
  <si>
    <t>Très sympa Je viens juste de le recevoir et j'ai testé, ça marche bien et c'est très agréable. La lumière qui simule progressivement le levé du soleil du rouge pale au blanc intense, programmable de 10 à 60mn avant l'alarme de son chois (plusieurs sons prédéfinis ou radio de son choix) Bien aussi les réglages séparés affecté aux fonctions (son, alarme...) et le réglage endormissement avec lumière simulant le couché de soleil Manuel en français c'est bien ;-) Le seul point négatif, est que les radios se prérèglent automatiquement (il y en a 27 !) et que l'on ne peux les classer dans l'ordre que l'on veux. Mais bon... On verra pour le réveil en situation, après expériences. Mais très bon ressenti pour l'instant</t>
  </si>
  <si>
    <t>Original Bonjour,  Rien à redire, c'est des cartouches originales Canon, elle remplit donc bien ses fonctions et de bonne qualité pour moins cher que dans le commerce traditionnel.</t>
  </si>
  <si>
    <t>Bon produit je recommande</t>
  </si>
  <si>
    <t>bonne qualité conforme au descriptif et aux attentes</t>
  </si>
  <si>
    <t>son confort Idéal pour tous les jours</t>
  </si>
  <si>
    <t>C mignon J'aime beaucoup la manière dont la légende est racontée et l'on redécouvre un très grand nombre de héros de la mythologie grecque dans ce feuilleton. Contrairement à Ulysse où je me suis perdu, tout comme lui, dans ses allées et venues à travers les iles et les péripéties, cette histoire est un subtile mélange de douceur, d'émotions et de rebondissements</t>
  </si>
  <si>
    <t>Lacoste Super</t>
  </si>
  <si>
    <t>risque de brûlures A proscrire pour un usage familial avec enfants car réels risques de brûlures. Lorsque vous l'actionnez toute la bouilloire devient , brûlante  à part la poignée. Même au travail et étiquette de mise en garde, l'un de nous l'a bien regretté. Nous allons la remplacer à cause de ce principal défaut.</t>
  </si>
  <si>
    <t>Très déçu Pas fiable. Compte les pas même lorsque l’on ne marche pas !!!</t>
  </si>
  <si>
    <t>Nul Très déçu au bout de 3 fois porte le fermoir magnétique ne fonctionne plus. Je vous le déconseille</t>
  </si>
  <si>
    <t>Système de fixation trop complexe Qualité sans doute très bonne mais même pas essayé car trop de vis, de fils, de truc et machins à fixer mon smartphone devient une usine à gaz et perd l’intérêt de son côté pratique toujours à dispo dans la poche. Du coup retour pour ma part.</t>
  </si>
  <si>
    <t>pointure à revoire, je chausse du 47 commandé du 45 après 2 retours Bonjour, je suis très satisfait, elles sont classes et confortables pour des chaussures de sécurité !!! en revanche la pointure est a revoir, je chausse du 47 donc commandé du 47, trop grandes !!!!! je commande donc du 46 encore trop grandes et je finalise ma commande par du 45. quel gâchis, 3 livraisons, des frais de port et du temps ( 3 semaines) à faire des renvoient etc... conseil =&amp;gt; pointures au égale et supérieur à 45 =&amp;gt; - 2 pointures   pointure inférieur à 45 =&amp;gt; - 1 pointure</t>
  </si>
  <si>
    <t>conforme à l'annonce Le délai de livraison est rapide, produit tout à fait conforme à l'annonce, je recomande vivement, joli cuir qui va mettre utilse pour faire des collier avec pendebntifs en plastique fou</t>
  </si>
  <si>
    <t>Bien Bon débit pour le lait maternel, et artificiel, les tailles M sont trop rapides pour mon bébé. Par contre elle a du mal avec la forme</t>
  </si>
  <si>
    <t>Vraiment belle et moins chère qu'en bijouterie ou boutique fossil 37€ d'ecart Top classe élégante a voir dans le temps ai niveau fiabilité mais vraiment belle et originale... Et 40€ moins chère chez Amazone que dans la boutique fossil. Top livrée en, deux jours en plus</t>
  </si>
  <si>
    <t>Taille long Stretch et confortable prendre une taille en dessous.</t>
  </si>
  <si>
    <t>Pratique et agréable à porter Look sympa, léger et bien taillé, chaud et confortable, très satisfait</t>
  </si>
  <si>
    <t>Cher mais parfum tellement agreable et durable A utiliser pour le linge de maison tant son odeur est agréable. Prix trop cher à utiliser avec parcimonie, c'est pouquoi je le réserve  au linge de maison.</t>
  </si>
  <si>
    <t>EXCELLENT PRODUIT Economique, il a un excellent rapport qualité prix et mérite d être commandé en pack avec le papier WC. Un autre avantage étant que lorsque vous allez faire des courses en super marché l encombrement de tels produits est extrême alors qu ici il est livré, juste à stocker... CONSTAT Alors que d autres essuies tout ou papier toilettes ne conviennent pas pour laver les vitres ou glaces car peluchent, celui ci est formidable, ne pluche pas et juste avec un peu de vinaigre blanc permet de rendre une vitre comme neuve et sans effort.</t>
  </si>
  <si>
    <t>baskets sneakers idéales ,couleur fun§ J'ai acheté ces baskets pour mon fils de 18 ans qui les met pour sortir habillé en jeans ou en jogging.Il les trouve trop "classes" par sa couleur et son style. la taille 42 est conforme .et l'envoi s'est fait rapidement puisque je les ai reçues le 01/12 au lieu du 03/12! Bravo au vendeur pour son efficacité.</t>
  </si>
  <si>
    <t>Cadeau Acheté comme cadeau de fin d'année, ses acquéreurs en sont satisfait !</t>
  </si>
  <si>
    <t>Parfait! Je l'ai acheter Lundi et je l'ai recu Mardi! Impeccable livraison! Et le produit est aussi bien decrit, marche super bien sur mon Audio Technica AT2020, la housse est enorme! elle couvre tout le micro!! Superbe achat :D!</t>
  </si>
  <si>
    <t>Satisfait Malgré un retard a la livraison prévue suite un problème de transit du transporteur , je fus surpris par l'emballage plastique , craignant une vulnérabilité pour son contenant . Il n'en fut rien cette sacoche  est ce que j'attendais , bonne qualité de cuir , fabrication soignée, facilité de mise en place , poches bien adaptées et bon rangement Très bon produit, je le recommande</t>
  </si>
  <si>
    <t>MASSAGE DE PRO Très agréable et efficace, juste un peu lourd mais le résultat est là !</t>
  </si>
  <si>
    <t>Satisfaite Cet appareil de massage pied est conforme à la description sur Amazon. Il combinent la pression des doigts, le pétrissage, le rouleau, le grattage, coussin gonflable et une fonction de chauffage, offre un massage complet pour soulager la fatigue des pieds. Il a une protection contre la surchauffe et s’éteint automatiquement quand le temperature plus de 85 degrés. Il a 15 minutes de fonction d'arrêt automatique. Avec télécommande, on peut choisir le mode ou la force.  La couverture intérieure est amovible, elle est facile à nettoyer. La température de chauffage est réglable en 5 vitesses. Il utilise également une fonction de chauffage avancée pour soulager les tensions musculaires et favoriser la circulation du sang.</t>
  </si>
  <si>
    <t>super j'ai offert cette montre à ma fille de 15 ans, elle est super contente elle adore et je suis contente de mon achat</t>
  </si>
  <si>
    <t>impeccable j'ai acheté ce collier pour un cadeau à une amie - elle est enchantée</t>
  </si>
  <si>
    <t>Bon marqueur Très efficace sur le tableau en verre noir acheté chez le même fournisseur</t>
  </si>
  <si>
    <t>Bon qualité prix Basket conforme à sa description,qualité prix raisonnable tout les coutures sont bien cousu et la forme aussi et sympathique le seul problème que le basket n’arrive pas rapidement juste patienter deux à trois semaine sinon correct sur l'ensemble.</t>
  </si>
  <si>
    <t>au top !! coupe adapté, parfait pour camoufler quelques rondeurs !! La matière est sympa,  agréable à porter et la couleur correspond à la commande !!</t>
  </si>
  <si>
    <t>Excellente qualité / très bonne écoute Je pratique du Home Studio avec ce casque audio en amateur, et il est suffisant pour ce que je produis.  Il est très confortable pour les oreilles, il y a une excellente restitution sonore, il y a des accessoires pratiques, et pour le prix c'est une très bonne affaire. Je vous recommande vivement ce produit.</t>
  </si>
  <si>
    <t>Bof Pas sur qu'il y ait de l'effet sur moi.... A voir sur d'autres personnes. Reçu rapidement. Je le garde depuis des semaines dans ma poche rien n'a changé.</t>
  </si>
  <si>
    <t>Pas vraiment bon qualite Pas vraiment bon quality</t>
  </si>
  <si>
    <t>Contrefaçon Pas cher mais en fait ce sont des fausses. Honte à vous de tromper les clients. Il suffit de regarder la qualité pour s en rendre compte. Je vous les renvoie mais il y a tromperie sur la marque</t>
  </si>
  <si>
    <t>Excellent rapport qualité-prix Rien à redire sur la qualité de ce film alimentaire, seul bémol : il est arrivé sans le zip qui permet de le découper et cela reste très difficile de le faire sans ce petit complément à mettre au bord de la boite.</t>
  </si>
  <si>
    <t>bonne affaire , vu le prix ! c'est ma 2 eme paire en 4 ans</t>
  </si>
  <si>
    <t>Super rapport qualité prix! Je cherchais un pied de micro et je suis tombé la dessus. Je suis producteur de musique et j'ai l’habitude d'acheter du matériel pro pour mon studio d'enregistrement. Donc je ne me faisais pas trop d'illusions sur cette article. Bonne surprise le micro est pas si mal bien qu'un peut métallique et le pied tient bien. Attention ce micro nécessite une alimentation 48 Volts fournies que par les cartes sons pro.</t>
  </si>
  <si>
    <t>Un peu lourdes. C'était un cadeau mais la personne en est contente,. Bien qu'un peu lourdes et donc fatigantes pour une grande marche.</t>
  </si>
  <si>
    <t>Un zippo vintage Zippo a réédité cette version 1941. Il est un peu plus petit et arrondi que les modèles classiques, un léger look vintage. Les faces sont brossées et les cotés polis miroir. Toujours le petit clic typique à l'ouverture, et l'allumage au quart de tour. La marque est gravée discrètement sur la face avant et peaufine l'ensemble (la gravure ne se voit pas sur la photo utilisée sur le site). Si vous recherchez un briquet pas cher, sobre et rétro, il est vraiment sympa. Livré dans une petite boite cartonnée, ainsi qu'une fichette explicative sur les différences avec les briquets actuels de la marque. Sinon, n'oubliez pas l'essence pour pouvoir vous en servir ...</t>
  </si>
  <si>
    <t>produit bien coupé Produit bien coupé et qui semble de qualité.</t>
  </si>
  <si>
    <t>Ravie J adore ! ! ! !</t>
  </si>
  <si>
    <t>Claquettes sympa Claquettes confortables, un peu étroits mais elles se feront</t>
  </si>
  <si>
    <t>très confortable et légère en poids comme décrit</t>
  </si>
  <si>
    <t>Pas pour les douillets Ma compagne l'utilise pour son mal de dos, Ça fait un bien fou même si c'est à la limite de le douleur !</t>
  </si>
  <si>
    <t>Prendre la taille au dessus de la vôtre. Au départ c'était pour faire du sport mais j'ai  vite déchanté. Il taille une pointure en dessous de la taille désiré.</t>
  </si>
  <si>
    <t>ravie ravie</t>
  </si>
  <si>
    <t>La Rolls-Royce du casque gaming J’ai eu pendant 1 an l’ancienne version de ce casque dont j’étais moyennement satisfait sur la qualité ainsi que le son.  Ici j’ai été époustouflé de la qualité de finition du casque et la qualité audio réellement différente pour le gaming, nous avons vraiment une entreprise une société qui améliore nettement ses produits et prend en compte les erreurs du passé pour vous faire un casque GAMING d’excellente qualité.  Est-ce que je commanderais à nouveau à Astro ? Oui sans hésitation les yeux fermés.</t>
  </si>
  <si>
    <t>Un vrai bonheur Top, rien à dire de plus...</t>
  </si>
  <si>
    <t>Parfait Parfait pour mes  cours</t>
  </si>
  <si>
    <t>Bon produit Objet facile à monter et de bonne qualité. Je recommande ce produit. Je vous conseille un petit filtre anti pop comme sur ma photo pour une prise de son optimal</t>
  </si>
  <si>
    <t>Pinceaux Bons articles</t>
  </si>
  <si>
    <t>Entièrement conforme à  nos attentes. Très  efficace et pratique au quotidien. Le porte toast évite de se brûler avec les tartines grillées. Ergonomique et design il a parfaitement trouvé  sa place.</t>
  </si>
  <si>
    <t>Il ne bouge pas Vraiment parfait taille très bien.</t>
  </si>
  <si>
    <t>On en a pour son argent, rien de plus. Je me permets un avis sur ces chaussures car j'en ai pris 4 paires en quelques mois. Je pense donc avoir un avis éclairé de part l'expérience acquise. Ces sneakers sont jolies, sympas, confortables (sans exagération, mais sans inconfort probant non plus). Par contre, et c'est là le gros pb de ce modèle, c'est que le tissu se déchire SYSTEMATIQUEMENT au bout de quelques semaines au niveau du talon. Toutes mes paires ont eu le meme souci ... En gros, c'est de la m****. Mais c'est aussi peu cher. Donc ...</t>
  </si>
  <si>
    <t>Design sympa mais... Produit renvoyé car synchroniser sur une TV très récente, le bluetooth se deconnectait constamment. Par ailleurs contrairement a ce que j avais pu lire le son était loin d être qualitatif. De plus lorsque il était connecté le volume maximum était très très faible... Ça commence a faire beaucoup pour le prix....</t>
  </si>
  <si>
    <t>taille petit bonne chaussure , au départ le talon surprend un peu mais on si fais . par contre je vous conseil de prendre une voir deux taille au dessus car chausse petit . aussi non bon c'est un bon rapport qualité prix.</t>
  </si>
  <si>
    <t>Bof Je pensais qu’il y avait un goupillon biberon et un goupillon tétine mais non, il n’y a qu’un goupillon biberon qui d’apres eux peut également s’utiliser sur les tétines mais je n’ai pas encore testé</t>
  </si>
  <si>
    <t>génial chaussures reçues en temps et en heure, conformes au descriptif. Un vrai plaisir à porter, en même temps je connaissais déjà et je reste fidèle à la marque !</t>
  </si>
  <si>
    <t>Très content La bouilloire rempli bien son rôle. Utilisation intuitive. J'aurai seulement aimé pouvoir annuler la sonnerie que je trouve un peu forte.</t>
  </si>
  <si>
    <t>produit sans problème résistant apparemment livraison rapide pas de soucis à l'air solide</t>
  </si>
  <si>
    <t>satisfait mais peu mieux faire Produit de qualité déjà passé en machine et rien n'a bouger,plus un produit d'automne au d'hiver,la capuche n'est pas désagréable</t>
  </si>
  <si>
    <t>Rigide Très beau sac et bcp de poches. A vrai dire,  je suis tres satisfait et je le conseille à tout le monde. Brillant et lisse, il permet de ranger tous les papiers importants et portefeuille pour 1 voyage .</t>
  </si>
  <si>
    <t>brassiere parfait je ne mets plus que ca beaucoup mieux que les soutiens gorge la poitrine est parfaitement maintenue et la matiere est top</t>
  </si>
  <si>
    <t>Beau design Agréablement surprise par le design de cet objet .. il se marie très bien dans n importe quel intérieur ... la diffusion d huile essentielle est très agréable et à plusieurs niveaux d intensité .. la diffusion de coupe automatiquement après le temps souhaitée et les lumières sont très relaxante .. parfait dans n importe quelle pièce de la maison pour purifier l air ou juste apporter une odeur agréable ...</t>
  </si>
  <si>
    <t>Tres chaud Super confortables, bien chauds pour l'hiver et ils tiennent bien aux pieds! Niveau qualité  rien a dire ,ils sont top belle finitions</t>
  </si>
  <si>
    <t>parfait ALORS LA RIEN A DIRE C TRO BIEN</t>
  </si>
  <si>
    <t>Bonne qualité j'ai acheté ce produit pour mon fils qui va commencer à faire des peintures très bon produit on va tester sa rapidement</t>
  </si>
  <si>
    <t>Bien Bien  a l'aise et type sports</t>
  </si>
  <si>
    <t>Parfaite pour lait + farine On les utilise depuis longtemps (2 enfants) et elles sont très résistantes. Les taille 4 sont idéales quand on rajoute des farines dedans.</t>
  </si>
  <si>
    <t>Très bon article Impeccable ! La sacoche se porte avec tout, pratique et peu encombrante elle correspond à mes attentes. Je vous la recommande.</t>
  </si>
  <si>
    <t>Excellent intra Après 1 semaine d'essai de ces oreillettes je les ai adopter. Après réglage du son via mon note 10+ et via l'appli sony j'ai le son qui me correspond à ce que j'aime et les intra reproduise fierement ce bon son que je trouvez sur des casques de grandes marque très réputées.  La batterie tient ça promesse avec une tenue de plus de 6 h sans rien activer. Aucun problème de connection avec le téléphone pendant les écoutes. Un réducteur de bruit excellent et qui à était améliorer avec la mise à jour du 27 aout.  Ces intra arrive à produire un excellent son avec une tenu en oreille impeccable, une tenu de batterie excellente pour des intra (1 journée entière et plus via la boite).  Je mettrais à jour mon avis si je découvre des soucis. J'espère que Sony va continuer à mettre à jour le produit pour régler les soucis qu'il y'a pour certains.</t>
  </si>
  <si>
    <t>Satisfait ! Je suis satisfait du produit. Il est très beau et pratique.</t>
  </si>
  <si>
    <t>Facile à prendre en main, répond au besoin Livré avec un petit rouleau de labels. Compatible avec les rubans D1 vendu par Unistar. Prise en main facile - ma fille de 6 ans peu étiqueter ses affaires toute seule. Au démarrage le ruban se bloque mais c'est juste que nous avons pas encore compris la longueur minimale qui doit dépasser avec un nouveau ruban (pas de problème de bourrage avec un ruban déjà installé).</t>
  </si>
  <si>
    <t>Radio pilotée et solaire Elle correspond parfaitement à mes attentes tant esthétiques que techniques.</t>
  </si>
  <si>
    <t>Le bracelet s'adapte parfaitement! Il est de bonne qualité et est très facile a mettre grâce aux outils fournit avec. Je recommande!</t>
  </si>
  <si>
    <t>Baskets temps des cerises Bonnes chaussures correspondent bien à la taille indiquée.</t>
  </si>
  <si>
    <t>Ne vaut pas plus que son prix soldé Joli montre mais qualité cohérente avec le prix de 27 €. Quand on voit le prix de départ de 133 €, on se dit quand même que les acheteurs qui ont payés ce prix (s'ils existent) se sont bien fait avoir. Les boutons semblent inopérants pour les fonctions qu'ils commandes mais fonctionnent quand mm, c'est juste qu'il n'y a aucune sensation d'appui. Le bracelet est réglable mais l'outil fourni se tord car les tiges métalliques devant être déboitées sont difficiles à déloger. La fermeture semble assez légère et fragile. Maintenant il faut reconnaître que la montre fait son effet en terme de visuel et à ce prix il n'y a rien à dire. Mais elle ne vaut pas plus. Je rajoute également que le revêtement s’efface malgré une utilisation occasionnelle (voir photo), sachant que je ne l’ai que depuis fin juin.</t>
  </si>
  <si>
    <t>cartouche encre HP 62 pack grosse arnaque je viens d’ouvrir et placer ma cartouche couleur et elle est vide, j’ouvre la seconde du pack de réserve et vide également !</t>
  </si>
  <si>
    <t>Déçu Déçu de la qualité après coup après 1mois d utilisation je me rend compte que l écusson de côté du sigle converse s efface je doute donc de l originalité du produit</t>
  </si>
  <si>
    <t>Fait le job, sans plus Pour aller droit au but, j'ai acheté un produit "recommandé par Amazon" et c'est bof sans plus. Ok il fait le job, mais ma fille à eu des allergies aux oreilles et visage... à cause du casque. Il vaut mieux mettre un peu plus et prendre un JBL T450 (ou 460), le son est là très bon, il est très confortable, etc...</t>
  </si>
  <si>
    <t>Longueur ok mais taille trop basse Qualité très correcte, livraison dans les dé,avis. La longueur est bonne mais ce pantalon est mal coupé, c’est une taille très basse, trop basse.</t>
  </si>
  <si>
    <t>bien bien</t>
  </si>
  <si>
    <t>satisfaite de ce collier c’est un collier qui repond a mes attentes en matiere de solidite . il est simple a mettre en plus d’etre beau. mon fils le porte depuis une semaine et il a 4 mois. mon premier en avait un egalement et il a fait ses dents sans difficultes.</t>
  </si>
  <si>
    <t>Long mais bon ^^ Long à la chauffe mais conserve tous les nutriments, Conforme au descriptif et à la photo, de bonne qualité, satisfait de mon achat,</t>
  </si>
  <si>
    <t>Un basique Cette bouilloire est assez basique. Je l'ai acheté pour l'installer sur mon lieu de travail et remplit bien ses fonctions. Cependant, elle donne une impression très plastique, et ça me gènerais à la longue. Elle est très simple d'uilisation et très intuitive, le manuel est presque inutile. Le cordon est assez long même si comme toujours j'aurais préféré que ce soit plus.</t>
  </si>
  <si>
    <t>Tout chou!! J'adore!!! En général je ne suis pas fan de ces grosses pierres bleues en forme de cœur, mais là le cœur n'est pas trop grand et le koala est aussi dessus. Donc pas trop imposant!!!  Je suis satisfaite de ce collier que j'offrirai à ma filleule. Le + la boite en écrin et le petit chiffon de nettoyage. Reste à voir la qualité avec le temps...  Je recommande complètement ce produit</t>
  </si>
  <si>
    <t>très jolie superbe plus beau que sur la photo</t>
  </si>
  <si>
    <t>Recharge J'achète ces recharges pour mes enfants et moi, pour mes enfants pour l'école et pour moi pour la couture. Le stylo s'efface à la chaleur, donc pratique pour la couture pour tracer sur le tissus, il s'efface au fer au repasser. Pour mes enfants ils aiment le fait que ça s'efface avec une gomme prévu pour ces stylos.</t>
  </si>
  <si>
    <t>Un objet devenu indispensable à la maison Nous nous en servons presque quotidiennement et il m'a évité quelques séances chez le chiropracteur en détendant les muscles du bas du dos. Il est un peu bruyant, mais ce n'est pas gênant même en regardant la télé.</t>
  </si>
  <si>
    <t>Une jolie casque avec bon qualité Agréablement surpris par ce casque Le casque est très agréable à utiliser, il est léger, le qualité du son est très bonne. La connectivité bluetooth permet de ne pas avoir de cable, et cela est très pratique. Je recommande.</t>
  </si>
  <si>
    <t>Bon pour certaines prises. Evite des reflets vers le microphone, c'est pas une cabine mais le prix n'est pas le meme!</t>
  </si>
  <si>
    <t>Superbes Anneaux de belle qualité pour un prix modeste.</t>
  </si>
  <si>
    <t>Fini les douleurs Un bonheur pour les lombaires!!!! Chauffe facilement au micro onde et diffuse une chaleur pendant un petit moment. Mieux que les poches de gel à mon goût!</t>
  </si>
  <si>
    <t>feutre feutre</t>
  </si>
  <si>
    <t>Repond a mes attentes meme plus avec le truc pour découper les angles Superbe plastifieuse !  Je recommande +++++ 👍</t>
  </si>
  <si>
    <t>Bon produit Le bracelet est joli, c’était un cadeau pour une amie qui l’a beaucoup apprécié. J’aime beaucoup l’arbre de vie au milieu. Livraison très rapide comme indiquée.</t>
  </si>
  <si>
    <t>Bien pour enfant Acheté pour offrir à un enfant. Les pierres ont l'air belles et variées, mais assez petites. Le descriptif précise les dimensions de la boite : 12 x 10 cm. Ce qui fait 12 compartiments d'environ 3 X 3 cm. La variété des petites pierres permet de commencer une collection pour un enfant. Donc, bon produit.</t>
  </si>
  <si>
    <t>Enfin des tennis pour pieds larges Enfin des tennis adaptées aux pieds larges et de pointure supérieure au 47 !!! Souvent on ne trouve pas des chaussures adaptées au pieds larges dans des pointures supérieures au 47. Résultat obligés de commander 2 pointures au dessus ce qui est également très difficile à trouver sur internet et quasiment impossible même dans des magasins spécialisés</t>
  </si>
  <si>
    <t>un grand classique - toujours aussi efficace l'arme absolue près des litières des chats. nul besoin de le faire brûler pour que le papier d'arménie soit déjà efficace</t>
  </si>
  <si>
    <t>bof trop juste en taille, ne monte pas assez au niveau du ventre.</t>
  </si>
  <si>
    <t>Sac bandoulière C'est un sac trop grand et pas trop solide</t>
  </si>
  <si>
    <t>C décevant C beau comme sac mais la qualité pas terrible la ceinture tu peux pas le serrer et ça descend tt seul vu le prix c est pas donné</t>
  </si>
  <si>
    <t>Un peu trop masculin pour moi Finalement, trop lourd et masculin à mon goût.  J'ai un trop petit poignet pour ce type de bracelet.  Dommage car c'est exactement le type de fermeture que je cherchais pour ma montre charge 2.</t>
  </si>
  <si>
    <t>Produit de bonne qualité J ai acheté ce produit car partant en vacances et ne pouvant plus m exposer Trop au soleil, j ai donc acheté ce produit qui est très agréable à porter.</t>
  </si>
  <si>
    <t>De la qualité digne de Bose. Très bonne qualité, que ce soit sonore, qu'esthétique, je le porte presque tout au long de la journée, parfois j'oublie qu'il sont là.</t>
  </si>
  <si>
    <t>Fait le job, mais pourrait mieux faire Bien qu'elle soit un peu trop massive pour moi (= lourde et encombrante), elle est agréable à utiliser. Par contre, l'interface pourrait être largement améliorée, avec des modes de saisie optimisée : j'aurai aimé que les derniers caractères spéciaux utilisés soient affichés en premier, au lieu d'avoir à chaque fois besoin de les chercher à la 5eme ligne, 3eme colonne :-(</t>
  </si>
  <si>
    <t>Bien Joli lot d'huiles essentielles, bien présenté, flacons solides et plutôt biens remplis à la réception. Je n'aime pas forcément toutes les odeurs (arbre à thé par exemple), et certaines sont moins concentrées que d'autres, il faudra donc en mettre un peu plus dans le diffuseur.</t>
  </si>
  <si>
    <t>Excellent rapport qualité/ prix Usage courant Très compacts et jolis</t>
  </si>
  <si>
    <t>Excellent Pour une première expérience, je les trouve parfaits  vraiment j'étais septique mais la qualité est là (en utilisant galaxy wearable) et l'esthétique est vraiment bien 😊</t>
  </si>
  <si>
    <t>Des oreillettes bluetooth idéales pour le sport Ces écouteurs bluetooth sont de bonne qualité. Livrés avec leur boitier de recharge, très pratique pour prolonger l'autonomie de la batterie. Ces écouteurs sont compatibles bluetooth 5.0. Une fonction réduction de bruit est présente. De plus ils sont étanches donc parfaitement résistants à la transpiration. Un micro est présent sur ces écouteurs. L'autonomie de ces écouteurs est très bonne. Bref, après plusieurs jours de test ces écouteurs sont idéaux pour le sport. Je recommande vivement.</t>
  </si>
  <si>
    <t>Intemporel Fidèle à la marque</t>
  </si>
  <si>
    <t>Top Parfaite ! Prix imbattable ! Un classique ! Le produit que j'ai reçu est bien authentique</t>
  </si>
  <si>
    <t>Bel article Belles boucles, élégantes en argent et perle avec un liséré doré. Livrées rapidement. Super en cette période de fêtes.</t>
  </si>
  <si>
    <t>Très satisfaite Très beau pendentif avec sa chaîne ! Bonne qualité Une belle idée de cadeau à petit Prix Fait son effet</t>
  </si>
  <si>
    <t>Casque d'écoute stéréo :  Gritin in Ear Casque stéréo métallique super juste Whaooo !!! Le son TOP on se croirait dans une salle de ciné avec le son - ciné !!! très bon casque que je recommande et je vais attendre un peu l'essayer plus, quelques jours et si je suis encore satisfaite, j'en rachèterai un autre même deux surement; Et puis Quel Prix !!! ha oui j'oubliais envoyé avec son petit sac noir mignon tout plein !!! très trop contente !!! ha oui aussi envoie parfait!!!</t>
  </si>
  <si>
    <t>Bien Ça va</t>
  </si>
  <si>
    <t>Chaussures de sécurité Bonne qualité. Anti dérapant, coque de sécurité. Très bien pour bosser</t>
  </si>
  <si>
    <t>Très bonne paire de bottes Confortable</t>
  </si>
  <si>
    <t>Très bien J'ai commandé du 100E, taille très bien. Je l'utilise pour le sport, très agréable.</t>
  </si>
  <si>
    <t>Que du bonheur ! &lt;div id="video-block-R1R3SJLI7IJVQY" class="a-section a-spacing-small a-spacing-top-mini video-block"&gt;&lt;/div&gt;&lt;input type="hidden" name="" value="https://images-eu.ssl-images-amazon.com/images/I/A1TcrunpjIS.mp4" class="video-url"&gt;&lt;input type="hidden" name="" value="https://images-eu.ssl-images-amazon.com/images/I/81triRza4XS.png" class="video-slate-img-url"&gt;&amp;nbsp;Etant commercial itinérant, et donc marchant beaucoup tout au long de la journée, mes pieds me faisaient mal. Je me suis procuré ce masseur de pieds depuis 4 jours et je suis content, surtout mes pieds.  L'appareil est facile d'utilisation, il suffit de le brancher et de choisir le niveau de pression. 2 types de massages, soit par roulette, soit par pression. Il y a également un mode chaleur qui permet d'apaiser les pieds. Que du bonheur.  Un petit reproche, il faut s'habituer au masseur car au début il peut faire mal en massant fort, question d'habitude.  Sinon je suis tout a fait satisfait de cette machine</t>
  </si>
  <si>
    <t>Belle évolution Je viens de remplacer mon ancienne imprimante brother après 10ans de fidèles services il était temps de changer.  Je dois dire que je suis toujorus aussi content de Brother, le gros plus est la fonctionnalité R/V.</t>
  </si>
  <si>
    <t>efficace J'ai utilisé une fois ce produit. Il nettoie bien.</t>
  </si>
  <si>
    <t>Se vide à toute vitesse impossible de faire 400 pages avec. Si l'on en imprime 200, c'est bien le bout du monde. Bientôt des tests indépendants sur les cartouches d'encre constructeur, comme avec les moteurs diesel ? Pourquoi avoir toujours besoin de mentir pour vendre un produit ?</t>
  </si>
  <si>
    <t>Déçu... produit defectueux. Je ne sais pas comment se fait-t-il que les commentaires soient aussi bons, mais je suis assez déçu de ces écouteurs pour ma part.  Premièrement, l’écouteur droit à tendance à grésiller. Le produit me semble defectueux... est-ce que je peux demander un remboursement ?  Ensuite, niveau praricité c’est très moyen. Le cable est très long. Il se prend partout, et m’arrive presque au niveau des genoux quand je suis debout et que je tiens mon portable dans les mains pour une utilisation normale.  Aussi, la molette volume est pas pratique non plus. Je pensais que ce serait des boutons qui contrôlent directement le volume du smartphone. Cependant c’est indépendant. Je dois contrôler le volume de l’appareil et le volume des écouteurs...  Point positif, la mousse est très innovante et donne un super rendu d’isolation, et de confort ! Dommage pour tous ces points négatifs...  [EDIT] Bon, finalement, l’écouteur qui grésillait a finit par lâcher. Un jour et demie d’utilisation.</t>
  </si>
  <si>
    <t>Se décolle assez vite sur la durée Avis mitigé parce que sur le moment cela adhére plutôt bien mais sur la durée il faudra passer par la case "à remplacer" voilà sinon cela dépanne très bien et j'en ai toujours à la maison</t>
  </si>
  <si>
    <t>Étiquettes pour impression de timbres Pour editer les timbres sur le site de la poste mais à l'impression les timbres ne sont pas tout à fait entiers</t>
  </si>
  <si>
    <t>Produit correct Sur les 3 paquets, j'en ai reçu un qui était percé (2 trous dans le bas du sachet). Il manquait quand même 100 grammes. Sinon les autres produits font bien leur poids, 514 grammes (doseur et sachet plastique compris)</t>
  </si>
  <si>
    <t>Produit tout à fait correct Voilà des écouteurs sans fils de la marque UMI livrés dans leur coffret avec un câble USB fourni. Pour information, nous les avons testés, avec ma fille, sur iPhone et nous possédons par ailleurs les fameux Earpods de la marque à la pomme...  POINTS POSITIFS et CARACTERISTIQUES : - Ils sont beaux et le boitier reçu fait "chic" : très bonne impression à la réception. - La connexion au téléphone s'est faite en toute simplicité et rapidement. A peine les écouteurs sortis de leur boitier, ils sont détectés par le téléphone. Pour les connecter, rien de plus simple : aller dans "réglages" puis "Bluetooth" et sélectionner "W Wireless earphone". Et c'est fait... - Pour connecter ces écouteurs, il faut les sortir du boitier et pas seulement l'ouvrir. - Ces écouteurs, à la différence des EarPods, sont utilisables avec tous types de téléphones portables et pas seulement avec des Apple. - Chaque écouteurs possèdent plusieurs fonctions et pas seulement une seule contrairement aux EarPods. Par exemple, 1 clic sur n'importe lequel des écouteurs met la musique en pause, 1 nouveau clic la fait re-démarrer. 2 clics successifs rapides sur l'écouteur gauche permet d'augmenter le son,  3 clics successifs rapides sur ce même écouteur, de le baisser. Sur l'écouteur droit, vous aurez les mêmes possibilités mais en faisant l'inverse... - Le temps de charge du boitier est d'environ 60 minutes. - La mise en place des écouteurs se fait sans difficultés et ceux-ci tiennent plutôt bien en place mais nous les avons trouvé un peu moins confortables "à porter" que les EarPods. - Sur le boitier, vous trouverez 3 point lumineux. Celui du milieu concerne le boitier et témoigne de son chargement. Les 2 autres points lumineux (à droite et à gauche) témoignent de la charge de chacun des 2 écouteurs. Pratique et bien pensé. - Sur votre écran de téléphone, en haut à droite, un symbole "casque" atteste de la connexion des écouteurs : cela signifie que cela fonctionne parfaitement. Un autre symbole, une barre verticale, placé juste à coté du casque, reflète le niveau de charge des écouteurs. - Vous avez également le niveau de charge de la batterie qui s'affiche en pourcentage sur votre écran de téléphone (dans les informations) : ex. 100%... Et là, on est bien précis ! - Même si on enlève 1 seul écouteur, la musique continue de jouer dans l'écouteur resté en place. Avec les EarPods, la musique se coupe totalement lorsque l'on retire ne serait-ce qu'1 seul des écouteurs. - La "couverture" des bruits environnants est tout à fait correct même si elle est un peu moins bonne qu'avec les EarPods d'Apple. Mais c'est déjà très bien... - La charge du boitier se fait simplement : il suffit de brancher le câble fourni sur celui-ci et connecter l'autre embout sur un ordinateur via le port USB.  POINTS NEGATIFS : - Attention de bien faire correspondre les petits capteurs des écouteurs à ceux présents dans le boiter quand vous les ranger pour les charger. Il y a un système d'aimant mais parfois cela ne tombe "pas pile" et alors la charge ne se fait pas en raison d'un mauvais contact. Il faut juste rester un peu vigilant sur ce point. Un point lumineux (bleu ou rouge) sur les écouteurs ou sur le boitier est signe d'une bonne adéquation entre les capteurs. -  Concernant le témoin de charge centrale (du boitier), s'il est bleu, le boitier est chargé entre 30% et 100%, s'il est rouge, le boitier est chargé à moins de 30%. Ce n'est pas plus précis que cela ! Donc, quand c'est rouge, il est conseillé de le mettre à charger... Idem pour les écouteurs, si leur témoin lumineux sur le boitier est rouge, ils sont alors à recharger... - Le son est bon, clair et précis mais nous l'avons trouvé "moins "enveloppant", moins "cocon" qu'avec les écouteurs Apple. - Il vous faudra acquérir une prise secteur avec un port USB si vous souhaitez recharger le boitier sur secteur. Il n'y en a pas de fourni. Dommage...  AU FINAL : Des écouteurs d'une qualité tout à fait correct et qui font du bon boulot. Le soucis est que nous ne disposons pas de leur prix, il est donc difficile de se prononcer sur le rapport qualité/prix de cet équipement. S'ils valent autour de 50/60€, alors ils sont particulièrement compétitifs. S'ils avoisinent le prix des EarPods, alors j'orienterai mon choix plutôt vers les Apple si je devais en acheter. Il nous manque donc une information essentielle pour être plus précis sur ce point...</t>
  </si>
  <si>
    <t>Bon rapport qualité/prix Acheté il y a peu donc pas encore testé sous toutes ses coutures, mais pour l'usage quotidien dont j'avais besoin, est très correct pour son prix. Pas le meilleurs confort que j'ai pu avoir (le contact sur les oreilles est un peu trop présent) et l'arceau à une forme étrange (pas assez près du crane à mon gout) mais se connecte facilement aux périphériques, une fois le coup de main pris le changement de chansons, pause... est intuitif et le son est vraiment pas mal compte tenu du prix je m'attendais à bien moins que ça.</t>
  </si>
  <si>
    <t>Chaussons chat J’ai acheté ces chaussons pour une de mes filles lorsqu’elle dormira à la maison. Elle aime les chats. J’espère que cela lui plaira et qu’elle les trouvera confortables</t>
  </si>
  <si>
    <t>Excellent Comme il a été décrit, ça fonctionne parfaitement avec l'adaptateur livré avec iPhone 8. J’ai mis quatre étoiles à cause de la fragilité du câble.</t>
  </si>
  <si>
    <t>Discret et joli J’ai reçu le bracelet dans les temps même si Amazon le considère en retard voir perdu.. Il est personnalisé avec mes choix et cela rend bien même si ce n’est pas gravé.</t>
  </si>
  <si>
    <t>Efficace Très content</t>
  </si>
  <si>
    <t>Genial Génial.  Pratique . Gain de temps n température idéal pour bébé en 3 seconde . Génial pour réchauffer aussi biberon et petit pot . Boite pour stériliser en plus super pratique avec pas mal de place . Je recommande</t>
  </si>
  <si>
    <t>Super Très bonne tétines</t>
  </si>
  <si>
    <t>pas cher et superbe! j'ai pris du 42 pour ma fille qui fait du 41,5 et c'est parfait. 42 euro pour des gazelles, autant dire que c'est cadeau! elle est tres contente et les chaussures sont tres belles.</t>
  </si>
  <si>
    <t>CONVERSE BLANCHES T 37.5 Superbes ! Jamais déçue par cette marque ! la photo correspond bien au modèle. Livré dans les délais. Dans la boite d'origine. Je fais du 38, j'ai suivi les recommandations des acheteurs et j'ai commandé une 1/2 taille en dessous. C'est ce qu'il faut. Je ne sais pas si la taille 37 m'aurait convenu (le 37.5 est très très légèrement trop grand, quoique...) mais ayant déjà essayé du 37 CONVERSE dans des magasins, il chaussait trop petit pour moi. Je suis ravie de mon achat !</t>
  </si>
  <si>
    <t>Pas d'odeur, belle couleur Le style a l'air bien, pas d'odeur. Les couleurs sont belles et le style est généreux. Le tissu est élastique. Livraison rapide. Cinq étoiles,</t>
  </si>
  <si>
    <t>Que du plus article et livraison Conforme à la description</t>
  </si>
  <si>
    <t>Collier et bracelet or blanc Arriver en retard mais sa valait le coup d'attendre. Maintenant j'espère que l'ensemble va plaire ma nièce pour son anniversaire</t>
  </si>
  <si>
    <t>Impec Nickel déjà 5 ou 6 lavages et sèche linge, il ne rétrécit pas, ne s abîmé pas bref bonne qualité comparé à certains sweet discount qui perde 2 tailles en un lavage</t>
  </si>
  <si>
    <t>Très délicate et délicate. J'aime beaucoup ce bracelet en argent. Tout d’abord, le bracelet lui-même est vraiment magnifique. Je dois dire que c'est l'accessoire de bijoux parfait. C'est lisse et confortable à porter. Deuxièmement, il était emballé dans une boîte à bijoux avec un sac en velours séparé à l'intérieur. L'emballage est assez satisfaisant. Enfin, je suis très content de cet achat. Recommande fortement.</t>
  </si>
  <si>
    <t>Superbe ensemble pendentif et boucles d'oreilles Cadeau fait à moi même pour mon anniversaire. Le pendentif et les boucles d'oreilles sont magnifiques. Je ne suis pas déçu. Le bijoux est vendu avec un petit tissus pour nettoyer. Livré dans un jolie écrin.</t>
  </si>
  <si>
    <t>Des bons moments en perspective. Ma petite fille qui a 2 ans adore</t>
  </si>
  <si>
    <t>montre génial cette montre est très efficace le seul reproche que je lui ferait : elle n'est pas étanche donc pas de bain ,pas de piscine ni de plage</t>
  </si>
  <si>
    <t>maniables et de bonne qualité Un vrai plaisir : alors que mes précédents écouteurs souffraient d'être transportées dans un sac, celle-ci tiennent la route : elles se replient d'elles-mêmes, trouvent la forme nécessaire. Sinon, rien à dire sur le son, qui est ample et tout à fait correct, y compris pour autre chose que des gros beats et des grosses basses.Tout à fait correct pour un produit de cette gamme. Belle finition, pas étonnant que je vois souvent des gens avec le même modèle dans la rue...</t>
  </si>
  <si>
    <t>Pas trop aimé... J'ai les mêmes en blanches qui me vont parfaitement et que j'ai achetées à de nombreuses reprises. J'ai voulu essayer en noir mais les noires me semblent plus étroites et du coup bien moins confortables, ou alors c'est le cuir qui est moins souple. Pour le style, elles ne font pas féminines du tout. Bref un effet assez moche. Je les ai renvoyées. Je les conseille en blanc.</t>
  </si>
  <si>
    <t>Défectueux Les petites branches permettant de tenir les écouteurs sont arrivés cassées donc je n' ai pas vraiment pu essayer le produit</t>
  </si>
  <si>
    <t>sennheiser RS5000 Bonjour,  Les embouts sont trop gros Une douleur à l'oreille apparait lorsqu'on l'utilise trop longtemps 1 heure max Bonne qualité Son correct</t>
  </si>
  <si>
    <t>ras galbe bien les mollets et les cuisses</t>
  </si>
  <si>
    <t>Bien Correct</t>
  </si>
  <si>
    <t>Satisfaisant mais problème de taille C'est un bel ensemble de survêtement mais il taille un peu grand, j'ai commandé du M pour être certains, je fais du L normalement et c'est limite encore un peu grand.</t>
  </si>
  <si>
    <t>Sweat Goldman homme C'est un joli sweat pour porter en mi-saison, il correspond bien à ce que je voulais. Couleur, taille, sont juste (attention il taille assez grand,) je prends M habituellement mais le S a suffit. Je l'ai lavé et il n'a pas bougé, donc bon achat.</t>
  </si>
  <si>
    <t>Son équilibré Ce casque circum-aural englobe bien les oreilles. Le port du casque est confortable (arceaux réglables) et les oreillettes isolent bien du bruit extérieur. La finition est superbe mais les boutons de commande sont petits et difficiles à distinguer à l'aveugle.  L'appairage bluetooth est traditionnel. Le son est vraiment bon, les basses un peu moins présentes que sur le JBL Live 400 plus pêchu mais le son est harmonieux. Testé avec plusieurs musiques (Coldplay, Brigitte, Datfpunk, Dire Straits), le son est vraiment bon.  L'application my JBL Headphones permet d'égaliser le son en fonction du type de musique (Jazz, Vocal, Bass, ...). Elle permet aussi de choisir son assistant vocal (Google ou Alexa) que vous pouvez "appelez" en appuyant sur l'écouteur gauche.  Vous pouvez ainsi faire des recherches sur internet, les mains dans les poches ou piloter vos lumières si vous avez paramétrer ses fonctions dans les applications respectives.  Un cable de charge orange est fourni ainsi qu'un cable audio tressé mas pas de pochette textile comme annoncée.  Un bon casque circum aural.</t>
  </si>
  <si>
    <t>Compact et fiable Acheté pour mon père qui se plaignait d'avoir froid au ventre la nuit dans son EPHAD. Remplit parfaitement son rôle d'après lui avec un bouton de réglage assez gros et progressif.</t>
  </si>
  <si>
    <t>Bien utile Bien utile</t>
  </si>
  <si>
    <t>tic-tac silencieux Voici une montre qui me convient tout à fait, sobre, pratique, solide, et tout à fait mon style, plus jamais en retard;</t>
  </si>
  <si>
    <t>Hyper confortable Il a un super maintien pour un soutien sans armature, très confortable à porter et facile à adapter si besoin. Je le recommande.</t>
  </si>
  <si>
    <t>Catouche Je suis très satisfaite de ce produit  ,il est conforme a la description et je  vous le recommande très vivement</t>
  </si>
  <si>
    <t>Classe et la qualité bien présente J'ai pris ce bracelet en marron pour mon copain et il l'adore. Celle ci est livrée dans une petite boite noire, simple mais très jolie et qui permet d'être réutilisée pour ranger le bracelet si besoin. Le bracelet est en cuir et très bien fini et souple, j'ai pu remarquer que portée sur le poignet de mon copain elle donne un style très élégant et classe, la couleur change du noir et reste assez sobre pour pouvoir s'accorder parfaitement à différentes couleurs de chemises ou de pull. Le bracelet est d'excellente qualité, cela fait déjà un moment qu'il le porte et elle ne présente aucun signe d'usure. Je recommande fortement ce produit. Je pense même en reprendre un pour offrir à Noel.</t>
  </si>
  <si>
    <t>excellent produit pour fosses septiques et toutes eaux Pour toute personne isolée en province ,qui n'a pas la chance de posséder letout à l'égout, Ce produit que j'ai testé et comparé à d'autres produits similaires est parfait. Que ce soit pour une fosse septique ou fosse toutes eaux, il supprime les risques d'engorgement et les mauvaises odeurs. Ce très bon produit à employer tous les six mois est à conseiller,et ceci à un prix raisonnable. Claude72</t>
  </si>
  <si>
    <t>Confortable Très confortable facile entretien taille conforme...correspond à  la photo...Je recommande .</t>
  </si>
  <si>
    <t>parfait mais taille petit perfect juste prendre une taille plus grande que la sienne. je fais un bon 39 et j'ai pris du 40 ca me va tout juste</t>
  </si>
  <si>
    <t>parfait le casque est exactement ce que je voulais, il réponds à mes attentes. Livraison parfaite comme prévue.</t>
  </si>
  <si>
    <t>Parfait Parfait pour des impressions tout types. Ma fille en est ravie.. Parfait pour obtenir des photos de toute ses vedettes. Merci Amazon</t>
  </si>
  <si>
    <t>Idéal pour apprendre à lire Parfait</t>
  </si>
  <si>
    <t>Rapport qualité prix excellent Pratique grande capacité</t>
  </si>
  <si>
    <t>bon produit Ce sac convient très bien à mon usage, à savoir transporter une tablette 10 pouces et un casque audio. 2 petites poches utile à l'intérieur qui permettent de transporter un chiffon pour la tablette. Très léger mais solide.</t>
  </si>
  <si>
    <t>Chaussettes de très bonne qualité J'emploie ces chaussettes pour le ski et le ski de randonnée. Elles sont chaudes et agréables à porter. Il y a des bandes rembourrées pour protéger le tibia. Et c'est fabriqué en Europe.</t>
  </si>
  <si>
    <t>Jolies boucles d'oreilles Offertes à ma fille pour ses 11 ans avec le collier assorti. L'ensemble lui a beaucoup plu. Bonne qualité. La petite boite d'emballage est très sympa. Je recommande...</t>
  </si>
  <si>
    <t>brosse beaucoup trop souple brosse très souple, on a l'impression de ne pas nettoyer et de plus perso j'ai peur que le centre en métal abîme mes biberons tellement le poil est trop souple !!!le nettoie tetine ne tien pas tres bien et quand vous nettoyer le corps il tombe, de plus la tête s’abîme très vite</t>
  </si>
  <si>
    <t>Mauvaise qualité Taille grand, semble faux</t>
  </si>
  <si>
    <t>H.S après 6 mois d'utilisation l'écouteur gauche n’émet plus de son, article renvoyer chez Samsung pour réparation, à suivre...</t>
  </si>
  <si>
    <t>Bon niveau Je trouve que ce n'est pas les mêmes que l'on reçoit avec les portables</t>
  </si>
  <si>
    <t>Premières impressions Dodie -Tétine Sensation+ plate col large 0-6 mois silicone débit 2 acheté 3.94e par Amazon, livrée sous 48h. Il a deux tétines dans le paquet. Je le reçois aujourd'hui donc que 3 étoiles car "j'aime", le produit étant conforme à ce que j'ai commandé, à voir à l'usage. Sur conseil de la vendeuse orchestra j'ai acheté que le débit 1 et 2, les débit 3 et 4 étant vraiment quand on passe à du très consistant.</t>
  </si>
  <si>
    <t>A voir avec le temps Bien sans plus</t>
  </si>
  <si>
    <t>Lecture seul Je voulais plusieurs livres pour mon enfant pour la lecture qu il puisse lire tout seul ces livres sont bien adaptés.</t>
  </si>
  <si>
    <t>Sans surprise Ce papier de marque connue est efficace....doux et le packaging par 12 est économique. Il est supérieur aux no name qu'on peut trouver dans les supermarchés</t>
  </si>
  <si>
    <t>Appréciable moteurs un peu bruyant notamment lors du massage des cervicales 2x 2 boules, toutes de la même taille 1 adaptateur secteur + 1 adaptateur allume-cigares  1 seul programme pour des séances de 20' avec changement de sens de rotation toutes les 1' bouton ON/OFF qui permet aussi d'allumer/éteindre les boules, donc le chauffage, dans interrompre le programme de 20'. Pression longue pour interrompre le programme.  pour 27€ en vente-flash c'est top je me demande ce qu'apportent en plus ou en moins les models a 2x4 boules</t>
  </si>
  <si>
    <t>parfait Baskets hyper légères et agréables à porter. Taille correspondant à la taille commandée. Le style est sympa. Prix intéressant pour baskets de qualité.</t>
  </si>
  <si>
    <t>tip doré? Malgré le fait que je possède beaucoup de câbles audio de toutes sortes, ce n'est jamais assez, je ne comprend pas. Bref, j'avais besoin d'encore un autre câble jack stéréo et c'est celui-ci que j'ai choisi. Bon câble de bonne qualité, je l'espère, à confirmer dans un an. Pour une raison qui m'échappe, les embouts (les "tip") sont dorés, mais pas le reste des jack ("ring" et masse).</t>
  </si>
  <si>
    <t>Elegants et confortables Sont mes premières Puma et je suis très content de la qualité. Élégants et confortables. La pointure est exacte</t>
  </si>
  <si>
    <t>Génial Il est super</t>
  </si>
  <si>
    <t>Sac bandoulière homme Commander pr un aniv Impec, assez grand sans faire mastoque Léger, et moderne Ravi</t>
  </si>
  <si>
    <t>Super son Excellents ecouteurs, le son est tres bon, et ils sont agreables a porter</t>
  </si>
  <si>
    <t>Élégant Jolie</t>
  </si>
  <si>
    <t>sacoche trés belle sacoche et pratique ; je l'emmène partout avec moi ;les couleurs sont vraiment belles et l'attache sur le devant est trés pratique aussi !! je peux y mettre mes papiers mon portable mes clefs et un paquet de mouchoirs !!!</t>
  </si>
  <si>
    <t>Pas mal de fonctionnalité pour une montre Hybride Esthétiquement, la montre est vraiment bien proportionnée : elle n'est pas trop épaisse contrairement à certaines montres connectées. Technologiquement parlant, l'application Fossil Q est plutôt bien pour du hybride et propose pas mal de fonctionnalités intéressantes à paramétrer sur chacun des 3 boutons de la montre parmi les suivantes : - Durée de trajet - Date du jour - Suivi des objectifs (plusieurs objectifs paramétrables) - Gestion de la musique (augmenter/diminuer le volume, mettre sur pause ou reprendre la chanson, passer à la suivante) - Faire sonner le téléphone à distance - Prendre une photo - Second fuseau horaire - Chronomètre  L'autre fonctionnalité est le système de notifications qui est aussi très pratique : 12 notifications paramétrables possibles (1 pour chaque heure sur le cadran). Exemple : je veux que lorsque je reçois un appel de tel personne, ma montre me le notifie en mettant les aiguilles sur le 12. Lors d'une notification, la montre vibre suffisamment pour le sentir au poignée. Une notification peut porter sur : - un appel - un sms - un appel d'une personne en particulier - un sms d'une personne en particulier - une application (lorsqu'une application envoie une notification au téléphone, vous avez la notification sur la montre)</t>
  </si>
  <si>
    <t>Qualité / Prix exceptionnel Montre de qualité, résistante et agréable à porter. Sa simplicité d'utilisation est remarquable. Je l'utilise à la musculation pour mes temps de repos (chrono ou minuteur) en quelque seconde tout est réglé. Parfait, jour comme nuit, à l'extérieur, intérieur ou sous l'eau, aucun soucis</t>
  </si>
  <si>
    <t>Très bien pour son prix Souple, léger, bref agréable On ne le sent pas sur la tête, et les arceaux sont suffisamment costauds pour maintenir le casque en place dans les mouvements sportifs (vélo et course à pied) On entend bien la musique, même si on est pas isolé complètement de l'extérieur. Bref un bon achat pour son prix</t>
  </si>
  <si>
    <t>Parfait Utilisation pour parcourir les bois, forêts c'est juste ce qu'il me fallait.</t>
  </si>
  <si>
    <t>bon pull jolie pull taille parfaitement bien tien bien chaud la couleur est identique au photo resiste bien aj lavage en machine</t>
  </si>
  <si>
    <t>Simple, se connecte rapidement et de qualité Franchement, pour le prix, le son est de qualité et les écouteurs ne sont pas imposants du tout. Quelques manipulations à apprendre pour se familiariser mais comme tous les écouteurs.</t>
  </si>
  <si>
    <t>De bons écouteurs... Après quelques jours d'utilisations, je trouve le rapport "Qualité/Prix" du produit très bon. Les écouteurs tiennent bien dans les oreilles que ce soit en marchant ou en trottinant. Le son des écouteurs est bon et lors des appels, le micro marche correctement. Le boitier pour les recharger est de bonne facture bien qu'il soit un peu imposant. Les reproches que je pourrais dire pour chipoter ça serait le manuel d'utilisation qui est seulement en anglais et en chinois et le son des écouteurs qui manquent un peu de basse. Sinon côté livraison rien à redire, Amazon au top.</t>
  </si>
  <si>
    <t>déception J'ai été déçu par l'aspect général.Je trouve que ce produit fait vraiment "plastique". De plus le stylo ne tient pas dans la bouche et donc tombe tout le temps. C'est dommage car c'était un produit original</t>
  </si>
  <si>
    <t>Chargeur mort en qq mois à peine Très mauvais produit, en utilisation occasionnelle le chargeur a lâché à peine 1 an après l’achat. Il faut le retourner directement au constructeur au royaume uni... bref nul comme chargeur</t>
  </si>
  <si>
    <t>Déçue par la non réduction du bruit ! Je suis très déçue car ce casque n'a pas de fonction réduction active du bruit.  C est peut être ce qui explique son prix mais cela n'était pas indiqué dans la présentation du produit. Il semblerait par ailleurs d'après les forums que la fonction réduction du bruit est buggée sur les BOZE qc35. Jai retourné le produit et vais me tourner vers SONY.</t>
  </si>
  <si>
    <t>Compact et efficace Filtre anti-pop très efficace, discret et englobe sa soucis le micro (AT 2020). Le système de fixation peut sembler faible mais tiens ce qu'il faut sur le micro.</t>
  </si>
  <si>
    <t>Je recommande Produits nickel conforme a l attente</t>
  </si>
  <si>
    <t>Conforme à la photo Pas de mauvaise surprise.Le produit correspond à l'image, autant sur la forme que sur les couleurs. Et en plus il est chaud et  très douillet.</t>
  </si>
  <si>
    <t>Superbe renapur en pot Pour renover manteau cuir, le pot est genial!</t>
  </si>
  <si>
    <t>Bon rapport qualité prix Pas mal pour le prix</t>
  </si>
  <si>
    <t>Bons écouteurs Écouteurs reçus très rapidement. Livrés dans un joli boîtier. L'écouteur tient bien en place sur l'oreille même pendant une activité sportive. Le design est discret et le son est de bonne qualité. Je recommande.</t>
  </si>
  <si>
    <t>Qualité est là Superbe</t>
  </si>
  <si>
    <t>Parfait en été Puma, une valeur sûre, parfait pour la piscine et les douches en commun. Idéal pour les vacances et la plage.</t>
  </si>
  <si>
    <t>Tres bien, fait le job, a un prix sympa !! Super rapport qualité/prix, fait le job, la qualité semble être au Rdv, reste à voir dans le temps ..</t>
  </si>
  <si>
    <t>Super moment de massage en perspective Je conseille ce coussin massage. Acheté deux fois et ne fais que des envieux. Prix intéressant et produit de bonne qualité.</t>
  </si>
  <si>
    <t>Parfait Superbes écouteurs, tiennent bien dans l’oreille</t>
  </si>
  <si>
    <t>A acheter J'adore ces pantalons de yoga, c'est vraiment une taille haute qui ne s'enroule pas malgré le tissu des sous-vêtements que vous portez. Parfait pour travailler les tailles sont précises, il est confortable et la matière est épaisse. Je vais certainement acheter plus.</t>
  </si>
  <si>
    <t>Efficace ! Le meilleur produit existant pour cet usage. Suffisant résistant et humide pour faire son job. L'essayer c'est l'adopter ! Indispensable !!!</t>
  </si>
  <si>
    <t>Petite lampe ambiance au top &lt;div id="video-block-RGKM7DZKT5DDB" class="a-section a-spacing-small a-spacing-top-mini video-block"&gt;&lt;/div&gt;&lt;input type="hidden" name="" value="https://images-eu.ssl-images-amazon.com/images/I/91JAZNu48ES.mp4" class="video-url"&gt;&lt;input type="hidden" name="" value="https://images-eu.ssl-images-amazon.com/images/I/81n2r7qwUNS.png" class="video-slate-img-url"&gt;&amp;nbsp;Petite lampe de chevet sympa,  on change la couleur rien qu' en touchant . Bon son de l' enceinte bluetooth , la fonction réveil est très bien aussi. Bon rapport qualité prix .</t>
  </si>
  <si>
    <t>Parfait Mon fils n'utilise que ce type de stylo, alors c'est beaucoup moins cher qu'en magasin</t>
  </si>
  <si>
    <t>Qualité produit Bonne qualité reçu dans les temps</t>
  </si>
  <si>
    <t>Bonne qualité, bonne impression et quantité d'impression très correcte. Bonne qualité, bonne impression et quantité d'impression très correcte. Pour un prix raisonnable les cartouches XL et XXL vous permettent des impressions de longue durée et de bonne qualité. J'utilise ces cartouches toujours la marque CANON, pour une imprimante de la même marque, personnellement et à l'occasion professionnellement. Je suis très content des ces cartouches et en comparant les prix on économise facilement une vingtaine d'euros par rapport au "spécialiste des toner et autres" . HB</t>
  </si>
  <si>
    <t>Très bel objet Brosse de très belle qualité, bois verni et qui fait briller parfaitement les chaussures. La finition est très soignée. Je recommande.</t>
  </si>
  <si>
    <t>très confortables Quotidien</t>
  </si>
  <si>
    <t>Parfait Demandé en seconde , mon fils est satisfait.</t>
  </si>
  <si>
    <t>décue un peu décue, j'aurai du me mefier de la longueur de la tige, tres courte, ne va pas remuer le fond du biberon, tant pis pour moi j'aurai du mieux regarder</t>
  </si>
  <si>
    <t>Trop fin Beaucoup trop fin, l'imprimante en prend parfois plusieurs feuilles en même temps. De plus dans ma première rame, au milieu il y avait plein d'espèces de faux plis dans le papier, j'en ai encore quatre à passer! Comparé aux autres papiers que j'avais jusqu'à présent, que ce soit de la marque ou même de la marque d'hypermaché, avec lesquels je n'ai jamais eu de problème et qui, pour certains, étaient même un peu moins chers, celui-ci est le pire</t>
  </si>
  <si>
    <t>collier je les offert a ma maman pour noël vus sont prix j'avait peur qui ne sois pas bien bas tout le contraire il est bien juste un peut trop grand</t>
  </si>
  <si>
    <t>un peux petit le sweat est de bonne qualiter mai il et petit comparer au autre sweat en taille S que j'ai</t>
  </si>
  <si>
    <t>Très bon son mais pas très comfortable Ce casque est vraiment très bon au niveau du son et des basses avec, en plus, l'application qui permet de régler les paramètres selon nos préférences. Cependant, il n'est pas très confortable et je n'ai jamais dépassé 1 heure d'écoute parce qu'il m'écrase les oreilles.</t>
  </si>
  <si>
    <t>superbes bottes ces bottes sont pour un usage professionnel, elles sont très jolies mais un peu rigides au point où l'on peut difficilement les chausser</t>
  </si>
  <si>
    <t>elles sont un peu raides  a enfiler esperons qu elles se detendrons</t>
  </si>
  <si>
    <t>chaleur garantie!! taille m , taille parfaite &amp;nbsp;meme au niveau des manches pour les bras un peu plus grand. difficil de le quitter une fois enfiler!</t>
  </si>
  <si>
    <t>Top! Super, correspond très bien à mes attentes.. Merci Amazon Je recommande vivement pour son prix c'est top ! Sobre, simple et efficace</t>
  </si>
  <si>
    <t>Basketteur Très rapport qualité prix et d'excellente performance</t>
  </si>
  <si>
    <t>Tres bonne montre. Je possede cette montre depuis plus de 6 mois et j'etais tres pessimiste lors de mon achats en vue des mauvais commentaires que j'avais vue a son propos mais apres 6 mois, impecable, je la conseil vraiment car elle a un tres beau design et un cadran tres complet.</t>
  </si>
  <si>
    <t>Qualité parfaite Soutien gorge qui maintient parfaitement les grosses poitrines. Je le mets même quand je ne fais pas de sport. Tellement contente que j’en ai déjà acheté 2 autres ! Il taille parfaitement, ni trop grand ni trop petit</t>
  </si>
  <si>
    <t>bravo Bon produit. Délais ok.</t>
  </si>
  <si>
    <t>Mon pied Solide</t>
  </si>
  <si>
    <t>Conforme à la description Conforme à la description</t>
  </si>
  <si>
    <t>Super mignon. Très joli ; beau bleu ; ma fille l'adore.</t>
  </si>
  <si>
    <t>Avis  commande Tres contente de ma commande, vraiment realiste et de bonne qualité par rapport à la description, petit bémol le colis était mal fermé mais heureusement tout été dedans.</t>
  </si>
  <si>
    <t>Parfais Mon fils est ravi,taille très bien,couleur comme je voulais,l'envoi de l'article a été rapide comme signaler,lArticle est très bien,je n'ai rien à en dire...</t>
  </si>
  <si>
    <t>Respecter et satisfaire Cadeau anniversaire 80 ans d'un parent : très content</t>
  </si>
  <si>
    <t>bon produit mais au bout d'un an, les oreillettes se decollent</t>
  </si>
  <si>
    <t>Parfait Très jolis shorts, belle coupe, très confortable à porter avec la section large à la taille, pas trop serré. J’adore er je conseille. Pour 164 cm et 50 kilos S est parfait.</t>
  </si>
  <si>
    <t>Parfait Parfait, bon maintien, de bonne qualité, jolies couleurs, et taille parfaitement, j'ai pris m taille habituelle et impeccable. Je recommande.</t>
  </si>
  <si>
    <t>Super confortable Jolies, légères et confortable. Bon rapport qualité prix.</t>
  </si>
  <si>
    <t>Fait sauter les plombs Tres bien pendant 1 an puis rouille et maintenant elle fait sauter les plombs donc hs ... je ne sais pas laquelle prendre desormais ...</t>
  </si>
  <si>
    <t>Montre défectueuse,prend du retard Et trotteuse bloquée montre défectueuse,prend du retard et trotteuse bloquée</t>
  </si>
  <si>
    <t>Commentaire sur article Article non conforme à la description tant sur la couleur que sur la forme. Je ne le recommande pas la prochaine fois.</t>
  </si>
  <si>
    <t>Bien Reçu un peu en retard mais bon produit</t>
  </si>
  <si>
    <t>EXCELLENT PRODUIT MAIS H.S APRES 1 AN D UTILISATION SUPER BOUILLOTTE DONT ON NE PEUT SE PASSER MAIS QUI CESSE DE CHAUFFER APRES 1 AN D UTILISATION . PIRE ELLE DOUBLE DE VOLUME  .... J AI PEUR QU ELLE N ECLATE ..</t>
  </si>
  <si>
    <t>la qualité Eastpak RAS, c'est la qualité Eastpak que j'ai toujours connu : solide, bien conçu, et dont on sait que ça durera tant qu'on le cantonnera à une utilisation raisonnable et urbaine.</t>
  </si>
  <si>
    <t>bon appareil Ce toaster sort un peu de l'ordinaire sur des points simples et efficaces. Le bouton de réglage de la puissance est bien fait. Le bouton d'éjection qui y est associé la déclenche facilement sans effort. Le chargement par le dessus est aisé car l'espace est large. La saisie par les grilles latérales (à l'intérieur) est tout aussi efficace. L'éjection à la fin du grill ne fait pas "sauter" les tranches plus haut que le toaster (et c'est tant mieux). Je n'étais pas vraiment convaincu par le "truc" à poser au dessus pour réchauffer du pain ou des croissants. Mais en fait ça le fait carrément ! Ça réchauffe très bien les croissants. Il faut même faire attention à ne pas trop chauffer (le graduant 2 est suffisant). Je le recommande.</t>
  </si>
  <si>
    <t>Convaincu Précision : Débutante Quand j'ai reçu le ciseau, j’étais déçu de l'emballage.... J'avais l'impression qu'il avait déjà était ouvert ou utilisé mais quand j'ai utilisé le ciseau, je n'en revenais pas à quel point ça fonctionnait bien! Je l'adore, vraiment je suis convaincu et très contente de mon achat.</t>
  </si>
  <si>
    <t>Bien construite et avec une belle finition extérieure J'ai choisi ces bottines à cause de leur aspect élégant et du "cousu Goodyear" qui est un gage de solidité. Je connaissais la marque dont je possède le modèle classique et le prix était attractif. A cause du prix attractif, on ne peux pas demander que le souci de finition qu'on peut voir à l'extérieur de la chaussure, continue vers les parties moins visibles. La fabrication est faite au Bangladesh et le doublage intérieur est en tissus. La forme me convient et la taille est respectée. Bien sûr, il faudra les enfiler avec un chausse pied et les recouvrir d'un peu d'huile de pied de boeuf pour les assouplir avant de les cirer pour la première fois (avec un cirage naturel, éviter les produits à base de silicone... qui imperméabilisent mais empêchent le cuir de respirer).</t>
  </si>
  <si>
    <t>Parfaite Jolie, facile d utilisation !</t>
  </si>
  <si>
    <t>la longueur joli bracelet qui fait beaucoup d'effet</t>
  </si>
  <si>
    <t>câble idéal pour remplacer celui d origine vendu avec l ampli pour la guitare acheté en remplacement d un câble court et celui la est parfait</t>
  </si>
  <si>
    <t>merrel comme d'habitude je suis pleinement satisfait de ces chaussure un confort incomparable et une tres bonne qualité facile a mettre</t>
  </si>
  <si>
    <t>Très bien Tres bien pratique</t>
  </si>
  <si>
    <t>Top Tres bien 💪💪</t>
  </si>
  <si>
    <t>Les écouteurs parfait ! Des écouteurs super ! Cela fait 3jours que je les aient et hier j'étais en appel et j'avais jamais put tester l'autonomie de l'écouteur gauche oui je dit bien que le gauche car au bout de 3h30-4h l'ecouteur gauche s'éteint donc la je me dit a merde l'ecouteur droit ne va plus fonctionner car le gauche et l'ecouteur principal mais si ! J'ai pu finir mon appel donc 30min de plus et l'ecouteur droit etait toujours allumé ma copine m'entendais toujours avec le micro des écouteurs(qui est aussi top celon elle) en bref génial le son et parfait la bass et réellement présente ce qui fait très plaisir a mes oreilles ! Ecouteur Top en 3jour j'ai recu la boite avec 76%pour cent elle est actuellement a 62% donc sincèrement juste top PARFAIIIT! Plus qu'a tester la batterie pour recharger mon téléphone.</t>
  </si>
  <si>
    <t>Parfait Produit conforme. Rien à reprocher. État du produit parfait.</t>
  </si>
  <si>
    <t>Très confortable Le legging est arrivé avant le délai. Je le met pour la marche. Il est très bien 😊</t>
  </si>
  <si>
    <t>Conforme à l'attente de ma fille C'est le cadeau d'anniversaire de ma fille à sa copine Nous recommandons</t>
  </si>
  <si>
    <t>Top Tout le nécessaire réunit en une trousse. Mon séjour en maternité n'était pas stressant du fait que tout y était</t>
  </si>
  <si>
    <t>Très satisfaisant Très bon son l'autonomie est bonne</t>
  </si>
  <si>
    <t>Très belles en noir Idéales pour le travail en cuisine et la marche à pied. Il faut prendre 1 voire 2 pointures au-dessus de sa taille habituelle. je fais du 44, j'achète le modèle 45-46.</t>
  </si>
  <si>
    <t>Top Legging fin, pour faire du yoga c’est top. Ce n’est pas non plus une super qualité mais pour le prix, il fait le job 👍 J’en recommanderais un à l’occasion</t>
  </si>
  <si>
    <t>top confortable conforme à mes attentes, c'est le deuxième que j'achète. S/M pour un 38/40. fluide , léger, top original et décontracté très sympa et passe partout.</t>
  </si>
  <si>
    <t>Taille non conforme J’ai choisi la taille S qui d’avère trop grand. C’est un bon M.. Du coup c’est moi qui vais le mettre. Quand à la qualité elle a été suffisamment décrite...esthétique sympa mais produit pas de très bonne qualité.</t>
  </si>
  <si>
    <t>TRÈS DÉÇUE !!!! 👎👎👎👎👎👎👎👎J'ai commandé un 37,5 comme pointure et j'en ai reçu ce que je suppose que soit un 38,mais on ne peut pas le comprendre parce que le commerçant à  "EFFACÉ" la pointure européenne!!! et même pour un 38 la pointure serais TROP grande! Je trouve que soit un grand manque de respect envers les clients effacer la pointure!!! je ne vais même pas dépenser l'argent pour le renvoi, je vais vendre les chaussures à mes collègues de travail.</t>
  </si>
  <si>
    <t>Chaine trop petite juste bon pour un bébé non pour une Femme Trop petit pour une Femme juste bon pour un bebe</t>
  </si>
  <si>
    <t>Trop juste sur le dessus Dommage que mon coup de pied ne rentre pas dedans :(</t>
  </si>
  <si>
    <t>trop trop belle a dit ma fille le produit répond trés bien aux attentes de ma fille!!!</t>
  </si>
  <si>
    <t>Support fonctionnel, mais stabilité aléatoire. J'ai acheté ce support de micro, pour le micro Bird UM1. Le support à tendance à tomber sous le poids du micro, une fois bien positionné plus de soucis.</t>
  </si>
  <si>
    <t>Un peu grandes Taillent plutôt grande mais sympa avec la couleur bleu foncée sur l’arriere</t>
  </si>
  <si>
    <t>Livre pk Très bon livre de coloriage .</t>
  </si>
  <si>
    <t>Cool! Elles sont trop belles! Par contre prévoir vraiment une taille en plus. Livraison super rapide!</t>
  </si>
  <si>
    <t>qualité prix. bague SHEGRACE ouverte argent 925 Sterline, motif arbre de la vie ( ) c'est le nom que je lui donne. couleur vert en fin de branche pour le feuillage. pour le prix, elle fait vraiment chic. vraiment je l'adore, et peut la conseiller.</t>
  </si>
  <si>
    <t>très bon produit Ce produit a permis de faire disparaître les tâches incrustées depuis longtemps dans ma voiture achetée d'occasion. J'ai dû le passer deux fois mais le résultat est excellent. Livraison rapide, rien à redire.</t>
  </si>
  <si>
    <t>Fais le taf Les cartouches ont été reçu rapidement et emballées sérieusement. La finition de la cartouche est sérieuse, ça respire le sérieux. Lors de la première utilisation, un message annonce que ce n'est pas une cartouche officielle HP. Hormis cela, elle fonctionne très bien pour un prix largement inférieur. Je suis satisfait et recommanderais sans hésiter.</t>
  </si>
  <si>
    <t>Super Je les adore! Payés 23.95 avec  la livraison, la couleur est top, elles sont confortables et taille très bien. Le noeud fait son petit effet.</t>
  </si>
  <si>
    <t>de qualité Je ne savais pas quoi offrir pour l'anniversaire d'un ami . Donc des écouteurs bluetooth me paraissent très bien. La qualité est très bonne, la qualité de l'écoute est au rendez-vous . Je le conseille vivement .</t>
  </si>
  <si>
    <t>On s’amuse bien ! Conforme à la description. Facile d’utilisation. Mode d’emploi en anglais. On l’utilise soit en Bluetooth soit juste pour avoir le son de la voix</t>
  </si>
  <si>
    <t>Juste ce qu'il faut Ni trop petit, ni trop grand.  Mais juste pour le portefeuille et quelques babioles.  Tient sans problème dans une poche de manteau.</t>
  </si>
  <si>
    <t>Bien Bien pratique en 4 min c fait donc tres pratique Idéal pour avoir un biberon rapide. Parcontre tres chaud a la sorti du micro-ondes.</t>
  </si>
  <si>
    <t>Bon produit pour les Terminales qui ont besoin de faire des croquis au BAC... Produit adapté pour les croquis de géographie pour le BAC !! Bonne chance à tous</t>
  </si>
  <si>
    <t>Écouteurs Bluetooth parfait Léger et confortable, ils sont très simple d'utilisation et de belle longévité. Avec leurs boitier de charge tout petit ils se transporte partout. Ils remplissent toutes leurs promesses et je ne m'en lasse pas. A adopter sans hésitation.</t>
  </si>
  <si>
    <t>belle basket basket simple confortable  bonne qualité  comme sur la photo</t>
  </si>
  <si>
    <t>AU TOP !! Je ne regrette absolument pas cet achat. Super confortable, belle finition et conforme à la photo. Je vais probablement m'acheter la paire en blanc et ma maman en veut aussi après avoir testé les miennes. :) Je recommande vivement surtout pour les beaux jours.</t>
  </si>
  <si>
    <t>Bien Produit recommandé</t>
  </si>
  <si>
    <t>Bon grignoteur Très bon produit conforme à la description très bon rapport qualité prix.</t>
  </si>
  <si>
    <t>Bon maintien du pied Il fallait remplacer mes chaussures de de running, j'ai trouvé cette paire qui m'avait l'air correct. J'aime bien la couleur proposée, je l'ai choisi gris foncé avec un peu de bleu mais pas trop ça reste discret ,pas trop voyant comme je voulais. Au niveau de l'intérieur le pied est bien en place et bien maintenu, vraiment confortable et fait pour une utilisation aussi bien en chemin avec une bonne tenue mais aussi sur route avec un bon amorti. Bon choix de chaussure</t>
  </si>
  <si>
    <t>caille caille caille caille</t>
  </si>
  <si>
    <t>Sacoche imposante qui déteint Vraiment déçu de cette achat sacoche imposante et en plus elle perd ça couleur et le cuir ça couleur à déteint sur mes habilles de plus je n’arrive Pas  à enlever les taches je ne le recommande pas Merci 😅</t>
  </si>
  <si>
    <t>Attention debit moyen Inutilisables pour moi, je les ai acheté parce que j'ai vu débit faible mais j'ai reçu débit moyen. Finalement j'ai opté pour la medela calma et ça fonctionne merveilleusement.</t>
  </si>
  <si>
    <t>Ado satisfait Mon fils de 12 ans en est très satisfait pour y ranger sa carte de transport, de cantine, ses clefs, son portable.</t>
  </si>
  <si>
    <t>Super Conforme aux images</t>
  </si>
  <si>
    <t>Efficace quand on respecte certains règles, et n'oubliez pas : c'est un insecticide ! PAS pour les bébés de moins de 2 ans C'est un insecticide, donc c'est un produit qui n'est pas sans danger du tout. Oui, les moustiques c'est super pénible et ça nous empêche régulièrement de bien dormir, mais il faut garder en tête que c'est un produit qui TUE des insectes, donc cela ne peut pas être bon pour nous non plus... Déconseillé très fortement pour les bébés, jamais en-dessous de 2 ans !!  Voici les avertissements sur la page Amazon qui en dit long :  Cet article est sujet à des avertissements et consignes de sécurité spécifiques Très toxique pour les organismes aquatiques, entraîne des effets à long terme Peut être mortel en cas d'ingestion et de pénétration dans les voies respiratoires Utilisez les produits biocides avec précaution.  J'ai utilisé plusieurs prises avec des liquides, (comme Catch, Cinq sur Cinq), le Raid a l'avantage de ne pas sentir et être relativement efficace, ce qui n'est pas le cas des autres, malheureusement. Attention, il existe des recharges parfumés chez Raid, ne vous trompez pas de produit.  Je vous conseille de le brancher 30 minutes avant de vous coucher, et dès que la nuit tombe et que vous avez des lampes allumées dans votre maison. C'est à ce moment-là qu'elles rentrent chez vous.  Ne jamais brancher sur une prise multi-prise, mais uniquement dans une prise murale, verticalement, de vérifier qu'il reste du liquide avant de brancher, et de débrancher dans la journée (ce modèle n'a pas de système où on peut choisir de le laisser allumer 8, 12 ou 24h, celle de Raid achetées au Monoprix l'ont par contre). Ne jamais couvrir avec un tissu, loin des rideaux, draps, etc.  Je ne supporte pas de dormir les fenêtres fermées, surtout quand il fait chaud, donc je branche en début de soirée et je dors avec la fenêtre ouverte, porte fermée. Et ça marche !</t>
  </si>
  <si>
    <t>travaux modèle très souple et chaud pratique pour le temps actuel</t>
  </si>
  <si>
    <t>Bon rapport qualité-prix La montre n'est pas luxueuse, elle ne vaut pas grand chose mais accomplie correctement sa mission:afficher l'heure. Elle très maniable et très pratique. Prise en main rapide et pas besoin d'une personne tiers pour aider à la porter. Si vous ne pouvez pas vous achetez une montre de luxe ou si vous chercher le minimum avec une montre je vous la conseille.</t>
  </si>
  <si>
    <t>Parfait Satisfait de notre achat Bon rapport qualité prix pour l'usage que l'on en fait (écoute de musique ou film)</t>
  </si>
  <si>
    <t>Très bon produit Très bon produit de qualité et robuste content de cet achat</t>
  </si>
  <si>
    <t>Super écouteurs ! Super écouteurs Bluetooth, Ils ont une bonne tenue dans les oreilles et ne ressortent pas beaucoup, ils sont donc assez discret! Facile à utiliser grâce au tactile (il faut juste apprendre les manip pour les différentes fonctions tactile) La batterie des écouteurs tient relativement longtemps, de même que celle de la base, avec ces 3500 mah qui permettra même de recharger un téléphone ou tout autre chose. Je recommande ces écouteurs !</t>
  </si>
  <si>
    <t>étonné tres jolie montre homme. la qualité est au rdv. ne fait pas bas de gamme malgres le prix.</t>
  </si>
  <si>
    <t>Bracelet en pierres naturelles 7 chakras Très bau bracelets, les pierres sont de belle qualité, j'aime beaucoup le porter</t>
  </si>
  <si>
    <t>Bon produit Utile et bien conçu. Réglage bandoulière aise</t>
  </si>
  <si>
    <t>Superbes Converse Produit conforme à la description. Les Chuck Taylor originales et indémodables comme on les aimes. Attention à la taille, Converse taille grand. Je fais un 43 chez Nike mais j’ai pris un 41,5 pour ce modèle après plusieurs essais en boutique.</t>
  </si>
  <si>
    <t>montre de luxe très plate et d'un style très agréable et bon rapport qualité prix</t>
  </si>
  <si>
    <t>Parfait Bon produit qualité/prix, pratique, je recommande.</t>
  </si>
  <si>
    <t>Très bon produit, je recommande. Très bon produit, je recommande. Les converses sont des baskets fiables, parfaites pour les activités de loisir, promenades, etc....</t>
  </si>
  <si>
    <t>Très bon soutien-gorge/brassière, très bonne qualité ! Très bon produit très confortable, bon maintien, qualité irréprochable ! Ce n'est pas la première fois que j'achète ce produit qui est d'un rapport qualité/prix très intéressant.</t>
  </si>
  <si>
    <t>Très bonne qualité La pierre est un poil plus petite que sur la photo mais ça ne dérange pas car le bracelet est fin. Magnifique bracelet fin et résistant. La pierre à un reflet bleutée qui le rend encore plus désirable. Les gens ne le voit pas forcement car il est discret. J'en suis très satisfaite car c'est ce que je recherchais.</t>
  </si>
  <si>
    <t>Joli Tres joli. Il fait un bel effet. Envoi rapide et soigné.  Ouï je recommande cet article</t>
  </si>
  <si>
    <t>Bien De jolis stoppeurs</t>
  </si>
  <si>
    <t>jolie cool  et  bien</t>
  </si>
  <si>
    <t>Super mélangeur à biberon Nous avions du mal à mélanger correctement le lait épaissi de notre bébé, avec ce mélangeur c’est devenu un jeu d’enfàt. Hyper rapide adieu les grumeaux après seulement 4-5 secondes dans le biberon. La tige est difficile à enlever nous le nettoyons avec précaution sans l’oter Pour éviter de la casser. Petit prix mais qui fonctionne bien.</t>
  </si>
  <si>
    <t>Pas adapté pour le sport Je déconseille pour le sport.</t>
  </si>
  <si>
    <t>tres moyen taille M = S qualité de fabrication proche de la nullité synthétique horrible a porter et non agrébale Je ne recommande pas</t>
  </si>
  <si>
    <t>Boucles d’oreille Les tiges des boucles d’oreilles sont toutes tordues impossible de les mettre. Très déçus</t>
  </si>
  <si>
    <t>oui mais Joli coupe, peut etre un peu petit de taille, parcontre la qualité du cuir est tres fine je pensais avoir quelque chose de plus épais et la couler est bien moins prononcer que prévu , plus fade</t>
  </si>
  <si>
    <t>mouchoirs en papier second choix ces mouchoir "recyclés" Presto!  Mouchoirs 4 épaisseurs, Lot de 42 Etuis sont en fait composés papiers recyclés et non de vieux mouchoirs. cet aspect recyclé explique la couleur qui n'est pas blanche immaculée. pour être assez doux au contact du visage, ces mouchoirs n'utilisent d'ailleurs pas que du papier recyclé. au final, en terme de qualité et de douceur, c'est très moyen. pour se moucher très régulièrement lorsque votre nez coule à foison, je vous les déconseillent. mais si vous n'êtes pas douillet et que l'éco responsabilité est importante pour vous....</t>
  </si>
  <si>
    <t>Cartouche 570 xl Reçu dans les temps. Je commence juste à les utiliser. À voir pour la longévité, mais elles ont plus de contenant que les anciennes.</t>
  </si>
  <si>
    <t>taille bien sans surprise pour la taille , plutôt jolie et confortable.</t>
  </si>
  <si>
    <t>sac de poitrine très pratique Pour sortir car ce sac est très pratique pour moi et on a les mains libres. Voir on est rassuré</t>
  </si>
  <si>
    <t>Perd des minutes par moment en une seule fois et non continuellement Je l'ai à acheté pour la mettre la semaine au boulot Très jolie, voir brillant ainsi que le bracelet, peut être trop fragile aux rayures Perd des minutes par moment en une seule fois et non continuellement La molette de réglage n'est pas tiree</t>
  </si>
  <si>
    <t>Très bons shorts de sport Les 2 shorts qui composent ce lot, un noir et un blanc, sont parfaits. Achetés en taille M, ils sont bien ajustés pour une grande fille de 160 cm.</t>
  </si>
  <si>
    <t>Stabilo woody J'ai acheté le petit paquet pour tester car je suis enseignante et je cherchais un produit à utiliser sur mes affiches plastifiées, c'est chose faite! Les crayons sont faciles à utiliser sur vitre, sur papier plastifié, facile à effacer; sans résidus, je suis ravie. Les crayons ont l'aspect de crayons gras, mais je n'ai pas encore testé le dessin sur feuille de papier avec.....à voir! Je pense acheter par le suite un paquet plus gros avec davantage de couleurs.</t>
  </si>
  <si>
    <t>Rapport qualité prix parfait Utilisé avec des fiches bananes Amazon Basics, c'est parfait. Le câble est de bonne qualité, convient parfaitement pour une installation chez un particulier.</t>
  </si>
  <si>
    <t>Parfait ! Nous recherchions cet article et bien CET article ! Nous sommes ravies ! Les boîtes sont parfaitement indépendantes et l'ouverture latérale permet de verser la poudre dans les biberons sans en mettre à côté ! Nous recommandons !</t>
  </si>
  <si>
    <t>Bon sacs Poubelles Handy Bag Sacs Poubelles populaire à recommander</t>
  </si>
  <si>
    <t>très bien Mon fils a été habitué dès le début à ces tétines et cela lui convient parfaitement, la transition allaitement biberon s'est ainsi faite sans difficulté.</t>
  </si>
  <si>
    <t>top ! rien a dire, qualité top, couleurs bien, des stabilos quoi ! la meilleure marque qui existe en fluos !! j'adore</t>
  </si>
  <si>
    <t>Très beau Le colis est rapide. Il est un très beau et pratique à utiliser. Je l’aime et je vais recacheter pour ma petite amie.</t>
  </si>
  <si>
    <t>Attentes satisfaites J'ai reçu le masseur en bon état, et le délai de livraison était respecté. Le masseur fonctionne comme décrit. J'ai utilisé pendant des années un Hitachi Magic Wand Massager qui doit être branché. J'ai trouvé le nouveau masseur Paloqueth tout aussi bon pour les basses vibrations, et meilleur en ce qui concerne la variation des modes. Je trouve super qu'il soit sans fil.</t>
  </si>
  <si>
    <t>excellent excellent dommage explications en anglais seulement tees bon produit heureusement tuto sur internet</t>
  </si>
  <si>
    <t>Bien Impeccable pour sécher les biberons. 4 Max Merci</t>
  </si>
  <si>
    <t>Ravie Taille très bien. Très jolie.</t>
  </si>
  <si>
    <t>Rapport qualite prix excellent Belle</t>
  </si>
  <si>
    <t>short bien taillé et confortable. Short utilisé pour mettre sous une jupe de danse. Très bien taillé et confortable. Excellent rapport qualité prix. Je recommande cet article.</t>
  </si>
  <si>
    <t>Pas de marquage Je ne l'ai pas encore installé mais je peux dire que les deux brins, dans l'exemplaire reçu, sont identiques, sans marquage pour les distinguer, contrairement au descriptif. Ce n'est pas gravissime mais ce n'est pas sérieux.</t>
  </si>
  <si>
    <t>Taille bcp trop grand Bonjour Acheté pour ma fille qui met du 35 et elles sont bcp trop grandes pour elle Je pourrais les mettre alors que je fais du 39....très déçue de ce produit qui taille mal alors que la qualité est au rendez vous</t>
  </si>
  <si>
    <t>Bague Grosse arnaque Toute la couleur d’un côté est parti alors que soi-disant c’est de l’argent je regrette cette achat et je voudrais être remboursé Reçu ce matin</t>
  </si>
  <si>
    <t>Bof bof Jolie chaussure , super design, livraison super rapide . Le soucis c’est sur la taille l’es chaussure taille petit par exemple 43=42 chez eux. La finition n’es pas au rendez-vous la coque était apparente dans la chaussure , qui malheureusement me fesais saigner même avec de grosse chaussette. Vérifie bien l’intérieur  De la chaussure si il y a bien une protection au bout , un collègue à les meme et c’est niquel pour lui , moi pas u de chance voilà .</t>
  </si>
  <si>
    <t>beau cuir et poches pratiques Belle sacoche. Je m'attendais à un cuir de mauvaise imitation mais le résultat est plutôt bon. Je ne trouve pas le logo particulièrement séduisant par contre mais les poches sont bien agencées et les tirettes semblent solides. J'aime bien la manière dont il se porte en bandoulière et la poche principale qui se referme à l'aide d'un aimant.  Edit : je le porte depuis quelques jours à peine mais il présente déjà des signes d'usures. Soit le cuir n'a pas été suffisamment bien traité, soit il s'agit d'une couche trop fine et donc bas de gamme.</t>
  </si>
  <si>
    <t>Très bon chauffe-biberon Très rapide et très facile à utiliser. Un seul bouton pour on/off, le doseur pour la quantité d’eau et il peut être utilisé à la maison et dans la voiture. Il chauffe vite. Je le recommande !</t>
  </si>
  <si>
    <t>Livraison plutôt que prévu Très chaud je recommande mais prévoir une a deux tailles de plus</t>
  </si>
  <si>
    <t>Taille petit La chaussure est très confortable mais malheureusement trop petite . Prendre une taille au dessus</t>
  </si>
  <si>
    <t>Super Produit nickel pour un cadeaux à ma femme</t>
  </si>
  <si>
    <t>Bouilloire tendance Ce produit correspond tout à fait à ma demande</t>
  </si>
  <si>
    <t>Très bien je conseille Très beau j’en avais déjà commander mais pas les meme mais cela très beau et il y a du fil plastique pour si au cas où il casse je recommande</t>
  </si>
  <si>
    <t>Soutiens super Très contente de ce produit ! Maintient bien la poitrine et facile à enfiler</t>
  </si>
  <si>
    <t>Bel article confortable et réglable, bon son J'ai commandé ce casque pour les 7 ans de ma fille, la grande l'ayant déjà eu en version noir et orange. La qualité de son est très bonne, le casque confortable. Et très pratique à utiliser en Bluetooth ou filaire en fonction de l'appareil qu'elles utilisent. L'étui rigide est très pratique pour transporter un lecteur mp3 en plus par exemple. Belle présentation</t>
  </si>
  <si>
    <t>Un grand merci Rien à dire merci.... ma copine est très ravie pour sa demande ..Je recommande super confortable</t>
  </si>
  <si>
    <t>Parfait et pratique Trépied pour mon micro Bird, bonne stabilité, bonne qualité. Très contente de cet achat, très bon rapport qualité prix.</t>
  </si>
  <si>
    <t>comme prévu Je suis vraiment satisfait de ce produit, très beau modèle et la taille est comme prévu je les recommandent pour tous</t>
  </si>
  <si>
    <t>Conforme à la description Parfait contente de mon achat</t>
  </si>
  <si>
    <t>Casio Conforme à mes attentes</t>
  </si>
  <si>
    <t>Super gilet L' article est conforme à la photo, la couleur est sympa et le gilet bien chaud, mon mari l'a toujours sur le dos !!</t>
  </si>
  <si>
    <t>Sèche biberon parfait ! Excellent rapport qualité prix. Sèche biberon remplit complètement sa fonction. Le vendeur est très professionnel et gentil.</t>
  </si>
  <si>
    <t>Parfait mais attention à la taille Parfait mais attention à la taille, plus habitué au xl, j'ai pris du L ici en suivant les conseils des autres commentaires et c'est parfait</t>
  </si>
  <si>
    <t>Merci Pas mal! Assez content</t>
  </si>
  <si>
    <t>Parfait Il s'agit de la cinquième paire dans ce modèle. La taille est parfaite et le modèle chausse toujours aussi bien.</t>
  </si>
  <si>
    <t>parfait les soutiens gorges glamorise sont une marque fiable ; j'achète ces derniers pour ma maman et elle est super satisfaite à chaque fois ; maintien et qualité présents. Dommage qu'ils soient aussi chers</t>
  </si>
  <si>
    <t>Taillees trop petites! Taille très très petit. Pourtant habituée à kickers, j'ai pris le 35 pour ma fille qui porte des semelles taille 34. Les semelles ne rentrent même pas dans la chaussure. Achetée en 36, c'est ENCORE trop petit... Elles taillent au moins 1 taille 1/2 trop petites. Achetées de nouveau en 37 (soit 2 pointures au dessus) En espérant que cette fois ci ça convienne!!!</t>
  </si>
  <si>
    <t>Dur dur Trop petit même en prenant une taille au dessus. J'aimerais contacter le vendeur pour faire un échange mais impossible de trouver comment faire 😕</t>
  </si>
  <si>
    <t>Il n’a pas fonctionné très longtemps Ce diffuseur est vraiment très joli niveau lumière rien à dire l’effet est vraiment top en revanche il ne fonctionne plus au bout de quelques mois je suis assez déçu il n’est pas assez résistant dommage car j’aimais beaucoup</t>
  </si>
  <si>
    <t>Pas de semelles C’est pas la première fois que j’achète Bensimon, par contre c’est la première fois qu’il n’y a pas de semelles ? Est-ce normal?</t>
  </si>
  <si>
    <t>good elles sont arrivées en temps et en heure  très jolie confortable  e on et bien dedans j ai enlever 1 étoile car pour ma part la hansse pour tenir le pied la ou il y a le signe puma et un peu trop serré pourtant j n ai pas un fort pied mais appart tout sa je recommande</t>
  </si>
  <si>
    <t>À voir dans le temps J'ai rapidement testé la bouilloire surtout pour m'assurer qu'elle fonctionne bien aussi je ne peux mettre 5 étoiles pour le moment. J'enlève simplement une étoile car je doute encore de la promesse concernant les 6h de maintien au chaud.  Cependant, pour avoir acheté un couteau professionnel de cuisine de la même marque pour ma mère (qui en est satisfaite) je sais que  Aicok font de bons produits à prix raisonnable. Par ailleurs, j'adore le système bouilloire et thermos en même temps!👌 il fallait y penser ☝️</t>
  </si>
  <si>
    <t>Belle mais déçue par la couleur Belle mais la couleur fait très "toc"</t>
  </si>
  <si>
    <t>Mettre l'eau dans le réservoir n'est pas pratique. Le versement de l'eau dans le réservoir est difficile l'ouverture est étroite.</t>
  </si>
  <si>
    <t>Parfait ! Voici un produit qui n'a plus à faire ses preuves... Toujours aussi efficace, cela permet d'éviter les mauvaises surprises...  A utiliser suivant les lessives que l'on a à faire.</t>
  </si>
  <si>
    <t>Reste plus qu'à essayer merci Colis bien reçu rien à dire livraison au top</t>
  </si>
  <si>
    <t>Montre au top La montre elle-même est magnifique, la mon tre a un bon poids et le visage est si clair. Mon fils a eu quelques difficultés avec la fermeture au début, ce que j'ai aussi trouvé difficile, mais après quelques essais, il peut le faire facilement maintenant. Il adore ça et ça ressemble à une montre chère a ussi.</t>
  </si>
  <si>
    <t>jolie trousse robuste parfaite pour aller avec le sac à dos assorti :) la trousse est de bonne taille, la fermeture éclair et le tissu semblent bien solides, le destinataire du cadeau est ravi :)</t>
  </si>
  <si>
    <t>Bonne peinture pour bebz Peinture qui se nettoie tres bien a avec un chiffon et de l'eau.aucun probleme pour nettoyer les surfaces. Pour les tissus, il faut le passer au lave linge car ne s'en va pas uniquement a l'eau. Les couleurs sont belles. Aucun probleme.</t>
  </si>
  <si>
    <t>Lingerie Parfait très satisfaite, merci Amazone</t>
  </si>
  <si>
    <t>super confortable c'est chaussures sont super confortable et de belle qualité. Les semelles sont vraiment antidérapante La taille indiqué correspond bien a mon pied. je recommande ces chaussures pour qui veut passer l'hiver au chaud !!!</t>
  </si>
  <si>
    <t>Très jolie Petit bijoux très fin bien dessiné se porte très bien avec tous les style, la chaine et plus épaisse que je pensais donc très bien et le fermoir a l'air résistant . jolie écrin</t>
  </si>
  <si>
    <t>trés bien jamais décue par avent</t>
  </si>
  <si>
    <t>sac poubelle corret Lot de Sacs poubelle un achat utile pour préserver la propreté de chez soi. Un lot de sacs a avoir  chez soi</t>
  </si>
  <si>
    <t>Minerva OTAN46 Trace symbole tactique 😁</t>
  </si>
  <si>
    <t>Parfait Excellente sacoche homme en cuir. Très beau produit, belle finition et surtout très pratique grâce aux différentes poches. A acheter sans hésitation.</t>
  </si>
  <si>
    <t>Vous oublierez porter des chaussures de secu Je les mets tous les jours , vraiment le top pour bosser génial</t>
  </si>
  <si>
    <t>Parfait ! Vraiment très très bien ! Belle qualité, conforme au descriptif, j'en suis satisfaite.</t>
  </si>
  <si>
    <t>Superbe baskets pointure top matière idem très belle paire de basket</t>
  </si>
  <si>
    <t>Où sont passées les nimbus? Je mets des nimbus depuis qu'elles existent et je cours 60 km/semaine. Jusqu'à la 18, tout allait bien. Leur conception a été entièrement revue à la 19: catastrophe. La 20, un poil mieux; quant à la 21, je n'ai pas eu la sensation de porter des nimbus. Certes, la semelle est plus épaisse mais elle est aussi plus "raide" et le chaussant vraiment étroit. Elles chaussent aussi plus petit que les précédentes (je fais du 39 et je suis au bout du 40,  bientôt je vais les prendre en 42!) .Et pour qu'elles ne pèsent pas plus lourd qu'avant, malgré l'augmentation de  l'épaisseur de la semelle, elles ont été dépouillées d'une bonne partie de la mousse autour du pied qui les rendait si confortables. Bref, déçue, déçue, déçue!</t>
  </si>
  <si>
    <t>Perte de ma commande. J'ai reçu le carton amazon vide. Pas de bracelets de dans.</t>
  </si>
  <si>
    <t>Cartouches HP 302 noire et trichromie Pack de cartouches HP originales qui fonctionnent très bien avec mon imprimante. La livraison et le conditionnement sont impeccables comme à l'accoutumée. Le gros bémol pour moi c'est que j'ai l'impression que les cartouches sont à moitié remplies. Les cartouches ne durent pas dans le temps en conclusion. C'est bien dommage d'avoir la sensation de faire une affaire sans que ça en soit une...</t>
  </si>
  <si>
    <t>Chausson gymnastique Chausson gymnastique agréable à porter mais pas très résistant</t>
  </si>
  <si>
    <t>Tablette pour tout usage Produit acheté en vente flash, et que je recommande. Par contre à prendre en considération que je trouve le pliage un peu problématique- appuyer assez fort et plier en même temps peut s'avérer difficile, j'utilise des baguettes en bois afin d'épargner mes ongles. Mais sinon idéal pour toutes les positions, par contre attention à la perte d'équilibre. Et plateau de souris peu pratique</t>
  </si>
  <si>
    <t>Une vraie montre tout-terrain Une montre qui ne craint ni l'eau, ni les chocs. Avec ses aiguilles blanches, l'heure se lit facilement même dans de mauvaises conditions lumineuses (un bouton de rétro-éclairage est même prévu pour le noir total). J'adore son look ! Seul bémol, la notice multi-lingue : armez-vous d'une bonne paire de lunettes (caractères minuscules) et de beaucoup de patience pour intégrer toutes les fonctions ! Pour ma part, je me suis arrêté au réglage de l'heure, ça ira comme ça.</t>
  </si>
  <si>
    <t>Satisfaite Je suis satisfaite du diffuseur il ressemble vraiment à l'image . Le mode d'emploi n'est pas en français mais rien de bien à comprendre !</t>
  </si>
  <si>
    <t>super Permet de bien brasser le linge et du coup mettre bien moins de produit pour un linge bien propre. C'est super j'adore</t>
  </si>
  <si>
    <t>Convaincue! Parfaite! Une fois branchée, le thermostat se règle grace à une petite télécommande. La couverture est douce. Lavage à 30 possible !</t>
  </si>
  <si>
    <t>Conforme aux attentes Produit conforme aux attentes. Merci ok Super pour sa solidité, et facile à poser sur le téléphone avec explications à l'appui</t>
  </si>
  <si>
    <t>parfait après plus de 6 mois d'utilisation quotidienne la montre correspond tout a fait a mes attentes.  Elle est légère résistante, et malgré plusieurs chocs toujours comme neuve. Les diverses fonctionnalité marche très bien et je voyage pas mal et les fuseau horaires sont pratiques. Le seul point faible serai que la gestion des fuseau horaire se fait en manuel, en auto ca aurai été le top!  le coli et le la boite sont arrivé parfaitement chez moi et dans les délais comme d'habitude avec amazone !  je recommande sans hésitation si vous cherché un produit de ce style.</t>
  </si>
  <si>
    <t>Tres bien et envoi rapide Collier reçu tres rapidement et très bonne qualité. Ma fille a 6 mois et la taille est parfaite</t>
  </si>
  <si>
    <t>Top Produit livré rapidement et sympa</t>
  </si>
  <si>
    <t>Super chauffe-biberon ! Afin de réchauffer le lait maternel et l'eau pour préparer le biberon pour le lait en poudre, je voulais un chauffe-biberon rapide et j'en suis très contente ! Le fait qu'il ne chauffe qu'avec un peu d'eau, avec les indications de quantité sur le côté (pour les biberons en verre et ceux en plastique) et la doseuse intégrée, je trouve ça top ! Par contre, il n'y a l'indication que pour 2 quantités : 120 ml et 240 ml... Et si la préparation n'est pas assez chaude, il faut attendre que le chauffe-biberon refroidisse un peu (1 à 2 minutes donc légèrement plus long) avant de pouvoir le réutiliser pour finaliser le réchauffage... Enfin, le design est trop simple à mon goût mais bon, pour le prix, je m'en contente très bien !</t>
  </si>
  <si>
    <t>Design &amp;amp; Performance Dès l'ouverture de la boîte, on remarque tout de suite le jolie design. Tout est blanc avec juste quelques LED pour recevoir des informations, c'est très élégant !  Le son délivré par les 2 écouteurs est excellent. Ils possèdent de bonnes basses bien présentes, c'est rare dans les écouteurs sans fil.  Les écouteurs tiennent bien dans l'oreille, plusieurs tailles sont fournis dans la boite. Après 2 heures de sport, aucun écouteur n'est tombé ou a glissé! C'est donc idéal pour ceux qui en ont assez du fil qui se balade partout pendant les exercices :). L'ensemble se lave à l'eau donc aucun soucis côté hygiène.  Les boutons sur chaque écouteur sont très pratique car on peut décrocher un appel, ajuster le volume, changer de chanson, etc. Pour information, les boutons ne sont pas tactile et il faut appuyer assez fort pour les actionner. Toutes les fonctionnalités ont été détecté directement sur mon téléphone Android suite à la connexion bluetooth.  Le boîtier de rangement qui sert de chargeur est aimanté, ça permet de bien positionner les écouteurs instantanément. Il est très petit et se glisse dans toutes les poches !  En résumé, ce sont de très jolies et performants écouteurs. Je ne les quitte plus :).</t>
  </si>
  <si>
    <t>Petites et pratique Jolie esthétiquement Et très pratique par sa petite taille Ne prend pas trop de place sur mon plan de travail Correspond à mes attentes</t>
  </si>
  <si>
    <t>Bien Il est parfait un tissus ni trop épais ni trop fin. Super agréable à porter. Déjà lavé et il n a pas bougé  je le conseil</t>
  </si>
  <si>
    <t>Toujours ce qu il faut sur Amazon C est un achat que j'ai fait pour mon fils très très très content</t>
  </si>
  <si>
    <t>A conseiller Très bien et très confortable A conseiller pour un anniversaire ou un Noël Pas grand chose à ra jou ter</t>
  </si>
  <si>
    <t>Top pour le quotidien Franchement super, j'aime beaucoup leurs style en plus d'être pratique il m'accompagne courir et a la salle et franchement ils ne bougent pas. Je suis très satisfaite de plus il ne font absolument pas mal lors de l insertion dans l'oreille. Je les recommande fortement ils ne me quittent plus.</t>
  </si>
  <si>
    <t>Satisfait Comme toujours, Amazon au top pour une livraison en 24h ! Bravo ! Je suis satisfait de ce produit, très bon rapport qualité / prix</t>
  </si>
  <si>
    <t>Très bon produit Tout à fait ressemblante à la photo aucun problème à souligner fonctionne très bien peu d’attente pour que l’eau chauffe s’arrête automatiquement</t>
  </si>
  <si>
    <t>Cartouche Magenta presque VIDE J'ai acheté le lot 364XL (noir+magenta+cyan+jaune) le 06 avril 2018. En avril 2019, j'ai installé la noire. Le 07 mai 2019 j'ai installé les 3 autres. En l'espace d'un mois et demi, l'impression devient médiocre. Je vérifie les niveaux. Ils sont corrects. J'ai fait un diagnostique : la magenta est VIDE pourtant l'encre est garantie jusqu'au 3 décembre 2019. AMAZONE m'a remboursé contre un retour de l'article. Je suis surpris de la capacité d'encre de la cartouche magenta pourtant les cartouches &amp;amp; l'encre sont authentiques.</t>
  </si>
  <si>
    <t>Pochette principale mal conçue. La fermeture éclair du compartiment principal ne ferme pas jusqu'au bout à cause de la forme de la sacoche. Ce qui la rend moins accessible par rapport au 2 autres. En plus, ce n'est pas très joli. Je l'ai renvoyé.</t>
  </si>
  <si>
    <t>Les sportifs repasseront Sympas, légères et agréables à porter, mais ce ne sont en aucun cas des chaussettes de sport. C'est pas compliqué, je troue une paire à chaque sortie running, et je suis encore débutante, donc pas franchement une acharnée. A ce rythme-là, le lot de 6 va me faire moins d'une semaine.</t>
  </si>
  <si>
    <t>Mitigé Un peu décevant... rien à redire niveau confort mais je les utilise questionnement sur un tapis de course et au bout de 15 jours la semelle a commencé à se décomposer. C'est du pas cher donc qualité médiocre</t>
  </si>
  <si>
    <t>Ecouteur Produit moyen ne se connete pas avec iphone 11</t>
  </si>
  <si>
    <t>Bon achat Le pull est de bonne qualité arrivé dans les temps seul probleme la couleur ne correspond pas a la photo le pull est gris claire et non gris foncé</t>
  </si>
  <si>
    <t>Rien de spécial La classique Converse blanche basse. Le logo sur le talon disparaît au bout de 5-6mois, surtout quand on conduit. Le talon s'use vite également, le tissu intérieur qui protège le "caoutchouc rigide" au talon part en lambeaux au bout de 6-7mois, ce qui devient vite désagréable lorsqu'on marche. Je ne sais pas si c'est le fait de conduire une voiture avec des Converse ou si c'est la qualité de fabrication qui cause cela.</t>
  </si>
  <si>
    <t>Parfaite Parfaite  prendre une taille de  plus que sa pointure</t>
  </si>
  <si>
    <t>Rapport qualité-prix Remplace le même modèle ( a fait presque 3 ans) dont le bracelet est quasiment coupé.</t>
  </si>
  <si>
    <t>Bon prix Qualité prix ok</t>
  </si>
  <si>
    <t>A coupler avec un DAC ou carte son externe ! Ce casque est tout simplement incroyable. Je recherchais l'excellence en terme de qualité audio, non seulement en tant que gamer que musicien (je joue de la guitare électrique) et ce casque est juste parfait.  En jeu : Je le couple avec une carton son SoundblasterX G6 qui non seulement alimente le casque, mais amplifie et pousse les limites du son à des niveaux faramineux. J'en ai essayé des casques, et je peux vous dire que musicien ou gamer, si vous cherchez l'excellence audio, c'est par ici. Attention cependant, on est sur un casque qui aura un niveau d'aigus soutenu, pour des basses un peu plus négligées.  En musique : grâce à l'adaptateur fournis je peux le brancher sur mon ampli de guitare, qui me permets de jouer même le soir. Le son est clair et tout à fait authentique  Globalement : Le casque est ultra confortable, je peux le garder sur la tête toute la journée, des fois j'oublie même que je l'ai sur la tête et panique en me demandant où il a bien pu passer. La qualité du son est magique, à condition d'avoir l'équipement pour l'alimenter.  Un grand 10/10 !</t>
  </si>
  <si>
    <t>parfait Parfait gratte langue</t>
  </si>
  <si>
    <t>brassière conforme à mes attentes Pour une taille 3 XL, le tour de poitrine ne doit pas excéder 130 cm, sinon ça risque d'être trop serré, donc inconfortable.</t>
  </si>
  <si>
    <t>Top! Ma fille en avait déjà un et m’en avait  vanté  les mérites.  Je l’ai commandé pour l’essayer. Je suis ravie! Première utilisation très agréable!</t>
  </si>
  <si>
    <t>Bien pour le prix Je suis agréablement surpris par l'encombrement de ce distributeur qui finalement n'est pas trop difficile à stocker. Il est léger (quand il est vide) et donc facilement transportable. Il marche très bien.  Seuls reproches: - une fois la température atteinte, il est brulant donc il ne faut pas toucher les parties métalliques gorgées de chaleur. - pendant la montée en température, il fait du bruit (par contre, une fois la température souhaitée atteinte, il est complètement silencieux).  Pour le prix, je suis content de mon achat. A noter que je l'ai commandé sur Amazon.de (Allemagne) pour 7 euros de moins malgré les frais de port.</t>
  </si>
  <si>
    <t>Chaussures d'hiver française Excellente chaussure de qualité supérieure avec un cuir épais et beau. Je la recommande à ceux qui veulent des chaussures qui dureront très longtemps. Je suis très satisfait qu'elle soit fabriquées en France.</t>
  </si>
  <si>
    <t>Tellement mignon! Ces chaussures attirent beaucoup d'attention !! J'ai acheté les 37 EU, ils vont parfaitement. Il y a une marge de manœuvre pour mes orteils, j'aimerais beaucoup d'espace supplémentaire. J'aime porter des chaussettes épaisses.</t>
  </si>
  <si>
    <t>Puma bonne qualité Produit de qualité, la taille correspond exactement et le délai pour les recevoir et assez rapide</t>
  </si>
  <si>
    <t>Excellent Excellent biberon rien a dire</t>
  </si>
  <si>
    <t>Vive le sport les filles Recu dans les temps. Taille parfaite. Maintien à la hauteur de mes attentes. Rien à dire. En pkus il est sexy.</t>
  </si>
  <si>
    <t>Super vêtement Je suis vraiment surprise par la qualité et la beauté de ce vêtement à un super prix ! Il me va à ravir, le tissus est très doux, fluide et sera parfait pour des grosses chaleurs, l'élastique ne serre pas trop et alors de bien tenir le buste. Confirme à la description ainsi qu'à l'image je le recommande vivement vous ne raterez rien.</t>
  </si>
  <si>
    <t>pas du nike mais reste supberbe produit conforme à la commande bonne qualite taille parfaitement produit super a recommander</t>
  </si>
  <si>
    <t>TRES CONFORTABLE. Je l'ai bien reçu, c'est très confortable et mon fils se sent à l'aise dedans. C'est Nike, une qualité very sûre.</t>
  </si>
  <si>
    <t>Bon rapport qualité prix Pour le prix, ce pointeur remplit tout à fait sa fonction.  L'installation sur l"ordinateur se fait rapidement (le pointeur est reconnu par l'ordinateur et un pilote s'installe tout seul la première fois en 1 à 2 min).  Sur la fonction laser, rien à dire, c'est un pointeur laser de lumière rouge, de grande portée.  La fonction défilement fonctionne bien pour faire défiler des pages d'une présentation powerpoint mais aussi (et ce n'était pas le cas de mon pointeur différent) pour faire défiler les pages d'un document word ou pdf.  Je m'en sers dans le cadre de l'enseignement et je n'ai aucun problème de portée : depuis le fond d'une salle longue de 15 mètres, il possible de faire défiler ma présentation.</t>
  </si>
  <si>
    <t>Mal coupé .Pour celles avec du ventre di non il faut ceinture  , tissu confortable J'ai acheté par curiosité pour affiner encore mes jambes . Pour cours à pied pas pratique ... Je portes 38 M et 177cm j'ai commandé L ( j'ai eu peur qu'il seront trop serré vu les commentaires ...) J'ai mis tres facilement ( pas besoin d'acrobatie comme des autres ...) pantalon tres près du corps comme il faut. Des bémols ... il n'y a pas réglage ceinture , j'ai ventre plat et impression que pantalon vont tomber ! Tres désagréable pour courir ...Rassurés vous il tient tres bien sûr les cuisses :) encore pire que c'est mal coupé devant , excès d'un tissu  et ca pende  entre les jambes et devant ... Tres gênant Je les remontes souvent et c'est pas qu'il sont grand non , c'est mal coupé ..Domage !  Tissu confortable et on transpire  bien . Très contente pour Ca ! Je les gardes ... il me faut un t-shirt  jusqu'aux cuisses ...et des bretelles ;) Je le conseille pour faire du vélo ...</t>
  </si>
  <si>
    <t>Inadaptées Inadaptées pour mon imprimante Epson 235. Le trou d'où sort l'encre n'est pas positionné au bon endroit vers le quel l'imprimante doit aller chercher l'encre. Le trou est du côté opposé. Inutilisable.</t>
  </si>
  <si>
    <t>Inutilisable Il n'y a pas trou dans les tetines !!!!!!!!! Gros défaut de fabrication. Elles sont inutilisables. Cela doit être une contrefaçon car d'habitude ces tetines sont nickel en magasin</t>
  </si>
  <si>
    <t>Super mais pue Il est franchement super il me taille à la perfection franchement rien a dire... Mise à part qu'il pue mais il empeste la soupe ! Je l'ai reçu il puait déjà la soupe et j'ai l'impression que ça s'arrange pas avec le temps c'est franchement dommage</t>
  </si>
  <si>
    <t>... Un peu déçu par le bracelet avec les boules. Un des fils c’est défaits et aucun moyen de le remettre en place. J’ai fini par le coupé mais ça reste jolie malgré tout.</t>
  </si>
  <si>
    <t>Casque sans fil Très bien bon son, pas de coupure super</t>
  </si>
  <si>
    <t>trés bon produit écoresponsable Très bonne alternative au stylo plastique qui seche tres vite et facilité d'utilisation car possibilité d'utilisation sur tableau blanc et noir (craie). A effacer avec un peu d'eau</t>
  </si>
  <si>
    <t>Très pratique Après quelques utilisations, je peux dire que c'est un produit robuste qui assure les fonctions essentielles demandées pour le suivi d'une activité sportive notamment en course. L'autonomie est bonne, rien à redire là dessus. Juste un bémol pour le récapitulatif par kilomètre qui n'apparaît pas sauf peut être en se connectant sur internet. La synthèse des info reste cependant suffisante. Un bon guide que je recommande.</t>
  </si>
  <si>
    <t>Étui ok Bon étui pour ranger sa carte-grise. Il remplit sa fonction. A voir dans le temps la solidité, mais n'a pas l'air plus fragile qu'un autre...</t>
  </si>
  <si>
    <t>sacoche homme Très contente de cet achat pour mon mari très bonne qualité très chic je recommande cet article sans problème paraît solide</t>
  </si>
  <si>
    <t>Robustes Chaussettes de qualités!!! Ne s’abîment pas comme certaines... Commandées à nouveau pour en avoir d'avance!!! Super.</t>
  </si>
  <si>
    <t>Bon sac Comme sur la photo. Cela fait 3 semaines que je l'utilise et pour l'instant rien à signaler. Tout va bien. Il est solide.</t>
  </si>
  <si>
    <t>Excellent Commandé pour mes deux chichis, elles sont ravies et ne veulent plus quitter mon sweat</t>
  </si>
  <si>
    <t>Fille Ravie ma fille était super contente des baskets je les recommendes super produits couleur superbe produits 10/10  pour se produit</t>
  </si>
  <si>
    <t>Très bien Livraison rapide, mise en place très simple, pied robuste. De plus l'aspect visuel est agréable et le pied ne prend pas beaucoup de place. Je recommande</t>
  </si>
  <si>
    <t>Des écouteurs de qualité Des écouteurs de qualité et confortables à l'utilisation</t>
  </si>
  <si>
    <t>Bon rapport qualité prix Je l' ai acheté pour télé travailler et je suis très content de ce casque.  Le design est simple et le micro de bonne qualité.</t>
  </si>
  <si>
    <t>Excellent rapport qualité prix Un achat que je n'hésiterai pas à renouveler si le besoin se représente ! Les chaussettes sont de bonnes qualité, confortable, légère et surtout la taille est parfaite. Bref, je recommande vivement !</t>
  </si>
  <si>
    <t>Chaussures conformes à mes attentes Parfait ! Chaussures officielles, je les attendais avec impatience même si elles sont arrivées très rapidement. Conformes à la marque Converse, c'est beau, c'est du solide, c'est indémodable et ça va avec tout. 10 euros de moins (frais de port compris) que dans mon magasin habituel.</t>
  </si>
  <si>
    <t>basket au top! j'adore j'espère que dans le temps je ne serai pas décu!!</t>
  </si>
  <si>
    <t>Très bon produit Marcher</t>
  </si>
  <si>
    <t>Parfaite Tétine parfaitement adapté pour un nouveau né, mon fils avec des régurgitations. On est passé au biberon MAM avec ces tétines débit 1 et il n'a quasiment plus aucune régurgitations.</t>
  </si>
  <si>
    <t>Recommande Niveau qualité prix, je n'ai rien à redire. Vraiment parfait et il rentre parfaitement dans mon portefeuille.</t>
  </si>
  <si>
    <t>Un peu petit, pas grand chose à mettre Bien</t>
  </si>
  <si>
    <t>Qualité/prix. Réception très rapide, par contre pour le prix cela n'a l'air solide. Heureusement qu'il n'est pas cher</t>
  </si>
  <si>
    <t>Très joli mais beaucoup trop petit impossible d'enfiler ce s/gorge je vais le donner car j'ai mis les coques rembourrées à la poubelle sans l'essayer</t>
  </si>
  <si>
    <t>Sweat trop petit Ne correspond pas à la taille attendue. Ma fille est déçue nous prenons toujours dans cette taille habituellement. Bien cordialement</t>
  </si>
  <si>
    <t>Cadran trop grand Le cadran est vraiment grand pour un poignet féminin, je le pensais plus petit. Et le lien coulissant ne tient pas très bien.</t>
  </si>
  <si>
    <t>Longueur des jambes parfaite pour une taille de 1,63 m La qualité de la maille est à vérifier avec l'usure ...</t>
  </si>
  <si>
    <t>Agenda rétro bouilloire cuivre Belle bouilloire rétro, un peu massive ( 1.7 L ) ... Un modèle 1.2 L aurai été judicieux.</t>
  </si>
  <si>
    <t>Conviens mieu au pieds fin Jolies baskets, mais conviennent mieux à des pieds fins</t>
  </si>
  <si>
    <t>Un seul regret Superbe fauteuil très confortable et ses appuie-bras relevables sont très appréciés pour le rangement (gain de place). Par contre je déplore le manque de sécurité du fait qu'il n'y a pas de blocage des rou- lettes lorsqu'on s'y assoit ou qu'on se lève (j'ai mal lu le descriptif lorsque j'ai fait mon choix). A part ça, très bel article.</t>
  </si>
  <si>
    <t>Très bien Pratique, légère, bonne contenance, pas d'arrière goût métallique. Pour l'instant tout est ok, maintenant reste à voir comment elle vieilli</t>
  </si>
  <si>
    <t>Parfait J'avais commencé avec des avent, on m'en a donné 2 Mam pour nourrissons et il ne voulait plus les autres. Donc je suis restée à cette marque, il a 18 mois et n'en veut pas d'autres (essayé : il jette le biberon et ne veut pas boire).</t>
  </si>
  <si>
    <t>Imprimante HP Office jet pro 8725 J’ai employe ce produit parce que ce sont des cartouches d’origine HP mon imprimante les a reconnu de suite.Et aussi pour la qualité de l’encre pour les photographies</t>
  </si>
  <si>
    <t>Nickel Utilisé pour nettoyer mes ceintures de mon véhicule car beaucoup de tâches dessus.  Plutôt sceptique au début mais au final, le résultat est là.  Je devrai certainement nettoyer encore afin d'avoir un rendu exccellent. Au final, très content du produit.</t>
  </si>
  <si>
    <t>Idéal pour les voyages Rentre facilement dans une valise et je peux prendre mon petit déjeuner dans ma chambre à l'hôtel. Je suis très content!</t>
  </si>
  <si>
    <t>Lot de 4X1,25 litres de lessives à prix correct Lessive Liquide Super Croix Bora à prix correct. On a jamais assez de lessive tellement cela part vite dans une famille. Ce lot est plutôt bien car il laisse un bon parfum de propre et est plutôt économique au prix du lavage. Donc bon rapport qualité prix</t>
  </si>
  <si>
    <t>Bon produit Produit comfome à la description</t>
  </si>
  <si>
    <t>Très contente ! Je suis satisfaite, j'ai reçu les converses 1 jour après avoir passé ma commande, en très bon état. Aucun défaut sur la paire de chaussure et la pointure est parfaite. Rapport qualité-prix rien à redire !</t>
  </si>
  <si>
    <t>Superbe malette J'avais un peu peur en lisant les commentaires qu'il manque un objet dans la malette mais ce n'est pas le cas. Malette sympa que ma fille va pouvoir glisser dans son sac lors de ces sorties nature.  Merci</t>
  </si>
  <si>
    <t>Trop petit Pas encore utilisé.mais belles bottes ,belles finitions,,,mais chaussent petit, je fais un 41 , au pris un 42 pour être à l'aise trop petit .....et heureusement il y avait du 43 ça c'est tout juste.</t>
  </si>
  <si>
    <t>Kit Rénovation Cuir RENAPUR Rien a dire, tout est dans le Kit (Nettoyant, Baume et Eponges) J'ai acheté ce Kit au vue de tous les commentaires positifs laissés J'ai traité mon Blouson et Pantalon de moto en cuir de 10 ans d'âge (entretenu a l'eau et liquide vaisselle) + Bottes Ils ont rajeunis de 10 ans avec trés peu de produit, donc je recommande</t>
  </si>
  <si>
    <t>Claquettes Adidas petit en largeur prévoir une taille au-dessus</t>
  </si>
  <si>
    <t>Il vous l'a faut pour votre cuisine &lt;div id="video-block-R1HU9RSFD8D9B7" class="a-section a-spacing-small a-spacing-top-mini video-block"&gt;&lt;/div&gt;&lt;input type="hidden" name="" value="https://images-eu.ssl-images-amazon.com/images/I/C1IjoAk+Z-S.mp4" class="video-url"&gt;&lt;input type="hidden" name="" value="https://images-eu.ssl-images-amazon.com/images/I/91jrWba9OfS.png" class="video-slate-img-url"&gt;&amp;nbsp;Très bon produit qui vous permettra de faire bouillir de l'eau très rapidement, de façon très saines comparé au micro-onde. Ce que j'ai bien aimé ce qu'on peut choisir la chaleur en fonction de ce que vous voulez faire du thé vert thé noir ou du café. Et il y a une option qui permet de garder au chaud l'eau et c'est vraiment très bien. J'aime beaucoup le design aussi comme vous le verrez sur ma vidéo. La paroi en verre de la bouilloire est relativement froide et sécurisé. Très bon produit à avoir dans votre cuisine.</t>
  </si>
  <si>
    <t>Belles mais grandes Comme prévu, elles taillent grand. Je fais du 44 en basket et là j'ai pris du 43 et je suis très à l'aise dedans. Limite un 42 aurait pu suffir. Je ne peux commenter la qualité des chaussures car je ne les ai pas mises pour marcher. A vue de nez, la qualité a l'air bonne... A voir d'ici quelques jours...</t>
  </si>
  <si>
    <t>Top Très bon produit. Je recommande vivement.</t>
  </si>
  <si>
    <t>Très bien Très bien très efficace</t>
  </si>
  <si>
    <t>Mouais La chaussure fait son job. Elle est très solide. Protège de tout n'importe quoi. En revanche, elle est assez lourde, mais surtout d'un inconfort légendaire. Après une journée de boulot, j'ai monstrueusement mal aux pieds. Et à la cheville. Peut être qu'avec le temps cela s'améliorera...</t>
  </si>
  <si>
    <t>attention taille trop grand! déçu par la taille,ma taille normale XL que j'ai commandé et reçu,le L aurait suffi.</t>
  </si>
  <si>
    <t>Joli mais fragile Les bracelets sont jolis, Mais le noir est très fragile, Je l'ai déjà rayé 2 fois en 1 journée</t>
  </si>
  <si>
    <t>Bonne qualité mais pas pratique Le produit est de bonne qualité, et apporte un maintien intéressant pour une grande taille de bonnet. Grande déception, impossible de fermer l'accroche dorsale toute seule! Je le retourne...dommage!!!</t>
  </si>
  <si>
    <t>Montre élégante Très jolie montre que ce soit pour homme ou femme. Elle est élégante et ne pèse rien du tout. Le bracelet en maille est très jolie et ne bouge pas.</t>
  </si>
  <si>
    <t>Très bien Belle chaussures de sécurité mais mérite une semelle intérieure en plus car donne mal au pieds.</t>
  </si>
  <si>
    <t>Petit sac utile ! Le sac est vraiment petit mais pratique. Je l’ai acheté pour partir vite en prenant le minimum. On ne peu y mettre un grand portefeuille toutefois</t>
  </si>
  <si>
    <t>Belle qualité Bracelet acheté pour ma ZeTime. Contente de ce bracelet car de bonne facture et un prix défiant toute concurrence ! Le seul point négatif serait les traces que la boucle laisse sur mon poignet (voir photo) ceci est du à la forme de de la boucle je pense...</t>
  </si>
  <si>
    <t>Bon casque ! J'utilisait auparavant un casque que j'avais payé 20e. j'ai donc décidé de changer de gamme et d'essayer un casque plus cher. Je n'ai pas fais de comparatif avec d'autre casque du même prix mais celui là me convient parfaitement. Le son est de qualité mais surtout il est très confortable à porter ! Confort que je n'avais pas avec celui à 20e qui me faisait mal au bout d'un moment.  Je suis donc satisfait de mon achat.</t>
  </si>
  <si>
    <t>Excellent rapport qualité prix Trés bien pour dormir sur le coté, je les utilise pour écouter la pluie en m'endormant, ils sont parfaits car je ne les sens pas quand je me tourne dans le lit et en plus on est trés bien isolé des bruits extérieurs. Donc parfait pour moi. Le son est suffisant et les basses aussi. Je le recomande pour ceux qui cherchent des écouteurs pour s'endormir.</t>
  </si>
  <si>
    <t>Je conseille Excellent, produit identique à ceux vendus en magasin spécialisé mais les 5 litres pour le prix d'un.</t>
  </si>
  <si>
    <t>Solidité Hier chute de deux biberons en verre, ils sont intactes !</t>
  </si>
  <si>
    <t>rapide, multi-temperature un peu plus complexe que prévu, bruyant La bouilloire est rapide et s'éteint rapidement une fois la temperature atteinte. Deux choses à savoir: 1) elle fait un bruit strident lorsqu'elle se met en marche et arrive à temperature. 2) Ce n'est pas toujours claire si l'on a bien lancé le programme ou pas (il faut que le bouton du bas, blanc, soit allumé, et pas seulement le tableau bleu). Je n'ai pas encore réussi à lancer un programme hors du 85° ou 100°C proposés. D'un autre côté, je n'ai pas ouvert le manuel... Utilisé à fond depuis deux semaines, à priori une machine solide</t>
  </si>
  <si>
    <t>Très bon matériel Excellente qualité Très ergonomique</t>
  </si>
  <si>
    <t>tres bien super produit</t>
  </si>
  <si>
    <t>pantalon+swaet pris en rose super la matiere velous esquise très douce agréable a porté par un homme en tenue  d'intérieur ne peut que l'adoré</t>
  </si>
  <si>
    <t>Bijoux Super jolie dans un jolie coffret</t>
  </si>
  <si>
    <t>Microphone à Condensateur Le Microphone se branche sur le pc et permet d'enregistrer sur ordinateur ou autre enregistreur. Grâce à ce micro on chante on parle on enregistre dans un groupe de discussion. La boite à rythme est connectée via la carte son du pc, donc aucun soucis à ce faire, car la qualité est très présente. Ce n'est pas obligé de dépensé des centaines d'euros pour une soit disant qualité supérieur alors que celui-ci est de super qualité. Donc moralité vous aurez une référence de son, qui ne vous décevras pas sans être ruiné. Je le conseille fortement car la qualité est présente a 100%.</t>
  </si>
  <si>
    <t>Chaussures de ville - rapport qualité y’a pas mieux. Très belles chaussures de ville achetées pour les études de mon fils. Très bonne qualité pour un super prix</t>
  </si>
  <si>
    <t>Très pratique Très pratique pour bébé ! Pas toujours facile à nettoyer mais bébé adore</t>
  </si>
  <si>
    <t>Rien à dire super chaussures Super chaussures. Achat pour mon mari qui en est ravi. Il les porte en permanence et trouve la taille très bien.</t>
  </si>
  <si>
    <t>Bien Très  jolie je l'ai  offert la personne en est ravie</t>
  </si>
  <si>
    <t>Soutien gorge brassière Pour le confort pas de soucis quant au maintient de la poitrine c'est à revoir si comme moi vous avez une poitrine lourde.</t>
  </si>
  <si>
    <t>Défectueux Produit dont l'encre ne sort pas . Marre d'HP qui ne donne la possibilité d'imprimer que 3 pages . Après alignement et nettoyage Plus d'encre Cher pour barbouiller Non ?</t>
  </si>
  <si>
    <t>taille vraiment tres poetit car apres pour le changé tout prétexte pour ne pas rectifie  ils sont de mauvaise fois il sont avant tout de mauvaise fois faite attentions avant de commander car il taille vraiment très petit prendre les taille supérieure car après pour faire échange c'est la croix et la bannières  pour changé il sont nulle</t>
  </si>
  <si>
    <t>pull nike le pull est comme sur la photo, mais il taille vraiment petit un L est en realiter un M c'est surtout au niveau des manches que la taille est plus petite</t>
  </si>
  <si>
    <t>Bien Ma fille de 7 ans adore</t>
  </si>
  <si>
    <t>Sérieux et rapide Pour déco de Noël. Fonctionne très bien. J' en ai même recommandé.</t>
  </si>
  <si>
    <t>super reveil au top ideal pas decu</t>
  </si>
  <si>
    <t>Presque parfait Ce sweat est bien chaud et doux, je fais une taille 38 j'ai pris du M, c'est parfait, le seul reproche que je peux lui faire c'est qu'il est trop long (enfin, en tout cas pour une petite taille 1,60m) ce n'est pas très joli mais il fait le job, vu le rapport qualité prix je suis contente de cet achat.</t>
  </si>
  <si>
    <t>Bon micro micro qui reste correcte, si vous êtes dans une pièce tranquille, en extérieur le vent ou les bruit de fond devienne parasite . l'accroche va très vite cassé, le plastic est fin et le moindre choc le cassera .</t>
  </si>
  <si>
    <t>Parfait Excellent rapport qualité prix, expédition rapide.</t>
  </si>
  <si>
    <t>Article soigné bien emballe Parfait plusieurs attaches avec 3 tailles différentes. .........bel article dans une jolie boîte Livraison rapide Pas de,problème de paiement....se faire plaisir à peu de frais</t>
  </si>
  <si>
    <t>très joli diadème ce joli diadème en métal est très fin et vraiment brillant. Je l ai acheté pour ma nièce de 10 ans et elle l adore.Elle joue avec ses soeurs à se déguisés et il tient très bien sur la tête grâce à des petits peignes. Je suis très heureuse de cette achat.</t>
  </si>
  <si>
    <t>Bon produit Tout à fait conforme à la description. Ces tablette lave bien la vaisselle. Je les paye ici moins cher que dans mon supermarché habituel.</t>
  </si>
  <si>
    <t>Rapide à installer Super pratique n étant pas patient beaucoup mieux que les fixations avec coins adhésifs</t>
  </si>
  <si>
    <t>Baume de tigre Produit conforme.</t>
  </si>
  <si>
    <t>Ravie !! Produit conforme. Je suis très contente pour le prix. J'ai pris un M je mesure 1m70 et mets un 42 normalement et il taille parfaitement!</t>
  </si>
  <si>
    <t>Un truc de oufffffff Un truc de malade. Wow Bose pousse la NR encore plus.</t>
  </si>
  <si>
    <t>Je recommande à 100% !!! Super, je les ai depuis 1 an et je les utilise 4 heures par semaine ils sont toujours top. Je porte du 39-40 et j'ai pris une taille L .... un peu grand (peu être agrandit avec le temps). Je recommande à 100% !!!</t>
  </si>
  <si>
    <t>rien a dire c'est la deuxième paire que je commande pour mon fils, et toujours rien n'a dit, la semelle tient le coup, elle ne se décolle pas, le dessus né trous par n'ont plus très bon produit</t>
  </si>
  <si>
    <t>très bien Très bon rapport qualité/prix. Les cartouches fonctionnent parfaitement avec l'imprimante epson XP-305. Celle ci reconnait les cartouches comme n'étant pas de marque epson mais en permet l'utilisation. Cela fait plusieurs fois que j'en commande et je n'ai jamais eu de soucis.</t>
  </si>
  <si>
    <t>Bon produit, je recommande. Produit conforme à la description, belle qualité, je n'ai rien à redire je suis très satisfaits et je le recommande sans problème.</t>
  </si>
  <si>
    <t>super article j'en suis ravie super article j'en suis ravie</t>
  </si>
  <si>
    <t>Recommande Très sympa ces petites baskets, bien emballée, non vraiment top et très comfortable ! Je les recommande !</t>
  </si>
  <si>
    <t>joli gris Voilà au départ j'en voulais une avec la visière à l'arrière comme les personnages dans les séries sur les banlieues. Mais je n'ai trouvé que celle là, qui malgré sa visière à l'avant n'est pas si mal.</t>
  </si>
  <si>
    <t>1 manquante Lot de 2? Je n'en ai reçu qu'une ! A part ça je l'aime bien mais j'ai payé pour 2 brassières.</t>
  </si>
  <si>
    <t>Cher pour de la médiocrité.. Huiles essentielles de mauvaises qualités.. Ayant déjà des huiles bio certifiées j'ai vu la différence sans aucune comparaison... Cher pour de la médiocrité</t>
  </si>
  <si>
    <t>Ne fonctionne pas!.. Belle présentation, conforme au descriptif, tout y est sauf le principal = il ne fonctionne pas!.. ni sur ma platine de mixage, ni sur mes 2 PC, ni sur ma chaine HIFI  Dommage de se faire avoir de la sorte avec des copie de micro Vintage qui ne sont même pas testées avant expédition Camelote encore une fois..</t>
  </si>
  <si>
    <t>La taille est plus grande Objet identique mais taille non juste</t>
  </si>
  <si>
    <t>La photo ne ment pas! Superbe article! Je pensais qu'il serait légèrement différent une fois reçu (il avait vraiment l'air parfait sur la photo) alors quelle bonne surprise en ouvrant le paquet de voir l'exactitude de la photo! Ne pas oublier de graisser (normal c'est du cuir) et tout ira bien!</t>
  </si>
  <si>
    <t>bon produit trés confortable.... beau, agréable à porter et surtout super ajustable... faut pas avoir les poignets de Hulk par contre... sinon je conseille</t>
  </si>
  <si>
    <t>classique Elles sont indémodable, classique et épurée elle me donne le petit style casual/décontractée que je cherchait. rapport qualité prix bon</t>
  </si>
  <si>
    <t>Nickel pour notre appareil à fondu On avait perdu notre cordon pour notre fondue tefal. Celui-ci fonctionne parfaitement</t>
  </si>
  <si>
    <t>Réduit le bruit mais ne le bloque pas complètement Réduit bien le bruit extérieur , pas à 100% cela dit ... pas autant que d autres modèles de la même marque :(</t>
  </si>
  <si>
    <t>Très bonne imprimante Mon ancienne imprimante m'a lâché après seulement 3 ans d'utilisation modérée. Je me suis décidé à changer de marque et je suis passé chez Brother. Je ne le regrette pas !! L'imprimante est un peu imposante par son encombrement mais la qualité est au rendez vous. La configuration et la mise en route sont faciles. Les fonctions sont multiples, bien adaptées. La qualité de fabrication est évidente. La qualité d'impression est très bonne. Le scanner est rapide et facile d'utilisation. Quand on scanne on a plusieurs choix possibles pour le format du fichier et sa destination. Il y a une connexion qui s'établi automatiquement avec mon PC et ce que je scanne se retrouve dans un répertoire du PC au format que j'ai choisi. On peut scanner un document à feuilles multiples très rapidement grâce au chargeur. Je n'ai eu aucun problème avec l'écran tactile qui fonctionne très bien sur ma machine. Toutes les fonctions de cette imprimante sont bien étudiées. Il y a une notice livrée avec l'imprimante mais l'utilisation des fonctions est tellement bien étudiée et facile que je n'ai pas eu besoin de la lire. La configuration pour une connexion réseau s'est faite facilement et du premier coup. La grande capacité du chargeur papier est intéressante. La machine se met en veille au bout du temps que j'ai choisi et si je lance une impression de mon PC l'imprimante se met en marche seule et elle est opérationnelle très rapidement. C'est une très bonne machine, j'espère que la qualité sera au rendez-vous. Le fournisseur a l'air sérieux; elle a été livrée rapidement dans un bon emballage et des instructions précises. J'ai reçu une facture sans que je la demande.  (elle est garantie 2 ans).</t>
  </si>
  <si>
    <t>Très pratique avec l’embout en éponge pour bien nettoyer Pour le nettoyage de certains récipients et pour le lavabo</t>
  </si>
  <si>
    <t>Cartouche canon La cartouche xl black est la même que celles qu on trouve en magasin mais beaucoup moins cher. Moi qui imprime beaucoup c'est très avantageux financièrement. De plus elle est beaucoup plus rentable que la canon non ci quand on compare le prix et le nombre de feuilles imprimés.</t>
  </si>
  <si>
    <t>Bon produit Produit conforme et délai respecté</t>
  </si>
  <si>
    <t>Ecouteurs Bluetooth qui se font oublier Écouteurs livrés avec une house de transport, un câble USB (pas de chargeur), 6 embouts caoutchoucs de remplacement, une boite de rangement / recharge de 3000 mA et une notice. Les 2 écouteurs sont appairés, mais il est possible de connecter chaque oreillettes sur un smartphone différent. Ils suffit de les remettre dans la boite pour les appairer de nouveau. Ils sont très léger, s'intègrent bien dans l'oreille. La réduction des bruits environnants est assez efficace. Il vous faudra plusieurs minutes pour vous familiariser avec les commandes : un appui rapide sur l’écouteur gauche pour mettre en lecture / pause, appui long a gauche pour baisser le son, appui long a droite pour augmenter le volume etc ... Vous pouvez aussi décrocher lors d'un appel en appuyant rapidement sur chaque oreillette en même temps. Mais ça, c'est vous qui voyez :)</t>
  </si>
  <si>
    <t>Super Très bien merci</t>
  </si>
  <si>
    <t>Parfait C'est un microphone sans fil qui peut être chargé.Il est possible de réglé le son , l'écho, la basse et plein d'autre petite chose.Les lumière se font au rythme de la chanson mise et le son est très net!</t>
  </si>
  <si>
    <t>Micro de pro Excellent micro de très bonne qualité. On s'éclate vraiment avec du matériel comme celui-là. Parfait. Achat très utile et excellent</t>
  </si>
  <si>
    <t>Lavande aspic Huiles essentielles BIO. Je l'utilise pour soulager les piqûres d'insectes dont les moustiques. Elle a des vertus cicatrisantes et calmantes. Très bon rapport qualité/prix</t>
  </si>
  <si>
    <t>Masseur Appareil de massage tres bien qui masse bien les Bras cou et cuisses.</t>
  </si>
  <si>
    <t>prendre une pointure au-dessus de l'habituelle. Se lavent en machine à froid : super super produit, confortable et léger§re , se lavent en machine sans problème à froid . je recommande ce produit</t>
  </si>
  <si>
    <t>parfaite Pas déçu de mon achat, confortable, agréable à porté, bonne taille, j'adore cette tunique 2</t>
  </si>
  <si>
    <t>Parfait J'ai offert cette théière à ma compagne qui depuis, l'utilise tous les jours. Elle est solide, la finition correcte et performante. L'eau chauffe rapidement et dès qu'elle est a température, la lumière bleu s’éteint. La température est réglable par palier de 5°</t>
  </si>
  <si>
    <t>Trop petite Trop petite alors que sur la photo on voit une taille adulte, la c’est plutôt pour un enfant . Déçu !!!</t>
  </si>
  <si>
    <t>Mauvaise qualité Les lacets ont lâchés dès la première utilisation... Sur les deux chaussures !</t>
  </si>
  <si>
    <t>Ras Qualité en adéquation avec le prix</t>
  </si>
  <si>
    <t>les baleines sont blessantes Le soutien gorge est bien taillé mais pour courir, les baleines blessent, j'ai du les enlever.</t>
  </si>
  <si>
    <t>Parfait Tout à fait adapté aux poubelles de la même marque. Il sont costauds, tiennent bien dans la poubelle et se ferment grâce à un lien coulissant.</t>
  </si>
  <si>
    <t>Je recommande Basket légère et jolie</t>
  </si>
  <si>
    <t>Très bon produit Produit de bonne facture au regard du prix, très bon son surtout en dolby atmos.</t>
  </si>
  <si>
    <t>Tres contente, mais... Le produit est satisfaisant et resistant. Par contre j'avais achete il y a 2 mois le lot de 2 rouleaux de 50l a 5,70€ livraison gratuite.  Je voulais en recommander 1 lot, j'ai du laisser tomber car le prix est passe a 32€ + environ 3€ de port !!  C'est n'importe quoi !! J'espere que le prix va revenir a la normal.</t>
  </si>
  <si>
    <t>Chaussent un peu petit Jolies mais chaussent petit, le 40 correspond plus à un 39-39,5</t>
  </si>
  <si>
    <t>Top Excellent basket de secu</t>
  </si>
  <si>
    <t>Bel objet pratique Très belle bouilloire avec un bec verseur très pratique. Nous sommes très satisfaits par cette achat.</t>
  </si>
  <si>
    <t>Excellente sonorité Léger, fonctionne parfaitement. Très satisfait.</t>
  </si>
  <si>
    <t>Montre de très grande qualité Belle montre très masculine, sa précision est incroyable aucune seconde d'avance ou de retarde se qui est rare chez une montre automatique...sauf celle de grande marque. Je recommande cette montre a toue les hommes qui veulent une montre fiable qui durera de très nombreuses années.</t>
  </si>
  <si>
    <t>tres bon produit. merci Parfait. merci</t>
  </si>
  <si>
    <t>Super !!!! Le casque est super joli, facile a plier, reçu rapidement ! Agréable à porter et le son est magnifique. Pour le prix c'est un très bon compromis</t>
  </si>
  <si>
    <t>Efficace ! Brosse basique mais efficace (y compris contre les poils de chat !) La petite brossette pour le diamant est également pratique ; le cache transparent la maintenant tient bien en place.</t>
  </si>
  <si>
    <t>bonnes pompes design Converse, en tout cas ça y ressemble. Au touché ça fait un peu toc mais je n'y connais rien du tout. Elles finissent assez finement, se méfier pour les pieds larges ça pourrait finir en ampoules. Vu les commentaires; j'ai opté pour une demi taille au dessus et ça me va pile poil. Pour ce prix, je crois que ce ne sont pas des contrefaçons mais plutôt une entrée de gamme.</t>
  </si>
  <si>
    <t>Très bien Parfaites. Conformes au descriptif et à limage. Bonne qualité.</t>
  </si>
  <si>
    <t>joli duo de bracelets jolis bracelets bel effet emballage +++ seul bémol livraison un peu longue</t>
  </si>
  <si>
    <t>Super argile Le port est enorme. J'en ai pour des mois de masque. L'argile est parfait, souple, de bonne qualité. Je recommande.</t>
  </si>
  <si>
    <t>Je recommande Idéal pour l'apprentissage de la lecture.</t>
  </si>
  <si>
    <t>Jolie design Très bon rapport qualité prix</t>
  </si>
  <si>
    <t>Indispensable Un indispensable de l’electromenager Je l’adore , je ne m’en passe plus</t>
  </si>
  <si>
    <t>Très bon rapport qualité prix ! Et bien taillé Super sweat à fermeture ! Il est bien taillé et plutôt de bonne qualité.</t>
  </si>
  <si>
    <t>Je ne suis pas tombée sur le bon Qualité du son ok Longévité zéro (en ce qui concerne ce qui m’a été livré) Au bout d’une semaine le truc s’est dépiécé. J’espère que les autres n’ont pas vécu ça</t>
  </si>
  <si>
    <t>marche pas de tout ne marche pas de tout , meme les 3 de set ne marche pas de tout . Il faut normalement me rembourser pour ce produit .</t>
  </si>
  <si>
    <t>Pour un bon massage, rien ne vaut un Kiné ! Cet appareil censé mâsser provoque un total inconfort et fait mal aux vertèbres ! Ce n’est pas un cas isolé, les autres produits du même genre effectuent le même désastre !</t>
  </si>
  <si>
    <t>Bon produit Content de mon achat cependant je suis un peu décu car j’ai pour habitude de ranger mes montres dans leurs boites respectives mais celle ci est arrivée abimée malheureusement ...</t>
  </si>
  <si>
    <t>Bon produit mais cher J'ai utilisé des produits cartouches génériques beaucoup moins chers mais Canon fait en sorte par l'intermédiaire des mises à jour  des drivers que l'imprimante ne fonctionne pas correctement avec des cartouches génériques. je suis donc obligé d'acheter des cartouches Canon qui sont bien techniquement mais cher, ce qui n'est pas très satisfaisant.</t>
  </si>
  <si>
    <t>chaissure de marche chaussure pour de petites randonnees sur terrain plats et pas caillouteux.</t>
  </si>
  <si>
    <t>Indémodable, légère et discrète Son prix défie toute concurrence. Elle est robuste et relativement facile à régler. Sa sonnerie est assez claire pour attirer l'attention, sans plus, mais la lumière s'avère insuffisante pour lire efficacement l'heure dans l'obscurité. Le change du bracelet épisodiquement nécessaire vient un peu renchérir son coût. Une bonne compagne cependant pour les qualités énumérées plus haut.</t>
  </si>
  <si>
    <t>Très bien Très bon étui pour ranger sa carte grise. Un emplacement réservé à la partie assurance est également compris. Je l'utilise pour mes papiers de moto qui sont toujours dans mon blouson et l'étui ne s'abîme pas pour autant.</t>
  </si>
  <si>
    <t>CONVERSE CHUCK TAYLOR Colis reçu rapidement. Article conforme à la description. Comme le soulignait certains commentaires, il faut prendre une pointure de moins car produit taille un peu grand.</t>
  </si>
  <si>
    <t>Au top! Super chaussures!! La bulle et la matière les rend super confortables et le style est sympa. Mon ado adore!</t>
  </si>
  <si>
    <t>Ma copine est satisfaite ma copine à bien reçu le coli tous semble c'étre bien déroulé</t>
  </si>
  <si>
    <t>Excellent Très bon produit ! Les petits livrets ajoutés à l'agenda à proprement parler si super ! La taille est aussi très bonne !</t>
  </si>
  <si>
    <t>Le rêve Impossible de regretter l'achat de ce produit. Magnifique, j'y trouve mon bonheur. Ce coussin est mon nouveau meilleur ami.</t>
  </si>
  <si>
    <t>Bon Produit Rien a dire conforme à l'article commander</t>
  </si>
  <si>
    <t>Bonnes chaussures J'ai pris ces chaussures avant tout pour leur belle couleur bleue ! Je ne fais pas de sport avec mais étant sensible des pieds j'aime avoir des chaussures confortables pour marcher tous les jours. J'ai fait quelques promenades avec mon chien en campagne et elles sont juste hyper confortables ! Un vrai plaisir de bien se sentir dans ses pieds. Je chausse du 42 et j'ai pris en taille 42, et rien à dire la taille est parfaite  La qualité me semble très correcte et j'ai particulièrement apprécié les crampons sous la semelles qui trouveront toute leur utilité antidérapante sur sol humide ou boueux.</t>
  </si>
  <si>
    <t>TOP Mon mari adore</t>
  </si>
  <si>
    <t>Supere Supere</t>
  </si>
  <si>
    <t>jolie très beau modèle conforme a la photo</t>
  </si>
  <si>
    <t>Rien à redire Super produit et livraison impeccable. Le choix de température et très pratique et l’eau est chauffée vraiment vite. Un bon choix</t>
  </si>
  <si>
    <t>Bon produit Achter pour mon papouné il les a trop kiffée. Il sont bien. Il les porte depuis quelques mois à part le puma qui s'efface avec le temps 😜. Question solidité rien n'a dire. Je vous les conseil</t>
  </si>
  <si>
    <t>Très bonne quallité Le produit correspond à mes attentes. Très belle écritures sur des ardoises. Je le conseille vraiment. 100 % satisfait. ok</t>
  </si>
  <si>
    <t>reposant pour les yeuw excellent produit et moins cher que cher le pharmacien</t>
  </si>
  <si>
    <t>Contente Juste parfaite  !!</t>
  </si>
  <si>
    <t>Utile et ludique J'ai acheté ce stylo, pour la fête des pères, Il y a des gadgets et il y a des mini outils ultra pratiques, ce petit stylo fait les deux. Un gadget pratique qui dépannera !</t>
  </si>
  <si>
    <t>Deçu Conforme à la photo mais mauvaise qualité  s'abime tres vite dommage parce que forme originale</t>
  </si>
  <si>
    <t>Ne marche pas Il ne fonctionne pas !! ne pas acheter</t>
  </si>
  <si>
    <t>Pourri Ce n'est pas les vrai en même pas un mois déjà fichus pfff</t>
  </si>
  <si>
    <t>Couleur inexacte. La couleur kaki annoncée n'est pas exacte : marron mais pas kaki. Donc, je retourne ces baskets et j'ai commandé un autre article.</t>
  </si>
  <si>
    <t>Excellent Très confortable !!</t>
  </si>
  <si>
    <t>Aucun regret Acheté pour avoir des boucles dans un style plus sobre Joli simple discret, assez bon rapport qualité prix</t>
  </si>
  <si>
    <t>Très beau lot😊 Très beau lot. La mode chez les ados,en pantalons, en survêtements etc. . . C'est les chaussettes sans tiges, choses que je ne supporte pas😬 car on a l'impression qu'ils ont des vêtements trop court et en hiver avoir les chevilles découvertes c'est très bof bof (vive les 😷rhumes ! ) avec ce lot tout le monde est content, couverte sans trop 😊... À voir à l'usure et au fil des lavages</t>
  </si>
  <si>
    <t>Top Super qualité</t>
  </si>
  <si>
    <t>Boucles rigolotes Pour garnir le calendrier de l’avent !</t>
  </si>
  <si>
    <t>pochette pour plastifieuse pochette pour plastifieuse  conforme à ce que je recherchais. Robustes et faciles à utiliser. Ça fait plusieurs fois que j'en commande et je les apprécie beaucoup. Je recommande. Délais de livraison respectés.</t>
  </si>
  <si>
    <t>Excellente qualité Excellente qualité et livraison dans les délais</t>
  </si>
  <si>
    <t>L'un des meilleurs casque que j'ai eu a ce tarif la la réduction de bruit est un grand plaisir, travaillant dans un openspace c'est le meilleur moyen de rester isolé et de rester concentré sur son travaille.  les basses sont ni trop basse ni trop puissante, les aigu sont d'une jouissance, et la profondeur des graves se ressente.</t>
  </si>
  <si>
    <t>G-Shock Très bon produit.</t>
  </si>
  <si>
    <t>Très confortable. Pour tous les jours elles sont super élégante et très agréable. Confortable ! Comme dans des chausson.</t>
  </si>
  <si>
    <t>Prenez le Bon rapport qualité prix. Vous ne trouverez pas mieux ailleurs en plus de l’envoie rapide. Je recommande</t>
  </si>
  <si>
    <t>correspond en tous points à la description offert en cadeau et très apprécié</t>
  </si>
  <si>
    <t>Satisfait 😍 Je suis très satisfait de ces écouteurs, ils sont légers et tiennent bien dans les oreilles. Le volume peut être régler assez fort et ne perds pas en qualité. Les basses sont très présentes mais cela peut se régler dans les applications de musique ! Je recommande</t>
  </si>
  <si>
    <t>Bon produit J'adore les stylos et teste tout ce qui sort Produit sympa - Ecriture souple A tendance à baver un tout petit peu en fin de cartouche</t>
  </si>
  <si>
    <t>Aime beaucoup Je l'ai essayé avant, puis je l'ai évalué.  La sensation générale est semblable à un microphone et à l’intégration du son. Le son est stéréo, mais il n’est pas si fort que c’est juste à côté, c’est un artefact d’autodéfense.  J'aime habituellement chanter et jouer à la maison.Ce microphone est vraiment bon en texture et a beaucoup de fonctions pour étudier lentement.</t>
  </si>
  <si>
    <t>Parfait Très pratique, se plie dans tous les sens , ce qui permet même sur un petit bureau de ne pas être ébloui par la lumière. Les différentes nuances de lumière chaudes / froides sont très agréables et couplées aux différentes intensités, elles permettent de répondre à tous les besoins: lumière d'ambiance, vive pour un travail de précision ...</t>
  </si>
  <si>
    <t>Flip flop’top Font le job</t>
  </si>
  <si>
    <t>Top et économique Ce produit me convient trés bien, il lave bien ne laisse pas de trasse et en plus est économique grace à sa pompe mousse.</t>
  </si>
  <si>
    <t>Impeccable j'ai acheté ce sweat pour mon mari, le rendu 3D est très sympa, la forme est parfaite, il taille comme il faut, choisir votre taille exacte. la matière est très agréable à porter.</t>
  </si>
  <si>
    <t>***** Conforme aux attente</t>
  </si>
  <si>
    <t>bien il y a eu juste un petit soucis l'arrêtoir est trop petit et si on force la tige plie ,par chance il a les embouts en plastique sinon contente de l'article</t>
  </si>
  <si>
    <t>Très décue Je posséde des biberons natural AVENT, je m’attendais donc à ce que ce goupillon soit pensé pour ceux-ci! Je suis très décue, le manche est court donc pas ergonomique et en plus il n’est pas au dimensions spéciales pour biberon à col large alors que les bibes AVENT sont à col large donc je ne comprend pas bien. J’achetais avant un goupillon de chez Nuby special col large qui était parfait sauf qu’il ne se fait plus. J’ai donc longtemps cherché ce que je pouvais acheter et me suis tourné vers goupillon de marque des biberons. Et bien je n’aurais pas dû!</t>
  </si>
  <si>
    <t>Boucle d'oreille Trés jolie mais trop fragile</t>
  </si>
  <si>
    <t>Bien mais... Ces biberons sont très jolis et bébé adore regarder les dessins qu'il y a dessus. Le seul hic est que dans la description du produit il est indiqué que les tétines sont de taille 3 (ce pourquoi j'avais choisi ces biberons) et l'emballage des biberons indique également une taille 3 sauf que les tétines montées sur les 2 biberons sont des tailles 2!! Je suis donc obligé de recommander des tétines.</t>
  </si>
  <si>
    <t>Bon article livré rapidement Très beau sweat , pris en taille L pour ma fille de 16 ans car elle préfère le porter un peu ample juste comme il faut. Donc très satisfaite !! Matière très douce. Le délai de livraison plus tôt que prévu, nickel pour son anniversaire !!</t>
  </si>
  <si>
    <t>Parfait Très confortable merci</t>
  </si>
  <si>
    <t>Taille un peu petit Jolies et discrètes. Taille un peu petit Très confortables</t>
  </si>
  <si>
    <t>Très jolies boucles d'oreilles, et très bonne qualité. pour leurs finesses et leurs brillances.</t>
  </si>
  <si>
    <t>Sac poubelle 240 L Excellent produit qui peut sembler cher au vu du nombre d'unités. Il est parfaitement solide et étanche et c'est exactement ce que l'on recherche pour les déchets en ville.</t>
  </si>
  <si>
    <t>Un bon pantalon Le pantalon est léger doux et personnellement je le trouve super beau, la taille correspond parfaitement a mon homme ( il a pris en L), il est très a l'aise dedans et le style est celui qu'il recherché. Les poches a l’arrière sont des fausses poches, mais elle donne quand même du style. Le pantalon est arrivé plus tôt que prévu, et conforme au photos, il est bon pour le prix, je ne regrette pas l'achat.</t>
  </si>
  <si>
    <t>Reproduit bien la sensation de l'allaitement pour bebe Adoptées immédiatement par ma fille a 1 mois et demi en parallèle de l'allaitement maternel. Se nettoient très facilement car assez larges.</t>
  </si>
  <si>
    <t>Pas mal du tout Bonne</t>
  </si>
  <si>
    <t>J’en ne m’en passe plus Depuis que je l’ai , je l’utilise beaucoup dans les différentes pièces de la maison . J’utilise différentes huiles essentielles selon ce que je veux comme ambiance ( zen , anti moustique et en ce moment un mélange anti mouches ) . Il est facile à utiliser , programme d’une à 5 heures . ses différentes ambiances lumineuses ajoutent un côté zen ( en plus avec le design boisé) surtout le soir .</t>
  </si>
  <si>
    <t>TRES ECONOMIQUE !!!! c'est vrai que cela peut paraître paradoxal quand on compare les prix. Mais, j'utilise ces cartouches depuis début 2015 et voici leur moyenne d'utilisation : - la noire = une petite année - la cyan (bleu) = au moins 13 mois (mais je fais beaucoup d'impression en utilisant du bleu) - la magenta (rouge) = entre 15 et 18 mois - la yellow (jaune) = 15 mois. Je m'occupe d'une association et j'imprime du courrier très régulièrement ainsi que des flyers (environ 8000/année). Alors, c'est comme au super marché : il faut comparer sur des bases similaires et malgré leurs prix, elles sont bien plus économiques que des cartouches apparemment moins chères !</t>
  </si>
  <si>
    <t>Design simple et discret. Ces écouteurs sont très bien, ont l'air bien solide, d'avoir un joli design et une très bonne qualité de fabrication. Le son est très bon. Ils tiennent très bien dans les oreilles, car pas trop gros. Présentation très valorisante, prix canon. Vraiment du bon boulot pour le prix demandé !!</t>
  </si>
  <si>
    <t>Très Jolie Rien n'a dire. Parfait !</t>
  </si>
  <si>
    <t>Top Pour les biberons de ma fille il et facile d'utilisation facile à transporté mais par contre il faut utilisé de l'eau en bouteille sinon avec le calcaire du robinet il faut le nettoyer souvent</t>
  </si>
  <si>
    <t>Bonne qualité Seules tétines acceptées par ma fille. Et pratique nettoyage car tout se démonte.</t>
  </si>
  <si>
    <t>bel apect A voir à l'utilisation</t>
  </si>
  <si>
    <t>Parfait Très jolie veste qui a l’air de bonne qualité</t>
  </si>
  <si>
    <t>Cartouches d'encre pour imprimante Cartouches bien reçues en temps et en heure. Montage effectué sans problème. Très bonne prestation et produit satisfaisant que je recommande. Merci pour tout!!</t>
  </si>
  <si>
    <t>Très bon produit J'utilise ce produit pour me décontracté et pour lutter contre les douleurs aux omoplates.</t>
  </si>
  <si>
    <t>Eveil lumière de chez Philips Ce réveil est un classique. Quand mon premier a lâché au bout de plusieurs années, je n'ai pas retrouvé le même modèle mais celui-ci et au final j'en suis très satisfaite et son design est mieux.  La fonction réveil peut être faite avec une musique intégré et zen (ex : bruit des vagues ou chant des oiseaux) ou avec la radio. Personnellement, je préfère le chant des oiseaux couplé à la lumière qui simule l'aube.  J'ai remarqué depuis que je l'utilise, que le réveil est beaucoup plus facile grâce à la simulation de l'aube. Quand le chant des oiseaux se met en route, je suis parfaitement réveillé et en douceur. La journée démarre plus facilement. Je le conseil aux personnes qui ont des réveils difficile, c'est bien meilleur pour notre horloge interne!  La fonction snooze est aussi intéressante car elle permet de laisser une veilleuse pendant 30min donc les yeux s'habituent petit à petit à la lumière qui décline et permet l'endormissement plus facilement.</t>
  </si>
  <si>
    <t>Odeur tres forte de citronelle Attention ca sent la citronnelle tres fort</t>
  </si>
  <si>
    <t>FONCTIONNE PAS L'article semblait correct et fonctionnel mais il n'as fonctionné avec aucun de tout les claviers avec lesquels je l'ai tester. De l'argent perdu, pas recommandable du tout.</t>
  </si>
  <si>
    <t>Bien assouplissant, odeur non convaincante Je ne suis pas une grande fan de l'odeur. Il masque à peine l'odeur neutre (et que je n'aime pas) d'une lessive écologique. Je voulais la jouer éthique mais j'abandonne. Je trouve l'odeur assez décevante. Il y a cela dit une bonne action assouplissante. Il y a des progrès à faire en matière de produits écologiques pour le linge.  Le produit est très liquide comparé à d'autres. Il est indiqué 31 doses.. mais il est évident que cela fera moins.</t>
  </si>
  <si>
    <t>Pareil que sur la photo Elles sont exactement pareils que sur la photo. Moyennement confortable, tissu assez rêche et droit. Tissu blanc très salissant et se nettoyant très difficilement</t>
  </si>
  <si>
    <t>Collier Joli collier parfait pour offrir</t>
  </si>
  <si>
    <t>taille petit taille trop petit</t>
  </si>
  <si>
    <t>Propre et frais tout le temps Ces papier de toilette humide, sont super pratique et très hygiénique. Ça rafraîchit et on se sent bien propre. Le top c'est d'associer avec le papier de toilette sec. La senteur aurait pu être plus fraîche ou florale cela m'aurait beaucoup plu mais je pense que c'est pour éviter toute irritation. Je recommande en tout cas top au quotidien.</t>
  </si>
  <si>
    <t>Ras Pas cher et fonctionne bien</t>
  </si>
  <si>
    <t>parfait pour transition allaitement Le débit est tres bien car la M coule trop vite. bébé s etouffe. La S est parfaite puis maintenant je m en sert avec ces céreales du soir en ayant donné un petit coup de ciseau car acheter d autres tetines pour large ca ne vaux pas le coup !</t>
  </si>
  <si>
    <t>Egouttoir biberon Égouttoir biberon bien pratique pour la vaisselle de bébé. Chaque accessoires de mes biberons mam dodies y trouvent sa place!</t>
  </si>
  <si>
    <t>je les adores possédant plusieurs marques de crayons de couleurs ceux ci sont justes parfaits. Les mélanges se font très facilement, les couleurs sont très lumineuses et la pigmentations est excellente.  Je ne peux que vous les conseiller.  Je joint un coloriage fais uniquement avec ses crayons.</t>
  </si>
  <si>
    <t>Belle Elle vraiment super oui vraiment</t>
  </si>
  <si>
    <t>Super rapport qualité-prix comparé aux grandes surfaces Super rapport qualité-prix de plus le prix sur Amazon et beaucoup moins cher qu'en grande surface les cartouches sont simples à changer et hyper économique</t>
  </si>
  <si>
    <t>Les stylos à avoir Recommandé par une amie, j'ai craqué et ils ne quitte plus mes mains. Super glisse, des couleurs agréables ! Comme souvent avec Paper Mate pas de faux pas on est dur de la qualité.</t>
  </si>
  <si>
    <t>Très satisafait Jolies chaussettes chaudes et confortable. A recommander.</t>
  </si>
  <si>
    <t>Très bonne qualité Excellente qualité</t>
  </si>
  <si>
    <t>Bonne qualité et confortables On verra avec le temps mais les chaussures ont l'air de bonne qualité. La couleur correspond bien aux photos sur le site. Je les trouve confortable (cependant un peu moins que les Adidas Superstar).</t>
  </si>
  <si>
    <t>Casio GSHOCK Montre très agréable et pas lourde au poignet, relativement facile à régler avec l'aide du mode d'emploi, bel article solide.</t>
  </si>
  <si>
    <t>Casque ok Ado ravi de son cadeau. Casque léger avec un bon son .</t>
  </si>
  <si>
    <t>Impeccable pour avoir de l'eau chauffe une 1/2 journée! Rien à dire, j'ai mis de l'eau chaude à 13h de l'après midi et il était encore tiède à 3h du matin le lendemain. Super pratique si vous sortez longtemps ou prenez le train. J'utilise l'eau du termos directement dans le biberon et rajoute de l'eau froide si la température est élevé. Mon fils n'aime pas du tout le lait froid et faire chauffer le biberon prend du temps, ce produit est idéal si vous avez un bébé qui réclame tout de suite le lait. Faut bien faire chauffer l'eau pour que ça tienne longtemps. Je n'ai pas testé pour le réchauffement des petits pots car mon bébé n'ai pas encore en âge d'en prendre.</t>
  </si>
  <si>
    <t>Théière Spécialement pour le thé et les tisanes, facile d’utilisation très bon produit</t>
  </si>
  <si>
    <t>Excellent achat Bouilloire compacte aussi esthétique que pratique, bonne capacité (ni trop grande, ni trop petite), facile à remplir (ouverture couvercle par poussoir) avec niveau d'eau assez visible. Elle chauffe rapidement, certes en faisant un peu de bruit, mais toutes les bouilloires électriques sont plus ou moins bruyantes (j'ai eu pire) et au moins on est sûr que l'eau est bien en train de bouillir!</t>
  </si>
  <si>
    <t>Bien Reçu samedi, je l'ai porté une journée pour le moment, il est large on peut mettre un pull en dessous, moi qui met du 48 en manteau, je l'ai pris en xxl pour être sûr, et je me suis pas déçu.</t>
  </si>
  <si>
    <t>Taille très grand, prendre une pointure en dessous de la pointure habituelle Je chausse habituellement du 43. Avec du 42 c'est ok mais la pointure ou demi pointure au dessus ne sont pas adapté.</t>
  </si>
  <si>
    <t>Qualité médiocre Qualité Médiocre, survêtement beaucoup trop fin de très mauvaise qualité  Impossible de faire de retours</t>
  </si>
  <si>
    <t>Nul Ne correspond pas au produit annoncé, odeur de gazoil,</t>
  </si>
  <si>
    <t>Sent fort le plastique :/ Nickel pour fumer :), par contre sent fort le plastique--</t>
  </si>
  <si>
    <t>jolie belle boucle</t>
  </si>
  <si>
    <t>Lingettes utiles, à utiliser plusieurs fois Je connais très bien les lingettes Décolor Stop, je les utilise depuis des années. Je les ré-utilise d'ailleurs jusqu'à ce qu'elles ont absorbé trop de couleur, par souci écologique également. Elles fonctionnent à merveille, permettent de laver du noir avec des couleurs, par exemple. Je vous conseille de comparer le prix des différents lots de ce produit, car une grosse boîte format économique est plus intéressant comme prix que les petites boîtes comme celle-ci.  A signaler que j'ai également tester les boîtes violettes, soi-disant 'intensif', mais que je n'ai pas pu re-utiliser comme les lingettes des boîtes rouges, donc pas d'intérêt, d'autant que les lingettes des boîtes rouges font le boulot parfaitement.</t>
  </si>
  <si>
    <t>Nickel pour des enregistrement extérieurs avec un Smartphone Outil très pratique pour les interviews même en extérieur pour débutant. Il fonctionne pour l'enregistrement audio en capture vidéo mais aussi juste en enregistrement audio sans vidéo. J'utilise un Samsung Galaxy S6 et ça fonctionne nickel. Seulement un ami a essayé avec son Huawei et ça n'allait pas.... :/</t>
  </si>
  <si>
    <t>Très bien Bonne taille, confortable.</t>
  </si>
  <si>
    <t>Manteau Je ne regrette pas cet achat. Manteau idéal pour l'automne, il est bien cintré. J'adore la matière, Il me fait penser à un polaire, on est très bien dedans. La capuche est fourrée. Au niveau de la longueur il est tout à fait ce qu'il fait.</t>
  </si>
  <si>
    <t>Bensimon Bon produit, sans surprise, qualité et finition  Bensimon. Je recommande vivement.</t>
  </si>
  <si>
    <t>tres joli Je suis contente de cet achat, la pendule est exactement comme sur l'image, tres bien travaillé, tres joli. pour les petites et meme les grandes</t>
  </si>
  <si>
    <t>Très jolies boucles! Achetées pour un anniversaire, elles sont vraiment aussi belles que sur les images! (Je les ai prises en violet). Elles sont envoyées dans une petite boite ronde avec un petit nœud dessus (très jolie pour offrir!), avec des attaches en plastique pour l'arrière de la boucle. (Pas d'attaches en métal, en tout cas dans mon cas). Elles ont beaucoup plus... Et dès que je pourrai, je m'en prendrai pour moi aussi, je crois!^^ Note: Je n'achète que de la marque Fashmond jusque-là (il y a du choix heureusement), car il semble que leurs bijoux ne contiennent a priori pas d'étain, car les bijoux en argent achetés en bijouteries classiques me donnent de terribles allergies, en m'en faire saigner les oreilles! :-/ Là, aucun souci pour l'instant! :-) (J'ai acheté 3 pairs différentes de la marque Fashmond pour moi, pour l'instant!) L'envoi a été super rapide, et bien protégé! Je recommande, surtout au vu du prix! (12,99 euros lors de mon achat!)</t>
  </si>
  <si>
    <t>Parfait Très bonne qualité</t>
  </si>
  <si>
    <t>Superbe pantalon de survêtement  merci Amazon Superbe pantalon de survêtement de marque Adidas très belle coupe très belle matière robuste je le recommande vivement à tous les sportifs comme moi merci Amazon</t>
  </si>
  <si>
    <t>Joli Sympas</t>
  </si>
  <si>
    <t>État parfait État parfait</t>
  </si>
  <si>
    <t>Super son tv Super casque je conseille pour la tv  j'en ai un autre de la meme marque qui fonctionne toujours et que ma mere utilise. Cassue de qualite sur tout les niveaux</t>
  </si>
  <si>
    <t>Très bien Très bon produit. Conforme à la commande..</t>
  </si>
  <si>
    <t>NETTOYAGE EFFICACE Produit testé depuis plus de 2 ans. Je fais 2 nettoyages de mon lave-vaisselle tous les 6 mois et j'avoue l'efficacite de ce produit. La cuve est vraiment très propre et aucun résidus. De plus, mon lave-vaisselle est assenit et reste brillant pas mal de temps.  Je recommande ce produit qui est vraiment efficace.</t>
  </si>
  <si>
    <t>Bonne qualité Excellent rapport qualité/prix pour l'ensemble. Attention, ce produit nécessite une alimentation fantôme 48v pour fonctionner correctement.</t>
  </si>
  <si>
    <t>parfait pour mon usage tres bon produit qui correspond à mes attentes. Juste une petite difficulté pour enfiler la mousse dure qui se trouve à l’intérieur de la housse anti vent Merci</t>
  </si>
  <si>
    <t>impeccable Très bien, bonne contenance, pas bruillante, jolie, je recommande.</t>
  </si>
  <si>
    <t>La fameuse Marque Rubson Absorbeur efficace Colis bien arrivé dans les temps, pas de casse pour absorbeur Je le recommande pour les chambres, SDB, Cuisine Sensation de fraîcheur</t>
  </si>
  <si>
    <t>Trés d'éçu Bien d'éçu, je pense que le stilo était vieux. Habitué a acheter cette marque trés respectable, lá il a marché trés peu, sec trés rapidement. Le pas cher est devenu cher.</t>
  </si>
  <si>
    <t>Attention arnaque !! Ne pas acheter ce produit, je ne sais pas s'il s'agit d'une pâle imitation du véritable papier d'Arménie ou s'il ont changé la recette mais de toute évidence c'est un produit de mauvaise qualité : le papier est jaune et non rougeâtre comme l'ancien mais surtout il s'éteint constamment rendant son utilisation insupportable. À éviter !!!</t>
  </si>
  <si>
    <t>Définition du mot "neuf" Comment puis-je prendre au sérieux une marque quand le modèle que je reçois n'est visiblement pas neuf (voir photo) : - traces d'usures du boitier, surtout sur le cache-batterie. - ergot pour ouvrir le cache-batterie abîmé, probablement par l'utilisation d'un tournevis.  Les + : + Compacte, légère. + Écran avec un contraste correct.  Les - : - Finitions un peu "cheap" - Niveau de réparation / recyclabilité : 0</t>
  </si>
  <si>
    <t>confortable ce jogging est moelleux et chaud. Assez large avec un cordon pour serré le pantalon ce qui est pratique pour l'ajuster</t>
  </si>
  <si>
    <t>Conforme a la commande Montre conforme. Mon fils est ravi mais il l'oublie tout le temps. A conseiller pour le rapport qualité prix. Ravi</t>
  </si>
  <si>
    <t>Bonne qualité Légère flexible attention taille un peu grand prendre une pointure en dessous</t>
  </si>
  <si>
    <t>Beau cadeau Beau bijou</t>
  </si>
  <si>
    <t>Huile douce et non grasse Très bonne huile, correspond exactement a mes attentes. Arrivé a la date convenue</t>
  </si>
  <si>
    <t>Papier A4 usage courant Pour un usage courant c'est parfait.</t>
  </si>
  <si>
    <t>Excellent Produit ! Marshall signe là un très bon produit ! Fiable, robuste au design très avantageux. La qualité technique est présente Très bon Casque</t>
  </si>
  <si>
    <t>Très bien Excellents feutres pour écrire. Les différentes couleurs se voient bien quand on écrit (pour d'autres marques, le jaune se voit à peine). Bonne durée de vie.</t>
  </si>
  <si>
    <t>Sac repas Isotherme Nous avons acheté ce produit pour sa taille. Très grand volume, nous pouvons mettre 3 biberons plus le doseur de lait dedans. Il remplit très bien sa fonction Isotherme (même trop bien). Lorsque nous voulons juste garder l'eau des biberons à température ambiante ils sont trop froid, nous le laissons donc ouvert... Je pense que ce sac est plus adapté pour garder au frais les repas. Dans l'ensemble super rapport qualité prix</t>
  </si>
  <si>
    <t>Écouteurs Pour écouter de la musique</t>
  </si>
  <si>
    <t>très bien bonne bouilloire, assez jolie  la température se règle très facilement  par palier de 5 degrés,  la bouilloire garde en programmation la dernière température et elle maintient celle ci 2h</t>
  </si>
  <si>
    <t>Outil de relaxation très agréable J'ai été très surpris des biens faits de ce produit. J'ai actuellement une sciatique et ce produit permet clairement de soulager les douleurs.  Bien sur ce n'est pas un remède miracle, mais après une bonne journée de travail, ça fait plaisir de se détendre avec des massage Shiatsu à domicile. Produit conseillé !</t>
  </si>
  <si>
    <t>assouplissant très bon produit, odeur agréable et bonne souplesse du linge, bonne efficacité, à recommander pour les personnes comme moi qui recherchent des produits non testés sur animaux</t>
  </si>
  <si>
    <t>tres bonnes baskets tres bon produit tres confortable</t>
  </si>
  <si>
    <t>Sac remerciement Très bien , jolis et pratiques</t>
  </si>
  <si>
    <t>L'utilisation facile Pour le karaoké. Ma fille est heureuse. Elle s'éclate .</t>
  </si>
  <si>
    <t>Petits sachets discrets qui réduisent beaucoup les odeurs et humidité Après avoir mis au soleil , des réception , ce pack de 4 , je les ai mis dans plusieurs endroits ( toilettes , sdb , et cuisine ). Dans la cuisine j'ai constaté une nette diminution de l'odeur d'humidité qui persistait , malgré une aération régulière. Ces petits sacs semblent , pour ma part , faire leur job car j'habite une maison très  ancienne .. chaque mois , ne pas oublier apparemment de les mettre 1 h ou 2 au soleil .</t>
  </si>
  <si>
    <t>des chaussons j'adore</t>
  </si>
  <si>
    <t>Excellent Excellent produit. Notre lit est un véritable nid douillet. Chaque place est réchauffé séparément ce qui est bien pratique Je recommande.</t>
  </si>
  <si>
    <t>Bonne marque. Bon biberon.</t>
  </si>
  <si>
    <t>Produits de fixation utile Tout le monde connaît le produit. Parfait pour fixer sans dommage sur un meubl de petits objets légers. Ne laisse pas de trace.</t>
  </si>
  <si>
    <t>Attention taille très grand ! Article commandé en taille 40. Reçu beaucoup trop grand. J’ai dû échanger pour un 38. Alors que ma pointure pour toutes mes autre chaussure est bien taille 40</t>
  </si>
  <si>
    <t>cartouches ne fonctionnent pas sur epson j ai commandé ces cartouches d ' encres pour Epson et elles ne sont pas reconnues par l imprimante.Ne pas acheter ces cartouches inutilisables</t>
  </si>
  <si>
    <t>Pas mal pour le prix. Idéal pour un premier casque ou utilisation occasionnelle Casque sympa, mais désolé le son n'équivaut pas à un casque Bose (pour répondre à un commentaire d'un autre utilisateur). Le son est correct pour le prix. La qualité des matériaux est bonne. Le casque est léger et peut être replié. Il est simple d'utilisation. Le fait de pouvoir le brancher en Bluetooth et en jack est un bon point. L'autonomie est une autre bonne surprise. Je regrette cependant l'absence de réglage du son : niveau de basse, aigues... les fonctionnalités sont assez limitées.</t>
  </si>
  <si>
    <t>Faux surround Même si la qualité est acceptable elle n'est pas à la hauteur à laquelle je m'attendais au vu des commentaires pour la plupart élogieux. Je n'ai pas été bluffé pas l'immersion qui est plus un effet de son tournant qu'un réel espace sonore cinématographique. Avant de le retourner j'ai voulu le comparer avec le Sony MDR-HW700DS qui semblait proposer dans les mêmes prix un véritables Dolby 5.1 et là... j'ai été scotché ! J'ai testé le même film sur les 2 casques et y'a pas photo! Le Sony m'a immergé totalement dans l'ambiance avec une puissante clarté dans les aigus et les graves avec du VRAI Dolby. Un conseil : ne vous emballez pas trop vite sur un modèle mais COMPAREZ ! en plus ça ne coûte rien ;-)</t>
  </si>
  <si>
    <t>bien le plus: légère et facile à enfiler. pratique pour aller à la piscine ou marcher dans le sable facile à nettoyer. couleur passe partout. le moins : glisse un peu quand le pied est mouillé. un petit échauffement de la peau se fait ressentir si on marche sur une longue distance avec.</t>
  </si>
  <si>
    <t>Top Tu es très content de cette sacoche elle est très pratique  les rangements intérieurs extérieurs sont bien étudié et son design est sympa ça passe partout</t>
  </si>
  <si>
    <t>conforme bon produit dommage qu'il soit arrivé avec 1 jour de retard</t>
  </si>
  <si>
    <t>boucles d'oreilles un petit peu petit</t>
  </si>
  <si>
    <t>Prix Jolie biberon !!  pas encore utilisé car bébé n’est pas arrivée. Mais je ne doute pas de leur qualité 😊</t>
  </si>
  <si>
    <t>Bracelet solide pour le remplacement de mon bracelet de montre en plastique cassé , il est plus solide et le cuir très joli .je le recommande.</t>
  </si>
  <si>
    <t>pull couleur moutarde jaune ocre bonne qualité jolie couleur  taille à la bonne taille parfait je le recommande livraison rapide</t>
  </si>
  <si>
    <t>Parfait! la pointure est exacte et le les "éclats" de peintures sur les cotés vont avec tout! je les mets très souvent et elles n'ont pas bougé même au niveau de la semelle.</t>
  </si>
  <si>
    <t>soutien gorge Article satisfaisant ,bien adapté à mes besoins, bonne tenue et bon soutien. j'en avais besoin après une opération et j'en suis très contente.</t>
  </si>
  <si>
    <t>Essuie-tout Très épais et absorbant.</t>
  </si>
  <si>
    <t>Très jolie robe, belles finitions et taille impeccable Que des compliments pour cette robe qui correspond exactement à ce que j'attendais, tant au niveau du look que de la qualité. Allez-y les yeux fermés !</t>
  </si>
  <si>
    <t>Très bel effet! Sur une robe pour un mariage! Magnifique!</t>
  </si>
  <si>
    <t>Succès garanti Bien arrivé. J’adore. Je connais ce produit il est de très belle qualité. J’en ai commandé toute une variété pour faire plaisir à mon entourage. Succès garantie. Vous ne connaissez pas. C pour parfumer votre voiture. Vous mettez de l’huile essentiel sur une des  pastilles. Vous fixez le diffuseur sur les grilles d'aération et ça sent bon et c’est beau.</t>
  </si>
  <si>
    <t>Super biberon mais moins chers ailleurs ! Les biberons sont très jolis. Ils vont être facile à  nettoyer car entièrement démontables. Pas encore essayé,  car bébé n'est pas encore là. La stérilisation par micro ondes de toute la gamme mam évite l'investissement dans un stérilisateur,  donc gain de place et surtout possibilité de stériliser les biberons en déplacement  (qui n'a pas de micro ondes aujourd'hui ? ).  On peut trouver les diverses pièces du biberon par type de pièces  (tétines,  anneaux...) sans avoir à  racheter celui ci au complet. Dommage cependant que le prix soit si élevé sur Amazon !  Je suis très déçue,  j'ai comparé avec ma pharmacie et ils sont moins chers en pharmacie ! Je pense compléter par la même gamme de biberon mais pas sur Amazon.  En conclusion,  je recommande les biberons mam mais pas forcément au tarif amazon !</t>
  </si>
  <si>
    <t>parfait délai rapide et produit conforme</t>
  </si>
  <si>
    <t>Bottes conforme Produit conforme , livraison longue</t>
  </si>
  <si>
    <t>Très bien et très zen. C'est la première fois que j'utilise et achète ce genre d'appareil. C'est vraiment efficace dans une pièce de mesures normales. Mais je l'ai essayé dans ma salle à manger sous grande mezzanine et juste après  une raclette. Et bien il a fait le job en 5 heures. J'aime bien son look et les couleurs sont trés zen. Il fût très efficace pour traiter un rhume en le mettant en marche avec de l'eucalyptus  juste une petite heure avant le coucher de mon enfant. J'achète par contre mes huiles en pharmacie. Celles achetées en lot sur amazon ne sont pas terribles j'ai l'impression qu' elles sentent toutes pareilles....</t>
  </si>
  <si>
    <t>Ça donne forme au corps Très bonne</t>
  </si>
  <si>
    <t>Qualité a première vue top, mais peu durable. J'ai le bracelet depuis même pas un an et il est désormais tout usé. De plus, une des boucles pour tenir le bracelet une fois attaché s'est arrachée. Bref, mettez y un peu plus d'argent.</t>
  </si>
  <si>
    <t>pluôt faite pour les femmes bien reçu en temps et en heure là dessus rarement déçu ..  mais surprise ..  c'était une montre pour homme que je voulais ..  et là ..  pour une femme ..  pour moi bracelet trop juste ..  et la montre ne fait que 3 cm de diamètre ..  un peu ridicule sur mon poignet ..</t>
  </si>
  <si>
    <t>Déçue Une des barrettes s'est cassée à la première utilisation.  Je suis déçue même si le bracelet est très beau.</t>
  </si>
  <si>
    <t>Très basique Écouteur très basique pour leur prix Pas du tout confortable avec un câble qui se frise tout le temps</t>
  </si>
  <si>
    <t>Impression de bonne qualité mais photo rognées Les impressions sont de bonnes qualité en revanche le papier  est prédécoupé de chaque coté ce qui fait perdre un ou deux centimètres de photos donc ce n'est plus du 10x15 cm. Je recommande tout de même ce produit si ce détail ne vous dérange pas.</t>
  </si>
  <si>
    <t>Intéressant Livre offret à une petite fille qui l’adore.</t>
  </si>
  <si>
    <t>Luminothérapie Pas assez de recul, mais légère et belle</t>
  </si>
  <si>
    <t>The North Face Drew Peak Sweat-shirt Homme le pull taille parfaitement bien. il est adapté comme prévu. après, il est "simple", j'entend par la qu'il n'est pas excessivement chaud...</t>
  </si>
  <si>
    <t>Testé et approuvé par mes jumeaux ! Mes bébés apprécient vraiment le fait que la tétine soit à tête plate. Toutefois, le débit était un peu rapide donc on a racheté des tétines débit 2 et cela convient nickel. Un gros plus aussi concernant la forme du biberon, très facile pour la préhension des tout-petits.</t>
  </si>
  <si>
    <t>Le meilleur disney pour moi une image excellent un son et une musique parfaite  Mélanger le tout avec une touche Disney  et vous obtenez ce dessin animé merveilleux. Il reste le film le plus rentable de disney encore aujourd'hui malgré les succes de la reine des neiges et autres :)</t>
  </si>
  <si>
    <t>RAS Que dire des sacs poubelles, lot de 2.</t>
  </si>
  <si>
    <t>Facilité d'utilisation Je voulais une balance precise dans le cadre de réintroduction alimentaire pour mon fils à qui je dois administrer dose de 1mg au quotidien d'un allergene. J'ai reçu le produit en 2 jours ouvrés.</t>
  </si>
  <si>
    <t>Top Vraiment top pour la danse et pour la vie de tous les jours. J'en ai acheté plusieurs</t>
  </si>
  <si>
    <t>parfait bon produit conforme à mes attentes. prend peu de place. facile d'utilisation. s'adapte bien à nos biberons. module petit pot très pratique même avec les biberons car il permet de ne pas se bruler (la vapeur c'est chaud !!)</t>
  </si>
  <si>
    <t>Parfaite J'ai acheté cette lampe à lumière du jour pour l'allumer au moment du petit déjeuner en hiver lorsqu'il fait encore noir. La lumière est très agréable et appréciable pour aider à se réveiller. A recommander sans hésitation.</t>
  </si>
  <si>
    <t>Superbe Superbe ♥️</t>
  </si>
  <si>
    <t>Parfait pour bloquer Parfait pour éviter que les charms tournes :) Compatibilité parfaite</t>
  </si>
  <si>
    <t>Bonne bouillore Conforme a mes souhaits</t>
  </si>
  <si>
    <t>Massage très efficace Mes douleurs aux cervicales ont disparu après une première utilisation. Je recommande vivement.</t>
  </si>
  <si>
    <t>Très Bon Produit Ce coffret est super, je l'ai reçu avec quelques jours d'avance, il y a une bonne diversité d'huile. Je recommande vivement ce produit, le coffret est de bonne qualité et le prix est très abordable. Je suis très satisfait :)</t>
  </si>
  <si>
    <t>RAS Produit conforme à la description produit de qualité en rapport avec le tarif</t>
  </si>
  <si>
    <t>Vraiment Satisfait ! Se charge très rapidement, passe de 50% à 100% en 10-20 min et se recharge complètement en 60 min pour une autonomie d'environ 4 heures en écoute. Le boitier ne se décharge pas vite au contraire, très bon son audio, Excellent avec son smartphone et mon ipad, très fluide, connexion très simple, si vous hésitez, foncez ! Simple d'utilisation, Excellent produit.</t>
  </si>
  <si>
    <t>Chic et sobre Simple jolie,cette montre je l'a porte régulièrement le seul petit problème est le cadran un peu trop grand a mon avis Autrement beau modèle et belle finition</t>
  </si>
  <si>
    <t>Sublime bracelet Acheté pour ma grand mère, je suis conquise. Ce petit bracelet est adorable! Réglable pour toutes les tailles de poignets. Le petit symbole en argent et en strass est magnifique ! Très bien présenté dans une petite boîte et une pochette. J'adore! 😍😍😍</t>
  </si>
  <si>
    <t>Une hotte bas de gamme Très decu pas de notice en français !! De l alu de bas de gamme  du toc !! Des traces d usine qui ne parte pas ! Même avec des produits spéciaux ! De la cam a fuir absolument !</t>
  </si>
  <si>
    <t>A eviter Mauvaise qualité</t>
  </si>
  <si>
    <t>Innacceptable J'ai acheter cette calculatrice en novembre pour ma fille et ce Lundi 4 février la calculatrice ne marchait plus! Un écran noir s'affichait quand on allumait la calculatrice. Je ne sais pas si c'est à cause du vendeur mais je déconseille fortement!!</t>
  </si>
  <si>
    <t>moyen mal vu les dimensions  , trop grand mais pratique</t>
  </si>
  <si>
    <t>Bien pour le prix Produit conforme à la description facile à Installer,  à voir dans le temps à l'usage. J'ai peur qu'il ne vieillissent pas très bien !!</t>
  </si>
  <si>
    <t>Super Très résistante et bien pratique . Je pense que tous ce qui l'ont acheté doivent penser comme moi ! Le prix reste excessif .</t>
  </si>
  <si>
    <t>Pas mal Ce doseur de lait est pas mal. Très étanche, prend peu de place mais il faut le tourner dans tous les sens pour que la dose complète soit bien versée dans le biberon.</t>
  </si>
  <si>
    <t>aimants je ne sais si c'est efficace mais ils sont agréables à manipuler car très doux au toucher donc ils sont dans mes poches depuis mon achat A vopir si cela sert à diminuer les douleurs</t>
  </si>
  <si>
    <t>Manifique Qualité exceptionnelle pour un tarif petit Très belle boucle d’Oreille Finition parfaite Avec boîte de protection</t>
  </si>
  <si>
    <t>tommee tippee toujours au top contente et assez surprise car je croyais que j'allais recevoir une seule poignée mais il y en deux , un de couleur orange et l'autre vert donc idéal pour fille ou garçon</t>
  </si>
  <si>
    <t>Satisfaite Très bon produit conforme a la description satisfaite de cette achat , je recommande ce lit de chaussettes , .</t>
  </si>
  <si>
    <t>Chaussures légères, régule bien la t°c Acheté pour une utilisation quotidienne pour passer l'hiver, j'ai sauté le pas grâce à une promo Amazon. Chaussures assez légères. Attention si vous attaquez fortement par le talon au début, il est assez étroit. La taille est pile poil la bonne.</t>
  </si>
  <si>
    <t>Impeccable Impeccable.</t>
  </si>
  <si>
    <t>Karaoké Superbe marche très  Bien</t>
  </si>
  <si>
    <t>Mon papier d’aluminium préféré Pour moi c’est le meilleur papier d’aluminium il n’est pas trop faim et ne se déchire pas à la moindre manipulation.</t>
  </si>
  <si>
    <t>Petit mais costaud! Arrivé avec un jour d’avance comme d’hab, juste inadmissible lol. 😁 Pas cher, solide et compact. On ne voit pas bien sur les photos Amazon mais il y a trois compartiments intérieurs, ainsi qu’une poche extérieure sans zip, pratique pour dégainer rapidement son phone ou ses clopes! À l’arrière il y a aussi un «&amp;nbsp;trou&amp;nbsp;» pour passer un câble d'écouteurs, bref c’est parfait! Je pensais que la sangle et les mousquetons plastiques étaient un peu limite en cas de vol/arrachage mais c’est relativement solide après essai!</t>
  </si>
  <si>
    <t>très satisfaite très satisfaite de ce produit. je l'ai utilisé à compter du 3ème mois de grossesse jusqu'à la fin. je passais cette huile sur la poitrine, le ventre, les hanches matin et soir et sur les cuisses uniquement le matin. Je n'ai pas eu de vergetures. J'ai accouché il y a une semaine et je continue de la mettre car j'adore la texture.  Je conseille donc ce produit à toutes les femmes enceintes.</t>
  </si>
  <si>
    <t>Isolation au top J’ai un iPhone 6 et j’ai acheter ces écouteurs et ça marche très bien, pas de défaut visibles ou de problèmes d utilisation. Présente un câblage solide et une commande volume robuste.</t>
  </si>
  <si>
    <t>Superbe Super article qui fait de l effet. Ma fille est ravie</t>
  </si>
  <si>
    <t>Qualité et livraison OK. Qualité et livraison OK. RAS. J'en suis très content.</t>
  </si>
  <si>
    <t>quelles jolies couleurs! adieu le fluo agressif : les surligneurs pastels sont tout aussi efficaces, et tellement plus agréables à regarder. Je les adore. Facile d'embellir les cours avec. Pas terrible sur du stylo plume par contre.</t>
  </si>
  <si>
    <t>Bonne qualité par rapport au prix La qualité du son est bonne. Démarrage et connexion automatique. La batterie dure longtemps et la boitier peut servir comme une batterie externe pour cas SOS</t>
  </si>
  <si>
    <t>J'adore J'adore</t>
  </si>
  <si>
    <t>taille petit ces chaussures taille vraiment petit,j ai l habitude des kickers et je n ai jamais eu de soucis niveau taille j ai du mal a croire a des vrai kickers,et en plus de les avoir touchées 2 minutes j'avais les doigts noir, j'imagine ce que ça doit donner sur les pieds.</t>
  </si>
  <si>
    <t>En panne au bout d’un an !! D’abord c’est un côté qui ne fonctionnait plus, puis les deux. Le chauffe lit est hs au bout d’un an ! C’est pas sérieux...</t>
  </si>
  <si>
    <t>Ne fonctionne pas sur XP442 achat inutile Argent inutilement dépensé et pollution inutile aussi. Ça ne fonctionne pas. Voir photo. Le noir n’est pas imprimé comparé à une impression avec une cartouche noire de la marque. Pourtant, j’avais vérifié qu’il y avait bien des commentaires d’autres clients satisfaits pour le même modèle que moi. XP 442. À se demander, si c’est un vrai commentaire, parce que sur la mienne ça ne fonctionne pas du tout.</t>
  </si>
  <si>
    <t>Mauvaise couleur Conforme à mes attentes, excepté la couleur. J'ai commandé du NUDE j'ai reçu du ROSE. Bon ça n'empeche pas son utilisation mais j'aime bien recevoir ce que j'ai commandé.</t>
  </si>
  <si>
    <t>TOP mais... très belle bouilloire, facile à nettoyer avec du vinaigre blanc ! cependant parfois difficile à ouvrir le couvercle !!</t>
  </si>
  <si>
    <t>Pantalon travaux Pantalon solide, il s’agit de mon second Taille un peu petit</t>
  </si>
  <si>
    <t>Mon experience PREMYO Très satisfaite de mon achat pour l'entretien de mes Timberland de couleur claire et en nubuck. La taille est bien et du coup facile a transporter au besoin. Le produit en lui même est bien fini et son résultat efficace ! Je recommande !</t>
  </si>
  <si>
    <t>Taille bien, bon effet, mais manque un peu d'élasticité Ce sweat-shirt taille correctement, mais il n'a pas étonnamment pas d’élasthanne dans sa composition, donc il n'est pas pour faire du sport, il risquerait de gêner les mouvements. Il contient du coton et du polyester. Il est plutôt fin, ce n'est pas un sweat-shirt pour l'hiver. Il remplit sa fonction, sa coupe est classique, il passe partout. La capuche est pratique en cas de coup de vent, de froid, ou de pluie.</t>
  </si>
  <si>
    <t>Exellent produit ! Correspond parfaitement à mes attentes !</t>
  </si>
  <si>
    <t>Very nice Jolie sacoche noir en cuir. Très belle et très sobre. Elle sent le véritable cuir et quelle agréable odeur !!! Livré avec un long portefeuille super classe. Il y a une poche à l'avant et à l'arrière de la sacoche. Plus une à l'intérieur. Bref, vous avez tout ce qu'il faut pour ranger toute votre paperasse et vos cartes.</t>
  </si>
  <si>
    <t>Au top Tout ce qu'il fallait pour la fille En plus la lampe est très jolie et remplie a merveille ses fonctions Livraison très rapide.</t>
  </si>
  <si>
    <t>Joli Joli leegging</t>
  </si>
  <si>
    <t>Produit original... un basic a bon prix Produit original, vendu et livré par Amazon. C’est un Basic. Content de l’avoir trouvé à ce prix (-60€)</t>
  </si>
  <si>
    <t>Excellent rapport qualité prix C’est exactement ce que je recherchais. Ce diffuseur est joli en décoration, très discret il ne fait aucun bruit, petit et pratique. Le jeu de lumière est sublime et détend avec la petite brume qui sort! J’adore et je recommande</t>
  </si>
  <si>
    <t>Occasionnel Chaussons occasionnels pour les amis et les invités. C’est mieux que de laisser les personnes en chaussettes. Peut servir plusieurs fois mais pas aussi solide que de vrai pantoufles.</t>
  </si>
  <si>
    <t>Adéquat Je fais du 39, elles sont agréable à porté, pas trop haute et ne glisse pas.</t>
  </si>
  <si>
    <t>Bon produit Beau micro installation facile, cependant en complément d’une carte son externe le résultat n’est pas génial.</t>
  </si>
  <si>
    <t>Super produit ! Un kit d'écouteurs très complet, agréable à l'usage. J'avais peur qu'ils ne tiennent pas bien mais au final ils ne bougent pas un fois posés, et sont très discrets. De plus, le son est très agréable, et le micro est efficace pour les appels. Le socle affiche le taux de charge restant et permet ainsi d'avoir des écouteurs toujours chargés. Et enfin, petit plus, le socle de chargement peut également servir de batterie externe pour charger le téléphone. Très satisfaite de mon achat. Je recommande !</t>
  </si>
  <si>
    <t>Bon rapport qualité prix correspond à l'usage demandé .je l'ai placé dans ma salle à manger qui est très humide et au bout de deux jours on voit la pastille l'absorber .je ne sais pas combien de temps elle va durer ?  .la pastille est nature ,la prochaine ,je l'a prendrai parfumée .l'appareil est joli et se fond dans le décor .</t>
  </si>
  <si>
    <t>Parure J'ai  acheté cette parure pour ma fille qui le voulait elle la trouve superbe</t>
  </si>
  <si>
    <t>Pratique Vraiment pratique pour tout avoir à portee de main pendant les vacances.</t>
  </si>
  <si>
    <t>ARBRE DE VIE C'est un très joli et très fin pendentif. Je l'ai choisi parmi tous ceux que vous proposiez, et je pense en commander un autre (?)</t>
  </si>
  <si>
    <t>rouleaux très bien va bien avec la machine</t>
  </si>
  <si>
    <t>Des écouteurs "classiques" ... ? Cela ressemble plus à des mini haut parleurs qu'on aurait mis au bout d'un casque.  2 ETOILES par rapport aux attentes que j'avais d'un casque à conduction Osseuse.  J'aurais mis 4 voir 5 étoiles si c'était désigné comme un casques "extra-auriculaires".  La position des haut-parleur sur le casque laisse la possibilité de l'écoute des sons et bruit ambiant extérieur.  Je ne sais pas si tous les casques à conduction osseuse marche sur le même principe, car celui ci permet d'entendre sans même l'avoir sur les oreilles, juste en les tenants dans la main à cotés de l'oreille ou même posé sur la table à plus de 30 cm des oreilles.  A moins que pour le fabricant la conduction osseuse est celle de la vibration des ondes sonores classiques, émise au travers de la structure en plastique qui recouvre les haut-parleurs que je suppose se trouver à l'intérieur.  Déçu par rapport à ce que j'espérais d'après la description de l'article mais on pourrais dire que ce sont des écouteurs plus ou moins classique, différent du point de vue du design et de l'esthétique des écouteurs habituels. Une fois sur les oreilles le son est de qualité classique, dépendant de la position des "écouteurs" au niveau des oreilles, soit à l'extérieur des oreilles et ne sont pas des intra-auriculaires, tout à fait comme les images de l'article. Les images sont d'ailleurs conforme au casque présenté sur le site. Marche comme des oreillettes Bluetooth que l'on trouve ailleurs sur le marché : Pairing, mains libre pour GSM (téléphone portable), décrocher, discussion téléphonique, raccrocher, écoute en stéréo des musiques du lecteur audio du gsm, etc. Pas de transmission du son par les os du crane flagrant car même en les écartant de la tête on entend à peu près la même qualité et volume sonore.</t>
  </si>
  <si>
    <t>Jolie mais pas possible de faire un footing Chaussures retournées douleur voute plantaire gauche j’attends de voir le tarif Dès Asics quantum 360 knit 2 pour passer commande</t>
  </si>
  <si>
    <t>Mitigé Bonjour, j'ai acheté ce casque en me basant sur les commentaires des gens. Pour ma part, je le trouve très beau, léger malgré son gabarit, et plutôt bien fini. Les traces de doigts sont par contres inévitables. Le petit sac de rangement ne sert à rien, pas pratique.  Niveau fonctionnement, j'ai eu le même soucis que pas mal de monde, j'ai des décrochages intempestifs du blutetooth de quelques millisecondes à parfois plus d'une seconde (je n'ai pas essayé en flaire). Je ne comprends pas pourquoi mais cela n'est pas vivable, je vais donc le renvoyer.  Sinon, je trouve personnellement le son trop grave. J'aime bien les basses, mais pour le rock c'est un peu dénaturé.</t>
  </si>
  <si>
    <t>Mine trop courte La mine est très courte donc pour dessiner il faut mettre le crayon vraiment verticale. Bien très transitoirement pour le tout petit mais dès que l'enfant grandit un peu il faut changer car mine trop petite....</t>
  </si>
  <si>
    <t>Fonctionne bien après un an, design élégant Bouilloire de qualité qui fonctionne bien. Le seul bémol : le réglage de température n'est pas aussi précis que je le désirerai. En effet, la température est plus élevée que celle qui est sélectionnée. L'affichage se bloque à la température désirée mais la température réelle est différente (visible si l'on éteint et rallume la bouilloire). En arrêtant la bouilloire un peu avant la température désirée on obtient néanmoin un résultat satisfaisant.</t>
  </si>
  <si>
    <t>Prix Très bonne sacoche</t>
  </si>
  <si>
    <t>Chaîne en argent Jolie chaîne, fine, pas trop longue. Je la porte depuis 2 jours, j'espère quelle ne noircira pas dans le temps et quelle ne cassera pas. Par contre, je pensais quelle tomberait plus bas (ne l'ai pas mesuré)</t>
  </si>
  <si>
    <t>Très bons écouteurs ! ⚠️ Avis après utilisation ⚠️  Il me fallait des écouteurs sans fil et mon choix s'est porté sur ces ecouteurs.  ➡️ Points positifs :  - Très beaux et discrets écouteurs - Le prix qui est clairement avantageux par rapport au marché. - Qualité audio très bonne. - Système d'attache au top - Le fait que les ecouteurs soit aimanté ce qui fait un collier quand ont les as pas à l'oreille - La qualité et la solidité - Pochette de rangement ( petite boite ) - Des pièces de rechange pour les écouteurs  ➡️ Point négatif :  - La portée du bluetooth qui me semble un poil léger. Mais c'est vraiment pour être pointilleuse.  Je les recommandent sans aucunes hésitations.  Coordialement,  Anne  Ps : Si ce commentaire vous a été utile 🙏😊⤵️</t>
  </si>
  <si>
    <t>💎 Bonne surprise 💎 ☑ Elles sont très simples mais très jolies, bien plus en vraie qu’en photo. ☑ Pas d’allergie particulière. ☑ Bon rapport qualité prix.  5 étoiles sans hésiter</t>
  </si>
  <si>
    <t>Parfait ! C'est vraiment une super idée de cadeau de naissance. Le verre n'est pas nocif pour la santé, contrairement au plastique. De plus, ces biberons sont de bonne qualité, avec une prise en main agréable. Le nettoyage est très simple, et un goupillon est fourni avec. Les tétines sont bien aussi. Il y a débit faible pour les nouveaux nés, et débit moyen pour un lait un peu plus épais. Je recommande !</t>
  </si>
  <si>
    <t>Assez chaud pour tout hiver ! Un bon produit pour hiver!J'ai essayé dès que je l'ai reçu ! très chaud , mon cou et mes épaules Un bon  rapport qualité prix , et la livraison est rapide ! au top!!!</t>
  </si>
  <si>
    <t>Très bon système mais... Nous avons commencé à nourrir notre fille à l'hôpital avec des biberons d'une grande simplicité à 3 vitesses (flacon et tétine stérile à usage unique). Nous avons choisi les produits AVENT car ils ont la réputation d'être les meilleurs au niveau physiologique et qualitatif. Ce qui s'avère juste. Par contre un mode d'emploi pour l'utilisation des tétines serait le bienvenu.  En effet, pour gérer les vitesses (tétines 1, 2, 3 ou 4), l'air, le sens... il faut avoir un diplôme d'ingénieur. Ou un mode d'emploi, mais il n'y en a pas. Il est également dommage qu'on ne puisse pas choisir la vitesse de la tétine en achetant le biberon (vendu avec une tétine 1). La tétine 1 n'a jamais servi dans notre cas.</t>
  </si>
  <si>
    <t>très bien Tétine pour biberon philips avent Marque Philips et bonne qualité Rien à redire</t>
  </si>
  <si>
    <t>Super J adore bcp</t>
  </si>
  <si>
    <t>Parfait Il est bien venu comme je l’attendais, pas de problème et j’ai bien pris ma taille de pied habituel</t>
  </si>
  <si>
    <t>Top Superbe basket stylé et de qualité</t>
  </si>
  <si>
    <t>léger confortable Alors la très surprise vraiment contente du produit très léger  je le utilise pour faire mon footing c est parfait  on le sent même pas dans nos oreilles aucun gêne je le reconnande</t>
  </si>
  <si>
    <t>Ok Permet une bonne dilution de la peinture pour éviter l’encrassement de l’aero Mais ça reste cher lorsque l’on a une forte utilisation</t>
  </si>
  <si>
    <t>Efficace astucieux ! Mon petit à adoré, il découvre des goûts nouveau sans risques de mettre un gros morceau à la bouche, tout se compotise sous la pression et la succion buccale. Je recommande.</t>
  </si>
  <si>
    <t>Très belle parure Ma petite-fille est très contente et elle ne la quitte plus :) Très bel effet. Bonne qualité-prix !</t>
  </si>
  <si>
    <t>Impeccable Agréable à portée</t>
  </si>
  <si>
    <t>Taille et poches pratiques Ce sac est très pratique, on peut l'utiliser, soit comme un sac à dos, soit comme un sac de poitrine. On peut l'accrocher à droite ou à gauche. Il possède plusieurs poches permettant de ranger pas mal de choses, tout en tenant bien moins de place qu'un sac classique.</t>
  </si>
  <si>
    <t>Très bon produit Livraison à domicile à temps, livreur agréable. Produit en bon état, la quasi totalité de mon maquillage rentre (je ne pensais pas avoir autant de maquillage) attention quand même à la profondeur. Une remarque : ce serait bien de ne pas perdre de place et ajouter un tiroir en dessous des escaliers de la partie supérieure. Très satisfaite ! Je recommande</t>
  </si>
  <si>
    <t>Léger Ces converses en toiles sont très légères, et bien qu'elle respectent le look "Converse", elles manquent de tenue. &lt;a data-hook="product-link-linked" class="a-link-normal" href="/Converse-Chuck-Taylor-All-Star-Mono-Hi-Baskets-mode-mixte-adulte-Noir-Noir-Mono-40-EU/dp/B0000AFT8E/ref=cm_cr_arp_d_rvw_txt?ie=UTF8"&gt;Converse Chuck Taylor All Star Mono Hi, Baskets mode mixte adulte - Noir (Noir Mono), 40 EU&lt;/a&gt;</t>
  </si>
  <si>
    <t>Petite qualité A peine porté, jamais dormi avec et la chaîne a déjà cassée vraiment très déçu beaucoup trop cher pour le peu de qualité</t>
  </si>
  <si>
    <t>lapis lapis ? j'ai un doute, déçue</t>
  </si>
  <si>
    <t>Pas indispensable mais correct Les lessives et autres adoucissants sont déjà pour la plupart parfumés. Ce produit me paraît un peu superflu par rapport à mes habitudes personnelles. Mais quoiqu'il en soit le parfum n'est pas trop fort, j'ai dosé néanmoins a minima. L'adoucissant fait le boulot correctement par ailleurs. Durable mais pas indispensable.</t>
  </si>
  <si>
    <t>Problème au talon Bonjour, pas de soucis au début, mais voilà 1 mois, le derrière du talon a commencé à faire des boules, comme si des bouts de l'intérieur se détachaient. Impossible à porter depuis. Ça fait vraiment très mal. C'est bizarre car j'en ai une autre paire et ça n'a jamais fait ça.</t>
  </si>
  <si>
    <t>Jolies mais pas très confortable.. Produit offert à mon fils qui a 12 ans. Très jolies couleurs mais matière un peu particulière qui ne lui a pas trop plus. Elles lui tiennent également chaud et lui qui a le pied fin, elles sont un peu large. Il attendra l'automne pour les mettre.</t>
  </si>
  <si>
    <t>Abordable et bien finie... Efficace ?... D'un prix "super abordable", cette bonnette paraît correctement finie. Je ne possède plus malheureuse ment ma "Rycotte" qui aurait été un bon point de comparaison. S’emboîte avec quelques difficultés sur les couples de mon H-5 ZOOM et raison de la force de son élastique de maintient. J'attends d'avoir reçu mon H-1n pour l'y essayer et décider si j'en commande une seconde sur le champ.</t>
  </si>
  <si>
    <t>parfait au début un peu raide niveau talon et deux ou trois jours plus tard chausson aux pommes</t>
  </si>
  <si>
    <t>Sterilisateur tres bonne machine et simple a utiliser,  rapide et de bonne qualite, bon produit Philips j'aimerais etre un bebe a nouveau</t>
  </si>
  <si>
    <t>Relaxant et commande à distance très pratique ! Machine assez encombrante mais si relaxante ! Après quelques semaines d'utilisation, j'en suis totalement ravie et satisfaite. Installée sous le bureau, je travaille tout en massant les pieds( séance de 15 min/j). Ça détend tout le corps, c'est pour cela que je recommande cet achat !</t>
  </si>
  <si>
    <t>Tout tout pour la musique Vraiment super très bon son Temps de charge indiquer sur le boîtier Se charge rapidement Je le recommande +++</t>
  </si>
  <si>
    <t>Basket fila J’ai pris une taille au dessus car elles chaussent petites. Ravie de cet achat. Je recommande</t>
  </si>
  <si>
    <t>Top! Excellent chauffe-biberon. Nous quittons le très célèbre Bib'-expresso qui mettait entre 15 et 18 min pour chauffer un bibi de 330 ml au bain marie, alors que celui-ci, à peine 4 toutes petites minutes et bim! c'est prêt. Sans regret, nous vous le conseillons vivement ;-)</t>
  </si>
  <si>
    <t>Sterilisateur Super</t>
  </si>
  <si>
    <t>Profonde qualité J ai eu des problèmes de dos ce matelas a contribuer à ma remise en forme 8 mois après il est comme neuf et toujours autan performant.</t>
  </si>
  <si>
    <t>Diffuseur d'huiles essentielles Cadeau très apprécié.</t>
  </si>
  <si>
    <t>Parfait Super pratique</t>
  </si>
  <si>
    <t>Excellent! Hyper pratique et raffiné, on a pas du tout la sensation d’avoir une banane. A emporter partout en voyage.</t>
  </si>
  <si>
    <t>Top !! Tres bon cuissard bon qualite !!!</t>
  </si>
  <si>
    <t>Histoire bébé apprentissage propreté Histoire courte et ludique pour favoriser l’app de la propreté. Le petit plus, les pages sont plastifiées pour éviter que bébé les déchire. Au top!</t>
  </si>
  <si>
    <t>Très bon rapport qualité prix Pour une montre simple avec des fonctions de base lors d'activités de plein air, c'est parfait.</t>
  </si>
  <si>
    <t>C'est parfait C'est parfait, livraison impec et produit conforme.</t>
  </si>
  <si>
    <t>Je recommande Un son très equilibré, avec de bonnes basses et de bons aigus. Acheté pour les transports en communs, ces écouteurs fonctionnent bien et sont agréables à porter.</t>
  </si>
  <si>
    <t>super pour le prix bravo tres agréable a porter l'été</t>
  </si>
  <si>
    <t>Son de mauvaise qualité J'ai utilisé ce casque principalement pour téléphoner (appels client) et le son est correct mais sans plus. J'ai tenté de l'utiliser pour la musique ou des séries/films et en bluetooth c'est affreux ! Utiliser le câble améliore un peu le son, mais rien d'extra. Au bout de 2/3 semaines il ets devenu inutilisable, j'avais des remarques de tous mes interlocuteurs sur la qualité du micro ...</t>
  </si>
  <si>
    <t>Produits nul Très déçu je recommande présonne à commander sur Amazon</t>
  </si>
  <si>
    <t>Très décu Livré 2 pointures au dessus, finition pas tip top trace de peinture blanche sur la chaussure. Ne ressemble pas vraiment à la photo. Seule point positive remboursement assez rapide .</t>
  </si>
  <si>
    <t>Bof pas très fan Produit acheté pour mélanger le lait en poudre (épaissie) dans le biberon de ma fille. Deux points mon réellement dérangé : - premièrement, la tige du mélangeur est trop petite et ne va pas au fond du biberon - deuxièmement, le mélangeur est puissant et donc fait monté le lait en mousse , pas terrible pour le repas de mon bout choux.  Donc produit utile mais pas forcément pour le lait de votre bébé.</t>
  </si>
  <si>
    <t>Frixion pour stylo Pour l’école de mes enfants</t>
  </si>
  <si>
    <t>Comme la précéente qui m'aura duré 8 ans. Pas de problème le produit rencontre mon assentiment le plus total. Je possédais la même bouilloire Justine jusqu'alors, après 8 ans de bons et loyaux services.</t>
  </si>
  <si>
    <t>montre Lige La montre est jolie et correspond à la description Amazon, le bracelet est sympa, seule petit défaut la montre est épaisse et un peu lourde, c'est une belle montre pour homme.</t>
  </si>
  <si>
    <t>Trop petit Le 38 est trop petit</t>
  </si>
  <si>
    <t>La qualité Le produit est arrivé le jour prévu , superbe qualité beau produit le seul souci il y’a une petit tache rouge 🤷🏽‍♀️ Mes malgré ça elle sont superbe</t>
  </si>
  <si>
    <t>Bijoux Trep contente</t>
  </si>
  <si>
    <t>Satisfait ... mais perturbé Un peu déçu de la nouvelle formule affectant la combustion du papier Pourquoi avoir changé cette magnifique formule ????</t>
  </si>
  <si>
    <t>j'adore entièrement satisfait, à voir sur la durée fonctionne ~10h/jour en continu avec lumière changeante</t>
  </si>
  <si>
    <t>Good Bonne qualité</t>
  </si>
  <si>
    <t>Très bonne qualité Très bon équilibre entre le haut de gammes et le milieu de gamme. Une cellule standard pour une efficacité terrible  A recommander +++</t>
  </si>
  <si>
    <t>Confiance Tant pis si on doit payer un peu plus,mais utiliser un produit de la marque apporte une tranquillité notable.Le produit en question est parfaitement adapté à l'usage que j'en attends.</t>
  </si>
  <si>
    <t>Parfait Ravie de mon achat , excellente qualité. Je m’en sert pour mon billet journal . Ne bave pas , sèche vite</t>
  </si>
  <si>
    <t>Montre agréable à porter et à regarder J’étais à la recherche d’une montre pas trop coûteuse et sortant de l’ordinaire.  J’ai donc commandé ce modèle que je trouve plutôt beau. Le mécanisme apparent est d’un bel effet.  Pas de pile à mettre. Il suffit de la recharger à la main.  La montre est livrée avec un petit outil très pratique qui permet de raccourcir le bracelet et de l’adapter parfaitement à votre poignet.  En conclusion, un bon achat!</t>
  </si>
  <si>
    <t>la meilleure ! Solaire, toujours à l'heure pile car la mise à l'heure est radio pilotée. Tout inox, élégante et solide malgré tout.</t>
  </si>
  <si>
    <t>Baskets puma Très belles baskets</t>
  </si>
  <si>
    <t>Satisfaite Livraison rapide, il me faudra un peu de recul pour évaluer les effets de cette huile.</t>
  </si>
  <si>
    <t>Bons écouteurs Ces écouteurs intra-auriculaires possèdent une bonne qualité de son. Ils permettent également une bonne isolation des bruits extérieurs. Ergonomiques, légers et faciles à porter, ils sont confortables à l'utilisation et notamment pour le sport puisqu'ils tiennent bien en place.</t>
  </si>
  <si>
    <t>bien le petit fils qui le souhaitait etait ravi</t>
  </si>
  <si>
    <t>Des chaussures de qualité Des chaussures de qualité pouvant être portées avec une de ville ou une tenue décontractée . La qualité est au rendez vous , vous ne serez pas déçu</t>
  </si>
  <si>
    <t>Léger mais qui dur pas dans le temps. Léger mais la qualité de son pas médiocre. Au bout de quelques jours l'écouteur gauche fonction moins bien. Livré avec une boîte pour ranger les écouteurs très pratique</t>
  </si>
  <si>
    <t>déçu il faut être collé au micro pour entendre la voix suffisamment. assez déçu.</t>
  </si>
  <si>
    <t>Couverture chauffante Chauffe moyennement</t>
  </si>
  <si>
    <t>Bracelet moyen Bracelet avec 2 Pierre terne et une avec un trou mais acheté en vente flash pas cher donc il faut pas être trop exigeant</t>
  </si>
  <si>
    <t>Chaussure souple confortable et leger</t>
  </si>
  <si>
    <t>RAS Rien à dire tout à fait conforme à la description</t>
  </si>
  <si>
    <t>Performante et jolie Les plus : très rapide, propose la graduation pour 1, 2 ou 3 tasses ce qui est pratique, indique la température, facile à nettoyer avec son grand couvercle, design très sympa. Les moins : programmation de la température non disponible</t>
  </si>
  <si>
    <t>Bien mais.. Bien mais se détend rapidement</t>
  </si>
  <si>
    <t>Fin et de qualité Bel emballage,  belle qualité</t>
  </si>
  <si>
    <t>. Beau cadeau</t>
  </si>
  <si>
    <t>Très bien Produit conforme, Tissu agréable Agréable niveau chaleur quand il fais frais</t>
  </si>
  <si>
    <t>Boîte doseuse de lait Mam Les + : On peut caser dans chaque compartiment jusqu'à 6 doses de lait + 5 doses de céréales en tassant un peu (en tapotant la boîte sur le plan de travail). Quand on verse la dose on ne risque pas d'en mettre à côté car le trou est positionné au bord du couvercle. Chaque dose a son clapet et les compartiments sont bien séparés. Supporte très bien le passage au lave-vaisselle.  Les - : On ne choisit pas la couleur de la boîte quand on commande...</t>
  </si>
  <si>
    <t>Juste prix Qualité  prix par rapport des grandes surfaces</t>
  </si>
  <si>
    <t>Bien pour le prix Joli bracelet.</t>
  </si>
  <si>
    <t>Super Très belle cafetière à tout point de vue, très bon café, et très facile d'utilisation, je recommande vivement ce produit</t>
  </si>
  <si>
    <t>Joli Joli pantalon de sport. La matière est agréable et ne sert pas trop. La taille tient bien et permet un bon maintien. Niveau régulation de la transpiration c'est correct. Le look est sympa avec ses motifs géométriques bleus. Très bon article. Le M taille correctement pour un 38.</t>
  </si>
  <si>
    <t>Son magique Bonjour J ai acheter ses écouteur pour moi et j ai juste eu le temps de les tester que mon fils me les as embarqué. Les écouteurs sont facile à mettre au oreille il tiennent bien et surtout ne font pas mal et son asse discret. Il en voit un bon son et lege à porter. Personnellement j adore mais je pense que je ne les regardais plus à mes oreilles. C est un produit que je recommanderais et à tout âge.</t>
  </si>
  <si>
    <t>Incroyable à ce prix. Je recherchais des écouteurs pour faire suite à mes AKG qui m'avait tenu 4 ans. Dubitatif sur les nouveautés (Xiami etc) je me suis laissé tenté par cette paire.  Je les recommandes totalement. Il sont légers, le son est très bons ! J'apprécie vraiment la portée des basses.  Je reviendrais poster pour leur durée de vie, mais ils paraissent de bonnes qualités ! :)</t>
  </si>
  <si>
    <t>Très confortables Très satisfaite du produit d’autant plus avec le prix Amazon. Très confortables, bonne tenue du pied, pas mal au pied (attention juste elles sont un peu larges. )</t>
  </si>
  <si>
    <t>Diffuseur d'huiles essentielles design Je l'ai acheté pour une utilisation dans notre chambre ou le salon pour une ambiance "zen" et profiter des bienfaits des huiles essentielles. Le design est sympa, j'aime le changement de couleurs. Il est super facile a utiliser et a nettoyer. Produit de tres bonne qualité. Je recommande..</t>
  </si>
  <si>
    <t>Super Elle sont vraiment très jolie, de très bonne qualité, plutôt confortable, la taille est juste parfait.Je recommande ce produit.j'aime beaucoup</t>
  </si>
  <si>
    <t>Pour le prix c'est parfait Nickel</t>
  </si>
  <si>
    <t>Cool Très bien</t>
  </si>
  <si>
    <t>Décevant J'ai acheté ce produit pour une utilisation en canapé et de temps à autre en lit.  Faisant 1m85, pour le canapé, la table est finalement assez basse, et cela devient gênant après quelques minutes... Même ma femme en est déçue pour une utilisation canapé. Très déçu également du support souris, qui est vraiment minuscule et ne permet pas grand mouvement...  Sur un lit le produit est un peu mieux, cependant avec une couette on se retrouve rapidement très à l'étroit avec tout ça.  La qualité des matériaux semble être au rendez vous. Mais cela ne rattrape pas l'impression générale du produit qui ne permet pas de trouver ce qu'on recherche vraiment dans ce produit : un vrai confort.</t>
  </si>
  <si>
    <t>NE DURE PAS LONGTEMPS Voici 1 an et 1 mois que j'ai acheté ce ķ grille pain, qui vient juste de rendre l'âme après de multiples coupures au disjoncteur. De plus, la grille qui soutient le pain pour la descente/remontée est vraiment très fragile et se tord facilement,  car seulement tenue sur 1 côté. Sommes très déçus de ce grille pain qui, extérieurement donnait un sentiment de solidité.  Donc, retour à la  fonction Grill du four électrique durant 2 mn, qui fait ses preuves depuis plusieurs générations.</t>
  </si>
  <si>
    <t>Éclairage Défaut d'éclairage .On ne voit que le bas à gauche.</t>
  </si>
  <si>
    <t>Qualité ! J’utilise cet appareil pour la télé , la qualité de son n’est pas mal mais ne vaut pas un vrai casque , les sons environnant viennent troubler l'écoute. Le plus gros reproche que je fais à cet appareil, c’est le poids de l’écouteur . Au bout d’un moment de fortes douleurs apparaissent aux niveaux des oreilles, ça en devient insupportable. Ou  peut être est-ce  du à la pression des deux branches de l’écouteur .Et ce , même en changeant d ‘embouts .</t>
  </si>
  <si>
    <t>Il fait son effet mais ne vous attendez pas à une qualité exemplaire. Offert à ma nièce, elle en est très contente car il brille ! Par contre ce n'est pas du tout de l'argent massif, vu le prix c'est normal. Bijoux que je recommande juste pour faire plaisir à une très jeune demoiselle.</t>
  </si>
  <si>
    <t>Bien Livre très apprécié par mon garçon de 5 ans, mais comme il ne le lit pas seul, certaines réponses pourraient être un peu plus développées.</t>
  </si>
  <si>
    <t>Bon produit mais fuit en moins de 2 ans Très bon produit MAIS au bout d'un an et demi il se met à fuir, au niveau inférieur de la poignée (juste un joint d'étanchéité sans doute en silicone que l'on voit à l'intérieur de la bouilloire). Dommage pour un produit réputé de qualité. Je vais essayer de me faire appliquer la garanti qui est de 3 ans mais... seront-ils aussi sérieux que le produit côté SAV?...</t>
  </si>
  <si>
    <t>Casio pas chère ... Montre fonctionnelle et esthétique. Les aiguilles sont bien visibles. Il manque juste l'éclairage pour avoir 5 étoiles. Difficile de trouver aussi bien ou mieux pour le prix .</t>
  </si>
  <si>
    <t>money money money Pourquoi ces saloperies de cartouches se vident si vite et qu'elles sont si cher ??? encore une pollution terrestre de plus. Plastique jetable encore et encore. Et on arrête pas de nous dire que la planète est envahie de plastique. Bon, sinon, elles fonctionne très bien.</t>
  </si>
  <si>
    <t>Conforme à ça description. Conforme à ça description. J'adore.</t>
  </si>
  <si>
    <t>Conforme Bonne manufacture. A conseiller</t>
  </si>
  <si>
    <t>parfait Bonne qualité je m en sers pour parler sur discord lors de partie endiablée on m entend très bien fait son travail</t>
  </si>
  <si>
    <t>reçu reçu a temps rien a signaler parfait</t>
  </si>
  <si>
    <t>Je recommande Reçu aujourd'hui Pris la taille 44 vu qu'il n'y avait plus là taille 42 dans la couleur que je voulais et bien j'en suis ravie car ça me fais une robe pull casual et à la fois sexy ma corpulence est de 1m65 pour 64kg donc on ne voit pas mes petits bourrelets 😁</t>
  </si>
  <si>
    <t>Je le recommande Ras</t>
  </si>
  <si>
    <t>Impeccable merci ! Bonjour, bon pas simple de laisser un commentaire sur des cartouches d'encres, mais en revanche je conseil vraiment, la qualité est tres bonne, et en ce qui concerne le modèle XL il y à quand même une certaine économie à long terme. Merci. Cordialement.</t>
  </si>
  <si>
    <t>Top Idée cadeau sympa Valisette bien pratique</t>
  </si>
  <si>
    <t>Bien Très bien</t>
  </si>
  <si>
    <t>super bien fait précis super bien fait précis</t>
  </si>
  <si>
    <t>Prix variable mais bonne qualité de produit Très bonne qualité de produit ! J'ai pris les pastilles et elles collent vraiment très bien j'ai rien à redire. Faites tout de même attention les prix de ces articles varient beaucoup, je conseillerai d'attendre et de les prendre quand elles sont vers 2e les 250 et 4e les 500.</t>
  </si>
  <si>
    <t>Très bonne approche J'ai choisi ce livre pour le lire à haute voix à mes filles de 7 et 9 ans. Nous venons de le finir après plusieurs mois de lecture. C'est une très bonne approche de la mythologie grecque pour les néophytes... Les enfants sont tenus en haleine, ce qui paraît incroyable... Et surtout quel plaisir de partager de tels moments avec ses enfants !</t>
  </si>
  <si>
    <t>top Super modèle de chez new balance très confortable taille bien acheté pour offrir la personne était ravi ...je recommande ce modèle..</t>
  </si>
  <si>
    <t>Parfait Très belle montre, reçu une semaine après avoir passé la commande. La commande est conforme aux images, aussi belle qu'une Rolex Submariner. De plus, grande précision de l'heure. PS: pour la mise en route, se rendre chez un horlogier.</t>
  </si>
  <si>
    <t>quelques déceptions mode d'emploi insuffisant et de plus uniquement en anglais et allemand, n'explique pas comment changer la pile ce qui va obliger à aller chez un horloger ce qui va couter cher (et peut être plus cher que la montre)d'autant que la durée de la pile est donné pour seulement 1 an et demie, sinon jolie et élégante pour du matériel "made in China", et pas de fluorescence des aiguilles pour une vision dans le sombre</t>
  </si>
  <si>
    <t>Produit bas de gamme Produit mal taillé selon nos tailles européennes.  Qualité du tissu tres bas de gamme. Je ne recommande pas du tout.</t>
  </si>
  <si>
    <t>incomplet et mauvais état J'ai commandé ce produit pour ma fille, je mets une seule étoile car dans le colis reçus, il y a  avec une douzaine de crochets inutilisable et incomplet (il manque les billes et ressort).</t>
  </si>
  <si>
    <t>une pointure de trop la chaussure est trop grande par rapport a la pointure annoncée faire attention de prendre une pointure inférieure a d'habitude</t>
  </si>
  <si>
    <t>belle montre j'ai absolument besoin d'une notice en français, merci</t>
  </si>
  <si>
    <t>Toaster efficace et élégant J’aime le design épuré et classe. Les boutons chromés donnent un style contemporain au toaster. La facilité d’emploi, 3 boutons + 1 pour l’intensité du grillage du pain. On peut regarder comment le pain est grillé même en court de processus. Il accepte de grosses tranches Il y a une tirette pour récupérer les miettes. Impeccable.</t>
  </si>
  <si>
    <t>evaluation j'ai bien aimer ce produit</t>
  </si>
  <si>
    <t>Une touche girly Très jolie chaussures de sécurité Ça change un peu pour nous les femmes qui revons de féminité même au travail La touche de rose pour le "girly" 😊 J'ai pris une pointure au dessus et c'est parfait Elles sont très confortable et peu lourdes</t>
  </si>
  <si>
    <t>Fait l'affaire Sacoche un peu petite : clés, téléphone, portefeuille mais pas beaucoup plus. Mais fait son travail correctement.</t>
  </si>
  <si>
    <t>Beau design Pour un joli cadeau</t>
  </si>
  <si>
    <t>ça roule Tout va bien, délais de livraison,taille et agréable à porter.</t>
  </si>
  <si>
    <t>arriver dans les délais parfait</t>
  </si>
  <si>
    <t>Lecture très abordable pour les jeunes ados Je trouve ce livre agréable à lire et à regarder. Chaque thème est bien détaillé, l'illustration est très sympa également, suffisamment pour "attirer" l'adolescent vers le livre et le feuilleter à son temps. Les garçons ne montrent pas forcément qu'ils se posent certaines questions, et si vous laissez ce livre "traînez" près de sa chambre, il y a fort à parier qu'il va le subtiliser pour prendre le temps de voir si quelque chose peut l' intéresser. Ce livre fait une bonne transition pour l'enfant qui passe de l'école primaire au collège, "passage" entre 2 mondes ! (avec moins d'inquiétudes...)  Bonne Lecture</t>
  </si>
  <si>
    <t>Montre Montre homme Quartz très élégants Pas de problème Particulier c'est vraiment très bien merci</t>
  </si>
  <si>
    <t>Super Utilisé par mon ado pour Fortnite. Il le passe du PC à la Switch.... Il est super content. Les diodes le font trop "kiffer" il paraît.... Le micro fonctionne bien et il me dit qu'il est confortable sur les oreilles. Bref il est top ;-)</t>
  </si>
  <si>
    <t>Original et drôle Satisfaite par l'achat de ce tee-shirt très original qui a fait beaucoup rire. Nul doute que l'effet sera réussi dans notre fête déguisée à Noël. Le trompe l'oeil est bien fait, les couleurs sont conformes,  la matière est souple et confortable. En revanche il faut savoir qu'il taille plutôt grand. Je l'ai acheté en taille S,  mais la coupe ample équivaut plutôt à un L... du coup il va mieux à mon mari qu'à mon petit gabarit.</t>
  </si>
  <si>
    <t>Top ça fonctionne très bien, le prix est correct par rapport à sa qualité.</t>
  </si>
  <si>
    <t>Beau produit Superbe avec un tour de cou en cuir noir. Je l'ai offert comme tel et ça a beaucoup plu. Le produit ne change pas après plusieurs mois.</t>
  </si>
  <si>
    <t>Très bon câble Je suis content de mon achat, les câbles + et - se séparent à la main, contrairement à ce que j'ai pu lire sur certains commentaires,on prend la longueur nécessaire sans défaire la bobine en tirant par le centre, ça m'a tout l'air d'être de bonne qualité et mes enceintes rugissent de plaisir.</t>
  </si>
  <si>
    <t>Confortable Marche régulière</t>
  </si>
  <si>
    <t>Bon produit Aucune mauvaise surprise. Matière souple et de belles finitions. Toutefois, attention à commander une pointure en dessous car ça chausse grand. Délais et emballage : tout ok.</t>
  </si>
  <si>
    <t>Casque Rien a redire</t>
  </si>
  <si>
    <t>Très belles chaussures ! Taille un poil petit ! Très beau produit ! Taille un poil petit.. préconise une pointure supp !</t>
  </si>
  <si>
    <t>Coucou 69 Cole trop grand</t>
  </si>
  <si>
    <t>Fausse timberland Bonjour en achetant ce produit je pense acheter des vrais timberland,en regardant de plus près je ne peux que constater que ce son des contrefaçons 😖 le logo est pas le même le talon n’a pas de couture je crains mette fait avoir ce n’est pas normal pour un cite comme le vôtre tolère des agissements tel. Je vous demande le remboursement cdt je n’arrive pas à prendre de photos</t>
  </si>
  <si>
    <t>odeur le porte filtre avait une odeur désagréable ( puanteur)et le deuxième que j'ai commande pareil Je pense qu il faut demande a ce vendeur de les vérifier</t>
  </si>
  <si>
    <t>Super chaussures ! Ce sont des chaussures confortables, tellement confortables qu'on a l'impression de mieux marcher avec. La semelle en caoutchouc ne couine pas, elle amortit tous les petits chocs de la route et on a bien du mal à les quitter en rentrant chez soi. Elles passent en machine, c'est un plus, surtout que commandées en blanc. Elles prennent cher, et donc se salissent très très vite.  Petit bémol, la taille des lacets. Ma femme qui a de petites mains trouve que des lacets plus longs n'auraient pas été un luxe.</t>
  </si>
  <si>
    <t>Pour le prix, il n'y a pas lieu de se plaindre ! j'ai acheté une montre pour la mettre à mon poignet afin de pouvoir lire l'heure ! Qui l'eût cru ?... Il s'agit en principe d'une montre se remontant automatiquement... Il faut toutefois la remonter une fois par jour, car même en la portant toute la journée l'automatisme n'est pas tout à fait au point !...</t>
  </si>
  <si>
    <t>Mon fils l adore c est très classe Très contente pour cet achat pour mon fils</t>
  </si>
  <si>
    <t>Trieur exacompta Trieur exacompta de bonne qualité. Possède des rabats très pratiques pour des rangements supplémentaires et des élastiques qui empêchent les documents de tomber.</t>
  </si>
  <si>
    <t>excellente qualité Ce produit est d'une grande qualité. L'odeur est marquée comme il le faut sans pour autant devenir entêtante. J'utilise cette huile essentielle en diffusion dans ma pièce (environ 12m²) et en plus d'apporter une note parfumée, elle me détend. Alors même si il est vrai que le rapport quantité prix peut paraitre un peu plus cher que la moyenne, la qualité du produit justifie amplement ce petit écart de prix. C'est donc un produit que je vous recommande et je n'hésiterai pas à me pencher prochainement sur les autres produits de ce fabricant.</t>
  </si>
  <si>
    <t>Son excellent Personnel Très bon son</t>
  </si>
  <si>
    <t>super deviner</t>
  </si>
  <si>
    <t>Bon produit pour s’amuser à tout âge! Livraison ultra rapide ! Reçu le lendemain de la commande. Simple d’utilisation , on peut s’en servir de suite. Matériel de bonne qualité. Le son est réglable et le mode écho est très sympa.</t>
  </si>
  <si>
    <t>Très bon générique Produit reçu dans un petit carton dans lequel sont placées les 10 cartouches XL (4noir et 2*3couleurs). Chaque cartouche étant emballée individuellement. La mise en place est strictement identique aux cartouches d'origines. Les cartouches étant légerement translucide, on peut voir le niveau réel de celle-ci. Après 1 ou 2 impressions, la qualité d'impréssion est identique. Reste à voir avec le temps si la qualité ne se dégrade pas ou si les buse ne sècheront pas ou ne se boucheront pas. Le petit plus serais de proposer un petit mode opératoire pour supprimer le message HP qui à chaque fois ouvre une fenêtre pour dire que les cartouches ne sont pas authentique...</t>
  </si>
  <si>
    <t>très satisfaite Montre conforme à la photo de description. Le bracelet est réglable . Très jolie montre choisie par ma fille de 14 ans qui est ravie de la porter. Particularité : pas de trotteuse. Colis reçu avec un jour de + que celui initialement prévu mais toujours bien géré par Amazon qui avait averti de ce retard.</t>
  </si>
  <si>
    <t>Beau bijou, fin et chic J'aime beaucoup ce type de bijoux, le bracelet est fin et le signe infini aussi. J hésite même à acheter le collier qui va avec</t>
  </si>
  <si>
    <t>Bon fonctionnement Pratique d'utilisation,appairage très facile,assez confortable même porté longtemps le son est correct sans être exceptionnel et la fonction radio est pratique et la batterie tient pratiquement deux jours avec une utilisation normale un bon rapport qualité prix</t>
  </si>
  <si>
    <t>Très bien Bonne qualité, belle boite d'emballage, fonctionne très bien. Aucun regret sur l'achat si ce n'est que j'en aurait préféré un avec des noyaux de cerises (moins confortable mais la chaleur dure plus longtemps).</t>
  </si>
  <si>
    <t>Trés satisfaite Cela fait 10 ans que je souffre de fibromyalgie et les douleurs se sont ma tasse de café le matin et ma tasse d’infusion au coucher. Donc, j’essaie ce gel et j'ai constaté qu'au fur et a mesure des applications ça soulage quelques douleurs... J’aime son odeur et sa texture mais j’avoue que la couleur est un peu repoussante. L’important c’est son efficacité. Merci KIND</t>
  </si>
  <si>
    <t>Tres belles couleurs.. Beaux fluos STABILO :une belle pochette utile pour le dessin ,le graphisme ou bien l'ecole primaire .Une belle palette de couleurs !</t>
  </si>
  <si>
    <t>Je recommande Article correct solide et qui ne bouloche pas dans les chaussures Livrée aux bout d un mois Sinon je vais en recommandé un autre lot</t>
  </si>
  <si>
    <t>Super ! Plaid très confortable, qui fonctionne toujours après de nombreuses utilisations. Je recommande !</t>
  </si>
  <si>
    <t>Très belle montre Cette montre est magnifique, elle est bien lisible et s'adapte très bien au poignet malgré sa taille conséquente.</t>
  </si>
  <si>
    <t>Image trompeuse Le vêtement ne correspond pas à ce qui est affiché sur le site. L'image est trompeuse même si pour le prix, on ne pouvait espérer mieux. Très déçu de cet achat que je regrette, surtout pour un cadeau de Noel.</t>
  </si>
  <si>
    <t>Deçu Pas de bonne qualité le tissu est trop légère</t>
  </si>
  <si>
    <t>Pas mal Petite sacoche juste pour l'essentiel, portefeuille plis téléphone, reste très peu de place pour les clés Mais sacoche de qualité.</t>
  </si>
  <si>
    <t>bien Bien pour le lait. Mais ne suffit bien sur pas pour lait+cérales. Pour cela il faut une tétine natural a débit variable que j'ai enfin trouvé!!</t>
  </si>
  <si>
    <t>La montre parfaite Bien qu'ayant de petits poignets, cette montre me convient parfaitement. Livrée dans sa boite originale, protection parfaite. Radiopilotée elle se met à l'heure chaque nuit. Petit bémol : les alarmes/bips plus audibles. Sinon rien à redire, le design est soft, sans extravagance. Elle est parfaite</t>
  </si>
  <si>
    <t>Satisfaite J'avais un peu peur de la qualité vu le prix, mais je suis satisfaite. Livraison rapide</t>
  </si>
  <si>
    <t>Bon produit Excellent produit 👍 cependant dommage que le casque ne soit pas réglable. Pour le son, manque un peu de basse sinon rien à redire. Le faite de pouvoir entendre notre environnement durant les séances de sport surtout vélo et course à pied est idéal moins de danger.</t>
  </si>
  <si>
    <t>Je recommande Très bien</t>
  </si>
  <si>
    <t>Très bien pour le soupes épaisses Ma fille n'arrivant pas à prendre ses soupes dans le biberon que ce soit avec les "vitesse 4" ou avec les tétines débit variable, nous avons acheté ces sucettes. Elles ont été parfaites pour les liquides épais. Les seules soupes qui ne sont pas passées : soupes avec des pâtes.</t>
  </si>
  <si>
    <t>Chaussures sport Produit très bonne qualité</t>
  </si>
  <si>
    <t>cartouche HP 302 IDENTIQUE A LA PHOTO. AUCUN PROBLEME DE LIVRAISON</t>
  </si>
  <si>
    <t>Très belles chaussures et de qualité Superbes chaussures. Encore plus belle que je l'imaginais et très solide. Mon fils est ravie car de plus sont très confortable. Je recommande cet achat à 100%. De plus très petit prix</t>
  </si>
  <si>
    <t>Top Top malgré quelque soucis.</t>
  </si>
  <si>
    <t>La batterie peut être chargée rapidement Ils sont faciles à connecter avec Bluetooth, ils sont très petits, très légers et n’ont pas de poids. Très confortable et très bonne qualité sonore. La batterie est très durable et peut être chargée rapidement. Je pense qu'ils sont très utiles.</t>
  </si>
  <si>
    <t>belle montre quelle fonctionne le plus longtent possible</t>
  </si>
  <si>
    <t>Très bon produit Très bon produit. Je l ai utilisé enceinte pour m en badigeonner le ventre et les seins et me protéger des vergetures. A priori ça a fait son effet. Attention cependant c’est une huile donc grasse. A utiliser le soir sur un pyjama plutôt que la journée avec des habits car ça peut tacher</t>
  </si>
  <si>
    <t>Tres bonne qualité d'oreillettes, très bonne charge. Tres bon écouteur bluetooth. J'avais peur mais ils sont bien adaptés aux petites oreilles de ma fille qui les a dessuite adopter. La qualité du son est très bonne. On a pu les utiliser desuite ils sont arrivés chargé et depuis 2j ils sont utiliser non-stop et sont toujours chargé donc la batterie est très bonne et bien résistante. Le son est très clair, très pratique le fait de toucher les oreillettes pour les différentes commandes. Vraiment très satisfaite de mon achat le prix est très correct pour la qualité du produit.</t>
  </si>
  <si>
    <t>parfait correspond tout a fait a mes attentes.je suis bien chaussée et ces chaussures font des sensations agreables sous les pieds.je recommande ce produit sans hesiter!prendre sa taille habituelle</t>
  </si>
  <si>
    <t>Lessive moins chere qu en grande surface Bonne qualité prix</t>
  </si>
  <si>
    <t>Pas décu Petites perles très mignonnes. Je peux me sentir bien quand je le porte. C'est un vrai bijou en été.</t>
  </si>
  <si>
    <t>Bon son Bonne qualité de son. J'ai plusieurs écouteurs chez moi et ceux la sont assez bien conçus. Ils sont solides sans être imposants. La reconnaissance bluetooth se fait immédiagement. Le boitier se glisse facilement dans la poche.</t>
  </si>
  <si>
    <t>bon article sympa!! mon mari est ravi du cuir et des nombreuses poches</t>
  </si>
  <si>
    <t>Gauffrier ocassion Je pense qu'on ma livrais un gauffrier d'occasions pas sympa meme si le prix etait bas . Veuillez prevenir les clients car la decison leur revient. Pour me prochain je vais chez Darty. Car celui ma ne va pas faire long feu.</t>
  </si>
  <si>
    <t>Horrible Article de très très mauvaise qualité. Pour le prix c'est une horreur Il retourne a l'envoyeur</t>
  </si>
  <si>
    <t>Les cartouches sont compatibles mais le problème c’est que l’imprimante ne reconnaît pas bien donc une fois sur deux je suis obl Les cartouches sont compatibles mais le problème c’est que l’imprimante ne reconnaît pas bien donc une fois sur deux je suis obligé de redémarrer l’imprimante pour que ça fonctionne malgré le message champ attention cartouches vides voilà ce produit n’est pas recommandé merci</t>
  </si>
  <si>
    <t>pas de lacets J'ai été étonnée de ne pas trouver de lacets; ça m'apprendra à lire les avis; en fait il y a un élastique pour maintenir le pied. Dommage, j'avais déjà pratiquement les mêmes avec lacets; je les garde quand même</t>
  </si>
  <si>
    <t>Bon casque mais Vu les bon avis sur ce casque, je n’ai pas hésiter longtemps sur mon choix. Le rapport qualité prix est bon vu le prix de certain casque mais malheureusement je n’ai pas réussi à le jumeler à mon récepteur sur la télé alors que mon précédent casque je n’avait pas eu de problème. Du coup je m’en sers quand je vais courir pour écouter la musique L’appairage avec mon iPhone s’est fait immédiatement, le son est pas mal mais sans plus. Par contre il isole très bien du bruit extérieur. Donc quand même satisfait de mon achat même si l’utilite ducasque à changer.</t>
  </si>
  <si>
    <t>bracelet très joli bracelet, pratique les 4 anneaux d'attaches pour les petits poignets</t>
  </si>
  <si>
    <t>Bon produit Conforme à la description. Livraison ok.</t>
  </si>
  <si>
    <t>montre envois rapide  emballage soigneux cette montre correspond bien par rapport a sa designation pratique costaud  bonne qualitee etanche a recommandee</t>
  </si>
  <si>
    <t>Ce faire plaisir Très pratique .A l'air assez costaud.bon confort facile d'utilisation</t>
  </si>
  <si>
    <t>Facilité de branchement.Directement sur la prise casque. Le soir au lit pour pas déranger son compagnon ou sa compagne, le son ne passe pas en dehors des écouteurs.Le son est très correct .Pour commuter le son on coupe le home cinéma et le casque est actif sans déranger.Sa charge est suffisamment longue pour une soirée devant l’écran( 3 heures minimum).on le remet sur sa base un jour sur 2. Bon ce qui n'a rien a voir c'est le service livraison qui a littéralement balancé le colis par dessus le portail de 2.20m de haut ! Alors que j'étais présent. Bref amazone n'est pas responsable de l'irresponsabilité de ces livreurs. Non C'est un bon article que je pourrai recommander.</t>
  </si>
  <si>
    <t>Super! Cette collection est vraiment sympa et bien adaptée à un enfant de 5 ans en grande section qui débute la lecture. Il y a une petite préparation à la lecture en début de livre qui est très utile. N'hésitez pas...</t>
  </si>
  <si>
    <t>Satisfait &lt;div id="video-block-RWWR6WH25LVOO" class="a-section a-spacing-small a-spacing-top-mini video-block"&gt;&lt;/div&gt;&lt;input type="hidden" name="" value="https://images-eu.ssl-images-amazon.com/images/I/A1eRpy1-H8S.mp4" class="video-url"&gt;&lt;input type="hidden" name="" value="https://images-eu.ssl-images-amazon.com/images/I/91423u9L+3S.png" class="video-slate-img-url"&gt;&amp;nbsp;Je n'avais jamais pensé que l'eau bouillante serait aussi belle. Facile à nettoyer, mettre un peu de vinaigre blanc pour détacher les calcaires, . Le bouilloire est en verre, faut faire attention quand on l’apporte ou déplacer, même au moment de bouillir d’eau, quand la température monte, le verre devient plus en plus chaud. Il a un écran pour voir la température de l'eau, ainsi qu’on peut choisir nous meme le degré de la température, la conservation de la chaleur, et le temps de faire bouillir de l'eau est également très rapide,  tous les aspects sont très satisfaits.</t>
  </si>
  <si>
    <t>parfait des basiques a avoir dans son placard, bonne qualité s'adapte a toutes les tenues j'en ai au moins 4 paires dans differentes couleurs</t>
  </si>
  <si>
    <t>Bonne qualité d encre La durée de la cartouche est variable....</t>
  </si>
  <si>
    <t>Génial ! Excellent produit ! Peu cher et produit un effet très raffiné ! Idéal pour un cadeau Quand vous n'êtes pas sûr des goûts de la personne !</t>
  </si>
  <si>
    <t>Très satisfait, rien à redire! Excellent produit.</t>
  </si>
  <si>
    <t>Satisfait Câble de qualité, très content de mon achat, rien à redire. Pour le prix, il n'y a pas mieux pour moi.</t>
  </si>
  <si>
    <t>Génial Mon compagnon idéal depuis leur installation, je ne suis plus embêter par les lacets qui se dénouent durant ma séance de sport et quand je dois sortir en deux deux trés pratique</t>
  </si>
  <si>
    <t>Basket Un peu trop petit</t>
  </si>
  <si>
    <t>Parfaite Parfaite</t>
  </si>
  <si>
    <t>Magnifique La chaussure est très belle mais un peu petite. Du coup je compte la partager et commander de nouveau 20/20 sur la beauté</t>
  </si>
  <si>
    <t>Propre ! J’adore ! Étant donné que j’ai pas un énorme poignet, j’étais à la recherche d’une belle montre et pas trop grosse, je l’ai trouvé !</t>
  </si>
  <si>
    <t>robe retro Bonjour je vient de recevoir les robes retro. Super content, la robe taille a merveille. Je l ai est commander pour mes témoins de mon mariage qui est sur le thème année 50. J ai commandé également le jupon pour donner du volume a la jupe. Hate d y etre.</t>
  </si>
  <si>
    <t>très bon produit Ce double goupillon est très pratique puisqu'il sert à la fois pour les biberons et pour les tétines. Le range goupillon-tétine est bien pensé et hygiénique.</t>
  </si>
  <si>
    <t>Montre pas pratique Article qui a l'air très cheap. Le bracelet est fait de 2 épaisseurs de bracelet ce qui fait qu'il n'est pas très pratique et esthétique à porter</t>
  </si>
  <si>
    <t>Mauvaise qualité Je reviens malheureusement sur mon commentaire... La qualité est très mauvaise après les avoir porté moins de 3 jours, voilà le résultat. MÉDIOCRE! Je ne recommande pas, c'est dommage elles sont plutôt sympa... (photo à l'appui) une couture qui a lâché et l autre est en train de faire la même.</t>
  </si>
  <si>
    <t>enders ensan blue ou arnaque? ce produit ne vaut rien le pire j'en ai acheté 15l pour avoir le port offert. quand j'ai voulu l'utilisé dans le toilette chimique de mon camping car je me suis aperçu que c'est de l'eau colorée ni plus ni moins et aucun effet sur les matiéres et obliger d'achetté sur mon lieu de vacances du vrai produit qui lui était plus épais et qui à détruit les matières fécale et le papier. en bref une belle arnaque. ne ne commanderai plus sur ce cite pm</t>
  </si>
  <si>
    <t>Bien, mais à voir dans le temps pour la solidité Reçu dans une boite plutôt très petite si on la compare à la boite du micro et de la suspension reçue. Evidemment à ce prix là vous n'aurez pas un packaging très pro et le strict minimum dans celle-ci.  La bête est constituée de deux bras en métal assez fin. Ca ne transpire par contre pas trop le cheap et a l'air solide vu comme ça.  La fixation se fait au moyen d'un mini étau, en plastique lui. Il faudra y aller franchement et serrer à fond pour ne plus que ça bouge lors des rotations du bras. Pensez à mettre un bout de carton "bien épais" entre le bureau et la vis si vous ne voulez pas l’abîmer car celle-ci est en métal alors que la partie supérieure dispose d'un plastique mou qui protège le bureau. (voir photo)  Le bras ne fait pas de bruit en mouvement, un bon point pour le prix ! Les ressorts se font discrets du moment que vous ne les touchez pas. Par contre... Pensez à resserrer à fond les vis du bras au niveau de la base et du coude, sinon le micro se cassera la gueule. Pour ma part, je fais soutenir à ce bras une charge de +/- 1Kg en comptant suspension + micro. La fameuse vis de réglage, sur le coude, ne semble clairement pas prévue pour tenir un poids de ce type donc il faudra la serrer comme un furieux en priant pour ne pas la casser. Pour le moment, ça tient !  Le bras peut être laissé en mode rotatif grâce à son axe qui vient se positionner dans l'étau, mais vous pouvez également le bloquer avec une vis.  Bref, un produit qui pour le prix fait clairement son boulot et est capable en serrant bien fort de tenir un micro pro avec sa suspension. J'attend par contre de voir combien de temps ça tiendra avant de passer sur un bras professionnel.</t>
  </si>
  <si>
    <t>bon pull mais pull que je trouve très beau , mais j'ai trouver le meme non marquer LEIF NELSON avec la meme photo du mannequin a 19.27 ailleur et je me demande ou est la différence de prix du simple au double , surtout que l étiquette sur la poche LEIF NELSON c'est enlever au premier lavage ? alors payer le double pour avoir le produit plus rapidement je préfère attendre a présent</t>
  </si>
  <si>
    <t>CONFORTABLES TRES BON PRODUIT; DEJA EFFECTUE DE NOMBREUSES MARCHES SANS PROBLEME -- CONFORTABLES</t>
  </si>
  <si>
    <t>Globe Ce produit correspond à mes attentes, des la réception du colis, comme toujours les globe,on un design accrocheur, et l'état général impeccable. Je penser juste avoir un doute sur la taille mais pour ceux ou celle qui commanderons à l'avenir,votre taille respective correspond de même avec la taille commandez, sans problème, voila et le petit plus même si on en voudrait plus afin de promouvoir la marque Autocollant Globe,je conseille salut à tous et toutes</t>
  </si>
  <si>
    <t>Son de qualité La qualité sonore est au rendez-vous, même si je ne prétends pas avoir une audition de mélomane expert. Les basses sont très présentes, ce qui n'est pas une surprise (c'est dans le nom du produit) = à avoir à l'esprit en choisissant ce casque. Le port est confortable. Perte d'une étoile pour la présence d'un bouton unique sur la télécommande; l'application proposée par Sony pour téléphone Android ne m'a pas convaincu à l'usage (sur un Galaxy S7, utilisation de Poweramp comme logiciel de lecture)</t>
  </si>
  <si>
    <t>Très satisfait chaleur agréable je suis un dormeur heureux Très agréable sous le drap de lit (j’ai un bz pliable), mieux qu’un somnifère cette chaleur enveloppante. Chauffe assez vite, détends les muscles tendus. Petit côté aphrodisiaque. La chaleur vient quand on s’allonge, à la main sans être sur le drap on la sent moins. Indispensable la coupure automatique après trois heures.</t>
  </si>
  <si>
    <t>Indispensable Génial !! Bcp moins cher que sur le site de vans, reçues très rapidement, c'est un basique a toujours avoir dans son placard à chaussures. Je les ai lavées plusieurs fois en machine, elle ne bouge pas trop. je recommande !</t>
  </si>
  <si>
    <t>rien ❤️❤️❤️</t>
  </si>
  <si>
    <t>Bonne paire Tres satisfait</t>
  </si>
  <si>
    <t>Vintage et Moderne C'est ce qui me fallait, il est léger, souple et offre beaucoup de rangement sans être trop volumineux, un bon choix pour moi je ne regrette pas.</t>
  </si>
  <si>
    <t>Bon achat Produit conforme à la description. Efficace.</t>
  </si>
  <si>
    <t>confortable Je mets M normalement et j'ai commandé ce pull pour la taille S. Elle est la bonne taille pour moi.  Matière confortable et la couleur est chouette. J'aime beaucoup.</t>
  </si>
  <si>
    <t>Impeccable Bien emballée, livrée rapidement... Rien à redire. Peu encombrante et légère. Dommage qu'elle soit juste résistante aux éclaboussures et non pas complètement submersible comme les modèles identiques en pvc noir et l'autre tout acier.</t>
  </si>
  <si>
    <t>Très contente Très contente, je m'en sert très régulièrement pour faire des soin reiki. Facile d'utilisation. Reçus rapidement.</t>
  </si>
  <si>
    <t>tres agreable a porter et facile a utiliser Ecouteurs connecté a mon tel sans soucis puis connecté a mon ordinateur de bureau via une cle USB Bluetooth. Pas de probleme d 'appairages. Appareil pratique et pas cher</t>
  </si>
  <si>
    <t>Très agréable!! Travaillant tous les jours depuis un ordinateur, il me fallait quelque chose pour me soulager les muscles du dos et de la nuque. J’ai donc opté pour ce coussin et j’en suis très contente. Hyper pratique car il suffit juste de le brancher à une prise pour le faire marcher, juste à positionner à l’endroit souhaité, appuyer sur ON et le tour est joué :) Ça détend super bien les muscles (surtout au niveau de la nuque, la sensation est vraiment agréable). Il est plutôt de taille petite et émet un son très peu fort, du coup je m’en sers chez moi mais aussi au travail, pas gênant du tout pour les autres! Je sens que je ne vais plus le quitter ;) le must: possible d’utiliser en fonction massage chauffant (pour l’hiver ça doit être génial)</t>
  </si>
  <si>
    <t>Testé et approuvé, je recommande ! Bonjour,  Comme tout le monde, nous devons centraliser nos déchets alimentaires afin de les transférer vers les collecteurs municipaux. Ayant tester beaucoup de produits durant des années afin de trouver celui qui me corresponds, je vous donne mon avis : Points forts ; - Il est vraiment résistant et étanche, marre de sortir la poubelle qui laisse fuiter les liquides :) - Il est pratique pour ces poignées coulissantes, on tire dessus et tout vient ;) - Il n'est vraiment pas cher du tout -&amp;gt; 0.37 centimes le sac ;) Points faibles : - Pour une poubelle en hauteur de 50l, le sac ne va pas jusqu'en bas, donc le vider assez tôt ;)  Pour finir, j'en prends depuis 5 ans, j'en ai testé d'autre plus cher pour comparer et je reprends toujours celui là. Pas parfait mais surement bien efficace ;)</t>
  </si>
  <si>
    <t>Parfait !!!!!!! Très belle montre qui a plu bien évidemment et encore heureux vue le prix en tout cas nettement moins cher qu'en bijouterie mais la qualité est la et c'est très bien. Je recommande</t>
  </si>
  <si>
    <t>livraison rapide le fameux classic papier d'arméni, ça sent trop bon dans la maison!!! mieu que l'encens. livraison rapide ce qui fait plaisir</t>
  </si>
  <si>
    <t>Canon CLI-551 C-M-Y-BK Multipack - Pack de 4 Cet article est conforme à la description, c'est du canon donc une valeur sure. Je recommande pour la qualité, car les compatibles sont sujet à caution. Seul bémol le prix.</t>
  </si>
  <si>
    <t>Bonne qualité Casque très joli, solide, avec un bon son.</t>
  </si>
  <si>
    <t>qualité Mauvais rapport qualité prix.La semelle s'est très vite décollée à l'avant de la chaussure.Le vinyle a très mal vieilli.</t>
  </si>
  <si>
    <t>Énorme déception Franchement déçu. L'appareil est en panne après seulement 3 mois d'utilisation (n'infuse plus). J'ai contacté le SAV de la marque qui m'oriente vers un réparateur qui n'est même pas sur de pouvoir me changer la pièce. D'après les commentaires sur le web, c'est une panne très fréquente. Je déconseille ce produit.</t>
  </si>
  <si>
    <t>Bon produit Taille un peu petit. Cordon de la capuche très fin. A tendance à boulocher très vite. Très joli esthétiquement. Les bandes noires font un peu plastiques et ne sont pas très souples et j'ai peur qu'elles s'abîment au fil des lavages. Tien cependant plutôt chaud et est assez doux à l'intérieur.</t>
  </si>
  <si>
    <t>Tétines 3 trous et non pas 4... Je connais depuis longtemps les tétines Avent, car je m'en suis servie pour mes 2 enfants en relais de l'allaitement sans aucun problème. Je recommande donc ces tétines, cependant je cherchais à acheter des tétines débit important (4 trous) et celles livrées n'en ont que 3.... bref ce n'est pas ce que je voulais..</t>
  </si>
  <si>
    <t>correspon a ma recherche Très bien, le descriptif correspond tout a fait Sert aussi bien chaud que froid je recommande vivement...a celles qui comme moi travaille la nuit</t>
  </si>
  <si>
    <t>Je recommande J'ai été surprise par les belles couleurs de ces feutres et de l effet que ça rendait sur du papier cartonner noir. Par contre, le feutre bleu à rapidement perdu ça couleur et ressortait argenté. A part ça, rien à dire.</t>
  </si>
  <si>
    <t>Decoupe du contour mal adapter Ras</t>
  </si>
  <si>
    <t>Idéal pour les écoliers Sac très utile, léger, je ne sais pas si il est imperméable par contre ? Sinon sac Eastpak de qualité</t>
  </si>
  <si>
    <t>Jolie basket Je suis contente de mon achat, très jolies baskets. Prendre une taille de plus. Je recommande</t>
  </si>
  <si>
    <t>Bonne tétine en relais du sein Après avoir essayé d'autres marques non acceptées par bébé (qui avait l'habitude du sein), il a tout de suite bu avec cette tétine!</t>
  </si>
  <si>
    <t>Très beau, bonne qualité apparente Très beau, le bleu des pierres est encore plus beau que sur la photo, pas aussi sombre. Très satisfait, je recommande ce produit et ce vendeur.</t>
  </si>
  <si>
    <t>Bonne qualité Très bonne marque de bonne qualité</t>
  </si>
  <si>
    <t>Bravo Rapidité et qualité merci</t>
  </si>
  <si>
    <t>Satisfaite de mon achat Bon produit et de bonne qualité</t>
  </si>
  <si>
    <t>O top Très bon produit franchement mieux que prévu</t>
  </si>
  <si>
    <t>Satisfaite Bon petit diffuseur qui fonctionne parfaitement. Se mari bien avec notre décoration</t>
  </si>
  <si>
    <t>Surprenant ce casque à conduction osseuse Une belle découverte que ce casque bluetooth à conduction osseuse. Surprenant de pouvoir écouter sa musique tout en ayant les oreilles libres. L'objet est de très belle qualité et le son vraiment correct. Je l'utilise pour écouter des podcasts de veille tout en travaillant à domicile pour garder une oreille sur mes enfants que j'élève en home office :-). Pas de bruit pour bébé et un papa qui reste alerte !</t>
  </si>
  <si>
    <t>POINTURE 41 agréable a porter..légères et très confortables. se nettoie facilement. perso je les ai traiter avec de l'imperméabilisant en bombe. je recommande</t>
  </si>
  <si>
    <t>confort ce sac a dos est confort ,pas trop grand ,le modele est en d'actualité ce sac est pratique pour les petites choses à transporter ,portefeuille ,papiers d'identité ect personnellement j'ai rajouté un petit cadenas sur la fermeture éclair ,pour avoir l'esprit tranquille quand le sac est positionné dans le dos .</t>
  </si>
  <si>
    <t>La couleur, les lacets. Au top ! Trop beau. C’était un cadeau. Il était très apprécié.</t>
  </si>
  <si>
    <t>Chauffe rapidement Je l'utilise pour chauffé mon eau de vaisselle pas besoins de faire coulé l'eau inutilement</t>
  </si>
  <si>
    <t>Très belle qualité Quand vous recevez votre produit, vous savez déjà que vous ne vous êtes pas trompés. L'emballage est de belle qualité. Et la brosse? Aussi !!! Produit très soigné avec sa petite housse de rangement, la brosse fait très bien son boulot. Elle a rendu une seconde jeunesse à plusieurs de mes chaussures en cuir. Produit conseillé !!!</t>
  </si>
  <si>
    <t>Qualité moyenne Qualité moyenne des doutes sur la durée</t>
  </si>
  <si>
    <t>cartouche 903 XL // Hewlett Packard Je viens d'acheter une imprimante Hewlett Packard Jetpro 6970 . Je suis particulier et non professionnel et je n'utilise mon imprimante qu'occasionnellement / Je suis maintenant obligé des cartouches noires (903 XL) , soi disant XL, tous les 15 jours !!! (j'avais une canon avant et c'était seulement tous les 2 mois ... ) les cartouches coûtent une fortune ! Je déconseille fortement ce produit !</t>
  </si>
  <si>
    <t>Très déçu J'ai acheté mon VideoMic Pro et une deadcat chinoise pas chère en même temps. Quand il y a pas mal de vent, ça s'entend un peu dans l'enregistrement. Donc j'ai trouvé ça normal de payer 20 balles pour l'original en pensant naïvement qu'elle serait plus efficace que la copie chinoise. Et bien non ! L'original est PIRE que la copie chinoise moitié moins chère ! Si j'ai mis une étoile, c'est parce que l'original s'enfile et se retire bien plus facilement que la copie chinoise. Autant dire que pas d'étoile c'était pareil... Oui, très déçu. D'ailleurs, je vais m'acheter des chaussettes en coton. Pour le micro hein, pas pour moi !</t>
  </si>
  <si>
    <t>Petits et légers Cela fait 2 semaines que je les ai reçus et j'en suis assez satisfaite. Bien moins encombrant que des écouteurs circum-auriculaires à arceau que je possède également (Mpow P59), il me tient aussi moins chaud puisque les écouteurs sont des intrants qui se glissent dans le trou de votre oreille ! Grâce aux 4 paires de caoutchoucs protègeant l'intrant et les 3 paires "d'ailettes" pour les maintenir en place dans le pavillon : cela devrait convenir au plus grand nombre d'utilisateurs (je me suis aidée de la photo dans le descriptif du produit pour savoir comment devaient être installés ces "ailettes" car il n'y a aucune explication, à ce sujet, dans la petite notice jointe, juste comment appairer avec son smartphone/sa tablette). Ces "ailettes" ne gênent en rien le port de ces écouteurs bluetooth ; ne pratiquant pas de course à pied, j'ignore comment il se comporte lors de la pratique d'un sport ! Certes les températures caniculaires, de ces derniers jours, nous font transpirer mais je doute que cela suffise à vraiment confirmer sa capacité à supporter l'eau !  Sinon, je n'ai eu aucun problème pour l'appairer (le connecter) que ce soit à mon smartphone ou à ma tablette : cela s'est fait en quelques secondes, je n'ai même pas eu besoin d'entrer le code par défaut donné dans la notice. La qualité du son est plutôt au rendez-vous : correcte, ni trop aigu ni trop grave, pas besoin de trop monter le volume ni pour la musique, regarder un film ou entendre son correspondant lors d'un appel ! Par contre, notre maison est assez petite (75m2) et ancienne, ses murs sont en brique : pourtant, contrairement à son grand frère à arceau, dès que je change de pièce (je serai à environ 4-5m de mon smartphone), le casque perd assez vite le contact bluetooth ! Et finit même par se déconnecter pour se reconnecter, tout seul, comme je me rapproche ! Enfin, 1 fois sur 2 environ. J'estime son autonomie à environ 6 à 8h ; il se recharge en 1h30 environ (le mien avait déjà 80% de charge lorsque je l'ai reçu !). Micro différence avec l'autre : la LED sera blanche en fonctionnement, blanche et orange pour appairer, orange quand en charge alors que j'étais habituée au bleu ! Je chipote car cela ne gêne en rien. La petite pince à glisser le long du câble est bien utile pour qu'il reste en place : pour moi, elle est proche de l'interrupteur à triple boutons de commande, ainsi je ne le cherche pas. 1 bouton pour augmenter le volume sonore et 1 pour le baisser : si vous maintenez enfoncé quelques secondes l'un ou l'autre vous avancerez ou reculerez la plage musicale. Le bouton du milieu permet d'allumer ou d'éteindre les écouteurs, de mettre en pause ou en play la musique ou votre film. Une voix féminine vous indiqué dans quel état se trouve le casque , en anglais. Si vous coupez le bluetooth sur le smartphone/la tablette, le casque s'éteindra tout seul dans les 5 à 10 minutes. Le port USB, pour la recharge, est protégé par un petit volet (l'ouvrir doucement pour ne pas risquer de l'arracher) : c'est du micro USB. Il est vivement recommandé de ne PAS utiliser de chargeur ayant une intensité supérieure à 5V sous peine de risque de surchauffe voire d'incendie (c'est indiqué sur le câble de charge livré avec !). Perso, j'utilise le chargeur d'un smartphone et tourne la LED de façon à surveiller le temps de charge ! Vous aurez aussi un petit étui rigide livré avec pour y ranger votre casque et son câble (petit filet dans le couvercle pour l'y glisser). Je recommande ce produit à rapport qualité prix plus que correct (lors de ma commande, j'avais un bon de 2€ de réduction, ça fait toujours plaisir ;-) )</t>
  </si>
  <si>
    <t>correct une lessive comme une autre le parfum ne reste pas longtemps sur le linge</t>
  </si>
  <si>
    <t>Manque deux crayon Très bien pour commencer dommage qu'il manque deux crayon d'où le 4sur5</t>
  </si>
  <si>
    <t>Bon rapport qualité prix Sympa, joli cartable moderne !</t>
  </si>
  <si>
    <t>Un produit satisfaisant Bonsoir, grâce à trnd j'ai pu tester la gamme papier toilette Humide de Lotus à l'aloe vera.Un papier toilette humide que l'on utilise en complément d'un papier toilette traditionnel (sec). Cela permet un meilleur nettoyage, une sensation de fraîcheur et une meilleure hygiène. Ce papier est très doux, sans alcool, sans colorant avec un ph neutre donc pas d'irritations ni de démangeaisons ; il respecte la peau. Ce produit est très pratique si on l'utilise à l'extérieur, il est jetable dans les toilettes (sauf broyeur) car biodégradable... c'est donc un plus par rapport aux lingettes. Essayez et vous le constaterez par vous même.</t>
  </si>
  <si>
    <t>Couleur fausse :/ Pratique, solide, passe partout. Incontournable du sac à langer. La couleur n'est pas la même que sur l'image présentée. En réalité c'est plus gris que bleu.</t>
  </si>
  <si>
    <t>Très bon casque Bonne finition, bon casque, la réduction de bruit est bonne sans être excellente. Après un certains temps, on ressent le port du casque par la pression exercée sur le haut du crâne sans que cela ne soit génant : il suffit de le déplacer un peu et la sensation disparait immédiatement.</t>
  </si>
  <si>
    <t>Super produit Très bon produit je trouve qu'il taille grand mais c'est beaucoup mieux.</t>
  </si>
  <si>
    <t>une paire d'asics Produit de qualité, réception en temps et en heure et bien sur la qualité ASICS, la taille est parfaite en 49</t>
  </si>
  <si>
    <t>Bonne qualité Taille petit</t>
  </si>
  <si>
    <t>34€, que dire ? :-) 34,00€ pour une paire de Vans affiche à 85,00€ sur le site officiel! Que dire de plus ? Produit original, pas une contre façon (ce qui m’es déjà arrivée de recevoir). Parfait 👍🏼</t>
  </si>
  <si>
    <t>Top! Très joli et hyper pratique Je remercie tout les commentaires que j’ai pu lire car c’est vrai qu’on peux faire de grand biberon avec un quel compartiment Les couleurs sont pastels et trop belles</t>
  </si>
  <si>
    <t>Très bien rien  à dire, très bien.</t>
  </si>
  <si>
    <t>Bon produit Beaucoup de poches tres pratique</t>
  </si>
  <si>
    <t>cartoucche de marque HP Cartouche de marque HP très bonne qualité ne pas acheté des générique en aucun cas méme pour un prix réduit cela n'en vau pas la peine c'est néfaste pour nos imprimentes.</t>
  </si>
  <si>
    <t>Super Elles tiennent bien aux pieds, les pads en gel font bien le travail. J'aime les couleurs et le confort.</t>
  </si>
  <si>
    <t>Rien à redire On avait toujours des grumeaux dans le bib car lait épaissi , donc pas top pour l'enfant car perte de lait et en plus se coincé dans la tétine. On la reçu hier et du coup essayé directement et bien top, plus de grumeaux et  elle se fatigue moins pour tétée et le lait est beaucoup plus fluide. Franchement pas déçu, je recommande.</t>
  </si>
  <si>
    <t>Belle basket Très contente de mon achat, livraison, emballage, qualité, taille (pour ma part j'ai pris un 37 qui est ma pointure habituelle) et elles chaussent parfaitement. Confortables et légères. Je recommande.</t>
  </si>
  <si>
    <t>Parfait Rien à dire</t>
  </si>
  <si>
    <t>Pull femme Pull femme très élégant et moderne sa matière est très agréable à porter et marque la taille c’est le top.</t>
  </si>
  <si>
    <t>Pas assez grand Sans avoir utilisé l'appareil j'ai juste mis 2 pain de mie pour voir si l'on peut faire un croque et l'appareil ne s'ouvre pas assez pour l'épaisseur.. alors en rajoutant à l'intérieur les ingrédients, impossible.. de plus il est un peu peur les pain de mie sans croute ok mais le pain céréale ou spécial sandwich dépassent..</t>
  </si>
  <si>
    <t>Je cherche encore l'adhérence! Et bien pour le coup super déçu!  Utilisation pour coller une petite figurine en bois peint qui doit faire 50 g sur un mur peint et figurine qui tombe  a peine 30 mn après l'avoir coller! Bien sur avant de coller, nettoyage a l'alcool à bruler de la figurine et du mur.</t>
  </si>
  <si>
    <t>Fragile Magnifique bijoux mais très fragile</t>
  </si>
  <si>
    <t>Couleur trop salissante Chaussure très agréable avec sa fourrure synthétique bien étanche dommage que la couleur soillle trop salissante mais cela explique surmment ce prix si actractig</t>
  </si>
  <si>
    <t>Huile d'amandes douce Bien reçu,  cette huile est comme toute autre,  aucune odeur, difficilement absorbe par ma peau,  je l'utilise pour effacer mes vergetures apparemment c'est efficace,  j'attend devoir les resultats.</t>
  </si>
  <si>
    <t>Simple, mais efficace A un tel prix, on ne peut pas dire beaucoup de mal de ce jack. Il fait ce pour quoi il est fait, et est livré dans un packaging très simple mais soigné. En revanche, j'ai relié ma guitare électro-acoustique à mon ampli et si j'ai le malheur de bouger un petit peu l'embout du câble relié à la guitare, des grésillements se font entendre et c'est dérangeant.  Du coup, je comprend le prix intéressant mais dommage quand même pour le défaut. :/</t>
  </si>
  <si>
    <t>chaussure montantes Chaussures très solides mais je ne sais pas si elles sont waterproof de couleur marron très belle paire de chaussures montants</t>
  </si>
  <si>
    <t>Avis Produit conforme à mes attentes</t>
  </si>
  <si>
    <t>wealsex Basket Montante Compensées Femme Scratch Conforme à la description ces baskets sont très confortable</t>
  </si>
  <si>
    <t>Bien Conforme à l’annonce et très doux</t>
  </si>
  <si>
    <t>Adaptées pour le sport Conforme à la description, bonne qualité de coton pour faire du sport. Livraison rapide</t>
  </si>
  <si>
    <t>Bracelet Océan Joli rendu pour ce bracelet, les cristaux sont de très belle couleur et la longueur est juste ce qu'il faut pour mon poignet ; c'est vrai qu'il est fin...</t>
  </si>
  <si>
    <t>Super tétine Le débit de ses tétines est génial. Mon fils les adorent.</t>
  </si>
  <si>
    <t>Très efficace Cela va changer la vie des allergique aux acariens/poussière comme ma fille et moi. Facilement maniable et léger. Mode d'emploi a la traduction approximative mais tellement simple d'utilisation que ce n est pas grave. Une belle longueur de fil. Il passe du rouge au vert pour prevnir que c'est propre. Comme la dame du haut qui a laissé un commentaire. Je fais mes rideaux. Canapé. etc. A l'aspirateur et je pensais bêtement que cela suffisait mais quand je vois ce que cet appareil a sorti comme cochonnerie je reste sans voix. Vraiment un très bon produit de bel facture et solide</t>
  </si>
  <si>
    <t>Très bien merci Très bien merci</t>
  </si>
  <si>
    <t>Etui pour carte grise de voiture Les dimensions de cet étui sont parfaites pour mettre la carte grise des voitures (France et Europe). Le plastique est un peu rigide (il faut un peu plier la carte pour l’insérer complétement).</t>
  </si>
  <si>
    <t>Tres bien Très bon rapport qualité prix. Mines assez épaisses pour colorier des grandes surfaces. Ne tachent pas les vêtements, feutres lessivables.</t>
  </si>
  <si>
    <t>Très bonne achats J ai acheté se sac isotherme pour le goûter de mes enfants il et très pratique et jolie conforme à la description</t>
  </si>
  <si>
    <t>Top Déjà acheter y’a lgp et jamais déçu</t>
  </si>
  <si>
    <t>Parfait! C'est pour remplacer le goupillon abîmé et il est identique à celui acheter à la naissance de mon petit bout. Très bonne qualité. Pour référence, nous avons dû le remplacer après 20mois de nettoyage intensif de biberon.</t>
  </si>
  <si>
    <t>Ok Cadeau</t>
  </si>
  <si>
    <t>Oh qu'il est bon, qu'il est bon, qu'il est bon mon goupillon ! En anglais : everything's well ! En français : just perfect !</t>
  </si>
  <si>
    <t>Un casque confortable pour usage à l'intérieur En dehors des qualités sonores (casque fermé neutre et fidèle) C'est un casque qu'on peut porter assez longtemps sur la tête car il n'appuie pas sur les oreilles et il est léger. Je m'en sers simplement pour m'isoler du bruit ambiant lorsque je veux me concentrer et parce que je ne supporte pas les casques à annulation de bruit comme le Sennheiser PCX250 (bourdonnement).  En revanche privilégier avec ce casque AKG une utilisation à l'intérieur car il n'est pas fait pour se promener. Si je dois sortir je préfère mon Sennheiser HD25 qui est moins confortable pour une longue séance mais qui tient bien en place sur la tête une fois les arceaux dédoublés.  Enfin je déconseille tout casque de cette qualité pour simplement écouter des MP3, ils ne pardonnent pas les imperfections. Avec un bon casque il faut écouter un son de qualité c'est à dire FLAK ou APE au lieu de MP3 (à la limite un OGG bien encodé)</t>
  </si>
  <si>
    <t>Se déforme vite Bon rapport qualité prix mais se déforme rapidement . . Arrive serrer et au bout de quelque jour trop grand .</t>
  </si>
  <si>
    <t>Déçu J’ai acheté les mêmes en bleu elles n’ont strictement rien à voir les bleus sont légèrement fourré à l’intérieur et les noirs ne le sont pas quand on niveau de la taille je fais du 43 on dirait du 42 1/2 j’en avais besoin je les ai quand même mis mais j’aurais dû la retourner très déçu ne prenait pas de 43 noir</t>
  </si>
  <si>
    <t>Erreur dans la livraison J'ai reçu deux bandes les mêmes... Résultat ça ne sert à rien puisque qu'aucune adhérence du Velcro</t>
  </si>
  <si>
    <t>Bonne chaussure Bonnes chaussures, jolies.. Bien pour le Tp, un peu rigide pour la conduite de camion. 4 mois d'utilisation quotidienne, les semelles se remplissent facilement dans les terrains lourds. Ne débourrent pas facilement, cramponage trop étroit.</t>
  </si>
  <si>
    <t>Parfait Très bon produit. Pas de surprise, les mêmes qu en magasin sauf que pour une fois les grandes tailles sont disponibles.</t>
  </si>
  <si>
    <t>convient tout à fait convient tout à fait, en même temps quand on prend de l'origine on ne se trompe pas à recommander sans problème, juste la livraison qui est un peu longue et en plusieurs colis</t>
  </si>
  <si>
    <t>Très bonne sacoche Très bonne sacoche, qui à l'air bien robuste que du bon. J'ai juste était surpris par sa taille qui je pensais était un peu plus petite.</t>
  </si>
  <si>
    <t>problème réglage de la date cette montre nous a bcp plu mais nous rencontrons un problème avec le bouton de réglage de la date qui ne change pas.;;;</t>
  </si>
  <si>
    <t>Kayano 26 de la bombe. Le confort de la chaussure est impeccable pour ma première sortie. Moi qui es mal au talon. Pas de douleurs ressenties sur une sortie de 18km. Très très confortable. J'ai pris ma pointure je chausse du 44 et tout vas bien.</t>
  </si>
  <si>
    <t>Je recommande ! Tout à fait ce que je voulais pour la chambre de ma fille, joli design, bon humidificateur complété par des huiles essentielles c’est le top ! Je l’ai depuis plusieurs mois et il est toujours aussi bien. Je recommande !</t>
  </si>
  <si>
    <t>Très bien Super, vraiment esthétique</t>
  </si>
  <si>
    <t>Très bien Conforme à mes attentes</t>
  </si>
  <si>
    <t>Écouteurs de très bonne qualité ! Je suis agréablement surprise par ces écouteurs sans fils ! 👍🏻  La qualité du son est incroyable, aucun grésillement, aucun beug.  La boite en carton de rangement est très bien présentée et rangée, petite et efficace  En ce qui concerne le boitier de rechargement, il est petit, design et pratique. Il se recharge super vite et l'autonomie de la boite et des écouteur est hallucinante !  Vraiment pratique de ne pas avoir le fil qui nous gène pendant le sport, le ménage etc.. !  Il a le microphone. Possibilité de monter/baisser le volume, raccrocher, décrocher, mettre play/pause directement avec une pression sur l'écouteur.  Je recommande à 100% pour le prix, c'est vraiment de la qualité.  Et dans les oreilles, ils ne font pas tchip, pas gros. Ils sont parfaits !  Merci</t>
  </si>
  <si>
    <t>Rouleaux d'essuie tout Rapport qualité prix parfait et livraison rapide</t>
  </si>
  <si>
    <t>renouvellement de paire ancienne ; pourquoi changer une équipe qui gagne ? renouvellement de paire ancienne ; pourquoi changer une équipe qui gagne ?</t>
  </si>
  <si>
    <t>Qualité audio , &lt;div id="video-block-R3GIZMGVT726QD" class="a-section a-spacing-small a-spacing-top-mini video-block"&gt;&lt;/div&gt;&lt;input type="hidden" name="" value="https://images-eu.ssl-images-amazon.com/images/I/91IZIKnqEPS.mp4" class="video-url"&gt;&lt;input type="hidden" name="" value="https://images-eu.ssl-images-amazon.com/images/I/91798SZvjlS.png" class="video-slate-img-url"&gt;&amp;nbsp;Produit pratique léger de bonne qualité . L'avantage de ces ecouteur est le son et la bonne tenue dans les oreilles.  Je recommande vivement.</t>
  </si>
  <si>
    <t>Top Ergonomie : Pour faire des actions augmenter le volume baisser le volume musique mettre pause ça fonctionne bien, pas de souci. L'écran qui indique combien le reste de batterie c'est vraiment pratique. Ils ont une bonne tenue aux oreilles confortable ils ne font pas mal.  Leur style est joli et sobre et il ne sont pas trop gros.  Le son est de bonne qualité et ne sature pas.  Le fait de pouvoir aussi charger son téléphone est génial.  Je recommande les yeux fermés.</t>
  </si>
  <si>
    <t>Gamme complète Nous avions la cafetière et cet article de même look est top. Pratique, facile d’emploi, belle sur une paillasse de cuisine. Dans la bouilloire vous avez des marqueurs pour 1-2-3 tasses bien pensé pour un thé rapide.</t>
  </si>
  <si>
    <t>beau livre pour lecture cp beau livre pour lecture cp</t>
  </si>
  <si>
    <t>XUPING Bijoux en Forme de Coccinelle Boucles Une parure très jolie, discrete et originale pour une jeune fille qui iront à ravir. 1 produit que je recommande.</t>
  </si>
  <si>
    <t>Tres bon rapport qualité/prix/design Je l'ai commandé en taille L et je mesure 1m81. Il taille parfaitement bien.  Au premier abord il parait serré mais c'est la coupe qui est évasive au niveau de la taille et serrée au niveau des tibias. Bref super look et super confortable. Je le porte au quotidien et suis plus que jamais satisfait de mon achat. A recommander sans hésiter.</t>
  </si>
  <si>
    <t>Parfait. Parfait. Excellent rapport qualité/prix</t>
  </si>
  <si>
    <t>magnifique magnifique</t>
  </si>
  <si>
    <t>Dommage que sa lui plaît pas Dommage que sa lui plaît pas</t>
  </si>
  <si>
    <t>Très déçu Tres déçue il faut avoir un poignet d’une enfant de 7 ans pour le mettre c’est impossible!!! En plus il est très cher pour ce que c’est très mécontente</t>
  </si>
  <si>
    <t>bon produit je l'utilise maintenant depuis quelques soirs mais il faut trouver la bonne position pour le faire tenir pour le haut du dos. sur une chaise pas évident il glisse. avec un oreiller pas forcément évident non plus, le coussin est tout de même très épais (ce qu'on ne voit pas sur la photo de présentation).la chaleur est un plus cependant. il tourne dans un sens puis dans l'autre et parfois c'est un peu douloureux sur certaines tensions mais ça détend tout de même</t>
  </si>
  <si>
    <t>manches un peu longues les manches sont un peu longues (nous ne sommes pas des singes ni des géants) très très doux et agréable</t>
  </si>
  <si>
    <t>Efficace et joli Très bonne chaussures, efficace et pas moche comme les autres modèles de sécurité</t>
  </si>
  <si>
    <t>Bien Ce casque est génial mais encore beaucoup d’amélioration devrait être fait</t>
  </si>
  <si>
    <t>Très confortable Le confort d'un chausson et la classe d'une belle chaussure typée street/sport. Première paire pour moi, j'en suis ravi au pont d'en avoir pris une deuxième pour plus tard :D</t>
  </si>
  <si>
    <t>Quelques remarque Dommage qu il ne soit pas plus ferme car de l eau passé par dessus et ça serai bien que les rouleaux du fond tournent avec le moteur sinon il est tres bien</t>
  </si>
  <si>
    <t>Très bon produit pratique d'utilisation. l'eau est très rapide et le bruit est très faible. La bouilloire se nettoie très bien, pour la détartrer, rien de plus simple, un peu de vinaigre blanc mélangé à de l'eau que l'on fait chauffer et on rince bien sûr. En résumé, je l'utilise plusieurs fois par jour et j'en suis très satisfait</t>
  </si>
  <si>
    <t>Belle petite montre unisexe Cette montre est simple,discrète,elle est parfaite et peu convenir à homme ou femme sans problème. Réglages ultra facile.Cadran bien lisible.</t>
  </si>
  <si>
    <t>Parfait Je l'ai acheté pour le côté pratique des poches et je suis ravie, il est confortable et la taille monte bien haut parfait pour un petit ventre...</t>
  </si>
  <si>
    <t>Bien Superbe sacoche un peu rigide mais fonctionnelle</t>
  </si>
  <si>
    <t>Plaisir C'est une très belle montre</t>
  </si>
  <si>
    <t>Très efficace Très efficace pour tous les éléments du biberon. Max 6 biberons</t>
  </si>
  <si>
    <t>Huile essentielle Très bien</t>
  </si>
  <si>
    <t>Satisfaite J'apprécie de pouvoir commander ce produit sur Amazon en gros lot à prix attractif. Ce papier toilette est très bien pour un usage quotidien, les rouleaux "Aquatube" se dissolvent dans l'eau. Je recommande cet article.</t>
  </si>
  <si>
    <t>Tres bizn pour le prix rien a dire , j'ai recu ce que j attendais</t>
  </si>
  <si>
    <t>Super bouilloire ! J'ai cette bouilloire depuis 2007 ! Elle n'a jamais lâché ! J'en ai donc acheté une pour ma mère qui est ravie également. Pour moi un plus de cette bouilloire : on peut poser la main sur les côtés pour évaluer la température sans se brûler alors que bien d'autres bouilloires sont en métal et le risque de brûlure n'est pas négligeable à mon avis. Je la recommande pour sa longévité, son isolement et pour son bec verseur qui ne goutte pas !</t>
  </si>
  <si>
    <t>Très bien De beaux bracelets pour pas cher</t>
  </si>
  <si>
    <t>Plus que contente ! Géniallisime ! Très belle ! Très jolie lumière ! Diffusion des HE agréable ! Très facile d'utilisation. Un petit objet qui ne prend pas de place et fait une jolie déco :)</t>
  </si>
  <si>
    <t>Super Super gommettes pour des jeunes enfants. Faciles à décoller, manipuler. Cela les a bien occupés !</t>
  </si>
  <si>
    <t>bague magnifique ma fille adore sa bague</t>
  </si>
  <si>
    <t>Très mediocre Le son est vraiment horrible,je ne comprend pas les commentaires élogieux,ces personnes doivent êtres a moitié sourdes ou n avoir jamais utilisé un bon casque. Meme a ce prix ca ne vaut pas le coup,utilisé avec netflix on a l impression d ecouter le son en qualité bas débit. Le son du micro lors des appels est catastrophique.</t>
  </si>
  <si>
    <t>La qualité de fabrication Acheté en février le micro ne fonctionne plus. Un haut parleur hs également Mettre le prix</t>
  </si>
  <si>
    <t>Mauvaise qualité Après mois ,on dirais un bijou vieux de 20 ans, l argent est devenu orange . Très moche et dessus, étant donné le prix je trouve honteux, mauvaise qualité.</t>
  </si>
  <si>
    <t>Jolie cafetière programmable Cette cafetière est plutôt jolie en rouge mais le logo de la marque est inscrit en grand sur le corps de la cafetière et sur le pichet. On s'en serait bien passé.  Si vous souhaitez utiliser la minuterie ou simplement avoir l'heure sur votre plan de travail, il faut régler l'heure avec les touches sous l'afficheur.  Si vous voulez un café bien chaud dès votre réveil, il faut programmer l'heure que vous souhaitez comme pour un réveil.  Le pichet permet d'obtenir environ une dizaine de tasses, ça me parait bien suffisant. La cafetière maintient au chaud le café pendant 40 mn. Si vous avez l'habitude de boire du café réchauffé tout au long de la journée, il faudra appuyer sur le bouton réchauffage à chaque fois.</t>
  </si>
  <si>
    <t>sacs poubelles moyennement résistants manque d'étanchéïté en cas de boissons ds le sac , fermeture très pratique, s'ouvrent et se déchirent si trop remplis</t>
  </si>
  <si>
    <t>Bien Confortable, sèche rapidement,  mon compagnon est plutôt satisfait. Je les avais déjà acheté y a 6 mois, donc la durée dans le temps, mitigé.. mais agréable à porter.</t>
  </si>
  <si>
    <t>Enfin des bagues bien ajustées Pour rétrécir des bagues !</t>
  </si>
  <si>
    <t>De jolies, légères et fines plumes Elles sont conformes à la photo et sont très légère à porter. Petit bémol pour la fermeture, ayant des petits problèmes physiques j'ai rencontrées quelques difficultés avec la fermeture. Mais malgré cela je les conseils elles sont superbes et fines.</t>
  </si>
  <si>
    <t>bijou bijou très beau majgrès le fait qu'on ne peut pas enlever la chaIne</t>
  </si>
  <si>
    <t>Correct Correct mais pas fou non plus</t>
  </si>
  <si>
    <t>Belle qualite Parfait très beau produit de qualite Trè beau tissus a recommander.  Produit chère mais très très belle qualite parfait parfait</t>
  </si>
  <si>
    <t>Elégantes et confortables Le produit correspond parfaitement à la description</t>
  </si>
  <si>
    <t>Très drôle et beau Incontournable pour soirée entre amis ! Super qualité et différents modes pour changer de voix ! On peut le brancher directement sur le téléphone pour un effet karaoké en mettant des vidéos sur YouTube par exemple, la musique sort du micro, c’est top !  Vraiment très drôle pour chanter sur nos musiques préférées, pour offrir (ou a garder pour soi !). En plus de ça le micro est vraiment beau 😍 J’adore !!!</t>
  </si>
  <si>
    <t>Pas mal du tout! Un Beau sweats,je l'ai pris en violet,menthe,et turquoise il y a du choix!,la matiere est agréable.Bien pour le sport.prix correct</t>
  </si>
  <si>
    <t>Bouilloire Bonne bouilloire, fait le taf pour pas trop cher, le plus de cette bouilloire c'est que l'eau n'entre pas directement en contact avec la résistance ce qui fait que le calcaire ne s'accumule pas. A bien nétoyer avaant la premiere utilisation (faire chauffer une ou deux fois l'e)</t>
  </si>
  <si>
    <t>HM37 J'adore très bonne montre solide fonctionnement impéccable, à voir sur la durée.avec le radio-pilotage elle est toujours à l'heure, dans l'obscurité il vous suffit d'une rotation du poignet pour q'elle s'illumine.</t>
  </si>
  <si>
    <t>Avis Très satisfaite!Cafetière robuste et esthétique!Fait un bon café très chaud. Passe rapidement. Le maintien au chaud 40mn:super. Par contre j aimerais avoir l avis d autres utilisateurs:lorsque je jette le filtre utilisé il est très humide et le café coule:normal??</t>
  </si>
  <si>
    <t>Je suis entièrement satisfait de cet achat. Je suis entièrement satisfait de cet achat. Ce casque est très facile d'utilisation pas de problème de couplage bluetooth et très bonne autonomie.</t>
  </si>
  <si>
    <t>Au top Envoie rapide et produit conforme.</t>
  </si>
  <si>
    <t>Très chaudes chaussettes, légères et douces J'ai acheté ces chaussettes non pour faire de la randonnée mais simplement pour me protéger du froid. Elles sont vraiment efficaces, douces et légères, très agréables à porter.  Par contre, bien penser pour le lavage à les mettre dans la machine à l'envers sinon elles peluches. J'avais oublié de le faire pour une paire 😕, j'espère que cela n'enlèvera en rien de leur efficacité. C'est un produit que je recommande.</t>
  </si>
  <si>
    <t>Facile à utiliser J'ai reçu mes écouteurs Bluetooth hier matin et je suis entièrement satisfait, la qualité sonore est très bonne. Ils tiennent très bien à l'oreille et c'est parfait pour aller courir ou faire du vélo, la batterie tien bien je n'ai pas encore eu besoin de les recharger très bon produit</t>
  </si>
  <si>
    <t>Ambiance parfumée Ce diffuseur est facile d'utilisation, il suffit de mettre 300 ml d'eau et quelques gouttes d'huiles essentielles pour avoir une atmosphère parfumée ou pour purifier l'air. Personnellement j'adore son design avec sa finition couleur bois. En plus, on a la possibilité de régler plusieurs coloris et de changer les niveaux d'intensités. Je le recommande pour un cadeau.</t>
  </si>
  <si>
    <t>Plastifieuse complète Le laminoir, fonctionne a chaud comme a froid, la progression du document est géré par un convoyeur qui assure la bonne vitesse de passage.  Sur le dessus un cuter sur 30 cm permet les coupes droites, de plus le support est imprimé d'une règle, compas etc pour ajuster au mieux nos coupes.  Deux accessoires sont fournis : -Un arrondisseur de coins : sur le modèle d'une perforatrice cet outil permet d'eviter de garder les coins brut et de faire un arrondi d'un simple poinçon (Attention bien laisser le document refroidir pour un fonctionnement parfait) -Une perforatrice, je n'ai pas utilisé n'utilisant pas de classeur mais je ne doute pas que certains en auront l'usage.  Des consommables en nombre important sont fournis avec des pochettes de toutes tailles, ainsi qu'un petit kit créatif (non testé pour ma par) pour faire une guirlande de cadres photos des anneaux pour accrocher les créations etc...  Tout les formats passent sans problème jusqu'au A3 et le chariot guide les documents bien droit, malgré que je soit un parfait debutant mes premières créations sont impeccables.</t>
  </si>
  <si>
    <t>la qualité Très beau collier répondant a ce que je souhaitais je recommande</t>
  </si>
  <si>
    <t>déçu ce n'est pas le même que j'ai vu Bonjour je suis déçu ce n'est pas le même que j'ai vu normal sur le sweat il devais avoir un logo avec marquer vogueland et sur celui là rien dommage.</t>
  </si>
  <si>
    <t>Température non réglable ! Je pensais que la température était réglable et qu'on pouvait choisir les degrés précis mais ce n'est pas le cas. On peut seulement faire chauffer de l'eau sans la faire bouillir mais on ne peut pas faire pile à 65, 75 ou 90 degrés.</t>
  </si>
  <si>
    <t>Semelle intérieur non conforme J'ai commandé le modèle avec le revêtement intérieur du talon en cuir Beige, et j'ai reçu à la place un modelé avec un revêtement en toile blanche (bas de gamme).  Donc j'ai payé plus cher pou un produit moins cher !  Décéption.</t>
  </si>
  <si>
    <t>Jolie Un peu haut pour une fille de 10 ans Sinon elles sont très jolies</t>
  </si>
  <si>
    <t>bonne chaussure mais .... chaussure confortable et bien adaptée à un usage intensif, malheureusement fort salissantes à l'usage ( la saleté a tendance à s'accrocher et non pas à glisser de la chaussure )</t>
  </si>
  <si>
    <t>Bien Chaussons pour l'hiver et qui tiennent chaud. Ils sont plutôt agréables au pied et taillent normalement. Ils perdent cependant un peu la laine qui se trouve à l'intérieur. C'est peut être parce qu'ils sont neufs. J'espère qu'ils tiendront plus d'un hiver.</t>
  </si>
  <si>
    <t>Bouilloire Super appareil et facile d'utilisation</t>
  </si>
  <si>
    <t>satisfaite L'album reçu est en bon état, conforme à la description. assez de place pour mettre des commentaires sur le côté :) Attention à l'emballage peu présent qui augmente le risque de dégâts. Bien que pour ma part tout soit ok.</t>
  </si>
  <si>
    <t>satisfait conforme à ma commande... satisfait.</t>
  </si>
  <si>
    <t>Très bien Trop confortables</t>
  </si>
  <si>
    <t>Basket femme Les baskets sont super très souple  on marche très bien dedans la couleur est super rien à dire</t>
  </si>
  <si>
    <t>Entreprise très sérieuse Très satisfait de mes commandes</t>
  </si>
  <si>
    <t>Une incroyable aventure Elle est magnifique comme dit ma femme on dirait une montre gousset en or. Elle fait classe Rothschild mec du 7e ou 16e arrondissement , Pour un petit petit prix , plus petit prix que ça ce n'est pas possible , on dirait que cette montre gousset a été faite par l'un des plus grand joaillier de Paris. Alors que je porte essentiellement des montres Hyper bas de gamme plastique ferraille  en plus au prix de 25 à 35 €  style supermarché alors je vous dis pas le jour de mon anniversaire , quand j'ai vu cette belle et merveilleuse chose devant moi je n'en revenait pas de mes yeux, je me disais qu'ils avaient dû mettre une fortune pour m'acheter une montre comme celle-ci , comme je n'arrivais pas à m'en remettre , ils ont été obligé de me faire voir d'où elle venait est le prix de cette montre ( c'est pas facile d'avoir le cœur fragile ) .</t>
  </si>
  <si>
    <t>Rien à dire, tout est parfait La montre est identique à la présentation, très bonne qualité, lourde (signe de qualité) plus belle en vrai qu'en photo, elle avance de seulement 6 secondes par jour (constaté sur 12,5 jours précis soit une avance de 76 secondes) Très belle boite jaune, je ne regrette pas mon achat, j'espère qu'elle tiendra longtemps Pour les indécis foncez</t>
  </si>
  <si>
    <t>👍 Ok</t>
  </si>
  <si>
    <t>bon produit reçu rapidement, conforme à la description, taille idéale pour un enfant de 13 ans. Pas besoin de payer le prix fort pour un produit de qualité.</t>
  </si>
  <si>
    <t>Découverte Je suis une fan des crayons Arteza ceux là sont très bien aussi Choix de couleurs, belles pigmentations, ni trop gras ni trop secs c est parfait Correspond à mes attentes, ils sont proches des Arteza et Faber Castell Je recommande ce produit</t>
  </si>
  <si>
    <t>parfait Rien a dire parfait</t>
  </si>
  <si>
    <t>basquette à moindre cout le sport, les sorties avec mes basquettes  quel confort</t>
  </si>
  <si>
    <t>Conforme Tennis de ville</t>
  </si>
  <si>
    <t>Produit non toxique et peu cher Nettoyage de vitraux et argenterie</t>
  </si>
  <si>
    <t>Pochette période maternelle. J'ai acheté ce paquet afin de compléter ce qu'il me restait en classe pour créer des pochettes par période pour mes élèves. Elles sont très bien, solides, colorées.</t>
  </si>
  <si>
    <t>Très classe. Mais prendre 2 tailles au-dessus. Magnifiques ! Attention juste à la taille : je fais du 39 en taille française et j’ai commandé EUR 41-42. Et c’est parfait.</t>
  </si>
  <si>
    <t>Parfait, rien a dire conforme à l’image de la marque Produit conforme à la description, très belle, fonctionne parfaitement.</t>
  </si>
  <si>
    <t>Je recommande à 100% ce produit Le design est très moderne. Les écouteurs sont assez long. La qualité sonore est juste excellente, de très bonne bases et très bon aigus. Le son est excellent, très bonnes basses sur ces écouteurs. Bref, un produit extremement bien concu et etudie, le tout dans un design sobre, epure et elegant.</t>
  </si>
  <si>
    <t>T shirt l'evis Trop cher pour la  qualité  du tissu.  Je suis déçu  de mon achat .si non livraisons  très  rapide  que c in bon poin</t>
  </si>
  <si>
    <t>Que le produit soit de bonne qualité J'ai acheté se produit et je ne comprends pas ne l'ayant pas mis de suite en ayant encore donc pourquoi lorsque j'imprime cela me donne une couleur rose sur l'ensemble je ne suis pas contente car je prends toujours HP authentique et là ?????déçue</t>
  </si>
  <si>
    <t>La pointure ne correspond pas, il faut prévoir une taille supérieure Je n’ai pas pu, car trop petit</t>
  </si>
  <si>
    <t>Bien ! Papier toilette très correcte. A le bon goût de ne pas percer, contrairement à d'autres ... Un peu cher, toutefois !</t>
  </si>
  <si>
    <t>Très bonne impression Cet article rempli bien sa fonction. Pas trop bruyante, un seul petit bip quand la température est atteinte. 6 températures préréglées permettent une mise en route rapide. L'eau (en bouteille) n'a aucun gout, le thé est parfait. Bonne conception avec le niveau d'eau sur le coté et éclairé donc bien visible. La capacité 1.5 litre permet de faire plusieurs tasses sans avoir un appareil trop volumineux. Bref, jusqu'ici on ne lui trouve aucun défaut, à part qu'il vaut mieux la débrancher entre 2 usages (voir notice). Question fiabilité nous verrons avec le temps.</t>
  </si>
  <si>
    <t>TRÈS BON J'utilise ce casque pour la télé car je ne comprenais pas tout ce qui se disait dans les films et je cassais les pieds à tout le monde à force de demander qu'à t- il dit? Il est branché sur la live box de sosh en analogique et le rendu d'écoute est très bon. J'ai essayé tous les combinaisons d casque et finalement je l'utilise sans bass ni surround. J'ai de grandes différences entre les aigus et les graves aux deux oreilles et c'est dans cette configuration que j'entends le mieux. Maintenant je n'emmer.... plus personne quand on regarde un film. Je mets 4 * à cause des boutons sur le côté du casque, pas pratique du tout pour tomber sur le bon bouton, voire même enlever le casque pour voir où il est, peut-être avec le temps mais j'aurais préféré des molettes. Après on ne règle pas son casque toutes les 5 minutes et heureusement les boutons de volumes sont les plus faciles à trouver. A part cela c'est un très bon casque et je ne regrette absolument pas mon achat. Voilà que est dit!!!!!!!</t>
  </si>
  <si>
    <t>J'adore ! Arrivée 1 jour avant la date prévue, emballée dans une enveloppe à bulle et un carton cadeau en sup. Elle est fine, très légère, peut être un peu trop fine d'après mes souvenirs, car j'en ai eu une à sa sortie. Le réglage est simple, fait sans regarder le notice. Pour info, la notice est en anglais. Mais je la voulais, je l'ai. Je recommande. Après une semaine de mise au poignet, pas de trace suspecte sur la peau.</t>
  </si>
  <si>
    <t>très comfortable Chaussons chauds et confortables. Je n'ai pas mis 5 étoiles parce que j'ai deja l'impression que la mousse se tasse à l'intérieur après un mois. A voir à l'usure</t>
  </si>
  <si>
    <t>Cadeau idéal La personne a beaucoup aimé. Et comme moi ne les quitte plus à la maison</t>
  </si>
  <si>
    <t>Très bonne Très bonne</t>
  </si>
  <si>
    <t>Eastpak Eastpak reste eastpak Rien à redire.</t>
  </si>
  <si>
    <t>Très pratique! Egouttoir facile à monter, à nettoyer et esthétique. Peut contenir 8 biberons et les 8 tétines sur des broches différentes. Tout aussi efficace pour y accrocher des teuteutes, le goupillon, ... L'eau est récupérée dans le bac récupérateur en dessous. Se démonte facilement pour le nettoyage.</t>
  </si>
  <si>
    <t>Super produit Vraiment le top !</t>
  </si>
  <si>
    <t>Parfait Conforme à la description.pointure exacte.produit parfait.je recommande.</t>
  </si>
  <si>
    <t>Mauvaise taille 570XL mais le vendeur a renvoyé un pack de remplacement D'habitude je n'ai aucun problème, mais cette fois la 570XL n'a pas été reconnue et elle est complètement bloquée dans le berceau (semble trop grande de quelques dixièmes de mm), je ne peux pas l'enlever. Il va falloir dévisser le haut de l'imprimante pour l'enlever sans être sûr que son emplacement  ne va pas être détérioré. Bref, il faut que je trouve un autre fournisseur de compatibles XL pour la nouvelle imprimante MG5750 que je viens de racheter en catastrophe, car j'en ai un besoin quasi quotidien. Le vendeur, avec excuses,  m'a renvoyé un pack de cassettes pour remplacement. *****</t>
  </si>
  <si>
    <t>Parfait Ecouteurs bluetooth de très bonne qualité. L'appareillage se fait sans problème et la taille est vraiment petite donc c'est plutôt discret. La qualité du son est vraiment bonne et vous permet de vous isoler tranquillement. Le plus : le boitier de rangement qui permet de recharger les oreillettes dès qu'elles sont rangées ! Le boitier se recharge avec un câble USB fournit.</t>
  </si>
  <si>
    <t>très bel objet , satisfaction totale très bien conçu au niveau du goutte à goutte qui est réparti comme il faut pour un bon résultat. de plus l'appareil se met en arrêt de lui même après un petit moment ce qui évite de surchauffer la sole ou le café qui reste: parfaitement satisfaite, je recommande</t>
  </si>
  <si>
    <t>Biberon efficace et pratique Super biberon. Avent n'a pas d'égal. Le verre est robuste et bébé adore leur tétine. Il est ergonomique et conserve la chaleur sans brûler.</t>
  </si>
  <si>
    <t>Vraiment top ! Écouteurs super pratique, possibilité d'augmenter le volume et de la diminuer en touchant l'ecouteur droit ou gauche, on peut aussi changer les musiques, décrocher pour les appels. Ils sont vraiment bien conçu, on a plus besoin de toucher le téléphone. De plus lorsqu'on les connectes au téléphone le pourcentage de charge s'affiche. Je recommande vraiment</t>
  </si>
  <si>
    <t>Je recommande cet article. Je m’en sert pour le au quotidien dans mon travail, semelles  ergonomiques à mémoire de forme agréable à porté !on peut y mettre une semelle (Medicale en plus.cela ne gaine pas l utilisation de la chaussure</t>
  </si>
  <si>
    <t>survêtement Conforme à ma demande</t>
  </si>
  <si>
    <t>Joli ensemble Personnel</t>
  </si>
  <si>
    <t>Pratique Produit conforme à ma description. Très satisfaite</t>
  </si>
  <si>
    <t>Inutile, ça tient pas pour un mur. Les photos se décollent no stop....à éviter.</t>
  </si>
  <si>
    <t>Vraiment très déçu est intitulé mensonger La sacoche n'est absolument pas en cuir mais en matière synthétique les fermetures éclairs sont super fragile une a déjà cédé alors que je viens juste de recevoir le colis grosse arnaque</t>
  </si>
  <si>
    <t>3 No comment</t>
  </si>
  <si>
    <t>Pas superbe, pas mauvais Fitness. Tissue et finnisons pas super, pour le prix, OK</t>
  </si>
  <si>
    <t>Solide, sure et fiable... Pas d'écart avec l'horloge parlante sur une journée. Attendre une semaine pour juger l'avance de moins d'une à deux minutes. Le mécanisme est protégé par une glace en saphir, un boîtier en inox étanche, un remontoir vissé ce qui le protège de l'eau et de la poussière. Pourquoi pas 5 étoiles ? Il lui manque une loupe sur la date pour mes yeux fatigués. J'accuse la montre et pas mes yeux...si vous avez vos yeux de vingt, passer outre. G.</t>
  </si>
  <si>
    <t>Biberon MAM validé par bébé Utilisant la marque MAM depuis plusieurs mois pour mon bébé, j'ai commandé ce biberon avec tétine à débit X pour renouveler mon stock. Ces biberons m'ont bien plu pour différentes raisons :  ✔️ Bébé dévore ces biberons et boit très facilement le lait à l'intérieur.  ✔️ Les tétines de débit X sont parfaites pour les bébés plus grand  (même avec un lait plus épais).  ✔️ Grosse contenance : maximum de 330 ml. Pour mon bébé, il prend des biberons de 270 ml (9 doses de lait + petites céréales : ça passe dans cette contenance).  ✔️ Le lavage est facile à faire (ça passe même au lave vaisselle)  ✔️ Livraison ultra rapide et emballage parfait.  ➖➖ Seul petit bémol mais qui se retrouve sur différentes marques de biberons : les biberons jaunissent à l'usage d'où la nécessité de les faire bouillir dans un premier temps voire de les changer au bout d'un temps plus long dans un souci d'hygiène.  ✳️ Le rapport qualité/prix est très bon selon moi. Bref, un bon produit que je recommande pour nos bébés.</t>
  </si>
  <si>
    <t>chaussons chaussettes Très agréables et confortables : il faut cependant mettre une paire de chaussettes avec, sinon on transpire beaucoup des pieds.</t>
  </si>
  <si>
    <t>Jolie collier Très tourné vers des médecines traditionnelles et autres bienfaits naturels. Je me suis déjà renseigné sur les bienfaits et méfaits du collier d’ambre. J’ai opté pour ce collier pour mon fils. Je ne pourrai pas dire si il a un effet positif mais en tout cas il le porte Fièrement</t>
  </si>
  <si>
    <t>Gomettes Très satisfaite de mon achat. Les planches sont petites mais vu la quantité de gomette et vu le prix ça vaut largement le coup surtout quand vous avez des.enfant qui adore en coller partout. Je recommande cet article</t>
  </si>
  <si>
    <t>J'adore J'adore. Et pour se maquiller le matin, quand il fait encore nuit dehors, c'est génial. Enfin une belle lumière qui ne vous fait plus rater vos maquillages 6 mois dans l'année.</t>
  </si>
  <si>
    <t>Que des sons simples Super pour des enfants qui connaissent tous les sons simples et qui débutent en lecture. Peu de livres pour ce stade d'apprentissage</t>
  </si>
  <si>
    <t>Très bonne basket Je ne pouvais pas les louper!!! J'ai pris la même pointure que d'habitude et elles sont parfaites. Très belle paire de chaussures pour un prix imbattable! Un modèle quasi parfait, chausse très bien, très confortable. Taille parfaite. Belle couleur, conforme à la photographie.</t>
  </si>
  <si>
    <t>Très content de ma commande Très content de ma commande</t>
  </si>
  <si>
    <t>superbe montre je suis trés content de cette montre, trés jolie trés solide, rien à dire</t>
  </si>
  <si>
    <t>Très bien. Très bien.</t>
  </si>
  <si>
    <t>Parfait Ce tee shirt répond à mes attentes étant un sportif du dimanche c’est mon troisième achat de ce type</t>
  </si>
  <si>
    <t>Super efficace pour la  "netteté des paroles à la TV. Ayant des difficultés pour saisir les dialogues dans les films et même les commentaires  et discussions , cela sans être vraiment sourd, car le son télé est un peu "étouffé", pas net. Avec ce casque plus de problème, c'est vraiment super, A recommander pour tous ceux qui éprouvent des difficultés d'audition TV et qui ne veulent pas monter le volume au risque de déranger leur environnement. Bon d'accord, il faut s'habituer au port du casque, mais ça ne dure pas très longtemps.</t>
  </si>
  <si>
    <t>MA-GNI-FIQUES !!! Je les adore. Alors c est mon produit coup de coeur. Des chaussures splendides et bien taillées. Pas d odeur de colle une fois deballees. Elles sont pr mon fils de 8 ans qui chausse du 37,5 j ai pris du 38 et ca lui va parfaitement. Magnifique je recommande.</t>
  </si>
  <si>
    <t>Très beau sac Très bien! Conforme à la photo. De qualité! Exactement ce que je cherchais pour offrir à mon homme. (J'espère que ça lui plaira autant). Envoi rapide et emballage soigné.</t>
  </si>
  <si>
    <t>Top ! Vraiment top ! Rien ne passe, ni froid, ni pluie. Je ne regrette mon achat mon homme est plus que satisfait. Très fonctionnelle grâce à sa poche centrale et aux 3 autres poches tout est a l'abri.</t>
  </si>
  <si>
    <t>transaction parfaite objet conforme à la description. A RECOMMANDER ABSOLUMENT! Envoi, rapide et efficace. Merci!</t>
  </si>
  <si>
    <t>Masseur Électrique Commande reçu rapidement, produit conforme à la description. Je n’ai pas assez de recule pour dire si c’est efficace. Mais agréable pour un bon massage.</t>
  </si>
  <si>
    <t>J adore Super sac !</t>
  </si>
  <si>
    <t>Très joli mais erreur de taille, alors j'en fais cadeau à ma fille. J'ai aimé la couleur, rose très claire.</t>
  </si>
  <si>
    <t>Qualité un peu juste... Déçu par la qualité générale en rapport du prix. Chaussures d'été trop fines.</t>
  </si>
  <si>
    <t>Bof Commandez une taille au dessus mais ça c'est normale pour une fringue chinoise. La qualité est plus que moyenne C'est beau en photo quoi</t>
  </si>
  <si>
    <t>Bof Un peu juste</t>
  </si>
  <si>
    <t>Du chinois ... joli mais non qualitatif Ca pue vite malgré l’entretien régulier de l’hygiene des pieds ... Mais sont jolis ...</t>
  </si>
  <si>
    <t>Belle montre élégante, pratique et d'un prix raisonnable "Look" à la fois sportif et chic, la date et le jour (en anglais). Mise à l'heure assez facile. quelques maillons enlevés avec le petit outil fourni, pour ajuster à la taille du poignet.</t>
  </si>
  <si>
    <t>Bien Bien, prix élevé quand même pour ce type de sandale</t>
  </si>
  <si>
    <t>Parfait Il est assez prêt du corp! Très bon rapport qualité prix! Sèche très rapidement Belle couleur Je recommande</t>
  </si>
  <si>
    <t>Pour ninporte quelle moment Très bien</t>
  </si>
  <si>
    <t>Contente d Amazon Très contente mais j ai deux articles que je n ais pas et paye ups ne se présente pas chez les clients du coup relais et pas à côtés de chez moi un peu déçu</t>
  </si>
  <si>
    <t>colis livré.. ...à Paravent boutique apparemment...j'avais mal lu mais ergonomie du texte pas explicite  Je m'excuse !</t>
  </si>
  <si>
    <t>Parfait Produit correspondant parfaitement aux attentes, bonne pointure, la couleur est assez agréable car le anthracite peut parfois faire peur mais ici très beau produit.</t>
  </si>
  <si>
    <t>Efficace et hygiénique Stérilisation en 8 minutes et séchage en 30 minutes, j'apprécie beaucoup cet appareil qui remplit parfaitement ses fonctions et permet une hygiène rigoureuse des biberons en évitant un séchage sur égouttoir après stérilisation. Son bémol : le prix !</t>
  </si>
  <si>
    <t>très bien conforme a la photo</t>
  </si>
  <si>
    <t>Très bon produit je le conseille fortement Très bon produit je le conseille fortement</t>
  </si>
  <si>
    <t>Impect Impect, on tendence à ce décoller avec le temps, sinon très bonne qualité d'impression</t>
  </si>
  <si>
    <t>imeccable basquette utilisation en toute circonstance et de tout temps. avec deux paires je suis en très grand confort pour ma marche au travail.très bon produit</t>
  </si>
  <si>
    <t>Vraiment top! Casque acheté pour faire mon running, qualité du son au top</t>
  </si>
  <si>
    <t>Câble OFC bien repéré +/- Câble destiné à modifier mon installation Home-Cinéma (passage de 7.1 à 9.1 ou 7.1.4). Convient parfaitement pour des enceintes surround sans trop de pertes. Le repérage est bien visible et il est en OFC (donc en cuivre et pas aluminium/cuivre). Il sera vissé dans des fiches bananes (également commandées sur Amazon).</t>
  </si>
  <si>
    <t>Non &lt;div id="video-block-R3OH3DRCQKA5ZW" class="a-section a-spacing-small a-spacing-top-mini video-block"&gt;&lt;/div&gt;&lt;input type="hidden" name="" value="https://images-eu.ssl-images-amazon.com/images/I/81sVe+juxpS.mp4" class="video-url"&gt;&lt;input type="hidden" name="" value="https://images-eu.ssl-images-amazon.com/images/I/813oRE0cNWS.png" class="video-slate-img-url"&gt;&amp;nbsp;Ce casque Bluetooth est particulièrement pratique, le son est particulièrement clair et la réception du signal est très bonne</t>
  </si>
  <si>
    <t>Super botte pour randonner Ces bottes sont hyper confortables. je suis ravie de mon achat, surtout à ce prix là. Si vous cherchez des bottes confortables , n'hésitez pas.</t>
  </si>
  <si>
    <t>Prix correct Très jolie</t>
  </si>
  <si>
    <t>le top Comme toujours aucun problème</t>
  </si>
  <si>
    <t>Superbe produit Très étonnée, plus jolie en vrai quand photo vraiment super contente !</t>
  </si>
  <si>
    <t>Ça ne sent pas la qualité Il y a effectivement comme je l'avais lu, une odeur pas top de colle, mais surtout la "mousse" à l'intérieur est collée un peu à l'arrache. Le plastique de la poignée est mou et avec de l'air dedans. Les matériaux ne paraissent pas très solides et résistants. Si en photo, visuellement on se dit que c'est un case qui peut en baver, dans la réalité, je pense que ça ne supportera pas de trop grosses perturbations ou de vrais chocs.</t>
  </si>
  <si>
    <t>Imitation Ce ne sont pas des vrais mais des imitations , j’ai été vérifié dans un magasin Van’s. J’ai tout de suite fais le retour de la fausse paire de chaussure.</t>
  </si>
  <si>
    <t>ne fonctionne plus comment la renvoyer? merci pour avoir l'heure!!!!!!!!!!</t>
  </si>
  <si>
    <t>Coloris "Noir argent" plutôt pour femme Même si ces chaussons sont relativement confortables, je n'en suis pas forcément très content. D'abord la couleur est affreuse pour un homme, c'est vraiment très pailleté. Concernant le confort, ce n'est pas du niveau de la marque Isotoner même si c'est tout à fait acceptable. Ce que je reproche principalement à ces chaussons, c'est leur capacité à stocker la poussière sur la semelle (sûrement une question de matériau) et le fait qu'ils fassent un peu de bruit (par rapport à des Crocs par exemple). Ça reste malgré tout un bon rapport qualité/prix.</t>
  </si>
  <si>
    <t>bouilloire silencieuse Silencieuse mais un peu lourde</t>
  </si>
  <si>
    <t>Joli produit La montre se présente bien, conforme à l'image mais je ne peux en dire plus car c'est un cadeau de Noël qyi n'est pas encore offert.</t>
  </si>
  <si>
    <t>COMPATIBLES!!! Cartouches compatibles avec mon imprimante EPSON  XP-315, l'imprimante me stipule juste que ce ne sont pas des cartouches d'origine il suffit juste de cliquer sur continuer et tout roule!! le seul bémol c'est que cela fait des lignes sur les photos mais seulement sur du papier classique!! Je ne regrette pas mon achat, je suis satisfaite!!</t>
  </si>
  <si>
    <t>Bon rapport qualité prix. Utilisé pour faire de l'animation . Bon rapport qualité prix. Utilisé pour faire de l'animation .</t>
  </si>
  <si>
    <t>Calendrier très complet Acheté pour mon fils de 3 ans et il a adoré. Il y a pas mal d’éléments pour le prix et notamment de grands éléments (pas seulement des petites fleurs ou accessoires)</t>
  </si>
  <si>
    <t>Un très bon investissement. Une immersion vraiment impressionnante !!! Une qualitée quasi parfaite.  En musique, on entends tout. Les instruments, les intensités... C'est vraiment impressionnant. (Pour info je suis passé d'un casque à 30euro à celui ci)  En jeux, et bien, c'est pareil. Évidemment il faut un jeu de qualité en ayant une bande son correct.  Coté transport (car il s'agit là de ça fonction première) c'est vraiment génial. Confort au top Les différentes features en fait THE casque.  Il serre très bien la tête. Offre une excellente pression (pour ma part en tout cas). Mes oreilles ne touche pas la membrane. Une sensation de liberté immense.  Je le recommande à fonds. A 300 euro c'est un gros investissement mais si vous les avez, foncez !!!!!  Au pire, souscrivez Amazon prime et renvoyer le ^^</t>
  </si>
  <si>
    <t>De qualité Très bon sac à dos de bonne qualité. La toile, les couture, les fermeture éclair tout est top. Il est plutôt esthétique avec un look plus sympa que la plus part des sac à dos basic et de grande capacité. Le portage est aussi très confortable et bien conçu.</t>
  </si>
  <si>
    <t>Top J’adore cette casquette de type baseball à l’américaine!</t>
  </si>
  <si>
    <t>bonne adhérence Placé sur le pourtour de fenêtres inclinées pour y accrocher des moustiquaires, cela a l'air de bien adhérer. Je n'utilise pas la bande velours, (la moustiquaire se scratchant elle même sur les crochets), mais n'ai pas trouvé de bandes crochets seules. Très contente de mon achat pour l'instant</t>
  </si>
  <si>
    <t>Même qualité que d'habitude Produit habituel</t>
  </si>
  <si>
    <t>correspond a mes attentes Utilisé en cours de pilates, bel esthétique et matière agréable... on ne transpire pas !</t>
  </si>
  <si>
    <t>Anneau silicon pour tetine sens boucle Rien à dire . Fait son travail. ... ses quand même solide . Va sur des sucette mam nuk ainsi que des banal sucette de Auchan</t>
  </si>
  <si>
    <t>Bon produit Livraison rapide à  l'air de bonne qualité à voir dans le temps</t>
  </si>
  <si>
    <t>Parfait Veste parfaite taille parfaite je pense en racheter une</t>
  </si>
  <si>
    <t>😃 Très bien</t>
  </si>
  <si>
    <t>Très belle montre mécanique Cette montre est très belle et possède une certaine classe. Elle est discrète sur le poignet et permet de regarder le mécanisme fonctionner. Le bracelet semble fragile (tient-il dans le temps, impossible à dire). Par contre, possibilité de raccourcir celui-ci grâce à la pointe fournie avec la montre. Il suffit juste (avec un peu d'huile de coude) de pousser le ou les point(s) que l'on aperçoit sur le côté et d'enlever les attaches puis de remettre les axes. Pour ce prix, je recommande ce produit !</t>
  </si>
  <si>
    <t>Made in Deutschland Ce produit se présente sous forme de comprimés qui sont composés seulement de cellulose microcristalline et de pyridoxine HCL, c'est tout, peu d'agents de charge ce qui est une excellente initiative de la part de cette société basée aux Pays-Bas et qui distribue des compléments alimentaires fabriqués en Allemagne mettant ainsi en avant la réputation excellente en ce qui concerne la rigueur et la qualité des méthodes de production en vigueur dans ce pays. Les informations inscrites sur l'étiquetage sont entièrement en Allemand mais avec un traducteur online j'ai réussi à comprendre l'essentiel ce qui correspond à la description faite plus haut du produit en haut de cette page. J'ajoute quelques précisions supplémentaires, les comprimés peuvent facilement être coupés ou brisés facilement en deux rien qu'avec les doigts, le dosage est 100mg de vitamine B6 par unité, la prise journalière recommandée est d'un comprimé une fois par jour au cours d'un repas, leur composition est exempte de gluten et lactose ou fructose, cela n’apparaît nulle part, aucune certification donc ma déduction n'engage que moi, mais je pense sans risque de me tromper dire qu'ils sont compatibles avec un régime végétarien puisque la cellulose est une substance issue de végétaux, et le flacon est d' un format de 100 comprimés, la société Fairvital garantie la qualité et la biodisponibilité du produit. La date d'expiration en ce qui concerne mon achat d'octobre 2017 est mars 2020. Je suis satisfait de mon achat, j'ai enfin trouvé un complément sans stéarate ni additifs nuisibles, et c'est un bien qui entraîne un tout petit inconvénient, c'est qu'une fois mis en contact avec la salive le comprimé commence à fondre immédiatement et son goût est peu agréable, c'est acide, mais ce tout petit désagrément ne dure que le temps d'avaler un verre d'eau et puis ensuite il ne subsiste pas dans la bouche, donc rien de gravissime. J'ai constaté son efficacité par la détente qu'il me procurait, par une amélioration de l'humeur et de la qualité du sommeil qui est devenu plus profond, on peut facilement s' en apercevoir par le réalisme de ses rêves et au réveil par l'aptitude retrouvée de s'en souvenir, en somme c'est l'ensemble des vertus et des effets bénéfiques que l'on recherche en prenant au départ la décision de se supplémenter en vitamine B6.</t>
  </si>
  <si>
    <t>Bracelet pandora J'avais vu cet article c'est çe que je voulais. N'ayant pas de magasin à proximité, j'ai opté pour la commande sur amazon</t>
  </si>
  <si>
    <t>Tres beau Superbe !!!!!</t>
  </si>
  <si>
    <t>Qualité moyenne Travail près de chevaux</t>
  </si>
  <si>
    <t>Non compatible Non compatible avec platine TEAC TN-180BT</t>
  </si>
  <si>
    <t>Maintien bien mais un peu serré Maintien bien mais un peu serré.</t>
  </si>
  <si>
    <t>écriture seulement au crayon bille carton avec surface glacée qui ne permet pas l'écriture au crayon</t>
  </si>
  <si>
    <t>👌 Beau</t>
  </si>
  <si>
    <t>bracelet swatch . Acheté, il y a quelques semaines déjà, je peux dire,  que ce bracelet en silicone est parfait sur une montre swatch série "gent" diamètre 34 mm. livré avec son kit de pose, il est agréable a porté. la couleur grise est sympa avec une montre noire. Il semble solide, a voir dans le temps.</t>
  </si>
  <si>
    <t>Problème entre 2 tailles Je fais du 43. Le choix n'est que 39/42 ou 43/46 Le 43/46 est un peu grand Je pense que le 39/42 aurai été trop juste. Bonne qualité et agréable à porter.</t>
  </si>
  <si>
    <t>Chaussure de qualité Un modèle très sympa et très agréable à porter, il faut faire attention néanmoins à la taille qui est très grande</t>
  </si>
  <si>
    <t>Correspond à la mes attentes Belle qualité Arrivées dans les temps Ras</t>
  </si>
  <si>
    <t>L'angoisse du tableau blanc... Lorsque certains d'entre nous restent frustrés devant un tableau blanc, ou s'acharnent à écrire avec des feutres aux odeurs d'hydrocarbures, je m'amuse avec mon fils à gribouiller avec ces crayons révolutionnaires!!! oui, oui, je ne mâche pas mes mots  : "révolutionnaires" !!!! J'ai  connu les tableaux noirs à la craie, pratique, non polluants mais non compatibles avec les technologies scolaires. Mais les feutres me déplaisaient. Alors j'ai découvert par hasard les WOODY!!! Que d'après midi passés avec mon petit à colorier le tableau, à effacer avec une simple chiffonette ou un tawashi. Mon fils adore le taille crayon, aussi énorme que les crayons, car la prise en main pour les maternelles est idéale. Et puis ça pollue moins, ça dure plus longtemps (je n'ai pas encore calculé mais d'autres l'ont fait), la texture et la glisse est agréable. Bref, foncez futur Picasso, courez futur Dali, votre crayon est ici!!!</t>
  </si>
  <si>
    <t>Rapidité de livraison Super génial très légère aux pieds bon produit</t>
  </si>
  <si>
    <t>Très bon produits Produits très efficace pour redonner de la brillance à vos bijoux. En deux minutes ils brillent.</t>
  </si>
  <si>
    <t>Une très bonne surprise !!! Je recherchais des écouteurs bluetooth de bonne qualité, mais sans pour autant y mettre un prix exorbitant.  - La qualité de son est bonne (manque un peu de basse à mon goût, mais rien de catastrophique). - Pas d'interférences, parasites à faible volume ou coupures/latences. - Le port aux oreilles est confortable. -Les commandes tactiles fonctionnent bien. - Station d'accueil bien pensé. - Tiennent bien la charge, facilement 3/4h d'écoute.  Bref pour ce prix, rien ne sert de chercher plus loin et sûrement pas des "airpommes" à plus du triple du prix (juste injustifié).  Une belle et bonne surprise !</t>
  </si>
  <si>
    <t>Bon son et bonne ergonomie J'ai récemment changé de téléphone pour un one plus 7pro et celui-ci est dépourvu de prise jack... J'ai donc dû me tourner vers des écouteurs bluetooth. Et franchement je ne regrette absolument pas mon choix pour le prix ces écouteurs sont de très bonne qualité. Le son est correcte avec de bonnes basses ,on distingue bien les different instruments a l'écoute. Il s sont très simples d'utilisation, l'appareillage se fait automatiquement quand on sort les écouteurs de la boite, et il se coupe tout seul une fois remis dans celle ci. Ils tiennent bien la charge et la boite permet de les recharger entre deux écoute. Pas de soucis particulier au niveau de la tenu, ils ne sont jamais tombé de mes oreilles et les différents taille de tête fourni avec permette de bien les adapter. Vraiment satisfait de mon achat. En espérant vous avoir été utile.</t>
  </si>
  <si>
    <t>correspond à la description Je viens de recevoir les chaussures ,pas encore utilisées mais essayées ,elles sont impeccables , un joli look pour l'été..</t>
  </si>
  <si>
    <t>Super produit Vraiment satisfait de mon achat. Conforme à la description et à mes attentes.</t>
  </si>
  <si>
    <t>Beau bijou pour adolescent Très beau bracelet qui paraît solide. Livraison rapide.</t>
  </si>
  <si>
    <t>Compatible CP1300 Conforme à la description. Utilisation parfaite avec mon imprimante Canon Selphy CP1300</t>
  </si>
  <si>
    <t>Bluffant !!! Depuis 15 jours elle reste à l'heure pile poil... étonnant à ce prix La pile est fournie avec. Etonnant à ce prix. Le bracelet en cuir est de modeste qualité... Normal à ce prix. Le cadran est très réussi... Seul bémol, QUI construit cet objet si ce n'est des enfants surexploités... J'aimerai bien la confirmation. En tout cas, bel objet pour .0.78 cents d'euro</t>
  </si>
  <si>
    <t>Écouteurs blanc Bien reçu mes écouteurs, ils sont super jolie j’adore la forme le design en blanc et une parti ronde argenté, le son je le met jamais a fond car c’est très fort, il tien bien aux oreilles, là petit boîtier de charge très original il afiche le pourcentage de batterie en numéro digital, vraiment Top...</t>
  </si>
  <si>
    <t>Surprenant d efficacite J avais un fer très encrassé et ne souhaitait pas le remplacer (encore tout à fait opérationnel) J ai tenté ce produit et ne suis pas déçu Simplement ouvrez la fenêtre en le frottant sur la semelle chaude car dégagement d odeurs et disposez un papier jetable sous le champ de travail car les saletés vont se liquéfier et couler. Au sortir, le fer est comme neuf. Bon produit</t>
  </si>
  <si>
    <t>Waou Trés belle montre, convient parfaitement à mon petit poignet. Cuir de bonne qualité, je suis très satisfait de mon achat</t>
  </si>
  <si>
    <t>super! ensemble d'enveloppes blanches sans ouverture parfaites. Bonne qualité du papier, blancheur idéale, fermeture efficace et collage tout a fait correct du fait de la bande à décoller.</t>
  </si>
  <si>
    <t>Confortable Vu le prix je pensais vraiment être déçue et bien pas du tout.</t>
  </si>
  <si>
    <t>ERREUR DE ZONE ANOMALIE AU NIVEAU DES VACANCES SCOLAIRES IL Y A UNE ERREUR DE ZONE NANTES NE SE TROUVE PAS EN ZONE A COMME INDIQUE MAIS EN ZONE B</t>
  </si>
  <si>
    <t>Dommage Je m’attendais à recevoir un produit de marque Avent ce qui s’averer pas Du tout Non conforme au description Bon utilisation Reçu avec un carton en très mauvaise état limite trouer .... Dommage</t>
  </si>
  <si>
    <t>A fuir Expédition rapide et taille adaptée. Cependant, qualité déplorable après une journée, le tissu bouloche, les couleurs ternissent et le noir vire au vert foncé. Je déconseille fortement, même si 20€ n'est pas cher payé pour un gilet, le rapport qualité - prix n'est pas au RDV. A fuir.</t>
  </si>
  <si>
    <t>Evaluations Plus petit que la description Mon ordi portable n'entre pas Il manque 7 à 8 ces Merci bcp de publier</t>
  </si>
  <si>
    <t>Bon rapport qualité prix Bonne chaussure pour les jeunes  Pas assez solide à mon avis  mais pas chère.  Donc à vous de voir. Bises.</t>
  </si>
  <si>
    <t>pb écouteur Écouteur sans doute de bonne qualité mais pour ma part j'ai eu un des 2 écouteur qui ne fonctionnait pas donc retour à l'envoyeur Remboursement complet donc rien à redire à par que pas moyen de demander un échange au lieu d'un remboursement</t>
  </si>
  <si>
    <t>Bonne tasse comme je m’y attendais Très bonne tasse pas encore utilisée mais ça sera pour bientôt.</t>
  </si>
  <si>
    <t>Tres colorees3 Jolies boucles d oreille</t>
  </si>
  <si>
    <t>Bien Correspond à la description .</t>
  </si>
  <si>
    <t>Tétine pour liquide épaisse Comme d'hab, tres bon produit pour ma fille, on utilise k avent , biberon etc. Je conseille fortement ces produits pour les mamans qui cherche de biberon ou tétine pour biberon liquide épaisse. C'est super</t>
  </si>
  <si>
    <t>chaussure de securité rien a dire</t>
  </si>
  <si>
    <t>Pas cher et facile d’ut Super produit pour des soirées karaokes amateurs.</t>
  </si>
  <si>
    <t>Belle qualité ! Charm en verre de Murano aux couleurs pastel , conforme à la photo , les fleurs se découpent moins qu'à l'image où elles semblent cloisonnées , et c'est encore mieux . Alternance de fleurs vert pâle , rose et bleu clair  sur fond argent clair , le tout est très lumineux et doux . Parfait !</t>
  </si>
  <si>
    <t>Taille léger Grand .  A prendre en compte Tip top. Mais j'ai pris une demi taille en dessous .</t>
  </si>
  <si>
    <t>Cool Très bon produit sens très bon merci Amazon</t>
  </si>
  <si>
    <t>Super ! C'était un cadeau de Noel. Ca a beaucoup plu. Ce n'est pas fait pour soulager les douleurs de la nuque, mais c'est très bien pour se détendre. C'est pratique de pouvoir le mettre dans le bas du dos ou même sur les jambes.</t>
  </si>
  <si>
    <t>confortable Écouteurs Bluetooth sans fil Résiste à l’eau Batterie de 2000 mah Son parfait et confortable Livraison rapide grace à Amazon!</t>
  </si>
  <si>
    <t>Un joli produit qui a un bon son Très bon son Maintien parfait à l oreille La boîte de rechargement est très jolie et facile à mettre dans un sac.</t>
  </si>
  <si>
    <t>Très bonne qualité, Très sympa</t>
  </si>
  <si>
    <t>Très bien Cette cartouche Canon convient parfaitement à mon imprimante de la marque et je recommande cet achat dans cette version XL de plus grande capacité et d'un meilleur qualité/prix.</t>
  </si>
  <si>
    <t>Superbe montre connectée, utilisation simple, multiples fonctionnalités pour un prix pas cher J'aime bien porter des montres et celle-ci est ma première montre connectée.  Le produit reçu est bien emballé, il contient la montre, une prise usb pour la charger et un petit manuel (en français, ce qui est toujours appréciable).  La prise en main est simple, pour connecter la première fois la montre au téléphone ça prend environ 30s. Le bracelet s'adapte à toutes les morphologies. Le design est sobre mais tout à fait élégant, cette montre sera parfaite pour l'été par exemple, mais aussi pourquoi pas au travail.  Plusieurs thèmes disponibles, celui par défaut est à mon sens le plus clair mais c'est tout l'intérêt de ce genre de montre de pouvoir changer de thème sans racheter une montre !  Plusieures fonctions plus ou moins utiles sont à disposition (podomètre, calculatrice, agenda, nombres de calories brûlées...) , ainsi que quelques applications déjà téléchargées comme facebook, twitter (il est possible d'en rajouter)...  La fonction podomètre me parait assez fiable (en comparaison avec les données des téléphones).  La fonction rythme cardiaque est intéressante. Il y aussi une fonction "détente" qui consiste à des exercices de respiration.  Pour l'instant, je suis tout à fait satisfait du produit.</t>
  </si>
  <si>
    <t>Parfait Livraison rapide article conforme à la description</t>
  </si>
  <si>
    <t>Chaussettes parfaites ! Chaudes et pas trop épaisses, elles sont parfaites pour le ski ou les activités de montagne en hiver. Je vais certainement en racheter pour toute la famille !</t>
  </si>
  <si>
    <t>Bouilloire Très bon achat, cette bouilloire est facile d'utilisation et la température demandée est bien respectée. Le chauffage est un peu long mais c'est un détail.</t>
  </si>
  <si>
    <t>Superbes chaussures , mais ...... J'ai commandé ces chaussures il y a 1 mois  . Elles taillent bien , et sont plutôt très sympa !! En revanche, après seulement 1 mois , elles se décollent partout sur les bords , et la semelle qui semblait bien épaisse , est déjà foutue !! D'où les 2 étoiles .... car je m'attendais à bien plus solide pour une paire à 35euros !!!!</t>
  </si>
  <si>
    <t>article défecteux Article reçu en remplacement du même article commandé plus tôt et renvoyé car défectueux ; même panne. Faux contact dans le jack, un haut parleur qui grésille et le micro qui ne fonctionne pas... en attente de re renvoi en sav...</t>
  </si>
  <si>
    <t>A déconseiller Vous attendez pas a un vrai pantalon il fin comme un feuille et mauvaise caliter a déconseillé</t>
  </si>
  <si>
    <t>Très beau sac mais très lourd J'ai acheté cette sacoche pour y mettre mes documents et livres, nombreux, que je dois transporter chaque jour au travail. Très grande, elle est parfaite pour transporter beaucoup de choses. Mais même vide elle pèse, ce qui fait que j'ai renoncé à l'utiliser car le poids était ingérable à long terme (douleurs épaule). Cependant je pense que c'est lié à la qualité du cuir, très épais, très beau. C'est donc le défaut de la qualité ! Je la recommande donc pour transporter des objets volumineux mais légers.</t>
  </si>
  <si>
    <t>Rapport Qualité/Prix Correct - Peu résistant à l'usure Acheté pour un voyage de 12h Impeccable sur les 12h, insonorise bien, qualité de son correct.  Par contre, j'ai continué à les utiliser, je doit être à 20h d'écoute maintenant, un écouteur ne fonctionne plus. Pourtant j'en ai pris soin (pas noeuds, bien ranger dans ça poche)</t>
  </si>
  <si>
    <t>Un peu long! Original et sympa, un peu trop long tout de mème.</t>
  </si>
  <si>
    <t>Selon la préférence de bébé Ici, bébé préfère les tétines larges, mais c'est vraiment une question d'habitude. La silicone est une matière durable très intéressante, c'est surtout pour cet aspect que l'on choisit ces tétines. Le débit à 3 vitesses n'a pas vraiment d'intérêt...</t>
  </si>
  <si>
    <t>nickel Le + quand on la lève de son socle, elle s’éteint.</t>
  </si>
  <si>
    <t>Sacoche J’ai offert ce sac à mon père qui part souvent à l’etranger. Je le trouvais intéressant et pratique. Il en est content du coup je suis satisfait, dommage juste que sa finition est un peu brillante</t>
  </si>
  <si>
    <t>Valeur sûre ! Les biberons MAM sont pour nous une valeur sûre ! Aucun souci d'adaptation.</t>
  </si>
  <si>
    <t>Chaussure au top Produit super Belle finitions confortable Bonne tenue du pied Au toi</t>
  </si>
  <si>
    <t>Nostalgie de l'enfance... Très joli maintenant, comme il y a 30 ans. Des produits qui ne vieillissent pas!</t>
  </si>
  <si>
    <t>Je suis vraiment surprise ! Je suis surprise de la qualite des ecouteurs surtout lorsque l on voit le prix. Ayant des ecouteurs Bose en bluetooth qui coute juste 6 fois le prix de ceux la et bien croyez moi ils sont vraiment GÉNIAUX!!!! Je les ai offert à mon pere et il est RAVI! la boite de charge (rangement) est toute petite, pas encombrante! Les ecouteurs pas imposant du tout et tout dircret et tres fonctionnels! Je sais que parfois les commentaires sont suspects mais vraiment, je crois que c est la premiere fois que je laisse un commentaire sur amazon, n hesitez pas pour un cadeaux ou meme pour vous c est vraiment un bon achat a faire si vous ne voulez pas mettre trop d argent et avoir un produit de qualite!</t>
  </si>
  <si>
    <t>Plus d’odeur de moisi dans les placards Ces petits sachets, c’est l’idéal pour la maison de mes parents. Ils vivent en bord de mer et l’humidité est vraiment un problème pour eux. Tout le linge qui est dans les armoires sent l’humidité voire le moisi. Du coup, ma mère a trouvé ces sachets très pratiques et, au final, très efficaces. Les petits sachets sont remplis de billes qui captent l’humidité. Du coup, le contenu du sachet se transforme en gel bleu. En plus, les perles sont parfumées. Fini l’odeur de moisi dans les placards ou les commodes. Un crochet adhésif permet d’accrocher le sachet dans la penderie. C’est vraiment un excellent produit !  NB : Un sachet dure 6 semaines en fonction de la teneur en humidité de l’endroit où on le place.</t>
  </si>
  <si>
    <t>tres joli très joli et très confortable.</t>
  </si>
  <si>
    <t>Il es robuste et joli il a sa place dans ma cuisine Jaodore son style rétro noir er chromé comme rechercher dans ma cuisine J'adore mon nouveau grille pain</t>
  </si>
  <si>
    <t>Bon produit Utile sur un micro cravate supprime bien les bruits parasite</t>
  </si>
  <si>
    <t>Appareil qui fonctionne et a un beau design Je suis très contente de cet appareil qui fonctionne parfaitement et a un beau design.</t>
  </si>
  <si>
    <t>Très contente Produit reçu très rapidement dans un emballage soigné Je suis très contente de ce support pour ordinateur, il y a de l'espace pour mettre les jambes, on peut regler l'inclinaison et la hauteur ce qui est un plus Facile à utiliser, et de bonne qualité Je recommande vu la qualité, l'utilité et le petit prix</t>
  </si>
  <si>
    <t>Contient beaucoup et reste compact Top! Cette sacoche tient bien droit toute seule et c'est ce que je cherchais pour un look plus pro (un peut plus rigide que les genre fourre-tout). Mais elle peut quand même s'élargir si besoin donc j'arrive à y mettre pas mal de choses (voir photos). Un bon nombre de poche (devant, derrière et à l'intérieur). Un plus : la fermeture éclair de la poche intérieure principale en plus du bouton aimanté pour être sûr de ne rien se faire piquer.  Le cuir fait plus mat que sur les photos. Reçu très rapidement. Me paraît bien solide mais à voir dans le temps au niveau de la durée de vie.  Si ce commentaire vous a aidé à choisir n'hésitez pas à le notifier :)</t>
  </si>
  <si>
    <t>Un peu grand mais super qualité La chaussure taille un peu grand et j'ai du y mettre des semelles. Avec le temps finalement je ne déteste pas être à l'aise comme je ne m'en sers pas pour courir ou autre activité. L'aspect est quant à lui impeccable, de belles finitions.</t>
  </si>
  <si>
    <t>A ce prix ... stagg m'étonnera toujours Cable de bonne facture, semble robuste, utilisation dans un cadre studio donc ne sera pas branché et débranché des centaines de fois donc il y'a des grandes chances qu'il résiste très longtemps.</t>
  </si>
  <si>
    <t>Parfait Tel que décrit , c'est parfait ! merci beaucoup !</t>
  </si>
  <si>
    <t>Robuste, belles finitions et agréable à porter Je suis difficile en la matière, mais la satisfaction est au rendez-vous. -Livraison rapide et propre -Pas d'odeur forte comme annoncé dans la description -C'est bien du cuir -Un chéquier rentre sans problème -Fonctionnel: tout est accessible sans le retirer de l'épaule  Reste à voir dans le temps comment réagit la surface et comment vieilli le tout</t>
  </si>
  <si>
    <t>autonomie Autonomie très alléatoire. Portée toute la journée, s'arrête certaines nuits par manque d;autonomie</t>
  </si>
  <si>
    <t>Mauvaise qualité Bof elles sont très mauvaise qualité rien à voir avec la photo extrêmement déçu !!!!!!</t>
  </si>
  <si>
    <t>Oubliez Nul a tous point de vue, rien à voir avec les photos</t>
  </si>
  <si>
    <t>semelles trop rapidement usées les semelles se sont usées très rapidement ce qui les rend glissantes sur sol mouillé</t>
  </si>
  <si>
    <t>Presque parfait Ca ne fait que quelques jours que j'ai ce casque, il fonctionne bien mais à voir sur le long terme, le confort est très bon, le casque à l'air vraiment robuste, le son est bien équilibré. J'ai mis une étoile en moins à cause d'un petit défaut, en tout cas pour moi, qui est le bouton du volume qui se situe sur le casque, il est trop proéminent ce qui fait que souvent en prenant le casque, je touche et modifie le réglage du volume mais bon il suffit de faire attention.</t>
  </si>
  <si>
    <t>Bon rapport qualité prix Très bon rapport qualité prix. Attire très bien la poussière en surface.</t>
  </si>
  <si>
    <t>Tres jolis Supers jolis et couleurs conformes. Attention bracelet un peu petit pour homme...elastique peu souple fonc difficile a quitter.</t>
  </si>
  <si>
    <t>Produit  très  bien Produit très bien</t>
  </si>
  <si>
    <t>BOSE like a BOSS Très bonne qualité sonore et très confortable.</t>
  </si>
  <si>
    <t>Shorty de très bonne qualité et très épais. matière ... Shorty de très bonne qualité et très épais. matière très douce et taille parfaite. je l'ai acheté pour la pratique de la danse contemporaine et je le recommande!</t>
  </si>
  <si>
    <t>Je recommande J'ai acheter ces petits pot de peinture pour ma fille de 18mois , pour sa première peinture c'est génial elle a adorer de tremper ces petites mains dans le petit pot Le truc encore plus génial,  sa ne tache pas les vêtements je le recommande</t>
  </si>
  <si>
    <t>pour bien ecrire parfaites feuilles</t>
  </si>
  <si>
    <t>Impeccable Remplace mes anciennes Pataugas bien vielle (fabriquée en France....) mais celle-ci sont très bien et très belle, taille correspondante, mais il faut bien défaire les lacets pour les enfiler ... une fois dedans, c'est impeccable et léger pour faire de bonnes randonnées.</t>
  </si>
  <si>
    <t>Chauffe chaussure Sur le conseil d'une amie, j'ai choisi ce modèle ergonomique et pratique pour mes locataires en station de ski, il est très désagréable d'avoir des chaussures de skis mouillées (neige, transpiration) mais aussi les gants qui peuvent etre séchés avec l'appareil, c'est sain (UV pour tuer les bactéries) et rapide.Je recommande cet article, pour tous ceux qui le matin enfile des chaussures, froides... ultra-rapide et il vous délivre un bien fait incomparable.</t>
  </si>
  <si>
    <t>Nickel ! Chaussures reçues rapidement et comme désirées. Je vais à nouveau me sentir bien pour marcher. (Ces chaussures sont vraiment très souples, ce qui est idéal lorsque vos pieds sont larges à cause de vos os extérieurs (sur le côté) qui vont trop vers l'extérieur justement, on est content que ce type de chaussure existe ! Ouf !).</t>
  </si>
  <si>
    <t>scotch Colle bien..pratique et économique pour ce lot a petit prix</t>
  </si>
  <si>
    <t>Ensemble tres sympa Très sympa comme ensemble et avec la grosse bande de la brassière cela maintient bien La culotte taille très bien</t>
  </si>
  <si>
    <t>Bien RAS</t>
  </si>
  <si>
    <t>Très bon produit Un pack de 2 pour une protection parfaite pour mon mobile. Très facile à poser, je recommande ce produit. Excellent !</t>
  </si>
  <si>
    <t>Encre Canon de qualité et pas chère Cette encre a comme premier avantage d'être de qualité, mais l'on en attend pas moins d'une encre Canon. Mais surtout, elle n'est pas chère !!!! Comparé à des cartouches recyclées ou générique, le surcoût est minime (1 €, peu ou prou) et je suis sûr de ne pas avoir de soucis comme ça m'est déjà arrivé avec des génériques. J'en suis ravi !</t>
  </si>
  <si>
    <t>pas de souci avec caterpillar Chaussure de remplacement suite à la fin de vie de mon ancienne paire. toujours aussi agréable  et confortable . une valeur sure!</t>
  </si>
  <si>
    <t>bien Le produit est conforme aux instructions. Le son est bon à toutes les fréquences. Le confort est également très bon. Je recommande ce produit.</t>
  </si>
  <si>
    <t>claquettes Chausson pour la maison</t>
  </si>
  <si>
    <t>Parfait à tous les niveaux. .. Un très beau design et un mode d'utilisation simple font de ce produit un article de grande  qualité. Je l'utilise régulièrement depuis plusieurs semaines et il me donne toute satisfaction.</t>
  </si>
  <si>
    <t>trop petite montre plus pour les femme ne convient pas du tout aux homme elle et très petite l’éclairage et faible et le bracelet mince et s'ouvre tout seule je l'ai renvoyé</t>
  </si>
  <si>
    <t>Son dans un seul écouteur Ces deux écouteurs sont indépendants l'un de l'autre. Il est impossible d'avoir du son dans les deux écouteurs en même temps. Inutile en somme.</t>
  </si>
  <si>
    <t>Cartouche Une cartouche dans le lot n etait pleine cas moitié Sinon ras.</t>
  </si>
  <si>
    <t>Médiocre Jolies mais pas très résistantes</t>
  </si>
  <si>
    <t>Géniales mais attention, chausse grand !! Je viens de recevoir mes converses choisies en bordeaux avec une journée d'avance ! La couleur est super belle, elles ont l'air de très bonne qualité mais c'est vrai qu'il faut prendre une pointure en dessous !! je suis très satisfaite de mon achat !</t>
  </si>
  <si>
    <t>Satisfaite un bon produit que je recommande et pas cher. C'est juste un peu grand niveau taille. Je suis satisfaite de mon achat.</t>
  </si>
  <si>
    <t>Bracelet Homme Joli</t>
  </si>
  <si>
    <t>il a plu ...........alors quoi de plus ! qualité et le prix restent raisonnables pour un petit cadeau comme st valentin ou le geste reste un symbole pour maintenant comme avant …….je t'aime!!!!!!!! un avant noel ou anniversaire pour un cadeau plus grand si la finance le permet.</t>
  </si>
  <si>
    <t>Sweat street art Kdo pour un jeune ado</t>
  </si>
  <si>
    <t>Livraison ultra rapide et produit conforme! Je suis conquise par le délai de livraison express (moins de 3 jours!). Les biberons sont arrivés emballés dans une boîte MAM bien conçue. Le système anti-colique semble bien astucieux. J'ai hâte de les tester sur mon bébé! Acheté en jaune, ils sont hyper mignons.</t>
  </si>
  <si>
    <t>efficace rien à dire trés efficace</t>
  </si>
  <si>
    <t>Belle qualité Vetement chaud, épais avec de belles finitions.</t>
  </si>
  <si>
    <t>Parfait Elles sont super belles avec cette plateforme. Je fais du 41 et j’ai pris du 40. C’est juste juste mais je préfère. Un peu rigide au début mais c’est dû à la plateforme, elles vont se faire. J’aurais aimé que le vendeur ne colle pas directement la boite converse en guise de colis. Mais bon... c’est pas très grave...</t>
  </si>
  <si>
    <t>Pratique S'accorde avec tous les styles, confortable, solide, imperméabilisée, cette paire de chaussure est indispensable quasiment au quotidien. Reçue bien avant la date escomptée, je suis complètement fan. Sérieux et professionnalisme du vendeur à féliciter.</t>
  </si>
  <si>
    <t>Top Sa marche !!! Je pensais avoir perdu ma centrale vapeur. Attention au vapeur dégager elles sont toxiques. ( pensai a l appliqué en extérieur) la crasse coule comme du beurre !!!</t>
  </si>
  <si>
    <t>Rien à dire, top qualité Des vrais oreillettes au top qualité. PARFAIT !</t>
  </si>
  <si>
    <t>Super histoire toute douce Un petit livre extra pour les petits enfants. A méditer aussi si on est grand !</t>
  </si>
  <si>
    <t>Parure collier boucles d'oreilles Très jolie parure, donne un bel effet, identique au descriptif</t>
  </si>
  <si>
    <t>Parfait pour moi S'adapte parfaitement sur le BC-Master Microphone USB contrairement à un certain avis. Pour ce qui est des points négatifs déjà cités, je ne peux y répondre, mon micro reste fixe et je ne change pas sa position.</t>
  </si>
  <si>
    <t>Très bien merci et recommande De vrai chaussons pour cette 2 ême paires</t>
  </si>
  <si>
    <t>Rien Impeccable</t>
  </si>
  <si>
    <t>Bouilloire Chauffe rapide l'eau ! Petite lumière quand ça chauffe. Top!</t>
  </si>
  <si>
    <t>Montre élégante Montre au dessin épuré, simple et esthétique.Le bracelet Milanais est élégant De plus elle est très légère et plate. Son prix est raisonnable.</t>
  </si>
  <si>
    <t>Micro à revoir Bonne ergonomie, désign sympa, bonne qualité de son, mais le micro n'est pas à la hauteur car on est entendu de loin, malgré un volume au maximum et différents paramétrages réalisés. J'ai trouvé mieux.</t>
  </si>
  <si>
    <t>Sans intêret ! J'ai acheté ce produit suite à la publicité qui en et faite. Aucune résistance comme indiqué ! J'ai voulu recollé une support de néon ultra léger et rien ne tient. Plusieurs essaies ont été effectués. Je déconseille ce produit fortement.</t>
  </si>
  <si>
    <t>j’atds en cours d’ acheminement</t>
  </si>
  <si>
    <t>Trop petit comme prévu... J'ai pris du 42.5 comme d'habitude chez NIKE mais quasiment impossible d'entrer mon pied dedans (pourtant dans mes Air Max Prime acheté à NY elles me vont super bien), je m'en doutais en voyant les commentaires mais ceux ayant répondus à ma question m'avaient donné envie de vérifier par moi même... J'ai aussi vérifié si c'étaient des vraies, elles semblent bien vraies mais taillent petit, étonnant... J'attends donc ma nouvelle paire de remplacement en 43 pour modifier ou non mon commentaire :) Résultat vendredi ou lundi prochain !  Si le 43 est trop petit  alors il faudra vraiment songer à se demander si ce ne sont pas juste de très bonnes imitations (j'a pourtant vérifié le code barre, qui est le même sur la boite et les chaussures et aussi vérifié sous les semelles intérieures et tout semble officiel, mais on sait jamais avec les chinois) :)</t>
  </si>
  <si>
    <t>pas terribel Bel objet, pas facile de mettre en route. Pb avec bouton on/off, fonctionne de manière très aléatoire ce qui du coup est forcément très décevant!!!!</t>
  </si>
  <si>
    <t>Produit conforme au descriptif Reçu en 72h et qui convient à la cafetière à piston petit modèle. Heureusement que cela ne se change pas souvent car le prix est excessif pour ce que c'est ...</t>
  </si>
  <si>
    <t>Jolie robe courte... Très jolie robe, taille très bien en largeur. Cependant je la trouve un peu courte. Je fais 1,69m et elle m'arrive à mi-cuisses....</t>
  </si>
  <si>
    <t>conforme Très bien</t>
  </si>
  <si>
    <t>Super pour le massage du dos Soulage mes douleurs du dos et poignets</t>
  </si>
  <si>
    <t>bon produit vraiment bien pour le cuir masque bien les griffures</t>
  </si>
  <si>
    <t>Identique Identique a la description. Qualité prix rie a dire, je recommande. Je l'ai utiliser cette hiver, la bouillotte tien une nuit</t>
  </si>
  <si>
    <t>Confortable, bon tissu Bonne qualité, la taille est bonne, confortable, le tissu est agréable et bien épais.</t>
  </si>
  <si>
    <t>Top !! Bonne qualité, très chaud et très bien taillé. Je le recommande sans problème, commandé en gris foncé je repasse tout de suite commande en noir. Mon fils l'adore !!</t>
  </si>
  <si>
    <t>Absorbeur d’odeur écologique, naturel et incroyable Je recherchais un produit naturel, sans odeur pour pour absorber les odeurs et c’est une amie qui m’a parlé de ces sacs de charbon. Ils sont livrés dans une pochette hermétique, les sacs sont de bonne qualité, résistants. Je les ai tout de suite mis dans le placard à chaussures et surtout dans la paire de basket de mon fils qui transpire énormément avec ces 3 entraînements par semaines, c’est une infection... Incroyable ! Au bout de 10j plus aucunes odeurs ! Et tout ça sans produit chimique. En plus les baskets sèchent plus rapidement. Si vous avez des enfants dans le même cas que le mien, c’est pour vous, il faut les acheter tout de suite.</t>
  </si>
  <si>
    <t>Très jolie Montre de très bonne qualité, cela fait 1 mois que je la mets tout les jours. Rien à dire pour moi, le rapport qualité prix est bien présent.</t>
  </si>
  <si>
    <t>Je recommande Produit arrivé à temps ! La montre est super jolie. Elle est arrivée rangée dans un étui, bien protégée. Ayant un poignet très petit, j'avais peur qu'elle ne m'aille pas ou qu'elle soit trop grosse, mais tout est nickel. Je recommande !</t>
  </si>
  <si>
    <t>Sobres et solides Je les porte depuis plusieurs mois et le plastique ne jaunit pas contrairement à d'autres. Elle sont sobres et solides. Je suis satisfaite</t>
  </si>
  <si>
    <t>Bmw Nickel</t>
  </si>
  <si>
    <t>Design sympa et facile à utiliser Super joli design, très facile à mettre en place et à utiliser. Il est silencieux et discret . J'aime la petite télécommande et le fait de pouvoir gérer la lumière. Je recommande</t>
  </si>
  <si>
    <t>Bon Mon mari la porter un pret 6 mois très bon produit.</t>
  </si>
  <si>
    <t>Splendide Très belle qualité et une brillance C est un très beau coffret complet pour enfant Ma fille n'a pas réussi à dire merci elle est restée muette et les larmes lui son venu je suis contente merci</t>
  </si>
  <si>
    <t>Très  bien Cette huile essentielle est parfaite. Quelques gouttes et d’emblée les essences du clou de girofle sont immédiatement senties. Le parfum sent vraiment le clou de girofle. A recommander!</t>
  </si>
  <si>
    <t>bof bof alors au début tous vas biens puits a la troisième impression sa bouche les buse et la l'imprimante ne fonctionne plus ( elle a 2 mois ) donc a évité !!!!!</t>
  </si>
  <si>
    <t>grande déception très déçu de cette montre</t>
  </si>
  <si>
    <t>Ne fonctionne pas Bonjour, le produit correspond esthétiquement à mes attentes mais la molette rouge est défectueuse et certaines fonctionnalités sont impossibles. Le livret d’information est dans plusieurs langues mais pas en  français , il a fallu le télécharger sur internet.</t>
  </si>
  <si>
    <t>Écouteur droit ne fonctionne plus après quelques temps J'ai au départ beaucoup aimé ces écouteurs qui tiennent plutôt bien en place, et qui sont pratiques à emporter partout. Problème : l'écouteur droit ne fonctionne plus depuis quelques temps, et évidemment c'est arrivé après le délai de retour. Donc déçue, car sans ça ils étaient très bien.</t>
  </si>
  <si>
    <t>Bon produit Trés bon produit ,seul defaut les touches un peut trop sencibles , avec les mouvements du travaille il arrive que sa chnge.</t>
  </si>
  <si>
    <t>Pour débutant ok Micro pour débutant assez performant, il suffit d’avoir une alimentation fantôme pour enlever tout désagrément du style latence etc mais bon micro avec tout les accessoires qui permettent une vraie bonne utilisation et de lancement dans la musique</t>
  </si>
  <si>
    <t>Jolies et agréable à porter Jolie ressemblance avec des air max sans en être une copie tres agréable à porter meme sur une journée complète</t>
  </si>
  <si>
    <t>bonne brosse Bon la brosse nettoie comme tout goupillon, son système rotatif est inutile puisque le nettoyage d’intérieur reste manuel, sa reste un goupillon tout ce qu il y a de plus simple, s’abîme avec le temps à voir son utilisation au quotidien. Livré avec un petit goupillon mais vraiment mini tellement mini qui sers à rien, le goupillon en lui même suffisais. Bien emballé, livré dans les temps.</t>
  </si>
  <si>
    <t>Fidèle à la qualité de la marque Fruit Of The Loom est une bonne marque de basics, bonne qualité, on trouve facilement son bonheur. La couleur est sympathique mais taille un poil petit, prévoyez 1 taille au dessus. Ne peluche pas mais prends facilement les poils d'animaux (chats en l'occurence). Ce pull est peut-être un peu fin, bon pour le sport en tout cas ! je recommande.</t>
  </si>
  <si>
    <t>super produit Ayant utiliser l'ancienne version, je ne me suis pas posé plus de question au moment de mon achat.Conforme à la marque Bosch, très bon produit rapport qualité-prix. Fonctionne très bien. Rien à redire.</t>
  </si>
  <si>
    <t>Tout simplement parfait... ... par rapport à son prix. A tel point que les "grandes" marques se sentent obligées de singer Xiaomi (Redmi) au niveau du rapport qualité/prix (voir les nouvelles gammes de tel. chez les ténors du smartphone pour en être convaincu : même l'esthétique est copiée par certains pour le concurrencer !). Une batterie qui tient deux jours, un excellent appareil photo (même de nuit avec GCam), un processeur qui permet de jouer à tout, un écran très correct en plein soleil, de l'audio impeccable. Et des outils (installés d'origine) qui en font un téléphone très consensuel. Dans cette qualité, les grandes marques proposent parfois plus du double du prix. Le seul point négatif : les notifications ne sont visibles que pendant 2sec sur l'écran de verrouillage. Rq. : Les pubs qui apparaissent dans certaines applications sont désactivables.</t>
  </si>
  <si>
    <t>Bon produit La taille correspond à la pointure. Un 38 pour du 38 J’ai rajouté une semelle en gel pour plus de confort. Semble de bonne qualité. à voir dans le temps.... Très bien pour le prix</t>
  </si>
  <si>
    <t>Bon qualité prix Pour le prix c'est des bijoux vraiment magnifique !</t>
  </si>
  <si>
    <t>Ravissant Je suis ravie de mon petit sac violet. Il est superbe et juste la bonne taille.  Par contre, le mode d'ouverture est très original, et peut en dérouter certaines... Moi, j'adore.</t>
  </si>
  <si>
    <t>parfait des chemises de qualité et sobre, parfaites pour le classement des dossiers au travail.</t>
  </si>
  <si>
    <t>Super Esthétique et confort assurés. Je taille un petit M (36/38) et j'ai pris un S. Parfait. Vous ferez sensation ! Je recommande .</t>
  </si>
  <si>
    <t>Coton de bonne qualité, bien coupé, à ce prix là j'en rachète un lot ! Le coton est bien épais et de bonne qualité, pas transparent, sauf pour le coloris blanc qui l'est un peu plus. La coupe est droite, non cintrée. La longueur permet de cacher les rondeurs :-) L'encolure n'est pas trop près du cou ce qui, du coup, est plus féminin. J'ai hésité pour la taille, je fais du 46 et je mesure 1.70 m. Finalement, j'ai pris du XXL et ça me va parfaitement, donc on peut dire que ça taille un peu petit quand même. Livraison très rapide comme d'habitude, le colis a été déposé dans ma boite aux lettres. Enchantée de mon achat, j'en commande tout de suite un autre lot pour avoir une petite réserve !</t>
  </si>
  <si>
    <t>conforme Les cartouches d'encre fournies sont conformes.  Il s'agit bien de la marque CANON.  La livraison a été rapide. Le prix est compétitif.</t>
  </si>
  <si>
    <t>Bonne chaussure pour randonnée, running... Personnellement je n'ai eu aucun soucis pour le moment avec, j'ai déjà parcourue environ 300km en exterieur, tout type de sol. Je recommande vraiment ces chaussures !</t>
  </si>
  <si>
    <t>Très bon produit Excellent produit trop joli</t>
  </si>
  <si>
    <t>Idéal pour les biberon Avent J'ai acheté les biberons en verre Natural de chez Avent et cette housse est tout à fait adaptée et pratique.</t>
  </si>
  <si>
    <t>Conforme au descriptif Conforme au descriptif. Livré</t>
  </si>
  <si>
    <t>Bon produit Un pantalon pratique, détendu, pas trop serré juste ce qu'il faut. Nickel pour la vie de tous les jours sans prise de tête. Reçu rapidement, bon vendeur. Je recommande.</t>
  </si>
  <si>
    <t>migion Le forme est tres migion, je le mes dans mon bureau, j'aime bien. Il change 7 couleurs automatiquement. super jolie.</t>
  </si>
  <si>
    <t>Meh Je passerai sur le bracelet inconfortable, c'est une montre à 15€ donc on ne peut pas s'attendre à grand chose... MAIS, parce qu'il y a un mais, que le mécanisme est bruyant ! Il l'est presque autant qu'une horloge classique (oui, celle de votre cuisine là qui fait "tic tac tic tac ..."). Heureusement que je ne m'en sers qu'au boulot !  Non, ce n'est pas une montre qui pourrait passer pour une "haut de gamme".</t>
  </si>
  <si>
    <t>Problème d'étanchéité La cafetière fuit de tous les côtés même quand elle est vissée à fond, produit de mauvaise qualité. Je déconseille</t>
  </si>
  <si>
    <t>Déçue Un peu déçue... habituée aux théières électriques, je suis surprise car quoique j’en fasse, la température monte à 85º pour redescendre ensuite...or c’est trop élevé pour le thé vert... en revanche, elle garde bien au chaud, à + ou - 5º Les leds sont superflus consommation électrique inutile, et enfin elle met trop de temps a s’éteindre en position off...dommage...pas sure de la garder...par ailleurs, la notice est trop succincte et très mal traduite...certain commentaires parlent de mémoire...je n’en trouve pas cette fonction...rarement été aussi déçue par un achat sur Amazon</t>
  </si>
  <si>
    <t>Pas a la bonne taille Produit trop petit</t>
  </si>
  <si>
    <t>Elégante et robuste Jolie montre avec boîtier et bracelet tout en acier, ce dernier comme tous les bracelets métalliques est un peu délicat à ajuster à la bonne longueur la première fois. Sinon, pas de problème si on l'oubli pour prendre sa douche puisque l'étanchéité est garantie. La trotteuse est bien visible et le petit hublot qui fait loupe sur la fenêtre de la date du jour est une bonne idée, ce qui n'est pas une bonne idée de la part du fabricant c'est de n'avoir pas prévu une notice en français.</t>
  </si>
  <si>
    <t>Pratique Beaucoup de rangement petite taille mais pratique</t>
  </si>
  <si>
    <t>Super sac Beau sac en plus il y a beaucoup de choix de couleurs ... taille plus que satisfaisante. Livraison rapide et correspond à la photo</t>
  </si>
  <si>
    <t>Bon rapport qualité/prix Ce bras articulé avait été commandé en cadeau pour mon fils qui en semble enchanté. Il s'adapte très bien à son micro BIRD UM1; Le bras est en acier et donc résistant; On peut dévisser le support de micro au bout pour en mettre un autre si cela ne correspond pas au micro que l'on a. Bon rapport qualité/prix.</t>
  </si>
  <si>
    <t>Parfaite Absolument pas deçu par cet achat. Simple comme n'importe quelle bouilloire mais tres design et son socle fait toute la difference. Tres pratique. Et avec ce rapport qualité/prix, il n'ya pas à hésiter. Concernant la livraison Amazon a tres bien fait son travail mais j'ai eu quelques soucis avec la poste.</t>
  </si>
  <si>
    <t>Bonne manufacture Que dire sinon que cela nettoie bien ?  la qualité du produit est tres bonne</t>
  </si>
  <si>
    <t>Je recommande Très élégantes, belle qualité.</t>
  </si>
  <si>
    <t>Liggin Très bien</t>
  </si>
  <si>
    <t>Excellent pour le sport Je l’ai achetée pour quand je vais courir,  dans la boîte il y a plusieurs tailles d'embouts pour s’adapter à tous types d’oreilles, contient également une notice et le câble USB pour recharger les écouteurs. Son correct et très bon maintient. Je suis satisfaite de ce produit.</t>
  </si>
  <si>
    <t>Fait très bien le job A vrai dire, je n'y croyais pas trop à ce prix là (et on verra dans le temps), mais le bracelet fait vraiment impression et tous les outils fournis avec pour monter/démonter sont absolument parfait. je recommande carrément.</t>
  </si>
  <si>
    <t>Top J'aime beaucoup! Super pour chauffer le lit les froids nuits d'hiver.</t>
  </si>
  <si>
    <t>Taille Si vous hésitez entre deux tailles prenez la plus grande, Produit très confortable et agréable à porter.</t>
  </si>
  <si>
    <t>Très bien La montre fonctionne très bien même quelques années après. Prix honnête ! Merci pour ce petit bijou, offert à mon frère.</t>
  </si>
  <si>
    <t>Une vraie montre de plongée automatique à un prix abordable C'est une vraie montre de plongée, étanche à 200 m, avec le remontoir qui se visse pour éviter les fuites. Le mouvement automatique, fabriqué par Seiko, est stupéfiant de précision : 2 s par jour, mieux qu'un chronomètre suisse certifié ! Et en plus on peut le voir : il est très beau ! Les détails sont très soignés : logo Invicta sur le cadran, la trotteuse, le remontoir, le côté du boitier et le bracelet. On ne peut pas dire que c'est une copie de Rolex ! D'ailleurs je préfère ce modéle 8926 original au modéle 8926OB dont la lunette copie la Rolex Submariner. Possibilité d'arrêter la trotteuse pour régler l'heure à la seconde près. Garantie 3 ans en s'inscrivant sur le site d'Invicta. Je ne l'ai que depuis une semaine et je ne lui vois aucun défaut. Attention, il faut un outil pour raccourcir le bracelet (chasse-goupille Ø1 mm). Mise à jour après un mois d'utilisation : la précision a doublé puisqu'elle ne varie plus que d'une seconde par jour. Impressionnant !</t>
  </si>
  <si>
    <t>tarax 6 mois fosse septique tres bien</t>
  </si>
  <si>
    <t>Parfait et sans coupure ! Je trouve que ces écouteurs bluetooth sont très bien conçus. En effet, le son est bon, l'autonomie très grande, et surtout le boitier est joli et contient une batterie assez grande permettant de ne pas la recharger en permanence. Ils sont très simple d'utilisation, j'ai juste activé le bluetooth et sélectionné les écouteurs et tout a fonctionné. Je trouve donc que ces écouteurs sont un très bon choix, et avec un joli design.</t>
  </si>
  <si>
    <t>Sweat-shirt capuche Couleur comme attendue et taille adaptée selon les indications. Bien emballé. RAS</t>
  </si>
  <si>
    <t>Papier Q Pour le rendement energetique j ai pas allumé  le feu ni mangé.  Par contre ça vaux vraiment le coup vu le nombre de rouleaux et l epaisseur des rouleaux .</t>
  </si>
  <si>
    <t>Parties de plaisir assurees !! A peine reçu, il a été déballé pour le tester. Aucun regret de l avoir acheté déjà des fous rires au bout d une demi heure d utilisation. Pour un premier micro, je suis très contente de celui ci !</t>
  </si>
  <si>
    <t>Grille pain Choisi pour sa couleur et ses fonctions.  La couleur est belle  Je préfairais le grillage de mon ancien grille pain. Celui-ci grille trop et on perd le moeilleux notament sur le pain de mie</t>
  </si>
  <si>
    <t>Dangereux Ce produit est dangereux.  Je l'ai branché pour charger mon Bose.  Au bout de 20mn une grosse "claque " , une étincelle et un odeur de brûlé</t>
  </si>
  <si>
    <t>Ne fonctionne pas correctement La lumière fonctionne bien mais la fonction diffuseur n'a jamais rien diffusé</t>
  </si>
  <si>
    <t>Satisfait Ce produit nous a permis d’apporter un plus à nos soirées, j’ai apprécié la puissances et l’auto, mais regrette que l’entrée du chargeur soit difficile d’accès.</t>
  </si>
  <si>
    <t>Taille trop grand La qualité du produit est vraiment incroyable ça là dessus j'ai aucun reproche à faire.  Le seul reproche à faire c'est que ça taille un peu grand. je fais du 45 et je nage clairement dedans.  J'ai renvoyer le produit et choisi un remboursement car la taille voulu après échange était plus disponible</t>
  </si>
  <si>
    <t>bonne qualité La marque de référence ,les bottes sont robustes et de bonne qualité, chaussent bien à leurs taille.Agreables pour marcher et bricoler dans le jardin</t>
  </si>
  <si>
    <t>Bon produit RAS, j'arrive à faire plus de 10 feuilles, 39 pour être exacte, voir un peu plus mais cela tiendrait limite... Par contre je ne suis pas sûr de trouver les références d'agrafes sur le site Amazon. Il n'y a aucune référence avec le produit. Faudra-t-il que je rachète une agrafeuse pour avoir des agrafes?!</t>
  </si>
  <si>
    <t>Super Qualité Commandé en L, ce sont des tailles américaines donc cela se transforme en XL Donc prenez une taille en dessous si vous voulez votre vrai taille Sinon rien a dire sur la qualité du Sweat</t>
  </si>
  <si>
    <t>C'est une casio Je la porte tous les jours pour le travail ,on ne la sens pas</t>
  </si>
  <si>
    <t>parfait nickel convient parfaitement j'ai choisi une taille au dessus car cela taille petit;je recommande vivement tres bon achat vu le prix.</t>
  </si>
  <si>
    <t>Excellent Excellent, magique, très content de mon achat. Un grand classique de chez Van's, confortables et pas trop vues... elles ont passé l'été sans trop de dégâts...</t>
  </si>
  <si>
    <t>parfait Taille idéale. C'est parfait pour y mettre porte feuille et téléphone.</t>
  </si>
  <si>
    <t>Plus jolie en vraie qu'en photo Très belle montre, avec un beau design et un reflet de la partie blanche. On peut aussi lire l'heure dans le noir. Elle est plus jolie que dans les photo, et le prix de 130e est top car on trouve la même à 200€ ailleurs.</t>
  </si>
  <si>
    <t>Satisfait Superbe qualité. Rapide. Pas cher. Je recommande.</t>
  </si>
  <si>
    <t>Qualité nuk Super costaud</t>
  </si>
  <si>
    <t>Magique C'EST 40 logettes nettoyantes sol.sens bon  Enlèvement des tâches facile</t>
  </si>
  <si>
    <t>Sac pour homme Article qui a l'air très solide très pratique à voir dans le temps</t>
  </si>
  <si>
    <t>Recommend Produit très intéressant et efficace.  Il faut savoir l'utiliser : le placer vers le bas du lit, pour les pieds (pas d'intérêt sous l'oreiller). Il faut avoir des rallonges sous le lit et multi-prises car 2 câbles un peu courts. Il faut le mettre sous le drap housse bien sûr, mais moi je le mets même sous une alèse en plus, ce qui évite de risquer de le salir et de le laver (je crains un lavage).  Ça marche très bien! Très utilisé en hiver</t>
  </si>
  <si>
    <t>grande satisfaction conforme a mes attentes. rapport qualité prix excellent</t>
  </si>
  <si>
    <t>Patch baume du tigre de bonne qualité J'aime beaucoup ce patch baume du tigre qui soulage mes douleurs musculaires. Personnellement, je le pose une 30aine de minute seulement. L'odeur de camphre est bien présente surtout à la première ouverture du paquet. J'achète 3 paquets à la fois afin de profiter de la promotion avantageuse.</t>
  </si>
  <si>
    <t>Jolis Très jolis boucles d'oreilles, conformes à la description.</t>
  </si>
  <si>
    <t>Qualité prix Parfait ,rien a dire</t>
  </si>
  <si>
    <t>Prix imbattable sur le pack 5 cartouches. Compatibles pixma TS6150. Bonne qualité d'impression.</t>
  </si>
  <si>
    <t>Matiere du Sweat légère Matière du sweat pas très épaisse</t>
  </si>
  <si>
    <t>Nullissime Débit beaucoup trop rapide, donc inutilisable. Poubelle</t>
  </si>
  <si>
    <t>Très mauvaise qualité on a trop mal aux pieds avec ses chaussures là je déconseille Très mauvaise qualité on a trop mal aux pieds avec ses chaussures là je déconseille</t>
  </si>
  <si>
    <t>Attention à la taille ! Je chausse normalement du 42 ou 43 suivant les chaussures et j'ai commandé les Salomon XA Pro 3D en 43 1/2, mais celles-ci sont trop petites. Je ne peux pas rentrer le pied dedans à cause du système de lacet qui ne libère pas assez d'espace lorsque l'on à un coup de pied fort. La chaussure me semble de très bonne qualité et je la trouve jolie, mais je ne vais pas prendre du 45 ou 46 à cause de ce système de lacet. Si vous avez le pied fin, cela peut passer ... J'ai retourné le colis et Amazon a procédé au remboursement.</t>
  </si>
  <si>
    <t>tetines débit 1 ma fille ne les acceptent pas donc pas la faute des biberons mam ni des tétines malheureusement donc ne peut pas juger</t>
  </si>
  <si>
    <t>Bien Bon bah ce sont des sacs poubelle...que dire.... ils sont extremement chers mais au moins, ils sont solides, et adaptés à la poubelle de la meme marque.</t>
  </si>
  <si>
    <t>Chaussures passe partout Chaussures très jolies et discrètes TAILLE NORMALEMENT malgré ce que l'on peut lire Attention tout de même : Elles ont été très peu confortables lors des 2premières semaines, mais après ca c'est parfait</t>
  </si>
  <si>
    <t>Original mais couleur toc Je l'ai eu aujourd'hui comme prévu mais il ne fait pas 550ml mais max 500 et je n'ai pas mesuré ! J'attendais une couleur un peu moins Claire car il fait vraiment plastique ! Au vu des nombreuses photos et modèle du vendeur il paraissait plus joli, mais bon il n'était pas très cher et la télécommande est vraiment un plus pour moi, vu que la plupart de ces articles avec télécommande sont beaucoup plus chers! Je suis tout de même satisfaite de cet achat mais j'en avais vu un autre avec un genre de Lotus par-dessus du même vendeur, et je vais peut être faire l'échange ! La diffusion des huiles essentielles par différents trous lui apporte aussi une touche originale ! Ce vendeur a plusieurs modèles qui me plaisent et j'ai pris celui ci d'après les avis qui étaient presque du 5 étoiles pour tout ! Enfin pour notre chambre il sera parfait car la lumière est paisible pas trop forte et c'est ce que je voulais ! Seule la couleur fait toc s'est dommage ça lui enlève beaucoup de son charme original car la forme est belle aussi ! Par contre heureusement qu'il y a une pile fournie car ni mon homme ni moi n'avons réussi à ouvrir la télécommande, on verra quand il faudra la changer !</t>
  </si>
  <si>
    <t>Bonne qualité. Agréable. Utilisation pour tous les jours.</t>
  </si>
  <si>
    <t>Nettoyant bijoux Fini, la brosse à dent avec du savon ou autre.... Le bain pour les bijoux est idéal et rapide surtout pour les pièces difficiles d'accès.</t>
  </si>
  <si>
    <t>d oreilles strawoski Je suis ravie de ces superbe boucles d oreilles superbe effect je le recommende</t>
  </si>
  <si>
    <t>Super 12,90 € pour ce biberon de marque Dodie, anti colique en verre. Un prix relativement élevé, par lot, c’est quand même plus intéressant. Mais ceci étant dit, j’apprécie vraiment le biberon en verre pour le côté hygiénique. Il peut être stérilisé à très haute température. De forme triangulaire, il est plus facile à prendre en main même pour les bébés quand ils commencent à vouloir tenir leur biberon eux-mêmes. D’autant plus que le verre est pur et ultra résistant aux chocs thermiques. La tétine équipée du système anti colique a déjà fait ses preuves, c’est vraiment fantastique.</t>
  </si>
  <si>
    <t>Très bon Bon sac</t>
  </si>
  <si>
    <t>Un classique Un intemporel, et une de plus à ma collection. J'adore les montres CASIO et celle ci est une pièce indispensable...chic et classique, elle reste super moderne ! J'adore et je la conseille !</t>
  </si>
  <si>
    <t>Pour Bébé ! J'avais déjà essayé cette marque en puériculture et je trouve qu'on a toujours une qualité au top ! On a ici un biberon très bien étudié, pratique et maniable. Il est léger et tient bien en main.</t>
  </si>
  <si>
    <t>Jupon Jupon extra qui donne 1 réel volume aux diverses robes style pin up disponibles sur le site. Je vous le recommande car rapport qualité prix imbattable</t>
  </si>
  <si>
    <t>Très bien Écoutee des chansons pendant les soprts c'est tres confortable. Sa c'est cadeau pour mon ami. Mon ami amies beaucoup. Et Je vais en acheter un autre pour mon autre ami</t>
  </si>
  <si>
    <t>Jolie Il est très jolie, j'allais l'offrir à ma sœur, mais non, je le garde pour moi. Je recommande fortement.</t>
  </si>
  <si>
    <t>Très joli ! Je suis ravie de l'ensemble collier et boucles d'oreilles, ils valent largement leur prix.  Je pensais les pendentifs un peu plus petit mais globalement je suis très satisfaite. Je recommande !</t>
  </si>
  <si>
    <t>tout petit Dodie pense aux tout petits avec ce petit biberon. Suivant les periodes ou les ecoles ont donne un peu d'eau aux nourissons et une cuillière de jus vers 3 mois. j'ai prévu ce petit biberon pour preparé un petit pack cadeau de naissance. le bouchon est presque plus gros que le reservoir, la tetine est reglable et je fais entierement confiance à la marque qui a vue grandir mes 4 enfants et pas mal de mes petits enfants</t>
  </si>
  <si>
    <t>Taille parfaite, leggings élastique et robuste Le tissu est très confortable, est aussi très élastique, la taille reçu est la bonne. Le gros avantage c'est les 2 poches latérales, on a largement l'espace pour mettre ses clefs et le smartphone.</t>
  </si>
  <si>
    <t>très bonne chaussures C'est du solide moi qui suis habitué aux Timberland. Taille grand. J'ai pris du 42 alors que je prend généralement du 43.</t>
  </si>
  <si>
    <t>Bon produit Pour me réchauffer</t>
  </si>
  <si>
    <t>Il manque la fin le plus important a savoir Déçu de ce livre j ai vu le dessin animé quand j'ai lu le livre il manque toute la fin dommage que ce livre soit très abrégé pour le terminer</t>
  </si>
  <si>
    <t>Très mauvaise qualité des semelles au bout de trois mois l'eau passe à travers Attention mauvaise qualité les semelles s'ouvrent dessous au bout de trois mois vraiment pas costaud je déconseille fortement !!! Aucun retour possible</t>
  </si>
  <si>
    <t>Concernant ce casque, Le casque est arrivé plus tot que prévu donc niquel l 'emballage est simple pour 60 euros c'est normal le micro était plié dans une mauvaise position donc cela réduit sa longévité quand au confort il est très léger il offre une légère isolation mais rien de fou fou je l'utilise en stéréo et à ce sujet pou 60 euros rien à redire mise à part un grain de chaleur un peu trop élevé pour les aigus en conclusion c'est une très bonne affaire.</t>
  </si>
  <si>
    <t>Excellent rapport qualité prix vendeur +++ Utilisation est plusieurs gommages, bon produit seul bémol, ne pas faire couler de l'eau dans le pot car ça fait bouillie</t>
  </si>
  <si>
    <t>Très bien pour le prix Très bien pour le prix</t>
  </si>
  <si>
    <t>Chaud , solide et confortable Chaud et confortable. Un bon achat pour l'hiver pour les frileux ! Si on ne les utilise pas par temps mouillé, elles tiendront des années</t>
  </si>
  <si>
    <t>bien Produit arrivé cabossé en bas sinon délais de livraison respecté et bon produit.</t>
  </si>
  <si>
    <t>conforme Fait le job jusqu'à maintenant.</t>
  </si>
  <si>
    <t>Parfait Agréablement surprise. Excellent rapport qualité/prix. Taille très bien. Pour le prix je m'attendais à pire. Et bien non. Je vais d'ailleurs en recommander dans d'autres coloris.</t>
  </si>
  <si>
    <t>Ambiance très zen !!! &lt;div id="video-block-R14VXVZVF3LTZ6" class="a-section a-spacing-small a-spacing-top-mini video-block"&gt;&lt;/div&gt;&lt;input type="hidden" name="" value="https://images-eu.ssl-images-amazon.com/images/I/B1EqX+0AjAS.mp4" class="video-url"&gt;&lt;input type="hidden" name="" value="https://images-eu.ssl-images-amazon.com/images/I/71WOweNrszS.png" class="video-slate-img-url"&gt;&amp;nbsp;Diffuseur d'huiles essentielles et purificateur d'air très design et tendance. Il s'accorde parfaitement bien à mon intérieur. Il diffuse des senteurs d'huiles essentielles et purifie l'air. Très simple d'utilisation. Il dispose d'une commande de boutons pour programmer la durée souhaitée, les couleurs. Une ambiance zen très agréable pour se détendre. Je suis très contente de mon achat et vous le conseille vivement !!! Envoi rapide et soigné. Je recommande.</t>
  </si>
  <si>
    <t>Tres bon micro Acheter à notre fils. Il l'utilise et nous rapporte que le son est excellent pour un micro de ce prix.  Il respire la qualité est très jolie.  Ne pas oublier que pour qu'il fonctionne correctement il faut acheter en plus l'alimentation qui vaut 20€.</t>
  </si>
  <si>
    <t>Très satisfaite Il remplit très bien sa fonction, j’en ai recommandé un deuxième pour ma mère</t>
  </si>
  <si>
    <t>Super produit J ai acheté ce produit suite à un problème de santé. Très facile à utiliser</t>
  </si>
  <si>
    <t>Effet garanti !! Superbe montre , très classe avec un look sympa. C est une montre automatique . La montre  est livré dans une très belle boîte avec le matériel pour régler le bracelet. Les matériaux sont de très bonnes qualités.</t>
  </si>
  <si>
    <t>Tres bon qualité Mon bébé adore les biberons Phillips</t>
  </si>
  <si>
    <t>Parfait Très belle bouilloire. Joli design. Facile à utiliser et à mettre en place. Chauffe rapidement. Et fait une lumière bleue quand elle fonctionne. C'était un cadeau, mon amie en est ravie</t>
  </si>
  <si>
    <t>Un produit que je recommande N'ayant pas les moyens de débourser des sommes considérables dans des écouteurs bluetooth, j'ai voulu essayer ce produit et je ne suis pas déçu. Confortable et très pratique, ils me permettent d'écouter ma musique ou mes podcasts en toutes circonstances. Pour ce prix là, je ne peux que vous conseiller d'acquérir ce produit.</t>
  </si>
  <si>
    <t>Excellent Commande arrivée dans les délais prévus. Le produit est conforme à ce que j’attendais. J’ai eu les mêmes biberons pour les aînés il était normal pour moi de prendre encore ceux là pour ma dernière.</t>
  </si>
  <si>
    <t>Parfait Basket o top correspond a l'attente Taille normal pour vans (un peu grand) J'ai pris du 37 et je chausse habituellement un 37.5</t>
  </si>
  <si>
    <t>Bel article Belle épaisseur sous le pied, bonne hauteur, qualité et solidité à voir sur la durée.</t>
  </si>
  <si>
    <t>Parfait Acheter pour faire du footing je recommande cet article qui maintient parfaitement la poitrine agréable au toucher je l'ai lavé plusieurs fois il n'a pas bougé</t>
  </si>
  <si>
    <t>Bonnes chaussures ! Confortables, légères ... Je ne regrette pas cet achat ! Au niveau des Sledgers (que je n'ai pas retrouvé de disponible à l'heure actuelle !)</t>
  </si>
  <si>
    <t>À acheter les yeux fermés ! Marque et modèle que je plébiscite pour le confort et le style !</t>
  </si>
  <si>
    <t>montre LIGE pour hommes, noir en acier avec chronomètre et remise à zéro jolie montre, mais dommage que le bouton de remise à zéro du chronomètre ait disparu au bout de 10 jours sans manipulation montrant le peu de fiabilité de ce produit.</t>
  </si>
  <si>
    <t>Ne surtout pas acheter Il ne s’agit pas d’un pull mais d’un t-shirt en lycra, sans capuche... bref rien ne correspond à ce qui avait été indiqué...</t>
  </si>
  <si>
    <t>Du plastique.. Chers pour des disques de plastique. Ca fonctionne aussi sur les mam. Dans tous les cas, les prix sont devenus prohibitifs pour des biberons, des disques, ou des tétines.. Tout cumulé, ça revient cher le bib...</t>
  </si>
  <si>
    <t>Attention à la date de validité ! Bonjour. A réception de ma cartouche, l'emballage postal est bien fermé mais il faut l'ouvrir pour s’apercevoir que la boite de la cartouche d'origine HP est ouverte. La date de validité sur la boîte est correcte mais elle ne prouve pas que le sachet scellé qui est à intérieur, celui qui contient la cartouche, le soit, car il n'y a pas de date sur ce sachet ! C'est peut-être un moyen pour le vendeur de diffuser de vieilles cartouches - IL FAUT VRAIMENT TOUT VÉRIFIER - FAITES ATTENTION !</t>
  </si>
  <si>
    <t>thermomètre fantaisiste Je ne peux vérifier l'hygromètre, mais le thermomètre intérieur fonctionne normalement. Par contre,  le thermomètre extérieur indique des températures supérieures de 2° à celles constatées par 2 thermomètres classiques placés à côté....!! Y aurait il un réglage que je n'eusse pas effectué? Merci en tous cas de vos courriers et d'une réponse... C.Compérat</t>
  </si>
  <si>
    <t>Très bien Legging non transparent ce qui est pratique pour le sport. Les 2 poches sont de bonnes tailles et permettent de ranger téléphone et clés sans souci</t>
  </si>
  <si>
    <t>Bon rapport qualité prix Spacieuse fermetures solides. Pratique avec sa bandoulière unique. Se porte de dos ou de face</t>
  </si>
  <si>
    <t>Kit tout compirs Déception au déballage : le tableau est abimé : 2 coups dans la surface blanche et le cadre métallique est décollé à un endroit. A part cela, le kit est intéressant : stylos, aimants, effaceur et kit de fixation compris. J'ai mis ce tableau dans ma salle de classe et nous nous en servons quotidiennement. La surface s'efface bien : pas de trace. Porte stylo à fixer (non sans difficulté pour retirer les angles noires). Se fixe horizontalement ou verticalement.</t>
  </si>
  <si>
    <t>Parfait Agacé de devoir payer plus de 3 euros pour un rouleau de scotch en grande surface. Là c'est parfait! Le produit est conforme à la description. C'est économique, peu cher, de bonne qualité tout de même. Je suis satisfait de mon achat et le recommande.</t>
  </si>
  <si>
    <t>Un bon casque d’écoute! Ils sont très confortables, notamment grâce à de petites boucles en silicone qui peuvent être insérées naturellement dans l’oreille. La qualité du son était tellement bonne que je pouvais facilement mettre Mes Écouteurs en rapport avec mon smartphone. Les casques d’écoute sont munis d’une enveloppe protectrice qui empêche l’entrée de poussières et leur charge par USB, ce qui est très pratique. Je recommande ce produit.</t>
  </si>
  <si>
    <t>chaussures asics très bon amorti, super chaussures</t>
  </si>
  <si>
    <t>RIEN A AJOUTE 10 paire de chaussette reçu dans les délais , design réussit avec des couleur différent ,idéal  pour choisir les bon paires selon  les saisons, en fin qualité respecte , je recommande car y'a rien a rajouter .</t>
  </si>
  <si>
    <t>Excellent rapport qualité/prix Le ruban adhésif est de qualité très correcte. Pour le prix c'est un excellent produit. Je le recommande sans hésiter.</t>
  </si>
  <si>
    <t>ToP Superbe casquette. Sobre avec son logo NY sur le côté (permet de se distinguer de ts les autres modèles), la qualité est au rendez-vous. Ma fille ne la lache plus.</t>
  </si>
  <si>
    <t>parfait un anneau s'est cassé mais le reste est nickel. ma fille adore</t>
  </si>
  <si>
    <t>Génial Ma fille l’a reçu en cadeau de noël et elle est ravie. Ce livre plaira à tous les enfants qui aiment la science et qui se posent beaucoup de questions. Les explications sont claires.</t>
  </si>
  <si>
    <t>Bonne bouilloire Parfait pour les amateurs de thés, très facile d'utilisation, je recommande</t>
  </si>
  <si>
    <t>Fleece Tiens bien chaud. Top</t>
  </si>
  <si>
    <t>très chouette j'aime beaucoup cette montre pour l'été, on peut changer le bracelet très sympa</t>
  </si>
  <si>
    <t>Conforme aux attentes RAS</t>
  </si>
  <si>
    <t>Super Très satisfait de mon achat ! C'est une belle paire de chaussure conforme à ce qui est attendu. Je recommande</t>
  </si>
  <si>
    <t>Contente Très bonne tétine. Bebe a accepté sans problème. C'est comme si c'était avec mon sein. Il tête les yeux fermés.</t>
  </si>
  <si>
    <t>Sans surprise . Très bon produit Produit conforme au descriptif</t>
  </si>
  <si>
    <t>a éviter conditionnement mauvais. mes boucles sont arrivées tordues. elles sont jolies mais c'est tout</t>
  </si>
  <si>
    <t>chaine Cette chaine m'était destinée et au bout de 3 jours elle est devenue noire et cassée? Passez votre chemin et allez voir ailleurs car je ne la recommande pas du tout</t>
  </si>
  <si>
    <t>Plus que déçu J’ai reçu une première paire présentant un défaut plus que dérangeant. En effet l’oreillette gauche ne cesse de faire un bruit, comme la «&amp;nbsp;neige&amp;nbsp;» sur les ancienne télé cathodique. Cela gêne énormément lors de l’utilisation. Je contacte donc le support Jabra qui est d’une piètre qualité et un temps de réponse incroyable. Je contacte donc Amazon qui ont la gentillesse de me renvoyer une seconde paire et rebelotte ! Le même problème est présent ! En cherchant sur internet je vois que c’est un problème récurent sur ce modèle ! Une honte pour le prix du produit !</t>
  </si>
  <si>
    <t>taille un peu petit joli , convient , mais taille un peu petit</t>
  </si>
  <si>
    <t>Parfait Très beau bijoux les couleurs sont splendides</t>
  </si>
  <si>
    <t>COOL...🙋 Bonjour.  Votre montre est très jolie elle garde l'heure second près Très belle conception surtout avec une façade plus rouge sur la deuxième image( pardon pour le qualité d'image)  que pensez-vous. 😉Niveau qualité prix imbattable je vous remercie.  Cordialement . Paul.</t>
  </si>
  <si>
    <t>couronne en cristal j ai utilisé cette couronne pour un anniversaire et j'ai fait sensation, on m'a demandé où je l'ai acheté je n'ai pas manqué de dire où je l'ai eu. Elle est d'un plus bel effet, je la recommande même pour une autre utilisation qu'un anniversaire.</t>
  </si>
  <si>
    <t>Bon rapport qualité/prix Bon goupillon. J'aime beaucoup le bout en éponge qui permet de bien nettoyer le fond des biberons.  Par ailleurs, avec le mini goupillon à tétines vissé dans le manche, il tient debout tout seul. En revanche, je n'utilise pas ce mini goupillon : il a des poils très courts et très durs, j'ai l'impression d'abîmer les tétines plutôt que de les laver. Mais j'en avais un autre donc ça ne manque pas.</t>
  </si>
  <si>
    <t>Très bien ! Très joli diffuseur et design agréable. Les couleurs sont belles et elles changent. Facile d'utilisation, silencieux. Le débit de vaporisation est très correcte. Très satisfaite de mon achat !</t>
  </si>
  <si>
    <t>La base Génial, fonctionne très bien, dommage ne garde pas au froid plus de 10 minutes, je recommande ça fait vraiment du bien aux yeux</t>
  </si>
  <si>
    <t>jolie jolie</t>
  </si>
  <si>
    <t>Ne fuit pas En remplacement de l'actuelle tétine antifuite du biberon de notre fils, très pratique, il boit très bien avec, ne fuit pas.</t>
  </si>
  <si>
    <t>Très belle pochette. Offert par mon fils a son père pour la fête des pères.Elle est bien grand mais pas trop ,plusieurs compartiment et plein de fermeture.Le cuir sent un peu mais il va s’estomper avec le temps.</t>
  </si>
  <si>
    <t>Bonne qualité sonore Les écouteurs ont fière allure et sont très confortables à transporter.Le prix n'est pas cher.Les écouteurs très légers sont très confortables et ne feront pas mal pendant longtemps. J'ai acheté ses écouteurs pour en avoir tout le temps au travail. Rapport qualité prix imbattable à mon avis.</t>
  </si>
  <si>
    <t>Très pratique et une touche de verdure dans la cuisine ! J'adore cet égouttoir. Il est agréable à voir. Une petite touche de verdure dans la cuisine. Il est très pratique. J'ai complété avec une fleur et un arbre. Je peux mettre trois biberon de la marque Mam  en mettant les tétines et les joints sur la fleur et l'arbre.</t>
  </si>
  <si>
    <t>très bonne calculatrice Acheter pour mon enfant qui est en 3eme . Racheter je devrais dire car il c'est fait voler au collège la précédente ... Commander en urgence pour contrôle commun de mathématiques le lendemain, reçu le soir même, merci Amazon, vous avez assurer !!  C'est la marque et le modèle de calculatrice recommandé par le professeur de mathématiques en début d'année ! Elle fonctionne avec des piles mais est aussi solaire, très pratique ! Il y a 3 lignes en mode calcul , idéale afin de ne pas s'embrouiller dans les chiffres !  Très bon rapport qualité/prix !  Je recommande cette calculatrice pour les enfants de collégiens/lycéens !!</t>
  </si>
  <si>
    <t>idéal rien à redire</t>
  </si>
  <si>
    <t>Etiquettes parfaites !! Très très bon produit. On avait essayé d'autres marques mais celui ci est parfait. elle colle parfaitement. elle est douce.</t>
  </si>
  <si>
    <t>petit cœur petit cadeau acheter pour madame elle adore le petit cœur entouré de c'est aile avec c'est petite perle , elle adore :) en plus il se fait assez  discret , et dans sont petit écrin effet garanti :) je vous le conseille , elle seras ravie , ou vous serez aussi ravie :)</t>
  </si>
  <si>
    <t>Ok Bien</t>
  </si>
  <si>
    <t>Article recommandé Envoi rapide article parfaitement conforme Très bonne qualité merci beaucoup</t>
  </si>
  <si>
    <t>Parfait pour lait guigoz formule épaissie Le lot comprend deux tétines. Conforme à mes attentes, super pour le lait guigoz épaissie de mon fils</t>
  </si>
  <si>
    <t>Très bon produit J'ai vraiment apprécié ce PTH car il est très pratique et très hygiénique, aussi bien pour les enfants que pour les adultes. On se sent tout de suite plus propre et plus frais après avoir utilisé le papier toilette "normal" et il peut être jeté directement dans les toilettes. Par contre, je trouve le papier petit mais bon, ça n'empêche rien. De plus, il est un peu cher pour la quantité qu'on y trouve!!!</t>
  </si>
  <si>
    <t>Écouteurs lourds qui ne tiennent pas Très bonne qualité sonore. Mais écouteurs lourds, qui ne tiennent pas aux oreilles lorsqu'on marche ou fait du sport. Ils sont aussi douloureux lorsqu'ils sont portés longtemps, du fait de leur poids.</t>
  </si>
  <si>
    <t>Je déteste la couleur reçue Je sais qu'il était écrit couleur aléatoire mais bon là faut pas déconner quand même j'ai reçu un produit rose fluo et violet sympa quand c'est pour un garçon !!! on ne m'y reprendra pas couleur aléatoire = j'irais en magasin la prochaine fois.</t>
  </si>
  <si>
    <t>juste Pour un litre c'est trop cours, j'ai scotché le petit qui avais tendance à diminuer la longueur un peu plus.</t>
  </si>
  <si>
    <t>Bof Taille petit Je ressens une gêne Rien à voir avec mes asics précédentes</t>
  </si>
  <si>
    <t>Bien arrivé Fait un peu mal au début mais en s’h Vite bon produit</t>
  </si>
  <si>
    <t>Bracelet Tres bien....enfin recu faut pas etre pressé</t>
  </si>
  <si>
    <t>Choisissez vraiment votre taille car ça chausse un peu petit Merci de mon colis 📦j'ai vraiment aimé 😊</t>
  </si>
  <si>
    <t>Trés bon achat Chaussures/Basket de bonne qualité. Parfait pour le travail, tout en gardant le confort d'une basket de ville. Je recommande</t>
  </si>
  <si>
    <t>Casque Bluetooth pour Bureau, Avion, et Transport en commun Mon super bon vieux casque AKG filaire commençait à rendre l'âme après quelques années de service.  Je n'était pas vraiment convaincu pour acheter un Gros casque en BT, mais au détour d'une promo sur Amazon je me suis laissé tenter. Ce fut une bonne surprise :-)  Ce que j’apprécie dans un casque de ce format, c'est : - la présence de grave - qu'il soit confortable  Avec celui-là, les deux conditions sont réunies. La qualité de fabrication semble assez bonne. La présence d'un cordon mini-jack &amp;gt; mini-jack est appréciable en cas de panne de batterie, ou en absence de BT.  L'autonomie en Bluetooth est assez énorme ; je n'en suis pas venue à bout. Les 20 heures annoncées sembles proche de la réalité.  Concernant la réduction de bruit : elle fonctionne bien, mais un poil en dessous de celle de chez Bose. Lorsqu'elle est activée, le son est légèrement moins dynamique.  Le seule petit point négatif, commun à tous les casques de ce gabarit, est la place occupée. Même plié dans son étui (livré avec), dans un sac de voyage il occupe l'espace d'une casquette de Baseball.  M.A.J. du 22/06/2019 : - pas facile de savoir s'il est allumé, ou pas - la qualité audio est vraiment bonne, pour ne pas dire très bonne</t>
  </si>
  <si>
    <t>Géniale Super rien à dire qualité prix aussi</t>
  </si>
  <si>
    <t>Très bon produit Produit complet livré avec 3 types de raccordement à la télévision. Le fonctionnement est instantané à partir du moment ou le transmetteur a été raccordé et les écouteurs appairés. Les 2 personnes à qui je les ai offerts sont ravies car elles peuvent enfin écouter la télé sans mettre le volume trop fort. je recommande ce produit.</t>
  </si>
  <si>
    <t>Je recommande Ravie du contenu, drôle, ludique, acheté pour mon fils de 8 ans , il l'a commencé immediatemment. Livraison rapide.</t>
  </si>
  <si>
    <t>Confort des pieds Très belle chaussure, à voir dans le temps pour la solidité</t>
  </si>
  <si>
    <t>Chaussure Boite sans accros</t>
  </si>
  <si>
    <t>Excellente socquette Ne glisse pas dans la chaussure, ne rétrécit pas au lavage, très bonne socquette 👍</t>
  </si>
  <si>
    <t>Top Ras. Bon produit</t>
  </si>
  <si>
    <t>Bon produit C'était exactement ce que je recherchait</t>
  </si>
  <si>
    <t>Top RAS, c’est difficile de trouver un biberon j’en verre de si grande quantité celui ci remplit parfaitement sa mission !</t>
  </si>
  <si>
    <t>Indémodable Beaucoup de fonctions dans une montre discrète et facile d emploi La calculatrice est très utile le répertoire téléphonique aussi Monsieur Casio, actualisez cette montre.en la rendant un peu plus étanche Dommage que ce style de montre ne se fasse plus</t>
  </si>
  <si>
    <t>Sweet shirt Fruits of the loom Livraison plutôt rapide.Le produit est d'excellente qualité. Taille bien adaptée. Vrai sweet à l'ancienne confortable et chaud. Ideal pour faire du sport ou rester à la maison.</t>
  </si>
  <si>
    <t>Sublime Les critiques négatives sont importantes pour tout produit  mais il doit parfois y avoir de l'abus . Je n'ai pas acheté les écouteurs bluetooth Powerbeats 3 à cause de tous ces commentaires négatifs sur amazon et ailleurs . Je souhaitais un produit  que je pouvais aussi porter eventuellement pour faire un peu de footing .Alors j'ai fini par choisir ce casque sublime Bosé soundlink 2 et j'en suis trés satisfait sur tous les plans , c'est une tres belle reussite .Reçu en avance . Appairage en 2 secondes avec iphone SE. Son à la qualité sublime  sans latence , testé avec videos youtube . Rien a redire , produit à acheter les yeux fermés . Bien sûr si on est plus fortuné on achetera la gamme au dessus . On peut même bien bouger, courir et sauter ( pas en parachute evidemment ) le casque tient tres bien sur les oreilles , j'ai testé . Bien sûr mis à part la longueur des cables recharge et USB , il n'y a rien à reprocher à ce produit magnifique .</t>
  </si>
  <si>
    <t>très belle veste très belle veste rapport qualité prix super ! je l'ai prise pour ma fille de 12 ans qui mesure 1 m 55, et elle lui va très bien. livraison rapide ! je recommande cet article</t>
  </si>
  <si>
    <t>produit parfaitement adapté Simple d'utilisation</t>
  </si>
  <si>
    <t>Très bon biberon C'est la 2ème fois que je l'achète car marre des biberons en plastique qui se lavent mal et jaunissent. Celui là est très pratique, facilement lavable, made in france. Il est déjà tombé sans connaitre ne serait ce qu'une fissure. Je recommande et aurais du les acheter plus tôt (ma fille à 18 mois). Dommage qu'il n'y ait pas de taille plus petite.</t>
  </si>
  <si>
    <t>Micro décevant - synchronisation difficile entre les 2 écouteurs J'ai acheté cette paire d'écouteurs pour tester le concept, ayant utilisé des écouteurs bluetooths reliés par un fil auparavant. C'est globalement décevant pour ce modèle : - point principal pour moi, les personnes ne m'entendent pas bien quand je parle - la synchronisation entre les 2 écouteurs ne fonctionne pas bien. Je me retrouve souvent avec un seul écouteur, et cela switch ensuite automatiquement entre l'un et l'autre ! Pour rétablir la situation il faut couper le bluetooth sur le téléphone et éteindre/rallumer les 2 écouteurs. Pas pratique ! - enfin les écouteurs sont plutôt gros (mais c'est purement une question de d'esthétisme  Sinon en écoute pure de musique par exemple, le son est ok.</t>
  </si>
  <si>
    <t>Négatif !! Zippo fonctionne pas.. même après avoir tout changé.</t>
  </si>
  <si>
    <t>jupon rèche :/ je ne suis pas satisfaite du produit...je l'ai pris aussi en d'autres coloris, j'aurais du m'abstenir ! la matière est rèche, on sent que ça n'est pas de la grande qualité... niveau délai, assez rapide</t>
  </si>
  <si>
    <t>tres fragile après une journée d'utilisation , en l'enlevant , le plus dans la chaîne qui pendait s'est cassé, c'est une belle chaîne mais reste très fragile, retour demandé</t>
  </si>
  <si>
    <t>Un peu juste niveau qualité Jolis médaillons mais les colliers restes très bas de gamme. Pour le prix je pensais un peu mieux ma fille était tout de même ravie de le partager avec sa copine.</t>
  </si>
  <si>
    <t>Confort fantastique. La marque ne faillit pas à sa réputation, finition parfaite et matériaux de qualité. Le grand plus réside dans le confort et l'amortit qui sont en tout point réussis.</t>
  </si>
  <si>
    <t>La qualité Cadeau</t>
  </si>
  <si>
    <t>taille bien legere et confortable J'ai l'habitude chez Puma de prendre un 42,5, mais en 42,5 sur celle-ci elle sont un peu grande, j'ai donc changé pour un 42 et c'est impeccable, Sinon c'est une chaussure plutôt "propre" pour aller travailler je la trouve légère et confortable juste un petit doute sur la couleur beige claire de la "vague" puma sur les coté qui risque peut-être  de se salir un peu vite (voir la photo pour la matière).  Sinon c'est une chaussure que je recommande à voir dans le temps si elle vieillisse bien :)</t>
  </si>
  <si>
    <t>Bon maintien Un peu juste pour un 110D mais ça passe. Maintien bien la poitrine je le recommande pour le sport votre poitrine ne bougera pas.</t>
  </si>
  <si>
    <t>tres belles baskets CONVERSE ma fille a été ravie de cette belle paire de CONVERSE rouges à un prix plus que raisonnable très bel article !</t>
  </si>
  <si>
    <t>Très confortable bien adapté aux pieds On ne glisse pas du tout très confortable je l utilise sur parquet et escalier vitrifiés</t>
  </si>
  <si>
    <t>Tres pratique support ordinateur Nickel, maintient bien l'ordi, ce qui lui  permet de ne pas sur chauffée ! Leger et maniable il permet d'être emporter partout facilement ! Et sa permet de ne pas avoir la tête penchée en avant quand on est sur l'ordi</t>
  </si>
  <si>
    <t>Bien faite attention à la taille Parfait pour une utilisation cotodienne</t>
  </si>
  <si>
    <t>Bon son Après avoir fait plusieurs essais avec les mousses des écouteurs, j'ai trouvé la bonne taille, Ca tient bien à l'oreille, même en marchant rapidement. Le son est bon, et je n'ai pas mal aux oreilles en les portant longtemps</t>
  </si>
  <si>
    <t>Rapide Parfait  rapide</t>
  </si>
  <si>
    <t>Magnifique Super montre!! Je regrette pas mon achat</t>
  </si>
  <si>
    <t>Diffuseur Je voulais un diffuseur d'huile essentielle pour éviter les spray toxique que l on trouve en magasin et j'en suis satisfaite techniquement et esthétiquement. Plusieurs ambiances sont possible, le remplissage est simple . Très peu bruyant.  Je le recommande.</t>
  </si>
  <si>
    <t>Bonne qualité J'utilisais des goupillons comme celui-ci avant, mais les poils de la brosse avaient tendance à partir rapidement ou à s'abimer. Je suis donc passé sur les goupillons en full silicone, qui au final ne semble pas super bien laver. Du coup, retour à ce type de goupillon et j'en suis super content, c'est robuste!</t>
  </si>
  <si>
    <t>Bien Acheté en promo, pas cher du tout. Arrivé conforme à la photo et la description. Très pratique et efficace. Devenu trop cher, c'est dommage. C'est un très bon produit</t>
  </si>
  <si>
    <t>TRÈS BON ARTICLE Acheté pour mon ado. Il est enchanté. Matière agréable.  Les couleurs résistent au lavage. Nous en racheterons sûrement avec d'autres motifs.</t>
  </si>
  <si>
    <t>Rapport qualité/prix insane Le bras articulé est toujours fonctionnel après quelques années, évitez juste de la secouer de partout. Très bon achat si vous envisagez d'acheter un vrai micro plus tard. Sinon le micro est vraiment pas ouf.</t>
  </si>
  <si>
    <t>la qualité c'est juste... WAW c'est exctement ce que je voulais le son il est incroyable on entend bien tout les instrument surtout la BASS sa change tout c'est extra surtout quand on regle le son du téléphone sur le parametres ROCK ou RNB c'est just waaaw D4AILLEUR JE PENSE A PRENDRE UN 2ème, franchement le prix en vaut le cout!</t>
  </si>
  <si>
    <t>agenda Agenda conforme à mes attentes et à la description faite. C'est le format qui me convient. Livraison ultra rapide. Je suis satisfaite de mon achat.</t>
  </si>
  <si>
    <t>Super micro Super cadeau pour ma fille Facile d’utilisation et bonne qualités son En plus c’est Bluetooth êtes charge avec le câble au lieu des piles</t>
  </si>
  <si>
    <t>Produit mal étudié La fermeture du rabat est maintenue par deux petits aimants. Ces aimants sont trop faibles et ne maintiennent pas le cartable fermé lorsqu'il est porté par la poignée. Il serait plus efficace d'avoir une fermeture (liche apparente) appliquée et fermant avec une boucle. Est-il possible d'apporter cette modification, auquel cas je vous retournerai le cartable ? Merci pour votre réponse. Alain le Grelle</t>
  </si>
  <si>
    <t>Ne pas acheter Le stilet ne fonctionne pas du tout. Retour à l envoyeur et remboursement reçu immédiatement</t>
  </si>
  <si>
    <t>Cartouche noire xl defectueuse Malgres mes multiples commandes de cartouche ,je suis tres déçu cette fois ci car la cartouche noire xl s est vidé dans l imprimante. Super le nettoyage et biensur plus d encre alors que j'ai fait seulement une impression</t>
  </si>
  <si>
    <t>Sympa.mais pas enorme niveau taille Sympa mais assez petit je voyais cela plus grand. Mais il fait son boulot malgres cela. Prix correct comparer au prix en magasin</t>
  </si>
  <si>
    <t>Doublure laine mais, majoritaire à quel pourcentage ? Avec cette marque vous avez la certitude d'un produit traditionnel de qualité. Je reste fidèle à cette marque depuis belle lurette. 4 étoiles et non 5 pour (c'est vrai que là, je chipote), la doublure est certes en laine Mais laine majoritaire et non du 100% laine. Le fabricant devrait indiquer en clair le % et ne pas découvrir, un jour, laine minoritaire.</t>
  </si>
  <si>
    <t>pas mal bien pour le prix</t>
  </si>
  <si>
    <t>Produit de qualité pour son prix. Rapport qualité au top, avec le logiciel Voice Meeter, c'est parfait. Je recommande pour les amateurs ou les petits vidéastes.</t>
  </si>
  <si>
    <t>Bon produit Très bonne chaussure</t>
  </si>
  <si>
    <t>avis très satisfaite de mon achat</t>
  </si>
  <si>
    <t>Article conforme à la description J'utilise ce cordon VGA en doublon avec un autre cordon que je possédais déjà afin de connecter mes deux unités centrales sur mon unique écran (Il va de soi que je n'allume pas les deux UC en même temps… ;-). Ce cordon fait tout à fait l'affaire pour une somme modique. Il m'a été livré le jour prévu, bien protégé par son emballage, rien à redire.</t>
  </si>
  <si>
    <t>parfait!! recu comme prevu,bonne taille 43 pour 43 rien a redire</t>
  </si>
  <si>
    <t>très pratique Petit goupillon très pratique pour les tétines</t>
  </si>
  <si>
    <t>super beau Collier très joli, avec des petites pierres faites dans un dégradé de bleu ainsi que des petits zirconium. très bon rapport qualité/prix</t>
  </si>
  <si>
    <t>Bon produit J'aime beaucoup ce beurre de karité, il peut paraître dure mais il suffit de le chauffer légèrement entre les doigts, je l'ai transvasé dans deux bocaux en verre cela me permet de l'utiliser plus facilement car le pot en plastique n'est pas très pratique! Vendeur de confiance, envoie rapide et soigné, je recommande!</t>
  </si>
  <si>
    <t>MAM toujours au top ! J'ai acheté ce biberon aux six mois de ma fille. J'ai toujours été fidèle à la marque MAM depuis sa naissance. Il est très résistant, passe très bien au lave vaisselle. Je ne chauffe pas le lait donc je ne sait pas pour le micro ondes. Il se lave aussi facilement au goupillon car tout est bien accessible. Je suis très satisfaite.</t>
  </si>
  <si>
    <t>Stylé! Très fin, conforme à mes attentes.</t>
  </si>
  <si>
    <t>très beau produit Si vous voulez vous faire plaisir ou faire plaisir, c'est clair que vous ne serez pas déçu . Tout d'abord un conditionnement impeccable avec à l'intérieur une magnifique batterie qui s'ouvre par coulissement dans laquelle se logent  les écouteurs qui trouvent chacune leur emplacement à droite et à gauche pour se recharger . Un son qui fait plaisir aux oreilles et un design qui fait plaisir à la vue .</t>
  </si>
  <si>
    <t>Impeccable ! Je cherchais un lot mam gris malheureusement sans succès. J'ai commandé ce lot en couleur vert comme indiqué et lai reçu en gris  C'était pour offrir la concernée était plus que ravis</t>
  </si>
  <si>
    <t>Basket très girly Elle sont juste magnifique</t>
  </si>
  <si>
    <t>Nikelle Très bonne chaussette</t>
  </si>
  <si>
    <t>Just perfect Acheté pour un usage perso, je le trouve juste magnifique et pour pas cher. Je ne peux que conseiller le vendeur chaudement et surtout digne de confiance.</t>
  </si>
  <si>
    <t>Très jolie Très belle montre, beau design avec de belle finitions. Indique aussi la date. Vendu avec l'outil nécessaire pour changer sa pile soit même 👍 Son bracelet en petit maille, la rend très agréable à porter. Très bon rapport qualité prix. Pas déçu de mon achats</t>
  </si>
  <si>
    <t>Confortable Casque acheté pour une utilisation principalement en intérieur. Coussinets très confortable, le son est asssez bon! L'autonomie est très correcte et la reduction du bruit est assez efficace.</t>
  </si>
  <si>
    <t>Satisfait Pas besoin de chauffé plus.manque un arret programmé, mais a se prix on ne se plaint pas.bonne qualité.hier j'ai oublier de l'éteindre, aujourd hui il ne fonctionne plus Je retire 2 étoiles</t>
  </si>
  <si>
    <t>Le papier n'est pas coupé à la bonne taille Je déconseille, il faut découper le papier pour le faire entrer dans le boitier de l'imprimante J'en ai eu marre , j'ai acheté d'autres feuilles</t>
  </si>
  <si>
    <t>Mauvaise qualité Le côté brillant et métallique ne tient pas beaucoup, c'est dommage au bout de quelques utilisations les feutres ne font plus que des traits très peu colorés bien loin de ce qui est promis. Très déçues.</t>
  </si>
  <si>
    <t>Casio Très jolie montre mes la boîte les moins je n'est pas vus de notice en français et le réglage de la montre est pas top non plus</t>
  </si>
  <si>
    <t>Satisfaite Le produit est conforme à l'image seul petit bémol je rejoint les autres acheteurs, il mériterait d'être mieux emballé pour la livraison. Aucun carton ne l'entour, et peut être à améliorer, les fils de liaison sont peut être un peu court. Sinon pour un cadeau d'anniversaire la réaction était celle escomptée. Je recommande ce produit qui pour son prix très raisonnable est de bonne qualité et amplement suffisant pour un débutant.</t>
  </si>
  <si>
    <t>Taille Impeccable Taille impeccable , belle chaussure , livrée correctement, bien emballée . Légère petite tache sur le dessus , peut être petit défaut de fabrication .</t>
  </si>
  <si>
    <t>impec cnformes à la description faite sur Amazon.</t>
  </si>
  <si>
    <t>Bonne qualité bon rapport qualité prix, cela fait plusieurs semaine que je le porte et il reste bien</t>
  </si>
  <si>
    <t>Chaussure de Sécurité Chaussures achetées pour ma fille en étude de jardinerie. Elles lui vont comme un gant ; Légère, solide. Nous avons pris sa taille (du 40) et elles lui vont très bien. Entirèrement satisfait.</t>
  </si>
  <si>
    <t>HP 950XL/951XL Pack de 4 Cartouches d'Encre... le lot de cartouche HP est satisfaisant ; j'attendais de voir son utilisation et avoir un point de vue objectif quant à son utilisation pour donne un avis au plus juste.</t>
  </si>
  <si>
    <t>belle Très belle montre. Mon ami aime beaucoup.</t>
  </si>
  <si>
    <t>Produit conseillé Je vous conseille cette sacoche. Il y a suffisamment de poches. Elle est solide. Les fermetures éclair sont solides. Elle se porte en bandoulière.</t>
  </si>
  <si>
    <t>façile a mettre au pieds la largeur ,la taille ,pas très amortisseur ,mais confortable qualité ok</t>
  </si>
  <si>
    <t>Un casque vraiment excellent et confortable Ayant de très nombreux casques la première chose que je privilège c'est le son et le confort.  déjà nous avons un casque vraiment élégant avec une surface en simili-cuir sur l'arceau cranté qui est réglable en hauteur, il inspire confiance avec son cadre en aluminium très souple.  son poids plume est de 337 grammes avec son micro, et là je peux vous dire que même après plusieurs heures de sessions aucune douleur ou gênes se fait sentir, il est redoutable en confort sur la tête un super bon point pour moi, idem pour les coussinets renforcés d’une mousse à mémoire de forme qui recouvre les oreilles c'est d'un confort extraordinaire, donc vraiment satisfait sur une de mes priorités "le confort"  pour le son maintenant, je suis assez pointilleux car même si je vais utiliser le casque sur ma console PS4, je suis aussi musicien sur synthétiseurs et l'ayant donc aussi testé sur mes différents synthés et mon verdict, les basses sont présentes mais pas omniprésentes aucune  saturation sur les aiguës, il pourra aussi être utilisé pour de la musique et autres, il peut être branché sur une tablette, smartphone etc ....grâce a sa prise jack 3,5 mm qui lui donne une énorme comptabilité sur d'autres appareils.  sur ma PS4 c'est un vrai bonheur avec un micro détachable à réduction de bruit super-efficace, avec une molette de volume réglable + couper du micro directement sur un câble tressé de qualité et d’une bonne longueur 1.3m la voix est claire et les sons dans les jeux sont vraiment au top du top.  si vous recherchez un très bon casque micro de grande qualité sans dépenser une somme excessive c'est le casque qu'il faut choisir un rapport qualité-prix exceptionnel.</t>
  </si>
  <si>
    <t>Adapter très bien dans ses baskets</t>
  </si>
  <si>
    <t>Pochette pour portable Pochette de très belle qualité spécifique pour portable uniquement</t>
  </si>
  <si>
    <t>Un très bon micro pour la dictée vocale J'utilise principalement le micro avec dragon NaturallySpeaking. Précédemment j'utilisais un micro casque dédié de marque Plantronics, mais je souhaitais un micro à pied, afin de pouvoir le poser sur le bureau. À 30 ou 40 cm de celui-ci, le taux de reconnaissance est excellent. Par contre, je ne sais pas pourquoi, sur le micro que j'ai reçu il n'y a pas l'inscription THX sur le devant, est-ce normal ???? Bizarre</t>
  </si>
  <si>
    <t>Huile Bonne explication à l intérieur de l emballage jolie boîte merci</t>
  </si>
  <si>
    <t>Retour vers le futur Montre très sympa conforme à mes souvenirs d'enfance quand j'en voulais une. Transport, bien emballé et dans sa boite d'origine Casio. La notice n'est pas en français mais sincèrement elle est facile à régler et à utiliser.</t>
  </si>
  <si>
    <t>Super C'est ma 3eme paire de converse et j'en suis entièrement satisfait! la taille correspond et le produit est lavable facilement</t>
  </si>
  <si>
    <t>Très bon reveil J'ai reçu ce reveil assez rapidement. Doté d'un beau design il s'avère être extrêmement utile et fonctionnel. Le son et la lumière sont agréables Je recommande !</t>
  </si>
  <si>
    <t>belle qualité Très joli bracelet de bonne qualité, bien présenté dans une jolie pochette bleu marine. S'accorde avec tout type de tenues.  Sympa pour un cadeau homme ou femme. Reçu très rapidement.</t>
  </si>
  <si>
    <t>Taille petit Attention prendre taille au-dessus taille petit sinon bonne qualité belle couleurs</t>
  </si>
  <si>
    <t>Décue! Pas le plus simple d'utilisation: mon homme n'arrive pas à s'en servir alors il préfère utiliser le bon vieux micro-ondes...le système pour remplir le chauffe biberon d'eau est nul! Je mets la note de 2 étoiles car on peut le brancher en voiture mais ne le recommande pas!</t>
  </si>
  <si>
    <t>Trop grand Honnêtement chez new balance je prends toujours la même pointure chez new balance Et la surprise 41,5 ma pointure habituelle et la beaucoup trop grand au moins de 2 pointures Donc prendre en dessous de votre pointure</t>
  </si>
  <si>
    <t>Puma Un peu trop petit mais bonne couleur et par contre un problème de livraison sinon sa va Ps prendre au moin une taille au dessus</t>
  </si>
  <si>
    <t>Super Chauffe vraiment rapidement, très pratique! Esthétique. Juste essayé pour les biberons pour l'instant mais pas d'inquiétude!! Recommande ce chauffe biberon même si il n'y à pas de prise pour voiture!</t>
  </si>
  <si>
    <t>Polaire taille M Bien taillé mais assez chaud pour l’hiver</t>
  </si>
  <si>
    <t>Bon rapport qualité/prix Compacte, robuste, jolie couleur, agréable à porter, pratique à transporter, fait bien le job pour un casque à ce prix j'ai été agréablement surpris, pour un casque d'appoint on va dire c'est un bon deal, bien sûr pour les mélomanes qui recherchent vraiment de hautes performances niveau aigus/médium/grave on va pas se mentir il faut rajouter un 0 au prix et celui là on le garde bien au chaud chez soi mais pour un casque à trimballer sans se prendre la tête à avoir peur de se le faire voler ou de l'abimer c'est cool, bien aussi pour les jeux, skype bref je recommande</t>
  </si>
  <si>
    <t>Léger. Prise en main assez facile.Ultra léger.</t>
  </si>
  <si>
    <t>Bien Convient parfaitement pour un bon travail d'impression. Blancheur papier OK</t>
  </si>
  <si>
    <t>Son nickel niveau professionnel Très bien pour passer des soirées karaoké au top, se connecte sur de nombreux appareils.</t>
  </si>
  <si>
    <t>La beauté des chaussures. Je suis ravie de ma commande,les couleurs sont identiques à la description et entre autre que sur l'image. Pour ma par ne pas hésiter d'acheter cette gamme.</t>
  </si>
  <si>
    <t>Converse Très bon produit et la pointure parfaite! Je suis ravis du prix, qui est pour moi imbattable! Je note donc ce produit de 5 étoiles; je ne regrette pas du tout mon achat!</t>
  </si>
  <si>
    <t>le top baskets idéal et confortable s'adapte avec toutes les tenues légère parfaite niveau taille livraison ultra rapide je recommande se produit</t>
  </si>
  <si>
    <t>Belle montre Très jolie montre, légère mais paraît de bonne qualité.</t>
  </si>
  <si>
    <t>Parfait Jolie bracelet j'adore</t>
  </si>
  <si>
    <t>Fait le job Utilisées dans mes escaliers, et la chambre de bébé. Parfait pour nous repérer la nuit sans allumer la lumière, nous entrons dans la chambre de bébé, et la veilleuse s'active à notre arrivée. La lumière est faible mais suffisante pour se repérer.</t>
  </si>
  <si>
    <t>grande qualité ce kit de trois biberons est vraiment d'une qualité exceptionnelle, le prix est élevé mais on a un produit durable et fabriqué sans produits nocifs. seul reproche ce n'est pas une marque française et ce n'est pas fabriqué en France, on a aussi des super marques de puériculture. je met quand même 5 étoiles parce que les biberons sont vraiment très au dessus du lot en terme de qualité perçue</t>
  </si>
  <si>
    <t>Mal taillé Retourné et remboursé sans soucis</t>
  </si>
  <si>
    <t>Achat vérifié l'article est conforme à la photo. Contente de mon achat, Impeccable magnifique génial parfait！</t>
  </si>
  <si>
    <t>Tres bon produit Massage tres agreable. Aide aussi a un peu mieux repartir les produits non moussants, type apres shampoing ou low-poo</t>
  </si>
  <si>
    <t>Parfait pour les cours J’utilise ces stylos, en plus d’être jolis ils écrivent bien !</t>
  </si>
  <si>
    <t>Une Voix dans ma tête Je ne suis pas un fan d'écouteur et autre chose que l'on met dans les oreilles, et surtout pas bluetooth, je suis resté a l'ancienne avec les câbles . pas de prise de tête avec des configurations ou batterie qui se vide.  J'ai donc eu la chance d'avoir les nouvelles oreillettes de SONY, quand j'ai vu le prix 250 euros mon dieux !!!!  Déjà la boite en elle même on comprends les 250 euros rien cas la boite ,  on vois bien ici qu'on un  a un produit de luxe , tellement de luxe qu'il ma fallu 15 minutes pour ouvrir la boite , a se prix la j'avais même peur d'abimé la boite  a pas comprendre l'ouverture mais c'est tout facile mais fallait le comprendre .  A l'ouverture de la boite on a 3 instructions pour nous expliqué comment configuré tout sa , sa n'as pas l'air très compliqué .  J'ai 2 téléphones  - un vieux Wiko pour la semaine - et un beau samsung pour le week end et les vacances  je prends le WIKO je suis les instructions  1. Placer le casque dans l'étui pour l'activation. La Led S'allumera 2. Télèchargé l'application de connexion ( au non déjà que j'ai pas de mémoire dans le téléphone tout vieux ) 3. Retirer le casque de l'étui pour l'allumer  et la on fait l'association avec le téléphone on ouvre l'application  une voix me parle en anglais et ... ben rien pas moyen d'entendre quelque chose a par un voix en anglais le téléphone réagis pas et l'oreillette de gauche joue la morte . Au bout de 20 minutes j'arrête de me prendre la tête avec le vieux téléphone , je prends le samsung et la rien du tout pas reconnaissance rien  , la gauche qui joue toujours a la morte . 20 minutes après sois 40 minutes après. Je téléphone a Sony et je leur demande comment on fait  ? la personne au téléphone super, je lui explique tout sa , elle me dis le mieux a faire c'est de réinitialisé le tout .  Une fois réinitialisé  j'utilise que le samsung et la parfait reconnaissance application tout fonctionne bien , j 'ai même réussi a  les mètres en français .  Donc on comprends des le début que la gauche elle sert  a lancer la google assistance on peut même metre alexa mais j'ai pas réussis pourtant sa a l'air simple on verra plus tard j'ai pas  réussis. les oreillettes sont tactile donc on les effleurent juste . Et la droite sert a géré la musique les appelles.  Avoir une assistance dans les oreillettes c'est vraiment super  on peut tout lui demander et elle nous lis les notifications et messages du téléphone. Exemple j'écouté de la musique et je reçois un message via messenger , l'oreillette me dis vous avez reçus un message de X voulez vous l'écoute suffit de toucher l'oreillette et elle nous lit le message, et encore une fois vous avez eu un message de X au bout de trois messages ignoré de X elle me dis je voie que vous n'écouté pas les messages de X je ne vous les dirais pas pendant 30 minutes . je trouve sa super  imaginé une personne qui insiste tout les 5 minutes a entendre  sonné dans l'oreille et coupé la musique.  Une fois les oreillettes au oreilles  sérieux on entends presque plus rien de l'exterieur . c'est génial pas de perturbation  et  en plus tour de magie l'oreillette sait si on marche bouge si on est en ville et elle s'adapte . on vois dans l'application un petit personnage assis ou qui marche .  "Profitez au maximum de votre musique sans être dérangé par les bruits extérieurs, par des problèmes de batterie, ou de connectivité, avec un son exceptionnel, une technologie de réduction de bruit n°1 du marché1 et jusqu'à 24 heures d'autonomie." La technologie de réduction du bruit du WF-1000XM3 est la plus avancée du marché, grâce au processeur HD de réduction du bruit QN1e. Elle permet ainsi une immersion totale dans votre musique.  tout a  fait vraie j'ai vraiment était étonné . Écoute d'excellence grâce à la nouvelle puce Bluetooth Au lieu de relayer le son d'une oreille à l'autre, la toute nouvelle puce Bluetooth  transmet le son de manière simultanée aux oreilles droite et gauche, offrant une expérience audio exceptionnelle.  je peux le dire au top du top comme il le disent c'est pas une oreillette qui donne le son a l'autre  c'est les deux qui prennent eux même temps  le son du téléphone  , écouté de la musique c'est bluffant, ou même des films c'est encore mieux.  Il parait qu'elle ont une duré de charge énorme avec leur petit boîtier qui les recharge Jusqu'à 24 heures d'écoute  En charge complète, les écouteurs disposent de 6 h d'autonomie et l'étui de charge portable fournit 3 charges supplémentaires pour vous permettre d'écouter votre musique toute la journée. Vous bénéficiez ainsi de 24 h d'écoute sans bruit de fond. En désactivant la fonction de réduction du bruit, l'autonomie est encore plus longue : 8 h avec une charge complète, et 3 recharges grâce à l'étui, pour 32 h de temps de lecture. Chargement rapide en cas de besoin Parfois, la musique ne peut pas attendre. Si vos écouteurs sont à court de batterie, une charge rapide de 10 min avec l'étui vous offrira 90 min de temps de lecture.  Moi je vous le dis elle sont incroyable et j'ai pas encore pu tout voir vraiment se quelle propose dans les détailles , mais elle valent le coup  rien que pour les fonctions de base et l'assistance  ne dépensé pas de l'argent dans des oreillettes  pas cher bas de gamme qui valant rien  allez directement au top , et avec se produit la je pense que apple a du soucis a se faire ; Mieux que sa je vois pas se qu'on peut faire de plus .</t>
  </si>
  <si>
    <t>Bon rapport qualité prix Montre magnifique..classe..emballage parfait..je recommande cette montre. Elle fonctionne à merveille et le bracelet montre est de bonne qualité. .peut s'offrir en cadeau..</t>
  </si>
  <si>
    <t>taille très grand pour transporter mon chat mais taille beaucoup trop grand</t>
  </si>
  <si>
    <t>NE FONCTIONNE PAS SUR INDUCTION La cafetière est arrivée rapidement. Mais elle ne fonctionne pas sur des plaques à induction contrairement à ce qui est écrit dans la description. Pour toute autre type de cuisson, elle convient bien même si elle est un peu légère. Déçue donc car je n'ai plus qu'à l'offrir à qq un qui n'a pas de plaques induction. Cordialement</t>
  </si>
  <si>
    <t>C'est pas un pull Fin et matière très raide, pas agréable, difforme... ne commandez pas ça !</t>
  </si>
  <si>
    <t>je deplore le  manque de FACTURE dans chacun de vos colis depuis quelque temps pour le retour c 'est difficile a revoir manque de facture dans chacun des colis que j'ai reçus dernièrement ???????pas facile si l'on veut le renvoyer et surtout pour la garantie de l'objet a revoir je ne comprends pas ...........</t>
  </si>
  <si>
    <t>se sotn des soquette Par contre j'ai un souci avec les livreurs envoyés par Amazon (pas tous mais au moins 2/4) ne sonne pas et/ou dépose les colis pas a l'abris et a la vue de tous vraiment dessus !!!</t>
  </si>
  <si>
    <t>Belle qualité Très bon papier pour Canon Selphy, imprimante à sublimation thermique. Seul petit bémol : Les bords pré-déchirés qu'il faut re-découper car pas très nets sinon. Mais je chipotte.</t>
  </si>
  <si>
    <t>Bien Fait plus sportif que je pensais  à cause de la matière sinon sympa</t>
  </si>
  <si>
    <t>Bonne qualité. Bonne qualité, le seul ic au soleil ça marche pas ça décolle</t>
  </si>
  <si>
    <t>sympa Plutôt bien pour le prix mais ça ne respire pas trop le long terme. On verra ce que l'avenir dira.</t>
  </si>
  <si>
    <t>Legging sport confortable et de qualité Ce legging de composition&amp;nbsp;majoritairement&amp;nbsp;en polyester et d'élasthanne&amp;nbsp;pour une&amp;nbsp;meilleure&amp;nbsp;élasticité est de très bonne qualité. Il taille très bien, très près du corps, il respecte les courbes sans être comprimé. Une taille haute élastiquée assez large qui&amp;nbsp;maintient&amp;nbsp;parfaitement. Il est fin et non transparent, pratique pour le sport il permet une&amp;nbsp;meilleure&amp;nbsp;sudation et laisse respirer la peau. Tout en patchwork avec de jolies coutures, ce legging est moderne, tendance, de qualité pour faire du sport dans de bonnes conditions. Il se lave simplement&amp;nbsp;à 30 degrés&amp;nbsp;et sèche à l'air libre rapidement. Je vais à la salle de fitness tous les jours et je me sens à l'aise dès que je l'ai porté, je n'aime pas les vêtements trop serrés qui compriment pendant mes séances de sport où j'ai besoin de confort, que ce soit pour une activité douce comme le vélo ou du step beaucoup plus intense, il me convient parfaitement.</t>
  </si>
  <si>
    <t>Bien Vêtements</t>
  </si>
  <si>
    <t>Très bien ! Très bon produit, pratique et effectivement anti goutte, sauf lorsque le jeu favori de votre enfant est d’écrasé la tétine ! Elle ce perce et là c’est fini ça coule partout !!</t>
  </si>
  <si>
    <t>Belle montre Une très belle monture de style. Mécanique, donc pas de problème de piles à changer. le boîtier est en laiton brossé et le bracelet en cuir épais. Bon rapport qualité / prix.</t>
  </si>
  <si>
    <t>Qualité premium Super qualité. On a clairement affaire à un produit solide, bien finit, une semelle très épaisse, et confortable (ne serre pas le pied). Même le packaging est valorisé. De plus elles sont plus belles en réel qu'en photo</t>
  </si>
  <si>
    <t>Léger, sechage rapide Comme promis : tshirt très léger, prend très peu de place, séchage rapide, respirant, confortable et agréable à porter. Taiille grand, manches très longues. Je l'ai lavé déjà 3 fois, supporte le lavage très bien, ne perd pas la coloration.</t>
  </si>
  <si>
    <t>Intéressant surtout niveau prix Je prends 1/2 taille en dessous pour les converses elles sont très biens et correspondantes bien</t>
  </si>
  <si>
    <t>Parfzit Utilisation avec un téléphone et ordinateur son parfait</t>
  </si>
  <si>
    <t>Niquel Niquel il grille le pain</t>
  </si>
  <si>
    <t>chaussures pour aller dands l'eau Taille bien, sont confortable moi qui est le pied fort je suis super contente par besoin de prendre une taille 41 le 40 suffit largement je l'ai recommande en plus avec un prix très attractif vous pouvez les acheter les yeux fermés</t>
  </si>
  <si>
    <t>AU TOP Pointure 39 impeccable, basket légère, on y est bien dedans Semelle intérieure niquel, belle couleur, tout comme les images. Je recommande le produit là.</t>
  </si>
  <si>
    <t>Parfait Légère résistantes et adaptées à la marche quotidienne en temps sec</t>
  </si>
  <si>
    <t>Super Montre de bonne qualité à voir dans le temps.</t>
  </si>
  <si>
    <t>Rosalinda Très instructif et fort bien adaptée pour les enfants.</t>
  </si>
  <si>
    <t>juste super Je ne regrette pas mon achat . On peut régler la puissance . Donc avoir des pains a peine grillés ou un peu plus ou très grillés . Oui je recommande ce produit</t>
  </si>
  <si>
    <t>Chauffe épaule avec chaleur réglable de qualité J'a.i acheté ce chauffe épaule en prévision de l'hiver. Il est munis d'une télécommande avec 3 niveaux de chaleur. Le niveau 3 étant destinées aux personnes très (très) frileuse ou ayant des problèmes de dos. Il couvre largement les épaules, voir la photo jointe du produit porté. son délai de chauffe est d'environ 45 secondes, compter 1 minute , 1 minute 15 sec pour la chaleur 3. Très pratique il s’éteint tout seul après 90 minutes d'utilisation ! (si vous vous endormez...)</t>
  </si>
  <si>
    <t>Bourdonnement + son mauvais Reçu rapidement, les écouteurs semble de bonne facture, il y a dans la boite plusieurs embouts avec des tailles différentes, un mini câble USB, une notice où il faut prendre une loupe tellement les explications sont écrites en petit, et je n'ai pas de problème de vue, et une belle pochette qui semble bien solide pour ranger les écouteurs avec ses accessoires. Connexion très rapide, mais les écouteurs reçus semblent être défectueux, connecté a deux pc portable puis deux Smartphones, un bourdonnement grave qui prend le dessus sur le son, et la qualité du son et très mauvaise, tout est dans les aigus et le médiums, pas de bases, retour demandé.</t>
  </si>
  <si>
    <t>Honteux Rapport qualité prix honteux.  Papier bulle minuscule.</t>
  </si>
  <si>
    <t>Ne fonctionne pas 1h d’utilisation et elle ne fonctionne déjà plus !</t>
  </si>
  <si>
    <t>A utiliser plus fréquemment que la recommandation Eparcyl ça fonctionne, le problème c'est que nous devons l'utiliser tous les deux mois, nous avons pris un abonnement pour cela, quand on recois on le met directement dans les toilettes.  Le packagin indique bien 6 mois mais je pense que c'est pour les fosses de petite taille.</t>
  </si>
  <si>
    <t>Très jolie Montre très jolie chaîne de basse qualité  dommage</t>
  </si>
  <si>
    <t>Belle et utile Belle cafetière réglable pour un café optimisé Grand réservoir et surtout avec un moulin à café pour un café avec de la saveur Elle est tres belle aussi ce qui ne gâche rien</t>
  </si>
  <si>
    <t>Bon rapport qualité prix Super idée cadeau pas trop chère</t>
  </si>
  <si>
    <t>Chaussure de sécu Bonne paire de chaussure, taille adaptée mais prend du temps au pied pour bien se former sinon au top !</t>
  </si>
  <si>
    <t>Sa passe Ce casque vault sont prix J'explique C'est un bon casque bien réglable qui sert bien et ne tombe pas Je ne sais pas si c'est moi qui est de la malchance mais le casque refuse de ce liée au téléphone dès l'ouverture Alors pour ceux qui on le même problème voilà une astuce simple Connecté votre casque a un PC directement en bluetooth et après il sera apte a ce connecté à votre téléphone MAIS problème (pour ceux qui tienne à la musique comme à leur propre vie) le song et très bon mais si vous mettez des musique contenant des basses très forte alors le casque aura un léger grésillement surtout s'il ya des parole Enfin dernier détaille mais je pence qu'il et cruciale Pour ceux qui on l'habitude de toujour tripoter le song pendant la musique pour éviter les song trop fort et quand sa s'apaisera repasser au volume MAX bah..... gros soucis  dès que vous irez au volume MAX une voie chelou vous dira "MAXIMUM VOLUME" en coupant votre musique Cela dure 1 sec Mais pour certain tout comme moi  c'est vraiment énervant Alors je vous conseil ce casque uniquement pour vous dépanné si vous avez pas trop d'argent  sinon aller acheter ailleurs  car il a bien trop de défaut  si on ai un vrai consommateur de song qualitatif</t>
  </si>
  <si>
    <t>bon casque à petit prix cette fois ci j'ai voulu mettre plus cher pour mon nouveau casque, je suis très contente, livré dans sa boite ET dans une protection en cuir,avec carte vip qui pousse la garantie à 18 mois, il possède une connection jack classique plus un jack plus gros. un cable usb et entrée téléphone plus un double jack(je ne sais pas encore à quoi ça sert!) point de vu tecknologie il est vraiment bien, le réducteur de bruit fait son œuvre, les graves sont là mais sans trop et il a un bon rendu du disque vinyl et cd. les coussin sont très moelleux.je recommande</t>
  </si>
  <si>
    <t>Qualité au top. Taille parfait. Livraison au top Super rapport qualité prix. Très chaude</t>
  </si>
  <si>
    <t>Parfait Notre petite-fille de 7 ans n'aime pas cette collection "Sami et Julie", elle l'adore ! Chaque nouveau livret que nous lui offrons est immédiatement lu et apprécié. Les illustrations sont fort belles et rigolotes, en un mot, parfaites pour les enfants.</t>
  </si>
  <si>
    <t>Évite les grumeaux du lait de bébé Notre indispensable pour éviter les grumeaux dans le lait AR + céréales de notre bébé. Je peux dire que si il tombe en panne je n'hésiterai pas une seconde a le racheter.</t>
  </si>
  <si>
    <t>Tres bon rapport qualité prix Cette bouilloire répond parfaitement à mes attentes. Elle chauffe tres vite la contenance. Tres satisfait de mon achat. A recommander pour le prix.</t>
  </si>
  <si>
    <t>Joli cadeau J’ai acheté ce stylo pour un cadeau, son destinataire a été très satisfait, ce stylo est muni de plusieurs fonctions bien utiles.</t>
  </si>
  <si>
    <t>Colle bien Colle bien</t>
  </si>
  <si>
    <t>Nike C'est un beau bleu</t>
  </si>
  <si>
    <t>Destructeur de papier efficace Je suis très satisfait de ce destructeur de papiers. Il est vrai que le conteneur est vite rempli mais il se vide très facilement. en enlevant le bloc moteur du dessus. Je préfère enlever les agrafes car elles risquent d' user les couteaux assez rapidement. Très bien pour la destruction sûre des papier d'un famille.</t>
  </si>
  <si>
    <t>Parfait Bonne qualité, clip parfait et resistant</t>
  </si>
  <si>
    <t>Top Après un modèle trop grand, celui ci est parfait.</t>
  </si>
  <si>
    <t>ras recu rapidement conforme a l'annonce taille comme prevu rien a dire sinon qu'elle est vraiment belle et de bonne qualité</t>
  </si>
  <si>
    <t>Je recommande Rien.a redire....parfait!!!!!</t>
  </si>
  <si>
    <t>juste parfait trop contente sa détend vraiment rapport qualité prix impeccable</t>
  </si>
  <si>
    <t>Excellent rapport qualité/prix J'ai acheté ce casque car il proposait les deux options que je souhaitais à savoir le fil pour écouter mes cours en ligne sur l'ordinateur et le bluetooth pour écouter livre/musique en vélo. Son look est un avantage indéniable ! Il comble parfaitement mes attentes, le son est de bonne qualité, l'autonomie satisfaisante, il est facile à transporter (il se plie sur lui-même), la connexion en bluetooth se fait très très facilement. Je ne regrette pas mon achat et le conseil vivement !</t>
  </si>
  <si>
    <t>Pas confortable Je me sens après 1/4 heure mal à l'aise dans ma basket ... Et après une demie heure , elles font mal au pied ... Donc mon avis personnel, elles ne sont pas confortable du tout ...</t>
  </si>
  <si>
    <t>Cassé au bout d'un an et un mois Pièce vraiment de très mauvaise qualité. Le manche a tenu le coup pour ma part mais c'est à l'intérieur du manche que cela a cassé. Tout est en plastique à l'intérieur du manche ce qui est très fragile. Personnellement, cet accessoire n'a jamais mis un pied dans le lave-vaisselle. En fait il suffit d'appuyer sur le bouton pour le casser. Tout simplement inutilisable. Je vais essayer directement chez Krups mais j'ai bien peur que ce soit le même combat puisque c'est bien Krups qui revend sur Amazon. Reste plus qu'à acheter une imprimante 3D pour refaire le plastique à l'intérieur du manche.</t>
  </si>
  <si>
    <t>BON COUPE VENT MAIS TAILLE UN PEU PETIT CE COUPE VENT EST DE BONNE QUALITE AVEC SA DOUBLURE POLAIRE QUI RESTE AGREABLE AU FIL DU TEMPS. SEUL BEMOL IL TAILLE UN  PEU PETIT COMPARE A UNE AUTRE MARQUE CONCURRENTE WINDTALKER</t>
  </si>
  <si>
    <t>Génial...mais? Je dois encore tester ce produit il fonctionne et soulage les douleurs il faudrait que je vérifie toutes les ventouses car très vite l'une d'elles a une fuite mais c'est ps cher</t>
  </si>
  <si>
    <t>Bien Mache</t>
  </si>
  <si>
    <t>Pas mal Petit et pratique.Ces,rubans dont vendus à un prix intéressant. Par contre ils ne sont pas très faciles à utiliser,à mon avis...</t>
  </si>
  <si>
    <t>Parfait Mon fils est ravi de cet achat On peut en plus y mettre des Jeux style pac man...</t>
  </si>
  <si>
    <t>Efficace en cabinet libéral Efficace, pratique et économique en pack de 120</t>
  </si>
  <si>
    <t>Parfaites ! C'est ma troisième paire me semble-t-il. Elles sont solides, confortables, jolies, des baskets idéales pour la saison chaude ou pour tout temps...sans pluie ! Attention, des chaussettes un peu trop épaisses peuvent être source d'un léger inconfort, même si les chaussures sont souples.</t>
  </si>
  <si>
    <t>Super coupe vent Bonne qualité. Coupe vent stylé griffé Ralph Lauren. Très bon rapport qualité prix.</t>
  </si>
  <si>
    <t>Efficace Efficace même à base température</t>
  </si>
  <si>
    <t>Ne sachant pas me déplacer opérée de la Hanche envoyer  une personne chez Bpost J'ai adoré mes Puma en les recevant , elles sont belles agréable aux pieds et de bonne taille juste ce que j'ai commandé Je les ais au pieds vu que je dois sur conseil du chirurgien porter des chaussures comme celle ci Merci Odette Albert Matheys</t>
  </si>
  <si>
    <t>Chouette idée de cadeau ! Mes enfants me posaient tellement de questions dont j'avais marre de répondre, ce livre est parfait pour eux ! Sa répond à la plupart de leur question. Il est vraiment top, les images sont super jolies. J'adore</t>
  </si>
  <si>
    <t>Correspond à ce que j'attendais Pour mon travail, je passe beaucoup de temps sur l'ordinateur, et je cherchais un coussin de massage pour soulager mes douleurs légères. Celui-ci fait parfaitement son office. Il est facile à installer, peut être utilisé aussi bien sur un siège auto que sur un fauteuil, et on peut utiliser la fonction massage sans chauffage (pas simple pression sur le bouton marche pour sélectionner). La fonction massage est agréable, pas trop forte (aucun risque de se blesser car l'appareil s'arrête si on s'appuie trop fort dessus), et s'arrête automatiquement. Satisfaite de mon achat.</t>
  </si>
  <si>
    <t>Chaussons Bonjour. Chaussons de bonnes qualit. J ai pris du 38/39 alors que je chausse du 37. Ils me vont un peu juste.</t>
  </si>
  <si>
    <t>Basket Fan de converse j'en souhaitais pour mon fils. Elles sont topissime mais hélas bien trop grandes. Pas grave on les a garder car ses petits pieds on poussés.</t>
  </si>
  <si>
    <t>Bracelet arbre de vie Je suis très contente de mon achat, ce bracelet et tout simplement magnifique, facile à mettre il suffit de tirer sur les bouts  de cordon pour le serrer. Moi qui est le poignet fin c est parfais il n est pas trop gros. Livraison rapide.</t>
  </si>
  <si>
    <t>Bon sang qu'est ce que c'est beau Je suis très satisfait ! J'ai toujours eu peur d'acheter des bijoux sur internet, mais c'est la 3 ème fois avec ce bijoux panda, et je ne suis pas déçu, au contraire ! J'en suis très satisfait ! C'est vraiment beau, et exactement comme sur la photo ! Je vous recommande vivement ce bijoux.</t>
  </si>
  <si>
    <t>La classe Toujours excellent produit</t>
  </si>
  <si>
    <t>Article arrivé très rapidement, et son irréprochable pour le prix ! Très impressionné par la qualité sonore de ce petit micro, ce kit vraiment bon marché offre une qualité de son assez épatante pour son prix.</t>
  </si>
  <si>
    <t>Magique ! Il est magique ce gant ! Vos chaussures vont briller. Très utile et pas cher.</t>
  </si>
  <si>
    <t>Superbe produit Superbe produit On sent la solidité du matériel et cela fait plaisir de le tenir en main Il n'est pas grand, mais semble vraiment robuste</t>
  </si>
  <si>
    <t>Écouteurs au top! Au top! je m'en sers sur le vélo, dans les transports ou encore tout simplement à la maison!  Très joli design! La boite de chargement est également très sympa! Qualité sonore, fonction tactile, synchronisation gauche/droite tout est nickel !!  Je recommande !</t>
  </si>
  <si>
    <t>Super RAS</t>
  </si>
  <si>
    <t>Déçu Très jolie mais déçu car il a perdu toute sa couleur  . Ne le portant que le weekend  et vu le prix je suis sincèrement dégoûtée car j' ai déjà acheter des bijoux moins cher dans les petits magasins de bijoux a deux sous qui m ont fait plus longtemps .....</t>
  </si>
  <si>
    <t>Pire bouilloire de ma vie Carrément plus bruyante que ma machine a laver, elle est juste jolie mais niveau qualité de fonctionnement elle laisse a desirer. Déçu</t>
  </si>
  <si>
    <t>Transparent Attention très très transparent je ne le recommande pas la matière est trop bizarre je suis très déçu faites attention</t>
  </si>
  <si>
    <t>qualité mediocre je viens de les recevoir heureusement que j'ai vérifié avant de les offrir a Noel ...il manque un zirconium sur une boucle d'oreille!!!!au niveau du clou</t>
  </si>
  <si>
    <t>EN BAISSE Première commande papier très résistant, depuis quels temps (oct 2016) la qualité baisse le papier est moins résistant  toutefois produit bon rapport qualité prix</t>
  </si>
  <si>
    <t>THERMOPRO TP65S BIEN Fonctionne bien. Décroche par moment avec l’émetteur , rien de méchant . Un seul reproche ( MANQUE L'HEURE ) chose que j'avais sur mon ancien thermometre.  SATISFAIT DANS L'ENSEMBLE.</t>
  </si>
  <si>
    <t>Je recommande Produit très bien fini, léger, élégant et discret à la fois. Un cadeau pour mon ami et que je recommande. Très bon choix en ce qui me concerne.</t>
  </si>
  <si>
    <t>Bon rapport qualité prix Fonctionne très bien pour le prix. Par contre il enregistre le moindre bruit méme mes plus loin. Mon fils voulais ça pour enregistrer ses gameplay mais c est pas l ideal</t>
  </si>
  <si>
    <t>Confortable City trip</t>
  </si>
  <si>
    <t>Parfait bon rapport qualité prix Conforme à la description et à la photo</t>
  </si>
  <si>
    <t>Très bien Acheté en tant qu’assistante maternelle pour que les enfants puissent faire des dessins sur une grande fenêtre sans avoir peur qu’ils en mettent partout en se baladant avec... ils se nettoie très bien même sur les jouets, meubles...</t>
  </si>
  <si>
    <t>Super montre Super, comme toujours avec suunto, sauf sur la partie montre connectée : pas possible d'enlever la sonnerie des notifications sans mettre la montre en ne pas déranger.</t>
  </si>
  <si>
    <t>Ras Qualité nuk rien à dire</t>
  </si>
  <si>
    <t>Joli et sans bruit Ce diffuseur d'huiles essentielles diffuse très bien et ne fait pas de bruit, c'est appréciable car celui que j'avais avant faisait un bruit épouvantable. On peut régler le temps de diffusion à 1h, 2 ou 3H, ensuite il s'arrête seul. La douce lumière change de couleur tout doucement, c'est vraiment bien pour se détendre après une dure journée... en plus il est joli, une bonne imitation du bois</t>
  </si>
  <si>
    <t>très belle montre ! jolie finition - jolie couleur joli packaging beau produit je recommande sans aucun problème . . . . . .</t>
  </si>
  <si>
    <t>Jolies en plus Pour le plaisir de varier les couleurs, tout en discrétion avec les mêmes qualités en plus ! Mon fils adore.</t>
  </si>
  <si>
    <t>Casque bose soundsport Produit bose qui comme toujours est de qualité Il n’est pas réducteur de bruit donc je n’ai pas renseigné les étoile Très bon son je recommande</t>
  </si>
  <si>
    <t>Jolie collier Jolie collier je l adore bonne taille jolie style je vais le porté tout les jours j adore bonne qualité</t>
  </si>
  <si>
    <t>Parfait Vraiment parfait je l'ai commandé deux fois un pack pour moi l'année dernière et un pour ma sœur, tout y est. On adooorrreee !!!</t>
  </si>
  <si>
    <t>Satisfaite Bon masque</t>
  </si>
  <si>
    <t>Très bon produit Le chauffe biberon est de bonne facture. La durée de chauffe se base sur la quantité d'eau qui est versée. Un petit godet gradué est prévu à cet effet et se fixe de manière très pratique sur l'arrière du chauffe biberon. La chauffe est relativement rapide. Je recommande !</t>
  </si>
  <si>
    <t>Chaussettes Parfait.... 😁</t>
  </si>
  <si>
    <t>Diffuseur remarquable Diffuseur top ! Le contenu permet de diffuser plusieurs heures, sans ajouter d'huiles. Il tient dans la durée, adoucit l'atmosphère et parfumé délicatement ! Choisissez des huiles essentielles délicates, vous pouvez également en associer plusieurs. Je recommande +++</t>
  </si>
  <si>
    <t>regrette taille xxl QUALITÉ TRÈS BIEN MAIS LE XXL alors que c'est ma taille est vraiment trop xxl  dépassé - je recommande un xlsi reprise du fourni</t>
  </si>
  <si>
    <t>Zippo Devant c’est devenu complètement noir.perdu la couleur</t>
  </si>
  <si>
    <t>Taille grand J’ai acheté cette paire de chaussures rando pour une randonnée prévue en Savoie. Ces chaussures sont légères Par contre elles taillent grand... j’ai pris du 41 alors que je chausse du 42 La qualité est moyenne.</t>
  </si>
  <si>
    <t>Bonne idée Le principe de faire attention pour nettoyer les biberons est très bon c'est a essayer mais je trouve que le liquide n'est pas suffisament "décapant" les bibirons avaient tendances a rester "gras"</t>
  </si>
  <si>
    <t>nettoyage utile sur de nombreux matériaux,mais pas les papiers peints</t>
  </si>
  <si>
    <t>Je recommande Très jolie mon copain et ravie reçu le jour indiquer, bien  emballé !</t>
  </si>
  <si>
    <t>Simple et efficace. Grande taille. Manque la minuterie. Facile à installer. 3 niveaux de chauffe simples et les deux côtés indépendants. Chauffe très vite et permet d'être parfaitement confortable sur position 1 toute une nuit. Il manque la minuterie qui permettrait d'éviter d'oublier de l'éteindre ce qui arrive souvent. Grande taille adaptée à lit de 160.</t>
  </si>
  <si>
    <t>Pratique Stylo très agréable et en plus il est rechargeable et effaçable ! Un principe qui évite le jetable! Existe dans toutes les couleurs et modèles !</t>
  </si>
  <si>
    <t>Montre Tres belle montre aucun soucis  pour l l'instant</t>
  </si>
  <si>
    <t>Au top Produit conforme à la photo taille correct ainsi que la couleur et l imprimé acheté pour un cadeau d anniversaire</t>
  </si>
  <si>
    <t>nickel excellente imprimante très rapide facile à l'installation; pas eu besoin de bouquiner la notice, juste le petit dépliant de démo j'avais déjà une brother mais celle la est bcp plus rapide et performante par contre, elle est volumineuse !</t>
  </si>
  <si>
    <t>sac à recommander à tout le monde très satisfaite de cet achat : pratique et à la bonne dimension - on peut le mettre sur le dos et sur le devant - on peut y ranger facilement tous les papiers et y mettre facilement une tablette... Convient tout à fait à ce que j'attendais</t>
  </si>
  <si>
    <t>acheter pour éloigner les poux Ma fille a une tête à poux s` il  y en a un c'est pour elle!! alors après de multiples shampoings m' en  voilà débarrasser je lui met quelques gouttes derrière les oreilles et sur le dessus de la tête tous les matins avant le départ pour l'école.ils n'aiment pas du tout la lavande et c'est tant mieux!!Pour l'instant ça se passe plutôt  bien.</t>
  </si>
  <si>
    <t>Mettez de la couleur dans votre vie ! Avant tout autre critère il faut avouer que l'achat a été basé sur la couleur. Très originale, flashy. Bien sûr le son est très bien et ils sont faciles à porter. L'association avec le téléphone est rapide, rien à signaler. De même pour l’autonomie qui est très appréciable. Mais la couleur! Un achat coup de coeur qui heureusement n'a pas été décevant, ça reste un produit de qualité.</t>
  </si>
  <si>
    <t>Taille correcte Produit s’adapte  bien au pied Convient à tous les sports</t>
  </si>
  <si>
    <t>Découverte C'est la première fois que je me tente aux huiles essentielles et c'est vraiment très agréable</t>
  </si>
  <si>
    <t>Chaussures qui tiennent bien aux pieds Pour un enfant (quand on est parent(s) ) ce que l'on recherche dans une chaussure, c'est qu'elle soit souple, qu'elle tienne bien au pied, pas trop chères et facile à mettre seul(e) (pour une meilleure autonomie). Ces baskets Puma remplissent tous les critères (exigeants ou non) des parents. Très beau design, belle couleur, le dessus est en cuir souple, et la semelle est en mousse et cuir épais. Ma fille n'a pas froid aux pieds et elle qui adore sauter dans les flaques (ce qui ne m'éclate pas lorsqu'elle est en basket) bizarrement elle a les pieds au sec (bon c'est certain les pieds ne trempent pas non plus dedans) En bref : Un très bon rapport qualité/ prix. Je n'hésiterais pas à réitérer une autre paire en taille plus grande.</t>
  </si>
  <si>
    <t>Qualité Très bon., chauffe très vite</t>
  </si>
  <si>
    <t>Jolie montre rétro et pratique Jolie montre très pratique. Après un an, fonctionne toujours très bien. Au top !</t>
  </si>
  <si>
    <t>Parfait cadeau pour ma fille Taille habituelle commandée Parfaite Qualité satisfaisante A prix super mini pour ce colori</t>
  </si>
  <si>
    <t>Casio - AE-2000WD-1AVEF - Standard - Montre. Très bonne et belle montre, assez grosse, facile à réglé comme toutes les montres casio que j'ai eue, montre pour homme de mon point de vue. Je la recommande.</t>
  </si>
  <si>
    <t>Super jolies Bon article.. Jolies brassières.. Très confortables</t>
  </si>
  <si>
    <t>Ces cartouches sont parfaitement adapté pour ... Ces cartouches OfficeWorld s'adaptent parfaitement à une MG5750.  Concernant la qualité de reproduction sur papier photo, je n'ai jamais essayé.</t>
  </si>
  <si>
    <t>L'image est trompeuse J'ai recu UN rouleau de papier bulles. L'image presente DEUX rouleaux. Dans l'analyse du cout il y a une grosse difference !! Dommage, on a l'impression d'avoir fait une erreur  .... un peu induite par la presentation du produit</t>
  </si>
  <si>
    <t>Vite vides J’ai acheté ces cartouches en mai, après deux mois de vacances pendant lesquelles nous n’avons rien imprimé, les cartouches sont vides à la rentrée. Donc pour une petite famille qui ne consomment pas beaucoup d’encre, ni papier, ces cartouches tiennent deux mois...</t>
  </si>
  <si>
    <t>Basket stan Déçu du produit Pour avoir en comparaison le même produit à la maison, acheté en magasin adidas , trop de différences entre les deux produits il me semblait avoir une copie entre les mains et non le produit original, forte odeur de plastique dommage 😞</t>
  </si>
  <si>
    <t>Legging de bonne qualité mais peu réspirant Je considère que même si c'est indiqué que le 80% de la matière est du coton, d'une part il ne le semble pas et d'autre part c'est un tissu confortable à porter mais peu respirant. Malgré cette observation, je le recommande.</t>
  </si>
  <si>
    <t>Socquette Permet de porter des baskets sans voir les chausettes ou des boots ou des bottes sans avoir froid aux pieds</t>
  </si>
  <si>
    <t>efficace En galere de cable ? livrer le lendemain chez moi et rien a redire sur ce cable ! il est bien épais comme il faut.</t>
  </si>
  <si>
    <t>Bien, mais Peu discret !! La qualité y est , taille un peu petit attention. Sympa , mais très TRÈS brillant pour le coups . On ne passe pas inaperçu avec ces boules à facette sur les pieds . Personnellement J'assume mais je préfère prévenir 😄</t>
  </si>
  <si>
    <t>Très confortable Cette combinaison est très confortable et chaude. Le seul soucis est qu'elle est un peu trop grande et trop large.</t>
  </si>
  <si>
    <t>Super biberon Super biberon !!!! Il est super costaud, mon enfant de deux ans passée son temps à le faire tombe de partout et il est toujours nickel !!!! Pratique avec ses poignées, tres facile à nettoyer avec le goupillon en silicone mam!!!</t>
  </si>
  <si>
    <t>Plein les yeux On en a plein les yeux avec ce lot de biberons. Les couleurs sont vraiment jolies. Au niveau de l'ergonomie, il n'y a rien à redire. La forme des biberons permet une bonne préhension. Les biberons se dévissent et se nettoient très facilement. Pas de coulées de lait intempestives. Débit modéré. Tétines molles pour que bébé boive avec aise. Au final, un produit d'excellente facture !</t>
  </si>
  <si>
    <t>tres bon rapport qualité prix rien à dire légère. ne se dérègle pas. le caoutchouc sait se faire oublier au bout de quelques jours alors que je n'aime pas porter de montre.</t>
  </si>
  <si>
    <t>Basket Nikel</t>
  </si>
  <si>
    <t>fine et discrète Très belle montre, fine et discrète, avec deux fuseaux horaires en digital (plus les aiguilles), un chrono, une alarme, affichage 12/24H, possibilité d'avoir un bip toutes les heures. Pas de lumière pour voir l'heure dans le noir, mais je n'en ai pas vraiment besoin.</t>
  </si>
  <si>
    <t>Top Rien à  redire.. j'en ai une qui date de 15 ans et est toujours en parfait état.  Celle-ci était pour offrir. La qualité est toujours là. Ravie de mon achat et la couleur est très jolie</t>
  </si>
  <si>
    <t>Super produit Super produit à bon prix. Je m'inquiétais pour la coupe, et il risque de me tomber de l'oreille. Mais il s'adapte parfaitement! Très confortable, et facile à utiliser. J'adore la facilité de connexion automatique et de débranchement car je l'enlève ou le remet dans le boîtier de charge. Le produit est de très haute qualité et bon. Les écouteurs sont très bons os, bon son et facile à utiliser.  Dans l'ensemble, je recommande fortement ce produit.</t>
  </si>
  <si>
    <t>Bon rapport qualité prix Acheté pour un tiers qui en est satisfait pour le confort et la securite</t>
  </si>
  <si>
    <t>Parfait!! Couleur parfaite. Il est bien chaud et l'idéal est la capuche. Taille correctement.</t>
  </si>
  <si>
    <t>RAS Rien à redire</t>
  </si>
  <si>
    <t>Très bonne idée de cadeau Ma petite fille de 4 ans était ravie de ce cadeau</t>
  </si>
  <si>
    <t>Nickel Papier de bonne qualité, conforme à la description. Pour l'instant aucun problème de motifs ou de déchirure. Par contre ça fait un sacré stock.</t>
  </si>
  <si>
    <t>Super Super vraiment jolie c'etait pour un kdo la personne est enchantée mercii</t>
  </si>
  <si>
    <t>Confortable Très confortable !!!</t>
  </si>
  <si>
    <t>bien étanches...mais... les semelles un peu trop souple...je ressent les cailloux et graviers</t>
  </si>
  <si>
    <t>trés mécontente de la commande bonjour je viens d ouvrir les cartouches d'encre et il y a un gros problème j'ai commandé un pack avec une cartouche noire et une de couleur je viens de regarder et j ai reçu 2 cartouches noir mais par contre je n'ai pas de cartouche couleur  que faut il faire ????? j'ai absolument besoin d'une cartouche de couleur  !!!!!!!!! en attente d'une réponse rapide cordialement</t>
  </si>
  <si>
    <t>Prevoir adaptateur pour le bon fonctionnement Bon son, léger mais il faut prévoir un adaptateur Péritel avec entrée audio car l optique fonctionne mais obligé de modifier les paramètres audio avant chaque utilisation Pourtant télé récente</t>
  </si>
  <si>
    <t>Bien Ne correspond pas tout à fait à la photo du produit</t>
  </si>
  <si>
    <t>être bien dans ses basquets marche aérienne</t>
  </si>
  <si>
    <t>Très bien Bonjour/Bonsoir, je veine de recevoir le casque sans micro et j'ai tous de suite essayé avec une musique avec beaucoup de basse et pour le prix la qualité de sons est très bien, la musique n'a pas changer qu'avec des écouteur de meilleur qualité, il est facile a transporté et plus solide qu'on le pense. Le seul problèmes c'est que si vous mettez une musique forte ou un jeux, on peut entendre ça que vous écouté de l'extérieur mais pour sa il faut mettre le son plutôt fort. Je conseil pour le prix</t>
  </si>
  <si>
    <t>Très joli design Je suis complètement satisfaite de cet achat.  la bouilloire est vraiment très jolie. Seul petit bémol elle est un petit peu lourde (mais bon les autres le sont aussi)</t>
  </si>
  <si>
    <t>Nickel mais un peu cher quand même Comme ce sont des cartouches HP, je n'ai jamais eu de problème de reconnaissance par mon imprimante. Comme j'imprime pas mal pour mon travail, je commande environ trois jeux de cartouches (350XL+351XL) par an. Si le prix était un peu plus bas, ce serait parfait...</t>
  </si>
  <si>
    <t>hyper agréable soutient sans faire mal, trés confortable ! je recommande !</t>
  </si>
  <si>
    <t>Super mais prendre sa taille habituelle ! Super rien à dire Prendre sa taille habituelle car les chaussures taillent bien (pour ma part, pile poile)</t>
  </si>
  <si>
    <t>Rien à dire Je les utilise souvent pour imprimer mes timbre postales et mon adresse sur les lettres. Ils se collent bien. Parfait.</t>
  </si>
  <si>
    <t>Puma Smash V2 Leather, Baskets Basses Jolies petites baskets passent partout . Prise en vente flash avec un prix trés intéressant en noire et noire et blanches .</t>
  </si>
  <si>
    <t>Très bien Pratique</t>
  </si>
  <si>
    <t>Nickel Chaussures reçues rapidement, colis en très bon état. Bien fini, confortable, des Merrel quoi.  Un bon produit, notamment quand il y a des promotions (45€ ce coup là), le problème des Merrel, et des chaussures confortables en général, c'est que quand on les utilisent tous les jours, elle finissent par céder ou s'ouvrir au niveau des coutures. Durabilité d'environ 1 an par paire.. mais je continue à en racheter parce qu'elles sont super.</t>
  </si>
  <si>
    <t>Très bon article, très élégant J'ai commandé cette montre pour ma sœur. La livraison a été vraiment très rapide. La montre en elle même est vraiment très jolie. Les aiguilles argentées ressortent bien sur le fond bleu marine. Le fermoir est très bien, une fois fermé, aucune chance qu'il se détache. J'ai même eu un peu de mal à le ré-ouvrir. C'est une montre qui convient aux poignets généreux comme aux petits poignets puisqu'elle est réglable.</t>
  </si>
  <si>
    <t>Rien à dire ! Rien à dire sur ces pierres à briquet. Elles font ce qu'on leur demande de faire.</t>
  </si>
  <si>
    <t>Compact mais suffisant Un "petit" grille pain tout inox de chez Russel Hobbs. suffisant pour griller 2 tranches de baguette ou un toast large. Idéal pour un petit-déjeuner en amoureux, mais surtout idéal pour redonner tout leur potentiel aux restes de pain de la veille (je vais chez un vrai boulanger, le pain placé dans un sac plastique est encore souple le lendemain, et délicieux grillé) Utilisation très simple et assez intuitive.  - le curseur sur le devant, gradué de 1 à 6 permet de régler l'intensité.  - Une pression sur le levier du côté droit pour descendre le pain  - L'écran affiche pendant quelques secondes le degré de "brunissage" choisi  - Pendant ce laps de temps, vous pouvez appuyer sur le bouton de droite, sur la façade, pour activer la fonction "rechauffage, qui va tiédir une tranche en quelques secondes  - Si vous attendez, le minuteur va commencer (80 secondes sur le degré 6) C'est assez rapide, et le pain est bien grillé sans être brûlé. Le bouton de gauche sert à la décongélation Le bouton du milieu pour annuler/arrêter l'opération encours. Le levier sur la gauche déploie 2 barres métalliques,  utiles pour poser un ou deux croissant par exemple (pas encore essayé, je préfère la baguette !)</t>
  </si>
  <si>
    <t>Très bon kit, pas cher Très bon kit pour un prix vraiment très abordable, puisqu'il s'agit de biberons en verre (donc forcément plus cher que ceux en plastique). Cela fait un excellent cadeau de naissance, d'autant plus que les biberons ne sont pas étiquetés fille ou garçon puisqu'il n'y a pas de motif décoratif dessus. Parfait pour les 6 premiers mois.</t>
  </si>
  <si>
    <t>Parfait Acheter comme cadeau, parfait</t>
  </si>
  <si>
    <t>Agréablement surpris ! Après plusieurs réflexions je me suis lancé sur ces écouteurs qui ont que des commentaires positifs par tout les clients et  je me suis dit Je vais essayer et la surprise j'avoue que ces des écouteurs dignes de grande marque Sur tout les plans. Mon fils de 18 ans ne voulait pas que je les achète (voulait absolument la célèbre marque.....) et aprés réception de ces derniers Me les a piqué et il ma dit ya aucune différence entre ces écouteurs et les autre. Danque je recommande les yeux fermés.</t>
  </si>
  <si>
    <t>chaussures sécurité exactement comme sur la photo, légere reçu avec une paire de chaussette noir et des lacets de rechange, prendre une pointure au dessus pour du 42, prendre du 43</t>
  </si>
  <si>
    <t>Parfait sombre class Parfait sombre class</t>
  </si>
  <si>
    <t>Super produit Trop chouette je crois que je ne m'en passerai plus prends un peu de temps pour chauffer le lit ne pas oublier de l'allumer bien 10 minutes avant d'aller se coucher</t>
  </si>
  <si>
    <t>Pas très utile J'ai acheté des biberons avent en verre et je me suis dit que cette housse en tissu les protégerait et les garderait au chaud un peu plus. Certes le biberon en verre est mieux protégé en cas de chute mais pour tenir au chaud ce n'est pas terrible. Au final, je ne m'en suis quasiment pas servie. Pour le prix c'est dommage.</t>
  </si>
  <si>
    <t>Pompe incomplète J ai acheté cette pompe le 17 mars . j ai commis l erreur de ne l ouvrir qu en juillet ( époque de l arrosage  ) je m apercois qu il manque l embout de pompe...je suis déçue de ce matériel dont on me vantait les mérites</t>
  </si>
  <si>
    <t>ce n'était qu'un rêve ...... Fausses converses ,fausses converses , certe ! pas chère mais fausse  ,passer votre chemin et aller en magasin c'est Un peu plus chère mais au moins  ........  vous etes sur d'avoir la marque .... pas contente mais pas du tout mais pas du tout ......</t>
  </si>
  <si>
    <t>Super, sauf... Une semaine d'utilisation,  trop court pour évaluer,  cependant,  je ne met que 3 étoiles car j'ai reçu une montre avec les jours en engrais et en espagnol. Amazon aurait pu faire attention à ce détail,  la commande venant de France. A part ça très belle montre, plus belle que sur la photo.</t>
  </si>
  <si>
    <t>Qualité Identique à la phot par contre taille un peu grand</t>
  </si>
  <si>
    <t>Bonne chaussure. Acheter durant ma période vegan elles était déjà impeccable et le son resté.</t>
  </si>
  <si>
    <t>A ACHETER EN CAS DE PETITE SACOCHE La couleur surprend un peu car sur la photo elle parait moins brillante mais au final sacoche agréable. Je conseille en cas de volonté de petite sacoche.</t>
  </si>
  <si>
    <t>Théière et Bouilloire Rapidité de chauffage, arrêt  indiqué par un petit bruit utile, facile d'utilisation, Par contre il ne faut pas oublier de faire sortir de l'eau le filtre à thé quand le signal l'indique!</t>
  </si>
  <si>
    <t>Mieux respirer. Assainir l'air, diffusion d'huiles à vertu thérapeutique (orl), parfumer, créer une ambiance zen.</t>
  </si>
  <si>
    <t>satisfait J'ai acheté cet appareil de massage shiatsu pour ma femme quia toujours mal a la nuque et au cervical du a sont travail.Tres efficace elle ne s'en separe plus, tout les soirs une petite seance de massage et elle est en forme pour la soirée.Je l'ai essayé aussi est je suis tres agreablement surpris on dirait qu'une personne vous masse et en plus avec la chaleur en plus le top moi qui est souvent mal au dos je l'ai vite adopté.</t>
  </si>
  <si>
    <t>Parfait Une qualité au top pour ces stylos. L'encre sèche tres vite, l'intensité du noir est parfaite et ne traverse pas le papier de mon bullet journal. Rien à dire !</t>
  </si>
  <si>
    <t>la mythologie pour les petits Un livre idéal pour les lectures offertes quotidiennes pour mon projet de l'année prochaine autour de la mythologie, dès le plus jeune âge avec des explications complémentaires sur le vocabulaire.</t>
  </si>
  <si>
    <t>Au top pour courir Supers écouteurs, étanche, bonne qualité de son, autonomie exceptionnelle et le micro permet de communiquer par téléphone sans trop de difficulté. Ceux-ci sont discrets et legers. Je recommande sans hésiter!!</t>
  </si>
  <si>
    <t>tres bien très bien bon produit livrer avant la date prévu temps je recommande</t>
  </si>
  <si>
    <t>parfait Chaussures très confortables et qui en plus sentent bon! Elles taillent juste comme il faut et sont tellement agréables que j'en ai acheté une autre paire d'une autre couleur.</t>
  </si>
  <si>
    <t>Chaussures confortables Entrainment Danses de salon, entièrement satisfait</t>
  </si>
  <si>
    <t>Parfait Parfait excellent produit très satisfaite je recommande service au top</t>
  </si>
  <si>
    <t>Look sympa Produit conforme à la description, très confortable.</t>
  </si>
  <si>
    <t>Super Agréable à porter, j'ai acheté 2 paires de différentes couleurs, l'une pour travailler et vraiment super confortable rien à dire, l'autre pour mes loisirs, je me sens comme dans des chaussons ! très très bon produit si vous avez les pieds fragile comme moi :p</t>
  </si>
  <si>
    <t>Aimé Pour offrir</t>
  </si>
  <si>
    <t>Très bon produit j'ai acheté ce produit pour ranger des petites perles et il est vraiment approprié.Je suis très contente</t>
  </si>
  <si>
    <t>super ras</t>
  </si>
  <si>
    <t>304 mer('ci</t>
  </si>
  <si>
    <t>Déçue Bracelet acheté il y a 6 mois ,j en étais très ravie jusqu a présent ( j en prends grand soin) je parts en vacances ,je le retire pour la plage et la piscine ,sauf un soir une balade au bord de la plage je pause le bout de mes doigts sur l eau et le lendemain je m aperçois que les perles se décolorent........ et 1 semaine après le bracelet casse, alors qu il n y a eu que quelques toutes d eau de mer dessus ..... Bracelet cher pour du toc ! I oeil de tigre n en ai pas ......tout c est décoloré !!!!! Il était pourtant très beau ce bracelet ......</t>
  </si>
  <si>
    <t>Produit de mauvaise qualité et dangereux Bouilloire de très mauvaise qualité, quand on verse l'eau le couvercle non étanche fuit et on se brûle .... lorsque la bouilloire contient de l'eau chaude la parole extérieure chauffe aussi et il est très facile de se brûler . C'est un produit de mauvaise qualité et dangereux</t>
  </si>
  <si>
    <t>Taille très petit Bonne qualité mais inutilisable , taille au moins 2 pointures au dessous de celle indiquée</t>
  </si>
  <si>
    <t>Correct Correct</t>
  </si>
  <si>
    <t>Bien Mis aujourd'hui pour la première fois. La matière est agréable et les motifs et la couleur sympas. La qualité à l'air ok, à confirmer avec le temps et les lavages. J'enlève une étoile car il est un peu large à mon goût</t>
  </si>
  <si>
    <t>Pas mal Je confirme! il faut prendre 1 taille en dessous. Je fait 38 et j'ai commandé 37. En regardant les com. Les meilleurs indiquait de prendre 1 taille en dessous. Matière fine malgré le toucher velours.</t>
  </si>
  <si>
    <t>Très pratique Une très bonne idée pour coller différents documents et pas que des photos. Au lieu d'avoir un petite patté de colle, une de ces feuilles suffis.  J'enlève une étoile car par endroit, il y a de grosse taches jaunes (surement de la colle séché).</t>
  </si>
  <si>
    <t>Boon Egoutte à Biberon - Lawn - Vert Bon produit, il permet de mettre à égoutter un grand nombre de biberons à la fois. Pour ma part, j'arrive à caser la dizaine de bib de mes jumeaux en serrant un peu et son petit plus, c'est qu'il apporte un coup de pep's à la déco de la cuisine!</t>
  </si>
  <si>
    <t>cadeau sympas pour les enfants demarrage un peu difficile car le mode d emploi n est pas en français mais une fois pris en main les enfants s eclatent la fonction karaoké est sympas mais ce qui amuse le plus les enfants ce sont les effets vocaux speciaux le rendu sonore du micro m a étonné par son rendu spatial cadeau sympas pour les enfants</t>
  </si>
  <si>
    <t>Beau produit Montre très belle, va très bien à mon petit poignet féminin ! Le bracelet n'est pas exagérément trop long comme pour beaucoup d'autres modèles. Très légère, classe et bon marché ! 😄 ( reçue dans les délais )</t>
  </si>
  <si>
    <t>La belle prestance Pour mon style</t>
  </si>
  <si>
    <t>Pour mes préparations à base d'huile essentielle Utilisée dès sa livraison, cette balance de précision fait le job. Je l'utilise pour des préparations nécessitant des pesées précises, comme des huiles de massages, des déodorants, etc... Je la recommande, de part sa précision et sa compacité.</t>
  </si>
  <si>
    <t>Très bon Très bon son pour des écouteurs livrés avec le smartphone</t>
  </si>
  <si>
    <t>Rien à redire!!! Très bonnes chaussettes de foot. Tiennent très bien au niveau des mollets et ne tombent pas. Talons renforcés ainsi qu'aux doigts de pieds.</t>
  </si>
  <si>
    <t>Satisfait Très bien</t>
  </si>
  <si>
    <t>Qualité Solide et parfait avec le kit de reglage des maillons.</t>
  </si>
  <si>
    <t>J’adore bonne tail pour ma main mince😂 J’adore</t>
  </si>
  <si>
    <t>Excellent produit Les écouteurs sont d'une excellente facture! ils tiennent bien à l'oreille y compris pour du sport, si c'est vraiment nécessaire, il y a même des accessoires en caoutchouc pour encore mieux maintenir dans l'oreille. La qualité du son est au top, et pas de décrochage dû au bluetooth. Visiblement, une excellente autonomie, au moins 3heures, je ne suis pas aller jusqu'à l'épuisement de la batterie. Enfin la coque/batterie est compacte et pratique! Bref, je ne regrette pas mon achat!</t>
  </si>
  <si>
    <t>Très bonne qualité Écouteur puissant et batterie satisfaisante</t>
  </si>
  <si>
    <t>Parfait J'ai acheté une chaine à mon ami et j'ai pris une autre plus fine pour moi. Elles sont bien faites, brillantes, discrètes. je recommande ce produit</t>
  </si>
  <si>
    <t>Nickel pour le sport Produit à commandé les yeux fermé. Je ne peux plus m'en passer pour mes séances de sport. Les poches hyper pratique pour mettre la clé du cadenas et le tréphone. Et pour celle qui ont un petit bidou le taille haute affine un petit peu.</t>
  </si>
  <si>
    <t>Collier Cadeau de noel</t>
  </si>
  <si>
    <t>Trop de parfum Tue le Parfum J'ai reçu un flacon  de 285 grammes au lieu des trois prévus, de ce parfum Aérien.  Présenté sous formes de petites billes,  celles - ci se dissolvent aisément, même avec une lessive à 30 degrés. Le parfum  en bout de course pourrait être agréable.  Toutefois il vient se superposer à la flaveur de la lessive. Le mélange n'est pas forcément heureux...  Pour peu que vous utilisiez un assouplissant, alors là, l'odeur est carrément, indéfinissable, écœurante  Trop c'est trop ! Trop de parfum tue le parfum ! Personnellement, j'ai mis des petits sacs en tulle remplis de ces billes, dans mes armoires, à la façon des sachets de lavande. Résultat, une bonne odeur de frais émane de mes meubles de rangement.  Mais bon, ça n'était pas l'usage prévu pour ces granules parfumées, Aussi, je ne recommande pas cet achat, que je trouve  assez inutile.</t>
  </si>
  <si>
    <t>faible qualité produit qui parait de mauvaise qualité et bien fragile surtout pour des enfants</t>
  </si>
  <si>
    <t>bracelet cheville conforme au descriptif mais reçu en retard</t>
  </si>
  <si>
    <t>Dommage que la boîte soit si abîmée Les chaussures sont impeccables mais la boîte était toute abîmée et le papier froissé. Pour offrir à Noël, ce n'est vraiment pas terrible! :-(</t>
  </si>
  <si>
    <t>L'epreuve Il a suffit a mon fils pour pouvoir passer le bac. c'etait bien commode de pouvoir l'acheter sur ligne. Bravo</t>
  </si>
  <si>
    <t>Fidele à la description Voyage correspond bien à voir à l usage</t>
  </si>
  <si>
    <t>Fait son boulot Joli design en terme de couleur et de matériau. Il coupe mais il faut avoir une grippe forte car les ciseaux sont serrés et difficiles à manier. Ça reste de bons ciseaux. Je conseille l’achat pour une personne pas compliquée.</t>
  </si>
  <si>
    <t>On s’y perd dans le nombre de compartiments Pas pratique. Trop de poches</t>
  </si>
  <si>
    <t>Idéale petite bouilloire La petite bouilloire que je cherchais : 1/2 l, paroie isolée et température réglable idéale pour le thé,  led lumineuse en fonction de la température choisie, idéale pour personne seule,</t>
  </si>
  <si>
    <t>Je recommande Moi et mes biberons on ne s'en lasse pas il est original pratique et facile d'entretien je recommande</t>
  </si>
  <si>
    <t>Superbe collection pour la mise en confiance du jeune lecteur Collection très futée qui avance avec la progression de nombreux enseignants de CP. Ainsi ma fille a pu s'apercevoir qu'elle était capable de lire seule des "phrases". Courtes forcément. Les histoires sont très simples et faciles à comprendre. Quelle fierté dans ses yeux et quelle joie!</t>
  </si>
  <si>
    <t>Très sympa Très sympa et agréable à porter</t>
  </si>
  <si>
    <t>Brabantia Ce sac qui contient 30 sacs poubelle de 3l est facile d'accès au fur et à mesure des besoins il  suffit de tirer par la fente prévue à cette effet</t>
  </si>
  <si>
    <t>Nickel Nickel</t>
  </si>
  <si>
    <t>Parfait On adore ces stylos qui permettent d effacer et de réécrire</t>
  </si>
  <si>
    <t>Pas cher jrecommande ,reçu avnt la date prévue Pr papier carte grise faut pas du luxe, pas cher jrecommande</t>
  </si>
  <si>
    <t>Bien et pratique à voir à l'usager Bien</t>
  </si>
  <si>
    <t>meilleures baskets du monde comme d'hab, elles sont parfaites. Mes pieds sensibles sont parfaitement maintenus dans cet écrin de toile et de caoutchouc s'adaptant parfaitement à leurs formes, car les ayant prises à ma pointure, il n'en serait autrement. Si j'étais américain et que Vans s'était présenté,  j'aurais voté pour eux et Trump ne serait pas élu. Maybe next time ? Vans for President !</t>
  </si>
  <si>
    <t>TRES BON RAPPORT QUALITE PRIX CONFORME</t>
  </si>
  <si>
    <t>Au top Envoie rapide et taille très bien</t>
  </si>
  <si>
    <t>Satisfait ! Je la rêvais je l'ai eu ! d'une simplicité absolue mais avec toutes les fonctions requises pour des thés parfaits. La marque qu'il faut aux amateurs de thé. Je ne vois aucun point négatif.</t>
  </si>
  <si>
    <t>prise en rouge très belle mais je l ai finalement prise en rouge top qualité et robuste</t>
  </si>
  <si>
    <t>Parfait! Chauffe biberon parfait, pour son utilisation sans faute avec petit ou moyen ou gros biberon et pour son design. Je vous le recommande.</t>
  </si>
  <si>
    <t>Minuscule Papier bulle 8€ pour si peu de longueur ? UN GROS REGRET. Papier bulle de qualité certes, mais trop cher pour le peu de quantité reçu. J’ai pu emballé seulement 3 assiettes et 1 verre. J’ai attendu presque 1 semaine pour seulement si peu, très déçu.. je déménage dans dilanche et heureusement que j’ai acheté des grands rouleaux en supermarchés histoire d’anticiper (le grand rouleau au même prix LA BLAGUE !!) et bien rien de mieux que le bon vieux papier journal désormais, tant pis  !</t>
  </si>
  <si>
    <t>Arnaque Leur taille européenne ne correspondent pas du tout vrai taille européenne Prenez une taille voire deux en plus en plus je les ai achetés à 22 € le retour m’a coûté 12 € il y a deux semaines de ça et aujourd’hui il l’est vendent 11 € je suis très déçu</t>
  </si>
  <si>
    <t>ne fonctionne pas j'ai voulu utiliser ce cable pour brancher un casque ou une enceinte externe,il ne sort rien,j'ai essayé sur plusieurs télévisions,et rien a faire,donc déçu.</t>
  </si>
  <si>
    <t>Un conseillé... Ils sont arrivés dans un sac de plastique sans le carton avec la marque Crocs. Pour avoir acheté une taille 42/43 ils sont vraiment trop trop juste. Un conseillé : Si vous portez un 42 il faut acheter une taille 43/44. Pour le. Reste ils sont vraiment joli e bien choude.</t>
  </si>
  <si>
    <t>Trop petit Trop petit pour moi, met tant du L d'habitude, donner à ma fille qui met du M, repris pour moi du XL, sinon livraison rapide, très bien.</t>
  </si>
  <si>
    <t>Jolies Très bien.</t>
  </si>
  <si>
    <t>j ai bien ris apres que l on mes dit pour le massage du dos au endroit  ou l on souffre , c est top. j ai une amie qui ma dit que ceci était aussi considéré comme un masturbateur féminin. cela ma bien fait rire</t>
  </si>
  <si>
    <t>survetement bas lacoste moins cher qu'a inter sport , mais plus fin ,bien pour l'été beau produit et qualité me semble bien à voir avec le temps, normalement mon mari  le porte 5 ans sans problème d'usure</t>
  </si>
  <si>
    <t>Un massage doux et agréable... je recommande. Bon rapport qualité-prix Très agréable avec 2 forces de massage. Je l'utilise quotidiennement... voir après l'usure du tissu de protection des boules massantes - j'ai déjà eu le pb avec d'autres marques.  Je recommande... c'est trės agréable. Certains utilisateurs trouvent que ça fait mal. C'est une question de position et on s'habitue à l'usage... pas de possibilité de désactiver la fobction chauffage des boules... mais cela ne chauffe pas trop.... (ex : qd on veut utiliser qd il fait chaud...).</t>
  </si>
  <si>
    <t>très bon produit Le écouteur Bluetooth est très bon, je l'aime bien la couleur, noir et élégant. très proche de l'oreille, il ne bouge vraiment pas, et il est très léger, la qualité du son est étonnamment bonne, tout en écoutant de la musique tout en faisant le ménage, que ce soit correct. Le port de mes oreilles est très confortable, La finition est exquise, les liens principaux sont stables et le son est particulièrement clair. Abordable, donnant aux gens une agréable surprise. très bon produit</t>
  </si>
  <si>
    <t>joli bracelet J'ai offert ce joli bracelet à ma femme. Elle était tres contente de ce cadeaux cool merci merci</t>
  </si>
  <si>
    <t>Exactement comme l article vendu Magnifique petite boucle, couleur impeccable, dimension parfaite</t>
  </si>
  <si>
    <t>Conforme à la description Je l'ai acheté pour ma femme qui minforme qu'il est bien à sa taille ne sert pas trop Donc elle est contente</t>
  </si>
  <si>
    <t>Très bon rapport qualité / Prix Cela fait déjà plusieurs jour que j'ai pu tester ce casque car j'en avait un peu marre de mes écouteur qui me fessait mal a l'oreille et qui en plus ne tenait pas du tout dessus. Donc j'ai tester ce nouveau casque et je peut vous dire qu'il est est pour commencer vraiment confortable, il tient bien a la tête et ne fait pas mal a l'oreille c'est juste un plaisir de l'utiliser. Pour ce qui de l'écoute de la musique en bluetooth le son est nickel et la durée de vie est plutôt sympa. Depuis quelque temps, j'écoute de la musique sur le trajet de mon travail donc 30 minute pour aller et 30 minute pour le retour, avec spotify pendant 1 semaine sans avoir besoin de le recharger et encore si il se décharge vous avez le câble jack pour passer en mode cablé sans avoir besoin de le recharger au cas ou vous êtes encore sur le trajet du retour. la recharge est assez rapide plus de 2h de recharge total. Les boutons sur le côté du casque sont assez pratique surtout au cas ou on vous appel au télephone, vous n'aurez pas besoin de sortir votre téléphone, le boutons sur le côté du casque vous sert a décrocher et raccrocher l'appel surtout que le casque possède un micro pour les appel donc c'est pratique. Pour le boutons sur le coté du casque il vous faudra vous habitué, j'ai pas trouver sa très facile au début mais avec l'habitude on s'y fait. Au final je suis très satisfait de ce casque de bonne qualité pour un prix qui le vaut largement.</t>
  </si>
  <si>
    <t>La crème de beauté du cuir Idéale, remarquable et indispensable Je recommande à 💯 ^</t>
  </si>
  <si>
    <t>Taille parfaite pour mon bébé de 3 mois La tétine fournie par défaut avec les biberons Nuk est de taille M. Le débit de lait est bien trop élevé pour un nourrisson, j'ai acheté ces tétines taille S et c'était parfait.</t>
  </si>
  <si>
    <t>Pull Tres bonne qualite taille parfait</t>
  </si>
  <si>
    <t>Parfait pour réchauffer la nuque. Accessoire sympa et utile pour se réchauffer la nuque rapidement.</t>
  </si>
  <si>
    <t>Good choice 👍 Très agréable à porter et le son est largement au niveau d'un très bon filaire</t>
  </si>
  <si>
    <t>Tres deçu Plus rien a voir avec la qualité "fruit of the loom" d'autrefois , tres leger , trop même ! mal taillé (manches trop longues ! très deçu !</t>
  </si>
  <si>
    <t>satisfaite Après 2j d'utilisations je suis tout a fait satisfaite du produit. Le design "effet bois" est très réussi, les couleurs sont jolies et le diffuseur embaume la pièce (25m2) en quelques minutes seulement et il est stable (avec un chat et un enfant c'est indispensable) Parfait, à voir s'il tient ses promesse dans la durée.</t>
  </si>
  <si>
    <t>Parfait Pour mes filles pour coloriage mandala. Les couleur sont superbes et la mine très bien pour des enfants. Ne sèchent pas vite comme certains autres feutres. Je l’ai recommande vraiment.</t>
  </si>
  <si>
    <t>Confort Ce qui m'a le plus surpris est le confort de ce casque, très agréable, on peut le porter des heures sans problème. Bon son, avec le réducteur de bruit c'est parfait. Robuste et jolie également.</t>
  </si>
  <si>
    <t>Très sympa Super j'adore décontracté très agréable je recommande sans problèmes</t>
  </si>
  <si>
    <t>bof le coeur s'est décroché très vite et l'argent a disparu très vite aussi donc durée très limitée !!</t>
  </si>
  <si>
    <t>Pas solides En premier plan elle passent bien , sont confortable , pas très lourdes comparer à des sécu classique  Mais après deux mois d’utilisation.  Là semelles c’est arracher.  Alors que je ne marche pas énormément puisque je suis chauffeur  Donc plus tôt dessus</t>
  </si>
  <si>
    <t>A moitié vide Cartouche non remplie au maximum.</t>
  </si>
  <si>
    <t>sac poubelles Ce n'est plus la qualité d'avant ! J'achète ces sacs depuis des années. Avant ils étaient plus épais et ne cédaient pas lorsqu'on tire le sac pour l'extraire de la poubelle.</t>
  </si>
  <si>
    <t>Pas aussi efficace qu'un diffuseur à nébulisation Les gouttes ne se diffuse pas aussi bien qu'un diffuseur à nébulisation. Pas aussi efficace pour les huile essentielles. Je suis quand mêe content car il m'aidera à humidifier l'appartement cet été.</t>
  </si>
  <si>
    <t>Bonne compatibilité pour canon TS5001 Lot de cartouches pour remplacer des cartouches de marque canon pour imprimante TS5001. La qualité de fabrication n'inspire pas autant de confiance que celle des cartouches originales (conditionnement, matière plastique des cartouches...), Cependant, la mise en place des cartouches est très aisée et la reconnaissance de l'imprimante est immédiate et sans problème. Pour des impressions standard régulières, ces cartouches sont impeccables. Je n'ai pas encore testé des impressions de qualité photos.</t>
  </si>
  <si>
    <t>Bon rapport qualité / prix Très belle montre pour un prix très dérisoire au final. Certes ce n'est pas de la grande horlogerie mais il s'agit d'une montre pour fournir l'heure et non pas d'un placement financier ! Bracelet de bonne qualité</t>
  </si>
  <si>
    <t>Bon produit. Dommage qu'il ne soit pas plus long car descend pas assez sur le bas du dos lorsqu'on est grand. Chauffe très bien et rapidement.</t>
  </si>
  <si>
    <t>Cellule OM 5E Bonjour, amateur de vinyles et de Hifi depuis 50 ans j'ai toujours dit que le plus important en Hifi c'est l'entrée et la sortie soient la cellule et les enceintes. Cette cellule propose vu son prix une bonne gamme de fréquence 20 à plus de 24.000hertz et grâce à elle j'ai redécouvert des sons qui m'étaient disparus. Je suis donc un homme heureux</t>
  </si>
  <si>
    <t>Une beauté !!!!! Un bijou de qualité très élégante. Je suis très contente avec la montre c’est superbe. Mme Alexis</t>
  </si>
  <si>
    <t>Très bien Super, il se démonte complètement pour un nettoyage optimal Facile à monter et possibilité de stérilisation de la tétine et de l'intérieur du biberon rapide</t>
  </si>
  <si>
    <t>Adorable!!! Ce lot de 2 biberons de la marque Dodie est adorable. En plus ils sont munis des tetines de la marque que je préfère, les tetines sensation.  On a deux biberons roses très très girly avec des motifs ultra mignons.  La quantité de 260ml est suffisante pour les premiers mois.  J adore.</t>
  </si>
  <si>
    <t>Montre boussole Bonne montre rapport qualité prix = casio</t>
  </si>
  <si>
    <t>confortable confortable, bonne taille.</t>
  </si>
  <si>
    <t>superbe Superbe leggings de sport yoga taille très bien et les couleurs sont comme sur la photo je recommande ce produits</t>
  </si>
  <si>
    <t>Parfait Très bon rapport qualité prix Mes biberons avent classic tiennent très bien dedans (jusqu'à 5 en même temps à l'aise) Très bien aussi pour les gourdes et petites bouteilles Entretien facile, ne prend pas beaucoup de place, je conseille</t>
  </si>
  <si>
    <t>Très bien Très beau sac, très pratique avec ses compartiments, dont quelques unes à l'extérieur, prévues de fermetures éclair, livraison ultra rapide, un jour avant la date prévue, merci</t>
  </si>
  <si>
    <t>Satisfait Ils sont confortables et tiennent bien chaud.</t>
  </si>
  <si>
    <t>Très bien Les seuls que ma fille apprécie. Elle est enfin arrivée à l'âge où elle peut les utiliser et comme les tailles inférieur on les adore. Je pense même en commander un deuxième car parfois un c'est un peu juste/</t>
  </si>
  <si>
    <t>Basket au top Superbe basket !! vraiment confortable</t>
  </si>
  <si>
    <t>Parfait Cadeau très apprecié</t>
  </si>
  <si>
    <t>Très bien mais attention aux couleurs... Superbe chaussure. Attention, toutes les couleurs nont pas le même confort. Les marron golden sont superbe, tandis que les marron chocolat en nubuck sont infernales tant elles ne sont pas confortables.... méfiance</t>
  </si>
  <si>
    <t>Très bonne qualité Très bonne qualité, elles me font tous les étés sur les galets</t>
  </si>
  <si>
    <t>Au top Utiliser pour mon séjour à la maternité. Les serviettes son agréable et très absorbante. Culotte jetable très pratique mais je conseille d’en acheter à part pour en avoir plus Trousse sympa que j’utilise maintenant pour les médicaments de bébé</t>
  </si>
  <si>
    <t>Attention aux dimensions. Joli produit mais que je ne peux utiliser en raison de sa dimension qui ne rentre pas dans un micro-onde standard.</t>
  </si>
  <si>
    <t>CARTOUCHE NON CONFORME le 4 septembre 2017 j'ai commandé 2 tonners d'origine  Samsung MLT-D111S. A l'ouverture du second toner ce jourd'hui, celui-ci n'est pas conforme à la référence indiquée et je ne peux pas l'utiliser......</t>
  </si>
  <si>
    <t>15€ pour un bracelet qui a tenu 3 jours .. Le bracelet me semblait fragile et en effet, au bout de 3 jours, après avoir lancé une balle de tennis à mon chien, le bracelet a littéralement explosé autour de mon poignet. Les perles se sont dispersées dans la pelouse. Pour ce prix, on s'attend à un bracelet de meilleure qualité.</t>
  </si>
  <si>
    <t>Pas sûre que cette sacoche dure dans le temps!!! La qualité  a l air moyen Pratique pour y ranger portefeuille carte grise téléphone portable voir tablette une petite bouteille d’eau Pour info sur site chinois 14 € certes le délai de livraison est bien plus long Ici avec Amazon Prime 19 € livraison en 24 heures Avoir dans le temps à ce que cela donne (Retour après 1mois utilisation le bouton pression donne des signes de faiblesse il a du mal à ce fermer.....)dommage sinon elle est pratique.</t>
  </si>
  <si>
    <t>Le top Magnifique produit, une douceur extraordinaire, cadeau de Noël extra, a voir dans le temps. Je recommande vivement malgré mes appréhensions.</t>
  </si>
  <si>
    <t>Brosse de bonne facture Produit de qualité, crin de cheval sans odeur, et donc extrêmement souple. C'est bien pour les cuirs délicats ou pour lustrer en étant sûr de ne laisser aucune rayure.</t>
  </si>
  <si>
    <t>petit mais costaud Très pratique. Petite taille et bonne qualité de finition..... .... ......... ... .. .. ...  .. . . . .</t>
  </si>
  <si>
    <t>Rapide et jolie Grande contenance, chauffe très rapide, et un spectacle fascinant (les bulles et la lumière bleue !). Exactement ce que je voulais !</t>
  </si>
  <si>
    <t>Impec Confortable et arrivé à l'heure dite</t>
  </si>
  <si>
    <t>INCROYABLE MP3 WATERPROOF Le produit est conforme à la description. J'ai rapidement reçu l'item sans aucun soucis d'emballage ou autres.  Depuis que j'ai ce MP3, aller à la piscine est un réel plaisir. Il faut trouver sz bonne taille d'embout et s'y habituer au début mais la tenue est bonne. Notes : Il est difficile (impossible) cependant de plonger  / faire des virages en gardantr le MP3 bien dans les oreilles</t>
  </si>
  <si>
    <t>Pas utlisé mais... Chez nous, on utilise, ni clou, ni visse. Uniquement la patafix. A tel point que, même nos rideaux, étaient fixés avec. Pour vous dire, comment, ce produit, est simple, pratique et efficace.</t>
  </si>
  <si>
    <t>le sérieux du fournisseur pour faire un cadeau sympa</t>
  </si>
  <si>
    <t>Au top ! J'ai acheté ce produit afin d'avoir de bonnes odeurs chez moi et j'en suis entièrement satisfait. Le design est très joli, les lumières sont bien, et le produit fait son travail comme il doit le faire. Un de ses points fort est qu'il est TRES silencieux et donc n'empêche pas de dormir pendant son utilisation.  Je recommande vivement !</t>
  </si>
  <si>
    <t>Contente Ma fille et super contente</t>
  </si>
  <si>
    <t>Beaux écouteurs sans fil... &lt;div id="video-block-R28XB9HK5TT6GS" class="a-section a-spacing-small a-spacing-top-mini video-block"&gt;&lt;/div&gt;&lt;input type="hidden" name="" value="https://images-eu.ssl-images-amazon.com/images/I/A1vn4sJDXcS.mp4" class="video-url"&gt;&lt;input type="hidden" name="" value="https://images-eu.ssl-images-amazon.com/images/I/81+Gf58gtWS.png" class="video-slate-img-url"&gt;&amp;nbsp;C'est une belle oreillettes sans fil. Il se connecte facilement à tous les gadgets. La batterie dure longtemps. La qualité du son est incroyable aussi. Et enfin, il reste sur les oreilles même si vous courez ou faites de l'exercice / des activités.！！</t>
  </si>
  <si>
    <t>Au top Correspondent à ce que je voulais, super mignonne, taille parfaitement (j'en avais déjà une paire, noire cette fois). Super contente !</t>
  </si>
  <si>
    <t>Fait ce pourquoi on l'a achetée Cette calculatrice est pour mon fils qui a cassé la sienne elle remplit bien sa fonction au collège et correspond à nos attentes</t>
  </si>
  <si>
    <t>Très content de cet achat Très bonne qualité de cuir. Semelle interne spéciale amortissement très bien pour les longues marches. J’avais pas encore eu l’occasion d’essayer cette marque ... j’y reviendrais</t>
  </si>
  <si>
    <t>Excellent produit Excellent produit que j’ai utilisé lors de mon voyage utilisation parfaite en avion et idéal pour aller courir car grâce au bluetooth pas besoin d’avoir l’entreprise fil qui traîne. Bonne autonomie et bon maintien. Je recommande</t>
  </si>
  <si>
    <t>Jolie Fait solide</t>
  </si>
  <si>
    <t>Autonomie extra Juste géniale. Se passe de Wear OS. 4 jours d'autonomie</t>
  </si>
  <si>
    <t>Bof Gomme cencée faire disparaître les taches??!!! Moi les marques de crayons de couleurs de mes jumeaux ont tout simplement bavées mais pas parties; et une chose fort désagréable c'est qu'elle se déteriore à une vitesse folle, quasi 1ére utilisation.... Je ne les conseillerai pas..</t>
  </si>
  <si>
    <t>Bracelet cassé, humidité rentré hs au bout de 4moi à cause de la non étanchéité Autant prendre une montre à 2 euro, fragile vibreur mou étanche comme une éponge, j'ai du la recoller trois fois pour qu'elle tienne 4mois dans des conditions un peu rude.</t>
  </si>
  <si>
    <t>cuir moyen cuir de qualité passable</t>
  </si>
  <si>
    <t>Bon pull Un bon pull, livré rapidement, de qualité mais avec des manches un peu courtes. Idéal pour des 3/4 manche. Recommandé pour des gens a petits bras</t>
  </si>
  <si>
    <t>Un régal pour nos pieds !!!! Confort assuré ! Con-for-ta-ble !!! J'ai déjà une vingtaine de paires Birkenstock , essentiellement Gizeh et Madrid et 2 Boston. Donc cette paire est ma première Arizona. Je mets un 4 étoiles uniquement car ce modèle n'est pas très féminin, je ne sortirai pas dehors en ville avec. Mais c'est une affaire de goût. Sinon la qualité est au top !!!! Quel confort ! La Arizona a de particulier sa couche tendre ( weich-bettung) que n'ont pas les autres modèles....donc un confort supplémentaire ! Un régal ! Je la mets à la maison en mis-saison, car en hivers je met la Boston ( modèle fermé) et en été par grosse chaleur je met la Gizeh ( tong) . Donc la Arizona est bien pour entre deux saisons car ni trop froid aux pieds , ni trop chaud. Ce modèle réglable permet de les mettre pieds-nus ou en chaussettes. Perso j'apprécie pieds nus. Ensuite je chausse du 38 et pour ce modèle j'ai choisi 38 (étroit) qui va très bien. Par contre si vous choisissez ( normal) ou ( large)  prenez une taille en dessous. Bref, pas d'hésitation si vous cherchez le confort, et merci Amazon pour vos petits prix ( 2 fois moins cher que sur le site de la marque.)</t>
  </si>
  <si>
    <t>Merci Joli bracelet</t>
  </si>
  <si>
    <t>J’adore Très jolie</t>
  </si>
  <si>
    <t>Bon produit et facile d'utilisation ➖➖➖➖➖ CE QUE J'AI AIMÉ ➖➖➖➖ 💚 Très bon rapport qualité prix (36€) 💚 Le look du produit (Apple like). 💚 La compacité 💚 La facilité d'appairage entre les écouteurs eux même, et avec mon iPhone: on sort de la boite et ça se connecte tout seul 💚 Le micro marche bien en mode "téléphone" 💚 les écouteurs sont aimantés et se fixent tous seuls dès qu'on les range dans la boîte de recharge 💚 L'autonomie (je tiens 3 heures sans problème) et je fais 3 recharges dans la boite 💚 L'intégration dans iOS est bonne, et la connexion qui ne donne de pas de latence significative son/image pour les films 💚 Bonne tenue dans les oreilles, à condition de bien choisir son embout (je fais du VTT, pas de running) 💚 La qualité des embouts en silicone, vraiment agréables  ➖➖➖➖➖ CE QUE J'AI MOINS AIMÉ ➖➖➖➖ 😐 Le niveau du son est trop faible à mon goût, et les basses un peu faiblardes (mais ce n'est jamais génial dans ce genre de produit) 😐 Les écouteurs ne se déconnectent que quand on ferme la boite, pas quand on les dépose dans leur logement 😐 Les commandes sont effectuées par un simple "touch" sur les écouteurs, donc attention à ne pas les réajuster lors d'un appel téléphonique, sinon "couic"  ➖➖➖➖➖ EN CONCLUSION ➖➖➖➖ 👍 Bonne qualité audio, 😐 même si le volume est trop faible à mon goût 👍 Usage très simple et ergonomique 👍 Port confortable 👍 Il faut veiller à bien prendre le bon embout pour une bonne tenue dans l'oreille et une bonne isolation des bruits externes  En conclusion: J'aime bien ce produit pour son surtout pour son très bon rapport qualité prix, et vous l'aurez compris, je le recommande.  Mon avis est sincère, personnel et honnête , et seulement le reflet de ma propre expérience. J'espère qu'il vous aura été utile dans vos choix. Merci de m'avoir lu 😊  Edit après une petite semaine d'utilisation: - Toujours aussi content de la praticité d'usage du produit - Le volume max est un peu insuffisant en environnement bruyant</t>
  </si>
  <si>
    <t>dans le but de faire plaisir sans être décue de l'achat achat pour un cadeau d'anniversaire ... très jolie montre, tout à fait identique à la publication sur le site... la personne à qui je l'ai offerte est ravie, et moi, pas déçue du tout d'avoir opté pour cet article</t>
  </si>
  <si>
    <t>Bonnes Converses! Envoi rapide, baskets fidèles à la marque Converse, bonne qualité de produit, pointure correcte, bonne tenue aux pieds. Ravie de mon achat.</t>
  </si>
  <si>
    <t>Très confortables et sécurisantes Bonne chaussures de sécu pour travailler confortables comme des tennis et bonne semelle agripante</t>
  </si>
  <si>
    <t>Top Superbe montre de Marty Mcfly !  :)</t>
  </si>
  <si>
    <t>Confort Très bien</t>
  </si>
  <si>
    <t>Top Jolie basket montante bonne qualité  habituellement je fait du 39 la j ai prit 40 pour être à l aise et c est le top  bonne finition je recommande</t>
  </si>
  <si>
    <t>Baskets adidas Je l ai utilise pour du foot salle et c est super confortable et bonne accroche du terrain ,c est impeccable pas besoin de prendre les dernières basket .</t>
  </si>
  <si>
    <t>Bon son Très bon son les bass sont bien présentes le son est bien net. Parfait pour les séances de sport</t>
  </si>
  <si>
    <t>Converse Chuck Taylor All Star Mono Ox Je suis tellement ravi de ces petites baskets (taille 38) pour ma copine en cadeau. Elle est ravi et ces chaussures vont avec pratiquement tout! Pas chères du tout et elles sont vraiment mimi!! Je recommande.</t>
  </si>
  <si>
    <t>Idéal. Bonjour, Ces chaussures sont bien taillée, je les ai acheté taille 39 et elle me bon très bien.</t>
  </si>
  <si>
    <t>Parfait Bonne qualité, je suis ravis de mon achat</t>
  </si>
  <si>
    <t>Très bon prix Je n'avais plus de montre depuis un moment et j'en cherchais une pas trop chère et classique pour le quotidien. Je suis tombé sur cette casio et franchement ce fut une très bonne surprise car pour le prix elle est vraiment bien! Certains pourront dire qu'elle est un peu petite mais moi ça me va.</t>
  </si>
  <si>
    <t>Mieux qu'espéré ! (Pour le prix) Je l'utilise dans les transports. La réduction de bruits fonctionne sur toutes les basses et bruits sourds comme les ronronnements des trains ou bus mais laisse passer le reste. C'est donc mieux que rien pour le prix... Le son est propre et assez doux. L'anc s'utilise seul et ça c'est vraiment utile.</t>
  </si>
  <si>
    <t>Article conforme à la description et beau rendu visuel. Article conforme à la description. Reçu rapidement.</t>
  </si>
  <si>
    <t>Super ensemble polaire Parfait ! La commande est conforme au produit annoncé et souhaité. Matière très agréable et très chaude pour un petit prix. Livraison rapide.</t>
  </si>
  <si>
    <t>Ne pas acheter. Bonjour, un nouveau commentaire sur cette montre. Deux ans d'utilisation, elle n'a jamais fonctionné correctement. Elle vient de terminer sa carrière aplatie à coup de massette sur l'établi. J'ai pris des photos de l'engin mais pour l'instant, ca n'a pas l'air d' être enregistré. Peut importe, n'achetez jamais cette montre! Salutations.</t>
  </si>
  <si>
    <t>Prends l'eau en fin de garantie J'étais très content de cette montre sauf que depuis plusieurs jours, elle prends l'eau juste en se lavant les mains.  Elle n'a bien évidemment jamais été ouverte, puisque pas de pile à remplacer. Cela est très décevant.</t>
  </si>
  <si>
    <t>Bracelet pierre Cordelettes support utilisé pour maintenir les boules de pierre n'est pas de bonne qualité. Mon bracelet étai t cassé après 10 jours</t>
  </si>
  <si>
    <t>Basket Génial belle basket</t>
  </si>
  <si>
    <t>attention aux oreilles Bon produit, compact et efficace sauf que... les écouteurs sont un peu petit et risque de faire mal aux oreilles pour une utilisation prolongée ( voyage en Avion ). De plus pas d'adaptateur pour les avions ( à prévoir ).</t>
  </si>
  <si>
    <t>Très top. Je l'utilise depuis plus d'un mois et suis satisfait. Elle chauffe l'eau en 45 secondes. Si vous ne l'arrêter pas lorsque l'eau bout elle s'arrête automatiquement. Facile d'entretien un petit verre de vinegre blanc une fois par semaine. Qualité très bonne par rapport au prix.</t>
  </si>
  <si>
    <t>Au top Après près de deux semaine d'utilisations quotidienne Les plus: -Batterie impressionnante -Réduction de bruit plus que parfaite -Qualité sonore exceptionnelle -Tenu impeccable dans l'oreille -Petite taille -Application dédiée utile -Bluetooth 5.2  Et encore plein d'autre choses !  Les moins: -Assistance vocale pas terrible.. Alexa en mode "bridé" étant donné que les Jabra ne se connectent pas en Wifi les utilisations sont limitées.. -Les boutons sur les Jabra sont un poils mal foutus a mon goût.. J'aurais préféré certaines actions ailleurs.. Mais c'est très personnel !  En globalité, ces jabra sont surement les meilleurs du marché pour se prix là (En concurrence direct aux Samsung Gear IconX) Nous sommes trois amis à les avoirs et nous ne somme absolument pas décus !  Je recommande vivement !</t>
  </si>
  <si>
    <t>utilisé pour le footing Fonctionne parfaitement avec ma montre de sport tomtom. La tenue est correcte, Utilisé pour le footing uniquement. la qualité du son est suffisante pour mon utilisation</t>
  </si>
  <si>
    <t>Bon produit Le produit a mit du temps à arriver et la matière n'est pas de très bonne qualité</t>
  </si>
  <si>
    <t>De très bon écouteur, de qualité ! Je viens de recevoir mes oreillettes et je peux confirmer que par rapport au prix, ces écouteurs sont une petite merveille! Beau design, couteurs ergonomique, pratique et hygienique, le son est de bonne qualité aussi. Il y a un bouton permet d allumer ou éteindre la musique de répondre ou finir un appel. Il est compatible avec tous les appareils ayant avec le jack 3.5mm. Et livraison rapide et éfficace.</t>
  </si>
  <si>
    <t>Du papier tout simplement Prix très correct, bonne qualité, les produits Amazon comme d’habitude au top J’adore ce site</t>
  </si>
  <si>
    <t>Bonne qualité J'adore ils sont confortables Je les conseille</t>
  </si>
  <si>
    <t>Bonne qualite Pack de 2 protections pour téléphone portable, tres epais et tres bonne protection pour l'écran. Petit prix et bonne qualité</t>
  </si>
  <si>
    <t>Pour être bien au chaud Je recommande vivement cette bouillotte. Elle est effectivement écologique puisqu'on n'utilise pas d'eau, mais ce que je préfère c'est qu'elle est prête très rapidement au micro-ondes et qu'elle ne brûle pas (alors qu'en général, avec une bouillotte et une bouilloire classique on a tendance à mettre de l'eau beaucoup trop chaude dans la bouillotte ce qui, en plus de nous brûler, la perce très vite). La durée de vie de cette bouillotte avec une utilisation intensive est d'environ un an, après la poche intérieure se déchire et sème les graines de lin</t>
  </si>
  <si>
    <t>Robot masseur Super tête un peu lourde à porter</t>
  </si>
  <si>
    <t>Je les adore Ces bracelets sont parfaits. Ils sont solides, jolis. Je me douche achat depuis que je les ai et ils n'ont pas bougé. Ils sont arrivés bien emballés dans une belle pochette. Je ne regrette pas du tout.</t>
  </si>
  <si>
    <t>Excellent produit je recommande Excellent produit je recommande</t>
  </si>
  <si>
    <t>envoi rapide, efficaité du produit mais il faut laver les taches dans la journée, ne pas attendre j'ai fait partir du cambouis sur un short blanc !</t>
  </si>
  <si>
    <t>on fait beaucoup de chose avec ça 'envoi est rapide et soigné,  tout le monde devrait avoir dans ses produits d'entretien du bicarbonate de soude , j'ai nettoyé beaucoup de choses avec et ça fonctionne très bien .</t>
  </si>
  <si>
    <t>parfait bonne chaussures bonne taille parfait, conforme a ce que j'ai commander vraiment content et confortable, a tester sur les sentiers maintenant lol</t>
  </si>
  <si>
    <t>très bon produit après plusieurs hésitation j'ai fini par me lancer. Aillant des difficulté pour trouver des bon modèles qui tiennes bien aux oreilles avec les jabra pas de souci. Simplement il faut avoir le coup pour bien les mettre. Niveau qualité du son excellent rien à redire aussi bien dans les aigus que les graves. la petite appli jabbra permet de bien personnaliser. Sinon aucune latence au niveau du son que ce soit sur musique et que film. seul petit bémol il est vrai que le réducteur de bruit est pas mal mais on entend quand même ce qui ce passe autour. d'ailleurs la petite option de pouvoir écouter ce qui ce passe à l’extérieur marche nikel.j'ai pu le tester sur mon pc et mon téléphone il le reconnait direct sans avoir de perturbation de déconnexion. La qualité du produit est pas fragile. je recommande vraiment ce produit. même si l'on peut pas lui mettre 5 étoiles un bon 4 voir 4 1/2 me parait justifier.</t>
  </si>
  <si>
    <t>Au top Je suis ravie de mon achat, ma fille n’a pas de prise électrique près de son bureau et c’est une super alternative. Elle est simple d’installation grâce à son système de pince . L’éclairage est très bon et orientable à souhait . Je l’ai donc branché sur une batterie externe grâce au port usb et ma fille peu maintenant travailler à son bureau avec une lumière .</t>
  </si>
  <si>
    <t>Très beau design pour cette bouilloire Thé et autres</t>
  </si>
  <si>
    <t>bon son et fort rapport qualité prix excellent. très bon son et volume assez fort. livré avec la petite pochette qui va bien. je recommande chaudement à ce prix là.</t>
  </si>
  <si>
    <t>Ne fonctionne pas à 100% Aucun son, lumières oui, connexion bluetooth oui. Déçue de devoir commander et encore attendre...</t>
  </si>
  <si>
    <t>C'est pour boire de la purée ?! Le trou est immense. Ça ne convient pas pour du lait enrichi de céréales infantiles.</t>
  </si>
  <si>
    <t>Déçue Toutes les fonctions ne fonctionnent pas correctements</t>
  </si>
  <si>
    <t>pas grandiose pas extraordinaire mais vu le prix... . soit la trotteuse prend de l'avance (2 sec en 48h) soit le digital prend du retard... . pas d'outil pour réduire la taille du bracelet qui est très grand (j'ai enlevé 3 maillons avec un outil que j'avais, heureusement) . pas de notice, la montre bip toutes les heures, je ne trouve pas pour l'enlever Donc correct mais sans plus.</t>
  </si>
  <si>
    <t>Bon produit Le produit est conforme; point d'attention : les écouteurs sont larges donc mis sur la tête d'un enfant, ça passe tout juste entre les oreillettes du siege auto; ma fille est souvent contrainte d'avancer un peu la tête pour se décoincer. Utilisé sur un siege auto jusqu'à 18kg donc je suppose qu'avec un siege moins enveloppant il n'y a pas ce leger problème.</t>
  </si>
  <si>
    <t>Content Très bon article, Je recommande!</t>
  </si>
  <si>
    <t>produit efficace , peu d'odeurs suite au renouvellement dans réseau fosse septique simple à l'emploi</t>
  </si>
  <si>
    <t>Prendre taille habituelle Legging un peu trop long, les partis blanches sont très fines et transparentes. Pour le reste bonne matière et taille correcte.</t>
  </si>
  <si>
    <t>taille petit Bonne qualité générale pour le prix, ne pas hésiter à prendre 2 tailles de plus.</t>
  </si>
  <si>
    <t>Enchânteur pour une petite fille ! Très bel album avec de jolis décors et des stickers qui scintillent pour certains. les pages plastifiées et la double couverture, c'est génial. De quoi laisser libre cours à son imagination et sa créativité pour créer ses propres scènes.</t>
  </si>
  <si>
    <t>Très joli, je recommande Super contente, joli collier avec les boucles d'oreilles qui font une parure. Le rendu est parfait, j'espère que la qualité sera aussi au RDV.</t>
  </si>
  <si>
    <t>Casio - LCW-M170TD-1AER - Waveceptor - Montre... Montre trés réussi.Pour moi, aucun défaut.Cadran trés lisible, Mise en veille automatique.En mettant la langue espagnole, les noms des jours sont plus faciles à distinguer. Alors pour le réglage du bracelet,(Il vous faut l'appareil de la Photo) il suffit de récupérer la petite bague lorsque l'on enlève un axe d'un ou plusieurs maillons et de la remettre à l'intérieur du gros trou du maillon de la coincer avec le maillon suivant, d'enfoncer l'axe avec un petit marteau et c'est ok, pas besoin de tordre les axes pour que ça tienne. Je l'ai fais et c'est top. Pour les fonctionnalités, rien à dire, tout y est : -Batterie rechargeable par source lumineuse. - Mise à jour de l'heure automatique et fiable. - Toutes les aiguilles sont lumineuses, pratique la nuit. - Fuseaux horaire de plusieurs villes mondiales. - Chronomètre. - Compte à rebours. - Indicateur de niveau de charge de la batterie. - Éclairage du cadran.  Je conseille vivement cette montre.</t>
  </si>
  <si>
    <t>lessive super contente de mon achat</t>
  </si>
  <si>
    <t>Parfait !!!! Je commande toutes les années ce modèle et tout est toujours parfait. Je recommande ce produit !</t>
  </si>
  <si>
    <t>adorable bijou Petit collier fin et mignon.</t>
  </si>
  <si>
    <t>Parfait Article de très bonne qualité. Taille parfaite. Je recommande vivement cet article!!</t>
  </si>
  <si>
    <t>Plastifieuse pratique et simple Plastifieuse très facile à utiliser et pries en main rapide. Elle est livrée bien emballée et complète avec en plus des pochettes de différents formats A3 A4 A5, un coupe feuille, une perforatrice etc... Bon rapport qualité prix.</t>
  </si>
  <si>
    <t>Produit satisfaisant J'aime bien que ma maison soit saine et sente bon. J'ai donc acheté ce diffuseur pour cela. Livret d'explication fournit avec en plusieurs langues. Le point négatif c'est que le couvercle ne tienne pas si on veut le déplacer</t>
  </si>
  <si>
    <t>Parfait C'est la seconde commande que j'éffectue chez Danish Endurance et je ne suis pas décue. Ces chaussettes sont comme indiquée, sans surprise, legères et chaudes. Parfaites pour mon usage.</t>
  </si>
  <si>
    <t>Casio Vintage Excellent produit que je recommande à tout le monde pour ceux qui désirent revivre les instants magiques des montres des années 70/80...</t>
  </si>
  <si>
    <t>Très bonnes socquettes Enfin des socquettes qui tiennent aux pieds et qui ne se retrouvent pas dans les 5 mn au fond des chaussures, la taille 43/46 me convient bien (je fais du 44) et la coupe est bonne ce qui permet de les laver à 40° sans crainte. Info : la teneur en coton est de 72%.</t>
  </si>
  <si>
    <t>Satisfait Câble connectique amplificateur guitare.bon produit</t>
  </si>
  <si>
    <t>Parfait petite cuisine On peut l'installer entre le levier et le mur, c'est idéal pour des petits espaces contrairement aux arbres qui prennent trop d'espace sur un plan de travail</t>
  </si>
  <si>
    <t>belles produit conforme, proposées en grande taille c'est parfait pour moi et j'adore cette couleur bleue.</t>
  </si>
  <si>
    <t>Idéal pour automne Colis reçu en avance! Jolie matière, conforme a l image, j ai commandé ma taille mais légèrement un peu large après ça ne me dérange pas. Poches sur le côté, ne froisse pas. Top pour les mi saisons, car léger mais tient chaud !</t>
  </si>
  <si>
    <t>ne rachetterai  pas Je n'ai pas su m'en servir.Quand penserez vous à mettre le guide d'emploi en français,on est en France ici.J'ai coupé la pointe de sorti du produit mais ça giclait de partout.Le produit est peut ètre bon mais la façon de faire ne l'ai pas.</t>
  </si>
  <si>
    <t>sweet taille pas top tombe très mal sur le corps</t>
  </si>
  <si>
    <t>Autonomie plus faible que prévue. Je m'en sers un peu pour tout, me balader dans la rue ou faire le ménage. Il ne tient pas très bien sur la tête, un peu lourd il glisse parfois. Mais surtout l'autonomie en bluetooth est approximativement de 6H. Filliaire elle peut avoisiner les 20h.  Mais globalement je ne regrette pas mon achat!. le son est bon, il est confortable bien qu'un peu chaud.</t>
  </si>
  <si>
    <t>Converse mais .... Rien a dire de particulier des converses reste des converses et j'adore tout simplement Seul ic avec ce vendeur c'est la livraison qui est un poil long et la boîte était drôlement petite comparer a d'habitude ( on aurait dis une boîte a ballerine! ) et l'odeur me faisait penser a de la bas de gamme donc me pose un peu la question quand a l'origine et l'authenticité du produit!</t>
  </si>
  <si>
    <t>Produit conforme Produit conforme</t>
  </si>
  <si>
    <t>Très bon Je la recommande vivement</t>
  </si>
  <si>
    <t>bon produit ras</t>
  </si>
  <si>
    <t>Top pour des poules Je traite régulièrement, une à deux fois par an, mes poules pour des gales aux pattes. ce produit est très efficace en deux applications espacée d'une semaine.  Penser à utiliser le produit pour badigeonner les perchoirs. 9a sèche vite. J'avais pris ce petit format à l'essai. Il vaut mieux je pense acheter la version spéciale poule avec le pinceau intégré au couvercle, c'est plus simple à l'utilisation. C'est aussi ce que je prendrai la prochaine fois.</t>
  </si>
  <si>
    <t>cliente Amazon Belle boucle d oreilles j aime beaucoup je ne m en lasse pas</t>
  </si>
  <si>
    <t>Très satisfaite Superbe montre de la marque casio vintage doré. Elle n'est pas trop grosse au poignet agréable à porté. Le bracelet,l'heure et la date sont facile à régler. Aucun regret je vous recommande de l'acheté.</t>
  </si>
  <si>
    <t>A recommander Très bonne appréhension pour le nouveau né</t>
  </si>
  <si>
    <t>À commander Nickel</t>
  </si>
  <si>
    <t>Du lycée aux études supérieures. J'ai pu acquérir cette calculatrice un peu tard. Ayant commencé mon BTS avec le modèle en dessous (Casio Graph 25+), mes opérations étaient cependant limitées. N'ayant pas de mode "Examen" spécifié par un petit "E" sur le modèle de calculatrice, je pouvais être refusé à certains examens au vu de la nouvelle réglementation des examens de 2018. De plus, dans mes études nous avons besoin du calcul matriciel qui n'était pas disponible sur la Graph 25+ et qui est disponible sur la Graph 35+ E.  Si vous souhaitez changer d'une 25 à une 35, il faut savoir que vous ne pourrez pas transférer vos informations d'une calculatrice à une autre, car les câbles et les types de connectiques sur les deux calculatrices sont différentes. Cependant, vous pouvez connecter cette calculatrice à votre ordinateur, car me semble-t-il, il vous faudra connecter la calculatrice à votre ordinateur pour pouvoir sortir du mode examen.  Casio est de plus une marque relativement populaire en France dans le milieu éducatif. Pour ma part, je ne suis pas déçu, elle fait ce qu'on lui demande et je retrouve les fonctionnalités dont j'ai besoin sur la calculatrice.  Concernant le mode examen, j'en ai parlé avec mon prof de mathématiques, il m'a dit qu'il n'avait pas eu de nouvelle concernant l'obligation de mettre le mode examen en examen. De plus, beaucoup sont ceux qui ne dispose pas d'une calculatrice qui bénéficie d'un mode examen et il n'y a jamais eu de problème à ça dans ma scolarité et dans mon entourage. Cela est à avoir à l'approche des examens.  Ma calculatrice a été livrée avec des piles AA.  Merci de m'avoir lu. :)</t>
  </si>
  <si>
    <t>Recommandé Super</t>
  </si>
  <si>
    <t>Couverture chauffante Super produit, je l ai utilisé tout l hiver chaque jour et nuit , je ne peux plus m en passer,  j en ai commandé une autre pour mon fils qui ne la quitte plus également 👍je recommandé 👍 EXTRA</t>
  </si>
  <si>
    <t>Pas decue du tout!! Tres confortable. Taille tres bien. J ai recommande le meme modele en blanc</t>
  </si>
  <si>
    <t>Un bon casque a prix reduit Un casque volumineux mais leger et confortable,  qui n'exagere pas les basses. C'est un modele ferme, pas semi-ouvert. Apres, je ne suis pas un grand melomane, donc pas bien d'avis sur la restitution du son. A 85 euros, c'est une bonne affaire, ce modele etant  visiblement  en fin de vie commerciale, un modele recent equivalent  etant a 200 euros.</t>
  </si>
  <si>
    <t>J’adore Parfaitement conforme à la photo et hyper légère ! Je recommande car elles sont vraiment confortables !</t>
  </si>
  <si>
    <t>Rien à dire Ce vêtements est conforme à l'image de plus il agréable à porter et rien sur le long terme.</t>
  </si>
  <si>
    <t>satisfaisant correspond à la description, répond aux attentes</t>
  </si>
  <si>
    <t>Conforme Très contente super confortable</t>
  </si>
  <si>
    <t>Se referme mal. Se referme mal.</t>
  </si>
  <si>
    <t>Bof bof.... Bonnes chaussures.... mais prendee 47 pour 45... et couture au bout responsable de blessure à l’orteil... modele pas top..</t>
  </si>
  <si>
    <t>L’article ne fonctionne pas correctement Mauvaise copie</t>
  </si>
  <si>
    <t>Produit de bonne qualité et taille conforme Produit de bonne qualité et taille conforme pour des sneakers Le dessus est très joli et pas trop salissant Fourni avec 2 paires de lacets blanc et gris A voir dans le temps si elles vont tenir et ne pas se décoller. Amortie bien les chocs pour de longue marche en ville ou conduite, à ne pas utiliser pour faire du sport.</t>
  </si>
  <si>
    <t>Mouais Où est la cuillère doseuse? Peu pratique sans, dommage le prix est intéressant..</t>
  </si>
  <si>
    <t>Je recommande En effet le modèle taille grand il faut prendre la taille du dessous Je suis une habituée des semelles Slim mais je me suis au final habituée à cette semelle pas si imposante La couleur est top</t>
  </si>
  <si>
    <t>Bonne chaussure Bonne chaussure pour le prix par contre assez fragile dans le temps</t>
  </si>
  <si>
    <t>Super lavable Ma petite fille de trois adore exercer ses talents d'artiste, et avec cette peinture, elle s'en donne à cœur joie. Pas de problème d'entretien si on enlèvement les tâches de suite, à surveiller toutefois sur certains vêtements.</t>
  </si>
  <si>
    <t>Très bon produit Dommage qu'il n'y ait que 2 niveaux d'eau et de plus, non aisément visibles car situés à l'intérieur. Double paroi très efficace pour ne pas se brûler!!!</t>
  </si>
  <si>
    <t>Bien Tres bienk</t>
  </si>
  <si>
    <t>Très simple d'utilisation J'ai utilisé ce produit pour écouter de la musique lors de mes balades. Le son est très bon</t>
  </si>
  <si>
    <t>Ravie ! Très satisfaite de mon achat Rapport qualité je ne pouvais espérer mieux Les feutres n’accrochent pas Les teintes sont bien nuancées et toutes différentes J’ai egalement pris le coffret de 120 crayons de couleurs pour parfaire mon matériel Je suis très bien équipée Un colo offert par semaine que demander de plus Merci à eux</t>
  </si>
  <si>
    <t>parfait acheté pour le boulot car je marche tout le temps, confortable et robuste...</t>
  </si>
  <si>
    <t>Produit solide Produit reçu en excellent état. Très contente de mon achat.</t>
  </si>
  <si>
    <t>Rapport qualité-prix imbattable Parfait je suis très content, rapport qualité-prix imbattable. A recommander 👍</t>
  </si>
  <si>
    <t>Très confortable pour la course Légères, souples et très confortables, elles sont mes nouvelles references pour la course - 5 fois 7-8 km / semaine. L'amorti du gel me semble correct. Je n'ai pas d'expériences sur des sorties de plus de 10km.</t>
  </si>
  <si>
    <t>Parfait. Ce Sennheiser a un très bon son. Il est plus "riche" qu'un Sony MDR-7506 (que j'ai aussi), mais moins confortable. Il offre plus de basses et est plus équilibré au niveau fréquences. Plus dynamique que le Sony (qui est déjà, lui même, un très bon casque). Il est en quelques sorte plus Hi-FI, mais avec beaucoup de dynamique et de réactivité. Le Sony MDR-7506, serait plus un casque pour musicien de studio (beaucoup de medium) et le Sennheiser HD25 plus un casque de mixage à proprement parler et pour les non professionnels, le confort sonore du Sennheiser gagne la partie.</t>
  </si>
  <si>
    <t>Très bien vu le prix. Pull doux et agréable à porter. Bien évidemment, il ne convient pas à toutes les occasions...mais est parfait pour une soirée “pull moche de Noël”!</t>
  </si>
  <si>
    <t>Parfait Superbe que ce soit pour faire du sport ou faire semblant d’en faire...</t>
  </si>
  <si>
    <t>Excellent produit Correspond à la photo, très qualitatif</t>
  </si>
  <si>
    <t>Montre connecter Superbe qualité conforme à la description</t>
  </si>
  <si>
    <t>très bon produit Pour un premier achat de chaussure par internet je suis très satisfaite</t>
  </si>
  <si>
    <t>Produit d'origine France Produit conforme. Reçu sans emballage d'origine, mais il s'agit bien de cartouches hp. De plus avec le value pack photo, vous avez un certain nombre de papier photo hp 10x15 en cadeau. C cool.</t>
  </si>
  <si>
    <t>déçu Déçu du packaging, une pauvre boite en plastique. Pas de chargeur inclus !!!! il y a le câble USB mais pas d'adaptateur secteur. Pour la partie fournie, un câble USB avec un disque au bout pour chargement par induction, il n'y a aucun "système" de blocage, pas pratique du tout. Et sur l'application il n'y a pas assez de cadrans disponible.</t>
  </si>
  <si>
    <t>qualité moyenne qualité moyenne, très légère... plastique de faible qualité = je les ai renvoyées</t>
  </si>
  <si>
    <t>Inutilisable Ne sert à rien. Impossible de defaire l attache pour mettre pendentif.</t>
  </si>
  <si>
    <t>Cartouches génériques ok mais .... Très bien mais ne fonctionnent que si elles sont compatibles !! Même si elles s’insèrent bien, seule une de mes imprimantes les a reconnu , donc attention ⚠️ Prix très correct si ce sont les bonnes , qualité d’impression correct .... mais si elles ne sont pas reconnues , c’est de l’argent jeté par les fenêtres , renseignez-vous bien selon le modèle . Sinon jolies cartouches , réservoir transparent pour suivre le stock restant , pratiques et couleurs conformes</t>
  </si>
  <si>
    <t>MAUVAISE FERMETURE AU NIVEAU DU BRACELET. DOMMAGE CAR JOLI DESIGN Très joli design. Toutefois mauvaise fermeture de la montre au niveau du bracelet (mon mari a fini par la perdre, s'étant détachée)</t>
  </si>
  <si>
    <t>Bouilloire esthétique et efficace bouilloire  esthétique et efficace mais un peu bruyante - il n'y a pas de niveau pour voir la contenance de la bouilloire. - garde bien la chaleur et les parois  restent froides même avec de l'eau chauffée à 100°. Bon achat</t>
  </si>
  <si>
    <t>Bon produit ! De bonne qualité ! Mon fils est très content !</t>
  </si>
  <si>
    <t>Nickel sauf pour les tétines J'avais acheté un goupillon classique qui a lâché au bout d'un mois (il perdait ses poils). J'ai donc acheté celui-ci qui avait une promo et était au même prix que le goupillon classique. Il est super, très solide, nettoie très bien. Petit problème, ce n'est pas évident de laver les tétines. Je le fais avec le petit goupillon classique de mon précédent achat.</t>
  </si>
  <si>
    <t>Nouvel utilisateur ! Reçu hier ;) Ayant eu pendant plusieurs années un Sennheiser PC 350 dont je suis tèrs tèrs content, j'ai choisi ce nouveau casque. POur le moment je ne suis pas déçu.  Le son est plus fin, plus précis, plus incisif, ça déroute un peu face à un PC  350 qui a un son plus rond, plus large avec un peu plus de basses de base, qui rendait la chose plus ludique. Mais au final le MMX 300 est simplement plus précis dans sa rentranscription sonore là où mon ancien modèle était plus fun et grand public dans le son proposé.  C'est aussi une question d'habitude, j'ai passé en jeux ou en multimédia bcp de tps avec mon PC 350 je dois donc me rééduquer avec ce nouveau matériel, plus fin et plus précis dans les rendus sonores.  Mais je me suis surpris à entendre de manière plus distincte des petits détails sonores que je n'avais pas perçus autrefois.  Le casque est relativement léger et très confortable.  Le seul petit bémol, pas de user manual dans la boite et pas (plus) dispo en ligne non plus car la page du produit n'est pas (plus) dispo sur le site constructeur.  J'ai un peu tâtonné pour faire marcher le micro, car le jack qui se fixe au casque doit être enfoncé et tourné en même temps pour assurer le bon fonctionnement du mic et de la stéréo. Le jack est doté d'un petit joint isolant, il faut donc bien l'enfoncer doucement en tournant jusqu'à  le sentir se mettre en place.  Reste à voir sur la durée ! ^^</t>
  </si>
  <si>
    <t>Tétines de bonne qualité, qui n'ont pas perturbé l'allaitement Tétines très facilement acceptées par mon fils, qui est allaité, après l'echec d'autres biberons (Avent, Medela Calma). Je précise que j'ai essayé les autres tétines vers 2 mois et les tétines Lasinoh vers 5 mois (je ne sais pas si l'âge a joué un rôle dans l'acceptation des biberons). L'allaitement n'a pas été perturbé par ces biberons occasionnels, avec les tetines Lasinoh. Facile à nettoyer.</t>
  </si>
  <si>
    <t>Taille bien Basket achetées pour sport d'intérieur ,mon fils en est très content</t>
  </si>
  <si>
    <t>Produit d'origine. Produit conforme à la description et véritablement de chez H.P.. Je recommande ce vendeur.</t>
  </si>
  <si>
    <t>Très bien Chaussures très confortables, je recommande, j'en ai même commandé une autre paire. Par contre taille petit prendre une taille au dessus.</t>
  </si>
  <si>
    <t>super je recommande , tres bien</t>
  </si>
  <si>
    <t>Super Très agréable à porter, tient chaud, assez léger, j’ai pris la même taille que d’habitude et j’en suis très contente.</t>
  </si>
  <si>
    <t>Trés confortable Je ne m'en sers pas pour faire du sport, mais elles pourraient faire l'affaire. Je me contente de les utiliser avec un jean car elles ont de la gueule et sont très confortables.</t>
  </si>
  <si>
    <t>Super classe &lt;div id="video-block-R1JXY44LXW9SVI"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src="https://images-eu.ssl-images-amazon.com/images/I/91oac2bJAkS.mp4" style="position: absolute; left: 0px; top: 0px; overflow: hidden; height: 1px; width: 1px;"&gt;&lt;/video&gt;&lt;/div&gt;&lt;div id="airy-slate-preload" style="background-color: rgb(0, 0, 0); background-image: url(&amp;quot;https://images-eu.ssl-images-amazon.com/images/I/A18-rsYsLTS.png&amp;quot;);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value="https://images-eu.ssl-images-amazon.com/images/I/91oac2bJAkS.mp4" class="video-url"&gt;&lt;input type="hidden" name="" value="https://images-eu.ssl-images-amazon.com/images/I/A18-rsYsLTS.png" class="video-slate-img-url"&gt;&amp;nbsp;Je ne trouve que des qualités à cette bouilloire Tout d’abord elle prend bien moins de place que les autres sur mon plan de travail à capacité égale Un bouton ouvre le capot On l’a pose très facilement sur le socle Elle s’allume en bleu quand elle est en marche Mais surtout ce que je préfère, c’est regarder l’eau bouillir à l’intérieur !!! C’est magnifique et ultra design. Bien sûr l’eau va refroidir plus vite que dans une bouilloire entièrement isotherme mais franchement moi je refais bouillir pour en reprendre de toute façon Il faudra aussi régulièrement la nettoyer au vinaigre pour éviter les traces de calcaire , mais de toute façon je le fais dans ma bouilloire plastique Je suis donc ravie de cette bouilloire superbe</t>
  </si>
  <si>
    <t>Parfait pour les dégâts quotidiens. C'est un excellent aspirateur pour un usage quotidien. J'ai un bambin qui met tout dans sa bouche et j'ai donc besoin de passer l'aspirateur fréquemment. J’ai eu l’intention de compléter mon aspirateur central car je n’aime pas traîner le tuyau tous les jours. Cela va sans effort de mon bois à la tuile au tapis. Je peux alors retirer la rallonge et utiliser uniquement l'ordinateur de poche dans les escaliers, le tout sans me soucier d'un cordon. Je l'utilise depuis un mois sans problèmes d'aspiration.</t>
  </si>
  <si>
    <t>Taille parfaite, basket légère et souple La taille correspond exactement aux mesures annoncées. Bonne finition, prix très intéressant. Très bien pour de la marche en Asie. Je recommande</t>
  </si>
  <si>
    <t>Super qualité Super confortable je l’ai adore</t>
  </si>
  <si>
    <t>Prix incroyable par rapport au supermarché ! Quantité interessante</t>
  </si>
  <si>
    <t>Chouette, enfin de la grande taille La taille est bonne mais il faut compter sur l'ouverture et du coup du pied. Un peu juste mais s'adapte. Bonne finition, semelle agréable.</t>
  </si>
  <si>
    <t>confortables et solides je suis très satisfait de ces basket, elles sont vraiment jolies et super confortables, elles équivaut pour moi avec toute les marques de sport en magasin pour un prix bien plus intéressant. prévoir une taille au dessus lors de la commande.</t>
  </si>
  <si>
    <t>à voir … un peu déçu, je trouve que la photo ne correspond pas au produit reçu, je vais voir à son utilisation ce qu'il vaut …</t>
  </si>
  <si>
    <t>défaillance la bague et coller et non  sertie comme indiquer et au bout de 4 ou 5 port la pierre ces détacher nous Avon faillie la perdre très déçu pour le  coup ....</t>
  </si>
  <si>
    <t>vinaigre blanc rien de spécial , qu'un vinaigre basic en grande surface. avec un prix pareil , je pensais acheter quelque de spécial menage;</t>
  </si>
  <si>
    <t>Sympa mais un peu courte Boucles d'oreilles très jolie et bien dessinée. Seule bé molle pour moi, j'aurais préféré qu'elles soient un peu plus longues</t>
  </si>
  <si>
    <t>Classique Un basique pour les jeunes en ce moment, notamment pour les jeunes filles. Un peu fragile à mon goût (notamment les caoutchoucs de la pointe) et forcément salissants, ces Converses ont néanmoins une bonne tenue et se révèlent particulièrement confortables à l'usage.</t>
  </si>
  <si>
    <t>Nickel Franchement, il est parfait !  Son, connectivité, esthétique, prix, on peut difficilement faire mieux. Maintenant, il n'y a qu'à l'usage que je pourrais réellement me prononcer</t>
  </si>
  <si>
    <t>Première impression Je le acheter pour le travail.  La fixation dans l'oreille est moyenne.  Peut-être la morphologie d'oreille est en cause?</t>
  </si>
  <si>
    <t>Bon produit mais aucun conditionnement Savon noir traditionnel cependant arrivé avec le couvercle cassé ne peut plus etre fermé. Dommage ( aucun conditionnement)</t>
  </si>
  <si>
    <t>Très bon état L'objet est marqué comme d'occasion car l'emballage du jouet a été très légèrement abimé mais le jouet est intact.</t>
  </si>
  <si>
    <t>Collier Super. porté tous les jours qualité résistante.je recommande</t>
  </si>
  <si>
    <t>Aussi bon que le promettent les bancs d'essai Mon premier casque AKG, acquis suite à l'analyse des essais. Pour 120€, un champion du rapport qualité/prix : la fabrication en Chine sous l'égide de Samsung ne semble pas avoir porté préjudice à la qualité. Excellent sur tous les styles de musique, vivant, aéré, jamais fatigant, ne chauffe pas les oreilles. Casque ouvert, avec des basses de qualité, non gonflées, peut-être un peu justes pour certaines oreilles habituées aux intras et sur certaines musiques, mais fidèles sur le classique. Facile à driver : utilisé directement sur mon lecteur réseau TEAC, mais peu adapté pour l'écoute sur smartphone ou tablette (j'ai acquis le modèle fermé K551 mk3 pour cet usage).</t>
  </si>
  <si>
    <t>Pratique et joli Idéal pour les biberons Bébaba mais s'adapte parfaitement aux autres marques de biberons et tétines. Nettoie très bien. Couleurs pastels - même gamme que les biberons Biboz.</t>
  </si>
  <si>
    <t>Parfait Bien agiter avant emploi</t>
  </si>
  <si>
    <t>Je recommande Je l’ai acheté pour un cadeau, envoi soigné et ultra rapide, je recommande</t>
  </si>
  <si>
    <t>Top rapport qualité prix En voyant les commentaires je me suis laissé tenter. Principalement utilisé pour l’écoute de la musique pendant mon sport je les aient essayé ils sont parfait J’ai eu un doute vu les commentaires sur la qualité de la communication par téléphone  ceci dit en les essayant je le trouve parfait pour communiquer mon interlocutrice me disait bien m entendre Je suis conquis par l’article</t>
  </si>
  <si>
    <t>Très bien Utilisé pour tragus. Bonne tenue. Pas d'oxydation.</t>
  </si>
  <si>
    <t>Montre Lige montre arrivé rapidement et bien emballée seul point la pile ne marché plus obligé de la changer.</t>
  </si>
  <si>
    <t>Huile essentielle Parfait en mélange avec eau et vinaigre pour nettoyer le carrelage.</t>
  </si>
  <si>
    <t>Multifonction Appareil multifonction : chauffe biberon, stérilisateur, réchauffeur d'aliments, cuit œufs, yaourtière. Je l'ai pris car c'est pour moi un appareil nomade. Et finalement il nous accompagne au quotidien. Le biberon que ce soit de type Aven ou long est juste à température pour notre loulou. Le même appareil permet de stériliser les biberons, plutôt que d'avoir pléthore d'appareils. Il permet aussi de réchauffer les aliments type purée et bien sûr de les décongeler avant. Je n'ai pas encore essayé la fonction cuit œufs et fabrication de yaourts. Un bon investissement</t>
  </si>
  <si>
    <t>bon rapport qualite prix ! parfait ! rien a redire , mer !</t>
  </si>
  <si>
    <t>Tshirt Manches longues Ce t-shirt est tout à fait adapté pour les sorties Running de mon mari. Agréable à porter, la taille choisie correspond parfaitement à sa carrure (1m75 pour 77 kg taille L)</t>
  </si>
  <si>
    <t>Satisfait Super produit</t>
  </si>
  <si>
    <t>Pas aussi genial que prevu Je pensais en lisant les commentaires que cela serait mieux que ma fameuse boite ou je dois visser chaque compartiment et je ne trouve pas. Elle est difficile a laver, les petites parties coloré entre chaque ne sont pas facile a sortir (et j'ai des ongles  !! ) , et je ne trouve pas que c'est plus facile a verser au contraire j'en met même plus a côte. .. Total je suis revenu a mon ancien modèle a pas de vis. Je ne comprends pas les commentaires si enthousiasme</t>
  </si>
  <si>
    <t>Déconseiller Navrant !!! Hormis le réglage ou si on ne possède pas des capacités d'astronautes c'est pas jouable... je ne l'ai même pas essayé en treck, randonnée, Speleo ou autres juste avec les enfants à la piscine et au bout de 20 mn plus rien juste un aquarium à 200 € sur le poignet et même pas un poisson !!! Regarder casio g-schock la référence !</t>
  </si>
  <si>
    <t>pratique j'ai eu l'occasion de les tester et je trouve ce produit complémentaire au papier toilette sec. lorsqu'on part, plus besoin de se balader avec le gros rouleau, quelques feuilles et on finit avec le papier humide qui se dissout facilement. #MomentLotus</t>
  </si>
  <si>
    <t>Addidas Basket très bonne qualité mais à éviter lors de forte chaleur car plastic de la semelle pa assez résistant</t>
  </si>
  <si>
    <t>Satisfait Cadeau sympathique pour le prix proposé.  Ça reste joli et il n'y a pas l'obligation d'aller en bijouterie dépenser une somme folle pour faire plaisir.</t>
  </si>
  <si>
    <t>moyen vite vide , ecriture bonne mais reservoir a peine rempli !</t>
  </si>
  <si>
    <t>Biberon Pratique, solide livraison rapide</t>
  </si>
  <si>
    <t>Tres chic Belle montre tres classe parfait pour passer un entretien ou si vous aimer êtres habiller en costume elle et faite pour vous mais en tenu urbaine à deconseiller</t>
  </si>
  <si>
    <t>Bel article Trés joli bijou, fin, élégant, le produit est conforme à la description, idéal pour offrir</t>
  </si>
  <si>
    <t>PARFAIT Aucune surprise, il s'agit bien d'un produit Canon, livraison rapide, bien emballé, rien à redire, peut-être son prix élevé mais faute de mieux....</t>
  </si>
  <si>
    <t>Très joli bracelet livré en temps et en heure; Correspond parfaitement à mon attente. J'en avais commandé un deuxième que j'offrirai avec plaisir; A recommander vivement</t>
  </si>
  <si>
    <t>Parfait Parfait, pour des cartouches de remplacement, elles sont identiques au canon que j'utilise d'habitude et moins onéreuse. RAS</t>
  </si>
  <si>
    <t>Bon produit Très bon produit. Je m'en sers aussi. Ien pour nettoyer mon Aérographe que pour diluer un peu la peinture.</t>
  </si>
  <si>
    <t>Qualité bonne taille Qualité prix livraison rapide bien emballer conforme à la description couleur correcte merci.</t>
  </si>
  <si>
    <t>Prendre une taille au-dessus! Super chaussures par contre je fais du 37 j'ai dû les renvoyer et reprendre du 38 donc pensez à prendre une taille au-dessus car les baskets sont étroites</t>
  </si>
  <si>
    <t>Conforme aux montres en bijouterie acheté pour la différence de prix avec celles des bijouteries , bien que faible , elle n'est pas négligeable , produit reçu dans les temps , et très bien emballé ! à recommander pour les personnes qui veulent économiser une 10aine d'€</t>
  </si>
  <si>
    <t>Pour que bébé devienne grand 👶 🍼 Je suis assez difficile en matière de puériculture car les bébés méritent le meilleur . Cette tasse Nuk est irréprochable ! Elle a tout de suite été adoptée par bébé 👶 La prise en main est facile , car Les poignées sont faites dans une matière toute douce , les manches sont ergonomiques, bébé devine où mettre les mains 🖐 🤚  . La tétine est en silicone et de bonne qualité , bébé passe son temps à la mordiller , elle résiste . Le système anti fuite est top, rien ne goute, même tête en bas . 💧 Un format idéal , 150 ml , et facile à porter pour bébé . Le dessin et le style .  bref , Le produit idéal pour apprendre l’autonomie  à bébé 👶 .</t>
  </si>
  <si>
    <t>Vraiment efficace Super produit. Fonctionne réellement et attenue très rapidement l'humidité dans la pièce. Je suis super satisfaite de mon achat et en plus de cela aucune odeur nocive.</t>
  </si>
  <si>
    <t>Super Les meilleurs biberons. Elle adore pas facile à nettoyer mais on s'y fait. Ils tiennent bien dans le temps. Nikel</t>
  </si>
  <si>
    <t>Beau coloris et confortable pour la maison J'adore le choix de couleurs ! On ne trouve pas ça en magasin... que des couleurs tristes genre noir, gris ou bleu marine... c'est déjà pas folichon un pantalon de jogging (faut bien avouer), alors c'est sympa de pouvoir avoir de jolies couleurs (et même des motifs sur d'autres modèles de cette marque) pour pouvoir profiter du confort sans avoir l'air de déprimer pour autant !  Le tissu est agréable, il n'est  pas molletonné à l'intérieur mais l'envers est quand même doux. La qualité générale et les finitions sont correctes pour ce prix. J'aurai bien aimé des poches, mais sur le coup je n'y ai pas pensé en lisant la description. En même temps sur ce genre de coupe actuelle très près du corps ça ne serait peut-être pas joli.  J'ai suivi les conseils de taille du fabricant (sur la fiche produit d'un autre bas de jogging, je crois), j'ai bien fait car la coupe est effectivement très ajustée donc pas hésiter à prendre une taille au-dessus (voire deux, si vous aimez le porter taille basse) surtout si vous avec une silhouette avec des hanches pour éviter que le haut soit trop moulé et que ça soit laid, et aussi si c'est c'est pour être à l'aise à la maison. En tout cas la coupe plaira bien aux minces qui éviteront grâce à ça le côté "jogging bouffant" - en revanche les cuisses musclées seront moulées, à savoir... (c'est le type de coupe bien adaptée aux personnes filiformes)  Je pense que je me laisserai tenter par un autre modèle avec des poches cette fois.</t>
  </si>
  <si>
    <t>Écouteur bluffant super rapport qualité/prix Écouteur bluffant pour le prix. Ils sont vraiment de très bonne qualité les commandes tactiles répondent parfaitement bien. Bref ultra pratique je recommande fortement</t>
  </si>
  <si>
    <t>Impeccable Peu encombrante et précise de g en g en 0,1. Très pratique pour peser les herbes aromatiques ou de petites pièces. Le couvercle se positionne sur la balance poir le rangement. Attention,  petite balance.</t>
  </si>
  <si>
    <t>scholl fitness j'ai choisi cette note, c'est un modèle qui chausse très bien, et aussi pour sa couleur, cela change du blanc</t>
  </si>
  <si>
    <t>Solidité à revoir Au bout de deux utilisations bracelet cassé/déchiré plastique de très très médiocre qualité je suis très déçu</t>
  </si>
  <si>
    <t>Trépied casser en 1 semaine Le trépied n'est pas solide il est déjà casser</t>
  </si>
  <si>
    <t>Escroquerie Aaah les cartouches HP... une des plus grandes escroquerie du monde de l'imprimante. Voila plusieurs fois que j'achete des cartouches d'origine et à chaque fois, même constat, après quelques impressions, un message d'erreur sur l'imprimante apparait pour me dire que la cartouche est incompatible. Je ne suis pas là de racheter du HP c'est moi qui vous le dit! A evite absolument!</t>
  </si>
  <si>
    <t>Bien Les bracelets sont petits ne conviennent pas a un homme</t>
  </si>
  <si>
    <t>réglage son difficile tonalité sourde pour un malentendant Molette de réglage son d'accès difficile</t>
  </si>
  <si>
    <t>alimentation pour micro cette alimentation me permet d'amplifier un micro sa fonctionne avec en ce qui me concerne avec une carte son 5 w que je branche sur mon ordinateur via une prise USB et cela pour faire des vidéos sur YouTube ...</t>
  </si>
  <si>
    <t>Odlo Warm T-Shirt Très bon article, chaud, solide et de bonne qualité! à voir comment il évoluera dans le temps mais très satisfait pour l'instant!</t>
  </si>
  <si>
    <t>pompons fragiles pompons fragiles sinon agréable à porter taille comme il faut ni trop grand ni trop petit dommage qu'il y est des oreilles sur la capuches</t>
  </si>
  <si>
    <t>utile bon produit</t>
  </si>
  <si>
    <t>Cartouche hp 350 XL Pour mon imprimante HP . J'ai eu beaucoup de mal à renseigner ma nouvelle carte visa ; l'ancienne qui porte un n° différend est impossible à éliminer de votre mémoire et j'ai reçu un message me disant que la commande n'était pas validée car le n° de la carte était erroné , bien que j'aie renseigné correctement la nouvelle carte . Je ne sais toujours pas comment supprimer cette ancienne carte ; donc l'erreur risque de se reproduire , bien que maintenant , il apparaisse dans mon historique les 2 cartes . Il serait judicieux de pouvoir annuler l'ancienne carte qui n'est plus valide .Cordialement . N Spiquel</t>
  </si>
  <si>
    <t>très confortable j'ai acheté ces chaussons suite à des ampoules aux pieds provoquées par un cours d'aquabaking. Ces chaussons protègent bien les pieds mais restent discrets grâce à leur transparence. Ils sont aussi très pratiques pendant les cours d'aquafitness, car ils empêchent aux pieds de glisser sur le fond de la piscine. Je suis très contente de mes chaussons.</t>
  </si>
  <si>
    <t>Pas besoin de faire les magasins avec un petit garçon de 3ans qui ne tiens pas en place ! Renouvellement de mon ancienne paires de converses blanches . Gain de temps et rapidité de la livraison.</t>
  </si>
  <si>
    <t>Bonne qualité Super je le recommande</t>
  </si>
  <si>
    <t>Parfait ! J’adore ! Le diffuseur est joli, le changement de couleur est super sympa et la télécommande est vraiment pratique ! Je suis très contente !</t>
  </si>
  <si>
    <t>Parfait conforme rapide Parfait conforme rapide</t>
  </si>
  <si>
    <t>Support micro très sympas Un bras de micro de qualité. Le produit est maniable, et permet vraiment de positionner le micro à la bonne hauteur. Vraiment simple d'installation.  Un rapport qualité prix excellent, à choisir !!</t>
  </si>
  <si>
    <t>Le sérieux de ce distributeur Bonjour le serieux ,  produit utilisé pour réglage de  lunette de visée arme de chasse .</t>
  </si>
  <si>
    <t>Conforme à la photo et description Conforme à la description Pratique pour marcher</t>
  </si>
  <si>
    <t>Correct Le film en lui même est très bien , l’utilisation de la boîte carton nécessite de bien avoir réfléchi avant pour positionner la pièce qui découpe . L’ensemble est un peu léger mais bien plus pratique que les films plastique du commerce. Je l’utilise tous  les jours , aucun problème jusqu’alors. Rapport qualité prix moyen car j’ai trouvé un peu cher le produit. Largeur un peu juste pour les grands plats.</t>
  </si>
  <si>
    <t>Diffuseur simple et très jolie acheter afin de diffuser une douce odeur ,je tres content de mon achat . la mise en route est a la porter de tous . deux dose d eau et un peu d huile essentiel,brancher  ,et ça diffuse !! la télécommande est super pratique ainsi que la possibilité de régler le temps de vaporisationEt de très belle couleur aléatoires Produit à un très bon rapport qualité prix</t>
  </si>
  <si>
    <t>PRODUIT CONFORME A SA DESCRIPTION produit utilisé dans une chambre. Apaisement certain</t>
  </si>
  <si>
    <t>Bonne chaussure de marche Acheter il y a un an utilisation pour randonnée campagne et dans les Vosges. Et surtout pour un séjour en août 2015 en Normandie. Toujours intacte. Chaussures à entretenir comme du cuir. Légére imperméables et j'ajoute en 2017 toujours présente à mes pieds</t>
  </si>
  <si>
    <t>Chaussures très classes et très confortables Ça fait des années que je voulais ces chaussures et amazone m a permis de les acheter en toute confiance..produit de qualité j en suis très contente</t>
  </si>
  <si>
    <t>Robe Parfait très satisfaisant du produit et bien taille. Conforme</t>
  </si>
  <si>
    <t>Bonne chaussure légère et très confortable Produit reçu hier comme prévu. Essayé ce matin pour ma marche matinale très bonnes chaussures ,légères et très imperméable. Bien chaude ,souple car après une heure de marche pas une seule ampoule. Bonne taille je chausse du 36 et j'ai commandé un 36 je recommande ce produit</t>
  </si>
  <si>
    <t>attention aux emballages Le papier est intact et c'est un miracle : le colis est arrivé extrêmement déchiré Le papier entourant les ramettes déchiré heureusement le papier lui même n'avait rien</t>
  </si>
  <si>
    <t>cela taille  petit je mesure 180 80  kg  pas de si gros bras que ça  , mais  cela me serre  beaucoup  ...</t>
  </si>
  <si>
    <t>Ne pas acheter ! La matière n'est pas en sweat ! La capuche trop petite et en plus malgré qu'elle soit noire elle est transparente !</t>
  </si>
  <si>
    <t>Pas mal Une montre plutôt fun par ses couleurs. Par contre je ne pensais pas que le cadran serait aussi petit ...</t>
  </si>
  <si>
    <t>Beau zippo mais jauni à l'intérieur Superbe 1941 Replica plus classieux que les zippo standard. Cependant une partie du boitier est jauni de l'intérieur (en haut et en bas), des traces jaunes assez moches qui déçoivent pour un produit neuf mais qui heureusement ne sont pas perceptibles une fois le zippo fermé.</t>
  </si>
  <si>
    <t>Basket noir Basket recu rapidement conforme . elle sont confortable .je l ai recomande pour le sport attention la semelle a l antérieure glisse au font de la chaussure seul bémol.</t>
  </si>
  <si>
    <t>Confortable Je me trouve à la montagne,sur un tee shirt manche longue, Impeccable sur un leggings!</t>
  </si>
  <si>
    <t>Salomon Speedcross 4 Attention, après six mois d'utilisation j'ai fait 550km quelque crampons sont partis. un peu déçue.</t>
  </si>
  <si>
    <t>repos de l'avant bras 2 Si comme moi vous avez des douleurs récurrentes à l'avant bras, du fait d'une longue utilisation de la souris, achetez ce produit en plus d'une souris ergonomique. Pour moi ça marche.</t>
  </si>
  <si>
    <t>Excellent compromis Très pratique, simple d'utilisation, mériterait un adhesif à peine un peu plus fort ;).</t>
  </si>
  <si>
    <t>Qualité et robustesse Livraison conforme à la description.</t>
  </si>
  <si>
    <t>super super rapide aucun regret pour cet achat je la recommande sans aucun doute</t>
  </si>
  <si>
    <t>Vans Super</t>
  </si>
  <si>
    <t>Baskets Belle basket</t>
  </si>
  <si>
    <t>savon en paillettes le chat excellent produit, pour un linge parfumé, tout doux..,je le recommande, surtout pour la layette...que du bonheur,et les lainages,prend soin du linge</t>
  </si>
  <si>
    <t>Bon son ! Écouteurs utilisés occasionnellement, genre pendant les courses ou le ménage pour écouter des émissions tv ou radios. Je n'ai donc un avis d'expert mais je suis très satisfait de ces oreillettes bluetooth : bon son, ne grésille pas, ne se déconnecte pas sans arrêt. Elles tiennent bien à mon oreille. Je les utilise soit à 2 en même temps ou soit 1 seule à la fois. Niveau autonomie pour l'instant c'est correct : 2h30 ! Côté tactile qui nécessite un peu d'apprentissage mais ça vient vite. Bref je recommande ! En plus elles sont super jolies.</t>
  </si>
  <si>
    <t>Superbe Très bon produit , 2 semaine d’attente mais pas déçu bien au contraire elle sont parfaite !</t>
  </si>
  <si>
    <t>Une peluche Tout doux</t>
  </si>
  <si>
    <t>Bonne qualité du tissu Petites chaussettes de sport pour femmes de bonne qualité.  Le tissu est - épais, la maille est solide et élastique. - Respirant, pas d'odeurs - Ne gratte pas  Parfait pour le sport , mais également pour la vie de tous les jours.  Je suis satisfaite de ce produit qui correspond parfaitement à l'annonce. Je recommande.</t>
  </si>
  <si>
    <t>TRES PRATIQUE Ne connaissant pas toujours les souhaits des personnes à qui l'on veut faire un cadeau, ce type de carte cadeau rend bien service.</t>
  </si>
  <si>
    <t>un classique les dr marteens sont pour moi un classique. Ce produit taille un petit peu grand mais est vraiment au top ! super qualitatif ! super résistant et offre un style vraiment dingue</t>
  </si>
  <si>
    <t>Confort Pratiquant du sport régulièrement j'ai voulu troquer mes écouteurs filaire (dérangeant pendant les activités) contre une paire d'écouteurs bluetooth pour plus de liberté. Super ergonomie et la batterie tien assez longtemps. Je recommande ce produit qui ma été livré rapidement et soigneusement. Vendeur au top!</t>
  </si>
  <si>
    <t>Les descriptions des articles devraient etre plus precises et donner les compositions des matieres La matière est particulière. ...Les descriptions des articles devraient etre plus precises et donner les compositions des matieres Un peu déçue</t>
  </si>
  <si>
    <t>gros problème je suis en colère J'ai acheté cet article le 9 novembre, je n'utilise pas souvent j'ai imprimé au  maximum 60 feuilles depuis dont 5 ou 6 en couleur et là les 2 noir et couleur sont vide!!!!! du jamais vu je vais faire une réclamation et j'éspère qu'il me réponde</t>
  </si>
  <si>
    <t>chaine regret</t>
  </si>
  <si>
    <t>soutien-gorge Zbra Taille bien trop petit mais comme la taille au dessus n'existe pas, je n'ai pas pu le retourner pour échange. Dommage parce que la qualité est super, il m'a d'ailleurs été recommandé par ma fille qui ne porte que ce genre d'article pour le maintien</t>
  </si>
  <si>
    <t>Montre jolie Très jolie montre à part le bracelet qui à mon avis ne va pas tenir longtemps au pire ça se change</t>
  </si>
  <si>
    <t>Belle qualité Produit de très belle qualité. La lanière aurait pu être un peu plus longue.</t>
  </si>
  <si>
    <t>Bonne autonomie très léger et reste en place. Utilisation quotidienne pour le course à pied rien à redire. Facile à connecter</t>
  </si>
  <si>
    <t>beau Pratique et rafraîchissant. J'attends de voir à l'usage</t>
  </si>
  <si>
    <t>Super qualité Des feutres avec un couleur très vif et soutenu - parfait pour assurer une lisibilité même au fond de la classe</t>
  </si>
  <si>
    <t>Franchement bien par rapport au prix ! C'est un rapport qualité / prix extrêmement bon.  Le son est tout à fait correcte, les basses sont objectivement un peu trop présente, mais personnellement j'ai bien :p Le casque se plie pour le ranger. Il est surtout très, très léger, donc très agréable à porter, et pratique pour le transporter.</t>
  </si>
  <si>
    <t>Bien pratique Offert à un cavalier pro qui monte par tout temps. Après 1 mois d’utilisation il est ravi. Chaleur qui diffuse bien. Le modèle est parfait pour ce sport aussi bien en entraînement que en concours car il passe bien sous la veste cintré. Juste dommage que le bouton de réglage ne soit pas plus haut car sur la poitrine il faut prendre le temps de dégrafer les couches supérieures pour l’utilisation du réglage surtout en entraînement car en concours il n’y a pas de soucis. Une taille femme serai la bienvenue.</t>
  </si>
  <si>
    <t>Très jolie montre Très jolie montre en acier. Le bracelet est réglable. Le cadran est relativement grand et il y a les minutes indiquées en petit au bord. Il y a aussi un outil pour ouvrir la montre en cas de changement de pile. Moi je trouve cette montre très classe donc je suis très contente.</t>
  </si>
  <si>
    <t>Parfait J'ai aimé ce produit tout d'abord pour son très beau design et aussi pour son prix très attractif  ! Montage et branchement très facile sur mon ordinateur et fixation très simple sur mon bureau,  il prend quand même pas mal de place mais on peut le régler assez facilement. Je l'utilise pour discuter en ligne et faire des vidéos, le son est de très bonne qualité. Ce micro correspond tout à fait à mes attentes. Je le recommande, vraiment un micro de professionnel !</t>
  </si>
  <si>
    <t>Fais son Job De bonne qualité, ces câbles sont très bien surtout pour du home studio. Pour un usage stage, je pense qu'ils ne sont pas suffisamment renforcés</t>
  </si>
  <si>
    <t>Agréablement surpris ! J'ai acheté ce casque dans le but de pouvoir écouter de la musique et de jouer aux jeux vidéo avec un bon confort. J’avais anciennement un casque Gaming qui s'est, en défaut de garantie je me suis beaucoup renseigné sur les casques en général et j'ai découvert ce casque avec de bons avis. J'ai longtemps hésité puis je me suis lancé. Voici mes appréhension: -Un très bon son même sur mon téléphone ! (sur des chansons que je connais, il m'est arrivé d'entendre des instruments que je n'avais pas entendu auparavant ) -Un confort extraordinaire -Réduction de bruit extérieure médiocre -N'est pas fait pour être nomade  Ce casque, par rapport à son prix, est tout simplement parfait pour mon utilisation. C'est à dire, le Gaming et de la musique de bonne qualité sur ordinateurs (le son reste bon sur Smartphone).</t>
  </si>
  <si>
    <t>super cette cartouche canon correspond à la description. 100% satisfaite je recommande cet achat. personnellement je recommanderai mes cartouches à bientôt Amazon</t>
  </si>
  <si>
    <t>bien &lt;div id="video-block-RMO0IDBDN5SCH"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src="https://images-eu.ssl-images-amazon.com/images/I/A10UHrxFl8S.mp4" style="position: absolute; left: 0px; top: 0px; overflow: hidden; height: 1px; width: 1px;"&gt;&lt;/video&gt;&lt;/div&gt;&lt;div id="airy-slate-preload" style="background-color: rgb(0, 0, 0); background-image: url(&amp;quot;https://images-eu.ssl-images-amazon.com/images/I/91tfJ3f3u9S.png&amp;quot;);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value="https://images-eu.ssl-images-amazon.com/images/I/A10UHrxFl8S.mp4" class="video-url"&gt;&lt;input type="hidden" name="" value="https://images-eu.ssl-images-amazon.com/images/I/91tfJ3f3u9S.png" class="video-slate-img-url"&gt;&amp;nbsp;cette montre est tres bien, agreable a porter, le cadran est grand et on voit tres bien, bel apprentissage de l'heure avec les aiguilles et les chiffres</t>
  </si>
  <si>
    <t>très bien très bon produit</t>
  </si>
  <si>
    <t>Philips HD4646/20 Bouilloire Noire 1,5 L Très bon produit rapport qualité prix. Je le recommande. léger, seul petit hic, pas évident de voir le niveau. Ce n'est qu'un petit détail</t>
  </si>
  <si>
    <t>Niquelle le top je vous le conseille manific Le top mais sest une grosse montre</t>
  </si>
  <si>
    <t>super produit conforme à mes attentes</t>
  </si>
  <si>
    <t>génial produit extra lorsque l'on a des animaux qui font des bêtises. Le parfum de pin reste longtemps et embaume toute la maion</t>
  </si>
  <si>
    <t>tres bon rapport qualité prix Très bonne cellule pour ce prix. Des aigus clairs et précis, bien meilleur que la cellule d'origine (platine entrée de gamme de l'époque). Pour info, s'adapte à une platine BST IP-P1, mais il faut inverser les petits cables de couleur rouge-bleu et blanc vert, sinon gros bourdonnement.</t>
  </si>
  <si>
    <t>Super Franchement elles sont top. Je les ai prise en marine pour ma fille de 13 ans. Elle adore. Elle chausse du 36 et le 36 lui va bien avec une marge au cas où elle grandit. C'est parfait !!!!</t>
  </si>
  <si>
    <t>pas habituer a cette doublure en syntetique dans la chaussure doublure dans la chaussure en synthétique qui n’était pas dans les modèle précédant, du coup sa chauffe les pieds. désagréable pour un prix élevé cette foie si je suis très déçu.......</t>
  </si>
  <si>
    <t>Livré en retard et pas de la couleur commandé Livré avec du retard, étroit au niveau de la taille et surtout pas de la bonne couleur. Déçu.</t>
  </si>
  <si>
    <t>BIEN Par contre elles sont déjà craqué sous la semelle donc elles ne feront que quelques mois dommage!!! et trop tard pour les renvoyer</t>
  </si>
  <si>
    <t>T-shirt leaf nelson Arrivé dans les délais, qualité correcte! Avoir dans le temps...</t>
  </si>
  <si>
    <t>Conforme pour WF-2660 Pour l'instant j'utilise une cartouche noir, ca fonctionne pas trop mal, mais si on imprime normalement il y a quelques petits manques léger. Peut être l'influence des anciennes cartouches car c'était encore pire. C'est donc mieux que les anciennes générique et c'est pour cela que je donne cette note.</t>
  </si>
  <si>
    <t>Beaux manteaux Je viens de recevoir il et vraiment comme sur la photo je les essaye de suite il me vas très bien jen suis très contente et bien niveau taille</t>
  </si>
  <si>
    <t>Nickel Ok</t>
  </si>
  <si>
    <t>bon produit bon cirage avec une texture agréable, teinte le cuir de façon assez légère...facile à utiliser sur les chaussures et même sur un blouson.</t>
  </si>
  <si>
    <t>Des chaussons Je me sens comme dans des chaussons ! Je les adores ! Je reprendrai les mêmes lorsque celle là seront fichu.</t>
  </si>
  <si>
    <t>Top Très bonne tenue parfait et élégant pour un soutien gorge de sport</t>
  </si>
  <si>
    <t>RAS Voyage en avion avec Ryanair, tip top niveau mesure, solidité et place pour ranger.</t>
  </si>
  <si>
    <t>Anti odeur 👍produit naturelle Article reçu bien emballé 4 petit sacs de 100g usage individuel Tres pratique avec la suspension intégrer Usage instantané A utilisé dans la voiture, chambre, cuisine,frigo même les chaussures de monsieur après une longue journée de travail 🤣🤣</t>
  </si>
  <si>
    <t>Sans doute professionnel! J'ai acheté ce système de microphone sans fil pour Karaoké à ma petite fille qui adore chanter. Jusque-là, elle utilisait un mivrophone médiocre et très enfantin. Au premier coup d'œil, nous constatons que le produit est de bonne qualité et très professionnel, car sa fabrication est composée de bons matériaux, l'aluminium (l'aluminium) très résistant. Les paramètres sont multiples, mais très faciles à comprendre et utiles. Le son est vraiment bon et rend justice à la description faite par le vendeur. &amp;nbsp; Le reste est de la responsabilité de votre créativité artistique!</t>
  </si>
  <si>
    <t>bracelet très bel article je recommande merci</t>
  </si>
  <si>
    <t>bon raport qualité prix usage domestique</t>
  </si>
  <si>
    <t>Parfaites! On ne change pas une équipe qui gagne, au top depuis des années! Cette chaussure est très confortable. Je recommande</t>
  </si>
  <si>
    <t>Je m'en sers tous les jours Cela fait presque 1an que je l'ai, je l'ai acheté car j'ai un bureau au travail sans fenêtre, j'étais tout le temps malade. Au début je l'utilisait là bas, mais j'en avais marre des remarques de mes collègues, alors je le fais tous les matins en prenant mon petit déjeuner pendant 20min. Cet hiver je n'ai quasiment pas été malade, j'ai de moins en moins de mal à me lever le matin, je ne peux pas prouver que c'est grave aux effets de la lampe, mais je continue !</t>
  </si>
  <si>
    <t>Je recommande ce produit Très beau design et très efficace je suis ravi de mon achat !!!!!!</t>
  </si>
  <si>
    <t>Très bon produit compact et de bonne qualité Très bon produit compact et de bonne qualité. C'est très facile à utiliser. J'ai aimé leurs modes d'utilisation et les couleurs de la lumière. Je l'utilise dans une salle de 8 mètres et cela fonctionne très bien avec les essences. Il est arrivé à l'heure. Je recommande</t>
  </si>
  <si>
    <t>top top Légères et franchement belles ces chaussures de sécurités ont l'avantage de ce faire oublier. Elles sont très légères et franchement ça change des modèles classiques.</t>
  </si>
  <si>
    <t>Stylo gadget Une idée super sympa pour les pères bricoleurs!</t>
  </si>
  <si>
    <t>couverture électrique Bonjour, très bon produit,chauffe très bien en position 3, a mettre 1/2 heure avant d'aller se coucher. je recommande cette couverture.( voyant lumineux sur les 3 positions)</t>
  </si>
  <si>
    <t>Très bon produit Super article livré avec sa boîte de rangement rechargeable sur laquelle figure le niveau de batterie. Dans la boîte on trouve aussi un étui de rangement très pratique pour ranger le boîtier et éviter qu’il s’abîme. On a aussi bien sûr le câble de charge et des embouts pour changer ceux installer quand ils seront usés Facile à jumeler avec mon iPhone et mon iPad Ils tiennent super bien au niveau des oreilles. En général pour moi  les écouteurs intra ne tiennent jamais à cause de mon conduit auditif Je suis donc super content  Le son est bon et la gestion du volume est simple A gauche pour diminuer à droite pour augmenter Pour arrête ou démarrer la musique un simple appui arrête ou démarre la musique  Bonne Alternative aux écouteurs très cher comme les airpods ou les beats</t>
  </si>
  <si>
    <t>Ceci n'est pas un manteau... Pris une taille aussi, la longueur du buste est correcte mais les manches sont un peu courtes. Ceci n'est pas un manteau. Mais une veste ressemblant à un manteau. Seule la capuche est doublée polaire, le reste est une simple veste en coton fluide. Très joli à porter, mais ne doit paq tenir très chaud vu la matière. Je mets donc 2 étoiles car, il est bien taillé, joli, mais ce n'est pas ce qui est proposé dans l'annonce.</t>
  </si>
  <si>
    <t>Ce n'est pas AKG comme le montrent les photos. Le vendeur prétend être samsung officiel et il n'y a pas de logo sur le produit. J'ai testé le produit et sa qualité est bien inférieure à celle des écouteurs AKG d'origine fournis avec mon téléphone portable.</t>
  </si>
  <si>
    <t>produit de tres mauvaise qualite acheté en avril .3 mois d utilisation normal .8h par jours.semelle entièrement décollé.je regrette de ne pas avoir lu  les commentaires.pouvez vous remonter l info auprès du fabricant  ? ce n est pas la première fois.je déconseille fortement ce produit</t>
  </si>
  <si>
    <t>Reveil trés agréable mais fiabilité douteuse J'ai acheté ce Reveil Philips Eveil lumière voici prés d'un an maintenant. (Il s'agissait d'un cadeau) Comme je fais souvent, j'attend plusieurs mois avant d'émettre un avis. Et concernant ce Reveil, je pense avoir bien fait. J'ai été assez surpris le jour de la livraison de le recevoir sans protection. (C'est a dire uniquement avec sa boite d'emballage d'origine, sans suremballage) Le carton était donc un peu abimé. (Sympa lorsqu'il s'agit d'un cadeau.)  Le soucis, c'est qu'il y a un mois, le proche qui a reçu ce cadeau de ma part ma fait part d'un disfonctionnement concernant les musiques intégrés au Reveil. (Les quelques morceaux pour vous reveiller le matin) Je me suis apercu malgré la garanti d'un an, qu'il était extrêmement compliqué d'effectuer un retour... Et quand bien même, il faut bien entendu payer les frais de port. (Pour une petite panne, ce n'est pas très pratique)  Bref ! Mon proche se trouve donc avec un reveil dont il manque les musiques le matin pour se réveiller. Pour un appareil vendue 142 euros (Prix que je l'ai acheté), ca fait un peu tâche.  Je mets 3 étoiles parce que le produit aurait pu être parfait mais je crains fortement qu'il ne dure pas dans le temps...Et a ce prix, ce n'est pas normal.</t>
  </si>
  <si>
    <t>Très bien pour le prix Elles sont très belles</t>
  </si>
  <si>
    <t>Au sec sans swag Livraison très rapide, emballage adapté. Je chausse normalement du 43-44, et la botte me va parfaitement en 9UK. Par contre, c'est pas très joli, faut l'admettre, m'enfin, pour le prix...</t>
  </si>
  <si>
    <t>Bon qualité prix J ai acheté pour mon fils et ça lui convient parfaitement</t>
  </si>
  <si>
    <t>Solide et confortable Satisfait de mon achat. Portées tous les jours, elles sont confortables bien qu'un peu chaudes. Pour l'instant, l'embout plastique a l'air de bien tenir et si cela se confirme, il est bien utile, car cela protège le cuir des frottements lorsque l'on travaille à genoux.</t>
  </si>
  <si>
    <t>Un appareil dont l'embout me semble un peu gros pour un bébé, mais efficace au-delà de 2 à 3 ans. Présentation : 7/10 Il est enserré dans une coque plastique/carton et accompagné de sa documentation et d'une petite boite de 21 embouts.  2 - documentation : 8/10 Une fiche à lecture rapide, faite de dessins explicatifs permet de couvrir tout le champ d'utilisation et de changement des piles.  Attention à ce qui peut influencer la prise de température. Ainsi, si vous portez une prothèse à l'oreille où vous prenez la température, enlevez-la quelques minutes auparavant, car l'embout de votre prothèse auditive, empêche la chaleur de l'oreille interne de s'évacuer facilement. Si vous avez reposé votre tête sur un oreiller du côté de l'oreille qui va servir à prendre la mesure, tournez la tête quelques minutes avant pour rétablir une température normale. Enfin, si vous avez une température dans la pièce de 16°, vous n'obtiendrez pas la même mesure que si vous avez une pièce où il fait 23°. En effet, la température ambiante refroidit ou réchauffe le corps.  3 - Utilisation : 9/10 l'embout se met dans l'oreille, et là, il est difficile de penser de l'introduire dans une oreille d'un enfant jusqu'à 3 ou 4 ans. Personnellement, il me paraît trop important. Il ne faut pas oublier de changer l'embout pour des raisons d'hygiène voire d'efficacité si cet embout a été utilisé, car le thermomètre le préchauffe à 34° pour que la mesure dans l'oreille soit la plus précise possible. Si l'embout avait été froid, la température s'avère plus basse. A contrario, ce préchauffage intervient aussi sur la qualité de l'embout. On peut le changer sans avoir à y toucher (une touche d'éjection est prévue et on peut clipser la nouvelle en appuyant légèrement sur le thermomètre quand on introduit l'embout dans le nouveau capuchon). La prise est rapide : 1 à 2 secondes maximum. Des bips vous disent si la température est normale (1 bip), au-delà de 38° et jusqu'à 39°, 2 bips (élevée) et au-delà 39° : température forte (4 bits).  4 - Précision : 9/10 Si vous suivez les instructions, si vous tenez compte de tous les paramètres avant de prendre votre température, l'appareil est précis. Vous pouvez le contrôler en parallèle, les premières fois, avec un thermomètre rectal traditionnel, cela pour vous rassurer.  5 - rapport qualité/prix : 7/10 Le prix de ce modèle est correct. Les embouts de remplacement ne sont pas donnés, presque 10 centimes pièce.  Note globale moyenne : 8/10 : un bon produit utile mais je préfère le modèle 6020 pour un prix de 4 à 5 euros plus élevé.</t>
  </si>
  <si>
    <t>Agréable pour les soirées d'hiver. Si tout comme moi, vous avez une compagne qui est frileuse et que vous en avez mare des gros pyjamas, cette couverture est faite pour vous! ;) Plus sérieusement la couverture est vraiment très douce  et c'est très agréable de l'avoir le soir devant la télé. Le petit plus intéressant est que vous pouvez détacher facilement le câble d'alimentation et la mettre au lave-linge.</t>
  </si>
  <si>
    <t>Excellent matériel. Excellent matériel, répondant à mes attentes. Merci à Rodes et Amazon. Cordialement.</t>
  </si>
  <si>
    <t>tres confortable frid l'hiver</t>
  </si>
  <si>
    <t>Casque génial Quel SON ! Excellent article Chargé, il tient longtemps et la musique nous coupe de tout dans le métro. Je recommande vivement qualité / prix</t>
  </si>
  <si>
    <t>Cartouches compatibles Cartouches a très bas prix contrairement aux cartouches d'origine et elles fonctionnent super bien. Je recommande à 100%.</t>
  </si>
  <si>
    <t>Parfais ! Assez inquiet au début je fais taille L  est sa taille comme prèvu très bonne matière je recommande N’hésitez pas</t>
  </si>
  <si>
    <t>très bonne qualité après 6 mois d'utilisation quotidienne , le produit reste nickel !!! mon fils a déjà le sac à dos de la même marque et c'est la première fois que la durée de vie de son sac d'école dépasse 2 ans . ce sont donc de très bon produits avec un rapport qualité/prix excellent</t>
  </si>
  <si>
    <t>Super adhésif ! Super adhésif ! Utilisé pour coller des guides de stores sur des huisseries PVC, le collage est parfait. Il est conseillé de bien respecter les consignes d'utilisation et, pour un meilleur collage, attendre 24 heures avant de mettre en service. Bien nettoyer les surfaces à coller avec de l'alcool à bruler ou de l'acétone (modérément sur le PVC), surtout pas de White-spirit. Produit conseillé.</t>
  </si>
  <si>
    <t>Très bonnes chaussures ! Honnêtement je suis tellement contente ! Depuis le temps que je les voulais et je suis pas du tout déçue ! J’avais peur que ce soit des fausses ou des imitations mais pas du tout et tout ça pour un prix imbattable ! N’hésitez pas !</t>
  </si>
  <si>
    <t>Pourquoi payer plus cher !! Une montre agréable à regarder..De très bonne qualité pour un prix dérisoire..</t>
  </si>
  <si>
    <t>Très bon produit Mon fils souffre d'un handicap moteur qui rendait le passage aux toilettes difficile. Depuis que nous avons trouvé ce produit c'est beaucoup plus facile. Et il est difficile à trouver dans le commerce, je suis donc ravie de pouvoir le commander sur Amazone</t>
  </si>
  <si>
    <t>confortable Très bien pour détendre des yeux quand ils sont fatigués, il peut être plié donc facile à mettre au frigo.</t>
  </si>
  <si>
    <t>fait le job. J'ai acheté cette enceinte qui ne fonctionnait pas. Le service après vente a été très réactif et m'en a envoyé une autre en échange. Merci à eux. L'enceinte est assez grande et le son est assez puissant et net. La gamme de lumière de la veilleuse est assez large et assez douce pour ne pas se lasser. Le gadget de la lumière rythmée par la musique est assez sympa pour un enfant. Je conseille l'achat d'un chargeur type téléphone car pour une utilisation comme la mienne (veilleuse musicale pour un enfant la nuit et écoute de musique le jour) elle se décharge assez rapidement (environ deux jours voire moins). Le seul petit bémol est effectivement comme je l'ai vu dans d'autres commentaires, un léger sifflement lorsque elle est en mode veilleuse uniquement. Cependant cela n'est pas non plus insupportable. Je n'ai pas testé la fonction Bluetooth. Je suis satisfaite de cette enceinte.</t>
  </si>
  <si>
    <t>Très contente de mon achat Magnifique! Confirme à mes attentes ... très classe et très pratique... je recommande cet achat amplement. Je l’utilise pour des entretiens</t>
  </si>
  <si>
    <t>Bien pour le travail ou sortir Ce sac pour homme est géniale, le haut du corps fonctionne bien, donner un sentiment très gentleman, l'espace interne est également assez grand, beaucoup de petits objets peuvent accueillir, la couleur est aussi très populaire, que ce soit pour le travail ou sortir, c'est très approprié, produit de haute qualité</t>
  </si>
  <si>
    <t>décevant sons qui ce coupe produit reçu en temps et en heure , très grand mes oreilles d hommes flotte , je l ai essayer deux fois et les deux fois le sons ce coupait ( pourtant le téléphone était dans ma poche de short ) je jardinais donc aucune recousse ( j étais assis au sol) extrêmement déçu par le produit si sans bouger le sons ce coupe en courant c est pire , le prochain je mettrais le prix pour pas avoir un produit inutile pour le sport</t>
  </si>
  <si>
    <t>Passez votre route Pas pratique du tout, on dirait un jouet tant il parait être en plastique bon marché. Les biberons sont surchauffés, du moins pour le lait maternel, je ne sais pas ce que ça donne avec du lait en poudre. Les petits pots maison, c'est pire, on l'a arrêté avant que ça ne brûle mais ça convient peut-être aux petits pots l'industriels, j'ai pas voulu testé, j'ai arrêté les frais. Autant mettre de l'eau chaude dans un bocal avec le biberon dedans et utiliser le micro-onde pour les petits pots.</t>
  </si>
  <si>
    <t>Style très bien, solidité à revoir !! Le style est très moderne et malgré son apparence sportive, on peut l’emporter partout. Hélas, la toile est un véritable ramasse-poussière et le plus grave est que les coutures internes ne tiennent pas ! Voilà la photo après trois mois d’utilisation ! Inadmissible. Comment faire jouer la garantie ?</t>
  </si>
  <si>
    <t>C’est moyen Le dessus un peu serré</t>
  </si>
  <si>
    <t>super bonne basket pour l'instant rien à dire on verra dans le temps</t>
  </si>
  <si>
    <t>Pratique Le grand plateau permet de poser des contenants de manière stable. le petit bémol : il faudrait fournir les poids de référence pour étalonner la balance.</t>
  </si>
  <si>
    <t>Dr Martens brodées Article identique à la photo et très bien fait avec des finitions soignées. En ce qui me concerne et vu qu'elles sont neuves, j'ai une des coutures sur le dessus du pied gauche qui me gêne un peu et c'est pour cette raison que j'ai enlevé une étoile.</t>
  </si>
  <si>
    <t>Câble de bonne qualité mais .... Câble de bonne qualité mais je lui reproche sa rigidité, car branché sur un instrument mobile comme une guitare, n'est pas confortable. Il a tendance à boucler. Mais peut très bien convenir sur un matos fixe.</t>
  </si>
  <si>
    <t>Bon Un grand d’ouverture. La forme convient</t>
  </si>
  <si>
    <t>Génial Simplicité et tellement agréable à porter. J'adore et je vais sous peu en recommander dans d'autres couleurs</t>
  </si>
  <si>
    <t>Bon produit Taille correcte, qualité Levi's</t>
  </si>
  <si>
    <t>efficace pas de bourrage si on respecte bien les consignes (pas mettre deux fois plus de papier que ce qui est indiqué)  produit vraiment petit, pratique et esthétique  se monte et s'installe plus que facilement  Poubelle suffisamment grande, même si j'aurais bien aimé un peu plus de place pour pouvoir "bourrer" manuellement les copeaux dans la poubelle (facile de diminuer de moitié le volume de déchet en compressant un peu)</t>
  </si>
  <si>
    <t>Super livre Livre super pour s’entrainer a lire sans mettre son enfant en difficulté</t>
  </si>
  <si>
    <t>Bonne coupe et confortable ! Ce Levi's 511 est super confortable, la coupe et la couleur sont très classes, exactement comme sur la photo et le tout pour un prix tout à fait raisonnable. Très bon achat que je conseille sans problème.</t>
  </si>
  <si>
    <t>MONTRE DIESEL ELLE EST SUBLIME  !! RIEN À DIRE,JE SUIS TRÈS CONTENT DE MON ACHAT SUR AMAZON. JE RECOMMANDE CETTE MONTRE, LE PRIX ÉTÉ TRÈS ABORDABLES.</t>
  </si>
  <si>
    <t>Une compression légère idéale pour aller courir. Simple et efficace, je l'utilise comme première couche technique sous un t-shirt ou une veste coupe vent pour aller courir. La compression est ressentie mais pas excessive, la liberté de mouvement est vraiment préservée.  Bref, on se sent soutenu mais pas gêné, et la transpiration est efficacement évacuée.</t>
  </si>
  <si>
    <t>Parfaites Très bonne qualité, taille un peu grand Ma fille les adore, confortable</t>
  </si>
  <si>
    <t>Solidité Belle finition et robuste très bon rapport qualité prix..</t>
  </si>
  <si>
    <t>Bon casque Très bon casque, bon micro, il donne un aspect solide même si je pense qu'il est très fragile en cas de transport Très bon rapport qualité prix</t>
  </si>
  <si>
    <t>Satisfaite Très joli montre vintage qui s'adapte très bien a mon poignet ! Je recommande de plus livraison très rapide reçu en 2 jours. Vraiment pas dessu de cet achat</t>
  </si>
  <si>
    <t>Parfaite petite imprimante ! J'ai acheté cette petite imprimante portable pour faire des photos style Polaroid (pour la taille). Je trouvais que prendre un si gros appareil pour une ou deux photos en soirée était contraignant. Maintenant je prends les photos avec mon téléphone puis les imprime plus tard. Beaucoup plus simple ! Et même quand je l'emmène avec moi beaucoup plus petit surtout que je peux choisir la photo à imprimer pour un rendu maximal ! En plus du prix de la photo à l'unité deux fois moins cher qu'un Polaroid classique. Pour ce qui est du rendu de l'image on ne retrouve pas cet effet vieilli comme sur un Polaroid. En revanche l'impression est vraiment correcte ! Voir la photo ci-jointe, dans la nuit, dans le jour et sous lumière artificielle d'aquarium Récifal (photos toujours dur à prendre pour un rendu top). Je suis très satisfait de cet achat !</t>
  </si>
  <si>
    <t>Top Fais le job</t>
  </si>
  <si>
    <t>Bib mam Déçu par le colis qui contient non pas comme prévu 2 bib de 130 et 2 de 160 mais 4 de 160, après comparaison on avait choisit ce lot pour avoir 2 de chaque. Sinon tout le reste correspond bien.</t>
  </si>
  <si>
    <t>Vraiment petit Très beau sac le seul problème il est trop petit</t>
  </si>
  <si>
    <t>L'emballage est pas mal Baskets de sécurité reçues il y'a quelques jours et: trop belles, mais surtout très confortables car direct essai, hâte de travailler avec car ça va changer des grosses chaussures de sécurités lourdes et inconfortables. Le petit + une paire de chaussette livrée avec.</t>
  </si>
  <si>
    <t>trop petit Bonne matière, joli couleur et motif, mais taille comme un M au lieu d'un L. Je suis déçue car je dois le renvoyer</t>
  </si>
  <si>
    <t>produit conforme Produit conforme à la description, rien à redire. Ne vous attendez pas à la qualité d'un vrai compressor, comme les Under Amour mais produit très bien pour son prix.</t>
  </si>
  <si>
    <t>Bonnes lingettes pour les fesses ! Produit conforme à l'annonce. La taille est parfaite. Très bonne qualité. J'ai testé plusieurs marques et celle-là fait partie des meilleures. Si on ne s'en sert pas régulièrement, a tendance à sécher : donc à garder à l'abri dans une boite fermée. Je recommande.</t>
  </si>
  <si>
    <t>Rapidité Le prix de la livraison est élevé.</t>
  </si>
  <si>
    <t>Efficace Réveil veilleuse au top 👌🏼</t>
  </si>
  <si>
    <t>Prix correct et bon produit Rien à dire je vous le conseille. Parfum divers sent très bon. L'emballage et pas mal. Un peu cher mais raisonnable</t>
  </si>
  <si>
    <t>A porter SANS CHAUSSETTES, par pitié ! Ce ne sont pas des copies mais bien des Birkenstock originales. A commander 1 pointure en dessous de sa taille habituelle. Ultra confortables, ce modèle ci est bien moins ringard que d'autres de la marque, il est même carrément joli si on le porte sans chaussettes (message aux petits jeunes qui ne comprendront leur ridicule que dans 2 ou 3 ans, quand cette mode immonde sera passée, et que les allemands en auront récupéré l'apanage). La version la moins chère avec la bande supérieure en faux cuir est parfaite, car ça passe en machine sans problème. Enfin des sandales qui permettent au pieds de vraiment respirer, de bronzer, tout en parcourant des kilomètres sans aucune souffrance. La bande étant réglable, tout le monde y trouvera son compte, même les gros pieds de footballeurs.  Birkenstock, tu n'as peut être pas inventé le bon goût, mais tu as inventé le confort, et pour celà, mes pieds qui sentent toujours bon en fin de journée te disent DANKE ! (et ceux qui me les lèchent, aussi :p)</t>
  </si>
  <si>
    <t>Parfait Un cadeau qui a été une réussite</t>
  </si>
  <si>
    <t>Bonne qualité Bonne qualité, Bonne taille !!</t>
  </si>
  <si>
    <t>super pour le prix acheté comme Zippo de survie, il est petit et ....c'est un zippo, indestructible, fiable, allumable même par grand vent, aucune fioriture. j'ai déjà eu des Zippo et c''est une valeur sûre, excellent prix pour les services offerts. à acheter les yeux fermés.</t>
  </si>
  <si>
    <t>Beau slim Très beau pantalon bien taillé et pas besoin de couturier</t>
  </si>
  <si>
    <t>Super Jolie paire de basket j'ai pris du 37 je chausse du 38 mais elles sont nickels sans regret pour 35 euros je suis ravie</t>
  </si>
  <si>
    <t>Bon produit, me gusta Le produit est arriver à temps, bonne qualité et la taille est parfaite voilà merciiii !</t>
  </si>
  <si>
    <t>Bon produit Super nettoyant</t>
  </si>
  <si>
    <t>Très bonne qualité Utilise pour classer mes documents , il me convient parfaitement</t>
  </si>
  <si>
    <t>Bon rapport qualité/prix Achetées comme 2ème paire pour le sport, je dois dire que je suis agréablement surprise du rapport qualité/prix. Bien finies et jolies, la couleur bleue est lumineuse. Elles sont très confortables au quotidien comme à l'effort. L'amorti est correct surtout pour une paire de ce prix. parfait!</t>
  </si>
  <si>
    <t>C'est parfait Dans un premier temps j'ai bien  reçu le produit dans les temps. Le produit n'a pas de défaut ! Après quelques utilisations je n'ai toujours pas eu de problème. Je suis bien content de mon achat.</t>
  </si>
  <si>
    <t>Parfait Sans surprise Complet, fonctionne, rien à dire. Livraison sans souci Je suis pleinement satisfait. Le pack est assez cher mais moins que les consommables pris individuellement</t>
  </si>
  <si>
    <t>Conforme en tout point au descriptif et aux photos Utilisé au quotidien, ce sac me convient parfaitement.  Seul regret, il n’y a pas de séparation intérieure, juste une petite poche indépendante avec fermeture éclair qui mériterait d’être un peu plus grande.</t>
  </si>
  <si>
    <t>cadeau super cadeau plait a chaque fois aux femmes et jeunes filles qualite prix tres bien</t>
  </si>
  <si>
    <t>Plus seulement un mythe! Aucune installation nécessaire, branchement immédiat par usb, le micro et reconnu et la qualité d'enregistrement du son est incroyable, de niveau pro. On peut brancher un casque directement au micro pour entendre en temps réel l'output du micro. Il ya 4 modes de disponibles avec un bouton tournant. Sinon, il porte bien son nom, il est gros et lourd, incroyablement solide aussi. 5 ans que je l'ai et il marche toujours aussi bien! Instabuy si vous cherchez un micro de bonne qualité pour un prix plus que raisonnable!</t>
  </si>
  <si>
    <t>Mauvaise qualité Cette brosse n'est pas vraiment efficace .. Mais vu le prix on ne peut pas être difficile. Je vous recommande de mettre quelques euros de côté et de prendre une brosse de qualité supérieure.</t>
  </si>
  <si>
    <t>tres mauvais livre trop petit (tailles asiatique) et tres tres TRES en retard!!!</t>
  </si>
  <si>
    <t>une chaussette craquée dans l'emballage C'est dommage la qualité est tout à fait correcte à première vue mais une chaussette était craquée au déballage, ça gâche l'impression d'ensemble.</t>
  </si>
  <si>
    <t>Renvoyez moi un lacet Un lacet cassé une fois la boîte défaite, pas de boîte originale mais pas directement Adidas.</t>
  </si>
  <si>
    <t>Bonne qualité et souple J'ai tout essayé avec un bébé allaité en plus à la crèche, bien que ces biberons soient de qualités ma fille refuse catégoriquement les biberons, cuillères etc..</t>
  </si>
  <si>
    <t>ras trés precise rapide faut voir dans la durée mais a ce prix la.dificile d'avoir mieux</t>
  </si>
  <si>
    <t>C’est trop mignon ! Je suis très contente de mon achat ! Le bruit est très agréable et la longueur de la chaîne est réglable ! Vous pouvez acheter cet article sans problème !</t>
  </si>
  <si>
    <t>Un bon produit ! La montre correspond parfaitement à mes attentes. Elle s'adapte parfaitement au poignet La qualité est bonne. Délais de livraison respectés et le produit est très bien emballé.  Seul petit bémol : la montre est déjà activée ... donc on ne sait pas depuis combien de temps les piles sont utilisées.</t>
  </si>
  <si>
    <t>Produit très pratique Ce produit est très pratique, facile à utiliser et à transporter, il aurait pu être légèrement plus grand pour contenir toutes les parties d'un biberon MAM anti-colique sans les juxtaposer. Mis à part ce détail, ce produit est très  bien !</t>
  </si>
  <si>
    <t>Basket enfant Suffisant pour mes enfants</t>
  </si>
  <si>
    <t>Génial J'adore son style et évidemment très efficace comme tous les zippos</t>
  </si>
  <si>
    <t>Excellent produit ! J'ai écris un commentaire concernant le modèle Taotronics Humidificateur brume que je considère comme un Excellent produit ! J'ai acheté les 2 modèles dont celui ci pour une chambre bébé et plus tard pour l'intérieur car très design très bel effet de boiserie on s'y tromperai !  Led impeccable bel effet de lumière fixe ou aléatoire ..  Temporisation 1, 2 ou 3h fumée assez épaisse et plus que correcte pour un petit modèle .. 300ml c'est peu comparé au TaotroniCs ou il peux fonctionner à fond une journée..  Mais pour une chambre diffusion sans problème les 3h maxi logique en même temps..  Donc très bon produit à acheter sans soucis.</t>
  </si>
  <si>
    <t>R.A.S. R.A.S.</t>
  </si>
  <si>
    <t>super Mon bébé pleurait à chaque bib et une fois les tétines changées, plus de pleurt, il boit son biberon tranquillement sans s'énerver car le lait arrive sans qu'il soit obligé de trop aspirer</t>
  </si>
  <si>
    <t>étonnamment bons Franchement pour 20 balles j'en attendais pas grand chose. Force est de constater que le son est assez bon, et qu'ils conviennent parfaitement aux têtes et oreilles des enfants. Le fait de pouvoir les relier entre eux est un sacré plus</t>
  </si>
  <si>
    <t>Efficace Semelle agréable. Conforme à la description du produit.</t>
  </si>
  <si>
    <t>Spacieux et de qualité Sac très pratique. Il y a bcp de place et 3 espaces différents de rangement dans la grande partie et une sur le devant. Je voulais un sac plus grand qu'une petite pochette en bandoulière mais moins grand qu'un sac à dos. Là c'est parfait. Les fermetures et les coutures ont l'air solide et le tissu aussi je pense qu'il résistera bien dans le temps. J'aime bien aussi le dossier et la lanière qui sont matelassés et anti-transpirant.</t>
  </si>
  <si>
    <t>Puissant coller en exterieur sur balcon et fenetre après temps de pluie ou grosse chaleur au bout de 10 jours ça bouge pas ça colle très fort a voir a l'usure si ça reste comme ça . j'y ai collé des chose lègéres je n'ai aucune idée pour des choses plus lourdes.</t>
  </si>
  <si>
    <t>Trop bien.... Acheté pour regrouper le nécessaire à la sortie de ma chienne, j'ai trouvé cette sacoche trop bien, trop jolie pour cette utilisation au quotidien. Donc, devenu ma BELLE besace, je dois trouver du coup autre chose. Qualité et esthétique sont vraiment présent. Bravo</t>
  </si>
  <si>
    <t>Légèreté Je porte ces chaussures tous les jours du matin au soir. Très honnêtement elles sont super légères et très confortables... Je recommande vivement ce modèle.</t>
  </si>
  <si>
    <t>Parfaitement lavable Sur une nappe, les vêtements, la peau cette peinture se nettoie vraiment facilement. Belles couleurs, assez épaisse, convient pour les petits et les plus grands (ma fille de 2 ans partage volontiers son atelier peinture avec ses cousins plus âgés)</t>
  </si>
  <si>
    <t>Magnifique diffuseur Magnifique diffuseur avec de très jolies couleurs, au top pour la déco. Très facile d utilisation, il diffuse parfaitement dans la pièce, ne fait pas de bruit. Très vite livré.  J adore et je recommande.</t>
  </si>
  <si>
    <t>super pour le travail</t>
  </si>
  <si>
    <t>Philips SHP2500 Casque TV filaire Très utile le soir pour ne pas déranger la maisonnée au de las de 22 Heures, ce casques me va très bien et ne me fait pas aux oreilles comme celui que j'avais avant. 20/20 c'est la note que je mets. Maintenant, si j'avais un conseil à donner, c'est les casques sans fil doivent être intéressant. La prochaine fois peut-être.</t>
  </si>
  <si>
    <t>Aucune souplesse Pour des Nike, le confort ne se retrouve pas. Ces chaussures sont bien trop rigide tant au niveau de la semelle que du tour de cheville.</t>
  </si>
  <si>
    <t>La connexion Bluetooth ne marche plus après 2 mois Après deux mois d utilisation  impossible de les connecter à mon Samsung s8 et donc de les utilisers très déçu par ce produit.</t>
  </si>
  <si>
    <t>Monoboucle Je pensais acheté des boucles d'oreilles mais c une monoboucle Pas très agréable à porter Mauvaise qualité</t>
  </si>
  <si>
    <t>Fait le job, mais a tendance à se décrocher en utilisation Natation Le produit est de bonne facture, avec des commandes qui tombent assez bien sous la main. Les écouteurs spécifiques assurent une bonne étanchéité. Le son est évidemment atténué (ce qui peut se compenser en traitant les fichiers pour augmenter l'amplitude sonore, il y a plein de sites gratuits en ligne pour cela) Par contre en piscine les écouteurs ont tendance à sortir de l'oreille sous la pression de l'eau quand on avance, que le casque soit fixé ou non aux lunettes, et quelle que soit la taille d'embout utilisé.</t>
  </si>
  <si>
    <t>trés bonne matiere en coton bonne compression mais g le mollet fort donc sa me sert trop</t>
  </si>
  <si>
    <t>Beau produit qualité/prix satisfaisant, beau produit bien fini.</t>
  </si>
  <si>
    <t>a voir avec le temps rempli parfaitement son rôle mais ne donne pas une impression de solidité et bonne finition</t>
  </si>
  <si>
    <t>Mes baskets habituelles Elles sont pratiques, résistantes, mode. Attention prendre une taille en-dessous de celle que vous prenez sur le même modèle version toile.</t>
  </si>
  <si>
    <t>ATTENTION il n'est pas vendu avec le serre tète comme sur la photo Etant professionnelle du son c'est un bon produit moyen et pas trop cher!! une très faible chambre de compression et ne vaux surtout pas un SENNHEISER AVX-MKE2 ou Sony Ecmft5bmp...mais il fait le job ATTENTION il n'est pas vendu avec le serre tète comme sur la photo</t>
  </si>
  <si>
    <t>Ce micro est génial, je suis ravie ! Contenu de la boite : - Un micro - Un câble USB pour la charge de l’appareil - Un câble audio/recording 3.5mm pour connecter le micro à votre téléphone ou tablette Une notice en Anglais  J’ai étais surprise de l’élégance de ce micro, le rose est doux et légèrement brillant, il est léger, avec une bonne prise en main, il permet une grande liberté.  Le micro a deux hauts parleurs intégrés ce qui permet de l’utiliser pour plusieurs choses, karaoke, micro, enceinte, il est très polyvalent et simple d’utilisation, il suffit d’activer le Bluetooth et la connexion avec votre téléphone se fait très rapidement. de plus si vous souhaité vous entendre chanter vous pouvez brancher un casque sur la prise jack ce qui est très utile si l’on souhaite repérer, il y a un très bon retour.  La connexion Bluetooth est très pratique mais elle peut également se faire par le câble audio.  Deux boutons permettent de faire défiler le morceau de musique suivant ou précédant sans avoir à toucher le téléphone ou la tablette du coup ça le rend encore plus performant.  Le micro est rechargeable, le câble est fourni, il a une très bonne autonomie, 6/8h ce qui permet de passer une très bonne soirée.  J’ai apporter ce micro au mariage de ma meilleure amie, il a permis de faire les discours, le karaoké ainsi que toutes les annonces, il nous a servi toute la nuit.  Le rendu son de ce micro karaoké est très surprenant, il est de très haute qualité et il ne siffle pas comme certains micros lorsqu’ils sont branchés à une enceinte. Le son est net et fluide et réglable grâce à un bouton.  Ce micro sans fil, haut-parleur Bluetooth et enregistreur a un très bon rapport qualité/prix, simple d’utilisation, agréable à utiliser et efficace alors sans hésitation, je recommande ce produit.</t>
  </si>
  <si>
    <t>chaud pour etre  bien avec</t>
  </si>
  <si>
    <t>Rien à dire Ravie de cette montre. Elle correspond en tout point a mes attentes . Élégante et féminine. Livraison rapide . Je recommande .</t>
  </si>
  <si>
    <t>Supert Mon fils de 3 mois ne voulais pas prendre de biberon jai pratiquement tout essayer comme biberon et la deux tentatives supert il les a pris</t>
  </si>
  <si>
    <t>superbe un cadeau qui a plus a mon cheri es moi meme vraiment tres beau super leger et resistant merci  b</t>
  </si>
  <si>
    <t>RAS, nickel Rien à dire. Bon produit. Livraison rapide. Très bien.</t>
  </si>
  <si>
    <t>le temps de livraison pas essayé cadeau pour noel</t>
  </si>
  <si>
    <t>Petite sacoche bien pratique Vraiment très réussie cette petite sacoche qu'on peut porter de trois façons en bandoulière, à la taille ou au bras grâce eu scratchs prévus.bien pratique pour le téléphone. Un trou à l'arrière permet le passage du câble écouteur ( pour répondre à d'éventuels appels ou une fois la musique choisie en laissant le smartphone à l'abri dans la sacoche). La sacoche est bien finie et est solide sauf peut-être la fermeture  par rivet magnétique de la pochette centrale qui semble fragile surtout lorsqu'on veut l'ouvrir mais pour l'instant cela tient. Une épaulière sur la sangle aurait été la bienvenue car la sangle à tendance à se vriller et oblige à la repositionner avant chaque utilisation. Mais c'est un défaut très mineur. Très bon achat je le recommande.</t>
  </si>
  <si>
    <t>Idéal cadeau Petit cadeau pour ma femme, jolie boîte à emballer, bracelet argenté avec cristal Swarovski est très élégant, plus important c’est qu’elle aime bien</t>
  </si>
  <si>
    <t>Très beau sac c'est un très bon produit à tout point de vue. Je le recommande vivement. Je ne regrette pas mon choix.</t>
  </si>
  <si>
    <t>Efficaces Plusieurs commandés, et jamais déçue. Efficaces, très chauffant. Je souffre d’une névralgie cervico brachiale et il n’ya Que ceux là qui me Soulagent.</t>
  </si>
  <si>
    <t>Très bien Livraison rapide ma fille adore la collection. Explication au début pour l’aide à la lecture. Jeux en fin de lecture. Mots compliqués expliqués. Et terminaison et accord écrit d’une autre couleur pour aider l’enfant. Je l’ai montré à la maîtresse de cp de ma fille et elle les trouvent très bien elle aussi.</t>
  </si>
  <si>
    <t>Un produit toujours aussi parfait... Toujours aussi fiable et solide avec un look sportif incomparable. Rien à redire sur ce produit qui a fait ses preuves au fil des années.</t>
  </si>
  <si>
    <t>DANISH ENDURANCE Chaussettes de Randonnée en Laine Mérinos Légère, pour Homme excellent point de vue confort en randonnée.le seul conseil aux future acquéreurs c ne jamais choisir la pointure juste.moi par exemple je chausse du 43 donc mon premier achat étais le 39-43  et c'étais pas ça au moment ou j'ai mouillé mes pieds donc j'ai racheté le 43-47 et là c super même mouillé la randonnée c top.</t>
  </si>
  <si>
    <t>Le marche pied pour bébé Bonne hauteur finale avec deux marches pour notre petite crevette.</t>
  </si>
  <si>
    <t>Bien mais Le concept est bien fait facile d'utilisation et peu contraignant le seul hic c'est que contrairement e ce qui est indiqué dans la notice utilisation, il n'y avait pas de pochette de transport dans ma boite.</t>
  </si>
  <si>
    <t>GROS DOUTE ... Pour avoir plusieurs G shock, dès l'ouverture de la boite j'ai eu un très gros doute quand à l'origine de cette montre.  -La couleur ne correspond dejà pas aux photos du vrai modèle, car elle est plus bordeaux que rouge -le verre est en vulgaire plastique,rayable immédiatement,et non en verre minéral comme une VRAIE G shock -connaissant bien la résistance de ces montres, j'ai testé le bracelet en essayant juste de le tordre un peu, il s'est arraché instantanément. -le livret fourni avec ne correspond meme pas au modèle , mais à un ga 110!!!  une honte de recevoir ce genre de produit . la photo qui suit en témoigne, a droite une vraie g shock (rouge), à gauche  une"copie" vendue 58,69</t>
  </si>
  <si>
    <t>Qualité laisse à désirer Une aiguille de perdue des la première utilisation.....et sans choc ! Pas terrible !</t>
  </si>
  <si>
    <t>J'aime ! Je vois jolie cette montre. Mais je ne l'ai pas vraiment ouvert car c'est pour offrir comme cadeau de Noël. J'espère que la personne va aimer et que ce serait un produit solide.</t>
  </si>
  <si>
    <t>Bel effet Donne un bel effet mais semble un peu fragile, à voir avec le temps</t>
  </si>
  <si>
    <t>A manier sans brutalité Article livré rapidement et conforme à la description. Pas cher et on en a pour son argent. Arceau en plastique: fragile +++ Son très bon dans l'absolu, excellent pour cette gamme de prix. Radio à oublier. Accus déchargés très rapidement, ne pas compter sur le bluetooth.</t>
  </si>
  <si>
    <t>Bon produit mais... Le produit est beau, facile à utiliser mais c'est dommage que l'on ne puisse pas complètement l'éteindre. La présence permanente de la diode bleue sur l'interrupteur fait qu'on n'ai jamais complètement certain que la résistance de la bouilloire ne chauffe plus. Sinon RAS</t>
  </si>
  <si>
    <t>Pratique Utilisation pour ma fille de 12 ans. Conforme à nos attentes même si les sons ne nous semblent pas assez amplifiés</t>
  </si>
  <si>
    <t>tres jolie satisfait de mon achat je recommande</t>
  </si>
  <si>
    <t>Très jolie robe Robe super sympa, rapport qualité prix bon. La taille correspond bien. L’expédition a été rapide.  Merci!</t>
  </si>
  <si>
    <t>Légère et tienne chaud pour l hiver Bien reçu merci</t>
  </si>
  <si>
    <t>je suis content je suis très satisfaire de ce casque Mpow .il est en plein bon état il marche bien et j’espère qu'il vas duré et surtout qu'il est résistant.</t>
  </si>
  <si>
    <t>TRES JOLIES Il s'agit d'1 cadeau pour ma fille et je suis sure qu'elle ne sera pas déçue avec le petit coffret qui contient les boucles, il y a 1 étui cartonné présentant 1 petite chiffonette d'entretien Je suis donc trés contente de cet achat</t>
  </si>
  <si>
    <t>Ras Des chaussures</t>
  </si>
  <si>
    <t>PRODUIT TRES EFFICACE ET ECONOMIQUE Le bicarbonate est parfait pour le nettoyage !!!! Mélangé a du vinaigre blanc il a décapé l"evier et deboucher les canalisations</t>
  </si>
  <si>
    <t>Parfait très content de mob produit Super rien a redire</t>
  </si>
  <si>
    <t>Super produit Produit arrivé très rapidement en parfait état. Convient parfaitement à la Sproket de HP, et le petit plus c’est la possibilité d’utiliser le papier comme sticker! À coller partout!</t>
  </si>
  <si>
    <t>Beau bijou de bonne’ facture Reçu rapidement, bijou de très bonne qualité et très fin. C’était pour offrir et la personne qui l’a reçu était très contente.</t>
  </si>
  <si>
    <t>papier toilette Lotus Je connaissais bien ce produit que j'utilise depuis longtemps, et comme je devais compléter ma commande, j'ai choisi celui-ci que je connaissais déjà.</t>
  </si>
  <si>
    <t>le must (enfin pour moi) On comprend mieux le prix compte tenu de  la qualité des matériaux (inox massif et verre). La fonction automatique fonctionne très bien et le design est soigné. Jusque la j'en suis très satisfait.</t>
  </si>
  <si>
    <t>Collier efficace Depuis que mon fils le mets j’ai l’impression qu’il n’a plus mal aux dents . Mon fils a 15 mois et 6 dents . J’en suis satisfaite</t>
  </si>
  <si>
    <t>Biberon trop jolie et super Amoureuse de ses biberons Mam anti colique qui fonctionne vraiment je l’ai pris car j’en avais déjà deux mais pas le vert et je le voulais pour mon fils de 2 mois il est trop beau en plus avec sa tétine il est vraiment pas cher et niveau nettoyage c’est juste le top’ j’adore et mon bébé en est satisfait donc parfait</t>
  </si>
  <si>
    <t>Cattier Prête à l'Emploi Argile Pot 1,350 kg Toutes les semaines, le Dimanche, c'est journée détente, je prends soin de moi et ce produit est un délice en la matière, doux pour ma peau, après utilisation je met une crème hydratante et c'est repartit pour une semaine avec une peau douce et non-grasse !</t>
  </si>
  <si>
    <t>Mauvais produit Je n'ai pas confiance à sa qualité le son est nul je ne crois pas que sa soit originale jbl</t>
  </si>
  <si>
    <t>décoloration du flocage sur le tee shirt Très déçue de cet achat .C'était un cadeau et après un premier lavage, le tee shirt a  des taches bleues malgré l'utilisation d' une lingette anti décoloration !</t>
  </si>
  <si>
    <t>Très bien Très bonne tétine, pour mon bébé de 3 mois j'utilise encore les tailles 1! Bonne prise en bouche après allaitement.</t>
  </si>
  <si>
    <t>Jolie montre Homme La montre est très belle, pas trop lourde mais j'ai peur qu'avec le temps la peinture noir du bracelet parte. Il y a déjà des marques de rayure sur le bracelet...</t>
  </si>
  <si>
    <t>soulage les douleurs cervicales j'ai des douleurs cervicales depuis quelques tamps je l'utilise le soir devant la télé tres facile a mettre en œuvre et tres agreable a uriliser</t>
  </si>
  <si>
    <t>Super mais large Acheter il y a maintenant quelque mois je suis très contente de mon achat. La couleur est comme sur la photo. Le pull taille bien mais fait un effet large il faut le dire ! Visible sur photo. Cependant il es très confortable et doux. Je recommande  Si mon commentaire a été utile merci de le dire ;)</t>
  </si>
  <si>
    <t>Prix Bon rapport qualité prix. Ne semble pas de bonne qualité mais prix très attractif !!</t>
  </si>
  <si>
    <t>Sac Pratique solide et styler Sac super pratique, solide et très brancher style coursier. Plusieurs poches pour faire office d'organiseur.  Parfait pour les affaires d'une journée.</t>
  </si>
  <si>
    <t>chaussures  tai chi je les mets pour faire le tai chi , bon produit</t>
  </si>
  <si>
    <t>Pratique Super chauffe biberon qui s’adapte tout à fait à la voiture grâce à la prise cigare , tout comme sur une prise normale . Embout qui se met facilement. Les biberons MAM (qui sont plus large en bas) y rentrent sans problème ! À nettoyer après chaque utilisation pour os qu’il y ai de traces mais sinon fonctionne très bien et se transporte facilement.</t>
  </si>
  <si>
    <t>Super J'ai pris ce micro pour les soirées entre amis lorsqu'on fait des blindtests et qu'on chante par la suite. Le son est puissant et clair. Il ets de très bonne manufacture, on voit que c'est solide. Le gros Plus est ses effets de voix, qu'est ce qu'on a rit. J'adore également les effets de lumières. On peut connecter le musique e' Bluetooth dessus etbzinsi chanter dessus et même s'enregistrer. On peu y insérer une clé usb ou carte mémoire. Un indispensable pour des soirées réussies. Je l'ai pris rose gold et il est vraiment joli.</t>
  </si>
  <si>
    <t>Magnifique montre Hugo boss J’ai acheté cette montre pour offrir à mon mari elle est juste magnifique et classe Mon mari était ravie Je recommande fortement surtout pour le prix très intéressant !!!</t>
  </si>
  <si>
    <t>Excellent écouteurs sans-fil Excellent produit, que ce soit au niveau du son (son équilibré avec de bonnes basses, surtout avec le mode dynamique), de la finition, ou de l'utilisation (facilitée si vous avez un smartphone samsung)</t>
  </si>
  <si>
    <t>Parfait Fidèle au descriptif. Rien à redire</t>
  </si>
  <si>
    <t>Tres bon rapport qualité prix Parfait au niveau de la taille. Très confortable et très chaud. Je le recommande. Il est idéal pour les soirées d'observation au telescope.</t>
  </si>
  <si>
    <t>Bonne  Qualité  je le conseil livrer rapidement en Moin de 15 jours à la maison Très bien je le conseille fortement Livré en moins de 15 jours à la maison produit très bien je conseille fortement</t>
  </si>
  <si>
    <t>Parfait Mes baskets sont comme neuve</t>
  </si>
  <si>
    <t>Bon produit Belles chaussures..... Pas assez large pour un pied assez fort</t>
  </si>
  <si>
    <t>Très contente J avais peur d'avoir pris le mauvais model pour mon akai mais elle est parfaitement adaptée</t>
  </si>
  <si>
    <t>Super casque à un tel prix À un tel prix JBL nous propose un casque du plus bel effet,  esthétique et solide.  Le son est très correct,  si la source est de qualité alors vous ne saurez jamais déçu par cet article...</t>
  </si>
  <si>
    <t>Je recommande Recu rapidement, super basket , bon qualité</t>
  </si>
  <si>
    <t>Cartouche d'encre Super produit</t>
  </si>
  <si>
    <t>machine a café a grain marque klartein tres belle machine arrivé a la date prévu* bien emballé un petit soucis pas de notice en français il faut imprimer la notice que j'ai pu obtenir sur internet je recommande ce produit* je prends du café en grain italien pour son arome** j'aimerai savoir s'il faut laisser le filtre a charbon a l'intérieur si qu'elqun peut me répondre cela serait gentil merci</t>
  </si>
  <si>
    <t>bon produit. un peu trop large</t>
  </si>
  <si>
    <t>pas du tout antidérapant jolies chaussures, chaudes mais alors absolument pas antidérapantes comme indiqué dans la description du produit donc pas le top en montagne, je n'ai pas pu profiter de belles ballades à Noël car trop peur de glisser. Bon après reflexion, j'aurais du me méfier vu le prix!</t>
  </si>
  <si>
    <t>Pas fiable Le chrono et un des cadrans ne fonctionnent déjà plus, après 4 mois d'utilisation seulement..  Je vais tenter de faire jouer la garantie.</t>
  </si>
  <si>
    <t>Produit decevant Produit non conforme à la description Pas assez de paillettes pas facile d utilisation Dommage de l avoir ouvert car je l aurais retourné Je ne le conseille pas</t>
  </si>
  <si>
    <t>Taille trop petite Taille plus petite qu'annoncé</t>
  </si>
  <si>
    <t>Sweat homme Conforme à sa description, à bouger légèrement au lavage.</t>
  </si>
  <si>
    <t>Bien Super look et a l’air Solide</t>
  </si>
  <si>
    <t>Son de qualité mais peu de réduction de bruit La qualité du son est excellente. Un casque "tout terrain" qui convient à tous les styles de musique. Toutefois, la réduction de bruit est quasi nulle. Il est difficile d'entendre correctement le son en avion ou dans le métro par exemple.</t>
  </si>
  <si>
    <t>Ce que j'attendais Exactement le produit que j'attendais.  La taille est parfaite et le descriptif donné par Amazon fidèle au produit. Un modèle en cuir très souple par rapport à d'autres modèles de Doc Martens, donc rapidement confortables. Après un premier colis qui s'est égaré, la seconde livraison s'est faite dans les temps. Je recommande ce produit d'autant plus que le prix est nettement moins élevé que sur d'autres sites ou en magasin. Habituée de la marque, ce sont normalement des chaussures de qualité.</t>
  </si>
  <si>
    <t>À découvrir. Un excellent rapport qualité/prix. C'est à considérer comme des pinceaux d'étude. Peuvent être utilisés pour l'aquarelle (moyen), la gouache (bon) et l'acrylique (bon).</t>
  </si>
  <si>
    <t>Satisfaite Très satisfait en recommanderais des que j'en ai besoin</t>
  </si>
  <si>
    <t>bonne pochette de plastification bon produit correspondant a mes attente pour plastitifier des photos tres bon rendu les feuilles sont de bonne qualitée j auré aimé qu elle soit envelopper par petit nombre comparé a d autre modéles qui le propose</t>
  </si>
  <si>
    <t>Ras Conforme Ras</t>
  </si>
  <si>
    <t>Solide, efficace ! Excellent câble, très solide. Il restitue le son de ma batterie électronique clairement, sans bruit de fond. Je recommande !</t>
  </si>
  <si>
    <t>Excellent ! Commandé pour la présentation d'un power point lors de l'oral du brevet, d'une utilisation facile, une bonne ergonomie, un très bon contrôle à distance. Doosl Présentateur sans Fil facilite grandement la présentation.</t>
  </si>
  <si>
    <t>Au top ! Mon fils de 10 mois étant habitué au Avent natural depuis tout petit j'avais peur de changer. En effet, il me fallait un biberon du soir en 330ml (AVENT malheureusement s'arrête à 270ml). Mon fils l'a pris très facilement. Facile à nettoyer. Super rapport qualité/prix. Du coup Avent la journée et Mam le soir ;)</t>
  </si>
  <si>
    <t>Au top Genial</t>
  </si>
  <si>
    <t>Merci Franchement elles sont trop bien légère jolie j en suis très content</t>
  </si>
  <si>
    <t>Bon produit Produit tout à fait conforme à la description! le revêtement imitation bois est bien fini, les couleurs sont sympa, on peut les sélectionner ou les faire défiler</t>
  </si>
  <si>
    <t>Parfait Adaptés à ma Selphy CP 1300 le nombre me permet de tenir longtemps sans en racheter. Bon rapport qualité prix</t>
  </si>
  <si>
    <t>Belle idée cadeau Ce joli coffret fera une belle idée cadeau de naissance. Constitué de 3 biberons en verre, ils sont d'une qualité indéniable. Les deux grands biberons de 270 ml et un petit de 150 ml sont équipés de tétines plates anti-colique. Les capuchons et les bagues de serrages sont en plastique transparent de couleur saumon. Les capuchons se retirent d'une simple pression du pouce, ce qui est pratique lorsque bébé occupe déjà le second bras ! Les mesures sont indiquées très clairement sur le verre des biberons. Elles sont facilement lisibles. Des petits dessins animaliers bleus et saumons décorent une face des 3 biberons. Une sucette anatomique premier âge vient compléter cet ensemble de qualité. Joli coffret emballé dans un carton décoré.</t>
  </si>
  <si>
    <t>Isolation phonique de très bon niveau Je l'utilise depuis plusieurs semaines et j'en suis très content. Le niveau de restitution du son est de très haut niveau et les bruits ambiant son très atténués . Livré avec un étui en plastique dur de forme ovale de type coque rigide et aussi pour le transport un mousqueton de bonne qualité. Un câble jack et un usb, le tout rangé dans l'étui protégé par un filet de transport pour le maintien. Utilisation bluetooth ou jack . PC / Smartphone/ Tablette / Chaîne Hifi / TV...... Très satisfait de mon achat.</t>
  </si>
  <si>
    <t>Vans Mon fils en content et m'ai dit qu'elles sont très confortable alors , je recommande ce produit aus acheteurs !</t>
  </si>
  <si>
    <t>bon produit bon rpoduit</t>
  </si>
  <si>
    <t>Attention Attention quand vous prenez le pack xl il n'y a que 6 fond des biberons et 6 bagues du haut avec tétine et capuchon  et non 12 cela n'est pas spécifié dans le descriptif . Cela reviens cher pour avoir à la finale que 6 biberons complet , 6 juste le milieu 1 sucette 2 tetines taille 2 et les 2 autres accessoires.  Il devrait y être noté dans me descriptif</t>
  </si>
  <si>
    <t>Très mal fini Comme pull</t>
  </si>
  <si>
    <t>Dommage Belle qualité malheureusement trop étroit,  mon conjoint n'a pas pu le porter et je ne ai pas pu le renvoyer, frais de port trop élevé</t>
  </si>
  <si>
    <t>Montre pour adolescent Bon rapport qualité prix. Montre fidèle à la photo mais attention au petit diamètre. Très vite livrée. Montre à offrir à ses enfants.</t>
  </si>
  <si>
    <t>Évaluation globale avec VIDÉO/TUTO &lt;div id="video-block-R31F3WWPKLHUSG"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src="https://images-eu.ssl-images-amazon.com/images/I/E1ndPlpVDiS.mp4" style="position: absolute; left: 0px; top: 0px; overflow: hidden; height: 1px; width: 1px;"&gt;&lt;/video&gt;&lt;/div&gt;&lt;div id="airy-slate-preload" style="background-color: rgb(0, 0, 0); background-image: url(&amp;quot;https://images-eu.ssl-images-amazon.com/images/I/A1kXlF0IVLS.png&amp;quot;);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value="https://images-eu.ssl-images-amazon.com/images/I/E1ndPlpVDiS.mp4" class="video-url"&gt;&lt;input type="hidden" name="" value="https://images-eu.ssl-images-amazon.com/images/I/A1kXlF0IVLS.png" class="video-slate-img-url"&gt;&amp;nbsp;Ce produit vous est présenté en VIDÉO, je vous invite à la visionner  Points positifs :  - Livraison en temps et heure  - Colis soigneusement emballé  - Esthétiquement agréable  - Petite taille, discret  - Mode d’emploi très simple et clair  - Facilité d’usage  - Branchement du produit par le fond du socle (discrétion du fil)  - Fourni avec un doseur millimétré  - Remplissage aisé avec le doseur, graduation maximale de dosage marquée d’un trait dans le diffuseur  - Un bouton à droite permettant une diffusion en mode intermittent (par fonctionnement/arrêt de 30 secondes) ou au contraire continue  - Un bouton à gauche permettant une programmation aléatoire ou au contraire choisie des couleurs  - Palette de couleurs énorme, beaucoup de teintes différentes  - Utilisation comme brumisateur à visée d’humidificateur possible (sans mettre de gouttes d’huiles d’essentielles), permettant de rafraîchir des nuits d’été ou au contraire humidifier un air asséché par les radiateurs l’hiver  - Fonctionnement silencieux  Points négatifs :  - La graduation maximale est difficile à atteindre précisément car elle est peu transparente donc difficile de voir jusqu’où on a rempli le diffuseur (globalement je vise toujours en dessous)  - Il est petit donc forcément il va fonctionner quelques heures mais pas plus , ensuite l’eau sera consommée  - Il n’a pas de réglage quantitatif de la force de brumisation,en revanche le produit a pris la préférence de tabler sur la possibilité d’un mode aléatoire (cf ci dessus)  - La coloration du brumisateur tient plus d’une coloration uniquement du diffuseur que d’un éclairage à proprement parlé ; ne pas compter éclairer une pièce avec  Total : satisfaction globale</t>
  </si>
  <si>
    <t>TOP ! Malgré peu de vapeurs L'article est top. Point fort : son design, sa grande contenance, ses fonctions, sa simplicité d'utilisation. Point faible : peu de vapeur, le bruit s'entend tout de même</t>
  </si>
  <si>
    <t>tres bien c'est mon premier diffuseur. donc mon avis n'est pas forcement pertinent. mais le produit fait le job. ma piece de 80m² est surement un peu trop grande , mais on sent bien différentes ambiances dans la pièce.</t>
  </si>
  <si>
    <t>Cireuse Super. Juste le doseur cirage ne fonctionne pas bien. Sinon super achat</t>
  </si>
  <si>
    <t>Une bonne découverte Voila des histoires que je découvre avec notre fille et elle adore. De petites histoires assez bien tournées,de bonne longueur pour lire le soir et idéal lorsque les enfants commencent à lire. Un bon cadeau d'anniversaire a offrir.</t>
  </si>
  <si>
    <t>Converse as always Pas de surprises pour ces converses qui taillent comme d'habitude une bonne demi-taille au-dessus des autres marques. La couleur est douce et convient bien à une jeune fille (11 ans et des poussières).</t>
  </si>
  <si>
    <t>Jolie Super bon produit je suis très surpris par la qualité du bracelet ca fait un super effet sur les filles merci Amazon je recommande super beaux .</t>
  </si>
  <si>
    <t>Jolie paire de chaussures Trop cool et stylé</t>
  </si>
  <si>
    <t>Nickel Taille parfaite, mon fils est content de cet achat</t>
  </si>
  <si>
    <t>Je recommande Peinture niquel pour les enfants. Ne tâche pas.</t>
  </si>
  <si>
    <t>très bon produit mon fils porte tous les jours sa montre pour allez a la fac, ,il en est très content de son design, sa couleur, etc...</t>
  </si>
  <si>
    <t>Je recommande Coffret très jolie, biberon adapté à ma fille qui ne veut que ceux la.</t>
  </si>
  <si>
    <t>Excellents ecouteurs J'utilise ces écouteurs dans le bus, quand je fais du vélo ou lorsque je suis sur l'ordinateur. Ils résistent bien à l'epreuve du temps, j'en change a peut près tous les ans. (3 ans de suite que je prends les mêmes) Ces ecouteurs sont pour moi les meilleurs du marché : un son parfait, ils sont confortables et on n'entend pas ce qu'on ecoute lorsqu'on est en public.</t>
  </si>
  <si>
    <t>Résistant même mouillé. J'adore ce papier, il absorbe, je peux le mouiller et nettoyer avec, il est résistant. J'avais déjà acheter pour essayer, je suis convaincue. Bravo Amazon.</t>
  </si>
  <si>
    <t>Parfait Tout parfait !</t>
  </si>
  <si>
    <t>Incroyable Incroyable</t>
  </si>
  <si>
    <t>Une tuerie le desing Livraison rapide et Le son est top et la batterie dure longtemps. Contient également des embouts de rechange. Je recommande</t>
  </si>
  <si>
    <t>la  qualité depuis  2014  achats  fantastique  produit  exceptionnel  confortable  solide...  6  paires  commandées  pour  des  amies  tous  satisfaits  4  ans  de  bons  services  a  ce  jour  .......</t>
  </si>
  <si>
    <t>Super sac très bonne matière de sac a dos, ça se porte très bien sur mon dos l apprécie toutes les poches : il y en a partout, des grandes , des petites, des cachées Il est très imperméable et le fait qu'on doive le plier pour le fermer permet que ce soit très sécurisé et qu'on choisisse la taille. La poche du dessous est très pratique pour le sport,</t>
  </si>
  <si>
    <t>Je valide Très bond micro je suis étonnée de la qualité vraiment superbe juste le câble micro vers alimentation fantôme qui m’a lâcher mais suffit d’en racheter un</t>
  </si>
  <si>
    <t>Pas top J'ai pas aimé les poils qui ont tendance à s'ecarter J'ai aimé d'ergonomie du manche</t>
  </si>
  <si>
    <t>Sans intérêt Mon fils n'a pas mieux dormi. C'était une tentative un peu désespérée... Le collier n'est pas beau, la qualité est médiocre. En même temps, à ce prix on ne peut pas espérer grand chose.</t>
  </si>
  <si>
    <t>Matière différente de se qu'on peut voir sur l'image, mais pas mal, très léger Frère</t>
  </si>
  <si>
    <t>Deux fois le casque était défectueux. Très bon son Bonjour, J'ai reçu deux beyerdynamic que j'ai testés 1 mois chacun. Les deux présentaient les mêmes Défauts : Le câble mono jack''simple'' créait des interferences couplé à une carte son Asus phoebus (qui fonctionne correctement j'ai testé d'autres casques) De plus les deux casques mmx 300 2nd génération avaient le micro défectueux pour les deux. Un grésillement continue se faisait fortement entendre empêchant toute communication. Pour ce qui est du son il est en revanche très bon. Après 4h de jeu environ on commence à ressentir le casque qui comprime un peu les tympans mais cela reste normal. Je l'ai payé 299€ (septembre 2017) Soyez plus chanceux que moi.</t>
  </si>
  <si>
    <t>Modèle un peu feminin Conforme</t>
  </si>
  <si>
    <t>Bon produit, mais... Très bel article visuellement, bien que muni d'un câble (court), je pense qu'il est plus destiné pour écouter de la musique sur son téléphone en bluetooth . Nombreuses fonctions, par touches discrètes sur le tél. Symbole lumineux changeant de couleurs sur les écouteurs. Même par grand vent, il restera bien en place, vu qu'il enserre bien la tête...Un peu trop peut-être !...L'écoute est de qualité assez bonne, les oreillettes de tailles plus importantes, seraient plus confortables . Sinon rapport tarif, il est au top.</t>
  </si>
  <si>
    <t>Adidas Les baskets sont superbes, j'ai pris en blanc et argenté.  Au niveau de la taille par contre, ça taille petit, d ou mon retrait d une etoile J'ai pris ma taille habituelle, je suis un peu serrée dedans( heureusement j'ai les pieds très fins, donc ça le fait quand meme). Plutôt satisfaite de mon achat.</t>
  </si>
  <si>
    <t>Qualité en relation avec le prix Bon, on ne va pas se mentir, à 130 € on ne s'attend pas à quelque chose de très haute qualité.  Néanmoins le produit est de bonne facture pour son prix, facile à mettre en œuvre et à réserver à une utilisation nomade. Finition correcte sans plus. Le repose tête et sa structure sont en plastique, en "plastoc" même. Reste à savoir comment cela va vieillir. Les accoudoirs inutiles et dont la fixation est une hérésie en terme de mécanique sont bon à mettre à la poubelle dès le départ. On oublie le grotesque 1100 kg de charge statique, mettre 1 tonne sur cette table n'a aucun sens et les sois disant 270 kg en dynamique relèvent de l'annonce publicitaire ridicule ou d'un vrai gout pour le suicide. Pour des personnes de poids moyen jusqu'a 80-100 kg aucun problème, au delà il faudra être vigilent si le massage est vigoureux et entraine des mouvement significatifs de la structure surtout de façon répétée. En résumé, je recommande ce produit dans la mesure ou son utilisation reste raisonnable si on veut qu'il dure, a savoir des massages classique sur des personnes de poids non stratosphérique. Se range derrière une porte, un peu pénible à remettre dans sa housse mais cela reste anecdotique.</t>
  </si>
  <si>
    <t>Basket Très bien</t>
  </si>
  <si>
    <t>Bonne qualité, vraiment parfait Je prevois une taille de plus que la normale, et cest vraiment parfait</t>
  </si>
  <si>
    <t>5 étoiles Qualité supérieure. J'ai ma femme et moi un et c'est génial - très heureux</t>
  </si>
  <si>
    <t>Cartouche canon Cartouche d'origine canon, contient une cartouche couleur et une cartouche noir, impression de bonne qualité, bon rapport qualité prix. Livraison rapide. Bien protégé dans le colis. Je recommande.</t>
  </si>
  <si>
    <t>Montre Casio Bon trés bonne montre facile à s'en servir, toujours à l'heure grace à son systéme radio piloté , je suis entièrement satisfait de mon achat.</t>
  </si>
  <si>
    <t>Belles et agréables à porter. Très belles chaussures.</t>
  </si>
  <si>
    <t>Table au top 👌 Top top top pour le prix yai vraiment top facile à monter en 5 min très confortable très très bonne qualités 😍😍😍</t>
  </si>
  <si>
    <t>Nickel Rien à dire. Nike c'est " The " marque ! Ma soeur est plus que ravie de sa brassière. De plus elle est bien moins chere ici qu'en magasin. Pas de transparence. Très bon maintien ( Sur un bonnet Ç/D ) JE RECOMMANDE !</t>
  </si>
  <si>
    <t>très efficace Après quelques applications seulement, les pattes de mes poules sont devenues bien plus belles.</t>
  </si>
  <si>
    <t>Produit utile produit reçu bien emballé et plus tôt  rapide  Acheter pour ma nièce qui vient de naître 3 en 1 ça permet la stérilisation , séchage et chauffage du lait , facile à utiliser et rapider  juste en quelque seconde pour chauffer du lait ou lait maternel Et il a une grande capacité il peut contenir 6 biberon à la fois La stérilisation et séchage peuvent se effectuer en même temps ça fait gagner du temps C’est  vraiment recommandable</t>
  </si>
  <si>
    <t>HP Pack 2 Cartouches Jet d'encre Originale N° 302 Blist Noir + Couleur Livraison rapide. Rapport qualité prix impeccable. Merci !</t>
  </si>
  <si>
    <t>Très bon produit Je l'adore !</t>
  </si>
  <si>
    <t>elles sont parfaites Rien à redire. Arrivées avec  quelques jours d'avance, bien emballées, très bonne matière, chaussure qui se tient, taille parfaite. Je les adore</t>
  </si>
  <si>
    <t>Exacompta 18272E Recharge Exatime 17 Semainier... EXA10 Tous les ans, je prends cette recharge qui contient parfaitement tout ce dont j'ai besoin : sobriété, lecture rapide, fiabilité, prix correct.</t>
  </si>
  <si>
    <t>Adidas Stan Smith blanche Très belle Stan Smith mais ne répond pas à mes attentes car trop grosse sur le devant :-(. En tout cas Amazon a été très pro pour le retour et pour  le remboursement ultra rapide merci Amazon :-)</t>
  </si>
  <si>
    <t>200 Crochets d oreilles j ai commander ces crochets d oreilles pour fabrication bijoux mais malheureusement j ai pas reçu les boucles commander elles sont gris math .Moi j ai penser recevoir de l argenté brillant  maintenant  faut que je rachète autre boucles d orelles</t>
  </si>
  <si>
    <t>Qualité La taille est quelconque La couleur non conforme Plutôt un chiffon qu’une petite robe.</t>
  </si>
  <si>
    <t>Livraison ok Livraison 2 jours plus tard que le délai maxi indiqué. Boîte à chaussure explosé même si au finale, la chaussure ne presentait aucun defaut: j'ai eu peur ! Produit conforme à ma commande.</t>
  </si>
  <si>
    <t>Déçu Chausse trop petite ... les premières à la pointure vraiment trop petite , renvoyé à mes frais pour une pointure au dessus et encore trop petite .. bref un achat inutile</t>
  </si>
  <si>
    <t>Article très pratique C'est exactement ce que je recherchais. Pratique pour remplir les compotes maison. Je n'arrêté pad de m'en servir depuis que je l'ai reçu. Je recommande.</t>
  </si>
  <si>
    <t>Confortable et robuste Je suis sur tous les chantiers de construction ou d'archéologie, gravas, béton, boues... Les boots sont imperméables , confortables et chaudes. J'ai pris ma taille habituelle et je n'ai pas eu de soucis. On verra dans la durée.</t>
  </si>
  <si>
    <t>Reebok En commandant ses chaussures je savais qu'il fallait prendre une taille en moins car elles taillent grandes. Elles sont confortables juste au niveau du tissu il se déforme facilement, la livraison a bien été dans les délais, je les recommande à tous malgré quelques défauts.</t>
  </si>
  <si>
    <t>Efficace Un coupe vent efficace, un peu grand en taille M (1,60 m). En vert il est sympa !</t>
  </si>
  <si>
    <t>Bon produit Produit de bonne qualité Manque la facture car utilisation professionnelle</t>
  </si>
  <si>
    <t>Puma Superbe et qualitative cependant prévoir une taille en dessous</t>
  </si>
  <si>
    <t>bonne qualité. Ce papier photo est de très bonne qualité,pas que sur une imprimante photo HP mais également sur d'autres imprimantes de marques différentes.</t>
  </si>
  <si>
    <t>RAPIDITE ++++++++++ Produit identique à ma commande, c'est bien des vraies cartouches BROTHER, pas de surprise si ce n'est au niveau de la livraison : IMPOSSIBLE DE FAIRE PLUS VITE QU AMAZON!!!!!! Je recommande +++++++++++++++++ car ULTRA rapide. RAVIE!</t>
  </si>
  <si>
    <t>10 Cartouches d'encre Très bonnes cartouches d'encre. Durabilité, qualité des couleurs, compatibilité. Pour moi c'est un excellent choix. Je recommande ces cartouches à toutes et tous. " fonctionne sur ma Canon TS 5050 "</t>
  </si>
  <si>
    <t>J’ai pris le risque en vue du prix.J’ai été très surpris par sa qualité et son confort !!! A voir maintenant si ça tient le temp Super confortable 😍 je recommande ce produit. Belle coupe, très bonne qualité. À voir avec le temps si ça tient</t>
  </si>
  <si>
    <t>Tout à fait ce que j'attendais. Ces pinceaux me conviennent parfaitement, tout à fait ce que j'attendais.</t>
  </si>
  <si>
    <t>Classe Emballage  dans une petite boîte  c est agréable  supers élégant  classe et j ai  acheté  aussi la bague  (dommage pas de petitre boite)</t>
  </si>
  <si>
    <t>Parfait Beau design, facile à utiliser dans toutes les fonctions, se règle facilement et s'adapte parfaitement sur les oreilles sans trop serrer tout en isolant des bruits extérieurs - je le recommande</t>
  </si>
  <si>
    <t>Recommandé Très conforme</t>
  </si>
  <si>
    <t>confortable tres bien et confortable</t>
  </si>
  <si>
    <t>Pratique et resistant Tres résistant, convient pour les enfants. Couleur conforme Reçu dans les delais</t>
  </si>
  <si>
    <t>Très satisfait !!! J'ai acheté ce produits car j'avais des démangeaisons du cuir chevelu, grâce à cette petite brosse, mes souci sont résolut, mes cheveux respire enfin ! . En plus de nettoyer en profondeur, il vas masser le cuir chevelu en profondeur ce qui procure en petit effet relaxant, Bonne prise en main, facile à nettoyé, bon rapport qualité prix !!!  je recommande !</t>
  </si>
  <si>
    <t>Bijou raffiné Ce bracelet est très joli et élégant, le fermoire est pratique. Ce bijou est conforme a l’annonce. Je recommande ce produit.</t>
  </si>
  <si>
    <t>Training Taille m parfait pour un ados de 14 ans merci</t>
  </si>
  <si>
    <t>reçu un autre modèle! Déçu car je trouver ce modèle très beau mais j'ai reçu un autre modèle bleu &amp;amp; rose moins joli !</t>
  </si>
  <si>
    <t>Ne las satisfait Tres bas qualite . Je croix ce un copie pas cher . Epuis chaque douche je obliger de sechee pendant un demi journee ...</t>
  </si>
  <si>
    <t>pas de cable adaptateur reçu sans l'adaptateur jack 6.5mm</t>
  </si>
  <si>
    <t>Confort Travail</t>
  </si>
  <si>
    <t>Légère mais pas assez rembouré au niveau de la coque en métal Elle sont légère et agréable à porté, mais le seul souci que j'ai c'est que je sens un peut trop la coque en métal sur le gros doigt de pied, donc à la longue c'est douloureux .</t>
  </si>
  <si>
    <t>Attention au cable J'avais besoin de faire des voix pour des maquettes en home studio. J'ai pas fais attention au cable qui est bien XLR femelle pour le micro mais un jack 3.5 pour la carte son. j'aurai préféré du XLR des 2 cotés, notamment pour l'utilisation du phantom C'est de ma faute car c'est bien indiqué dans la description</t>
  </si>
  <si>
    <t>Pas mal Bon produit. reçu ce jour, en fonctionnement. Petits bémols : - matière plastique, super léger. - la partie supérieure n'est pas fixée, pas solidaire de la partie inférieure. Elle est juste posée : manipulation de l'ensemble assez difficile (glissant et pas de prise).</t>
  </si>
  <si>
    <t>Sympa Très jolie juste un peu petit bonne  qualité</t>
  </si>
  <si>
    <t>bon mais loin d'être parfait! transports</t>
  </si>
  <si>
    <t>Super Superbe kit oreillette Bluetooth, le jumelage avec iPhone XS Max se fait rapidement en quelques secondes, le design est top, le port de charge indique le pourcentage d’autonomie, la qualité du son est bien même quand on pousse le son, il est complet on peut tout faire... je suis content de mon achat</t>
  </si>
  <si>
    <t>Joli coffret d'huiles essentielles Très joli coffret d'huiles essentielles, avec 8 flacons et un guide qui indique dans quel cas les utiliser. Je recommande ce coffret, idéal pour offrir !</t>
  </si>
  <si>
    <t>Parfait Très impressionnée par la qualité de ses écouteurs</t>
  </si>
  <si>
    <t>bien taillé et excellent maintien pour les fortes poitrines Je suis ravie de ce produit qui affiche un excellent rapport qualité prix, les femmes ont besoin de cet accessoire absolument pas glamour pour faire du sport sans douleurs supplémentaires ! Top !</t>
  </si>
  <si>
    <t>Heureuse de mon achat! Je suis entièrement satisfaite par mon achat. Je cherchais une montre étanche pour natation en mer, avec des chiffres analogiques bien lisibles et lumineux dans l'obscurité. Elle n'est pas trop lourde pour une femme. Si le poignet est fin, il faudra seulement un trou en plus dans le bracelet tissu.</t>
  </si>
  <si>
    <t>Magnifique Magnifique ma fille les adore , les lacets sont super , il y a une paire type ruban et une paire type lacets très  large ..</t>
  </si>
  <si>
    <t>Tout est parfait Elles sont juste PARFAITES !</t>
  </si>
  <si>
    <t>contente ! Offert à une personne à qui cela convient très bien. La quantité, l'aspect bio, le conditionnement et la facilité d'utilisation contribue à un très bon rapport qualité prix.</t>
  </si>
  <si>
    <t>Saccoche Cette saccoche est super . Moderne ,Compact, mais incroyablement pratique, car beaucoup de rangements.tres beau tissus. Belle idée de cadeau</t>
  </si>
  <si>
    <t>très jolie elle a produit l'effet souhaité.</t>
  </si>
  <si>
    <t>Ecouteurs de bonne qualité !! Ils tiennent bien la charge , boite batterie pratique !!</t>
  </si>
  <si>
    <t>besoin d'un renseignement j'aimerais acheter ce genre de chauffe biberon nomade , mais peut on mettre n'importe quel marque de biberon ou uniquement ceux de la même marque ??</t>
  </si>
  <si>
    <t>Bensimon noires Commande de Bensimon noires à un prix trouvé nulle part ailleurs. Produit nickel et livraison parfaite comme d'habitude</t>
  </si>
  <si>
    <t>deçu la chaine est devenu toute noir et est irrécupérable! je m'attendais pas çela. je la porte donc presque plus. cela faisant dégueulasse!</t>
  </si>
  <si>
    <t>Taille trop petit, le lien qui relie la paire a abîmer le tissus. Je chausse du 41, et ai donc pris du 40-41. Taille beaucoup trop petit, le talon dépasse a l'arrière et je marche sur la semelle, génial !  De plus la sorte de petit fil en plastique qui relie la paire est bien prise dans le tissus, impossible a enlever, et a abîmer le tissus extérieur.  Je me retrouve avec des chaussons que je ne mettrai pas, génial :)  Je ne recommande pas.</t>
  </si>
  <si>
    <t>Non conforme Qualité très médiocre et non extensible ce n'est pas un jogging</t>
  </si>
  <si>
    <t>Bien Pull très agréable à porter, tailler comme prévu. La fermeture éclair s'est un peu abîmé à force de lavage c'est pour cela que je met que 3 * Mais vu le prix, je vais surement m'en racheter un d'une autre couleur.</t>
  </si>
  <si>
    <t>Petit prix ..super Le côté rétro me plaisait..très jolie ..mis à part la chaîne..difficile de tout avoir à un petit prix..mais je ne regrette pas mon achat..en petit cadeau d'amitié elle a fait plaisir ..merci</t>
  </si>
  <si>
    <t>Très contente de mon achat J'ai eu cette paire de chaussure pendant les prime day à -50%. Elles sont top et taille très bien. Je les ai prise blanche car plus féminine de cette couleur. Elles sont confortable et paraissent solide! Je suis très satisfaite de mon achat.</t>
  </si>
  <si>
    <t>Confort J'ai aimé le temp de livra à était respecté.</t>
  </si>
  <si>
    <t>Conforme Pour ma fille</t>
  </si>
  <si>
    <t>Je conseil fortement Livraison dans le délai, produit de haute qualité.  Je conseil fortement.</t>
  </si>
  <si>
    <t>Ras Produit conforme et livraison raide</t>
  </si>
  <si>
    <t>brosse à reluire Cette brosse, en crins de cheval, telle les brosses d'antan, est  juste parfaite, Les crins, doux et souples, sont très bien adaptés à l'entretien des cuirs et  les font reluire en quelques mouvements, sans les agresser.</t>
  </si>
  <si>
    <t>Bon état Produit reçu en très bon état et fonctionnelle ! Aucune trace, aucune tâche, cadran protégé par le film.</t>
  </si>
  <si>
    <t>Nickel Produit nickel tous les collègues de ma femme l’envie nickel 👌</t>
  </si>
  <si>
    <t>top super fonction très bien avec mon imprimante epson xp 445 dés la mise en route du changement de cartouche message indiquant que ce n'est pas la bonne encre mais après plus rien impression top j'adore merci</t>
  </si>
  <si>
    <t>Utile jusqu’au bac Pour mon fils qui est au lycée</t>
  </si>
  <si>
    <t>super pour tenir chaud en hiver très bon produit, qui fait le boulot qu'on lui demande, ni plus ni moins permets de garder les pieds bien chaud pendant l'hiver ;)</t>
  </si>
  <si>
    <t>bon rapport qualité/prix Mon mari chausse 44 et ces tongs crocs 43/44 sont de bonne taille. Elles semblent solides, et les motifs en relief à l'intérieur des tongs sont très agréables aux pieds, d'après mon mari, les couleurs sont superbes aussi.</t>
  </si>
  <si>
    <t>Victoria Excellent elle sont superbe</t>
  </si>
  <si>
    <t>Très beau produit Très beau collier avec de belle finition qui ravira votre chérie lorsqu'elle découvrira le cadeau.  Si vous cherchez une idée de cadeau, ce collier est le cadeau idéal</t>
  </si>
  <si>
    <t>Bluffée ! Ces chaussures remplissent toutes leurs promesses ! Elles sont chaudes et confortables tout en étant légères. Je recommande aux pieds frileux.</t>
  </si>
  <si>
    <t>OK, sans problème La montre bracelet est conforme à l'attente, et marche correctemenr. Pas de problemes avec cet onjet. C'est trés correcte comme qualité / prix.</t>
  </si>
  <si>
    <t>Parfait Tout à fait conforme aux attentes</t>
  </si>
  <si>
    <t>Je recommande L'enveloppe extérieure est mince, parfaitement coupée et facile à installer. Convient pour les téléphones mobiles.</t>
  </si>
  <si>
    <t>Rendu metallique du son musique Très simple de connection mais le rendu musique est beaucoup trop métallique dommage car ce principe d'oreillettes est pas mal Retour donc chez Amazon</t>
  </si>
  <si>
    <t>Se décolle très vite Sa ne tiens pas dans le temps ont retrouvé des étiquettes décoller partout</t>
  </si>
  <si>
    <t>De bien voir les caractères Je n'ai pas aimé les caractères il sont trop petits</t>
  </si>
  <si>
    <t>Bon... pour le prix seulement On ne peut pas s'attendre à grand chose pour le prix mais la qualité d'impression n'est pas celle que j'imaginais, il y a beaucoup de bavure et l'encre n'est pas sec après impression, si bien qu'elle peut tâcher vêtements, papiers, meubles, etc... Il faut compter 2 min de séchage.</t>
  </si>
  <si>
    <t>galaxy buds cool</t>
  </si>
  <si>
    <t>xm-8500 Behringer Tout d'abord très  robuste et bon fabrication....le son est comme le concurent sure sm 58. d'alleurs le nom ressemble bien sm-xm...58—85oo...chercher l'erreur...pour une quart de prix...juste prévoyez de changer le support...(trop dur!!!)</t>
  </si>
  <si>
    <t>confort chaud et confortable, ideale en cette saion</t>
  </si>
  <si>
    <t>produit comme j'en attendais ras</t>
  </si>
  <si>
    <t>Bonne machine à biberon Machine à biberon très pratique. L'eau est chauffée très rapidement. Idéal quand le bébé n'est pas patient. Joli design.</t>
  </si>
  <si>
    <t>New balance Très beau modèle très confortable.</t>
  </si>
  <si>
    <t>Top, taille parfaite Taille parfaite, très confortable pour une utilisation quotidienne.</t>
  </si>
  <si>
    <t>Excellente qualité Excellente qualité sonore couplé à un réducteur actif de bruit très performant. le casque est relativement léger, son autonomie est excellente, on peut l'utiliser pour passer des appels et le bluetooth le libère du fil qui peut quand même être utilisé dans les avions qui interdisent les appareils bluetooth.</t>
  </si>
  <si>
    <t>Essai transformé Je suis autant un grand buveur de café que de thé, et autant les machines à dosette de café me sont connu, tout modèle confondu, autant pour le thé... C'est une grande première.  Ce qui m'as le plus choqué, c'est la vitesse à la quelle le breuvage est prêt, quand on connais le temps nécessaire pour l'élaboration d'un bon thé.  Le gros point fort, c'est la température, ont est sur que l'eau n'est pas trop chaude, l'infusion est donc parfaitement maîtrisé, la facilité de mise en service fait que maintenant le matin que je n'ai pas le temps, je peux enfin décider de prendre un thé dosette, la machine fait tout à ma place et j'ai juste à prendre ma tasse.  Et justement le goût, je suis trèèèèsssss exigeant sur le thé, et bien j'ai vraiment était surpris par la qualité et la saveur de ceux contenus dans les dosettes de la marque.  Au final, c'est comme pour les dosettes de café, ont préférera toujours le café fraîchement moulu ou le thé en vrac, mais quand on à pas le temps où beaucoup d'invité, c'est quelque chose qui est rapide et facile, en posséder une facilite grandement la vie et permet de boire sa boisson préfère même quand le temps nous manque</t>
  </si>
  <si>
    <t>PARFAIT! Vraiment enfin j'ai trouvé la montre que je cherchais ! Polyvalente, jolie et simple d'utilisation j'ai trouvé cette montre vraiment formidable en effet elle m'a aidée dans mon travail et dans la vie quotidienne. Je la mets aussi bien pour sortir que à la maison de plus vous pouvez absolument tout faire depuis votre montre sans avoir à utiliser votre téléphone. Le bracelet tient très bien et je n'ai pas eu de problème avec. Le rapport qualité-prix est super et la définition de l'écran parfaite. Un produit à voir absolument je recommande totalement !</t>
  </si>
  <si>
    <t>Brillant et précis Mes enfants voulaient des couleurs de princesse et là ils ont été satisfait pour dessiner dés arc en ciel et château fantastique</t>
  </si>
  <si>
    <t>Parfait Très bon casque, on me l'avait déjà offert pour noël il y a 5ans et malheureusement après des heures et des heures d'utilisation, il a rendu l'âme. J'ai donc décidé de recommandé le même casque car il délivre un super son et tiens très bien dans le temps.  Je recommande les yeux fermés cet article.</t>
  </si>
  <si>
    <t>C'est du Lacoste, rien à dire Coupe parfaite, confort bonne sensation à porter, j'aime...</t>
  </si>
  <si>
    <t>Botte comfortable, typique pour l'hiver Normalement, la taille d'un botte va pa être 100% adaptée. C'est un gros botte pour l'hiver. Ainsi, il y'a de l'espace à l'intérieur. La taille de mon pied est 40, peut-être il me faudrait choisir le 39.5, le botte n'est pas 100% serré à mon pied, par contre, il est confortable !</t>
  </si>
  <si>
    <t>Sweet Achetė pour mon fils et il adore car la matière est très douce, le colori correspond bien à la photo.</t>
  </si>
  <si>
    <t>tjrs délais respectés emballage impeccable À voir dans le temps</t>
  </si>
  <si>
    <t>Très bon produit Très bon produit. La brosse est efficace, les poils sont souples et ils nettoient parfaitement toutes parties des biberons y compris la tétine rapidement.</t>
  </si>
  <si>
    <t>montre Joli montre pour un poignet fin. Elle fonctionne à la perfection. De plus la montre vous est livré sur un présentoir parfaitement protéger et emballé. Je recommande ce vendeur</t>
  </si>
  <si>
    <t>Nous ne sommes pas trompés sur la qualité... Très  belles baskets....de très belle qualité...ce cadeau a beaucoup plu...</t>
  </si>
  <si>
    <t>le top 👍 Le top...je cherchais une paire de chouze jolie et surtout confortable, géox l'a fait....cette série nébula est vraiment géniale, j'ai ma marque de chaussures...les yeux fermés on n'achète.👍</t>
  </si>
  <si>
    <t>Chaussure inconfortable Chaussure très inconfortable et rigide . Achat décevant .</t>
  </si>
  <si>
    <t>C'est pa vraiment argent C'est ne pas une Argent C'est un métal simple J'ai perdu mon l'argent Pour rien 😏</t>
  </si>
  <si>
    <t>trop court!!! Cette serviette est bien trop courte pour rester bien en place sur notre cou.Il manque facilement 10 bon centimètres.A eviter!</t>
  </si>
  <si>
    <t>Livré à temps et comme espéré Cadeau qui a plu avec le collier correspondant</t>
  </si>
  <si>
    <t>Guide des tailles complétement faux le guide des tailles est complétement faux, pour ma part j'ai pris la taille 42,5 EU qui correspond à 26,2 cm selon leur guide des tailles, malheureusement en vérité 42,5 EU ça correspond à 27 cm, c'est vraiment du n'importe quoi leur guide des tailles...</t>
  </si>
  <si>
    <t>Satisfait Très bon achat. Reçu en parfait état sous 3 jours.  La montre est vraiment belle. Je conseille cette montre pour ceux qui sont amenés a travailler dans des conditions difficiles ou en extérieur mais aussi pour la vie de tous les jours. (Beau design )</t>
  </si>
  <si>
    <t>vans bordeaux ma fille chausse du 39 le 38 était trop juste elle a du prendre du 38.5 la c'était parfait ; coloris très mode passe partout et ne fait pas un grand pied grâce à la grosse semelle elles sont assez étroites</t>
  </si>
  <si>
    <t>g shock -g ce que je voulais belle montre plus que sur la photo car les aiguilles et les repères sont brillant inox et pas blanc prix défiant toute concurrence plus gris foncé que vraiment noir mais néanmoins superbe pour la qualité je ne me fait pas de soucis on verra dans le temps</t>
  </si>
  <si>
    <t>Simple &amp;amp; Efficace Le chargement de la cassette ruban est très simple et la prise en main de la machine est tout aussi facile. La plus grande surprise vient de l'alimentation externe 9V DC avec le pole positif à l'extérieur (très rare !). Bonne machine que j'espère avec une durée de vie longue !!?!</t>
  </si>
  <si>
    <t>Nikel Mon fils tres content</t>
  </si>
  <si>
    <t>jolie, mon mari en est contant C'est un cadeau pour mon mari. Elle est très bien mais mériterait d'être un tout petit peu plus grande</t>
  </si>
  <si>
    <t>Super Correct Aucune mauvaise surprise</t>
  </si>
  <si>
    <t>Beau produit Renvoyé mais chaussures de très belle qualité</t>
  </si>
  <si>
    <t>Klarstein Dr.watsonXXL Bonjour je vous remercie elle présente bien elle a l'air très douce on ne peut l'essayer car c'est un cadeau pour Noël</t>
  </si>
  <si>
    <t>très relaxant et bluffant J'ai déjà un peigne manuel pour masser le cuir chevelu mais il faut une action humaine et quand on se le fait soit même, la détente n'est pas la même qui se quelqu'un nous le fait et il n'est pas aisé de trouver des volontaires. Là je suis autonome, je le pose sur la tête, il tient parfaitement et ne tombe pas, j'appuie sur le bouton du dessus et choisis entre les 2 mots (par saccade ou en continue) et l'appareil vibre, procureur de réelles sensation de détente. J'ai une préférence pour le saccadé. Très bon produit qui remplit ses promesses. J'adore</t>
  </si>
  <si>
    <t>detartrage!! super détartrant  très efficace pour les cafetières a dosettes résultat " vu"  au niveau de la cuve a eau !!</t>
  </si>
  <si>
    <t>J’aime bien! mon bebe narrive pas  boire autre biberon, aime que Biberon Mam !</t>
  </si>
  <si>
    <t>TOP TOP TOP TOP TOP TOP</t>
  </si>
  <si>
    <t>Bracelet très flatteur. Pour harmoniser une tenue d'été. Couleurs bleu turquoise très bien pour l'été. Je ne les met pas dans l'eau pour ne pas altérer l'élastique.</t>
  </si>
  <si>
    <t>Chaussure decontracte/elegante Conforme a la photo, prendre la taille habituelle aucun  souci. belle couleur marron fonce, se marie facilement avec ttes les couleurs</t>
  </si>
  <si>
    <t>To Trop classe ! Très bon produit à recommander à</t>
  </si>
  <si>
    <t>Article que j utilise depuis longtemps Entretien machines à laver li he et vaisselle</t>
  </si>
  <si>
    <t>Très mignon Très mignon je le porte sur un collier de la même marque. Correspond tout à  fait à  la photo.</t>
  </si>
  <si>
    <t>Longt trop longt Si vous êtes pressé c est pas le bon plan 10 jours pour être livré</t>
  </si>
  <si>
    <t>Arnaque...passez votre chemin !! Absolument scandaleux d'envoyer un collier aussi oxydé que celui que j'ai reçu (photo jointe) Une chaîne neuve ça  ? Mon œil !!! Obligée de renvoyer !!</t>
  </si>
  <si>
    <t>A fonctionné 1 mois... De mauvaise qualité. La batterie après avoir été chargé au max est déchargé quand le casque est débranché.. Le casque a fonctionné 1 mois a peine....</t>
  </si>
  <si>
    <t>RAS sans plus pour pas cher</t>
  </si>
  <si>
    <t>Jolie couleur Effectivement il est assez petit mais la couleur est vraiment belle par contre l'ouverture se fait par le rabat ce qui assez compliqué car cela fait une grande portion de cuir a explorer avant d'arriver au fond  .Il est beau mais si j'avais su j'en aurais prie un autre .</t>
  </si>
  <si>
    <t>efficace ce produit est efficace pour les douleurs niveau nuque et vetebre. le pot est assez gros. je le recommande vivement</t>
  </si>
  <si>
    <t>Confortable, et bonne tenue. Taule un peu juste, mieux vaut prendre la taille au dessus. Mais ça reste un produit très sympas et confortable.</t>
  </si>
  <si>
    <t>super l inscription est tres fine le strass et le coeur pas trop gros parfait super !!!</t>
  </si>
  <si>
    <t>La taille Je les utilisent pour le travail dommage qu’elle sois un peu grand mais bon rapport qualité prix</t>
  </si>
  <si>
    <t>Super Génial!!! J'adore Pas besoin d'acheter un tableau, une ardoise ou gaspiller une quantité de feuille astronomique pour faire réviser mes enfants comme à l'école... Vous voulez connaitre mon secret??? Ces super stylos magiques :) Grace à eux, mes baies vitrés, la fenêtre de la cuisine ou la fenêtre des chambres des enfants me servent de tableaux pour les faire réviser. Et quand on a fini de travailler on a juste de besoin d'une feuille de papier sopalin sèche (pas besoin de la mouiller) on essuie la vitre et il ne reste rien! C'est G-E-N-I-A-L</t>
  </si>
  <si>
    <t>Légères et agréables à porter Je chausse entre 42 et 43 suivant les marques et là le 43 me va parfaitement. Les chaussures sont légères et très agréables à porter. Très content de cet achat.</t>
  </si>
  <si>
    <t>Sympa et confortable Ma fille est très contente car elles sont très confortable et maintenant elle me demande de la neige 😂😂😂😂😂</t>
  </si>
  <si>
    <t>Bon produit magnifique ensemble de jogging merci.</t>
  </si>
  <si>
    <t>qualité au rendez vous Cadeau pour une amie espagnole qui a pu les prendre en main en quelques minutes. La fonction anti bruit est opérationnelle pour l'avoir essayé sur une grande avenue, le bruit extérieur ne parasite pas notre musique. Le boitier de recharge est solide et il s'ouvre sur simple pression. Pour recharger les oreillettes il suffit de les mettre dans le boitier qui est solide, très simple d'utilisation. L'utilisation des oreillettes est vraiment très simple, et la notice disponible en anglais, espagnol et français est utile. IL suffit d'effleurer une oreillette, peu importe le côté pour mettre en pause, un appuie un peu plus long pour répondre à un appel.. Plus besoin de sortir le téléphone de ses poches pour faire quelque chose.</t>
  </si>
  <si>
    <t>Casque Audio Marshall Major III Filaire Surpris mais très content de mon achat - Qualité,Robustesse,écoute conforme - je m'en sers tous les jours pendant des heures sur ma TV. Samsung -</t>
  </si>
  <si>
    <t>Réveil lumiere J'ai acheté ce réveil pour la fille . Reveil ideal pour les enfants , tres simple d utilisation , et les sonneries du reveil  sont tres agreables . Les lumières sont des veilleuse super agréables... un achat que je ne regrette pas ! Il va m en falloir un second pour ma deuxième fille !</t>
  </si>
  <si>
    <t>Fun La capuche s'ajuste bien sur la tête.</t>
  </si>
  <si>
    <t>Bien Très satisfaite mais un peu petit</t>
  </si>
  <si>
    <t>parfait parfait en taille et matiere</t>
  </si>
  <si>
    <t>Super collection Livres extrêmement bien adaptés au CP étant moi même maman d'un petit garçon en Cp ainsi je maîtresse de CP. Ces petits livres sont attendus avec impatience par nos jeunes lecteurs</t>
  </si>
  <si>
    <t>Rémi note 7 La commande est arrivée très vite bien emballée. C'est la version globale, avec 64 Go tout est parfait En ce qui concerne le produit, la qualité / prix incroyable. La batterie dure jusqu'à 2 jours entière, l'appareil photo est d'excellente qualité avec 48mega pixel ,portable fonctionne très bien  satisfait de l'achat je le recommande à 100%</t>
  </si>
  <si>
    <t>article reçu Article reçu et conforme à la description du vendeur. Un grand merci!</t>
  </si>
  <si>
    <t>Rapport qualité prix Parfait pour mon usage, des petites soirées entre amis ....</t>
  </si>
  <si>
    <t>J'adore Terrible, écouteurs très pratique avec la boîte de rechargement qui indique le taux de recharge Le son est très bon. Je les adore</t>
  </si>
  <si>
    <t>pas traduis en langue francaise l'imprimante fonctionne bien pour le moment mais on na le choix dans les paramétrage que de choisir l'espagnol, le portugais ou l'italien, dommage.</t>
  </si>
  <si>
    <t>Avis Déçu ,le produit ne reflète pas la même qualité en vrai de la photo.</t>
  </si>
  <si>
    <t>Pas satisfait Défauts au niveau des bandes, mal cousues.</t>
  </si>
  <si>
    <t>Un échantillon sympa  de pkudieurs huiles essentielles pour vous ou en idee de cadeau Reçues dans,les délais assortiment sympa il y en a pour tout les goûts ! Idee de cadeau qui devrait plaire aux amoureux de l'aromatherapie je ne regrette pas mon  achat et je l'utilise selon mon humeur tout les jours,dans mon diffuseur</t>
  </si>
  <si>
    <t>Une boîte doseuse pratique, même au quotidien ! Cette boîte doseuse proposée par Philips Avent permet de réaliser la mise de côté de trois doses de lait en poudre. Elle s'avère pratique car elle est démontable : en effet, elle est composée de trois parties (couvercle, pot avec séparateurs et pot principal), afin de garantir un nettoyage parfait. Elle ne prend pas énormément de place dans le sac à langer. Une fois de bébé a grandi, on peut utiliser le pot principal afin de stocker un autre aliment à l'intérieur (purée, compote...).  Attention cependant à la capacité de stockage de chaque répartiteur : vous pourrez y mettre 8/9 cuillères de lait par emplacement.</t>
  </si>
  <si>
    <t>Prendre une taille en dessous Bonnes chaussures de sécurité qui font leurs boulot mais attention elles taillent grand ! Prendre une taille en dessous</t>
  </si>
  <si>
    <t>Très confortables Chaussures vraiment confortables, on a du mal à revenir à des chaussures à lacets après les avoir portées. Cependant, dans la couleur que j'ai choisie (dark brown) le cuir marque très vite, que ce soit en cas d'eraflures ou bien au niveau des pliures qui se créent à l'usage. Donc les chaussures ne restent pas d'aspect impeccables bien lontemps, même si les coutures et les semelles semblent bien conçues pour durer.</t>
  </si>
  <si>
    <t>La marque RODE Micro excellent dans son genre.  Je suis YouTubeur et streameur sur Twitch et l'utilise donc pour ce genre d'activités, ainsi que l'enregistrement de chansons. Que ce soit donc pour du podast, du stream gaming ou de la musique, il est très efficace et polyvalent.  Seul bémol, mais là je "critique" plutôt la marque directement, la position dominante de RODE qui gonfle les prix de son matériel. En effet, le trépied fourni est très très bien (le micro ne tombe pas), mais il sera préférable d'avoir une perche (et seule une perche RODE est compatible, comptez alors environ 80€ + support pour tenir le micro sur la perche, environ 60€. Soit un total de 140€ pour les accessoires supplémentaires, ce qui au final, donne un prix total assez conséquent.  Mais cela n'enlève rien au produit, qui est de qualité professionnelle, et la qualité se paie tout de même.</t>
  </si>
  <si>
    <t>Bon produit.. Satisfait du produit!!!</t>
  </si>
  <si>
    <t>au top ! comme toujours amazon et c'est bon plan ! moitié prix que les autres produis pour de la bonne qualité ! il m'aurait fallu un mètre de plus mais sinon c'est parfait !</t>
  </si>
  <si>
    <t>Parfait Permets d’avoir une qualité de son supérieur pour mon iPhone pour peu d’investissement et de place. Je vous conseil de prendre la rallonge pour une liberté de mouvement car le micro n’est pas Bluetooth.</t>
  </si>
  <si>
    <t>Casque très confortable Casque avec prises jack, donc nous sommes libres d'ajouter un microphone ou autres accessoires. Je m'en sers autant pour écouter de la musique que pour jouer ou regarder des vidéos. Rien à dire à part super</t>
  </si>
  <si>
    <t>Très bien Très confortable pour l’hiver. Le bleu navy est mieux aperçu sur la page de Superdry, il n’est pas brillant (ma preferance). Le prix était comment en soldes du magasin (mais pas de ma taille là). Épaules un peu serré, je recommande prendre 1 taille de plus en cas de doute). Emballage correcte et c’est originale de superdry. Satisfait.</t>
  </si>
  <si>
    <t>Livre simple pour le début d'apprentissage de la lecture Ma fille de 6 ans et demi finit sa grande section de maternelle et rentre en CP l'année prochaine. Ces petits libre sont super pour le début de la lecture. Ma puce adore</t>
  </si>
  <si>
    <t>tres bon produit Des cartouches moins chères que  Canon et aussi efficace en impression documents. J'ai  cherché des compatibles MG 5750 et j'ai trouvé ce modèle j’espère qu'il sera longtemps proposé à la vente.</t>
  </si>
  <si>
    <t>Ecouteur Excellent ecouteur la qualiter et le design est top et les maniabiliter est facile et tres fluide</t>
  </si>
  <si>
    <t>Esthétique et pratique 👌 J’ai hésité longtemps avant d’acheter ce modèle car il y a toujours des personnes insatisfaites. Je ne regrette pas mon achat. Cette bouilloire est élégante et moderne. Certes, elle est imposante mais les dimensions sont indiquées. J’apprécie : - le fait de pouvoir choisir différentes températures, - son maintien au chaud, - sa grande contenance, par rapport à mes besoins. J’ai retiré une étoile au motif que l’intérieur est en plastique. À ce prix là, on est peut-être en droit d’attendre de l’acier inoxydable.</t>
  </si>
  <si>
    <t>À acheter. Parfaitement invisible et confortable.</t>
  </si>
  <si>
    <t>Rien à redire Parfaitement fonctionnel, je l'utilise depuis quelques jours, j'ai même l'impression que mon appareil tient mieux la charge qu'avec le chargeur d'origine.</t>
  </si>
  <si>
    <t>Je peux Y rien dire Très bonne qualité</t>
  </si>
  <si>
    <t>Fait le job et plus Correspond très bien à ce que j'attendais attention elle débite vraiment beaucoup avec une sortie de 50 mm 250 l / mn et ils y sont , un conseil prenez les raccord pour la sortie avec la pompe et il me semble qu'il y a le tuyau aussi</t>
  </si>
  <si>
    <t>Super Super lot arrivé très rapidement, les lingettes sont bien imbibés</t>
  </si>
  <si>
    <t>Résistantes et bien adaptée Tétine convenant  parfaitement aux besoins d'un nourrisson. Tétines très résistantes par rapport aux modèles précédents. Biberons pratiquent et bien penses !!</t>
  </si>
  <si>
    <t>Chaussure qui rétrécit avec le temps Ne portez pas ce genre de chaussure en temps de pluie, les miennes ont rétrécis à cause de ça et se sont meme déformés. Durée de vie de cette paire de lacoste, environ 6 mois en utilisation classique (en ville).</t>
  </si>
  <si>
    <t>DECEPTION Quelle déception! Le grenat ressemble à du plastic, les fleurs en argents sont disposées sur le cöté du «&amp;nbsp;grenat&amp;nbsp;» et donc on ne voit pas bien le motif. Ressemble à une bague de pacotille.....</t>
  </si>
  <si>
    <t>Veste légère et fine La veste est jolie mais très fine... dommage</t>
  </si>
  <si>
    <t>Adaptateur special iPhone X J'ai suis plutot Apple concernant les smartphone car ils sont très ergonomique mais leurs ports specifiques sont très penibles. Les EarPod sont pas mal mais ce seul modele permet de s'adpater a ce type d'iPhone. Et son on le perd ou il s'abime il faut racheter le même. Je recommande plutôt l'adaptateur de cette prise specifique-port mini usb (que j'ai aussi) qui permet toute variété de casques (et revient moins cher)</t>
  </si>
  <si>
    <t>Chauffe biberon Chauffe bien. Très pratique. Chauffe biberons de toute taille et petit pot. Trop gros pour la voiture. Ne fait pas de bruit des qu'il s'arrête.</t>
  </si>
  <si>
    <t>Bon rapport qualité prix Pas pour faire du sport. Élastique trop serré au-dessus</t>
  </si>
  <si>
    <t>Bien L'histoire plaît beaucoup au enfants et les illustrations sont très belles.</t>
  </si>
  <si>
    <t>Tres bien Très bien pr les céréales mais il ne faut pas mettre la dose indiqué sur en a boîte sinon ca ne coule toujours pas ou abec difficultés.</t>
  </si>
  <si>
    <t>Conforme à la description Produit original, parfait.</t>
  </si>
  <si>
    <t>Parfaitement parfait !!!!!!!! Génial super formidable !!!!! Je recommande à 200% car ca masse vraiment bien après une journée de travail où je ne fais que piétiner !!! Ca détend vraiment bien et la chaleur que ca diffuse est vraiment légère</t>
  </si>
  <si>
    <t>Sympa Original, joli, assez flexible, solide</t>
  </si>
  <si>
    <t>Conforme,  confortable, équipe à l'écoute Produit conforme à ce qui est marqué sur le site. Très beau produit, très confortable. Quand au service après vente, réponse rapide et vraiment très très compétent. Je recommande vivement à tout le monde. Je referais appel à ce site qui propose des très beaux produits</t>
  </si>
  <si>
    <t>Parfait !! Reçu très rapidement très bon emballage. Très confortables agréables à porter pour de longues ballade. Contente de les avoir !!</t>
  </si>
  <si>
    <t>Super petite encyclopédie .... conforme à la description, parfait pour un petit cadeau utile !</t>
  </si>
  <si>
    <t>Tétines MAM Très bonnes tétines, en silicone souple. Bébé apprécie boire ses biberons avec ces tétines.  Mam est vraiment une excellente marque pour les accessoires bébé. S'adapte parfaitement avec nos biberons achetés en pharmacie.  N'hésitez pas à me dire juste en dessous si mon commentaire vous a été utile :)</t>
  </si>
  <si>
    <t>Très bon rapport qualité prix Bonne taille... il faut se fier a la table des tailles</t>
  </si>
  <si>
    <t>Très bons tennis Bon produit, très agréable et pratique sans lacets</t>
  </si>
  <si>
    <t>SU-PER Tétine très fine et malléable avec pleins de petits trous donc bébé peut s amuser à mâchouiller pour faire sortir aisément les bouts de nourriture ( j’ai testé avec des petits morceaux de banane) Passé au lave vaisselle sans problème et se nettoie rapidement à la main également En bref, super gadget bébé pour lui faire goûter tout un tas de choses là où on aurait peur qu’il s étouffe quand il n’a pas assez de dents, satisfaite !</t>
  </si>
  <si>
    <t>BEL ALBUM POUR LES PETITS Une belle histoire de NOEL avec un graphisme de qualité!  Un joli conte sans Père Noël.  A conseiller à tous les enfants.</t>
  </si>
  <si>
    <t>Pratique Je l'ai acheté pour pratiquer du sport, la taille que j'ai demandé correspond parfaitement (je suis taille 40/42, j'ai commandé taille L), le tissu est souple au toucher et étirable. A recommander.</t>
  </si>
  <si>
    <t>Très satisfait Mon mari recherchait une montre à affichage digital et bracelet acier, pas toujours facile à trouver ! Celle-ci est belle, pas trop grosse, légère, facile à utiliser et à régler pour un prix très abordable. Ce cadeau a donc été fortement apprécié !</t>
  </si>
  <si>
    <t>EXCELLENT Bon pull.</t>
  </si>
  <si>
    <t>Comfortable Très comfortable</t>
  </si>
  <si>
    <t>Pas convaincu Ne tient pas en place, glisse et s’arrache ...dommage car la sensation de fraîcheur est bien là.</t>
  </si>
  <si>
    <t>Bas de gamme Le talon n'ai pas aligné avec le reste de la chaussure</t>
  </si>
  <si>
    <t>Chaussettes tout a fait ordinaires Ces chaussettes sont tout simplement ordinaires (mis à part leur prix exorbitant). J'ai les mêmes problème d'ampoules qu'avec des chaussettes standard bas de gamme</t>
  </si>
  <si>
    <t>Bof Pour la maison, un peu fin pour un pull «&amp;nbsp;d’hiver&amp;nbsp;», il y a des poches ce qui est un point positif ainsi qu’une capuche</t>
  </si>
  <si>
    <t>Expérience mitigée Sympas d'un point de vue esthétique et confortables une fois qu'elles se sont "données".  Petite blessure de frottement à l'arrière car la chaussure est fort rigide au niveau du talon d'achile. Il a fallu insister et que je mette du sparadrap pour éviter les blessures pendant quelques temps. Niveau confort la chausse l'est mais je ne recommande pas pour les grandes balades. La semelle est un peu fine. Chaussures pour moi en dessous des standards Puma auxquels je suis habituée.</t>
  </si>
  <si>
    <t>Pantalon  de sport La matière est bien épaisse, mais il est trop large!</t>
  </si>
  <si>
    <t>Elles ne sont pas adaptées pour conduire, car une peu lourde pour de la marche, impeccable par contre un peu lourde car compensée et surtout l'inconvénient ne convient pas trop pour de la conduite en voiture, car on ne sent pas trop les pédales. Sinon elles sont très jolies et une belle forme aux pieds.</t>
  </si>
  <si>
    <t>Conforme à l'attente Conforme à l'attente</t>
  </si>
  <si>
    <t>J adore Colis reçu dans les temps petit sachet avec une pochette noir mais pas de casse plus cas voir si la qualité  ça durer dans le temps . Juste les ecritures  ne se voient presque pas</t>
  </si>
  <si>
    <t>Je recommande Pas du tout déçue par les chaussures et par le service Amazon. Je recommande de prendre une taille en dessous de sa taille habituelle.</t>
  </si>
  <si>
    <t>Bonne qualité sonore J'avais envie d'essayer un autre modèle et comme je voyais beaucoup de mes amis avec un casque j'ai décidé d'opter pour ce modèle qui me paraissait assez design et pas trop chère. Ce casque est très agréable a porter et est règlable pour les petites et les grosses têtes, les ""coussinets"", enrobent bien mes petites oreilles. Niveau qualité sonore c'est également plus que satisfaisant, les basses sont bien présente et l'immersion est pas mal du tout. L'insonorisation est bonne et les voisins n'entendent pas ce que vous ecouter lorsque vous êtes dans les transports en commun par exemple. Pour ce qui est de la place il se replie tres tres facilement et peut mettre dans le sac sans prendre de place. C'est qu'il peut être sans fil ou filaire, en chargeant pendant 3 heures, je peux l'utiliser pendant longtemps. Un bon rapport qualité/prix, je le recommande.</t>
  </si>
  <si>
    <t>confortable Envoi rapide, rien à dire plus très confortable et chaud agréable à marcher prix cher bien sûr rien à dire de plus</t>
  </si>
  <si>
    <t>Pour un linge qui sent bon Ce produit est naturel, et écologique. il sent vraiment bon. Désormais en ligne on peut commander des adoucissant meilleurs et plus efficaces qu'en magasin. je ne connaissais pas cette marque et dorénavant j'en suis ravi. Il est vendu en paquet de 3 et étant ultra concentré il n'ya pas besoin d'en mettre beaucoup pour une lessive.</t>
  </si>
  <si>
    <t>Raccorder un pc a un moniteur télé Materiel de qualité professionnel .</t>
  </si>
  <si>
    <t>Beaucoup de bienfaits sur la maison Depuis que nous brûlons régulièrement du papaier d'Arménie l'ambiance familiale s'appaise considérablement. Nous le brûlons avec une intention d'amour sur les personnes qui y ont vécu afin qu'elles poursuivent leur vie de leur côté</t>
  </si>
  <si>
    <t>Bonne qualité d'écoute Malgré son aspect massif il est léger et bénéficie d'une bonne qualité de son......</t>
  </si>
  <si>
    <t>Baskets Reçu rapidement ces baskets ont l'air d'être robuste... A voir dans le temps. Mon fils y est très bien dedans. Taille ok. Bel aspet fais très bon effet sur le pieds. Juste un peu lourde mais ne gêne en rien.</t>
  </si>
  <si>
    <t>Topissime Topissime</t>
  </si>
  <si>
    <t>Rapide et soigné Envoi rapide et soigné. Je recommande.</t>
  </si>
  <si>
    <t>Belles vans Très belles vans hautes. Mon fils est ravi et sera très beau cet hiver. Couleur conforme à la photo publiée.</t>
  </si>
  <si>
    <t>sécurisant facile à nettoyer et à stériliser. solide. peut être donné à bébé en toute confiance. Tient très bien en mains. L'ergonomie est très bien faite</t>
  </si>
  <si>
    <t>Pas mal du tout Très jolie petite bouilloire,idéal dans ma salle de bain  pour chauffer l’eau pour me raser ,la cerise sur le gâteau plusieurs températures automatiques différentes et chaque température avec une couleur différente.</t>
  </si>
  <si>
    <t>Très bon câble ! Malgré des avis négatifs, ce câble n'en a pas pour moi. Il est conforme à mes attentes et remplis parfaitement sa fonction ! Je recommande.</t>
  </si>
  <si>
    <t>Déception Apairage extrêmement aléatoire voire impossible. Casque en plastique bas de gamme. Gros format de casque qui devient inconfortable en 30 minutes. Je ne recommande pas.</t>
  </si>
  <si>
    <t>Très déçue, taille trop petit Très déçue, ne correspond absolument pas à la pointure.</t>
  </si>
  <si>
    <t>Bon casque mais il y a un mais... Curieux d'utiliser la conduction osseuse j'achète ce casque en double pour savoir ce que cela vaux ainsi que pour le faire tester. Le son est bon mais pas tout le temps, on sent le casque pesé mais c'est passable. Prenez en compte le fait que le casque n'ira pas à tout le monde et chacun entendra d'une façon différente. Je dirait que les bon points sont : le fait de pouvoir continuer d'écouter le monde autour ( avantage de la conduction osseuse) des boulquies sont fournis ( mais l'impression d'être dans une bulle), le son est pas trop mal. Mauvais points : le son bas est presque inaudible voir inaudible ( inconvénients de la conduction osseuse vous me direz ou bien de ma grosse tête), à contrariot le son élevé s'entend de très loin, ça m'as mis en tête l'image d'écouteur massant qui ne font que vibrer malheureusement. Pour conclure il s'agit d'un bon produit mais vous avez tout intérêt à trouver le juste milieu ( dans tout les sens du terme) pour l'utiliser correctement.</t>
  </si>
  <si>
    <t>Bon produit sportswear Bon produit. Bellesbroderies. Attention, taille pile poil. Si voud etes entre M et L par exemple...prenez L. Dommage leger manqud de classe avec les énormes cordons bariolés noir rouge vert de la capuche.</t>
  </si>
  <si>
    <t>Bon sac Conforme</t>
  </si>
  <si>
    <t>Bien Bien Légère sensation de plits sous les pieds lorsque je marche avec</t>
  </si>
  <si>
    <t>belles tongs Je suis ravie de ma commande, la pointure est parfaite,de bonne qualité, modèle simple mais sympa  je recommande le produit.</t>
  </si>
  <si>
    <t>Génial Je viens à peine de l'utiliser que déjà j'en suis fan Il est trop beau Pratique d'utilisation Joue déjà son rôle Je le recommande vivement</t>
  </si>
  <si>
    <t>top top</t>
  </si>
  <si>
    <t>Très beau produit Parfait</t>
  </si>
  <si>
    <t>Produit de qualité J'ai un peu peur pour sa durée de vie mais en somme le produit est vraiment de qualité pour le prix, je suis agréablement surpris</t>
  </si>
  <si>
    <t>Parfait Très content de cette montre, qui change d'heure toute seule, sans problème. Le réglage du bracelet est très simple. Le cadran est bien lisible</t>
  </si>
  <si>
    <t>confortable Très confortable, sans problème au lavage,la taille est adaptée , rien à dire si ce n'est pour conseiller ce modèle,</t>
  </si>
  <si>
    <t>Conforme à ma commande. Bon rapport qualité /Prix. Mise en place discrète... Produit abordable. Très bonne qualité/prix. Reste très discret après montage. Le rendu sonore est très bon. Je conseille ce produit.</t>
  </si>
  <si>
    <t>Beau produit Beau produit, facile d utilisation</t>
  </si>
  <si>
    <t>super Mon mari les apprécie beaucoup elle sont confortable et costaud jolie même avec un jeans il en est très satisfait</t>
  </si>
  <si>
    <t>Puissante mais complexe Super calculatrice, très puissante mais par contre il faut lire la notice pour pouvoir l'utiliser</t>
  </si>
  <si>
    <t>Taille impeccable Pas de défaut de taille vraiment parfait</t>
  </si>
  <si>
    <t>Belles chooses Ce sont des Converse, un style intemporel. Je les adore et ma fille est jalouse, donc on lui a commandé les mêmes. Le blanc, c'est salissant, mais tellement élégant.</t>
  </si>
  <si>
    <t>Philips , les meilleurs ? Oui carrément , pour moi il n'y a pas mieux que les Avent pour tout ce qui touche les affaires de bébé . Pas de cochonnerie dedans , solide , efficace , et jolie , que demander de plus ! Le tarif pique un peu , mais la qualité se paie .</t>
  </si>
  <si>
    <t>Elégant et discret Super diffuseur, discret et peu encombrant et par dessus tout élégant avec son aspect bois. Pour s'en servir, rien de plus simple, enlever le couvercle, mettre de l'eau avec quelques gouttes d'huiles (3-4 suffisent), mettre en marche et le parfum se diffuse tout seul Les + c'est l'auto stop quand il n'y a plus d'eau et l'éclairage multi-couleur. Si vous voulez un diffuseur pas cher, adoptez-le.</t>
  </si>
  <si>
    <t>Nickel et rapide Super achat pour min fils</t>
  </si>
  <si>
    <t>Manque de qualité ! Très déçue par cette trousse  !!!! Certains crayons ont la mine cassée , et d'autres plus courts que les autres  comme s'ils avaient déjà servi !!! J'espérais plus de qualité et de sérieux !!!</t>
  </si>
  <si>
    <t>Chaussures non adaptées Malheureusement, ces baskets ne me conviennent pas du tout. Après les avoir portées une heure, elles m'ont blessé les pieds. Impossible de marcher avec.</t>
  </si>
  <si>
    <t>Pas adapté. Chaussure très joli, et confortable. Mais ce sont les seules qualités pour des chaussures de cuisine. En effet celle ci glisse énormément ce qui n’est pas du tout adapté quand on travail en cuisine</t>
  </si>
  <si>
    <t>agenda agenda impeccable tres bien agencer,seul petit defaut la couverture en plastic noir trop mince.je pense qu'il ne dureras pâs l'année</t>
  </si>
  <si>
    <t>Classe et fonctionnel Un mélange d'élégance et de praticité. Très bon sac pour le boulot (administratif), pourvu de plusieurs compartiments de rangement  sans être encombrant pour autant. Je le recommande.</t>
  </si>
  <si>
    <t>Pas mal Bonne taille logo sur le pec gauche par contre fermeture inversé galère sinon bien pr le prix</t>
  </si>
  <si>
    <t>étiquettes autrocollantes Facile d'utilisation, elles se collent facilement sur les vêtements en coton, nylon et synthétique. Pas assez de recul pour juger cet article après plusieurs lavage.</t>
  </si>
  <si>
    <t>bon son qualité prix ok</t>
  </si>
  <si>
    <t>Vous serez pas déçu de cet article Stérilisateur au top . Convient a tout type de biberons. Je suis ravie de cette achat</t>
  </si>
  <si>
    <t>parfait Bon rapport qualité prix, gros rouleau acheté l'an dernier il m'en reste encore pour cette année voir l'année prochaine</t>
  </si>
  <si>
    <t>joli! très joli, qualité impec. petit bémol... les dimensions. Un peu petit ... : un portefeuille, un paquet de kleenex, les clés maison et voiture, et il est plein... Le meme en plus grand! :)</t>
  </si>
  <si>
    <t>Super Super couleur, beau produit, bien adapté à la tête des enfants, réglage facile, très bien et certains adultes peuvent l'utiliser aussi quand ils piquent le baladeur de leur enfant!</t>
  </si>
  <si>
    <t>Très bien Merci tee shirt est comme sur la photo. Taille parfait</t>
  </si>
  <si>
    <t>Pointeur très léger, compact et performant. J'ai rapidement adopté cet appareil car il répond à toutes mes attentes en matière  de fonctionnalités et de facilité d'utilisation. Il est hyper léger et compact, restant discret et tenant facilement dans une main. Sa prise en main est ès rapide et facile. Cerise sur le gâteau : son prix imbattable !</t>
  </si>
  <si>
    <t>Top Trop bien. Confortable. Elle ne prennent pas l eau par temps de pluie contrairement a mes anciennes d une celebre marque. Ce sont des chaussons. Le petit plus est le reflet du air a la lumiere. Tres bonne qualite pr 1 si petit prix j adore ;)</t>
  </si>
  <si>
    <t>Très bien J'ai acheté ces cartouches à la place des originales, et ça marche très bien.</t>
  </si>
  <si>
    <t>Magnifique Il est juste magnifique et le bruit et adorable</t>
  </si>
  <si>
    <t>Très bien Excellente qualité, très facile d'utilisation. L'appareil n'est pas très encombrant et plastifie en A3 et A4. Il n'y a qu'un seul bouton de commande avec deux positions et plus de la position "arrêt": plastification à chaud ou à froid (dans ce dernier cas, il faut apparemment utiliser des pochettes spéciales pour la plastification à froid, je n'ai pas essayé) La plastification est rapide et de qualité. Les accessoires sont utiles, peut-être un peu "cheap" mais pour une utilisation d'appoint c'est parfait. Très bonne plastifies, à conseiller.</t>
  </si>
  <si>
    <t>Satisfait de mon achat. Casque Bluetoot, qui fait bien son travail, la qualité du son est super, on entend plus les bruits extérieur, une fois la musique lancé ont est vraiment projeté dans notre musique c'est extra. La boîte contient le câble USB pour recharger la batteries et d'un prise jack double sens avec un manuel d'utilisations en français, anglais, japonais,espagnole et italien. En brefs je suis satisfaite de mon achat, adieux les casque à files.</t>
  </si>
  <si>
    <t>Très satisfaite ! Je suis très satisfaite de cette petite veste qui est très pratique et agréable à porter. Je recommande !</t>
  </si>
  <si>
    <t>Prix intéressant Bonne affaire! Odeur intense même plusieurs semaines après utilisation</t>
  </si>
  <si>
    <t>Qualité / Prix Bon rapport qualité/prix petit sac qui va me suivre un peu partout. A voir sur la longueur mais lui correspond bien a ce que recherchais ;)</t>
  </si>
  <si>
    <t>Très coquin XD Le livreur trop beau ne peut qu’on embellir ma journée Je suis très chatouilleuse et ça me fait bcp rire j’adore très efficace agréable à utiliser je l’utilise pour mes cheveux et mon cou</t>
  </si>
  <si>
    <t>Mediocre Acheté piur du sport produit de très mefoicre qualité.</t>
  </si>
  <si>
    <t>Trop petit Attention taille petit</t>
  </si>
  <si>
    <t>Pas de Prime sur ce produit Annoncé en Prime, ce produit n en bénéficie pas. Une semaine pour être livré. Attention ce sac est petit. Pensez à vérifier les dimensions</t>
  </si>
  <si>
    <t>Attention taille Faire attention à bien prendre la taille brezilien.. Si on chausse 37/38 prendre le 37/38 brazil pas eu..car j ai commander 37/38 EU et j ai reçu du 35/36 ..</t>
  </si>
  <si>
    <t>trop grand les Converses taillent grand, il faut prendre une pointure en dessus de ce que vous mettez habituellement sinon le produit est parfait et correspond parfaitement à la photo</t>
  </si>
  <si>
    <t>Belles mais taillent grand Elles sont très belles mais malheureusement ça taille grand</t>
  </si>
  <si>
    <t>Très jolies Belles basket très légères agréable à porter on dirait être dans des chaussons elles sont vraiment très confortables.</t>
  </si>
  <si>
    <t>Encre Côté prix et contenance parfait par contre au niveau d impression les couleur son fade je vais voir sur le temps car je viens de les installer et fait quelques impressions</t>
  </si>
  <si>
    <t>Le prix et son style Élastique fragile</t>
  </si>
  <si>
    <t>Content de mon achat Le produit est conforme à ce que j’ai commandé. Ca à fait plaisir à ma mère, mais attention elle chausse un peut grand mais rien de bien méchant</t>
  </si>
  <si>
    <t>Super confortable! J'ai acheté une paire de pantoufles pour moi-même et une paire de pantoufles du même style pour mon mari, mais cela ne m'a pas déçu: les semelles étaient très confortables, douces et très chaudes.  Le style est aussi joli, mon mari l'aime beaucoup!</t>
  </si>
  <si>
    <t>Merci Bonjour j’aimerais vous dire que c’est arrivé comme prévu que c’est bien la bonne taille il y a aucun souci aucune erreur .  Très bonne qualité et puis elles sont super belles en vrai . Merci</t>
  </si>
  <si>
    <t>Super ... MAIS!!! J'adore ces goupillons! Le grand qui tourne, c'est hyper pratique! Et le petit pour les tétines, tout à fait adapté. Ici ils servent pour nos biberons MAM. Mais alors les variations de prix sur amazon...bonjour! Moi je l'ai eu à 4 euros. Je voulais en reprendre un mais je vois que selon la couleur c'est entre 9 et 15 euros maintenant!!! Alors sans moi! Je vais le prendre ailleurs, à 4 euros.</t>
  </si>
  <si>
    <t>parfait je ne vois pas de vraie différence avec les cartouches du fabriquant, ......sauf le prix!!!!</t>
  </si>
  <si>
    <t>Le meilleur pour mes thés à la bonne température Je souhaitais enfin profiter d'une bouilloire capable de me préparer l'eau de mes thés à la bonne température, et avec Kitchenaid c'est toujours le style vintage au service de la qualité ! à acheter les yeux fermés. Pour avoir déjà acheté des produits de cette marque, c'est un investissement au départ mais qui vaut le coup :p</t>
  </si>
  <si>
    <t>Nickel Top 2e paire que j'achète et jamais déçue</t>
  </si>
  <si>
    <t>RAS produit conforme à la description  je recommande cet article par contre il n enlève pas les bruits exterieurs comme le casque avec oreillettes</t>
  </si>
  <si>
    <t>génial Passe très bien dans la plastifieuse avec un résultat impeccable. Mes documents fatigués ont repris vie. on peut même plier le document après.</t>
  </si>
  <si>
    <t>Magnifiques Très beau produit correspondant à l'image et la description. Légères, donc en prendre soins et surtout, surtout, ne pas oublier d'acheter avec, les dos de sécurité pour boucles d'oreilles hameçon: j'en ai racheté une 2ème paire pour avoir perdu une boucle en soirée pourtant bien calme... Je recommande!</t>
  </si>
  <si>
    <t>Bonne impression Bonne qualité d'impression.  Commande reçu rapidement</t>
  </si>
  <si>
    <t>Parfaites Tétine avent originale. Livre rapidement.</t>
  </si>
  <si>
    <t>Très bon produit Nickel</t>
  </si>
  <si>
    <t>joli modèle Belle qualité, sobre, élégant, convient à tous jeunes et moins jeunes Belle présentation pour offrir Bracelet facile à ajuster Voir à long terme</t>
  </si>
  <si>
    <t>Comme sur la photo Très joli collier. Discret comme j’aime. Le fil en nylon a l’air assez solide et la pierre est très belle.</t>
  </si>
  <si>
    <t>Déçue J’ ai acheté ces stabilos pour mon bullet. Je suis déçue, ils marquent mal</t>
  </si>
  <si>
    <t>Bof Chaussures sympa mais au bout d.un jour porte les anneaux des lacets s'enlèvent déjà c'est dommage</t>
  </si>
  <si>
    <t>bracelet femme 2 commande de bracelet et 2 tres decu du  produit l un c est l insigne et l autre les perles  . ( meme pas en une semaine !! )</t>
  </si>
  <si>
    <t>Premier exemplaire défectueux Le collier reçu a un défaut, l'une des petites pierres est manquante... C'est tout de suite beaucoup moins joli. Je l'ai renvoyé et recommandé pour lui donner une seconde chance. Cette fois il est complet.</t>
  </si>
  <si>
    <t>Cher pour ce que c’est mais jolie Acheter pour un mariage, très jolie. Le hic pince large et longue donc juste pour de la deco</t>
  </si>
  <si>
    <t>bien effectivement la sacoche est plus grande que prévue: elle est plus proche du 25x28x12 (en intégrant la poche de devant) Mais elle reste néanmoins de bonne qualité : les doubles aimants sur le devant sont très pratiques pour fermer en toute sécurité la sacoche; la fermeture éclaire à l'intérieure semble solide; et ce qui ne gâche rien, la sacoche sent bon le "vrai" cuir A voir dans le temps comment elle va vieillir.</t>
  </si>
  <si>
    <t>Original Original. Mais une boucle est arrivée cassé... dommage</t>
  </si>
  <si>
    <t>Satisfaite L’article est conforme à mes attentes (dimensions  couleur, matière). La livraison a été un peu plus longue que prévu. Rien de grave Je suis satisfaite.</t>
  </si>
  <si>
    <t>Bon produit Chauffe biberon pratique, dommage qu’il n’ai pas la fonction allume cigare, pour l’emporter dans la  voiture</t>
  </si>
  <si>
    <t>Voyage style 😌 Fait bouillir les 0,8 l au bout de 4min43s. Très content de mon achat. L’avenir nous dira sur sa solidité.</t>
  </si>
  <si>
    <t>Fait bien son job! Look superbe! Conforme aux photos, fait bien son job.</t>
  </si>
  <si>
    <t>Nickel Les meilleurs biberons...!</t>
  </si>
  <si>
    <t>Chouette collier Trop mignon</t>
  </si>
  <si>
    <t>Satisfait la surface du produit est très bonne, le matériau utilisé est de très bonne qualité et il est très facile à utiliser.Très bien utilisé..  Je suis heureux de travailler avec le produit et je l’utilise régulièrement.  Je le recommande!</t>
  </si>
  <si>
    <t>Peu encombrant Ce produit peu encombrant me permet de transporter ma batterie externe, mon smartphone, mon GPS et grâce à sa prise USB  je peux alimenter tous types d'appareils sans problèmes. Je ne regrette pas mon achat pour ce produit de bonne qualité.</t>
  </si>
  <si>
    <t>parfait un article solide et bien designé . merci de l'avoir envoyé aussi rapidement et votre prix est egalement tres interessant , car l'offre qu'il l'accompagne permet de gagner bien plus que l'on ne pense .</t>
  </si>
  <si>
    <t>Très Jolie boucle d’oreille Elles sont très jolies, élégantes, livrées dans un écrin idéal pour offrir. La taille est ni trop grosse, ni trop petite. Le coloris est vraiment sympa et moderne. Elles sont de qualité et agréables à porter. La livraison est rapide. Je recommande.</t>
  </si>
  <si>
    <t>Produit de qualité. produit de qualité avec une résistivité  conforme à  la section spécifiée du cuivre pur.</t>
  </si>
  <si>
    <t>Boucle d'oreille trop mignonne Vite commandée vite reçue. Petit boucle d'oreille que je vais offrir pour une naissance ce WE. Je suis super contente elle sont trop mignonnes. J'espère qu'elle plairont a la maman autant qu'elle me plaise a moi. Petit pochette fournie toute aussi belle fournie pour les ranger. C'est vraiment super. Je recommande.</t>
  </si>
  <si>
    <t>bon produit trés joli</t>
  </si>
  <si>
    <t>pas mal Reçu très vite, bien emballé.  Efficace, facile d'utilisation. Un peu bruyant mais ça n'est pas dérangeant. Vu la taille, on ne l'achète pas vraiment pour sa discrétion.</t>
  </si>
  <si>
    <t>Matière douce Produit est en bon qualité, bon taille, j’ai acheté en couleur bordeaux pour ma mère, elle a bien aimé.</t>
  </si>
  <si>
    <t>génial Se placent bien dans l'oreille, le son est bon. L'étuis est trés beau et j'aime bien l'affichage numérique de la batterie.</t>
  </si>
  <si>
    <t>Recharge agenda Pas de souci de très bonne qualité</t>
  </si>
  <si>
    <t>Pile hs Pile hs au bout de 3 semaines... Retour</t>
  </si>
  <si>
    <t>Très petite qualité Bouilloire très décevante, malgré son joli design. Quelques jours après réception, les leds de l'affichage numérique ne fonctionnaient plus correctement, et un des boutons de réglage de température restait enfoncé en permanence. Mais pire encore, après 6 mois d'utilisation, sans avoir reçu de coup, la bouilloire s'est largement fissurée dans sa partie basse, la fissure semblant jaillir de la jonction entre le verre et le pourtour plastique. Bouilloire donc inutilisable. Mauvais rapport qualité prix à mes yeux. Je déconseille.</t>
  </si>
  <si>
    <t>Bien Coloriage</t>
  </si>
  <si>
    <t>Bien mais taille petit. Belles chaussures bonne qualité, mais taille petit</t>
  </si>
  <si>
    <t>Bien Un peu petit. Conforme à la description.</t>
  </si>
  <si>
    <t>comme à son habitude Amazone , livre toujours tres rapidement , beau produit , à voir sa tenue dans le temps</t>
  </si>
  <si>
    <t>Excellent ! J'ai acheté ce manche long compression dryfit. Il était en promo et bien moins chère que les concurrents ( Adidas ...) Je viens de l'essayer durant la canicule ( 39Degres). Alors pour la compression il agit plus comme une gaine qu'autre chose ( on peut pas chipoter à ce tarif et surtout un vêtement de compression doit être fait sur mesure pour fonctionner ). Cependant le système anti transpiration est très performant. La sueur se voit pas du tout, le maillot est sec très vite. On ressent le souffle du vent très agréable. La qualité semble équivalente au dry fit d'adidas. Conclusion: je recommande !</t>
  </si>
  <si>
    <t>Sympa mais taille un peu juste. Je trouve ce t-shirt un peu juste en M. Il est trop près du corps et pas forcément agréable pour le sport, porté de cette façon. Si vous avez un peu de poitrine vous risquez de vous sentir compressé. Je l'ai donné à ma fille qui mets habituellement du XS et elle se sent à l'aise dedans et compte donc le mettre pour ses activités sportives. Il lui va bien niveau poitrine, peut être un peu long niveau taille, mais elle compte le rentrer dans le pantalon. Elle aime particulièrement les trous pour le passage des pouces&amp;nbsp;! Ce maillot est très léger et souple. Il se lave facilement et sèche vite. La coupe est belle. Donc à vous de voir, mais personnellement je conseille une taille en plus.</t>
  </si>
  <si>
    <t>Excellent Super produit: hygiénique, solide, maniable, facile d'utilisation. Marque Philips. Allez y les yeux fermés !</t>
  </si>
  <si>
    <t>Bonne idée cadeau Sacoche tres belle .elle a beaucoup de rangement finition soignée</t>
  </si>
  <si>
    <t>très bien plutôt élégant pour un pantalon de survêtement .bien taillé</t>
  </si>
  <si>
    <t>Joli bijou Je ne suis pas déçue. Je l'ai acheté pour porter sans charms et il fait un très beau bijou.</t>
  </si>
  <si>
    <t>Très Utile Soulage énormément les sciatiques après être rester dix minutes sur je tapis on ce sent vraiment mieux</t>
  </si>
  <si>
    <t>Légèrement stretch, super coupe, belle couleur Jean légèrement stretch, super couleure (gris foncé très peu délavé) rend bcp mieux que sur la photo. Jean parfait pour une tenue décontractée ou plus habillée avec une chemise et veste. Je recommande !</t>
  </si>
  <si>
    <t>Parfaites C’est chaussures en toiles sont légères mais solides, de très bonne qualités et magnifiques. Elles taillent parfaitement et j’apprécie toujours la petite cerise en plastique enfile sur les lacets. C’est déjà ma quatrième paire et je peux donc affirmer qu’elles durent vraiment dans le temps ! Je recommande a 200% Attention ça reste des baskets relativement plates, donc inconfortable pour de longues balades mais idéale au quotidien, surtout en été. La couleur s’est super sympa !</t>
  </si>
  <si>
    <t>un peu de chaleur. excellente tenue de la chaleur avec le revetement qui agrémente le contact sur le corps je recommande particulierement  ce produit.</t>
  </si>
  <si>
    <t>QUalité au top Table de bonne qualité! je recommande</t>
  </si>
  <si>
    <t>chaussures agréables J'ai acheté ces chaussures pour mon travail , elle sont très légère et très agréables a portées</t>
  </si>
  <si>
    <t>Parfait Taille parfaite, bon rapport qualité-prix</t>
  </si>
  <si>
    <t>Supers livres Réception dans les délais, produit en excellent état. Ma fille adore le rituel de tchoupi. Je ne regrette pas mon achat.</t>
  </si>
  <si>
    <t>Pas déçu Parfait reçu le jour prévu de la livraison.</t>
  </si>
  <si>
    <t>Super tapis Super tapis bien grand,nickel pr l'utilisation que j'en n'ais,dessin jolie,agréable au toucher,puis pr le reste jmet nimp car il me manque 8 mots</t>
  </si>
  <si>
    <t>génial enfin une peinture qui ne tache pas en plus l'odeur est agréable et est trait pour trait celle de notre enfance en maternelle, ha nostalgie quand tu nous tient !!!! , parfait pour les maman soucieuses des habilles et des meubles .</t>
  </si>
  <si>
    <t>très peu concentré J'utilise les huiles avec un diffuseur chauffé par une bougie ( type petite bougie réchauffe plat ), en général, 7 ou 8 gouttes avec de l eau me diffuse une belle odeur qui couvre les odeurs de cigarette ou friture, etc.  avec ces 6 huiles, très peu de parfum, bref déçu, meme si elle sont peut etre naturelles, j utiliserai d'autres huiles beaucoup plus "performantes"</t>
  </si>
  <si>
    <t>Sans armature Maintien pas terrible pour le prix. C'est dommage. Les couleurs sont belles et reste jolie pour les petites poitrine. Se délache vite.</t>
  </si>
  <si>
    <t>Déçu Produit defectueux qui s'abîme très vite. Mes chaussures se sont trouées sur les côtés et il ne s'agit pas de cuir.</t>
  </si>
  <si>
    <t>bon produit conforme a ce que j'ai demandé</t>
  </si>
  <si>
    <t>tissu fin et taille grand Le tissu est fin ce qui rend la casquette souple. De plus, elle est relativement grande: pour ma part, elle "s'enfonce" sur le crâne et touche les oreilles: pas très agréable.</t>
  </si>
  <si>
    <t>A priori bon produit Je dis a priori car difficile de voir ce qu'il se passe à l'intérieur des sachets (ça aurait été mieux s'ils avaient été transparents). Le fait est qu'il me semble que ça ne sent plus l'humidité dans l'armoire</t>
  </si>
  <si>
    <t>Bien pour le prix Il ne faut pas s'attendre à de la grande qualité mais pour des écouteurs d'appoint parfait. Aucun soucis et c'est la deuxième fois que je les commande (j'ai perdu les premiers !)</t>
  </si>
  <si>
    <t>Bon produit assez puissant mais découpes bandelettes un peu longue Bonjour,  c'est un destructeur de document assez puissant, il avale plusieurs feuilles à la fois mais clairement je ne me risquerais pas à lui en mettre 10 ou 12 à moins que cela soit un grammage ultra léger.  Au niveau bruit, il me parait correct, j'ai vu pire, esthétiquement c'est pas trop moche, j'aime les voyants que je trouve pratiques, cela évite de l'oublier sous tension si mal reposer sur ton conteneur, le loquet plastique de sécurité est pratique aussi, il faut appuyer dessus pour pouvoir glisser les documents à détruire (sans risques pour les enfants...), bref c'est un bon appareil, le seul défaut que je pourrais lui reprocher est que les bandelettes découpées sont assez longues (Dimensions des confettis croisés : 5,5 x 0,6 cm).  Je vous recommande cet appareil qui est un bon investissement.  Cordialement</t>
  </si>
  <si>
    <t>Très bon produit mais difficile a connecté en bluetooth Très bonne qualité sonore Le seul hic c est que je n arrive pas a synchroniser les deux en bluetooth peut être un réglage mais la notice ne dis rien la dessus Toujours en recherche d aide pour ce problème</t>
  </si>
  <si>
    <t>Parfait Très bien très bonne ualite</t>
  </si>
  <si>
    <t>Top Parfait fait son travail</t>
  </si>
  <si>
    <t>Montre Pagani design Tres Belle montre Entièrement satisfait</t>
  </si>
  <si>
    <t>Belle qualite Esthetique</t>
  </si>
  <si>
    <t>DU VRAI c est du vrai CASIO ce n'est pas une contrefacon mer......dique comme on trouve sur ebay etc je l'ai reçu en temps et en heures je l'ai depuis plusieurs mois la peinture Or et toujours la montre certe qui peut paraitre un peut petite mais je suis un homme qui aime la discretion et avoir une pendule au poignet ne m'interesse pas ..</t>
  </si>
  <si>
    <t>casio parfait</t>
  </si>
  <si>
    <t>Tout sous la main Cet ensemble de fourniture de bureau est de bonne qualité, l'envoi est soigné et la personne a qui je l'ai offerte a beaucoup apprécié le côté humoristique. Je suis satisfaite de cet achat.</t>
  </si>
  <si>
    <t>Très bien complet et facile d'utilisation</t>
  </si>
  <si>
    <t>TRES BIEN Attention prenez une demi taille en dessous voir une taille ! Je fais du 38 et j'ai pris du 37, elles me vont parfaitement</t>
  </si>
  <si>
    <t>des baskets formidables Comme des pantoufles : le rêve!!! :) De plus article reçu en 24h : extraordinaire!!!!</t>
  </si>
  <si>
    <t>Parfait Nickel</t>
  </si>
  <si>
    <t>bouilloire parfait</t>
  </si>
  <si>
    <t>parfait😍 un cadeau pour ma sœur qui l'a tellement aimé je suis très . En tant que sportive, elle en avais marre des écouteurs dont le fil s'entravait sans cesse, Je lui ai trouvé ces écouteur qui tiennent bien dans les oreilles et ont en même temps un design très jolie, La connexion Bluetooth est triviale (simple et rapide sans même avoir besoin du manuel qui Vient avec). La commande tactile rajoute beaucoup de simplicité l'usage. Écouteurs de très bonne qualité sonore avec une bonne Isolation acoustique. L'affichage du niveau de charge permets de suivre la charge du boitiers et des écouteurs . J'ai beaucoup aimé et je recommande"</t>
  </si>
  <si>
    <t>De très belle qualité je rachèterai cette bouillote, d'ailleur j'en ai deux</t>
  </si>
  <si>
    <t>Soutien gorge J'avais déjà acheté ce soutien gorge en XXL et je l'avais trouvé un peu trop grand, mais celui-ci en taille XL est vraiment trop petit. J'ai trouvé une trop grande différence. Mal taillé</t>
  </si>
  <si>
    <t>Tres déçu Je m’attendais a mieux de chez Klim mais j'ai été deçu par le produit. -Les embouts des écouteurs sont arrivés aplatis . -Certains embouts s’enlève lorsque je les retires de mes oreilles et reste coincés -Lorsque je branche a mon téléphone , les écouteurs en prennent "possession" . Ils activent la musique , la désactive , lance Google. -Les embouts en matière sont sales au bout d'un moments .  Je ne recommande pas le produit :/</t>
  </si>
  <si>
    <t>Bruit infernal - ne marche pas -  À fuir !! Honteux..l’article reçu n’est pas neuf et à déjà été ouvert et il était démonté. De plus ce chauffe-biberon est une catastrophe (c’est le troisième que j’essaie..). Quand on le branche, il fait un gros bruit type «&amp;nbsp;clac clac clac..&amp;nbsp;» et il ne chauffe rien. Visiblement je ne suis pas la seule à avoir reçu le mauvais lot mais ce serait bien qu’amazon ne réexpédie pas des articles renvoyés, défectueux et démontés..au prix du neuf ! A FUIR</t>
  </si>
  <si>
    <t>Bouillotte graines de lin Bien pour le dos, la nuque, le ventre....mais on doit le chauffer plusieurs fois pour que la chaleur dure....s estompe assez vite! Conseil ajouter un verre d’eau dans le micro-ondes sinon les graines de lin commencent à sentir le brûlé !</t>
  </si>
  <si>
    <t>Oui mais.... C'est une montre complète, mais attention : Contrairement à l'annonce, elle ne fait pas baromètre. Je l'ai acheté pour faire de la plongée, Elle me dépanne bien avec sa fonction boussole même si je ne la trouve pas pratique : La fonction reste visible quelques secondes et il faut appuyer de nouveau sur le bouton idoine pour la relancer.</t>
  </si>
  <si>
    <t>bonne taille cadeau</t>
  </si>
  <si>
    <t>Cardio fréquencemètre Cardio fréquencemètre OK Dommage qu'on ne puisse pas avoir l'heure lorsque le cardio fonctionne Sinon appareil remplit parfaitement sa mission</t>
  </si>
  <si>
    <t>Tres contente de cet achat Très bon produit. Taille impeccable. Très confortable comme dans des pantoufles. Très bien pour tous les jours. Conforme à la photo. Très bon rapport qualité/prix.</t>
  </si>
  <si>
    <t>Utilisation pratique tablette très pratique et modulable ... Mais, la plaquette de support additionnelle n'est pas fournie alors que présente sur les photos ; pas d'indication pour commander cet élément très utile pour y placer une souris ou un pavé numérique externe</t>
  </si>
  <si>
    <t>Excellent Le top</t>
  </si>
  <si>
    <t>Top Biberon super tenue en mains tétine adapté après relai allaitement</t>
  </si>
  <si>
    <t>Confortables et jolies Aussitôt reçues aussitôt adoptées.  Très confortables et font un joli pied. J'ai pris une pointure en dessous de ma pointure habituelle (39 au lieu de 40) car je les avais essayées auparavant en magasin. J'avoue qu'avec 1/2 pointure de moins ça aurait été parfait mais le 39,5 n'existe pas, elles sont donc justes mais avec de fines chaussettes, ça passe bien. A voir avec le temps comment elles "vieillissent" mais dans l'immédiat, je recommande ce produit.</t>
  </si>
  <si>
    <t>Très bien Super mouchoirs très doux</t>
  </si>
  <si>
    <t>Très. Beau. Cœur Très. Beau. Cœur. Familly, je le recommande. Pour un cadeau. À. Faire. Ou tout simplement. Pour soi. Même, je adore ♥</t>
  </si>
  <si>
    <t>Complet Pack complet composé en grande partie d'empreintes mousse reste a voir la durée dans le temps mais pour le prix je ne suis pas decu</t>
  </si>
  <si>
    <t>Très bien Bonne taille tienne  Bien au pied rien à dire</t>
  </si>
  <si>
    <t>Impeccable J'ai pris un 37 comme habituellement et aucun soucis, elles me vont parfaitement! Très agréable à porter, mais ça ne m'étonne pas, je les ai acheté en remplacement d'ancienne Puma dont j'étais très fan. Le modèle diffère un peu mais se rapproche beaucoup donc je retrouve le même rendu.</t>
  </si>
  <si>
    <t>Tres bonne paires de chaussure Chaussure tres confortable. Un poile plus leger aurait ete le top.  Je recommande vraiment.</t>
  </si>
  <si>
    <t>Taille 39 Ces chaussures taille parfaitement, nous sommes très bien dedans on a l'impression d'être dans des chaussons. Je recommande fortement ce produit et vu le prix il n'y a pas à hésiter</t>
  </si>
  <si>
    <t>Excellent Très satisfaite de ce produit. Facile à mettre. Je recommande sans problème.</t>
  </si>
  <si>
    <t>Brassière avec une tenue parfaite même pour une poitrine généreuse Je  suis très très satisfaite de ma brassière un maintien impeccable très agréable à porter même pour dormir, je viens de subir un lifting des seins à la clinique, j’avais une mais elle était de mauvaise qualitée , je vous conseilles celle ci et en plus le prix rien à dire très abordable, bref j’ai trouvé ma marque de référence,</t>
  </si>
  <si>
    <t>Indispe,sable pour les frileux Permet de se coucher dans un lit tout chaud l'hiver. Trés efficace et peu energivore</t>
  </si>
  <si>
    <t>Très bien Simple et sympa</t>
  </si>
  <si>
    <t>Produit de très bonne qualité et conforme à la description Produit de qualité et conforme à la description. Livré dans de très bonne condition. Fonctionne très bien avec le blue yeti.</t>
  </si>
  <si>
    <t>Attention de vérifier le modèle du biberon Attention. Ces tétines ne s'adapte pas sur les biberon avent classiques.  Vous serez donc obligé d'investir dans les biberons de la même marque, mais " natural" . En soit, le tétine sont pas mal,  mais le faite qu'elles ne soient pas universelle fait baisser la note!</t>
  </si>
  <si>
    <t>bonjour je viens d'insérer cette cartouche dans mon imprimante hp F 2480.  Cartouche destinée a cette imprimante et que j'utilise depuis qu'elle est en ma possession....je n'ai jamais rencontrer de problèmes que ce soit pour la couleur ou le noir .  Mes documents sont imprimés en couleurs roses vu que ma cartouche noire est  défectueuse . Cette imprimante étant récente, je ne peux que constater que cela provient de la cartouche noire. Espérant votre bonne foi veuillez me faire parvenir assez rapidement une cartouche neuve ou le remboursement de celle ci afin que je puisse me servir très  rapidement de mon imprimante. Cordialement MME LEBLONDEL</t>
  </si>
  <si>
    <t>Trop petit Les taille ne correspondent pas</t>
  </si>
  <si>
    <t>Traces sur les rouleaux Pendant la livraison les rouleaux ont dû être exposés à différentes températures, ce qui a laissé des traces sur chaque début de rouleaux. Ils sont quand même utilisables</t>
  </si>
  <si>
    <t>Super coussin Super coussin...il est massant et chauffant ..on peux l' utiliser pour le dos.le cou.les jambes et meme les pieds...je le conseille...top.</t>
  </si>
  <si>
    <t>Taille Contrairement à ce que j'ai pu lire, il vaut mieux choisir sa taille et non une taille en dessous (j'ai été obligé de renvoyer la première paire). Bonnes chaussures, légères (pour des coques métal). Seul bémol, un peu chaudes aux pieds.</t>
  </si>
  <si>
    <t>Stabilité et confort lors de la course C'est ma 2e paire de Asics nimbus 20 : la 1ère ayant fait son  usage : pour la course à pied elles sont super bien : seul bémol quelques douleurs chevilles : je pense que c'est le fait qu'elles soient neuves (enfin j'espère car je n'en avais pas avec mes anciennes)</t>
  </si>
  <si>
    <t>Beau petit bijoux à prix mini Beau petit bijoux fantaisie. Conforme à la description.</t>
  </si>
  <si>
    <t>Je recommande Très bon produit. Excellent rapport qualité/pris. Très contente de mon achat. Je recommande. Je recommanderais ce produit en cas de besoin.</t>
  </si>
  <si>
    <t>Bonjour Super top</t>
  </si>
  <si>
    <t>Bon produit Bonne qualité, s'adapte parfaitement. Petit plus, l'outil pour enlever les maillons fourni</t>
  </si>
  <si>
    <t>Un très joli pendentif Très joli bijou qui se marie assez facilement avec toutes les couleurs de vêtements, l'article est fidèle à la photo je recommande pour soit ou pour un cadeau</t>
  </si>
  <si>
    <t>J'adore!! Tient super bien! Je n'utilise plus que ça!</t>
  </si>
  <si>
    <t>Parfait Parfait on peut faire du sûr mesure selon les plats le four reste propre et la viande toujours tendre .un exemple des courgettes en grosses lamelles des oignons de l ail et une rouelle délicieux meilleur qu'au barbecue.</t>
  </si>
  <si>
    <t>tof très bonne chaussure</t>
  </si>
  <si>
    <t>Parfait Très bon rapport qualité prix.</t>
  </si>
  <si>
    <t>Top Je ne me passe pas de cette HE. Attention au dosage...</t>
  </si>
  <si>
    <t>Très satisfaite Très satisfaite de mon achat Taille très bien</t>
  </si>
  <si>
    <t>Très bien Livraison rapide et très bon produits</t>
  </si>
  <si>
    <t>Super produit Bon produit ça marche bien suis content de mon achat</t>
  </si>
  <si>
    <t>Câble solide avec de belle matière Produit conforme à la description, ca fonctionne parfaitement, câble stéréo de très bonne qualité sans perte de signal, pas de grésillement, le son est très bon et net. Tres bon câble sans perte et soudé en symétrique, le produit est génial!</t>
  </si>
  <si>
    <t>Très bon rapport qualité-prix Dès reception de ces écouteurs, j'ai été surpris par la qualité du produit. Agréable au toucher. Très facile à poser dans les oreilles. Ne glisse pas et le son est tout à fait correct pour le prix. Un très bon choix pour les petits budget. Pour ne rien gacher les écouteurs ne font pas cheap du tout. On peut même se demander comment on peut concentrer autant de technologie et d'esthetisme pour un si petit prix.</t>
  </si>
  <si>
    <t>Ne va pas au micro ondes Belle qualité mais il n’est pas précisé à l’achat qu’on ne peut pas les mettre au micro ondes.</t>
  </si>
  <si>
    <t>Biberon anti colique j'ai commandé ce biberon très pratique par contre le motif sur le biberon n'est pas celui que j'ai commandé, ça devait être une petit écureuil et là c'est Sophie la Girafe que ne n'aime pas du tout.</t>
  </si>
  <si>
    <t>Etanche LE problème c'est qu'elle est étanche dans les deux sens journée rando piscine au programme....</t>
  </si>
  <si>
    <t>Conforme Nickel pour la musique mais pas en appel au niveau du micro</t>
  </si>
  <si>
    <t>Bon rapport qualité prix Papier toilette 3 plis de couleur blanc marque Amazon, résistant et ne peluche pas, sans être aussi moelleux que d'autres marques ce papier n'est pas rèche et assez doux dans l'ensemble, n'irrite pas la peau, se désagrège sans problème dans la fosse septique.</t>
  </si>
  <si>
    <t>Je vous le recommande en plus la livraison est rapide Bon produit</t>
  </si>
  <si>
    <t>Taille petit Chaussant de 43.5, j'ai dû prendre une taille au dessus (44.5). Sinon, produit confortable et design.</t>
  </si>
  <si>
    <t>Jolie mais... Un peu lourde à porter</t>
  </si>
  <si>
    <t>La lessive à l'Ecolabel Cette lessive sent réellement très bon, la présence d'huiles essentielles y est surement pour beaucoup. Elle est également efficace dès 30 ° ( laine et soie restant à éviter) Hypoallergénique ? On veut bien le croire compte tenu des antécédents de Maison Verte. Sa composition ne fait pas vraiment penser à du bio. Toutefois, ce produit bénéficie de l’Ecolabel Européen, alors, puisque les spécialistes le disent ... Le format en un sachet refermable prévu pour 30 lavages est bien pratique.</t>
  </si>
  <si>
    <t>Identique à la photo impeccable très agréable a porter que sa soit a la maison ou dehors. et la semelle est antidérapante.  Parfaite en taille, ni trop grande, ni trop petite, taille comme il faut. parfait, rien à redire, qualité moins cher qu'ailleurs et livraison rapide!</t>
  </si>
  <si>
    <t>Brassière J'adore !! la taille est adaptée, le coloris très joli et je suis très bien dedans.Franchement, à ce prix-là, pourquoi hésiter ?</t>
  </si>
  <si>
    <t>Parfait Je fais du 39, et 4 à 5heures de sport intensif (basket) par semaine. Ces chaussettes me vont très bien, bonne taille, bonne tenue, agréable au contact de la peau. La matière est un peu épaisse mais ne fait pas transpirer. Bon achat</t>
  </si>
  <si>
    <t>Du solide Très bien fabriqué ! Beau cuir, les finitions sont vraiment bien. Il est très pratique, une bonne besace.</t>
  </si>
  <si>
    <t>La «&amp;nbsp;vraie&amp;nbsp;» odeur du papier d’armenie ! Très satisfaite de mon achat</t>
  </si>
  <si>
    <t>parfair Cet aspirateur à balai a une très belle apparence. C’est rouge. Les aspirateurs sont faciles à utiliser. Utilisez-le maintenant pour nettoyer le sol. Très propre, très aspirant, très silencieux. Il existe également plusieurs modèles de remplacement qui peuvent être utilisés dans les voitures et les lits d’aspiration. Mon fils peut aussi l’aider. Je suis très satisfait de ces achats.</t>
  </si>
  <si>
    <t>excellente qualité Excellente qualité du produit  fiable pour un ado Résistance exceptionnellement aux exigences Utilisées pour le quotidien Restes impeccables  Très très bien que du bonheur 😊</t>
  </si>
  <si>
    <t>tres belle matiére conforme à la description . Parfait pour le sport et evite la transpiration</t>
  </si>
  <si>
    <t>Super Bonne qualité</t>
  </si>
  <si>
    <t>Pas déçu C'était la seule bouilloire sans avis négatif. Je ne suis pas déçu. Joli élément dans ma cuisine et d'aspect robuste. Facile à utiliser.</t>
  </si>
  <si>
    <t>Tétine biberon Produit conforme à la description !</t>
  </si>
  <si>
    <t>efficace ce feu de travail à LED est vraiment très performant. il est de petite taille, environ 10x10cm, mais est aussi efficace qu'un phare de travail de type poids-lourd. il est fabriqué en fonte d'aluminium moulée recouvert d'un traitement époxy noir. la platine contenant les diodes est quant à elle encastrée entre la coque en fonte et la vitre en plastique qui est collée à l'intérieur de cette même coque pour faire l'étanchéïté. ce produit à l'aie de très bonne qualité en apparence. ceci dit vous trouverez exactement le même feu chez scania pour seulement 49€ si je puis dire. je recommande ce produit. produit obtenu en réduction en échange d'un commentaire impartial</t>
  </si>
  <si>
    <t>Qualité prix, Robustesse et Esthétique Excellent bracelet en remplacement du modèle original. Très bonne sécurité du fermoir. Très bon confort et excellent rapport qualité prix.</t>
  </si>
  <si>
    <t>Super Super qualité je recommande. Coupe très bien ne se coince pas même sur des tissus épais ou fin</t>
  </si>
  <si>
    <t>Machine à souffle Testé 5mn, remballé et réexpédié pour remboursement. Gros gain (trop même) mais tout le souffle monte avec. Pas assez directif, on entend trop le son de la pièce. A ce prix-là, c'est décevant.</t>
  </si>
  <si>
    <t>A éviter absolument ! Chaussures très lourdes.Grincent à chaque pas.N'ont d' "Air" que le nom comparées à de vraies baskets Nike.La semelle intérieure s'est déchirée au bout d'une heure.Talons douloureux en une demi-journée malgré l'achat de semelles confort.Tailles inappropriées,on flotte dedans même avec des semelles compensatrices. Commandées le 14 janvier....reçues le 23 avec 3 jour de retard. Fuyez,il est encore temps d'annuler cette commande.A éviter à tout prix.</t>
  </si>
  <si>
    <t>Aspirateur ? Pas de puissance. Aucune utilité</t>
  </si>
  <si>
    <t>Pratique et tient parfaitement mais autonomie plus limitée que prévue Acheté pour le sport, j'ai fini par les renvoyer. Aucun problème pour les utiliser 3-4h d'affilée mais on est loin des 10-11h annoncées.  Le son est bon, la tenue est parfaite même pendant une séance de sport, aucun problème ça ne bouge pas. Le fil entre les deux écouteurs permet de les maintenir autour du cou quand on veut les retirer provisoirement avant de s'y remettre mais au final c'est parfois genant, ils glissent d'un coté ou de l'autre meme sur les oreilles donc ça tire dans le cou et pendant des exercices en salle par exemple, on se retrouve à devoir régulièrement les remettre en place, que ce soit plus confortable. Dans l'ensemble bon produit mais la batterie longue durée était pour moi un impératif et il ne tient donc pas ses promesses, dommage.</t>
  </si>
  <si>
    <t>Ne me conviens pas La qualité est au rendez-vous pour ce petit coussin de massage. Belle finition et robuste. Par contre la chaleur est tellement légère qu’on ne la sent pas. Oreillé testé allongé et pas du tout apprécié car beaucoup trop dure.</t>
  </si>
  <si>
    <t>Satisfaite Très agréable à porter Prix un peu élevé mais beau produit</t>
  </si>
  <si>
    <t>correspond à mes critères cette paires de chaussures sont vraiment belles ! En effet , elles font pas chaussures de sécurité mais bien basket . prend bien la forme du pied .</t>
  </si>
  <si>
    <t>Support micro C'est exactement ce que ma petite fille désirait comme cadeau de Noël !</t>
  </si>
  <si>
    <t>Plug and play Fonctionne</t>
  </si>
  <si>
    <t>Bon rapport qualité/prix Taillent comme il faut, prenez votre pointure habituelle. Je mets 4 étoiles car je ne sais pas si les tâches partent correctement sur ces chaussures.</t>
  </si>
  <si>
    <t>J’ADOOOORE Super achat ! J’adore cette bouilloire ! La qualité est au rdv melant verre et plastique: avoir une bouilloire en verre c’est beaucoup mieux ! Elle fait tout de suite son effet avec sa fonction lumineuse tout le monde veut la meme ! J’avais peur de voir un fond avec une tige en metal qui ne soit pas super esthetic mais pas du tout : une plaque en metal entouré de lumière pour la finition c’est genial. Bruit normal pour une bouilloire. Facile d’entretient, facile d’utilisation avec sa graduation sur le verre, design, que demander de plus ? Merci !</t>
  </si>
  <si>
    <t>Jolie Le produit est réellement conforme à la description, envoyé dans le petit coffret, bien emballage. J’ai acheté ça pour mon amie comme un cadeau. C’est jolie!</t>
  </si>
  <si>
    <t>Parfait Belle matière élastique mais pas trop, assez confortable au niveau de la taille, taille adaptée je suis contente de cet achat.</t>
  </si>
  <si>
    <t>J'aime le look Il n'a été utilisé que quelques fois, mais l'effet est très bon. Connectez-vous facilement aux appareils Apple. Très similaire au volé cher. Facile à utiliser. Malheureusement, mes oreilles sont petites. Le travail mains libres est génial. La livraison prend du temps. Facile à connecter La qualité sonore est bonne. La dernière batterie était plus que ce à quoi je m'attendais.</t>
  </si>
  <si>
    <t>colorés Ce lot de deux boites de feutres est intéressant pour les enfants. En, effet, les feutres ont une bonne prise en main, une pointe assez large qui glisse bien et on a beau appuyer, la pointe ne s'enfonce pas. Côté couleur, l'éventail de choix est grand et les couleurs sont vives, ce qui est notable pour des feutres lessivables. Le vrai plus, en effet, de ce produit, réside dans sa possibilité de partir à l'eau (en tout cas, même sans détachant, le coup de feutre intempestif sur le t-shirt a disparu à la machine, à 30°) C'est donc un produit adapté aux enfants et agréable pour les parents!</t>
  </si>
  <si>
    <t>PAT 89 BELLE MONTRE PRECISE</t>
  </si>
  <si>
    <t>Parfait Nous obtenons un  très bon résultat avec la cireuse électrique. Nous l'utilisons aussi pour un entretien manuel… ravis de cet acquisition.</t>
  </si>
  <si>
    <t>recu tres vite - conforme recu tres vite - conforme</t>
  </si>
  <si>
    <t>super achat. Utilisé pour le running. Paraissent lourde en main, mais très légère aux pieds. Très très confortables et stylées. Petite hauteur, excellent amorti. Prendre sa taille habituelle.</t>
  </si>
  <si>
    <t>Très bien Bon produit, bon rapport qualité prix, et surtout super confort et opaque! J’adore! J’hesite a m’en recommander un</t>
  </si>
  <si>
    <t>Chouette et pratique Super! La Qualité au rendez-vous, bien conçu ,très pratique avec plusieurs poches de rangement. Traité étanche .Ne pas hésiter je le recommande vivement.</t>
  </si>
  <si>
    <t>Sweatshirt Bolf Produit conforme.</t>
  </si>
  <si>
    <t>super lave super bien mais le petit goupillon se détache et doit etre recollé à la ventouse ! dommage !! sinon c'est le seul goupillon que j'apprécie !</t>
  </si>
  <si>
    <t>Bouilloire électrique &lt;div id="video-block-R1IUAZ6S9K8ASA" class="a-section a-spacing-small a-spacing-top-mini video-block"&gt;&lt;/div&gt;&lt;input type="hidden" name="" value="https://images-eu.ssl-images-amazon.com/images/I/A1GtYKpBUjS.mp4" class="video-url"&gt;&lt;input type="hidden" name="" value="https://images-eu.ssl-images-amazon.com/images/I/91XQzO2eSeS.png" class="video-slate-img-url"&gt;&amp;nbsp;Bouilloire reçu en parfait état et parfaitement conforme aux descriptions. Cette bouilloire en verre est simple d’utilisation et fonctionne très bien. Esthétiquement, fonctionnelle et fiable qui possède une grande capacité d’un litre 700. L’eau chauffe rapidement et j’apprécie beaucoup le fait qu’elle soit transparente contrairement à d’autres bouilloires opaques. J’espèrerai qu’elle dure dans le temps.  En espérant vous avoir été «&amp;nbsp;utile&amp;nbsp;» avec mon commentaire.</t>
  </si>
  <si>
    <t>Excellente longuettes Lingettes imbibé de solution nettoyante et texturé pour nettoyer les taches les plus rudes et meme les tissues !!  format lingerie individuel idéal pour toujours avoir sur soi!!</t>
  </si>
  <si>
    <t>S’use trop vite Bonne qualité, mais comme toujours avec Hewlett-Packard, la cartouche se vide à la vitesse du vent, XL ou pas. Les consommables sont hors de prix, c’est énervant, je devrais m’en souvenir chaque fois que j’opte pour HP</t>
  </si>
  <si>
    <t>mauvaise qualité article trop grand, compliqué pour le retourné adresse pas reconnue par la poste j'ai du gardé l article!!!</t>
  </si>
  <si>
    <t>Mauvaise qualité Le côté de la chaussure s'est déchiré après une semaine seulement d'utilisation. Qualité déplorable et inacceptable vu le prix de la chaussure.</t>
  </si>
  <si>
    <t>Le confort n'est pas au rendez vous en ce qui me concerne: déçue Taille petit. Je l'avais lu alors comme je fais du 36/37  j'ai pris 37 mais c'est juste. Je pensais que le 38 serait vraiment trop grand mais finalement... Pointes de pied serrées. Contrefort très dur. Pas très confortables au final. Belle couleur par contre: vieux rose.</t>
  </si>
  <si>
    <t>Peut mieux faire Un pied articulé léger, peu être un peu trop pour un micro Bird avec filtre anti pop, il faut serrer fort sur les articulations pour que tout ne tombe pas.  Trop léger a mon gout</t>
  </si>
  <si>
    <t>Salomon  homme Trail xa pro 3D gtx Un peu lourde mais parfaite pour le Trail avec un bon amorti.tres bon équilibre surtout dans les descentes rocailleuses et piegeuses</t>
  </si>
  <si>
    <t>J'aime beaucoup ! Bon choix pour ces chaussures chaudes et confortables. Bien que pas adaptées à la pluie, elles sont parfaites lorsqu'il fait froid et sec. Ne pas oublier de les imperméabiliser pour préserver cette jolie couleur gris clair qui se coordonne parfaitement à ma polaire. Très contente de mon achat</t>
  </si>
  <si>
    <t>Bien Joli bracelet</t>
  </si>
  <si>
    <t>Produit conforme. Bonnes feuilles. J'avais envie d'améliorer un peu mes impressions, c'est chose faite. Pas grand chose à dire de plus ...</t>
  </si>
  <si>
    <t>Très bon produit Livraison rapide et produit adapté à ce qui était prévu. Je l'ai déjà testé 3 fois par temps chaud. Il est assez moulant et offre une bonne compression</t>
  </si>
  <si>
    <t>Toujours au top ! Je commande chaque année ce lot de deux stylos que j'adore ! Le prix est correct. L'écriture douce selon le papier utilisé. J'adore !</t>
  </si>
  <si>
    <t>Pantalon de sport et de sortie Comme j'ai indiqué dans le titre, ce pantalon est bien adapté pour faire du sport ou pour sortir ou partir à une occasion officiel, j'aime bien le style et la couleur, passe presque par tous les styles de baskets, je le recommande vivement.</t>
  </si>
  <si>
    <t>Solide Très jolie sac en bandoulière, offert lors de la fête des pères. On sent la solidité Eastpak et la qualité. Et puis il y a les 30 ans de garantie !</t>
  </si>
  <si>
    <t>Sac de poitrine homme Excellent produit, conforme à la photo et bonne qualité. Très pratique à porter et ne gêne en rien les mouvements !</t>
  </si>
  <si>
    <t>Ok Je suis content de se produit entièrement sastifer je le recommande</t>
  </si>
  <si>
    <t>Excellent produit Très pratique car entièrement démontable pour le transporter. Très facilement lavable et peu encombrant. Convient pour toutes les marques de biberons. Couleurs sympas.</t>
  </si>
  <si>
    <t>Parfait Produit parfait. Je ne les quitte plus. Bonne tenue du pied. Semelle très confortable. Correspond bien à ma commande. Pointure correspond bien.</t>
  </si>
  <si>
    <t>Contente de mon achat Pieds imposants mais très jolies.</t>
  </si>
  <si>
    <t>RODE NT USB Supert Produis bon le premier etais casse mais la c'est bon</t>
  </si>
  <si>
    <t>Bon rapport qualité prix Bon produit à un bon prix</t>
  </si>
  <si>
    <t>premier biberon Livraison rapide et adaptée. Taille adaptée aux premières tétées. Look et ergonomie sympa. Nettoyage hyper facile. Système anti colique efficace. Le petit plus l'auto stérilisation.</t>
  </si>
  <si>
    <t>Très agréable Achète pour noël, livraison rapide. Je l'ai testé avant, les mêmes qu'à Nature et D. La chaleur est agréable, et les roulements aussi. En plus ils changent automatiquement. De quoi se relaxer !</t>
  </si>
  <si>
    <t>J'adore Ce pull est vraiment super! La taille est top et il est doux et chaud :) Je l'ai pris en gris et la couleur est identique à la photo! Petit bémol, les manches sont un peu trop longues mais c'est pas gênant!</t>
  </si>
  <si>
    <t>sympa arrivés en bon état, sympa et original!</t>
  </si>
  <si>
    <t>Il est loin le son du HD600 et HD650, hélas ! J’ai eu un HD 600 dans les années 2000 mais il a mal vieillis. Acquis récemment un HD 598SE, j’ai pu écouter à nouveau mes musiques sans déranger la maison. Voulant essayer le sans fil dans la marque j’ai à la lecture des commentaires et d’essais sur le Net tenter l’aventure avec un sans fil de la même marque. Quelle déception ! Après les premières minutes d’euphorie liées à la nouveauté. J’ai très vite déchanté. Ils n’ont plus d’oreilles chez Sennheiser ? Le grave est proéminent et cache les voix. Un essai avec mon casque filaire HD589Se montre une meilleure courbe. Est-ce lié au casque fermé ? Toujours est-il que le bas médium est caché et nuit réellement à un écoute qualitative. De plus entre chaque piste de mes CD enregistrés (Logiciel XLD bit perfect sous Mac) et intégré à iTunes en AIFF et envoyé à l’iPhone, j’ai un bip entre chaque piste !!! Bip qui n’existe pas quand je passe à mon casque filaire. Décidément les tests sur internet sont véritablement bâclés. Je renvoie le produit</t>
  </si>
  <si>
    <t>Fuite d'eau Après deux mois d'utilisation, l'eau fuit par la fenêtre de niveau d'eau. Ma cuisine est inondée par l'eau bouillante. C'est très dangereux pour les enfants ou animaux domestiques. Pour faire marcher la garantie, Téfal envoie une liste des réparateurs agrées. Je dois les contacter et me déplacer pour faire réparer le produit qui est à mon avis irréparable. Téfal est certainement au courant qu'il existe le problème avec ce bouilloire car il y a d'autres commentaires et photos qui montrent la fenêtre détachée. Au lieu de remplacer le produit comme feraient beaucoup d'autres marques, Téfal veut me faire perdre le temps. Plus jamais de Téfal dans ma maison.</t>
  </si>
  <si>
    <t>il n'est pas en coton !!! j'avais commandé ces bandeau car ils étaient vendus pour être en coton mensonge ils sont en acryliques !!! pas génial l'été !!</t>
  </si>
  <si>
    <t>insecte pas convaincu sur l'efficacité pour éloigner les mites par exemple. odeur agréable</t>
  </si>
  <si>
    <t>Taille basse On transpire bien dans le pantalon, c'est ce que je recherchais. Dommage qu'il ait une taille basse car avec le tshirt de sudation ça laisse un petit jour.</t>
  </si>
  <si>
    <t>Ecouteur samsung Je sais pas la longévité mais un son correct</t>
  </si>
  <si>
    <t>Bon maintien Prendre 2 tailles au dessus. Sinon est très confortable</t>
  </si>
  <si>
    <t>satisfaction bjr entierement satisfaite de mes achats , je ne manquerais pas de revenir et de vs recommander a mes amis bien a vous</t>
  </si>
  <si>
    <t>Le top Parfait</t>
  </si>
  <si>
    <t>Bien Parfait pour ma fille de 9 ans qui apprend à lire l'heure avec les aiguilles qui siffle mais celle-ci préfère une montre digitale</t>
  </si>
  <si>
    <t>Super grip et légères Très très bonnes chaussures de marche utilisées l’été. Très bonne respiration et excellent grip sur tous terrains. Bonne tenue de la cheville pour des chaussures basses. Look extra passe partout</t>
  </si>
  <si>
    <t>rapide et conforme Commande reçu rapidement et conforme à mes attentes. Rapport Qualité/Prix des articles satisfaisant, reste à voir si la qualité des articles tient sur la durée.</t>
  </si>
  <si>
    <t>Top qualité Livré dans une pochette zippée, identique aux photos voir même mieux. Cette marque est une belle découverte !</t>
  </si>
  <si>
    <t>satisfait Les bensimons sont très pratiques pour l'été et la mi-saison, elle sont comme dans le magasin de Bensimon. Même emballage et même qualité !</t>
  </si>
  <si>
    <t>Très bonne qualité Produit super satisfait très content merci</t>
  </si>
  <si>
    <t>Satisfaite Chaussons destinés aux invités. Convient parfaitement à cet usage.  Satisfaite produit et livraison.</t>
  </si>
  <si>
    <t>La top casio sportive La top des top des casio !!! Et livraison express !! MERCI..  fonctions les plus utiles !! Et simple utilisation !!</t>
  </si>
  <si>
    <t>Très bonnes chaussures pour randonner sur le plat Ces chaussures de randonnée sont légères et sont parfaites pour les randonnées sur le plat, la marche en ville. Les chaussures sont sobres pour être utilisées comme chaussures de marche en ville.  Pour les randonnées avec du dénivelé, il vaut mieux prendre des chaussures semi-montantes ou montantes.  Les lacets se défont facilement si on fait un simple noeud, il faut faire un double noeud et c'est parfait.</t>
  </si>
  <si>
    <t>Que le produit doit conforme a l'annonce Beau bracelet....il n'est pas en plastique.....très jolie... Dommage que la notice soit en anglais pour les chakras...</t>
  </si>
  <si>
    <t>Basket Très bonne pointure  et confortable  j adore</t>
  </si>
  <si>
    <t>Très bien Notre fille prend mieux ses bib mais avec du lait légèrement épaissi....</t>
  </si>
  <si>
    <t>Très bon rapport qualité prix Une très bonne qualité, je suis très satisfaite de mon achat. C'était un très bon deal  ^^</t>
  </si>
  <si>
    <t>Contente de mon achat Très contente de ma commande. Livraison assez rapide. Matière souple et de bonne qualité. Bretelles ajustables, livrées avec les armatures à part. Je recommande ce produit</t>
  </si>
  <si>
    <t>Decevant Couleurs tres différentes de l'image.  C'était moche. Je l'ai rendu.  Immettable. C'est une grosse déception. Aucune couleur brillante. Tres terne et sans éclat</t>
  </si>
  <si>
    <t>Produit cassé à l’arrivé Arrivé cassé</t>
  </si>
  <si>
    <t>Bouilloire Il s'agit plus d'une bouilloire que d'une théière. Le thé infuse mais bouillonne au bout d'un moment. Le bloc dans lequel on met le thé ne se démonte pas et n'est donc pas facile à nettoyer</t>
  </si>
  <si>
    <t>Bien Bien pratique</t>
  </si>
  <si>
    <t>Genial GÉNIAL!!!! je l utilise pour le lait AR de mon fils et ça marche mieux qu un mixeur!!! Très simple d utilisation,  Inconvénient : se casse si vous mouillez la base blanche ... Et dans la cuisine ça pose un peu des problèmes ...  Mais même si j en ai cassé un, je rachète le même par ce que c'est vraiment utile,</t>
  </si>
  <si>
    <t>Manches trop courtes Manches trop courtes, doux et chaud</t>
  </si>
  <si>
    <t>Maintien Produit conforme à l'annonce</t>
  </si>
  <si>
    <t>Bon achat malgré les commentaires négatifs. J'ai lu les commentaires et j'ai hésité car beaucoup d'acheteurs ont eu un avis négatif. Le colis est arrivé rapidement, très bien emballé et il est conforme et identique au produit Samsung donné avec le téléphone... et beaucoup moins cher que sur le site officiel.</t>
  </si>
  <si>
    <t>Pas de surprise ! À la condition de connaître le 511, pas de surprise au niveau de coupe, de la taille, de la couleur et de la matière conforme aux autres 511 de la marque déjà en ma possession. Pour éviter les mauvaises surprises, il est indispensable d'avoir déjà essayé différents modèles de cette marque avant tout achat.</t>
  </si>
  <si>
    <t>Correspond  à ce que nous attendions Facile d'utilisation, livraison rapide, rien à dire.</t>
  </si>
  <si>
    <t>Deuxième paire d'écouteur C'est ma deuxième paire d'écouteur bluetooth, les premiers sont d'une autre marque mais malheureusement je l'ai déjà perdu. Je trouve ceux la supérieure au autre dans presque tout les domaines. Que ca soit le son qui est excellent L'appairage qui est encore plus simple Et surtout le confort ! Les  autres était plus gros, cela c'est vraiment génial !</t>
  </si>
  <si>
    <t>Superbe Très bonne bouilloire. Très beau design. Petit bémol par rapport au prix mais mon ancienne bouilloire était une Russell Hobbs et je l'ai gardé plus de 10 ans donc c'est un investissement qui se rentabilise dans le temps</t>
  </si>
  <si>
    <t>Sacoche homme super Très bon produit solidegrande capacité mon mari l a adopté</t>
  </si>
  <si>
    <t>Fini les pieds gelés  !! Confortable et chaleur durable, très simple d'utilisation. 1 min 30 au micro-ondes et fini les pieds gelés !! Sensation de marcher sur le sable.</t>
  </si>
  <si>
    <t>Parfait Très bonne basket très confortable se nettoie très bien donc je recommande</t>
  </si>
  <si>
    <t>Super produit Très simple d'utilisation et de prise en main, je rédige ce commentaire en les utilisant. Support de chargement qui permet de recharger ces derniers n'importe ou n'importe quand très pratique. Connexion quasi-immédiate sur Xiaomi, Samsung ou Huawei. Petit bémol sur l'absence de notice détaillé, ne serait-ce qu'en anglais. Bref, pour un achat effectué il y a deux semaines, très bon investissement</t>
  </si>
  <si>
    <t>Super produit Super produit!</t>
  </si>
  <si>
    <t>Bonne expérience Bouillotte arrivée le lendemain de la commande. Housse douce, mais ne peut s'enlever. Couleur plus vers le blanc/bleu glacé que le gris. Grand gouleau pour faciliter le versement de l'eau. Parfait.</t>
  </si>
  <si>
    <t>Belles et confortables Joli couleur. La taille habituelle convient très bien. Les chaussures sont bien authentiques. Je suis satisfait du produit. Pas de problème avec cet achat. Je continuerai à en acheter c'est.</t>
  </si>
  <si>
    <t>Super petite sacoche Tout est dans le titre, bien conçue avec des poches zippées astucieuses et une finition soignée.</t>
  </si>
  <si>
    <t>100% satisfaite Beau design, bleu marine élégant, très confortables</t>
  </si>
  <si>
    <t>Beaute Pour faire un cadeau</t>
  </si>
  <si>
    <t>Du synthétique ! Un peu déçue par ces baskets...je les ai portées une journée entière pour "les faire"...pour me retrouver avec des pieds enflés, trop serrés, et le constat que ces matières synthétiques ne sont décidément pas synonymes de bien-être.</t>
  </si>
  <si>
    <t>prix Appareil encombrant pour le travail demandé pas facile à manipuler quotidiennement  Pas de grande performance vu sa taille</t>
  </si>
  <si>
    <t>Trop grand Taille vraiment trop grand .. vraiment déçue je ne peux ps l’utiliser . Acheter pr rien c’est vraiment dommages !!</t>
  </si>
  <si>
    <t>kickers kick col Très jolie chaussure, le seul souci est des plus majeur...... elle sont trop petite! Obligé de faire un retour et de recommander les même une taille de plus. Point possitif, Amazon est toujours très réactif pour les échanges.</t>
  </si>
  <si>
    <t>jolie chaussure taille trop grand prendre une paire en dessous d'où mon retour amazone dommage que les délais étaient si long environ 3semaines</t>
  </si>
  <si>
    <t>Article suffisant de part son bas prix pour la course à pied. Ces écouteurs sont utilisés lors de la course à pied. Suffit pour le sport. Pourrais avoir une meilleure accroche pour courir. Très convenable pour le sport en salle.</t>
  </si>
  <si>
    <t>Jolies basquettes en toile à talons compensés Sympas ces basquettes en toile à talons ! Attention mettre des chaussettes pur protéger les chevilles, elles font un peu mal sinon !  Pratique pour l'entretien, elles passent en machine.</t>
  </si>
  <si>
    <t>taille impeccable marche qotidienne</t>
  </si>
  <si>
    <t>je suis trzs contente de mon achat car il est très joli il correspond tout a fait a la photo Tres jolie chaine très raffiné il est vraiment aussi joli que  j'espérais  je vais avoir le plaisir de le porter merci</t>
  </si>
  <si>
    <t>Bracelet Casser 1 sur 2</t>
  </si>
  <si>
    <t>cool Baskets vraiment de bonne qualité super invincibles sauvages et des chaussures sont très doux et confortables.  Pas de douleur en marche</t>
  </si>
  <si>
    <t>Un legging confortable et opaque Je fais du 42 en taille de pantalon. J'ai commandé la taille L. Le legging est impeccable taille comme indiqué. Son tissu est doux donc agréable,ainsi que bien opaque. Sa taille haute efface bien le ventre. Ce legging ne me comprime pas et ne glisse pas. Le premier lavage en machine à 40º c'est bien passé. Je suis ravie de mon achat.</t>
  </si>
  <si>
    <t>Top comme toujours chez Nike. Casquette avec une belle forme. Facile à ajuster.</t>
  </si>
  <si>
    <t>Qualité identique  à l'original Changement de cartouche opéré pendant une impression faite au départ avec les cartouches d'origine : aucune différence à la sortie. L'imprimante "râle" un peu à l'installation car elle détecte que ce ne sont pas des cartouches d'origine mais une fois qu'on lui a indiqué que l'on souhaitais utiliser ces cartouches cela fonctionne</t>
  </si>
  <si>
    <t>Chaussures élégante Chaussures léger, semelle souple et élastique. Solide, petit poids et très élégante.</t>
  </si>
  <si>
    <t>Très jolie montre Je l'ai achetée sur Amazon car c'est ici que j'ai trouvé le meilleur prix. Montre pas trop grosse et bracelet confortable, de plus l'engrenage est visible et la trotteuse va a une vitesse continue (on a pas le classic "Tic Tac", et ça c'est cool !)...Très bon prix pour une montre automatique, même s'il s'agit de " l'ancienne collection " de Fossil. La montre doit être portée assez régulièrement  (sinon elle s'arrête après environ 48h sans être au poignet). Excellent rapport qualité/prix !</t>
  </si>
  <si>
    <t>Chaussettes de sport Chaussettes  fines et légères qui produisent l'effet attendu .C'est à dire des chaussettes confortables .</t>
  </si>
  <si>
    <t>Super efficace Acheté pour récupérer les vêtements de bébé Super efficace</t>
  </si>
  <si>
    <t>bon Bon produit, tres bonne tenue, ne sechent pas vite et ne bave pas. Je recommande fortement à tout le monde !!</t>
  </si>
  <si>
    <t>Exactement comme présenter La veste est parfaitement identique à la description, légère et agréable à porter.</t>
  </si>
  <si>
    <t>Superbes basket élégantes Je les trouvent, vraiment sympathique, très mode, vont avec tous, jeans etc. Confortable également, je vais en commander une autre pairs. Taille exactement. Livrées plus tôt que prévue. Je recommande.</t>
  </si>
  <si>
    <t>Tip top pour un jogger. Je cours environ deux heures par séance de jogging, et j'ai tout essayé en terme d'écouteur. Les sans fils avec le bluetooth : c'est clairement ce qu'il y a de mieux. Il y a les airpods d'Apple qui sont vraiment bien, mais le prix peut faire peur. Surtout pour un accessoire de sport. J'en ai commandé d'autres, mais la branche de l'écouteur était beaucoup trop longue. Là, la longueur est parfaite. Un peu plus longue que les airpods mais pas gênant du tout.Le son est vraiment sympa, et l'autonomie supporte mes deux heures de jogging.Pour ce qui est de la boite à recharge.</t>
  </si>
  <si>
    <t>Rien à dire Rien à dire.</t>
  </si>
  <si>
    <t>Superbe cadeau J'ai offert cette boîte surprise pour un anniversaire. Original et plein de malice avec toutes les photos a placer.  C'est magnifique et vraiment ludique. Alors oui il faut tout monter soi meme , le petit plus qu'il est fourni avec des stickers.</t>
  </si>
  <si>
    <t>Taille vraiment grand J'ai acheté les chaussures en 44 (ma pointure), c'est bien un voire deux tailles au dessus que les chaussures taillent. Même avec une semelle c'est trop grand. Du coup j'ai donné la paire</t>
  </si>
  <si>
    <t>Très déçu par le colis envoyé Réveil conforme et très joli. je note néanmoins une ergonomie largement perfectible. en effet impossible de maintenir un réveil actif pour la semaine. Quand vous couper le réveil le matin, il ne faut pas oublier de le réactiver pour le lendemain.... alors qu'un bouton "stop" aurait suffit pour arrêter l'alarme tout en conservant le réveil "actif". Les boutons sont très petits et franchement on les cherche le matin... donc pour moi le reveil c'est 3 etoiles.... j'ai pis 1 etoile car j'ai reçu un colis SANS AUCUN EMBALLAGE AMAZON.... donc la boite du réveil avec une étiquette Amazon dessus et un scotch pour fermer la boite... JAMAIS VI CA de la part de Amazon !!!!</t>
  </si>
  <si>
    <t>Décevant Produit imparfait. Quand il marche, c'est extra de nager avec. M1 Malheureusement, les pistes sautent, le son se perd quand l'eau rentre un peu dans le conduite auditif...Je suis très sceptique sur l'existence d'un casque audio abordable financièrement pour la natation qui fonctonnerait vraiment bien</t>
  </si>
  <si>
    <t>Pointure respectee Confortable .légère.pointure respectée.mais grossieres pour des pieds femmes .</t>
  </si>
  <si>
    <t>Binoclard heureux, bon casque si l'on installe le logiciel pilote Enfin ! Un casque qui ne me ruine pas l'arrière des oreilles ! En contrepartie, la réduction de bruit n'est pas forcément au rendez-vous... Mais je préfère me taper mon frigo en arrière-plan que de saigner et d'avoir mal au crâne. Donc niveau confort c'est... presque top. Le "rembourrage" style tressé sur l'arceau me provoque des éruptions cutanées comme il manque de rembourrage. Va savoir pourquoi.  Le son, c'est une autre histoire. La balance gauche/droite est défaillante sur mon casque, donc je l'ai réglé via les paramètres Windows. Par défaut, il manque de relief et la spatialisation est naze. Donc on installe le pilote fourni sur corsair.com ... et dans mon cas ça a complètement fait planter le son. Plus rien, nulle part, même après un redémarrage. J'ai donc débranché le casque, redémarré, rebranché et toujours rien. Donc je désinstalle le pilote, et toujours pas de son. OK. Je désinstalle le casque en lui-même et le pilote audio RealTek via le gestionnaire de périphériques, je reboot, et ça marche mais le son est dégueu. Donc voici la marche à suivre pour faire fonctionner ce pilote débile, sans quoi ce casque n'a aucun intérêt :  - Installer le pilote iCUE sans redémarrer à la fin - Cliquer droit sur Poste de Travail ou Ce PC &amp;gt; Gérer &amp;gt; Gestionnaire de périphériques &amp;gt; Contrôleur audio, vidéo et jeu - Désinstaller le casque (Corsair HS60 Surround Adapter) ET le pilote audio de base (dans mon cas RealTek(R) Audio - Redémarrer - Miracle  A part cette démarche sincèrement casse-pied, ça va. Mais il faut encore trouver des paramètres de son moins pourris que ceux par défaut. J'en ai trouvé via google, à reproduire à l’œil. Sans oublier de cliquer sur "Surround", de sorte à ce que ce soit actif. Ce sont les seuls qui m'ont plu, en incluant ceux que j'ai essayé moi-même, parce que oui, il faut bidouiller. En ça, je suis déçu d'avoir payé ce prix, puisqu'il y a beaucoup de travail à effectuer soi-même pour faire fonctionner le bousin. Mais comme il est difficile de trouver un casque pour binoclard, ben je suis content quand même.</t>
  </si>
  <si>
    <t>Très bon casque Casque acheté afin de pouvoir regarder la télé tranquillement sans reveiller la famille le soir. Pour le prix, il rempli très bien son rôle. L'installation très rapide. On le branche sur la sortie casque de la TV et hop ca fonctionne. Le son est parfait  Deux remarques cependant: - Il y a tout de même un gresillement si vous mettez le son du casque à fond. Augmentez plutôt le volume de la TV et baissez celui du casque et vous serez tranquille. - Il est souvent difficile de bien reposer le casque sur son socle afin de recharger les batteries (le témoin de charge doit s'alluemer) C'est vraiment le point négatif à mes yeux.  Bref, pour le prix, c'est top!</t>
  </si>
  <si>
    <t>claquette bonne qualité , satisfait , pointure identique à taille habituelle</t>
  </si>
  <si>
    <t>Bien Très bien mais taille petit donc prendre une taille de plus et le modèle fait un petit pieds sinon elles sont bien et confortable</t>
  </si>
  <si>
    <t>Parfait Prix imbattable pour ces Vans ! Magnifique et super confortable comme le veut la marque... je les adore et les porte très régulièrement</t>
  </si>
  <si>
    <t>Me gusta Pour la calite et pour le prix...</t>
  </si>
  <si>
    <t>Tres beau J'ai acheté ce pull pour mon conjoint je le trouve vraiment très très beau et j'ai hâte de le voir dedans</t>
  </si>
  <si>
    <t>Compact, efficace et au son très clair Ce micro est idéal pour un appareil photo compact expert. Avec le câble jack 3.5, la connexion au boitier est immédiate et sans intermédiaire, et l'alimentation directe par le jack évite de se poser la moindre question. En intérieur, le son est clair, quasiment au même niveau de restitution qu'avec le Vidéomic pro que j'ai également. A l'extérieur, la bonnette fourni permet un bon rendu, un petit peu en retrait mais excellent vu la taille. Tout se plie pour un encombrement minimum dans le sac. Le tout conçu et fabriqué en Australie.  Je regrette juste l'absence de housse, qui aurait même justifié un prix un peu plus élevé.</t>
  </si>
  <si>
    <t>Bonnes chaussures Rien à dire</t>
  </si>
  <si>
    <t>Fait le job Fait le job</t>
  </si>
  <si>
    <t>Coussin chauffant pour nuque , cou , épaules dos , jambes Ce coussin en forme de châle est génial  ! * Il  a 3 températures de chauffe différentes 34℃, 39℃ ,,42℃ qui se règle  tout simplement grâce à la molette intégrée au cordon et en plus si vous faite ce moment de détente dans le noir , l 'écran est rétro éclairé;  * La texture du  coussin est en forme de châle , de ce faite il prends super bien la  nuque , les épaules et le haut du dos  et se lasse à l 'avant par un système de bouton pression;  * Vous pouvez aussi le mettre à  plat sur le haut de vos cuisses quand vous êtes assis quand vous lisez par exemple ;  *Le cordon d'alimentation mesure 2,38 mètres il faut donc ne pas se trouver trop loin d 'une prise d 'alimentation</t>
  </si>
  <si>
    <t>Très belle montre Emballage très soigné, la montre est dans une petite pochette.Très belle montre, j'adore!!! Elle est classe.Elle possède 3 cadrans et des aiguilles bleues qui me plaisent bien.En plus, elle est fournie avec un outil pour raccourcir le bracelet, ce qui est bien pratique . Très bon rapport qualité/prix.Rien à redire, je ne suis pas déçue, je la recommande!!! Mon mari ne la lâche plus</t>
  </si>
  <si>
    <t>Rapide Esthétique</t>
  </si>
  <si>
    <t>se servir de support papiers pour colorier pour apprendre a colorier</t>
  </si>
  <si>
    <t>Bon maintient du casque Acheter pour écouter la télé , sans gène l’autre , pour le rapport qualité prix attendre avec le temps</t>
  </si>
  <si>
    <t>Parfait ! Excellent rapport qualité prix. Taille tout à fait correctement. Tissu très doux. Je suis très contente de mon achat. Merci.</t>
  </si>
  <si>
    <t>Excellent rapport qualité/prix Comme toujours chez Timberland, nous avons ici un produit de grande qualité et avec un style vraiment sympa. J'ai offert ces chaussures à mon beau frère qui travaille dans le bâtiment (en extérieur) ; après plusieurs mois d'utilisation, ces chaussures ont très bien résisté, même si certains accrocs commencent à apparaître. Quoi qu'il en soit, si vous en faites une utilisation plus "classique", vous n'aurez vraiment rien à craindre ! Je recommande !</t>
  </si>
  <si>
    <t>tres bon article achat de lameme game depuis des années , toujours satisfaite</t>
  </si>
  <si>
    <t>A acheter les yeux fermés ! Douleurs musculaires, maux de ventre ou simplement pour se réchauffer cette bouillotte aux graines de lin est juste géniale !  Le tissu est agréable 2 min au micro-ondes pour un bébé 4 min pour un adulte , à chaud elle dégage une délicieuse odeur que je trouve apaisante, mais elle peut aussi s’utiliser à froid sur une contusion, foulure ou entorse ! Adoptée par toute la famille !!!!</t>
  </si>
  <si>
    <t>Un peu cher Ça sent très bon mais dommage ça ne dure pas</t>
  </si>
  <si>
    <t>Cartouche d'encre HP 302 Noir Bonjour, j'ai bien reçu ma cartouche d'encre, je rencontre un problème cette cartouche ne va pas, c'est bien la première fois que cela m'arrive, j'ai toujours la même imprimante HP envy 4520, serrait il possible d'avoir une étiquette de retour, et avoir un remplacement de cartouche. je vous remercie de votre compréhension. D. Otuszewski</t>
  </si>
  <si>
    <t>Argent ou plaqué ?? Le vendeur prétend sur son descriptif que c'est un bijou en argent 925 cependant celui-ci  est juste en plaqué argent. Il faudrait que les descriptifs soient très claires pour ne pas induire les clients en erreur</t>
  </si>
  <si>
    <t>après un an d'usage Taille, poches, look, praticité parfaits. Mais après deux jours d'usage le cuir était marqué et après un petit mois les coutures commencent à lâcher. Très décevant, c'est encore une contrefaçon chinoise?  Bon, j'ai réparé à la main la couture qui avait lâché. Un an après ça tient et je n'ai pas eu d'autre mauvaise surprise. Pourvu que ça dure...</t>
  </si>
  <si>
    <t>Satisfaite Comvient tout à fait c'est ce que mon mari voulait cuir rigide assez grand élégnant c'est parfait je le recommande</t>
  </si>
  <si>
    <t>Très bien Très comptant très beau juste le fermoir impeut difficile</t>
  </si>
  <si>
    <t>Pratiques et pas chères ! Achetées pour les enfants de 3 à 6 ans que j'accueille, ils s'amusent bien avec ! Parfois un peu difficiles à décoller, mais rien de bien grave. Arrivées dans les délais impartis.</t>
  </si>
  <si>
    <t>Belle montre automatique et esthétique Très content de mon achat, correspond bien à la description. Bracelet raccourci facilement selon indications trouvées sur Internet.</t>
  </si>
  <si>
    <t>Produit que j'ai offert Bon produit, les couleurs sont belles, elle répond à ses attentes, conforme à la description. Le principe de démontage du bracelet pour ajustage au poignet est génial. Je recommande ce produit</t>
  </si>
  <si>
    <t>Taille nikel Parfait 👌🏾</t>
  </si>
  <si>
    <t>Je recommande ! Et bine la montre est TRES grande comparée aux autres de chez Casio. Pour mon poignee moyen de femme.. J'ai faillit la rendre mais finalement en raccourcissant le bracelet elle est magnifique ! Je recommande !</t>
  </si>
  <si>
    <t>Mignon Franchement, pour un tout petit prix, j'ai reçu un  bracelet en argent du plus bel effet. Je recommande ce produit.</t>
  </si>
  <si>
    <t>bon rapport qualité prix J’ai acheté ce vidéo projecteur pour l’anniversaire de ma fille. Je cherchais un vidéo projecteur pas trop cher. Après quelque jours d’utilisation ma fille est heureuse.  J'ai reçu le vidéoprojecteur rapidement... Conforme à la fiche descriptive, c'est un produit de bonne qualité avec un design réussi et soigné. Très simple à utiliser et à régler. La qualité vidéo est bonne, couleur vive, bonne dimension, bonne luminosité même en projetant directement sur le mur.  Le package est vraiment COMPLET, projecteur bien emballé, le tout bien protégé, une boîte avec les accessoires : télécommande (sans les piles), câble HDMI, câble RCA. Les entrées sont les mêmes : RCA, HDMI et VGA. Le plus la lecture via USB et l'entrée audio. Le son est assez puissant.  Le projecteur et de petit taille. Un réglage keystone en trapeze.  L'ampoule LED, le réglage, la profondeur En bref a ce prix un super projecteur pour créer son cinéma à la maison dans de très bonnes conditions.</t>
  </si>
  <si>
    <t>Parfait Rien à redire surtout pour le prix !</t>
  </si>
  <si>
    <t>Supee Ils sont super. 1 an que nous les utilisons. Ils ne bougent pas. La qualité est la même qu'au début. Super.</t>
  </si>
  <si>
    <t>Livraison rapide, gravure parfaite Produit idéal pour s’amuser à écrire des messages personnels.</t>
  </si>
  <si>
    <t>Casque de qulité Un casque vraiment léger et avec un bon son. Il faut savoir qu'il y a deux sorties une chat et une game ce qui permet ensuite grâce a une molette de régler directement le son du jeu et de skype (par exemple) en ajustant la molette.</t>
  </si>
  <si>
    <t>Un son formidable à un prix accessible. Le confort exceptionnel du casque. Je n'aime le raccordement par câble il y a un crachin à l'écoute  qui disparaît en Bluetooth  sinon qualité  de son extraordinaire  un son équilibré et harmonieux sans exagération dans les basses</t>
  </si>
  <si>
    <t>Bouilloire électrique thérmostat variable. &lt;div id="video-block-R3N6IEK11FB4S7" class="a-section a-spacing-small a-spacing-top-mini video-block"&gt;&lt;/div&gt;&lt;input type="hidden" name="" value="https://images-eu.ssl-images-amazon.com/images/I/917T+51v7cS.mp4" class="video-url"&gt;&lt;input type="hidden" name="" value="https://images-eu.ssl-images-amazon.com/images/I/A18wCGlHWHS.png" class="video-slate-img-url"&gt;&amp;nbsp;Une bouilloire sans fil pour changer de mon ancienne reçu en cadeau lors d'une commande mais qui avait un fil et qui faisait en capacité juste 1 litres. La le top 1.7 litres et sans fil, de plus thermostat réglable que demander de mieux. J'ai vu des commentaire disant qu'elle chauffe doucement or moi pour passer d'une eau à 13° à 100° il a pas fallu 5 minutes. Ce que je trouve relativement correct pour 1.7 litres d'eau. L'eau reste chaude longtemps j'ai vider l'eau 2 heures après elle était toujours bien chaude. Franchement je suis contente de mon achat, qui sert a renouveler mon vieux matériel.</t>
  </si>
  <si>
    <t>Cool Bien</t>
  </si>
  <si>
    <t>Petites chaussures sympa Très bonnes chaussures pour tous les jours, simples mais efficaces. Elles taillent un peu petit, la pointure au dessus permet d'être plus à l'aise, et ce n'est pas trop grand non plus.</t>
  </si>
  <si>
    <t>Parfait Parfait pour son prix mais ne vous attendez à la qualité de beats</t>
  </si>
  <si>
    <t>Bon produit résistant Produit résistant pas besoin de faire attention, aussi bien en ville qu'en balade durant des trekking ou la natation. Le produit à répondu à toutes mes attentes, cela fait plus d'un an que je l'utilise tous les jours.</t>
  </si>
  <si>
    <t>Déçue erreur de photo pour la longueur Le legging est long jusqu'au cheville (je fais 1m71) pas du tout 3/4 comme sur la photo (de retour sur le site, je vois qu'il y a 2 modèles de longueur mais la photo est la même). Reçu hier soir, essayé ce matin puis quitté mais mes jambes m'ont gratté pendant une bonne heure. La texture n'est pas douce reste à voir après lavage avec adoucissant ! Sinon couleur sympa.</t>
  </si>
  <si>
    <t>problème capacité Le cartable est grand mais quand il est rempli on ne peut pas le fermer. Les sangles sont trop courtes</t>
  </si>
  <si>
    <t>Ces cartouches ne fonctionnent pas J'ai acheté ces cartouches car elles étaient moins chères. Elles n'ont fonctionné que pour une dizaine de feuilles, grande déception!</t>
  </si>
  <si>
    <t>Pas vraiment !!! Je fais du 39 ! J’ai commandé 39/40 on dirait du 36 ! J’ai recommandé en 40/42 c’est grand !!! Boffff</t>
  </si>
  <si>
    <t>Esthétisme en retrait Recu dans les temps grâce à Amazon. Par contre la montre n est pas si plate que le dit la description, épaisse par rapport à une montre que j ai ce qui enlève beaucoup le côté minimaliste. Même si elle vient d Angleterre, le fabricant est chinois et c à Shenzhen. Cordialement.</t>
  </si>
  <si>
    <t>très confortables mais ont retréci légèrement aux lavages, si bien que ça devient un peu plus difficile à enfiler, sans nuire au confort une fois en place =)</t>
  </si>
  <si>
    <t>Confortables. Basses un peu trop intenses Comme annoncé sur l’emballage, ces écouteurs sont particulièrement performants dans les très basses fréquences. Je craignais un manque d’équilibre mais pas du tout, les mediums et aigus sont bien présents. Cependant, la qualité d’écoute dépend beaucoup du type de musique.  La notice indique clairement que ces écouteurs sont destinés aux Smartphones. L’impédance est effectivement modérée (40 Ohms à 1KHz) et la fiches jacks contient le signal du microphone (vérifier que son Smartphone est compatible jack à 4 points).  J’ai donc testé le casque essentiellement sur internet, avec mon Smartphone. Sur certaines chansons, les basses sont impressionnantes et donne des sensations ! Pour d’autres musiques, elles peuvent devenir trop intenses. Sur des morceaux comportant beaucoup d’instruments dans les basses/moyennes fréquences, on perd en précision. Pour des jeux-vidéo et les films, les performances sont très intéressantes de par la plage de fréquences 4Hz – 24 000 Hz. Je pense cependant qu’une telle amplitude peut fatiguer pour une écoute prolongée (dépend de chacun et de son accommodation). Le son général n’est cependant pas métallique ou désagréable. Il y a pas de bruit de souffle, ni aucun  grésillement.  Pour les caractéristiques physiques, je trouve les écouteurs très bien conçus. La « grosse » partie cylindrique permet à l’écouteur de prendre appui dans l’oreille sans exercer de pression dans le conduit auditif. On ressent beaucoup moins de gêne qu’avec des écouteurs classiques. Les écouteurs sont livrés avec 4 paires d’embouts silicone de tailles différentes et un sac de transport. Le câble est strié et offre, il est vrai, une meilleure tenue que les câbles plats ordinaires. L’embout Jack est coudé, ce qui est mieux adapté pour un Smartphone logé dans une poche. Le petit module de commande contient au dos le microphone. Je regrette cependant qu’il y a qu’une seul touche « multifonction » pour stopper/reprendre une chanson, répondre à un appel, ou changer de morceau (2 ou 3 pressions rapides). Une application disponible « Smart Key » permet de paramétrer d’autres fonctions comme la gestion du volume. L’utilisation de la touche est un peu fastidieuse, j’aurais préféré un bouton +/- dédié.  Dans l’ensemble, ces écouteurs sont bien finis et sembles très fiables. A l’écoute, ils conviendront  aux personnes en quête de sensations dans les basses fréquences.</t>
  </si>
  <si>
    <t>Bonne taille et bonne qualité Très bien.</t>
  </si>
  <si>
    <t>Pastilles solides Pastilles très solides. Je ne met que 4 étoiles car justement elles sont trop collantes. Je les ai utilisé pour du scrapbooking. Après les avoir collé derrière les photos j’ai constaté la qualité des pastilles. Ça ne se décolle pas. Par contre faut pas se tromper car une fois collé, si on décolle, ça arrache le papier noir de fond</t>
  </si>
  <si>
    <t>Trop belles Géniales un classique les converse!!! Prenez une taille en moins ça taille grand. Je les mets souvent elles s’adaptent à beaucoup de tenues.</t>
  </si>
  <si>
    <t>Super chaussure Je suis contente de mon achat. Un peu serré en largeur mais ça passe (C'est pas la faute de la chaussure, mais de mon pied surement). Livraison rapide. Merci!</t>
  </si>
  <si>
    <t>Haut mixte Pull léger avec capuche stylé. Idéal pour un look sportswear. Je trouve même qu'il est mixte un homme peut le porter aussi et taille correctement</t>
  </si>
  <si>
    <t>Parfait Confortable</t>
  </si>
  <si>
    <t>parfait! Je recommande ce soutient gorge même si on n'a pas fait d'opération car il est extrêmement agréable à porter, il ne sert absolument pas ni aux épaules, ni le buste, ni au niveau des bras. Depuis que je m'y suis habituée je n'arrive plus à mettre un soutient gorge normal à bretelle. Je le recommande aussi pour le sport.</t>
  </si>
  <si>
    <t>Tres bien Je suis illustrateur (golgoth71arts) et ce modèle de feuilles correspond vraiment bien à ce qu'il me faut pour le travail avec des markers à alcool, TOP et un prix très très raisonnable</t>
  </si>
  <si>
    <t>ces cartouches  sont parfaites j'ai été tres heureux quand j'ai vu le resultat apres avoir installé les cartouches JARBO  vraiment aucuns problèmes pour l'installation Quant au sèchage  aux qualités des couleurs  il ni a rien a reprocher donc pas de différence avec les HP un petit conseil votre écran vous signalera " les cartouches ne sont pas installées " il suffit de cliquer OK  et tout va bien J'ai eu un problème avec.une cartouche de ma 1er commande du mois de mars C'est la raison de ma deuxieme commande J'ai vu que vous avez de nouvelle puce  j'ai remplacer la cartouche et tout va bien, le portable indicait cartouche vide  alors quelle était au 3/4</t>
  </si>
  <si>
    <t>Parfaites ! Vraies Converses : contrairement à ce que l’on peut lire dans certains commentaires, ces converses sont authentiques. Même sans étoiles dans le O. C’est ce modèle qui est comme ça. Passé ce détail, côté pointure, choisissez la vôtre. Ça taille parfaitement. Ensuite, pour le look, j’adore la semelle épaisse sans que ce soit exagéré. Ça donne un peu de style par rapport au modèle bas Classic. En blanc ça passe avec tout. À porter avec un jean flare : effet garantit. Je recommande. 👍🏻</t>
  </si>
  <si>
    <t>Super Parfait. De toutes les tailles et de toutes les couleurs. Mon fils de 2 ans est content !</t>
  </si>
  <si>
    <t>Parfait, même sur tissus clairs Les produits Meguiar’s ont plutôt une bonne réputation. A chaque fois que j'ai essayé de prendre une autre marque moins cher j'ai été déçu par le résultat. Ce nettoyant tissu n’échappe pas à la règle.  Depuis que mes enfants sont petits, j'ai toujours fait en sorte d'avoir des sièges en cuir dans la voiture. Certains peuvent penser que c'est un non sens, mais pour ma part, je n'ai jamais rien trouvé de plus facilement nettoyable que le cuir. Mes enfants commençant à être un peu plus grand, j'ai pris le risque pour la dernière voiture d'avoir des sièges mi cuir mi tissu. Pour couronner le tout, ceux ci sont d'une couleur blanc cassé, autant vous dire qu'avec une telle couleur les taches sont très voyantes.  Bref, j'avais des taches noir de graisses sur un de mes sièges,  des taches d’humidités sur tous les autres (ce qui arrive lorsque l'on s'assoie en étant mouillé par la pluie par exemple), ainsi que diverses taches inexpliquées que seuls nos enfants savent les faire. (vous savez, le bout de gâteau ou le morceau de M&amp;amp;M's qui disparaît et que vous retrouvez complètement fondu et collé lorsque vous faites le ménage 6 mois plus tard). Je n'ai eu aucun soucis à nettoyer la partie cuir avec un produit adapté, un chiffon et hop, on en parle plus. Mais pour la partie tissus, je n'avais rien de prévu pour.  J'ai commencé par tester 2 autres produits moins cher trouvés en grande surface et centre auto. Les tache se sont globalement estompées mais restaient un peu visible. Les taches d'humidité, elles, étaient toujours présentes, malgré avoir mis la dose de produit et frotté avec une brosse comme un forcené. Elles ont même pris de l’ampleur. Face au peu de résultat, je me suis tourné vers ce nettoyant Meguiar’s, sans vraiment y croire.  J'ai un peu tendance à me dire que les produits un peu moins cher sont aussi bien que les produits de marque plus cher, que c'est que du marketing et qu'on nous prend pour des pigeons. Et je me méfie aussi lorsque j'entend parler de produit miracle. Mais le je dois dire que j'ai été bluffé. J'ai testé un premier siège en vaporisant du produit dessus, sans en mettre à outrance, puis en frottant énergiquement avec un simple chiffon microfibre, avant de laisser sécher.  Résultat des courses : mes taches ont complètement disparu, et plus aucune trace des taches d'humidité. Je me suis donc empressé de nettoyer mes autres sièges, avec la encore le même résultat. Mes sièges ont retrouvé un teint clair qui avait passé avec le temps. Et l'odeur laissé n'est pas des plus désagréable.  Je n'ai pas grand chose à redire sur ce produit, qui est sans doute dans la fourchette haute en terme de prix de se qui ce fait. Mais le résultat est là. Honnêtement, je ne m'attendais pas à une telle efficacité, surtout sur des sièges très clair. Rien à redire sur la livraison Amazon, le produit est arrivé dans un petit sac étanche qui à éviter que ça coule pendant le transport.</t>
  </si>
  <si>
    <t>Correct Ok</t>
  </si>
  <si>
    <t>colis bien reçu afin d’améliorer l'impression j'ai choisi un produit de la marque HP je vais faire des essais et voir si l’impression sur l' ENVY5540 s’améliore vidage d'une cartouche: impression d'une zone en noir a la place de chiffres !!! (pilote ou imprimante)</t>
  </si>
  <si>
    <t>Article parfait Parfait. Ras</t>
  </si>
  <si>
    <t>super parfaite</t>
  </si>
  <si>
    <t>lettre tré bien la ceinture homme militaire</t>
  </si>
  <si>
    <t>Belle couleur Il tien au chaud mais coupe pas super surtout pour le bas un peu déçu.  Je suis pas sûr qu'il tienne longtps.  Par contre belle couleur</t>
  </si>
  <si>
    <t>pied micro Mauvais trépied, je l'ai reçus avec un impacte ce qui a légèrement fissurer la poignée, il est facile a prendre en main, par contre vous devez savoir que le micro s'accroche sur la partie la plus courte, l'autre partie sert seulement a l'orientez. Et équilibrage est très mauvais, mon micro a tendance a tomber a cause du poids.</t>
  </si>
  <si>
    <t>Mauvaise qualité Apres une journée passée à la plage impossible de remettre le pied dedans la mule a rapetissé au soleil!!!!!!!</t>
  </si>
  <si>
    <t>Produit conforme à l'annonce. Tissu de mauvaise qualité qui plus très rapidement.</t>
  </si>
  <si>
    <t>Micro bas prix bas de gamme Micro reçu rapidement dans un emballage correct Dommage avec une bosse à un endroit Couleur or/ gold décevante pour des enfants Les lumières changeantes restent discrètes Notice pas satisfaisante uniquement en chinois et anglais Prix intéressant pour une première découverte de l'utilisation d'un micro</t>
  </si>
  <si>
    <t>Je recommande Très bien pour l'utilisation souhaitée !</t>
  </si>
  <si>
    <t>Confortables Je les ai utilisées pour  des petites ballades pas très sportive et pour tout les jours . Très confortables et du style</t>
  </si>
  <si>
    <t>Bon produit Montre de tous les jours, jolie et fonctionnelle.</t>
  </si>
  <si>
    <t>Comme vraiment magique Produit vraiment fonctionnel, marche très bien sur les murs et les portes je le recommande vraiment Par contre sa s'use très rapidement</t>
  </si>
  <si>
    <t>Collier invisible avec zircon Très bon produit, je le recommande fortement.</t>
  </si>
  <si>
    <t>Parfait!! Conforme à la photo. Supers chaussures pour des randos. Je chausse entre le 39 et le 40 et j'ai pris du 40. Je suis satisfaite de mon achat.</t>
  </si>
  <si>
    <t>Ergonomique et doux Recommandé par mon kinésithérapeute. Très bonne qualité des surpiqûres et du tissu. Il est aussi ergonomique car s’adapte a votre morphologie. Il garde longtemps la chaleur grâce aux graines de lin. Je recommande</t>
  </si>
  <si>
    <t>Top Un peu bruillant mais fait vraiment bien son travail! Jevais en achter un second sans hesiter!</t>
  </si>
  <si>
    <t>Bouilloire Magnifique Vintage au top un vrai plaisir à faire bouillir Je recommande l’article. Vous ne serez pas déçues du tout</t>
  </si>
  <si>
    <t>Très bonne argile Un argile  à préparer soi-même très facile  à préparer vous avez qu'à ajouter de l'eau et vous avez plus qu'à vous le passé sur le visage laissé agir 10 minutes et rincer à l'eau tiède et votre peau sera encore plus douce au toucher, c'est un produit vraiment super</t>
  </si>
  <si>
    <t>Super casque bcp plus robuste que le model antérieur. Acheter car l’ancien carsque était très fragile au niveau du serrage de tête. Celui-ci est bcp plus robuste et avec un beau design avec cet aspect chrome. Prenez la garantie avec de deux ans supplémentaires. L’ancien nous a été remboursé en totalité. Nous avons pu racheter le model supérieur. Mon fils est ravi.</t>
  </si>
  <si>
    <t>très confortable Impeccable en prenant une taille au dessus Belle finition confortable je suis très satisfait A voir dans la duree</t>
  </si>
  <si>
    <t>LOSMILE Homme Sac d'épaule, beau coloris, tissus résistant, beaucoup de rangement. Recommande. LOSMILE Homme Sac d'épaule tout a fait conforme à la description. Très satisfaite, la grandeur est parfaite, 1 classeur format A4 rentre, beaucoup de rangement, de poches. Très appréciable les poches extérieures, tissus résistant et beau coloris. Le recommande</t>
  </si>
  <si>
    <t>Très bien Le produit correspond a la description et a la photo. Très confortable. Reçu a la date prévus. Merci.</t>
  </si>
  <si>
    <t>Ecouteur bluetooth Bonjour, Connexion facile bon son et confortable. Bon rapport qualité prix.</t>
  </si>
  <si>
    <t>produit de bonne qualité produit de bonne qualité, couleurs vives, expédition rapide et bien emballé, le produit a un bon rapport qualité prix, comme en magasin, de plus la livraison est gratuite, ce qui m'a permis cet achat rapide quelques jours après la rentrée, suite à une nouvelle demande de professeur.</t>
  </si>
  <si>
    <t>Super basket Ma fille les adore on les a choisi pour les entraînements de basket-ball et c'est parfait</t>
  </si>
  <si>
    <t>Je recommande Reçu rapidement,  il ai super , facile d utilisation avec son écran tactile,  il chauffe , décongele, stérilise, on peut mettre 2 biberons a la fois,  des petits pots,  c génial et pratique . Ne prend pas de place  . Je suis conquise</t>
  </si>
  <si>
    <t>Très joli Très joli collier conforme à la photo</t>
  </si>
  <si>
    <t>Beau sweat Cadeau fait pour noël Conforme à la description et à la photo très beau tissu et bel finition</t>
  </si>
  <si>
    <t>Jolies Bonne qualité, cependant très étroites au bout des pieds.</t>
  </si>
  <si>
    <t>Décevantes Destination:Cuisine pro Pas adaptée car très glissantes, le rembourrage en mousse à l’arriere Des chaussures n’est pas fixé, il fait un bourrelet Bref un produit fortement déconseillé</t>
  </si>
  <si>
    <t>Nul J'ai utilisé ce produit pour coller 2 emants sur du bois. Du zéro pointé. Aucun effet... Je ne recommande pas ce produit.</t>
  </si>
  <si>
    <t>Bof qualité mais légère Je m’attendais à mieux reçu juste emballées dans du plastique, avec un choc au bout qui s’est bien remis. Elles ne sont pas aussi belle que sur la photo. Les semelles me semblent très fines... à voir à l’usage. Elles sont très légère c est appréciable.</t>
  </si>
  <si>
    <t>Meilleure réduction de bruit qui justifie peut-être pas le prix Rien à dire. À la première utilisation le casque est vraiment impressionnant par sa réduction de bruits. Même si on finit par s'y habitue, le casque reste très satisfaisant. Peut-être qu'il serait mieux de trouver un autre casque avec un meilleur rapport qualité prix car la réduction de bruits est certes la meilleure mais ne dépasse pas de beaucoup celle d'autres casques moins chers.</t>
  </si>
  <si>
    <t>Mon fils en est très content Le casque a un look sympa pour un enfant et génère un son correct.  Je trouve que le son aurait pu être limité un peu plus: le volume est parfois trop élevé.</t>
  </si>
  <si>
    <t>Très joli collier Produit conforme à la photo par contre il n'y a aucun certificat d'authentification.</t>
  </si>
  <si>
    <t>produit conforme je m'en sers presque tous les jours, elle est très grande ce qui me convient bien, le minuteur est pratique pour savoir depuis combien de temps elle est allumée en revanche pour ce qui est de l'effet je dois dire que même après plusieurs mois d'utilisation je ne sais pas trop...</t>
  </si>
  <si>
    <t>très bien Acheté avec la cafetière assortie, ce grille pain fonctionne très bien. Joli et fonctions intéressantes.</t>
  </si>
  <si>
    <t>Hyper ravie J'ai offert ce bib'Expresso à une amie car j'en ai eu un aussi et nous en sommes super ravis!! L'accessoire indispensable !!! Surtout la nuit...en 30s chrono c'est prêt! Mon amie a tenté de passer au lait de vache car sa fille à eu 1 an mais elle est vitre revenu au lait en poudre car avec le micro-onde le temps de chauffe n'est jamais le même et un coup c'est trop chaud ou un coup c'est pas assez chaud... Je le recommande les yeux fermés et surtout pour offrir!!</t>
  </si>
  <si>
    <t>La meilleure théeire Fonctionnement parfait. Adapter en "perso" suivant le goût et le thé.</t>
  </si>
  <si>
    <t>Soulage Soulage parfaitement les poches sous les yeux : apporte un sentiment de fraicheur instantané. Plus efficace que n'importe quelle crème</t>
  </si>
  <si>
    <t>Un réveil tout en douceur Non ce n’est pas un gadget. Depuis que j’ai opté pour ce réveil pour remplacer mon classique bip bip matinal le réveil est nettement plus agréable. Je n’ai plus à me faire brutalement agresser par une sonnerie assourdissante. C’est également une excellente lampe de chevet, ideale pour la lecture.</t>
  </si>
  <si>
    <t>Très bon produit Câble de bonne qualité.</t>
  </si>
  <si>
    <t>sac bandouiliere totalement satisfaite correspond bien</t>
  </si>
  <si>
    <t>super très bon son</t>
  </si>
  <si>
    <t>Pour un ado Cette marque que je portais ado ( j ai 45ans) et que mon fils porte désormais.... Bref belle qualité au rdv et belles couleurs</t>
  </si>
  <si>
    <t>top excellent produit.</t>
  </si>
  <si>
    <t>très bon achat Légères, souples, confortables, tout est parfait. Avec l'esthétique en plus!</t>
  </si>
  <si>
    <t>tb RAS</t>
  </si>
  <si>
    <t>Super pratique Bon, je vous le dis tout de suite, le côté "anti-colique" me laisse dubitative. Mais, en dehors de ce point, je trouve ce biberon super bien fait. Bonne prise en main, pratique à nettoyer, passe au lave-vaisselle. Mon tout-petit adore les tétines qui vont avec et refuse catégoriquement de boire avec autre chose.  Un petit bémol : les marquages ne sont pas super pratiques pour vérifier la quantité d'eau.</t>
  </si>
  <si>
    <t>Créativité Très bien...</t>
  </si>
  <si>
    <t>sympa .... oui ... je me suis lancée et je ne le quitte plus , lavé ,  séché , et zoup enfilé ..... très bonne matière , ne froisse pas , ne décolore pas , pas besoin de repassage , taille au poil' ....... j'ai dans l'idée d'en faire les frais , d'un autre colorie .... et oui , satisfaite en tous  genres ......................................... merci le vendeur ! ps : et pas cher !!!!</t>
  </si>
  <si>
    <t>Produit de mauvaise qualité Cela ressemble à un sweat mais la matière est trop fine et cela ressemble plus à du T shirt...  De plus, la taille est beaucoup trop grande pour du S... La taille aux épaules est trop grande.</t>
  </si>
  <si>
    <t>A CHIER !!! Clairement je déconseille c’est vraiment nul ! J’ai jamais vu ca je les reçoit , je les synchronise et je les met , eh bah... direct des graisillement , son décaler , ça coupe toute les 3 seconde , je les ai jeter direct , N’ACHETER PAS CETTE DOB</t>
  </si>
  <si>
    <t>Kezaco Alors comment dire ??? Je me demande si ce ne sont pas des chaussettes pour femmes. C'est vrai que la matière est douce et a l'air de bonne qualité, cependant elles sont un peu transparentes et de plus on sent le froid qui passe à travers. Je ne suis pas sur d'en racheter.</t>
  </si>
  <si>
    <t>Montre Diesel Je m attendais à un cadran plus grand pour du Diesel mais tampi elle est quand même sympa ,très bien pour bosser du coup !</t>
  </si>
  <si>
    <t>C'est un bon produit et beau Mais taille trop petit, prendre taille au dessus</t>
  </si>
  <si>
    <t>Masseur à bille Il sent sert de temps en temps je trouve qu' il fait un peut mal au vertèbre haut du coup c est pas le genre de chose dont il faut se servir souvent de temps en temps histoire de soulagement peut être le weekend 10mn mais bon ce produit va juste un p'tit moment</t>
  </si>
  <si>
    <t>Une super bouilloire Elle a juste deux défauts, le 1er le corps de la bouilloire est très brûlant, il faut donc faire très attention de bien prendre la poignée et le deuxième c'est qu'il faut débrancher et re-brancher le fil électrique à chaque utilisation, en même cela fait faire des économies électriques !!!  Super design et le choix des températures parfait pour les différents thés.</t>
  </si>
  <si>
    <t>Un beau bijou. C'est un joli pendentif avec sa chaîne qui a fait son effet . Il est présenté dans une belle boîte. Je recommande sans problème. Merci.</t>
  </si>
  <si>
    <t>Magnifique Livraison très rapide et en avance. Très joli collier avec sa boite et sa pochette de rangement. Plusieurs fois que j’achète chez J.Rpsée et jamais déçu de la qualité des produits.</t>
  </si>
  <si>
    <t>savon qui détache Ne peut pas faire des miracles et faire l'impossible mais avec un peu d'énergie il est très efficace pour les taches récente et difficile a enlever. Personnellement je l'utilise pour détacher avant le passage en machine, les deux cumulés donnent un très bon résultat.</t>
  </si>
  <si>
    <t>nickel Ayant des semelles orthopédiques, il est parfois difficile de trouver des chaussures où je peux les mettre. Là, pas de soucis, je suis très à l'aise dans ces chaussures. Je recommande.</t>
  </si>
  <si>
    <t>Impressionnant Super rapport qualité/prix ! Super grossissement, la molette de réglage est assez sensible ce qui permet une très bonne mise au point. Les photos jointes sont faites sur mes insectes et serpents. Juste une chose, les boutons zoom et snap ne servent pas, j'utilise l'application "otg view" sur android elle me permet d'enregistrer facilement photos et vidéos.</t>
  </si>
  <si>
    <t>Une belle copie du maillot et short officiels Il s'agit d'une très belle copie du maillot et du short. Les articles ne sont pas de la marque officielle Nike, mais si cela ne vous gêne pas, dans ce cas ils sont de bonne qualité</t>
  </si>
  <si>
    <t>Hyper doux Hyper surprise de la douceur de ce pull, vraiment contente, la couleur est la même que sur la photo de presentation, le fil  de la capuche donne un p'tit style, la taille est correcte.</t>
  </si>
  <si>
    <t>Produit J’ai reçu la paires de chaussures 1 jour avant le jour précis je suis très satisfaite ! Très bon produit je le recommande ❤️</t>
  </si>
  <si>
    <t>Parfaite J'avais la même et elle tombée en panne après avoir subi de nombreuses épreuves. J'ai repris la même en espérant qu'elle sera aussi résistante.</t>
  </si>
  <si>
    <t>Je recommande! C’est la deuxième fois que je commande à ce vendeur et c’est tout bonnement parfait à chaque fois. La matière très résistante, le haut se détache du bas ce qui est plutôt pratique ! Reçu en même pas 2/3 jours !</t>
  </si>
  <si>
    <t>Cartouches bien adaptées à mon type d'imprimante. J'utilise ces cartouches pour une imprimante HP Photosmart C5290 Canon. Rien à redire. Excellente qualité. Le prix a, tout de même, pas mal  augmenté. Mériterait de temps en temps de faire des réductions!</t>
  </si>
  <si>
    <t>Livraison rapide et produit conforme Livraison rapide et produit conforme. Produit de bonne qualité, facile d'utilisation et lavage facile. Peut aussi être utilisé avec des biberons d'autres marques si besoin.</t>
  </si>
  <si>
    <t>Conforme Très bien</t>
  </si>
  <si>
    <t>Biberon Produit juste parfait ma fille n’a quasiment pas eu de collique avec les biberons mam.ils sont livré avec des tétines débit 2 se qui permet de donner du lait épaissie. La seul chose négative est la stérilisation car il faut tous démonter chose qui peu être longue au début</t>
  </si>
  <si>
    <t>Contente Les huiles essentielles de base sont présentes dans ce coffret, que j'ai offert avec un petit livre en plus, c'est très complet, le carton de présentation n'est pas très joli pour &amp;amp; cadeau mais le prix est très intéressant donc je ne regrette pas.</t>
  </si>
  <si>
    <t>manque de professionnalisme de l'expediteur Bonjour J'ai reçu l'article cassé avec du scotch pour maintenir la partie haute et basse. C'est lamentable !!!!!! Aucun retour n'est possible sur les produits contenant du liquide !!!! Mise à part, le produit est très efficace sur les sièges et garnitures de portes en tissus.</t>
  </si>
  <si>
    <t>Mauvaise qualité panne rapide Acheté le 30/10/18 et déjà en panne!!!! Que faire?</t>
  </si>
  <si>
    <t>Mauvaise qualité Bracelet cassé tout seul au bout de un mois. Impossible de faire marcher le bluetooth. Casio n'est plus ce qu'il était. J'aurais dû acheter une montre chinoise. Au moins j'aurai moins perdu...</t>
  </si>
  <si>
    <t>Merrel Produit arrivé dans les temps. État et emballage impeccables. Taille adaptée. Par contre, Merrel n'est vraiment plus ce que c'était par le passé. La chaussure s'use relativement rapidement.</t>
  </si>
  <si>
    <t>Un peu déçu par le bracelet qui est un peu trop strass à mon gout.... Comme indiqué dans mon titre, je trouve le bracelet un peu trop étincelant et blingbling à mon gout (modèle cadran blanc et bracelet argent). Sur la photo je ne voyais pas le bracelet si "strass". En effet, ce dernier étant très brillant, cela lui confère un aspect plus féminin que masculin. Je vais voir pour le changer car je trouve malgré tout le cadran très joli, fin et élégant.</t>
  </si>
  <si>
    <t>Baskets comme sur la photo Belle basket comme sur la photo avec les 2 lacets une paire satiné et une autre normale ! Taille normalement !</t>
  </si>
  <si>
    <t>nickel le vert est vraiment vert, j'adore! Bien taillé, agréable à porter, du pur sweat! capuche pas aussi grande que dans mes rêves... mais je rêve beaucoup... génial, surtout pour son prix! ;-)</t>
  </si>
  <si>
    <t>Belle montre très pratique -Excellent rapport qualité-prix. Montre reçue très rapidement dans son emballage d'origine, état neuf. Tout se passe bien a condition de respecter la procédure de configuration indiquée dans le manuel d'utilisation (a lire soigneusement), a savoir:   - Impérativement, commencer par la sélection de la région où sera utilisé la montre; en l'occurrence  j'ai sélectionné PARIS (PAR), puis j'ai suivi la procédure de réglage; a cet égard, il faut souligner la possibilité de régler les indications de jour, date en français qui est un vrai plus! Ensuite, le soir avant le coucher poser la montre en position 12 heures orientée vers le Nord afin quelle se mette automatiquement a l'heure, au jour et a la date exactes dès Minuit. Le bracelet métallique étant trop long, j'ai dû retirer 4 maillons afin de le régler au contour de mon poignet, et ce sans difficulté particulière grâce aux tutos vidéo diffusés sur internet; sinon, le bijoutier se fera un plaisir de le faire moyennant 10 €.  Je suis très satisfait de mon achat qui présente un rapport qualité-prix exceptionnel.</t>
  </si>
  <si>
    <t>cartouche d'encre black j'ai acheter c'est cartouches d'encre noir pour canon et je suis satisfait de la qualité et son prix,je recommande ce produit</t>
  </si>
  <si>
    <t>Réduction du bruit extra Je passe d'un Beat Studio 3 à ce Sony. Ce dernier est plus léger, le son plus équilibré. L'application permet de regler les différents mode de réduction de bruit (Bureau, Marche, Course, Transports), vous pouvez filtrer les voix des autres bruits. La finition est aussi bonne qu'un Bose Q35ii. La housse de transport légère et bien finie. Un super produit. Il englobe bien les oreilles sans les compresser (ce que je reprochais à mon Beat).</t>
  </si>
  <si>
    <t>super pratique J'ai commander ce sac de poitrine pour une excursion le week end dernier et je doit dire qu'il est super pratique, il est de bonne qualité et la bandoulière vraiment agréable même après plusieurs heures à mon épaule avec le sac plein aucune douleurs ce qui n'est pas le cas de mon précédent sac tout reste a porte de main donc super pratique ;)</t>
  </si>
  <si>
    <t>Classique Conforme à mes attentes</t>
  </si>
  <si>
    <t>chaude SUPER ! Fourrées bien chaudement,dessu imperméable. Jamais les pieds mouillés. Les bottines sont confortables comme un gant. Pour la poiture, il faut prendre une taille de plus.</t>
  </si>
  <si>
    <t>pas déçue très joli, je serai fière de l'offrir</t>
  </si>
  <si>
    <t>Détente et soulagement Après une opération d'une prothèse  (1mois1/2), détient et soulagé bien. Les électrodes un peu léger on ne les sens pas vraiment. Sinon dans l'ensemble produit très correct.</t>
  </si>
  <si>
    <t>Bonne montre Très jolie montre.</t>
  </si>
  <si>
    <t>patafix très bon produit!</t>
  </si>
  <si>
    <t>super très confortable agréable à porté parfait pour le sport</t>
  </si>
  <si>
    <t>Produit parfait Facile à régler et lumières très douce.</t>
  </si>
  <si>
    <t>Très contente Livré dans une jolie boite, la présentation est soignée. Le bracelet est très joli et fait son effet. Présent mais pas imposant il est parfait pour des soirées ou évènements.</t>
  </si>
  <si>
    <t>Très bien ! Lampe de lumino performante qui diffuse une belle lumière du jour. Permet de se réveiller de bonne humeur. En hiver ça fait un bien fou au moral :)</t>
  </si>
  <si>
    <t>la basse cour au réveil Un bon reveil, clair et qui amuse mes filles.</t>
  </si>
  <si>
    <t>satisfait je l'ai installé tout de suite pour enlever l'humidité dans une petite pièce et ça fonctionne très bien.Certains produits stockés présentaient de la condensation,celle ci n'est plus.Très bien.</t>
  </si>
  <si>
    <t>Très jolie Alors, en lisant certains commentaires négatifs, j'ai faillit ne pas l'acheter. Puis j'ai écouté mon instinct et j'ai bien eu raison. Je suis très contente de cette veste. Belle coupe, belles couture, très élégante. Elle me va comme il le faut. Je l'ai acheté pour cette période, pour la mi-saison. Veste parfaite pour la mi-saison. Le prix est bien abordable. Je recommande</t>
  </si>
  <si>
    <t>Pas précis et donc inutile. Attention ! Je n’avais pas lu les indications techniques qui précisent bien : “Tolérance de température: +/- 2,0 ° F (+/- 1,1 ° C)” Et effectivement en les plaçant côte à côte je constate 2 degrés d’écart entre la sonde extérieure et la base. Je ne comprend pas comment on pourrait se satisfaire d’une telle imprécision. Je vais donc le renvoyer. C’est bien dommage car à part cela tout le reste est bien; affichage, installation, documentation.</t>
  </si>
  <si>
    <t>Trop grandes Trop grandes</t>
  </si>
  <si>
    <t>Banal je suis déçu Article banal je suis decu</t>
  </si>
  <si>
    <t>rien de special pour marcher bien sur excusez mais question bête réponse idiote</t>
  </si>
  <si>
    <t>une paire de chaussure légère et confortable Une bonne paire de chaussure abordable et légère. Maintien bien le pied. Une belle coupe. Matière semble assez solide, à voir sur la distance.</t>
  </si>
  <si>
    <t>Petit cadeau sympa Joli pour un cadeau... un peu petit</t>
  </si>
  <si>
    <t>dommage Quel dommage j'ai pris un xxl pour être tranquille hélas il taille un peu petit donc me vas juste juste. Sinon il est de bonne manufacture et me plais beaucoup.  Juste pensé a prendre un taille au dessus. la couleur est conforme</t>
  </si>
  <si>
    <t>Pour 1 pied qui tourne ce qui est le cas d'un des miens il n'y a pas de maintien donc cela se voit Bonjour J'ai des grands pieds chaussures très confortables faciles à mettre avec 1 look assez singulier long pied pour 1 grande pointure 42 par exemple Si le pied a tendance a tourner ce qui est le cas d'1 de mes pieds il n'y a pas de maintien réel la solution est probablement de prendre du 43 ce qui est possible avec une semelle... Autrement le rendu n'est pas beau pour le pied qui tourne</t>
  </si>
  <si>
    <t>calendrier banque 270x210. ce produit est bien celui que j'ai commandé , il est arrivé dans son emballage correct . je suis contente de cet achat .</t>
  </si>
  <si>
    <t>LIGE Hommes Montre Comme dans l'explication, Grande montre, Superbes couleurs, Absolument confortable, Je l'ai aimé, Je les recommande.</t>
  </si>
  <si>
    <t>Résistante Tiens biens au poignet, est parfaitement étanche. Je ne l'enlève quasi-jamais, est toujours sur mon poignet depuis 3 mois et fonctionne toujours malgré tout se que je lui ai fais subir</t>
  </si>
  <si>
    <t>superbe très jolies boucles d'oreilles, raffinées, impeccables en couleur argent, elles sont vraiment très jolies, de taille parfaite j'en suis très contente</t>
  </si>
  <si>
    <t>Très pratique Ce micro ne prend pas de place et est très pratique à utiliser. Pas de pile et pas d'interrupteur à allumer. Associé à une bonnette anti vent, vous aurez un très bon son. De plus, RODE est une marque que l'on ne présente plus.</t>
  </si>
  <si>
    <t>👍🏼 👍🏼</t>
  </si>
  <si>
    <t>La qualité Losvick J'aime beaucoup ce écouteurs. Le son était nettement meilleur que cela que j'avais auparavant. Le son est correcte. L'écouteur est de bonne qualité de son. Je suis satisfait. Je recommande.</t>
  </si>
  <si>
    <t>Superbe Diffuseur Diffuseur d'huiles essentielles, bonne contenance, longue durée d'utilisation et très agréable avec les couleurs changeantes. Forme moderne , s'adapte parfaitement dans tous les intérieurs. je suis satisfait</t>
  </si>
  <si>
    <t>Très bon idée de cadeau ! Très joli ! J'ai acheté ce bijou pour l'offrir à ma belle sœur comme cadeau d'anniversaire. Elle l'a adoré ! Le vert est sa couleur préférée et elle a adoré ce joli vert. De plus ce bijou est brillant et pas trop imposant. Très bonne idée de cadeau !</t>
  </si>
  <si>
    <t>Très satisfaite Je suis très contente de mon achat, le produit est conforme à la photo. Couleur super sympa, livraison rapide comme à chaque fois. Je recommande vivement</t>
  </si>
  <si>
    <t>Ma fille est fan La qualité de ce micro est surprenante pour un jouet. Une fois les enfants couchés, ça nous arrive de s'en servir pour des soirées karaoké entre potes. On peut même faire une installation de pro : la chanson vient du téléphone via bluetooth sur le micro, puis le son du micro (chanson + voix) part vers une enceinte. On se croirait en concert !</t>
  </si>
  <si>
    <t>Pratique Pratique</t>
  </si>
  <si>
    <t>Confortable Baskets de Running très confortable</t>
  </si>
  <si>
    <t>recyclé et super solide il n'y a qu'a comparer le diamètre du rouleau de handy bag normaux (soit disant super résistant) et celui des sacs recyclés. et on comprends vite pourquoi ils sont super résistant, les recyclés…... en plus d'utiliser des sacs recyclés ce qui est bien pour l'homme….</t>
  </si>
  <si>
    <t>Très bon achat Très confortable, très bon frottement, doux et léger</t>
  </si>
  <si>
    <t>Vans platform Belle ligne!! Confortables,</t>
  </si>
  <si>
    <t>Fonctionalités décevantes Pour remplacer ma bassine.. qui est beaucoup plus simple à nettoyer... La chaleur est maintenue ce qui est pratique. Pas contre je n'ai pas essayé de mettre de l'eau froide pour voir le temps nécessaire à monter à la température réclamée. Les bulles sont là. Les voyants rouges aussi... j'ignore si cela sert à quelque chose au final. Les picots massant font plus mal qu'autre chose et ne sont pas vibrant. Il faut bouger le pied pour que cela serve. Et donc si vous bougez de trop, vous inondez autour du bac. Je n'ai pas ressenti d'autre vibration à part celle des remous. Quant à l'accessoire centrale avec les 3 ustensiles... il tourne si vous appuyez dessus avec la main... mais pas avec le pied.. en tout cas avec les miens, le mécanisme se bloque aussi sec. Il faut vraiment avoir le pied léger  pour ne pas appuyer. Conclusion. Trop cher par rapport a ceux qui ne proposent pas toutes ces options. (acheté 44 euros)</t>
  </si>
  <si>
    <t>Nul Très molaire qualité Le bracelet a cassé dès le premier jour. Ma fille était triste. Je déconseille de l'acheter</t>
  </si>
  <si>
    <t>Pas terrible Talle trop grand et grimaces aux coutures</t>
  </si>
  <si>
    <t>Chauffe matelas Beurer Ceci est un chauffe matelas et non une couverture, ça ne peut pas faire double emploi car trop rigide. Très content de ce chauffe matelas. Mis en route 1h avant de se mettre au lit en position 1 sur 3 (ou 20 min en position 3 sur 3) et mon lit est un vrai nid douillet! Dans le détail: - Positionné sous un sur-matelas il est imperceptible. Il paraît assez molletonné mais je n'ai pas trouvé qu'il était aussi discret s'il est juste placé sous un drap housse, ça reste largement acceptable rassurez-vous. - Les télécommandes filaires sont rétroéclairées ce qui est bien pratique. - J'ai positionné les 2 télécommandes au pied du lit pour ne pas être gêné par le système électrique - La position 3 chauffe beaucoup (trop?) - Il n'y a pas de minuterie, mais ça ne me manque pas puisque je l'éteins au moment de me coucher. - C'est à priori fabriqué en Allemagne et c'est surtout garanti 5 ans avec un sav qui paraît au top (numéro de téléphone non surtaxé), et ça c'est important! - Je ne vais pas être joueur, je ne compte donc pas le laver en machine même si la notice le permet avec parcimonie. - Question consommation électrique j'ai mesuré en prenant une base large (février 2017) à 0,15€ le kWh :  position 1 = 42 watts pour l'ensemble du matelas = grosso modo 0,006€ de l'heure  position 2 = 60 watts pour l'ensemble du matelas = grosso modo 0,009€ de l'heure  position 3 = 134 watts pour l'ensemble du matelas = grosso modo 0,018€ de l'heure Soit 1h par soir pendant 6 mois en position 1 = 1,10€ d'électricité pour les 6 mois d'hiver! (pareil si c'est 20 min par soir en position 3)  Autant dire que c'est symbolique. Dans mon cas c'est même devenu un élément économique puisque j'avais l'habitude de mettre en route un chauffage de 1500 watts pendant 1 heure pour réchauffer la chambre, ce qui correspond à une consommation électrique de 41€ pour 6 mois, en fait c'est même l'économie générée sur un hiver qui m'a payé le chauffe matelas!! Pourquoi 4 étoiles et pas 5? Parce que j'ai dû mettre la télécommande au pied du lit pour ne pas être gêné par le câble et le petit boîtier électrique, du coup l'accès à la télécommande est moins pratique.</t>
  </si>
  <si>
    <t>LiSmile Ensemble de Pinceau de Peinture a l Huile, Pinceau de Gouache, Pinceaux d Aquarelle, Je n'ai pas eu l'occasion, de les utiliser mais à l'examen c'est un bon produit qui répond bien à mes attentes. Les pinceau sont bien à tenir en main et j'ai hâte de les tester.</t>
  </si>
  <si>
    <t>pratique pour thème ou tisane utilisée pour faire du thé : le système est un peu difficile à revisser mais la position haute est bien maintenue (à voir à l'usage...). Notice peu explicite : des procès à faire !!!!</t>
  </si>
  <si>
    <t>Pour HP Envy 5644 Convient à mon imprimante HP Envy 5644. Amazon permet d'avoir un des prix les plus bas, parce qu'on a franchement le ressenti de faire de moins en moins de copies avec les mêmes cartouches ! Et l'encre doit revenir cher au litre. Mais bon, fabricants et vendeurs savent que l'on est obligés d'y passer, alors, on apprend à imprimer ou à copier qu'en cas de nécessité absolue ....</t>
  </si>
  <si>
    <t>Fantastique mais un peu trop gros Je le sers de ce casque tout les jours au bureau, il est génial ! Confort, le son hyper quali, dans l avion c est un bonheur avec la réduction du bruit faut il encore le prendre en voyage car il est encombrant !bref génial !</t>
  </si>
  <si>
    <t>Impeccable RAS sur le produit et la livraison. Le choix de la température est génial, en tant qu'amateur de thé.</t>
  </si>
  <si>
    <t>Top Je chausse du 43 en taille basket Et j ai prit du 42 et c est nickel</t>
  </si>
  <si>
    <t>Pratique Modèle sympa, je recommande</t>
  </si>
  <si>
    <t>bon achat tétine conforme à mes attentes. La sortie du liquide sur le dessus au lieu du bout comme les autres tétines correspond parfaitement à mon fils.</t>
  </si>
  <si>
    <t>Dr Martens au top J'ai choisi de commander via se site pour: 1 : avoir des Dr Martens (ma 1ere paire remonte au année lycée.....Dr Martens verte ) 2 : a un prix défiant toutes concurrences 3 : avec une livraison gratuite et rapide ( livraison en 4 jours seulement ) 4 : etat impeccable. 5 : je le recommande à mes amis ^^</t>
  </si>
  <si>
    <t>Vraiment très pratique! Si vous avez un petit bébé qui boit régulièrement ou occasionnellement un biberon, voici un gadget qui vous simplifiera bien la vie lors d'un voyage. En effet, on met le biberon dans le petit sac, on branche le sac et au bout de quelques minutes, le biberon est à la température idéale. On peut aussi l'employer pour faire chauffer de l'eau pour la toilette de bébé si l'on doit le changer sur une aire d'autoroute. Et plus tard quand bébé ne sera plus un bébé mais une petite fille ou un petit garçon on pourra lui faire chauffer son lait chocolaté dans la voiture quand on partira en vacances. Et pourquoi pas l'utiliser à la maison aussi? Il suffit pour cela de s'équiper d'un adaptateur pour pouvoir le brancher sur le secteur. Vraiment pratique et peu encombrant!</t>
  </si>
  <si>
    <t>Parfait Livré très rapidement. Produit qui correspond à mes attentes. Le choix de la température est un plus très appréciable et le maintien au chaud également. Je recommande ce produit.</t>
  </si>
  <si>
    <t>Bien Petit trepied tres bien</t>
  </si>
  <si>
    <t>Satisfaite Il a l'air petit à l'arrivée,mais en organisant tout rentre. (Papiers, porte feuille, portable, etc...) La qualité est excellente, le cuir est souple. Je l'ai imperméabilisé de suite, et il n'a aucune tache depuis. (Reçu en février 2018). L'odeur n'a pas été dérangeante. C'est l'odeur du cuir. Elle n'est pas trop forte, et avec le temps elle s'estompe. Les attaches sont réglables. Reçu avec un petit mot de l'artisan, c'est sympa.</t>
  </si>
  <si>
    <t>Sweatshirt Gildan pour homme, léger mais chaud. agréablement surpris reçu avec quelques jours d'avance, pourtant en provenance outre-manche. Le Sweat-shirt : j'ai choisis la taille 2XL pour mes vestes (j'adore être à l'aise dans les vêtement). Couleur noir respectée comme sur photo, Bien coupé, agréable à même le corps, tout à la fois léger mais chaud, Très franchement le rapport Q/P est excellent pour un sweat de cette gamme et comme je ne peut pas y mettre plus cher ;-) dès Janvier j'en recommanderais 2 autres de couleur différente.</t>
  </si>
  <si>
    <t>Impeccables Parfaites en taille et confort</t>
  </si>
  <si>
    <t>Bouilloire Cette  bouilloire et magnifique et chic j’adore 👍👍👍merci mon meilleur site Amazon</t>
  </si>
  <si>
    <t>❤️ Magnifique</t>
  </si>
  <si>
    <t>Qualité au top Le casque est vraiment top, j'aime beaucoup le fait qu'il ressemble grandement a un modèle concurrent .</t>
  </si>
  <si>
    <t>Déçu... Emballé à la réception, la taille, souplesse, légèreté, couleur, tout était top... par contre à peine utilisé que je me suis retrouvé avec une des tirettes dans la main. Je ne sais pas si c'était un défaut sur ce modèle précisément, mais du coup je ne saurais conseillé ce modèle. Et personnellement, je ne reprendrais plus un sac de cette marque.</t>
  </si>
  <si>
    <t>Des coups de joute ! 3 mois que j'ai reçu les écouteurs, jusqu'ici mis à part les mousses des écouteurs qui partent très vite en miette tout allait bien, mais tout aussi étrange que cela puisse être, ça fait 2x que je me prend des coups de joutes dans les oreilles lors de l'utilisation, le son étant à 1/3 de volume. c'est très désagréable, je n’ose plus les mettre... Dommage le son est pourtant pas mal ...</t>
  </si>
  <si>
    <t>Déçu!!!!!! Déçu !!!</t>
  </si>
  <si>
    <t>Problème de fermeture zip Sac fourre-tout de tout les jours. Des qu il est un peu chargé, la fermeture avant a du mal a fermer.un petit défaut quand on le porte en bandoulière il a tendance a glissé sur le côté  + De bonne qualité des matériaux assemblée bien réalisé - fermeture cette " étanche" mais pas pratique a l utilisation</t>
  </si>
  <si>
    <t>Pas mal mais ! Le câble est vraiment trop petit !!!! Je la rends car je ne peux la mettre nul part et je ne compte pas prendre de rallonge, les prises sont faite sur mesure...  Merci</t>
  </si>
  <si>
    <t>Excellent mais... Ayant besoin d'une perche mobile, pas comme celle que j'ai prise à 15€, pas chère mais nul, je me  suis dis quand mettant le prix, j'aurai de la qualité. Et bien c'est le cas avec cette perche rode de très bonne qualité. Attention au déballage, la perche va ce tendre. Au début, j'avais peur que ça ne fonctionne pas, mais une fois l'installation faite (juste le pied à visser à la table et à mettre la perche dans le trou), et le micro installé dessus, on peut mettre la perche dans n'importe quel position et c'est super agréable. Cependant, un jeu ce fais entendre au niveau du coude avec un grincement lorsque je tend la perche. Je vais attendre encore un voir comment ça ce passe avant de le renvoyer.</t>
  </si>
  <si>
    <t>prix intéressant un grand basique la Converse blanche, ici elle était moins chère que sur d'autres sites! Hélas arrivée le lendemain de la date (cadeau d'anniversaire) prévue...</t>
  </si>
  <si>
    <t>Microbiberon Bonjour,   Le produit est conforme à la description, il remplit bien son rôle, je laisse à chacun le soin d'avoir une opinion complémentaire.  Cordialement,</t>
  </si>
  <si>
    <t>mules cool impeccable</t>
  </si>
  <si>
    <t>Bon pour bébé, bon pour les parents Ce kit de naissance est le cadeau idéal: les biberons sont en verre, garantis sans substance toxique, les tétines agréables, et le tout se nettoie très facilement avec le goupillon fourni. Des produits d'excellente qualité, et toujours utiles.</t>
  </si>
  <si>
    <t>Très satisfaite ! Adoptée sans problème (après quelques bib tout de même mais peu) par ma fille allaitée exclusivement au sein pendant 1 mois. Pas de collique (quelques pleurs mais 10 min tout au plus) puis à 1 mois et demi tout rentre dans l'ordre. J'avais déjà utilisé ces tétines pour mon fils, très satisfaite je ne suis toujours pas déçue !</t>
  </si>
  <si>
    <t>Pratique et jolie Vraiment contente</t>
  </si>
  <si>
    <t>Très bien De très bonne qualité, confortables et très jolies. Continuer à vendre de bons produits c'est très rassurant pour nous acheteur.</t>
  </si>
  <si>
    <t>Du papier 90 gr J'avais acheté du papier 80 gr Clairefontaine précédemment pour mon imprimante Canon couleur mais je trouvais cela un peu fin. Du coup je suis passé au 90 gr et c'est parfait ! Juste le bon grammage. Le rendu est plus propre. C'est un bon papier, bien blanc, arrivé bien emballé. Tout est donc parfait.</t>
  </si>
  <si>
    <t>basket confortable Très satisfait de ces baskets, solide confortable prix raisonnable, je reviens souvent a ce model. Je les conseille pour le quotidien</t>
  </si>
  <si>
    <t>Bon produit Arrivé dans les temps. Emballage Ok. Produit efficace recouvre bien la chaussure facile d’utilisation. Je recommande ce produit pour les chaussures en daim.</t>
  </si>
  <si>
    <t>Bon produit La sensation de fraicheur est un vrai plaisir, bonne qualité.</t>
  </si>
  <si>
    <t>Très  chaussures correspond à ce qui était prévu Ok</t>
  </si>
  <si>
    <t>encre de bonne qualité reçu dans les plus bref délai encre de bonne qualité et l'article dure longtemps tres bon produit qualité prix</t>
  </si>
  <si>
    <t>Légères pour les petits Baskets légères et confortables. Mais pas si facile à enfiler pour les petits</t>
  </si>
  <si>
    <t>bonjour et merci c'est tout simplement génial bonjour, génial - Merci !!! pier</t>
  </si>
  <si>
    <t>Succès Un grand succès ma fille va faire des émules belle matière belle couleur très chic vivement le primtemps pour les entraîné</t>
  </si>
  <si>
    <t>Authentique Vans Rien à dire parfait. Ça taille normal je fais du 42 et ça me va très bien. Elles sont comme sur l’annonce</t>
  </si>
  <si>
    <t>Tres bonne qualité 👍🏼</t>
  </si>
  <si>
    <t>Déçue Déçue. Le joint n’est pas adapté.</t>
  </si>
  <si>
    <t>Oui mais bon Produit de bonne qualité de visu mais une fois branché sur un instrument et un Di, on a beaucoup de bruits et ça buzz de partout. J’en ai acheté 2 malheureusement, j’aurai du prendre un peu plus cher mais avec qualité assurée</t>
  </si>
  <si>
    <t>Juste 3 mois Après moins de 3 mois d’utilisation l’appare Ne marche plus. Je ne sais pas si c’est moi ou l’appare Mais c’est embêtant.</t>
  </si>
  <si>
    <t>Belles étiquettes mais pas assez de corde Les étiquettes sont belles : belle couleur, effet naturel, juste assez épaisse. Par contre, la corde fournie ne permet d'en utiliser sur 10.</t>
  </si>
  <si>
    <t>Feutres à contours uniquement De belles couleurs. Seuls bémol: trop fin pour colorier. Pratique pour les contours seuls.</t>
  </si>
  <si>
    <t>Jolies Taille un peu grand, une demi pointe en moins aurait été mieux Très jolies avec ses 2 paires de lacets La languette est maintenue par un élastique de chaque côté, ce qui fait que l'utilisation de lacets reste esthétique, le hic est que si on a le pied fort ou bombé, ces élastiques peuvent rendre le confort moindre au bout de quelques heures</t>
  </si>
  <si>
    <t>Top! J'adore, le style de fait remarquer, la montre est plutôt robuste, suffisamment étanche pour se laver les mains, et aucun signe de faiblesse après 3 mois. Seul bémol, pas de rétro-éclairage.</t>
  </si>
  <si>
    <t>confortable Je viens de les recevoir ils sont confortable je vous dirais dans 6 mois s'ils sont solides!</t>
  </si>
  <si>
    <t>Mi-chaussettes noire et blanche Mi-chaussettes noire et blanche au look sympa. Très bien pour mettre dans les petites chaussures d été. Taille comme prévu.</t>
  </si>
  <si>
    <t>pull femme je l ai acheté pour offrir a ma fille, le pull est adapté comme prévu et donne un bon rendu, ma fille est contente de son cadeau</t>
  </si>
  <si>
    <t>Nécessaire ! Pas de problème, mais il faut acheter également l'autre cordon pour se raccorder à l'iPhone. Concernant, le raccordement à l'accessoire USB C pour la DJI OSMO Pocket le cordon d'origine est bon.</t>
  </si>
  <si>
    <t>Très satisfait Bandeau génial, so adapté au tête ado, adulte, correspond exactement à ce que je voulais,emballage impeccable,et bonne matière, je recommande ceux vendeur</t>
  </si>
  <si>
    <t>théhière très pratique à utiliser car on peut soustraire le thé lorsque l'on a obtenu l'infusion souhaitée. J'ai déjà utilisé ce type de théière et j'en suis très contente. Les matériaux sont sains et neutre (verre et inox) et ne risque pas de modifier le goût des thés .</t>
  </si>
  <si>
    <t>agréable bracelet Beau produit agréable à porter. Les détails du bracelet vont très bien. Presque proche de la perfection. Fortement recommandé.</t>
  </si>
  <si>
    <t>Colle bien Très bons rouleaux, collent bien et facile à dérouler. Je recommande.</t>
  </si>
  <si>
    <t>Clips pour guirlandes murales Ils sont parfaits!!!</t>
  </si>
  <si>
    <t>Très satisfaite merci Très satisfaite merci</t>
  </si>
  <si>
    <t>parfait j'ai choisi ce produit vu sa réputation il est facile a monter , maniable ,solide  il devrait peut être juste réduire les espèce d'écrou qui tient la vis principale !!</t>
  </si>
  <si>
    <t>Trieur de qualité J'ai reçu 1 trieur à la maison. Et pile de la couleur préférée en plus il est de bonne qualité et ne sais pas détérioré depuis le début de l'utilisation. Je recommande ce produit.</t>
  </si>
  <si>
    <t>Parfait Au top merci</t>
  </si>
  <si>
    <t>Parfaite J'adore cette montre. Elle est exactement comme je la voulais à un prix moindre que chez un bijoutier. Produit de qualité, je la recommande.</t>
  </si>
  <si>
    <t>Bon produit ! Nous sommes très satisfaits du produit !</t>
  </si>
  <si>
    <t>un petit effet! parfait pour une soirée!</t>
  </si>
  <si>
    <t>Parfait pour bébé Nous lavons tout les vetemes de bébé avec cette lessive. Ca ne sent pas la fameuse marque de lessive mais les vetements sont propres et sains. et une fois habitué à cette nouvelle odeur. On ne fait plus attention. ainsi on peut habiller bébé avec des vetements non contaminé par des perturbateurs endocriniens...</t>
  </si>
  <si>
    <t>pas terrible Côté pratique ça ne laisse pas de poussière de craie. Mais ça laisse des traces indélébiles sur mon tableau noir tout neuf. J'ai été obligé de le repeindre. Cher pour des marqueurs que je ne peux pas utiliser</t>
  </si>
  <si>
    <t>Bof J'avais beaucoup entendu parler des crocs et j'en avais bien sur vu ... J'ai jamais aimé, mais on m'a vanté l'aspect confort, j'ai donc profité de ce test pour vérifier !  Réglons tout de suite l’aspect subjectif : l’esthétique, je n'arrive même pas à comprendre comment on peut trouver ces trucs "elegantes" ou encore "très beau" ... C'est juste moche !!! Seuls les modèles pour tout petits sont amusants, mais passé 6 ans ... Ca c'est fait !  Coté taille, je fais du 42 à 42.5 selon les marques, là le 42-43 est clairement trop grand (j'ai même vérifié sous la semelle pour m'assurer que c'était la bonne taille). Même avec la sangle réglable le pieds flotte en largeur (j’entends beaucoup même pour un "sabot"), inimaginable donc de marcher autrement qu'en mode "ballade" avec, et encore. Le confort ... La souplesse de la semelle n'est pas désagréable et les picots ne se sentent plus au bout de quelques secondes. Par contre on transpire assez vite malgré les aérations sur le tour du pied, le plastique n'absorbant rien et n'étant pas respirant, on "macère" vite dans son jus ! Ignoble ! Seul intérêt que j'ai trouvé : utilisation en travaux légers pour l'été, le dessus cuir apportant une petite protection et le "sabot" permettant de enlever / mettre facilement.  Dernier point : le prix : cher (plus de  35 € à ce jour) pour un ersatz de sabot en plastique que même deux pauvres morceaux de cuir ne parviennent pas à rattraper !  En bref : C'est moche, on transpire, le pied n'est pas tenu -&amp;gt; première et dernière expérience en crocs.</t>
  </si>
  <si>
    <t>Déçu pour des écouteurs d'origine Un côté fonctionne après une journée  d'utilisation. Sans raison ou même de mauvaise utilisation. Il pénible de se faire avoir</t>
  </si>
  <si>
    <t>deçue Selon les avis, je pensais l'utiliser pour un spectacle amateur avec un fond musical. Malheureusement, cela ne convient pas du tout car il y a un écho quand on parle...Toutefois, le retour et le remboursement est  rapide avec prime.</t>
  </si>
  <si>
    <t>Cadeau Bien pour un cadeau</t>
  </si>
  <si>
    <t>Comme prévu Bonne coupe, bonne qualité. C'est effectivement un t-shirt à manches longues. La taille convient parfaitement si l'on se réfère au tableau du fabricant.</t>
  </si>
  <si>
    <t>Satisfaite mais au deuxième coup Satisfaite du produit en lui même, je le recommande. Par contre j ai du le renvoyer une premier fois car la fonction chaleur était défaillante. Le retour et remplacement de l'article à été très facile en point relais et super rapide !</t>
  </si>
  <si>
    <t>Fait bien sont travail C'est un dérouleur à pastilles adhésives. Très simple d'utilisation et colle parfaitement en double face ! Idéal pour coller des photos dans un album</t>
  </si>
  <si>
    <t>Article de bonne facture Très beau bracelet, positive attitude ;) Merci</t>
  </si>
  <si>
    <t>Lampe led Colis reçu rapidement. J'ai pris cette lampe pour m'éclairer quand je fais les ongles. Il faut toujours un brin de lumière au-dessus pour mieux voir. Elle s'accroche sur la table donc très pratique quand je dois me déplacer. La Led éclairé très bien et ne fait pas mal aux yeux comparé à d'autres.</t>
  </si>
  <si>
    <t>Conforme à la description Trés bon rapport qualité prix pour cet objet. Reception dans les temps et soignée. Le cuir est un peu dur au début mais avec un peu de temps il s'assoupli et devient nickel</t>
  </si>
  <si>
    <t>Belle montre Très bel objet avec un joli contraste entre le noir et l'or des chiffres qui favorise la lecture . Le bracelet offre un réglage facile.Je suis très satisfait de cet achat et le recommande pour son prix compétitif et son look agréable</t>
  </si>
  <si>
    <t>très bien merci très bien merci</t>
  </si>
  <si>
    <t>Rien à dire ! Acheté samedi reçu ce jour! Très bon rapport / qualité / prix ! De plus, le produit est très bien emballer avec la boite d'origine Je vous le recommande, pour les addicts de la marque</t>
  </si>
  <si>
    <t>Au top Très bien  est pas chère</t>
  </si>
  <si>
    <t>Très très bien Vraiment super rien à dire</t>
  </si>
  <si>
    <t>Très bon pointeur Très bon pointeur. La connexion avec ordinateur très facile et rapide.  Les pilotes se sont installés toutes seules. Le delai de changement des diaporamas quasi immediat. L'intensité du laser est assez élevée donc pas de problemes de visibilité de point de laser.  En plus mon chat qui aime jouer avec le laser l'a beaucoup apprecié</t>
  </si>
  <si>
    <t>Bonne qualité Superbe et bien fait 👍🏻</t>
  </si>
  <si>
    <t>Hug Rs</t>
  </si>
  <si>
    <t>Sympas En fait, c'est mieux que la publicité, donc je me sens satisfait à 100 %. J'ai un peu peur de la taille, mais c'est très approprié pour ma taille, donc peu importe, bonne coupe et assez solide!</t>
  </si>
  <si>
    <t>Enorme micro Énorme micro pour débuter youtube ou meme pour enregister un son je conseille vivement mais prévoir carte son a meme pas 10 euros franchement je le trouve niquel.</t>
  </si>
  <si>
    <t>bracelet Qu un mot magnifique au poignet et a l oeil</t>
  </si>
  <si>
    <t>Bof Le son n'est pas terrible et le micro est affreux, ce qui donne l'impression que nous sommes loin ou que le micro est obstrué par quelque chose</t>
  </si>
  <si>
    <t>beaucoup déçu je suis tellement déçu par cet article. quand je suis à l'extérieur, le bluetooh ne fonctionne pas.le son saute et cela devient inaudible. si j'avais su, je ne l'aurai pas acheté. A éviter</t>
  </si>
  <si>
    <t>Déçu Fait peu briller. Est ce le cirage  ou la nature des brosses.  Sinon Semble assez solide et est silencieuse a l usage.</t>
  </si>
  <si>
    <t>pointure J'ai pris la pointure qui me correspondait . Mais elles taillent assez grandes, il y a encore de la place au bout</t>
  </si>
  <si>
    <t>bon produit Ce qui est dommage c'est qu'il faille commander pour 25€ pour pouvoir avoir l'article, sinon je connaus se produit donc pas de surprise je m'en sert pour le linge delicat.</t>
  </si>
  <si>
    <t>livraison OK Ok</t>
  </si>
  <si>
    <t>livraison et produit conforme je suis satisfait par cet achat</t>
  </si>
  <si>
    <t>Joli Pas de certificat d'authenticité cest dommage</t>
  </si>
  <si>
    <t>Parfait a rempli hautement sa mission les 3 premiers mois. Très contente. Bien penser à mettre de l'eau minérale en bouteille et non du robinet</t>
  </si>
  <si>
    <t>Beau sac jolie matière Très beau sac j'adore il est réglable belle matière et il n est pas si petit. Il est classe pour le prix il est impeccable</t>
  </si>
  <si>
    <t>chaussure talent carré taille 44 excellent très confortable pour le mariage. Merci Amazon</t>
  </si>
  <si>
    <t>Musique Très bon produit</t>
  </si>
  <si>
    <t>Très bien Parfait, ces sandales me vont comme un gant. Je les ai reçues à peu près dans les délais et je n'ai pas remarqué d'anomalie dans la pointure (46). Espérons qu'elles dureront!</t>
  </si>
  <si>
    <t>Très bon brumisateur Excellent ....pas cher et fonctionne bien</t>
  </si>
  <si>
    <t>très bon rapport qualité / prix Livraison ultrarapide. Produit performant pour un enregistrement d'urgence.</t>
  </si>
  <si>
    <t>Parfait Le coffret bijou est bien présenté, parfait pour un cadeau ! Je l'ai acheté pour moi et je n'en suis pas déçue. J'ai un gros poignet et son système d'attache large (ou serré, au choix) ne me serre pas. Comme mes autres bracelets je ne l'enlève jamais et il résiste très bien pour le moment. Je l'ai acheté il y a deux mois.  C'est un bon achat.</t>
  </si>
  <si>
    <t>belle sacoche superbe sacoche, bien fini, cuir de très belle qualité, le cuir est d'aspect mat et  très souple. Malgré sa petite taille on peut rangé pas mal de choses, mèmes un carnet de chèques de 175 mm. Je recommande ce produit.</t>
  </si>
  <si>
    <t>Bijoux Joli</t>
  </si>
  <si>
    <t>Très beau collier &lt;div id="video-block-R2OBA43KT45RX" class="a-section a-spacing-small a-spacing-top-mini video-block"&gt;&lt;/div&gt;&lt;input type="hidden" name="" value="https://images-eu.ssl-images-amazon.com/images/I/B1f82KZc4pS.mp4" class="video-url"&gt;&lt;input type="hidden" name="" value="https://images-eu.ssl-images-amazon.com/images/I/91OVSptqOkS.png" class="video-slate-img-url"&gt;&amp;nbsp;Collier rose gold super élégant. Le collier est fin et très jolie. Au niveau du pendentif, il fait environs la taille d’une pièce de 2 euros. Il n’est pas trop grand et avec ses cristaux Swarovski c’est d’autant plus jolie. Je l’ai reçue avec une petite boîte bleu et un chiffon doux pour le nettoyer. Très bon rapport qualité / prix. Je le porte tous les jours depuis mon achat et avec les journées de boulot et la transpiration , ma peau ne devient pas verte (comme on peut le voir avec certains bijoux de mauvaise qualité) J’en suis très contente  Si le commentaire vous a semblé utile, dites le et cliquez sur "OUI", ça fait toujours plaisir de savoir que les commentaires peuvent vous aider :)</t>
  </si>
  <si>
    <t>Un pur bonheur Acheté pour mon compagnon pour Noël. Il ne s'en passe plus et je lui pique souvent pour mon dos. Super</t>
  </si>
  <si>
    <t>Kit auto Buddy Plus grand qu'imaginé( je le voyais plus petit!), l'appareil est facile à pairer. La fixation se fait très vite grâce à l'aimant situé au dos du boîtier, le son est clair au sortir du haut-parleur. Mes correspondants ne se plaignent pas de ne pas m'entendre, j'en conclus que ça passe bien! L'autonomie annoncée de 1000h en veille est je pense nettement...pessimiste! Depuis plus d'un mois maintenant qu'il est installé dans ma voiture, il fonctionne sur sa première charge... Le "bip bip" de connexion permet de s'assurer que lors du prochain coup de fil, je pourrai garder mes deux mains sur le volant..</t>
  </si>
  <si>
    <t>très content Trop bien . Une super qualité. Ne fait absolument pas jouet . Un vrai micro . Ma fille adore</t>
  </si>
  <si>
    <t>Parfait ! Je l'utilise souvent pour mes massages et je l'adore. J'aime beaucoup son odeur, car c'est aussi une huile qui ne colle pas et laisse une sensation très agréable sur le corps.</t>
  </si>
  <si>
    <t>Huile essentielle de menthe poivré Produit conforme à la description cela dit je ne mets que deux étoiles du à la présence de produit allergène dans l huile essentielle. Mais bon au prix qu il coute, certaines personnes pourront peut-être faire l impasse. J ai utilisé l huile essentielle pour faire mon dentifrice fait maison, cela a bien fonctionné. Je vais finir d utiliser le flacon mais je ne recommanderai pas. Je me tournerai vers un produit bio.</t>
  </si>
  <si>
    <t>Vraiment déçue ! À l’ouvert Du colis, le produit correspond, mais après quelques jours d’utilisation par mon conjoint , la semelle ce décolle , à en devenir impossible à porter ! Je déconseille vivement !</t>
  </si>
  <si>
    <t>Très Mauvaise Qualité Très mauvais article. La boite est arrivée cassée... Aucune qualité sur le son</t>
  </si>
  <si>
    <t>Trop raide Câble trop raide et impossible à étaler droit au sol, que des boucles. Ensuite, il est très difficile à enrouler.</t>
  </si>
  <si>
    <t>Produit conforme Boules dures qui garde pas le goût bien longtemps Produit conforme à la description mais rapport qualité prix un peut cher pour la quantité</t>
  </si>
  <si>
    <t>!!!!! Cadeau d'anniversaire réussi! Les activités permettent a l'enfant d'être créatif! Néanmoins il faut faire attention aux tâches! Super rendu!Je recommande</t>
  </si>
  <si>
    <t>fonctionnel et design! Conservation des nutriments grâce à une montée en température progressive, voilà l'argument qui m'a convaincu! Temps de chauffe un peu long c'est vrai mais surement plus fiable que les chauffe biberon express...  De plus, un chauffe biberon dans une cuisine ce n'est pas forcement un élément deco... mais celui là est quand même plutôt joli!</t>
  </si>
  <si>
    <t>Son Son top</t>
  </si>
  <si>
    <t>Cartouche Acheté pour mon imprimante hp desjket 3070. Pas encore utilisé pour le moment</t>
  </si>
  <si>
    <t>collier le collier est parfait léger et va très bien à ma fille de 18 mois qui le porte tout le temps. Je le recommande aux autres parents pour leur enfant et leur poussées dentaires.</t>
  </si>
  <si>
    <t>Mon linge sent tellement bon Moins cher qu'en magasin ! Je valide Mon linge sent super bon et sent le frais</t>
  </si>
  <si>
    <t>Relaxant Permet de détendre des lombaires aux cervicales. Effet chauffant garantit. Je l'utilise quotidiennement.</t>
  </si>
  <si>
    <t>Qualité Canon ! J'utilise ce kit pour ma Selphy CP1300 et le résultat est excellent ! - Le papier est épais et satiné, les photos sont donc vraiment très belles et ne s'abiment pas. - L'encre est de bonne qualité, cela donne des photos bien détaillées avec de très belles couleurs. À mois que cette belle qualité soit du à mon imprimante Selphy CP1300 ? En tous cas le résultat est là ! - Un prix par photo qui me paraît correcte. (je confirme que ce kit permet bien de faire 100 photos !)</t>
  </si>
  <si>
    <t>Parfait Matière fine et extensible, agréable à porter. Taille pile et + Joli motif. Pour un prix raisonnable et livraison rapide</t>
  </si>
  <si>
    <t>Lessive + lavage à la main =Blancheur assurée Bonjour, j ai acheté élue Colombie-Britannique, d abord pour voir, Avec les astuces de grands mères, c était note que le linge qui grisaillait retrouvait sa blancheur! Donc j ai essayé alors pas sur la couleur mais sur du blanc ( chaussettes, serviettes toilettes gants, tous ce qui est blanc avec un peu de couleur. Vous mettez deux ou 3 dosettes d élue Colombie-Britannique dans le tiroir ou le tambour de votre machine. Et vous verrez le résultat. C est magique. Je ne croyais pas ce que mes yeux voyait mon pantalon blanc était aussi neuf que le blanc non porte. Depuis eluecolo fait partie de mon entretien du lingettes. Pour plus de questions voyez avec Eluecolo.</t>
  </si>
  <si>
    <t>Réveil lumière J'ai acheté ce réveil comme cadeaux pour ma fille pour son anniversaire très beau design. Fournis avec un câble usb facile à utiliser (même sans notice )plusieurs mélodies dedans .plusieurs niveaux de  volume .ma princesse est très contente .😉</t>
  </si>
  <si>
    <t>Excellents écouteurs sans fil C'est un vrai plaisir de découvrir ces écouteurs qui ont un très bon design. La boite de rechargement est très jolie avec sa vitre teintée.  Ils se connectent rapidement en bluetooth dès qu'on les sort du boîtier et diffusent un son de bonne qualité avec des basses très présentes .  Ils sont très confortables et leur utilisation est plutôt intuitive.  Je ne connaissais pas la marque iPosible, et je suis heureux de la découvrir.  C'est très bon rapport qualité/prix, j'en suis très satisfait !</t>
  </si>
  <si>
    <t>Les meilleurs biberons Biberon idéal quand on allaite bébé. Reproduit parfaitement la succion au sein. Aucune confusion pour mon bébé. Je recommande.</t>
  </si>
  <si>
    <t>Bonne qualite Très simpa</t>
  </si>
  <si>
    <t>Super Parfait pour l'instant on verra quand j'enleverai les guirlandes de noël</t>
  </si>
  <si>
    <t>Un peu fragile Très bien</t>
  </si>
  <si>
    <t>sympa comme.achat Jolie est de plusieurs couleurs que je peut mettre souvent va avec tout</t>
  </si>
  <si>
    <t>Bonne cartouche Article reçu à la date prévue.  La cartouche est bien de la marque Canon.  J ai bien aimé l enveloppe de retour gratuite fournie avec la cartouche pour renvoyer la cartouche vide... très bonne idée pour recycler ou ré utiliser ces cartouches.  Je suis satisfaite de mon achat.</t>
  </si>
  <si>
    <t>excellent produit Produit très bien fini</t>
  </si>
  <si>
    <t>super ma fille l'adore</t>
  </si>
  <si>
    <t>Pas durable J'ai acheté une première bouilloire dont j'ai demandé le remplacement en la recevant car elle ne fonctionnait pas. Après seulement 6 mois, elle ne s'arrête plus automatiquement lors de l'ébullition, il faut à nouveau la remplacer... Joli design et température réglable mais surtout de la poudre au yeux j'ai l'impression.</t>
  </si>
  <si>
    <t>Une arnaque La montre n'a jamais fonctionné correctement. L'aiguille des secondes avance, recule, s'arrête, fait du surplace... Heureusement que je l'ai payée seulement 3€ je m'attendais pas à grand chose et je suis quand même déçu.</t>
  </si>
  <si>
    <t>Panne très rapide Très déçue par la qualité  : en dehors de l'éclairage variable qui fonctionne , la diffusion ne fonctionne quasiment plus : je l'ai acheté en même temps qu'un autre diffuseur de la marque ESTEBAN . Les deux ont été soumis aux mêmes conditions d'utilisation et ce diffuseur , lui ne fonctionne ^lus .</t>
  </si>
  <si>
    <t>Chaussures hautes Pas mal mais trop hautes. Risque de se tordre les chevilles.... Jolies et confortables. Pas gardées, pour les moins jeunes, c'est trop haut.</t>
  </si>
  <si>
    <t>Ne fonctionne plus moins de 3 ans après l'achat Bouilloire commandée en janvier 2015. A cessé de fonctionner sans prévenir à l'automne 2017, avec un usage au plus hebdomadaire. C'est prodigieusement énervant, ça pousse au consumérisme et c'est anti-écologique. Conséquence de l'électronique du thermostat ou obsolescence  programmée délibérée ? C'est en tous cas la dernière bouilloire à thermostat électronique que j'achète. Pour comparaison, une vieille moulinex en plastique jaune, il est vrai sans gadgets tels qu'un thermostat, que j'avais achetée il y a 15 ans est encore en service... Cela étant, avant de mourir, elle fonctionnait bien, avec un chauffage rapide et silencieux. Pratique pour préparer un thé à la température correcte.</t>
  </si>
  <si>
    <t>Parfait Tailles très bien, joli modèle, ma fille en est ravie et moi surtout pour le prix 😊 bonne qualité</t>
  </si>
  <si>
    <t>performances équilibrées Quelques défauts mais je vais finalement les garder. Je m'explique. J'ai recherché des écouteurs qui pouvaient donner un très bon son pour la musique, un son correct pour le micro du téléphone et qui soient ergonomiques. Sur tous les ecouteurs hauts de gamme que j'ai testé je m'arrête finalement sur ceux là. Je suis très exigeant quant à la qualité et j'ai pu essayé des BO beoplay 2.0 et des jabra active 65t. Le son musique est un peu en dessous des BO beoplay mais l'interface equalizer permet d'ajuster comme bon vous semble, cela reste tout de même très bon. Le micro est quant à lui bien meilleur que les BO mais reste problématique quand on est à l'extérieur et même dans un bus. Le niveau de qualité du micro est assez comparable aux Jabra. L'ergonomie est un peu moins bonne que les BO mais reste tout à fait correcte quoique un gros bémol sur l'autonomie. Les Jabra étant moins bons en son j'ai choisi le compromis entre les 3. En 1 mois d'utilisation j'ai eu 2 bugs de connexions mais que l'on peut résoudre en passant par un process de réinitialisation. Ce n'est pas ce que je préfère sur le plan design mais c'est le meilleur compromis. Je m'attendais à ce prix à avoir le niveau de qualité au top mais je pense qu'il va falloir attendre encore beaucoup de temps avant d'être au point sur cette techno sachant que les modèles essayés vont de 169 à 350€ Je dirais que c'est cher pour le niveau de qualité rendu? D'ici 2 ans on aura peut être de meilleurs modèles.</t>
  </si>
  <si>
    <t>Bonnes chaussures pour courir Ces chaussures sont légères et bien amorties. J'ai déjà fait 15 km avec, elles sont confortables. Juste un peu glissantes sur mon tapis de course (pas sur route) d'où les 4 étoiles.</t>
  </si>
  <si>
    <t>anarque sur le remboursement des 3€ je trouve honteux de mettre en avant un remboursement et quand on regarde ce qu'il faut faire  : créer un compte, s'enregistrer, remplir un formulaire et fournir tout un tas d'informations, scanner la facture, imprimer le tout (donc plusieurs pages) et envoyer par la poste... après déduction de ces coûts on gagne quoi? 1€ ? donc on ne le fait pas et Casio le sait très bien. Franchement, c'est nul vu que de toute façon on va l'acheter cette calculatrice puisque c'est celle recommandée par les collèges. Cette fausse ristourne ne fait que ternir l'image de la marque.</t>
  </si>
  <si>
    <t>tres bon article très bon article, facile d'utilisation. un seul regret : ne pas l'avoir achetée plus tôt,</t>
  </si>
  <si>
    <t>Article conforme, pas de problème Commandé pour ma fille, ce produit fonctionne parfaitement, contrairement au précédent, moins cher mais qui n'a jamais pu être utilisé</t>
  </si>
  <si>
    <t>Il est bien taillé Pantalon agréable à porter . Il me va bien et taille bien . Le style est sympa et jeune . Il se porte aussi bien avec une chemise et un tee shirt .</t>
  </si>
  <si>
    <t>Top du top Tellement pratique quand on a des enfants qui veulent coller des dessins partout 🙂 Après ca s enleve sans problème...</t>
  </si>
  <si>
    <t>Très bien Ma fille est ravie</t>
  </si>
  <si>
    <t>Pratique et léger !! Acheté pour une soutenance orale de projet,  cette télécommande m'a beaucoup servie pour animer mon diaporama à distance. Le pointeur laser est très pratique pour insister sur des éléments clés apparaissant sur les slides. Très satisfait par mon achat.</t>
  </si>
  <si>
    <t>Les lingettes sont TOP ! ⚠️ Avis après utilisation ⚠️  J'utilise les lingettes st Marc depuis très longtemps pour le nettoyage de tous les jours.  ➡️ Points positifs :  - Pack de 5 paquets qui contiennent au total 200 lingettes - Parfum sympathique et frais qui maximise la sensation de propre - Lingettes solides qui ne se déchirent pas et très humides pour un bon nettoyage - Grandes lingettes qui permettent de nettoyer de plus grandes surfaces sans changer tout le temps - Sachet qui se referme et qui garde les lingettes humides très longtemps, pas de problème de lingettes sèches - Permettent de nettoyer tout types de surfaces - Bon rapport qualité prix  ➡️ En somme, étant consomateurs de ces lingettes depuis longtemps je l'ai recommande car très pratique pour le nettoyage au quotidien sans perdre de temps.  En espérant que ce commentaire vous soit utile 🙏😊⤵️  Coordialement  Florent et Anne</t>
  </si>
  <si>
    <t>Très bien pour imprimante XP-247 Je commence seulement à les essayer au début l imprimante n apprécie pas que sa ne soit pas des cartouches Epson ( les cartouches ne sont pas d origine voulez vous continuer bien sûr on dit oui) Mais en tout cas la qualité est très bien , les cartouches fonctionne et le prix est nickel si pas de problème par la suite je me fournirait toujours ici ;) Mon imprimante est une Epson XP-247</t>
  </si>
  <si>
    <t>recommande vivement ce produit si vous recherchez un bon rapport qualité/Prix, c’est le casque ideal J’ai acheté ce produit pour mes fréquents voyages en avion et la musique. C’est simplement trop super à tous les niveaux (son, anti-bruits, design ainsi que le coffret).,</t>
  </si>
  <si>
    <t>Bien Bien comme celui que j'avais trouvé au Vietnam</t>
  </si>
  <si>
    <t>Chaussures de sécurité Magnifique et la bonne taille, rien à dire</t>
  </si>
  <si>
    <t>A conseiller Bonne qualité, bien conçu (plein de parties séparées) et très joli. Vu le prix, c'est vraiment une affaire !</t>
  </si>
  <si>
    <t>Parfait Etui 100% compatible à la carte grise de mon véhicule. J'ai eu un peu de mal à l'enfiler mais maintenant elle est en parfaite sécurité. Je préfère de loin les étuis transparents, pour effectuer des copies ou autre on a pas besoin de retirer la carte grise de l'étui donc très pratique. De plus très bonne qualité, je recommande. Article reçu le jour prévu. Foncez !!!</t>
  </si>
  <si>
    <t>Top Très pratique</t>
  </si>
  <si>
    <t>très joli très joli collier assez gros , belle couleur . effet garanti</t>
  </si>
  <si>
    <t>Déçue bruit persistant puis son hyper faible Edit : le bruit est passé mais maintenant oreilette gauche hyper faible.  Un bruit persistant de tintin ou tutu comme un message d'erreur dans mes oreilles. Sincèrement, très chiant et j'en ai acheté 2. Je me retrouve sans ecouteurs.</t>
  </si>
  <si>
    <t>Très mauvais produit A ne surtout pas acheter car c'est une véritable arnaque vue la qualité du blouson et surtout sont prix</t>
  </si>
  <si>
    <t>Attention Impossible de mettre ces «&amp;nbsp;blogueurs&amp;nbsp;» sur mon bracelet Pandora. Je suis donc très déçue.</t>
  </si>
  <si>
    <t>Embouts durs Sympa mais attention embouts durs et pas souple agréable sur le corps mais pas le crâne en ce qui me concerne. Sinon article impeccable et livré dans les temps.</t>
  </si>
  <si>
    <t>Bon produit. Une montre très pratique lorsque vous avez souvent les mains dans l'eau comme quand vous pêché. Mon père en est très content !</t>
  </si>
  <si>
    <t>Doux et Léger en tissu Très chiffon doux. Le poids du matériau est très inférieur. Ont utilisé sous la Pluie, n'a pas de problèmes avec capuche. L'essayage, c'est bien. est stylé aussi. Aucun problème rencontré après le lavage. Pas de bulles remarqué. D'accord pour le style.</t>
  </si>
  <si>
    <t>Très joli Bon rapport qualité /prix</t>
  </si>
  <si>
    <t>Cartouches non reconnues J'ai voulu changer une cartouche d'encre jaune mais mon imprimante Epson ne reconnait pas ces cartouches. J'ai déjà acheté des cartouches reconditionnées, je n'avais pas eu ce problème.  Par contre le service client est au top. On m'a contacter pour un geste commercial. Merci à eux.</t>
  </si>
  <si>
    <t>Je conseil totalement 👌 Écouteur au top,la qualité est vraiment au rdv, le design et réussi et l’autonomie est plus que bonne je conseil vivement</t>
  </si>
  <si>
    <t>trés bien a ce prix des mouchoirs épais, je recommande</t>
  </si>
  <si>
    <t>Taille très bien et agréable à porter Légères et agréables à porter et même au bout de 9h non stop pas mal aux pieds. Je les ai pris en 37.5 et ça va nickel moi qui suis entre 2 tailles c est top de pouvoir trouver des chaussures de secu adaptées. Je recommande 👍</t>
  </si>
  <si>
    <t>Rien Nikel</t>
  </si>
  <si>
    <t>Parfait Excellente écouteur Bluetooth un très bon son et sont très faciles à utiliser, connecté très rapidement à mon iphone 6. le format convient bien aux oreilles, le sens est bien mentionné dans la notice s'adapte aussi bien au enfant qu'au adulte grâce a différentes bonnettes. la recharge se fait simplement en replaçant les oreillettes dans le boitier. Le kit possède une bonne autonomie. Je recommande vivement.</t>
  </si>
  <si>
    <t>info via la site Pandora Je v le faite authentifié chez Pandora si c’est un faut une plainte sera déposer .  Vérifiez le poinçon de garantie pour connaître la pureté du métal. Tous les bijoux PANDORA portent un poinçon de garantie, indiquant la pureté du métal et certifiant son authenticité. Aux Etats-Unis, le terme utilisé est quality mark, l’équivalent britannique est hallmark, et l’équivalent dannois est fineness mark.  Tous nos bijoux en argent 925/1000e sont frappés d’un « S » majuscule, première lettre du terme anglais « silver » (argent), suivi de l’indice de pureté exprimé en parts d’argent pur par millième : S925 (92,5 % d’argent pur).  Tous nos bijoux en or sont frappés d’un « G » majuscule, première lettre du terme anglais « gold » (or), suivi de l’indice de pureté exprimé en parts d’or pur par millième contenues dans l’alliage : or 585/1000e : G585 (58,5 % d’or pur) ou or 750/1000e : G750 (75 % d’or pur).</t>
  </si>
  <si>
    <t>bel article Caleçon acheté pour porter au quotidien, très joli, bien coupé matière confortable, s'adapte parfaitement à la silhouette en taille 38 je mesure 167 et pèse 53 kg, longueur et largeur parfaites. Je recommande cet article, reçu au temps indiqué par le vendeur.</t>
  </si>
  <si>
    <t>Bon produit Un peu chaud. J'ai vite chaud des pieds aussi</t>
  </si>
  <si>
    <t>Très belles! TRÈS belles boucles d'oreilles ! Simples et sobres mais lumineuses! légèrement plus petites que ce que je pensais mais jolies quand-même! Je recommande!</t>
  </si>
  <si>
    <t>Confort Super agréable à porter</t>
  </si>
  <si>
    <t>Qualité prix Un  prix pas chère pour une qualité au top</t>
  </si>
  <si>
    <t>Qualité au rendez-vous exceptionnel Le casque est simple d'utilisation portée testé 18 mètres avec plusieurs murs porteurs, son de très bonne qualité et isolation du son extérieur très correct. Simple d'installation et d'utilisation. Je recommande</t>
  </si>
  <si>
    <t>Bon article Penser à commander une pointure supérieure (par ex 44 pour 43)</t>
  </si>
  <si>
    <t>parfait j'ai acheté ces cordons cuirs pour faire des pendentifs pour l'anniversaire de ma fille. ils sont parfait et de bonne qualité</t>
  </si>
  <si>
    <t>Génial ! Reçu bien avant la date de livraison prévue Produit conforme à la description et aux photos Produit de très bonne qualité Je chausse du 37/38 et j’ai pris du 38 elles sont ni trop grande,  ni trop petite Par contre chaussures très lourdes, je pense qu’il faut un temps d’adaptation</t>
  </si>
  <si>
    <t>problème de cartouche noire Pour la 2eme fois j'ai un problème avec cette cartouche car je crois qu'elles étaient trop vieilles et que l'encre était déjà trop sèche ce qui n'est pas le cas avec les cartouches de couleurs</t>
  </si>
  <si>
    <t>La qualité TRÈS médiocre Très mauvaise qualité, j'ai pris ce bracelet en noir et la "peinture" s'en va le bracelet devient très laid. Quand aux douleurs je pense qu'il a un effet placebo  !</t>
  </si>
  <si>
    <t>Sens mauvais Les chaussures sentent trop le plastique de mauvaise qualité. Renvois . Remboursement très bien</t>
  </si>
  <si>
    <t>Pour les 10/11 ans Rigolo et vite lu ce livre est sympa mais notre ado de douze ans est deja un peu grand pour cette edition</t>
  </si>
  <si>
    <t>très sympa pour le prix Elle est très belle au premier coup d' oeil. Elle ne fait pas trop bon marché ou plastique. Pour un prix modique vous avez une montre à gousset avec une chaine doré de bonne facture. Je porte essentiellement des montres de luxe au poignet et cette montre me permet de changer de look avec mes gilet de costumes.</t>
  </si>
  <si>
    <t>Super Elle colle bien</t>
  </si>
  <si>
    <t>Excellent micro Je l'utilise juste pour jouer en réseau avec mes potes sur pc ( marre de dépenser 50 € dans un micro casque fragile ) Il est très robuste et, de toute façon, ne risque rien comme choc. Fonctionne beaucoup mieux que les micros casque de pris bien plus élevés (J'ai un casque audio Phillips m1 Fidelio, pour le son ^^) Le combo casque audio + Micro studio est parfait ! Rien a redire  Peut être un peu de difficulté a placé mousse (Celle devant le micro, sur l'image). Je n'ai peut-être pas compris ? Et le système de fixation au bureau est un peu chaotique, mais rien de grave, il suffit de bien serrer, absolument rien de dérangent.</t>
  </si>
  <si>
    <t>Satisfaite Cela ne fait une 3 jours que je l'ai, mais il me fait déjà du bien. Par ce temps humide, je le mets de suite le matin, devant mon petit déjeuner. A voir dans le temps.</t>
  </si>
  <si>
    <t>Nickel Tres bon produit. Je suis satisfait</t>
  </si>
  <si>
    <t>Bonne marque Très bon produit</t>
  </si>
  <si>
    <t>Parfait Ces sacs sont parfaits car très solide et imperméable. Même s'il y a du liquide (dans une quantité raisonnable pour une poubelle) cela ne transpercera pas le sac. En plus il y a une poignée coulissante rouge ce qui est pratique quand on ne veut pas perdre son temps à chercher la lanière d'attache. Très pratique et solide ce qui est le plus important.</t>
  </si>
  <si>
    <t>ravissante bouilloire très fonctionnelle je cherchais une jolie bouilloire pour une cuisine ouverte, celle-ci rend très bien sur le plan de travail.  elle permet d'obtenir une température optimum pour le thé et le café.</t>
  </si>
  <si>
    <t>Massage Cervicale Le produit est tel qu'il est decris excellent pour une douleur et une detente ciblé , , pour ma cervicale ideale apres un accident de voiture, pour mon dos tout le dos je verrai un siege  par la suite en plus des seances kine</t>
  </si>
  <si>
    <t>Détente assurée Massage très agréable. Moment de détente assuré. La charge tient super bien, elle peut faire 3 personnes ou 3 zones sans problème. Les finitions sont très soignés et la boîte très jolie, parfait pour un cadeau. Les petites têtes de massage se retire facilement pour les nettoyer.</t>
  </si>
  <si>
    <t>sac homme Grand merci il est parfait vraiment comme identique a l'image j'espère fera plaisir encore merci car il est arrivé avant la date prévu et avant Noël mille merci</t>
  </si>
  <si>
    <t>Parfait J'ai acheté cette lampe pour lire et tricoter le soir en regardant la TV. Cette lampe est tout simplement parfaite, elle éclaire très bien, on peut changer la luminosité très facilement suivant les besoins. Le bras articulé permet de bien positionner cette lampe au gré des envies. Le socle est stable et pour finir le fil est suffisamment long (environ 1,5 mètre) Franchement le rapport qualité-prix est excellent ! . Et cerise sur le gâteau, la lampe est livrée dans  une petite valise de transport qui empêche qu'elle ne se casse lors du transport. Quoi demandé de plus.</t>
  </si>
  <si>
    <t>aggraphe A + de très bonne qualité, se change facilement, coûte pas cher donc je recommande cet article à toutes et tous</t>
  </si>
  <si>
    <t>Indémodable Indémodable les classsiqurs vans blanches. À avoir dans son placard à chaussures pour l’été. Taille parfaitement. Livraison très rapide. Je recommande.</t>
  </si>
  <si>
    <t>TRÈS BON SON Bonjour Je viens de recevoir mais écouteurs. Première impression l’ensemble respire la qualité et la solidité. Dans la boite vous trouverez. -une notice en français et très bien expliqué. -les 2 oreillettes (écouteurs) -la boites de rechargement -un filet pour le transport -des embouts pour les oreilles -un câble de rechargement Une fois connecté le son est très bon et très agréable (aucun grésillement). Les écouteurs son tactiles et très réactif au touché. Pour prendre un appel téléphonique il suffit tout simplement d’appuyer brièvement sur l’une des 2 oreillettes et pour raccrocher appuyer 2 fois. Il y a un petit temps d’adaptation mais cela vient très très rapidement. Une fois les oreillettes déposées sur le socle elle se recharge toute seul, on n’a rien à faire. Le petit plus est que la boite de chargement peut servir également pour recharger son smartphone. Pour conclure : Très bon produit.</t>
  </si>
  <si>
    <t>Casque Ravie</t>
  </si>
  <si>
    <t>Ok Convient bien pour la charge d'un petit ordinateur, genre tablette ordi.</t>
  </si>
  <si>
    <t>Très bon produit ! Jamais déçu avec dBb ! En plus la livraison à était super rapide !</t>
  </si>
  <si>
    <t>Son fort Je cherche après des mois des écouteurs pour ma mère pour qu'elle écoute des podcasts J'ai donc essayé cette paire qui ressemble aux airpods en noir Bluetooth qui fonctionne bien Voix off forte cependant  A voir sur le long terme</t>
  </si>
  <si>
    <t>La forme ai très insuffisante La forme ai plutôt bizarre sinon cest cool d'en l'ensemble</t>
  </si>
  <si>
    <t>Qualité déplorable Ce bracelet n'a rien de "haute qualité". Ma première impression était mauvaise, les maillons ne sont pas serrés et le fermoir est difficile à fermer mais s'ouvre un peu trop facilement. Une semaine plus tard, un maillon s'est cassé tout seul, le bracelet n'était pas vraiment serré, il n'avait reçu aucun choc juste avant, j'aurais pu perdre ma montre si je n'avais pas fait attention.  Bref passez votre chemin, il y a des tonnes de bracelets plus solides et bien moins cher sur Amazon.</t>
  </si>
  <si>
    <t>Livré en 43 alor que j'ai commandé du 42 Produit beau esthétiquement mais expédié à la va vite les flancs était rayé avec des bavure de colle au niveau des collages et livré en pointure 43 alor que j'avais commandé du 42</t>
  </si>
  <si>
    <t>Ne s'éteind pas seul ? je viens de la recevoir, et elle plus grosse quelle n'y paraît, le carton à été difficile à sortir de la boîte. Chauffe très vite, grande capacité, mais ne s'arrête pas seul une foi température atteinte ?</t>
  </si>
  <si>
    <t>Montre petite et fine Cette montre est très petite.Je la croyais un peu plus volumineuse. Par contre les boutons de régages sont très proéminents. Elle est très plate ce qui est un avantage quand on porte des chemises. Pour le moment elle fonctionne bien.l</t>
  </si>
  <si>
    <t>Pratique Achetée pour sa grande contenance et son fond plat, je ne lui mets pas 5 étoiles car chauffe légèrement moins rapidement que mon ancienne bouilloire</t>
  </si>
  <si>
    <t>chaussure de sécurité Bonne tenue de pied. Amorti bien les choc à la marche et pas trop lourde. Taille un peu grand mais sinon ca va</t>
  </si>
  <si>
    <t>Bonne qualité Bonjour franchement bonne qualité pour hiver c’est bien</t>
  </si>
  <si>
    <t>Bonne qualité, mais taille un peu petit Très jolies chaussures, très confortables, mais il faudrait 1/2 pointure au dessus... Dommage.</t>
  </si>
  <si>
    <t>Bon rapport qualite / prix &lt;div id="video-block-RA1TRTA2RYZPH"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src="https://images-eu.ssl-images-amazon.com/images/I/A1a4YirNefS.mp4" style="position: absolute; left: 0px; top: 0px; overflow: hidden; height: 1px; width: 1px;"&gt;&lt;/video&gt;&lt;/div&gt;&lt;div id="airy-slate-preload" style="background-color: rgb(0, 0, 0); background-image: url(&amp;quot;https://images-eu.ssl-images-amazon.com/images/I/91bD17ggo+S.png&amp;quot;);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value="https://images-eu.ssl-images-amazon.com/images/I/A1a4YirNefS.mp4" class="video-url"&gt;&lt;input type="hidden" name="" value="https://images-eu.ssl-images-amazon.com/images/I/91bD17ggo+S.png" class="video-slate-img-url"&gt;&amp;nbsp;Ce produit est fourni avec sa boite de rangement. Ces écouteurs conviennent avec la morphologie des oreilles pour un adulte, ça tient bien dans mes oreilles. Le son est claire, avec une autonomie toute à fait honnête, en plus, les embouts en silicone isolent bien du bruit extérieur. Connexion facile et rapide avec mon téléphone portable. Au niveau esthétique: ils sont très discret. Je le recommande pour les activités physique hors route.</t>
  </si>
  <si>
    <t>Flash back Flash back très sympa, une envie de 35 ans d'age et... vraiment pas déçu Le plus : le jour en français ce qui est assez rare pour le préciser</t>
  </si>
  <si>
    <t>F Superbe chaussure</t>
  </si>
  <si>
    <t>Patfait Precis et bonne prise en main</t>
  </si>
  <si>
    <t>Très bien Rien à dire nickel</t>
  </si>
  <si>
    <t>Bonne réception Toujours aussi satisfait du produit qui est trop solide je les utilise pour mon deuxième enfant</t>
  </si>
  <si>
    <t>Super livre d'autocollants Un super livres pour les enfants en bas âge, beaucoup de thèmes y sont abordés (anniversaire, fermé, forêt, école...) mes enfants de 2 ans et demi et 4 ans adorent !</t>
  </si>
  <si>
    <t>Fait le job Fait le job, les cartouches d'origine sont quand même plus adaptée</t>
  </si>
  <si>
    <t>Vraiment surpris Je fus vraiment surpris quant à ces écouteurs. De très bon intra auriculaires en true wireless. Très légers, bon son et design vraiment propre. Le tactile est cool et marche bien. Réellement une bonne option !</t>
  </si>
  <si>
    <t>Bonnes chaussettes Chaussettes semi hautes de bonne qualité, la couleur ne part pas, elles boulochent un peu au départ mais elles tiennent bien car l’élastique est de bonne qualité.</t>
  </si>
  <si>
    <t>Ils ont dépassé mes attentes avec une bonne qualité sonore Ils ont dépassé mes attentes avec une bonne qualité sonore. J'ai un peu d'hésitation dans le confort, mes oreilles sont coincées dans mes oreilles, je me sens très mal à l'aise au bout d'un moment, mais elles sont très appropriées pour mes oreilles, mon temps ne sera pas blessé après 3 heures. Rapide et facile avec mon iPhone. Je ne sais pas pourquoi, mais mon ordinateur doit sélectionner le kit oreillette dans le panneau de configuration, mais cela ne s'arrêtera jamais. Je recommande fortement ce casque pour les employés de bureau, qui vaut tout à fait l'argent.</t>
  </si>
  <si>
    <t>CONFORME J'ai acheté chez chaussure pour cet hivers car il y a souvent de la neige. Elle sont rembourré et donne bien chaud aux pied et sont imperméable. La semelle est très épaisse. Les chaussures montent haut et tiennent bien. La taille correspond bien. Je suis satisfait par mon achat.</t>
  </si>
  <si>
    <t>Jamais déçus avec Avent C'est clairement une des meilleures marques du marché des équipements bébé. On aimait déjà les précédents biberons de la gamme Natural, ici c'est pareil avec encore quelques innovations supplémentaires comme les stries sur la tétine. Très bonne qualité : résiste bien au passage au lave-vaisselle même à température élevée. Le col étant très large, cela facilite aussi le lavage à la main si vous préférez. Évidemment s'adapte à toutes les tailles de tétine même si ici celle fournie est à débit lent.</t>
  </si>
  <si>
    <t>Chaussure de danse Pour la danse</t>
  </si>
  <si>
    <t>Très satisfait !! Excellent produit. Le son est très bon, pas saturé. Idéal pour les petits (et les grands), on peut chanter et danser librement. Facile à prendre en main, connexion facile avec les portables avec le Bluetooth, fonction enregistrement etc. Très satisfait !!</t>
  </si>
  <si>
    <t>Le BT ne fonctionne pas !!! Pour un casque sans fil BT, le minimum est d'avoir une liaison BT qui fonctionne. A moins de 1 mètre, le son est haché. Impossible de se mettre devant un TV... C'est dommage car la qualité audio me semblait bonne, et le casque confortable; je mets donc 2 étoiles. Vu les autres commentaires sur ce problème, cela semble être au niveau de la conception même du produit. Un casque BT doit avoir un BT qui fonctionne !!!</t>
  </si>
  <si>
    <t>Mauvaise qualité Qualité de l’encre vraiment médiocre</t>
  </si>
  <si>
    <t>déception total Ne colle pas, impossible d'utilisation, mauvais rapport qualité prix et je suis vraiment déçue</t>
  </si>
  <si>
    <t>sac bandouliere Sac très pratique, mais , problème sur la poche latérale, la machine n'avait plus de fil et de ce fait la poche n'est pas fermée au fond. je ne peux rien mettre dedans, cordonniers  et autres ne peuvent pas recoudre car inaccessible avec leurs outils</t>
  </si>
  <si>
    <t>Pantoufles Elles sont très confortables . MERCI</t>
  </si>
  <si>
    <t>Bon article Reçu assez rapidement, bonne qualité et taille adapté. Bon produit à recommander. Le mot de deux est bien pour varier et s'adapter à tout type de robe</t>
  </si>
  <si>
    <t>Montre sunjas Très bon rapport qualité prix .au bout de plus d'un mois de service pas une minute de retard ni d'avance .l étanchéité un peu juste mais dans la moyenne</t>
  </si>
  <si>
    <t>Fluo Magnifique couleur pastel</t>
  </si>
  <si>
    <t>Bon produits Bon produit</t>
  </si>
  <si>
    <t>Très jolie Très jolie rien à dire. On verra avec le temps si cela n'est pas trop fragile</t>
  </si>
  <si>
    <t>porte carte grise bon produit pour proteger carte grise voiture rien a dire sur  ce produit</t>
  </si>
  <si>
    <t>jogging très beau produit mon fils est très ravi de bonne qualité et taille bien merci au vendeur</t>
  </si>
  <si>
    <t>superbe magnifique et très rapide a bouillir .</t>
  </si>
  <si>
    <t>pro je n'ai jamais eu un casque avec un rendu aussi parfait. Je l'utilise soit en sortie direct d'un PC ou mes videos ont un autre rendu audio, ou je l'utilise en sortie d'un TASCAM MH 40 en sortie d'un ampli guitare BLACKSTAR ID100.</t>
  </si>
  <si>
    <t>Excellent acquisition pour un thé programmable tous les matins Cet appareil me fait sortir du lit pour savourer le thé à l'heure programmée, parfaitement infusé. Reste à savoir quel sera sa durée de vie.</t>
  </si>
  <si>
    <t>Les chaussures qu'il me fallait Pour sortir de la maison, me promener, aller au cinéma, faire le marché, etc, etc...</t>
  </si>
  <si>
    <t>nickel envoi rapide, corresponds au descriptif</t>
  </si>
  <si>
    <t>Effaceur au top Au top ! Acheter le</t>
  </si>
  <si>
    <t>TRES VRAI LA PUB STILLER ET RESTE DANS LA SECURITEE</t>
  </si>
  <si>
    <t>Genial Je recommande vivement cet encyclopédie - j'en avais entendu parlé à la radio ou télé et j'avais tout de suite noté la référence. C'est simple à lire - bien illustré et très intéressant.  Et puis c'est un livre et moi qui en ai un peu marre de voir mes petits enfantys avec des tablettes - j'e saute sur toutes les occasions pour leur offrir des livres ! Il y a du texte simple donc l'enfant doit savoir lire - ou alors appelle aux parents ou frere ou soeur pour partager cette lecture qui intéressera toute la famille.</t>
  </si>
  <si>
    <t>Le bon bracelet J'avais besoin d'un bracelet acier et noir pour remplacer celui que mon mari possédait. Sa montre est en majorité noire avec le tour du cadran couleur alu, ce bracelet correspond parfaitement et fait au final un bel ensemble assorti.</t>
  </si>
  <si>
    <t>chaussettes  sport de belle qualité,  chaudes, épaisses,qui taillent bien</t>
  </si>
  <si>
    <t>Parfait Conforme à la description livraison super rapide.</t>
  </si>
  <si>
    <t>Fuit énormément Mon dieu que ça fuit... Et pour les 3 c'est comme ça..</t>
  </si>
  <si>
    <t>très mauvaise qualité chaussure en plastique...</t>
  </si>
  <si>
    <t>Pas mal Se déchire facilement sinon il est bien</t>
  </si>
  <si>
    <t>Faible durée de la batterie la qualité du son est très bonne, mais au bout de 4 mois la batterie chargée à 100% ne tient que 2 heures ce qui est inadmissible.</t>
  </si>
  <si>
    <t>No. Produit Bon produit mais relativement lourd on ne peut pas s en servir longtemps</t>
  </si>
  <si>
    <t>un réel impact ? Se fixe rapidement sur le bras de mon blue yeti. La rigidité du bras est convenable mais ne tiendra pas forcément en place comme nous le voulons (il faut un peu jouer avec).  Après, soyons honnête, a-t-il un réel impact sur la qualité sonore du micro ? j'en doute un peu perso</t>
  </si>
  <si>
    <t>bien Tee shirt tres bien et agréable à porter Seul problème.  Colle trop souple et trop large Je dirais presque inutile.  Dommage Sinon tres bien taillé</t>
  </si>
  <si>
    <t>Simplicité et efficacité Je ne suis pas un pro, mais je reste amateur exigeant. Et je ne pouvais pas être plus comblé par la qualité  de ce microphone. Il est reconnu immédiatement par Windows 10.</t>
  </si>
  <si>
    <t>Bouilloire electrique haut de gamme Point fort : la température de l'eau s'affiche au fur et à mesure de l'ébullition. Possibilité de choisir la température entre 80 et 100° Montée en température rapide. Look brossé moderne, lumière bleue. La poignée de la bouilloire reste froide, mais les parois sont chaudes. Point faible : Assez lourde. Produit de qualité.</t>
  </si>
  <si>
    <t>Conforme à mes attentes Très bon produit</t>
  </si>
  <si>
    <t>Je vous conseille Basket sécurité c’était magnifique je porte tous les jours partout je travailler avec je fais tout avec</t>
  </si>
  <si>
    <t>Le son est clair J'ai acheté 2 paires de ces écouteurs - une pour le travail, une pour la maison, ce sont le niveau de confort idéal pour moi. La qualité est très bonne, tous les composants, fiches, fils, etc. sont de très bonne qualité, les fils ne seront pas emmêlés!</t>
  </si>
  <si>
    <t>La qualité de la marque plus pratique que le liquide, surtout depuis que l'ancien avec bille interne pour le mélange a disparu, ,le produit a beaucoup plus tendance à sécher et ne plus sortir</t>
  </si>
  <si>
    <t>Produit original. Impeccable, vite reçues, produit 100% conforme. Produit original, entièrement satisfait de cet achat. Vous pouvez acheter les yeux fermés, vous ne serez pas déçus.</t>
  </si>
  <si>
    <t>Très bon tissu et ne rétréci pas Très bonne qualité et bonne taille</t>
  </si>
  <si>
    <t>Ecouteurs bluethooth willful j'ai acheté ces écouteurs pour mes séances de sport, après leurs utilisations durant mes séances correspondent bien à mes besoins , ils tiennent très bien dans les oreilles même quand je fais des  mouvements  ou je cours, ainsi la qualité de son est parfaite, en plus ils se rechargent tout seuls une fois ils sont dans  leurs boitier,  je suis très  satisfait de cet achat</t>
  </si>
  <si>
    <t>Vraiment bien Super tapis, qui soulage bien le dos, je l'utilise tous les soirs et çà va beaucoup mieux merci beaucoup pour ce super produit</t>
  </si>
  <si>
    <t>Excellent rapport qualité prix Ce n'est pas le meilleur papier toilette du monde mais à ce prix, si. Donc mérite les 5 étoiles.</t>
  </si>
  <si>
    <t>Génial reçu en 38 39 et c est super, ma femme est très contente et çà lui plaie beaucoup</t>
  </si>
  <si>
    <t>Bola Fourni avec 2 cordons mais 1 seul de bonne longueur.</t>
  </si>
  <si>
    <t>parfait personnel</t>
  </si>
  <si>
    <t>Satisfait Cartouche de tres bonne qualité aussi efficace que celle d'origines. Convient parfaitement pour la epson xp 245. Bon rapport qualite prix</t>
  </si>
  <si>
    <t>Les enfants adorent Je dois passer une seconde parce que j'ai 4 enfants, bien sûr, le plus petit en veut un également.Il fonctionne très bien.Cette charge peut être connectée rapidement et les réglages sont faciles pour les enfants et les adultes.</t>
  </si>
  <si>
    <t>Écouteurs branchés J’ai acheté ces écouteurs pour mon fils, il n’a eu aucun mal à les utiliser sur son mobile, la connexion s’est fait très facilement, ils sont discrets et modernes. Je les recommande</t>
  </si>
  <si>
    <t>Pointure non conforme Attention Compatibilités pointurs UK/FRA : Commandé en 43 mais chausse trop trop grand, pour le reste le produit affiche une très bonne finition.</t>
  </si>
  <si>
    <t>Déçue Je me suis fiée au commentaires positifs et je suis extrêmement déçue,j’ai vraiment pris soin de placer l’adhésif comme il le fallait. Au bout de 2 jours la toile c’est effondrée.... je précise que cette toile dois faire au maximum 500 grammes et que l’adhésif est censé supporter 120 kg.... donc passage au clous obligatoire</t>
  </si>
  <si>
    <t>Produit non conforme J'aurais du regarder les autres commentaires avant de passer commande, je me suis fait avoir de la même façon... J'ai également reçu 2 tétines avec seulement 3 trous alors que normalement les tétines 4 6m+ de Avent ont 4 trous. Il y a d'ailleurs une petite étiquette sur le côté du produit (voir mes photos) qui le confirme. Je pense qu'il s'agit d'une erreur sur la chaîne de fabrication et qu'ils essayent de les "fourguer" comme ça, c'est inadmissible... Cet article devrait être vendu 50% moins cher à cause du défaut et vendu comme des tétines 3. De mon côté, en cours de retour auprès d'Amazon donc le SAV est très compréhensif et très efficace.</t>
  </si>
  <si>
    <t>Bandoulière La Bandoulière à tendance à glisser ,il faut avoir recours (fil et aiguille) pour qu'elle se maintienne.</t>
  </si>
  <si>
    <t>Bonne surprise ! C'est en lisant les commentaires sur ce produit, que je me suis décidée à l'acheter et je n'en suis pas du tout déçue bien au contraire ! Rapport qualité/prix excellent ! Il fait briller les chaussures comme jamais Je le recommande sans hésiter</t>
  </si>
  <si>
    <t>Bonne et belle paire Belles chaussures qui correspondent à mes attentes. Style habillé Sportwear.</t>
  </si>
  <si>
    <t>Super mais Super mais la tétine a un trop fort débit, un gros gros gros trou au milieu de la tétine,  le bib ce vide en 2 minute si je le retourne . Dommage pour la tétine sinon sympas le bib</t>
  </si>
  <si>
    <t>Bien mais.. plutôt aiguë (250ohm) Bon casque dans l'ensemble, confortable, le son est clair, mais.. on m'avait dit de faire attention aux basses, étrangement malgré une table de mixage pas mauvaise, j'ai l'impression de n'avoir aucune basse, je sors d'un Kraken Pro, et le son semble bien plus aiguë. À voir si il suffit d'un temps d'adaptation ou pas. (Et merci Amazon de baisser le prix même pas 2 jours après ma commande, et de ne pas rembourser la différence, d'autre le font, donc le manque de volonté est présent, de plus, le casque est à 159€ sur le site officiel, et il est ici indiqué à 179€ en prix conseillé, pas ouf ouf)</t>
  </si>
  <si>
    <t>Le confort Très confortable</t>
  </si>
  <si>
    <t>ouai mais mouai... bon produit, propre, correct, vaste, apparemment soldie, bien fini... mais en deux semaine me semble avoir "vieilli" prématurément... à voir donc sur le long terme</t>
  </si>
  <si>
    <t>Nickel &lt;div id="video-block-R13XIF8UMYDK9Y"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src="https://images-eu.ssl-images-amazon.com/images/I/B1RrsrftL3S.mp4" style="position: absolute; left: 0px; top: 0px; overflow: hidden; height: 1px; width: 1px;"&gt;&lt;/video&gt;&lt;/div&gt;&lt;div id="airy-slate-preload" style="background-color: rgb(0, 0, 0); background-image: url(&amp;quot;https://images-eu.ssl-images-amazon.com/images/I/81q+HKoNCZS.png&amp;quot;);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center;"&gt;0:28&lt;/div&gt;&lt;div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10.1732%;"&gt;&lt;/div&gt;&lt;div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value="https://images-eu.ssl-images-amazon.com/images/I/B1RrsrftL3S.mp4" class="video-url"&gt;&lt;input type="hidden" name="" value="https://images-eu.ssl-images-amazon.com/images/I/81q+HKoNCZS.png" class="video-slate-img-url"&gt;&amp;nbsp;Cette&amp;nbsp;plastifieuse&amp;nbsp;automatique est très facile à utiliser.&amp;nbsp;Testé en&amp;nbsp;a3&amp;nbsp;pour du&amp;nbsp;a4, pas de problèmes ! Très pratique et compact !&amp;nbsp;Chauffe rapidement pas trop bruyante et fonctionne à nickel.&amp;nbsp;Je recommandé.&amp;nbsp;</t>
  </si>
  <si>
    <t>parfait Un micro pas cher qui fonctionne très bien, mon fils qui est sur YouTube  en est ravi!!! Il fonctionne très bien fait son effet pro à merveille!</t>
  </si>
  <si>
    <t>Très satisfaite ! Une très belle coupe. À la fois simple et élégant.C'est léger et agréable à porter.Souple, confortable et respirant.Taille parfaite.Taille correctement.Je recommande vivement !</t>
  </si>
  <si>
    <t>Parfait comme les chaussettes plus  hautes Tres belles chaussettes multicolores comme j'aime. Livraison impeccable très rapide</t>
  </si>
  <si>
    <t>Léger mais bien Parfait même pour une poitrine de 95 D. Ne soutient pas mais pour l'été sous un top, pas de problème.</t>
  </si>
  <si>
    <t>Créole argent magnifique Ma fille est ravie de les porter, un argent qui brille , discret et en même temps étincelante je réfléchis à en prendre une paire pour moi ! Merci</t>
  </si>
  <si>
    <t>Sami Très bon livre. Parfait pour l'apprentissage des enfants</t>
  </si>
  <si>
    <t>Sweat Champion parfait ! Le sweat-shirt Champion gris en taille S correspond parfaitement aux photos et à la description ; sa matière est de très belle qualité et la coupe est ajustée comme il faut pour une taille S. Très beau produit, à recommander !</t>
  </si>
  <si>
    <t>Produits conforme Festina reste une très bonne qualités fournisseur rapide et soigneusement ranger dans sa boîtes d’origine</t>
  </si>
  <si>
    <t>Très confortables Très confortables... C'est sûrement dû à l'élasthane. Je les ai acheté pour le golf en été. Je viens de faire une partie, elles se sont faites oublier... Pas d'échauffement aux pieds. C'est le but recherché. En plus, le prix est très doux. Me reste à voir, à l'usage, à quelle vitesse, elles s'usent. Pour l'instant, c'est positif.</t>
  </si>
  <si>
    <t>Parfait Je les voulez absolument mais sur certain site elle était a 150e . Et la je les ai trouver a 100e j ai pas hésiter et elle sont top super confortable tendance .. Commander de 29 septembre reçu le 3 octobre</t>
  </si>
  <si>
    <t>Parfait Le maintien est exceptionnel..alternative parfaite entre soutien gorge et brassière</t>
  </si>
  <si>
    <t>Parfait J'ai acheté ce diffuseur pour mon studio de 20 M2 convient parfaitement. Simple d utilisation: enlever le haut mettre de l eau, de l'huile essentielle, on branche . Puis à vous de choisir le temps 1h 3h ou 6h. Le petit plus c'est la lumière qui peut être choisit soit en mode tournante ou unisue. L'effet bois et très réaliste. En gros très satisfait</t>
  </si>
  <si>
    <t>Parfait ! Drôlement surprise par ce colis , bien emballée , petite pochette offerte, son impeccable . Je suis plus que satisfaite de mon achats. Je le recommande!</t>
  </si>
  <si>
    <t>Beau sweet Les motifs sont discrets et vraiment mignons. La poche centrale est pratique pour y mettre un smartphone, mouchoirs ou autres petits trésors à défaut d'y mettre son minou préféré (celui de ma fille pèse 7kg !)</t>
  </si>
  <si>
    <t>Déçue.. Sweat de mauvaise qualité, la matière n’est pas agréable au toucher, je ne recommande pas du tout. Deux étoiles pour la livraison qui a été plus que rapide.</t>
  </si>
  <si>
    <t>Ne recommande pas le produit Ne recommande pas le produit car bien que taillé comme prévu et conforme à la photo après de multiple lavage j'ai maintenu une allergie de contact avec ce pull hors je suis pourtant une habituée de la marque comme quoi on peut toujours être déçue et ne pas savoir avec quoi sont traités les vêtements.....</t>
  </si>
  <si>
    <t>Très déçue Je suis vraiment deçue, ils ne sont pas en argent j’ai commandé 3 paires pour les offrir car j’ai vu les bonnes commentaires et ses photos, par contre ils ne sont pas  comme les photos avec une pierre en zirconium ni en argent (aucune indication de 925) et je les ai reçu dans les petits sachets sans boîte , et ce sont des pierres en plastique qui sont mal collées sur les boucles d’oreilles.</t>
  </si>
  <si>
    <t>Erreur taille Bien, mais je n'ai pas reçu la bonne taille . Dommage. Bonne qualité malgres cela . Le blanc déteint rapidement, lavage a la main conseillé.</t>
  </si>
  <si>
    <t>De l'inox qui s'oxyde fait tres bien sont boulot, les aliments resté chaud ou froid tres longtemps. Probleme au bout de 15 jours d'utilisation l'extérieur s'oxyde déjà que va devenir l'intérieur</t>
  </si>
  <si>
    <t>Papier à rouler ocb Je suis vraiment très content de cette article seul bémols à chaque foit que je le commande sur le site c'est un carton de 50 paquets et quand je reçois mon colis je reçois de carton de 25 paquets mais a par sa rien à dire</t>
  </si>
  <si>
    <t>Super Un seule mot je l’adore</t>
  </si>
  <si>
    <t>Baskets blanches Ces baskets sont très jolie et sont super confortables. J'ai eu beaucoup de compliments.</t>
  </si>
  <si>
    <t>Mamie zozo Mon petit-fils a aimé. Bon moment de partage</t>
  </si>
  <si>
    <t>génial j'achetais auparavant le liquide mais je préfère nettement les pastilles marche mieux le linge sent très bon le frais c'est nickel</t>
  </si>
  <si>
    <t>Parfaites Très bonne chaussures robustes et légères qui remplissent parfaitement leur rôle Personnellement je m’en sers dans le cadre du travail (BTP)</t>
  </si>
  <si>
    <t>super montre tout terrain .casio super montre casio tout terrain pour tout les jours facile a regler en plus date et heure cadran fluo nikel jack</t>
  </si>
  <si>
    <t>Super ! Achetées 13€, nickel ! Il suffit de bien prendre la pointure indiquée Je chausse un 37/38 en France J’ai pris 39/40 EU comme indiqué sur toutes les havaianas</t>
  </si>
  <si>
    <t>Conforme prix imbattable SUPER nickel prix imbattable</t>
  </si>
  <si>
    <t>Besoin scolaire Ras a dire conforme au besoin scolaire obligatoire</t>
  </si>
  <si>
    <t>Conforme à la photo très jolie Produit conforme à la photo, mais ce ne sont pas de vrai perle de culture apparemment</t>
  </si>
  <si>
    <t>Très bon produit je recommande Très bon produit je recommande</t>
  </si>
  <si>
    <t>Le boîtier rayer Pour la prochaine fois, merci d'éviter de rayer le boîtier contenant le bijoux, sa ne le fais absolument pas. Voilà pk je met 04/05 d'étoiles.</t>
  </si>
  <si>
    <t>Stabilité et praticité et surtout plus d'odeur de poubelles sale Très contente de mon achat tout à fait ce que j'attendais de ce support poubelle qui reste bien stable quand le sac est rempli ...parfait pour un prix tout a fait attractif je recommande</t>
  </si>
  <si>
    <t>Nickel Super  Premier investissement Home cinéma câble standard 0,75 remplacé par celui ci, mes enceintes renaissent, qualité audio top, aucune fréquence parasite audible, même volume très élevé fait son taf, prix attractif</t>
  </si>
  <si>
    <t>Très bien. Super câble!</t>
  </si>
  <si>
    <t>Bouilloir Très contente de mon achats produit nikel com  d habitude</t>
  </si>
  <si>
    <t>Merci Bottes Joli ,les confortable , chaud superPour la pluie je suis des personnes qu’ils ont toujours froid aux pieds avec ses bottes là  mes pieds reste chaud Je fais de taille 38 j’ai pris 39 il est plutôt bien</t>
  </si>
  <si>
    <t>Super Jolies petites baskets belles finitions vraiment chouettes et confortables je pense les re commander en noir</t>
  </si>
  <si>
    <t>Mal fini!! Pantalon très mal fini! Décousu au niveau de l'entrejambe. Surfilage défait et coutures lâchées. Nous avons du reprendre toutes les coutures à la machine!! Dommage, car la couleur est plutôt belle.</t>
  </si>
  <si>
    <t>Fortment déconseillé Certes c'est un 42 en pointure, mais 36 en largeur. C'est nul. Seuls mes doigts de pieds y rentrent ! Je déconseille fortement</t>
  </si>
  <si>
    <t>Des écouteurs qui ne tiennent pas sur la durée ! Je voulais absolument attendre quelques temps avant de rédiger un commentaire pour m'assurer de la longévité de ces écouteurs. Après 3-4 mois d'utilisation, j'en suis extrêmement déçu ! Premièrement, les écouteurs en mousse se décomposent rapidement et ne sont plus utilisables après quelques ports. Je me suis rabattus sur ceux en plastique basique. Deuxièmement, il arrive qu'un des écouteurs lâche complément et que le son saute sans raison. Enfin, le petit support en plastique pour changer le son est très peu résistant. Il ne tient plus après 2 mois d'utilisation, s'ouvre (en laissant entrevoir les circuits électroniques) et les boutons sautent ce qui enlève pas mal de fonctionnalités, vous en conviendrez.  Le constat c'est que mes écouteurs ne ressemblent plus à rien fonctionnent mal. Je vais les faire "survivre" en mettant un bout de scotch pour faire tenir le composant en platoque qui permet le réglage de son et m'orienter vers une autre marque, sans regrets.</t>
  </si>
  <si>
    <t>Déçu La qualité laisse à désirer vu le prix</t>
  </si>
  <si>
    <t>Confortable et bon produit Très beau produit. Mais à tendance à être un peu grand. Très confortable et de bonne qualité. Tissus très solide.</t>
  </si>
  <si>
    <t>Excellent rapport qualité prix Testé ce matin, très bonne qualité, et sonneritée pafaite</t>
  </si>
  <si>
    <t>Bon Bon état général, conforme à la photo, belle montre pour homme. Tres bon prix, contente de mon achat, je recommande</t>
  </si>
  <si>
    <t>bon produit pas trop cher Bon produit. Lumiere bleu sympas à voir.  Notice que en anglais</t>
  </si>
  <si>
    <t>Pas déçu sur le choix, alors deuxième commande. Il y a le choix en couleurs pour tout les goûts, ou presque.  Fabrication propre. Rien à dire.  Il y a même d'ajouter des semelles. Ça maintient bien le pied. Moi qui ai souvent mal aux pieds, j'ai fait quelques kilomètres dans un confort.  Je ne sais pas si les clients ont eu des tailles différents que celles qu'ils ont commandé, j'ai pris du 43 et c'est impeccable.  Je vous ai fait quelques photos pour vous donner une meilleure idée sur ce que ça donne avec un ensemble qui a du blanc et qui fait un super rappel de la couleur blanche des chaussures.  Pas déçu alors j'ai passé une nouvelle commande mais en couleur bleu. Je joins quelques photos pour vous donner une idée.  J'aime bien faire des photos sur ce que j'achète, ça peut être utile pour les futurs clients. Je ne sais pas si vous allez pouvoir voir les photos en entier, l'application mobile ne permet pas parfois de les voir, dommage.  J'ai fait la pose pour vous avec plaisir. Si ça a été utile c'est gratifiant pour moi.  ----l'art de partager----</t>
  </si>
  <si>
    <t>Sacoche légère Produit acheter pour mettre des dossiers, pratique et légère , elle se porte avec aisance .</t>
  </si>
  <si>
    <t>Beau et de qualités Super! Et vraiment très beau! Achete pour mon fils pour son ordi et faire la guitare electrique</t>
  </si>
  <si>
    <t>Produit conforme à la description j'ai commandé ce produit pour me débarrasser de mon casque et j'en suis ravi la connectivité des écouteur est excellente, le design fait qu'elles tiennent parfaitement à l'oreille, l'autonomie de ces écouteurs est assez raisonnable et l'autonomie du boîtier est largement suffisante même pour les voyages de deux trois jours</t>
  </si>
  <si>
    <t>Jolie~ Ce montre est jolie,il est bien fait,mon petit ami l'aime bien,la qualité est bonne.Je vais acheter à nouveau pour mon frère~</t>
  </si>
  <si>
    <t>Super son ! embouts différents facile à appairer Magnifique !!! L'étui est super doux lol . Facile à appareiller avec mon samsung. Plusieurs embouts et surtout on peut le customiser avec les tiges jaunes flous j'adore ! Y a aussi plusieurs embouts de différentes tailles pour s'adapter à nos oreilles. Et surtout son est super top!</t>
  </si>
  <si>
    <t>Excellent Je les voulais blanches avec scratch, je ne les ai trouvé qu'ici, les revendeurs de ma ville ne pouvaient les avoir, ma belle mère est content aussi je suis content.</t>
  </si>
  <si>
    <t>Ultra stylééé J'aime beaucoup ce diffuseur d'huiles essentielle, je l'ai offert à ma mère et puis elle en est satisfait chaque fois que je rentre chez elle je le vois marcher ^^</t>
  </si>
  <si>
    <t>Toujours aussi magique ! Fan des BloPens depuis le début, je ne peux qu'être enchantée par ce coffret ci. Coffret qui se transforme en pupitre donc en plan de travail... Un vrai plus pour les petits artistes en herbe. On peut y poser les feutres et les paillettes dans les petits emplacements prévus pour ne pas en perdre. Toujours la présence des pochoirs pour obtenir un dessin parfait Les paillettes sont également appréciables mais il ne faut pas oublier de mettre la colle avant puisque c'est de la poudre de paillettes. Donc ne pas se faire avoir par ce petit détail qu'on oublie facilement, pris dans l'élan de l"œuvre"</t>
  </si>
  <si>
    <t>Patch anti douleurs En fait colis bien reçu pas de problème pour le produit correspond à ce que j’ai commandé merci</t>
  </si>
  <si>
    <t>J'adore Ils somt merveilleux</t>
  </si>
  <si>
    <t>Top!!!! Super produit je recommande !</t>
  </si>
  <si>
    <t>Excellent Très beau produit exactement ce que je voulais depuis très longtemps j ai toujours porté des Casio rien a dire</t>
  </si>
  <si>
    <t>Bouilloire de qualité en verre et inox Très design,de bonne qualité, certe plus de 40€ mais pas comparable à une bouilloire en plastique!chauffe rapidement et très simple d'utilisation</t>
  </si>
  <si>
    <t>Très jolie collier Très jolie et de bonne qualité et fait son effet</t>
  </si>
  <si>
    <t>Pas assez de soutien Trop grand au niveau du tour de dos, et pour moi pas assez de soutien. Je fais un 95E et ne me sens pas du tout soutenue avec ces brassières. La taille de bonnet est adéquate mais vraiment pas assez de soutien pour sortir de la maison, et certainement pas assez pour faire du sport.</t>
  </si>
  <si>
    <t>servi 5 FOIS NE FONCTIONNE PLUS Les premières utilisations étaient parfaites jusqu'a la 5eme fois plus rien ne marche!!!je déconseille</t>
  </si>
  <si>
    <t>Mitigée car  pour moi manque de puissance et résultats difficiles à vérifier J'ai une Fille qui est bien allergique aux acariens, aux poils de chats , à la poussière ... Aussi j'ai sauté sur l'occasion pour tester cet aspirateur de matelas , oreillers et draps Il est de qualité, pratique à ranger , léger et maniable J'ai nettoyé le drap house, le matelas , les oreillers, lorsque l'on aspire la tête du matelas , le voyant est vert , plus on descend et la couleur passe à l'orange puis au rouge ; Tout cela est bien , mais j'ai remarqué qu'il n'aspirait pas très bien les poussières et petites saletés qui se trouvaient sur le drap housse ( comme mes draps sont de couleurs c'est bien visible) , j'ai donc passé mon Dyson avec le suceur et tout a disparu; Ce qui me fait dire que j'ai un réel doute sur sa puissance et que les 98% de poussières  éliminées en moins de 3 minutes  sont bien difficiles à vérifier et la disparition des acariens encore plus .</t>
  </si>
  <si>
    <t>Beaucoup de mal à le faire tenir Contrairement à d'autres écouteurs intra- j'ai du mal à faire tenir ceux ci sans me les enfoncer jusqu'au bout du cerveau. Le produit reste OK surtout vu le prix très bas.</t>
  </si>
  <si>
    <t>Le prix pour des "CONVERSES" Arrivé en avance...la pointure est pil-poil...pour le moment rien à reprocher à ces baskettes. Vrai ou copie je ne suis pas apte à me prononcer...le principale c'est qu' elles me plaisent. Je recommanderais en d'autres couleurs. Pour ma part celles que j'ai reçue sont d'origine du WIETNAM. -Cordialement.</t>
  </si>
  <si>
    <t>Pratique Un look épuré allié à un design moderne renouvellent la fonctionnalité de la bouilloire qui chauffe rapidement. Le niveau d'eau s'éclaire en bleu pendant le temps de chauffe.</t>
  </si>
  <si>
    <t>Microphone YÉTI silver Je recherchais un microphone pour mon pc en USB. Au vu de la réputation de celui ci, je me suis penché sur lui. J’en suis totalement satisfait, l’aspect est très jolie, il fonctionne parfaitement bien. Seul petit bémol : le prix un petit peu élevé, mais pour de la qualité on ne compte pas.</t>
  </si>
  <si>
    <t>Grande sacoche Il y a pleins de rangements, cette sacoche est très grande on peut mettre pleins de choses dedans très utile</t>
  </si>
  <si>
    <t>Ça légèreté son look Pour les sorties sport VTT...</t>
  </si>
  <si>
    <t>très bonne qualité Ecouteurs de très bonne qualité, produit reçu très rapidement et bien soigné la qualité musicale est très élevée et je peux même dire époustouflante. Design bien soigné, et quant à la liaison Bluetooth, dès que je les allume ils se connectent très rapidement à mon smartphone. Je suis très ravi et je recommande</t>
  </si>
  <si>
    <t>Super Jamais déçue,  super qualité</t>
  </si>
  <si>
    <t>Economique et de bonne qualité Bloc très économique,d'une qualité adaptée à tous les âges ! Un emploi facile et un prix avantageux....Plus de crainte pour une page employée en plus,la quantité n'a d'égale que la qualité ! Adapté à toutes les envies de dessins ou de coloriages .</t>
  </si>
  <si>
    <t>Joint pour machine Dolce Gusto - ça peut sauver une machine qui fuit! Très pratique quand on ne veut pas racheter une cafetière entière dont le joint a lâché au bout de 2 ou 3 ans à peine Nécessite d'ouvrir la machine, ce qui n'est pas facile (vis spécifiques, les malins!) mais le joint est facile à remplacer une fois la machine ouverte</t>
  </si>
  <si>
    <t>Pratique, pliable, résistant... Je l'utilise tous les jours pour marcher et courir, il est hyper résistant, et le plus c'est la mini-carte SD qu'on met dedans et qui permet de partir léger, sans téléphone, et dont le contenu se déroule dans l'ordre où on enregistre les chansons sur la carte. Seul bémol : ne pas enfiler la carte de travers, comme moi la première fois, sinon elle glisse à l'intérieur du casque et il faut tout démonter pour la récupérer ! maisje ne suis pas très douée pour ce genre de manipulation il faut bien le dire. Et le POwer Locus ne se décharge pas vite, je le recharge à peine une fois par semaine.</t>
  </si>
  <si>
    <t>Biberons solides et pratiques. Biberons qui se démontent entièrement, ce qui facilite le nettoyage et le changement/remplacement de certaines pièces (par exemple les tétines). Après trois mois d'utilisation, aucune marque d'usure. Je recommande.</t>
  </si>
  <si>
    <t>bonne cartouche a petit prix ayant acheté des cartouches HP plus que couteuse et s'épuisant très vite ,je me suis tourné vers ces cartouches générique JARbo en espérant que celle-ci fonctionne sur mon imprimante. Premier point positif celle-ci sont plus facile a déballer je m'explique les HP on des bouchons très difficile a enlever ,Les cartouches JARBO le bouchon  de l'encre est beaucoup facille a retirer, de plus la cartouche est translucide on peut voir le niveau d'encre au moins on a  un visuel physique . contrairement a celle des Hp donc l’estimation de niveau  d'encre est plus que douteux .la mise en place de ces cartouches  JARBO c'est fait sans problème sauf l'imprimante qui ne reconnait pas les cartouches, un message d’erreur  apparaitra, il suffit de confirmer par ok et tout rentrera dans l'ordre .Quand a l'impression je ne vois de différence avec les HP ,donc en conclusion vous avez des cartouche d'encre JARBO de fois moins cher et un lot de plus par rapport aux prix des HP  ,avoir dans le temps ,a pour info j'ai une imprimanteHP photossmart 5520 series .</t>
  </si>
  <si>
    <t>super! conforme au descriptif!tres content de cet achat.</t>
  </si>
  <si>
    <t>RAS Les chaussures sont bien authentiques. Livrées dans une vraie boîte à chaussure Timberland. La marque ® est présente sur la languette intérieure et la semelle intérieure. Le fait que cette marque n'apparaisse pas sur le logo extérieur ne démontre en rien qu'il s'agirait d'une contrefaçon. Sur le site officiel de Timberland, on peut clairement voir que le ® n'est pas apposé sur tous les logos extérieurs.</t>
  </si>
  <si>
    <t>Ecouteurs Bluetooth impressionnants La qualité du son est excellente.  Aucune perturbation et facile à connecter.  La connexion Bluetooth est bonne.  Il prend également en charge mon téléphone LG et mon ordinateur portable Hp.  Une seule connexion suffit.  Il détecte automatiquement une fois que la connexion est activée.  Batterie de secours super.  La qualité de la voix et des appels se passe bien.  La pochette a l'air très mignonne et la puissance de secours est agréable.  J'utilise toujours à mon bureau marcher et pour les appels.  Meilleur pour ce prix.  Simple et super.</t>
  </si>
  <si>
    <t>Parfait! très bon qualité</t>
  </si>
  <si>
    <t>conforme a l'attente tout à fait conforme à l' attente que j'en avais, ce  modèle est confortable; la longueur est une peu grande comme précisé lors de la commande mais la pointure est la bonne et livraison rapide.</t>
  </si>
  <si>
    <t>R.A.S R.A.S</t>
  </si>
  <si>
    <t>image différante du modèle reçu je mets que deux étoiles parce que le modèle de chaussure que j'ai reçu est différent du modèle présenté sur internet.Le modèle que j'ai reçu a 6 oeillets et le modèle présenté sur internet a 5 oeillets et la forme est légèrement différente sur l'arrière.La semelle intérieure n'est pas mobile. .</t>
  </si>
  <si>
    <t>trop fin malheureusement ce tapis est trop fin et ma souris ne fonctionne pas avec , j attend un remboursement , j ai renvoyé cet article</t>
  </si>
  <si>
    <t>vu le prix , ne pas attendre à recevoir des boucles en bon état boucles d'oreilles arrivées avec des brillants en moins et la pierre même pas centrée , du coup , immétable , donc direction poubelle</t>
  </si>
  <si>
    <t>Sabot ok Sabot très bien fabriqué</t>
  </si>
  <si>
    <t>💪💪💪👏👏👏 👏👏👏👍👍👍👍👍💪💪</t>
  </si>
  <si>
    <t>Efficace et frais Ce bloc laisse une impression de propreté après chaque chasse d'eau . L'eau est bleue et une odeur de fraîcheur est libérée à chaque chasse d'eau. Cela semble efficace et frais. Mon seul bémol concerne le filet bleu assez persistant qui est laissé sur la cuvette . Sinon le bloc est facile à installer et à retirer .</t>
  </si>
  <si>
    <t>Fait son effet Tres beau coliier cependant il s’emmele lol</t>
  </si>
  <si>
    <t>Ne plus avoir l'impression d'être obligé de échauffer soi mêmem le lit pour pouvoir s'endormir Quel bonheur d'entrer dans un lit tiède à souhait qui vous accueille avant un bon sommeil. Avec l'age, il devenait de plus en plus long à trouver le confort suffisant pour que el sommeil soit possible. Maintenant plus de problème... la position sur la plus faible chaleur peut être conservée jusqu’au premier lever ( souvent en cours de nuit pour soulager  un besoin naturel....!  et au retour le lit n'a pas eu le temps de refroidier</t>
  </si>
  <si>
    <t>très doux ras</t>
  </si>
  <si>
    <t>Excellent Rien à redire ! C'est des air force one !</t>
  </si>
  <si>
    <t>à l'aise dedans enfin des chaussures de plage ou on se sent comme dans des chaussons</t>
  </si>
  <si>
    <t>Magnifique Je la porte tout le temps c'est un must have! elle est tres belle ne fait ni trop ni pas assez</t>
  </si>
  <si>
    <t>Je le recommande Produit d'assez bonne qualité et fonctionnent parfaitement</t>
  </si>
  <si>
    <t>Bracelet Parfait j’adore</t>
  </si>
  <si>
    <t>bonne qualite prix je recomande le pantalon pas cher j en acheterai d autres</t>
  </si>
  <si>
    <t>Nikel Mgnifique</t>
  </si>
  <si>
    <t>Très contente Magnifique pendentif, livré dans un élégant écrin, un cadeau que j'ai fait à ma fille et qui a été ravie. Bientôt je veux acheter aussi un autre que j'ai vu pour ma mère.</t>
  </si>
  <si>
    <t>Super tenue de sport Super contente ! Tres confortable. Ensemble confortable à porter, conforme aux images. Micro aérer bon pour la transpiration. Super pour le sport et le fitness.</t>
  </si>
  <si>
    <t>🧡🧡🧡🧡 Bien comme avec tout les produits Apple</t>
  </si>
  <si>
    <t>satisfait parfait prendre une taille au dessus comme indiquer .PARFAIT</t>
  </si>
  <si>
    <t>Leggings sport Bien reçu 1 jour plutot  . Un peu fin. Avoir avec le temps.</t>
  </si>
  <si>
    <t>Papier Perfetto</t>
  </si>
  <si>
    <t>tres satisfait produit conforme à ma commande et à mes attentes je recommanderai le produit des que j'en aurait à nouveau besoin</t>
  </si>
  <si>
    <t>Chaussure foot faite pour filles aussi Taille exacte et c’est faite pour les filles aussi. Envoi rapide.</t>
  </si>
  <si>
    <t>Trop grand Retour au vendeur produit trop grand! J'ai mis tout de même 2 étoiles car le produit était de bonne confection.</t>
  </si>
  <si>
    <t>Contrefaçon chinoise.demande de remboursement C est une arnaque. C est de la contrefaçon chaussure dur. Et morte au bout de 2 mois. Je pensé pas que amazon peuvent vendre de la contrefaçon mais si! Je demande un remboursement!</t>
  </si>
  <si>
    <t>Vaux pas son pesant d'or. Bonjour. J'en ai acheté à 45 € sans marque et le son au niveau du téléphone était médiocre mon correspondant m'entendais mal, même très mal. J'ai décidé donc d'acheter les vrais les Samsung et c'est exactement la même chose correspondant m'entends très mal. Donc résultats des courses pour téléphoner c'est pas la peine mais par contre le son pour tout ce qui est audio est excellent et comme je ne peux pas séparer le téléphone de l'audio j'ai décidé de mettre la note de une étoile. Produits que je vais renvoyer dans la journée. Sinon 5 étoiles pour les audios et une étoile pour le téléphone. Rien ne vaut le kit main libre de la voiture ou les oreillettes filaire ou encore le téléphone à la main, mais téléphone à la main en voiture c'est 3 points en moins et 90 € d'amende. Donc au final très déçu.</t>
  </si>
  <si>
    <t>la sonde exterieure doit etre branchée electriquement pour fonctionner La sonde intérieur fonctionne à pile. La sonde extérieur doit être branchée sur le secteur ! Cherchez l'erreur !</t>
  </si>
  <si>
    <t>Très bien. Rien à dire. Vaut son prix.</t>
  </si>
  <si>
    <t>Solide et dimensions comme décrites J aime bien le nombre de poches et les dimensions sont comme décrit. Il y a sûrement mieux, mais aussi moins bien, ce qui m importait surtout c était que ce soit un peu grand et solide. C est le cas, même si j aurais aimé un peu plus grand mais c est déjà bien quand même...</t>
  </si>
  <si>
    <t>petit mais pratique merci</t>
  </si>
  <si>
    <t>Idéal pour une ou deux personnes. Chauffe rapidement, et de plus estétique. Idéal pour une ou deux personnes. Pratique à l'utilisation Chauffe rapidement, et de plus estétique. Ne chauffe pas le lait.</t>
  </si>
  <si>
    <t>Impeccable Parfait. Bien chauds. Idéale pour l'hiver.</t>
  </si>
  <si>
    <t>Robe Tissu agréable. Je mesure 1m68 et le M est assez court sur moi. Sinon le rendu est plutôt canon !</t>
  </si>
  <si>
    <t>Excellent Excellent produit et livré comme prévu !</t>
  </si>
  <si>
    <t>Parfaite! Je suis une addict, J'adore!!!!!!!! Pour mon 38 je prend toujours 37.5 pour les converses Rien a dire de plus, c'est parfait</t>
  </si>
  <si>
    <t>Confortable Baskets super confortables !!!  Je recommande 😃 Ce produit . Je pense les commander dans une autre couleur, elle s'adapte a tous les looks 👍</t>
  </si>
  <si>
    <t>Très beau kit DIY pour une belle surprise Superbe kit pour créer soi même une très belle surprise. Tout est à monter, la boite est livrée avec de multiples décorations et contient même les ciseaux. Une notice est également fournie. Idéal pour faire un cadeau très personnalisé. J'ai hâte de commencer et de voir le rendu final.</t>
  </si>
  <si>
    <t>Sac sport 3en1 Sac de bonne qualité,imperméable,  utiliser pour sport, avec placement chasseur, utilisable aussi comme sac à dos</t>
  </si>
  <si>
    <t>Un des moins encombrants Un des rares modèles qui rentrait dans notre petit micro onde, ça fait le job sans problème</t>
  </si>
  <si>
    <t>Livre pour débutants Les livres de cette collections sont très bien adaptés aux apprentis lecteurs. Tous les livres du niveau 1 ne comportent que des graphies simples et des mots outils. Ils sont donc lisibles par tous les enfants dès le mois de janvier du CP. Mes élèves adorent.</t>
  </si>
  <si>
    <t>Très bon produit, livraison impeccable J'ai acheté ce produit pour ne plus avoir à partager les feutres, grande famille d'artistes que nous sommes !  Livraison impeccable, soignée et dans les délais. La réputation des feutres Bic, n'étant plus à faire, tout est dit !</t>
  </si>
  <si>
    <t>Parfait Produit parfait pour confectionner des galets detartrant pour les toilettes. A manipuler avec précaution . Plein de recettes de produits d'entretien existent sur le net et c'est trés économique et bien plus efficace</t>
  </si>
  <si>
    <t>Huile bio de ravintsara Très satisfaite de cette huile essentielle</t>
  </si>
  <si>
    <t>Assainissant Très purifiant avec une agréable odeur de rose !!</t>
  </si>
  <si>
    <t>Satisfait Quotidien</t>
  </si>
  <si>
    <t>BON PRODUIT PAS CHER ET TRES PRATIQUE</t>
  </si>
  <si>
    <t>Très déçue Il y a pratiquement un mois j'achetais cet article et le câble d'alimentation est déjà hors service. Il est vrai que le diffuseur en lui même est joli mais ça s'arrête là !</t>
  </si>
  <si>
    <t>Coupe horrible !!! Je fais 104 cm de tour de taille j'en ai donc pris 2 en taille XL, sur le 1er la taille est très correcte, mais sur le 2eme l’élastique est trop lâche heureusement qu'il y a un cordon pour le maintenir, par contre au niveau des cuisses c'est horrible il semblerait que j'ai enfiler un sac ? c'est extrêmement large on pourrez y entrer facilement 2 jambes de chaque coté,  ma femme ne veut plus que je les portent, il sont parties tout les 2 dans l'urne de récolte pour les gens malheureux, je vous les déconseille donc vivement sauf si vous avez des cuisses très très grosse ?</t>
  </si>
  <si>
    <t>Commande valide, merci Merci (une intrusion indésirable chez moi contre laquelle de nombreuses plaintes jusqu'alors ignorées par le ministère public ont été déposées, a permis à quelqu'un d'enlever une boule d'une des dizaine).</t>
  </si>
  <si>
    <t>Utile Chaussons ultra légers et très pratique quand on a des invités. Ils sont joliment conçu, confortable et pas encombrants. Le points négatif est leur fragilité. A ne surtout pas utiliser autre part que sur du carrelage, du lino, du bois ou de la moquette.</t>
  </si>
  <si>
    <t>Bien Les crayons s'utilisent facilement, la craie descend bien, l'épaisseur de la mine est correcte</t>
  </si>
  <si>
    <t>Reveil en douceur Dommage quil n'y ait que 2 choix de melodies pr le reveil car à force on s'y  habitue et on l'entend moins</t>
  </si>
  <si>
    <t>Bel outil ! J'ai vu cet article ds "les reines du shipping " ou la participante disait que ca decongestionnait le visage . J'ai eu envie d'essayer car j'ai des poches le matin ! Je ne sais pas si ça va lisser ma peau mais en tout cas c'est très très agréableca utiliser , et très frais . Alors pour 15 si en plus ça marche .....</t>
  </si>
  <si>
    <t>hauteur je pensais que la tige de la chaussette était un peu plus haute sinon bon produit et bon rapport qualité prix</t>
  </si>
  <si>
    <t>Magnifique bracelet identique photo Très satisfaite du bracelet,  style sympa,  couleurs identique à la photo,  il est juste pile pour mon tour de poignet,</t>
  </si>
  <si>
    <t>Pochette de plastification. Bon produit. conforme à la description. Délais de livraison respecté.</t>
  </si>
  <si>
    <t>Pratique, efficace Très bon grille pain, efficace, esthétique et très pratique avec sa grille que l'on place au dessus</t>
  </si>
  <si>
    <t>Très jolies Achetées pour offrir à Noël je les garderais bien pour moi! Leur petite taille les rend discrète et très jolies.</t>
  </si>
  <si>
    <t>Bon produit Produit reçu dans le délais indiqués, rien à redire quant à la qualité du son, les boutons du kit piéton fonctionnent parfaitement, qualité au top.</t>
  </si>
  <si>
    <t>Très bon article Aigle Bottines caoutchouc de bonne qualité et bien conçues. Assez lourdes (920 g) mais très confortables et moelleuses, une fois enfilées, car la tige, qui maintient bien la cheville, demande un petit effort lors de l'enfilage. Semelles épaisses et crantées anti dérapantes (pas testées sur verglas) qui isolent bien du froid. L'extrémité avant de ces bottines est arrondi, ce qui laisse de la place pour les orteils. Taillent normalement (confortables avec des chaussettes d'hiver) pour des pieds de largeur moyenne. Je recommande.</t>
  </si>
  <si>
    <t>Des chaussettes qui ne font pas mémé . Des chaussettes de contention légères  qui permettent de piétiner toute une journée , sans avoir mal aux jambes . Un peu difficiles à enfiler si on est pressé mais c'est un coup de main à prendre .</t>
  </si>
  <si>
    <t>Très jolie brassière Très confortable, on l'oublie toute la journée, le dos très joli avec ses bretelles même si celles-ci ne se règlent pas, mais bien taillées. Pris en rose, taille XXL pour un 105B classique. Je recommande.</t>
  </si>
  <si>
    <t>Super Pour la mise en place des mes albums photos super Ce collent trés bien Déroulage trés bien fait Nous recommandons ce produit</t>
  </si>
  <si>
    <t>Bottes de neige Très belles bottes extrêmement bien fourrées. La pointure commandée correspond exactement. Toute la partie basse en caoutchouc isole parfaitement de l’humidité du sol. De plus elles sont très agréables à porter et jolies à l’œil</t>
  </si>
  <si>
    <t>Bien utile pour l'hiver J'ai adoré, l'année dernière on m'avaient prêté un quand j'avais eu la grippe et j'ai trouvé ça très pratique. En dehors des avantages qu'à une bouillotte pour une utilisation plus traditionnel, elle apaise certains maux (le mal de ventre ou les nœuds), elle diffuse une chaleur douce pendant longtemps et elle n'agresse pas la peau grâce à son petit pull à col roulé.</t>
  </si>
  <si>
    <t>Produit conforme et de bonne qualité Pour transporter les copies.</t>
  </si>
  <si>
    <t>Produit correspondant à mes attentes Tous les jours. Montre légère, précise, look discret, bracelet comme je préfère.</t>
  </si>
  <si>
    <t>Bonne bouilloire vintage La bouilloire est de style « vintage » comme son nom. Celui-ci chauffe grâce à une base qui peut se disloquer de la bouilloire pour pouvoir servir l’eau chaud. Nous avons une échelle de graduation pour pouvoir savoir combien d’eau est mise dans la bouilloire. Il existe qu’un bouton qui permet de commencer à chauffer la bouilloire. L’entretien de celle-ci est également très simple.  MON AVIS :  ❤ Ce que j'ai aimé ❤  - Très beau design - Chauffe l’eau rapidement - Très bon contenant  💔 Ce que je n'ai pas aimé 💔  - RAS  Conclusion : Une bouilloire simple, mais très efficace qui chauffe rapidement l’eau.</t>
  </si>
  <si>
    <t>Pochette Beaba Très pratique . Très bonne qualité. Grand rangement . Biberons.Petits pots.</t>
  </si>
  <si>
    <t>👍😍 Génial</t>
  </si>
  <si>
    <t>Bijoux Bijoux  un peu babioles</t>
  </si>
  <si>
    <t>Mauvaise qualité Il est tellement fin qu'il se déchire d'un rien... Il est inconfortable, irritant, pas du tout de bonne qualité. Ca ne mérite pas du tout le prix qu'on le paye ici !</t>
  </si>
  <si>
    <t>Qualité mediocre Je suis navré de constater qu’apres Un premier lavage les couleurs ne tiennent absolument pas. Ce qui etait blanc est devenu rose de part le rouge de la tenu, et les motifs ont quasiment disparus. Qualité deplorable.</t>
  </si>
  <si>
    <t>L utilisationet etdon résultat Pour le dos. L appareil est un peu trop rigide</t>
  </si>
  <si>
    <t>Sympa mais etroite Dommage je l’es trouvais trop sympa mais je me sentais serrer  étroit dans la chaussure j ai préféré les renvoyer</t>
  </si>
  <si>
    <t>A voir avec le temps J'ai utilisé le produit, je n'en connais pas encore l'efficacité. Je verrai avec le temps. Par contre, la livraison avec le produit qui a coulé dans l'emballage, ce n'était pas une option.</t>
  </si>
  <si>
    <t>Satisfaite Il est magnifique mais il me baille un peut trop à la taille.  Je fais du 38 au niveau des cuisses et fesses et 36 à la taille. Sa aurait été nikel si l'élastique du ventre serait justement plus élastique pour mieu serrer ou se dettendre (s'adapter à chaque corp). Il ne me gaine pas du tout...  Sinon se legging est super et il est taille haute comme je l'aime. La couleur grise est identique à celle de la photo je suis dans l'ensemble trés satisfaite.</t>
  </si>
  <si>
    <t>qualité du produit pieds au chaud et bon maintien</t>
  </si>
  <si>
    <t>Contre les bactéries Lingettes idéales pour les toilettes, les poignées de porte, les boutons électriques etc......je ne peux que recommander ce produit tout en oubliant pas de se laver les mains.</t>
  </si>
  <si>
    <t>Cartouche HP rien à dire Cartouche de marque HP, reçu rapidement, rien à dire sur la qualité à par le prix qui est exorbitant pour une pauvre cartouche mais quand même moins cher ici. Le business plan de l'imprimante est le consommable, c'est bien connu ... :)</t>
  </si>
  <si>
    <t>tres pratique Ce goupillon est tres pratique pour nettoyer les biberons bébé,le petit embout pour nettoyer les tetines est super.et le socle permet de le ranger sans qu'il prenne la poussiere et pour qu'il seche</t>
  </si>
  <si>
    <t>Qualité Ce câble XLR est très de bonne qualité et convient très bien pour ma table Pioneer et mes enceintes KRK.</t>
  </si>
  <si>
    <t>Qualité très satisfaisante Très bel objet fonctionnel et agréable à regarder. Conforme à la description.</t>
  </si>
  <si>
    <t>Pas de facture pour cet artile Cet article est sous garantie mais je n'ai pas la facture correspondante. Merci !</t>
  </si>
  <si>
    <t>Kim Bottine de sortie impeccable de très bonnes factures de bonne référence</t>
  </si>
  <si>
    <t>Satisfait Livraison rapide, produit conforme à la description, utile pour tous les jours et toute la famille. Bon achat et bon rapport qualité prix.</t>
  </si>
  <si>
    <t>Espaceur chaîne Trop bien</t>
  </si>
  <si>
    <t>Magnifique Cadeau pour belle maman Magnifique</t>
  </si>
  <si>
    <t>Satisfait Bon produit</t>
  </si>
  <si>
    <t>Idéal pour le prix J'ai acheté ce kit micro pour avoir des micros de secours lors de mes prestations karaoké ou sonorisation d'événements. je les ai essayés ce week-end et je n'en attendais pas grand chose vu le prix mais au final, la qualité est excellente. Peu sensible au larsen, possibilité de changer de fréquences (et donc de brancher plusieurs kits), les micros sont plutôt lourds contrairement aux micros entrée de gamme tout en plastique et surtout ils ont une bonne portée en intérieur comme en extérieur. Un autre plus est le réglage de volume indépendant sur chaque micro. Je regrette 2 petites choses, c'est l'absence de bouton mute (mais on s'adapte, certains micros bien plus chers ne l'ont pas non plus) et l'absence de possibilité de racker le récepteur (mais encore une fois, c'est du chipotage). Le livret fourni avec donne de très bonnes explications et en français ! Je suis plus que satisfait. A voir ce que cela va donner dans le temps.</t>
  </si>
  <si>
    <t>Très léger et utile . &lt;div id="video-block-R15I3L2FGMHTD6"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id="55" preload="auto" src="https://images-eu.ssl-images-amazon.com/images/I/A1WGatCbcRS.mp4" style="position: absolute; left: 0px; top: 0px; overflow: hidden; height: 1px; width: 1px;"&gt;&lt;/video&gt;&lt;/div&gt;&lt;div id="airy-slate-preload" style="background-color: rgb(0, 0, 0); background-image: url(&amp;quot;https://images-eu.ssl-images-amazon.com/images/I/91mPsI2x85S.png&amp;quot;);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value="https://images-eu.ssl-images-amazon.com/images/I/A1WGatCbcRS.mp4" class="video-url"&gt;&lt;input type="hidden" name="" value="https://images-eu.ssl-images-amazon.com/images/I/91mPsI2x85S.png" class="video-slate-img-url"&gt;&amp;nbsp;D'après une  très dure journée avec un bain de pied massant cest juste super bien . Comme  je marche  beaucoup  donc  forcement  ça fait  mal au  pied . Avec ce balneo , je me sens tellement bien avec deux roulettes massant qui tourne, quand  je met  de l'eau  ça chauffe  tout seul , ducoup ça aide a la circulation du sang .la machine ne fait  pas beaucoup de bruit , et facile à  utiliser , cest très utile de avoir cette machine proche d'hier, a  recommander</t>
  </si>
  <si>
    <t>bon rapport qualité/prix Mon fils de 12 ans est ravi de ce casque. Il convient aux adultes et enfants. bon son. Je recommande ce produit pour son rapport/qualité prix</t>
  </si>
  <si>
    <t>Alume gaz Trains bon produis pour le gaz, le barbecue, je tiens à prévenir que allume gaz est un arc electrique  que les chien (enfin certain ) napréci pas ma chienne de 9 ans ce sove quant jalume le gaz mon autre de 6 ne réagit pas et les ado rale bref . Cest un bon produis et rechargable donc durable.</t>
  </si>
  <si>
    <t>Trop épais Legging qui a l'air d'être de bonne qualité mais trop épais pour moi. Il est chaud comme un pantalon de ski.</t>
  </si>
  <si>
    <t>Boucle d’oreille Nul impossible d’accrocher la boucle d’oreille Il ne faut pas commander se profuit Pas du tout de bonne qualité ne pas acheter</t>
  </si>
  <si>
    <t>Mauvaise qualité Desus de la qualité très très moyenne du tissus Puis la coupe très droite parfaite pour des "profils intéressants" avec des sandales et des chaussettes blanches</t>
  </si>
  <si>
    <t>cartouches j aime la qualité prix pour ses cartouches tarifs super sympa  je le recommande a tous contente merci beaucoup !!!</t>
  </si>
  <si>
    <t>Un bon produit C'est un bon produit, pratique, tenant chaud et arrivé en parfait état. Cependant il est très important de bien noté que le fait de chauffer les pantoufles à une durée de maximum 40 secondes dans le micro onde au de la les chaussons vont commencer à sentir le brulé</t>
  </si>
  <si>
    <t>Confortable mais pas durable Produit extrêmement confortable, mais qui s'use très très vite.  C'est la 3e pair que j'achète en un an et demi!  Il faut dire que je le mets tous les jours et que je travaille avec ce dernier dans mon potager.  Mais quand même!!!!</t>
  </si>
  <si>
    <t>Chemises épaisses de qualité Je m'en sers pour archivé et classé mes dossiers, les couleurs permettent d'établir facilement un classement par catégorie et l'épaisseur de la chemise protège bien les documents</t>
  </si>
  <si>
    <t>Parfaitement parfaites Une fois passée le premier jour de portage très douloureux qui m'a valut de belles ampoules aux talons, je ne quitte plus mes Dr. De petites merveilles à porter avec absolument tout. Elles sont extrêmement confortables une fois que le pied s'y est adapté, elles vont êtes parfaites pour cet hiver</t>
  </si>
  <si>
    <t>pas mal Les feutres écrivent bien métallisés, il y en a 10 , je n'ai pas reçu le feutre de couleur noire et j'ai le double en vert. Je les garde quand même mais j'aurai préfèré avoir le noir.</t>
  </si>
  <si>
    <t>Impécable! Pour éditer des timbres sur le site de la poste ces étiquettes sont idéales, d'autant que le logiciel en ligne vous permet de choisir quelles étiquettes seront imprimées. Se détachent bien et collent parfaitement.</t>
  </si>
  <si>
    <t>Bravo Parfait bonne taille, bonne qualité , la bonne couleur ...  Pour tout les fans de palladium, je le recommande ...  Service très rapide merci !!</t>
  </si>
  <si>
    <t>très pratique grand agenda avec rendez vous tous les 1/4 h de 7heures du matin à 20h45 très bonne qualité de papier très bien conçu.</t>
  </si>
  <si>
    <t>Super biberon adopté rapidement par ma fille Bon débit, solide, sympa en couleur et résistant sans souci au lave vaisselle. Je les recommande sans problème. Ma fille l'a adopté en peu de temps.</t>
  </si>
  <si>
    <t>Confort et efficacité Très confortables et bien étanches, bon maintien de la cheville</t>
  </si>
  <si>
    <t>Conquise J'en avais déjà acheté en autre coloris et j'aimais ce produit. J'ai voulu essayer d'autres marques sans grande satisfaction. Je suis finalement revenu à mon premier choix qui est le goupillon "classique" Avent. D'un côté il y a les brosses lavantes qui frottent très bien et nettoient parfaitement bien et de l'autre le petit embout qui permet de nettoyer en profondeur la tétine. Super article, j'en racheterai.</t>
  </si>
  <si>
    <t>🌞 Trop bien ! Le son est très bon. Les écouteurs se logent très bien dans l'oreille. Le design est bien pensé. Les écouteurs sont assez discrets.   J'aime bien le boîtier qui affiche directement le pourcentage  de batterie disponible des écouteurs.  Fini les câbles qui s'arrachent ! 😎 Il y a quelques années, ce type de produit était hors de prix. Ensuite, on a vu arrivé des copies de mauvaise qualité. Et maintenant, ça y est, la 'copie' est parfaite pour un tarif tout à fait abordable 👍</t>
  </si>
  <si>
    <t>Très bon pendule Très bon produit avec un très bon rapport qualité/prix. Le pendule est très bien fini et équilibré, j'aime cette forme et sa tenue en main. Le tout est livré dans une petite pochette en suédine pour le transport.</t>
  </si>
  <si>
    <t>Tres satisfait de mon achat Excellente montre, design superbe et autonomie largement suffisante pour une utilisation basique (SMS et mails sur la montre) elle tient largement une journée</t>
  </si>
  <si>
    <t>Conforme à la description Super ! Très contente .</t>
  </si>
  <si>
    <t>Five Stars très bien</t>
  </si>
  <si>
    <t>C’est après l’utilisation qu’il est possible de laisser un commentaire valable Répond à la demande. Point positif la Livraison dans les temps.</t>
  </si>
  <si>
    <t>Un confort exceptionnel Quel confort, il m'arrive souvent de regarder des émissions tard dans la nuit et je ne gêne pas mes voisins. Ce casque me permet aussi de vaquer à d'autres occupations en attendant mon programme désiré et de le suivre dés qu'il commence. Les réglages et installation sont faciles. Seul point délicat, je porte des lunettes et il arrive que les branches entrainent des douleurs aux oreilles.</t>
  </si>
  <si>
    <t>prix correct et rapidité d'expédition. Très belle sacoche,qualité excellente comme tout les produits "eastpak"</t>
  </si>
  <si>
    <t>ACHAT VERIFIEE Adapter. Rien à redire.</t>
  </si>
  <si>
    <t>déçu jolies boucle d oreilles avec un bel effet seulement j ai déjà perdu un des cristaux . j ai porté ces pendants que 2 jours</t>
  </si>
  <si>
    <t>prudence sur la pointure Je chausse du 46 et j'ai pris des sabots taille 12 US (qui en général me convient). Malheureusement les sabots sont nettement trop petits (il me semble qu'il manque au minimum 2 pointures). Soit le fabricant s'est trompé dans le marquage soit les critères CROCS pour désigner les tailles sont particuliers et il vaudrait mieux indiquer lors de l'achat les équivalences en cm pour aider les acheteurs. Malheureusement pour moi j'ai tardé à essayer les sabots et me suis aperçu bien trop tard du problème. Avis aux acheteurs</t>
  </si>
  <si>
    <t>chaussures douloureuses Bonjour Je porte des TBS depuis plus de 15 ans suite à un handicap J'ai acheté sur Amazon une paire de TBS taille 43, le 24 11 2017 elle me font mal, je les mets trés peu Je ne comprenais pas qu'avec mes deux autres paires RAS? Je me suis aperçu que le renfort matelassé qui se trouve sur ces baskets, habituellement, n'existe pas sur cette pire Est-ce un changement de fabrication ou un défaut de fabrication? Merci pour votre réponse</t>
  </si>
  <si>
    <t>Agréable Parfois les touches ne fonctionnent pas Obliger de débrancher et rebrancher</t>
  </si>
  <si>
    <t>le confort Produit fidèle à la description. Je le conseille.</t>
  </si>
  <si>
    <t>Tres bon produit Je suis satisfaite de ce produit ' ma peau est bien hidratee et tres douce bien reposee le matin je conseille ce produit</t>
  </si>
  <si>
    <t>Très belles et confortables ! Ces Timberland sont vraiment très belles et confortables... Elles sont en cuir véritable, mais un peu fin et pas de la très bonne qualité, car en frottant à peine avec un doigt pour enlever des saletés, j'ai fait plusieurs marques qui ne partent pas... C'est quand même dommage à ce prix là ! Sinon, elles taillent grand... Je prends du 46 en adidas, et là j'ai pris du 45.</t>
  </si>
  <si>
    <t>Bon rapport qualité/prix Plutôt satisfaite car je connecte le casque essentiellement pendant les séances de sport !! Bon son, maniable, pas trop lourd.... cependant, si l’appareillage se fait très facilement sur mon iPhone.... impossible de l’appareiller sir mon iPad.... Je ne comprends pas !! Bien dommage 😕</t>
  </si>
  <si>
    <t>je le recommande vraiment, ce qui est génial Cette montre est vraiment géniale, le prix est raisonnable. Cette montre est vraiment géniale, le prix est raisonnable, l'intérieur du cadran est ma partie préférée, car j'ai trouvé que cela mettait en valeur l'élégance et la générosité de cette montre, je la trouvais très haute et très pratique.</t>
  </si>
  <si>
    <t>Parfait Rien a dire a part que c'est parfait et cela correspond a l'imprimante. Fonctionnement au top.</t>
  </si>
  <si>
    <t>Très bonne qualité ! Avant j'avais d'autres écouteurs pour faire du sport (avec une lanière qui passait autour du coup) et ils étaient désagréables. J'ai acheté ces écouteurs car ils sont sans fils et je dois dire que je n'ai pas été déçu. La qualité est très bonne, l'autonomie est vraiment au TOP (ils se rechargent dans le boitier). Bref, je recommande fortement !</t>
  </si>
  <si>
    <t>Bon produit Bon produit, résistant Esthétique bien</t>
  </si>
  <si>
    <t>Bon rapport qualité/prix Ce support d'ordinateur est vraiment bien pour son prix, avec les maintiens des deux côtés de l'ordi on est sur qu'il ne tombera pas. Il est léger et facile à manier. Le seul bémol c'est que c'est mon petit-ami qui me la pris lol !</t>
  </si>
  <si>
    <t>Satisfaite Très satisfaite de ce produit. Tout à fait conforme à mes attentes.produit de qualité. Rapport qualité-prix très raisonnable. A commander sans hésitation.</t>
  </si>
  <si>
    <t>Jolie bouilloire Super bouilloire ! Le réglage des températures permet de ne pas se brûler en dégustant son thé !</t>
  </si>
  <si>
    <t>Petit prix, SUPER . Petit bijou sympa pour le prix, petit prix mais cadeau qui fera plaisir. N'hésitez pas!!! Je vous le recommande pour la saint Valentin.</t>
  </si>
  <si>
    <t>Sympa. Agréablement surpris du bracelet. Il est très sympa et ne fait pas «&amp;nbsp;Kaï&amp;nbsp;» Il n’est pas trop cher et rend bien.</t>
  </si>
  <si>
    <t>Puissance impeccable. Ces écouteurs sont formidables. Ils tiennent bien dans les oreilles. Chaque oreille a 3 tailles de bouchons d'oreilles qui sont robustes et durables. Ils ont un son excellent et peuvent produire beaucoup de volume sans distorsion. Très bon produit la qualité du son et exceptionnel les écouteurs tienne bien.</t>
  </si>
  <si>
    <t>Au top Très bien</t>
  </si>
  <si>
    <t>Efficace pour les douleurs musculaires Pour des douleurs dans les bras très efficace je me masse là où j’aí mal avec tous les jours et ça va bien mieux</t>
  </si>
  <si>
    <t>tennis tbs j ai recu mon paquet dans les temps, très bien emballé et je suis enchanté  avec mes tennis ,la taille est normale et très bon produit ,je n ai plus mal au dos depuis que je les porte ,je recommande !!</t>
  </si>
  <si>
    <t>Bijoux en perles. Super heureux j'ai fait une heureuse ma femme à bien aimé et la livraison super je pensais pas que sa aller si vite</t>
  </si>
  <si>
    <t>PARFAIT !! parfait pour pratiquer le paddle ou le kayak. tres confortable. je l'utilise en kayak en rivière et en lac. un bon grip sur les algues. permet de marcher dans l'eau en sécurité. je recommnde cet article.</t>
  </si>
  <si>
    <t>Son épouvantable et casque encombrant J'ai un peu de mal à comprendre les commentaires positifs des utilisateurs de ce casque, commentaires sur lesquels je me suis basé pour acheter le mien.  D'accord, c'est un prix de casque bas de gamme, pas très étonnant d'avoir un son bas de gamme. C'est vrai également que je n'ai pas beaucoup d'élément de comparaison avec la concurrence "bas de gamme". Alors soit, le son est épouvantable, mais je m'en doutais en l'achetant. Je le destinais à un besoin spécifique qui ne demandait pas une grande qualité.  Mais pourquoi mettre de si bonnes notes a quelque chose qui fait un aussi vilain "bruit"? Pourquoi vanter le confort de ce casque qui est lourd, oppressant, et fait mal à mes oreilles ? Du reste, pourquoi  faire un casque fermé quand le son est si mauvais ? Pas besoin de s'immerger dans cette soupe. Un casque ouvert aurait été moins lourd.  Quant aux fils, ils  s'entortillent. Et puis, je m'attendais à ce que l'oreillette de gauche soit reliée à celle de droite via l'intérieur du casque, ce qui aurait permis de supprimer la moitié des fils  qui vous encombrent les joues et le cou.  Au final, je regrette cet achat qui heureusement ne m'a pas ruiné.  De mon point de vue purement personnel, mieux vaut se passer de musque que d'entendre ça.</t>
  </si>
  <si>
    <t>Produit qui fait le job mais un peu fragile Fais le job mais à manipuler et fixer avec précaution</t>
  </si>
  <si>
    <t>Il y a mieux Peut contenir plusieurs jours de déchets (pour deux personnes), attention, ces sacs sont annoncés comme étant "résistants" mais peuvent toutefois facilement se craqueler sur les côtés.</t>
  </si>
  <si>
    <t>Joli Beau bracelet belle qualité dans une jolie boîte espérant que la qualité ne bougera pas trop avec le temps contente de mon achat</t>
  </si>
  <si>
    <t>ça solidité Je suis satisfaite de cet article car il est solide pour le travail .</t>
  </si>
  <si>
    <t>parfait c'est ma deuxiéme, bon rapport qualité prix</t>
  </si>
  <si>
    <t>Que qd il fait très chaud pas facile à garde au pied Fitness sport en sale très très bien</t>
  </si>
  <si>
    <t>Très bon produit J'avais du mal à les trouver en noir dans le commerce, c'est fait ! Suis ravie, elles sont magnifiques</t>
  </si>
  <si>
    <t>Ecouteur sans fils Excellent: fonctionne très bien, pratique et permet même de mieux comprendre les dialogues dasn des films à sonorisation médiocre. Seul bémol : très cher au final; cependant j'estime que c'est une dépense pertinenet pour ne pas déranger son conjoint, ou les voisins, ou pour ceux dont l'audition n'est pas parfaite</t>
  </si>
  <si>
    <t>leggins vraiment super ;de bonne qualité agréable au toucher et à porter ;j'en es même commander un deuxième................c'est pour vous dire.aller y</t>
  </si>
  <si>
    <t>Nikel Pas de vice tout est conforme</t>
  </si>
  <si>
    <t>Top mais grand Elles sont très belles mais taille un peu grand j’ai été obligé de changer pour un 42 mais elles sont top</t>
  </si>
  <si>
    <t>Ecouteur Très bon écouteurs ideal pour travailler tient bien l’oreille et tres leger</t>
  </si>
  <si>
    <t>Boucles d'oreilles Idem à la description merci</t>
  </si>
  <si>
    <t>Génial Super bonne pointure rien à signaler de particulier. Je conseille ce produit car il est chaud résistant de tres bonne qualité</t>
  </si>
  <si>
    <t>♪ ♪ J'ai attrapé un coup d'soleil ♪ ♫ La luminothérapie se développe, et l'on trouve pas mal de modèle à l'heure actuelle sur le marché. Gros, petits, lumière blanche, lumière bleue....que choisir? J'ai donc eu l'occasion de tester ce modèle à lumière bleue. Très sincèrement, ne souffrant pas particulièrement de manque de lumière, ni de blues hivernal actuellement (Pourvu que ça dure !!!), je n'ai pas eu la possibilité de tester un mieux sur ma bonne humeur ces 15 derniers jours.(A moins que demain mon chef m'annonce que je n'aurai pas ma prime de fin d'année !!!) Cependant une chose est sûre, cet appareil donne une très agréable impression d'avoir une fenêtre ouverte sur un magnifique ciel bleu. Ne manque que le chant des cigales. En effet, posé sur le bureau (pas de risque pour les yeux, mais il faut éviter de l'avoir face à soi), il apporte instantanément un bienfait très appréciable. Et nous vous fiez pas à son format: sa puissance lumineuse est inversement proportionnelle à sa taille. Le but est là...recharger nos propres batterie par un apport de lumière (Sans UV), et on a vraiment l'impression que le soleil est à portée de main. A tel point que l'on rechigne un peu à l'éteindre.... C'est du Philips: donc belle finition, belle qualité de fabrication et parfaitement emballé. Bien que de dimensions modestes (14cm sur 14cm, 3.5 cm d'épaisseur...cela me rappelle l'époque révolue des baladeurs CD...nostalgie quand tu nous tiens !!!)), l' Energy Up a une puissance lumineuse plus que suffisante (Je ne l'utilise jamais à la puissance maxi) Le gros avantage réside dans sa portabilité. Batterie rechargeable (Environ 3 heures d'autonomie: avec 1 demie-heure par jour conseillée), dimensions, facilité d'utilisation (5 degrés d'intensité lumineuse, chronomètre par tranche de 10 minutes sous forme de 6 voyants lumineux), pied amovible et housse néoprène fournie permettent de l'emmener partout avec soi. Idéale sur un coin du bureau. Alors lampe blanche?, lampe bleue?....à vous de voir et de tester. Je suis en tout cas persuadé que cet appareil peut apporter un mieux durant ces périodes pendant lesquelles la luminosité manque cruellement...cette petite fenêtre sur le bleu azur ne peut être que bénéfique. D'ailleurs, ma voisine de bureau me l'emprunte régulièrement, à tel point que j'ai parfois du mal à récupérer mon Energy Up.... Reste le prix un peu élevé...</t>
  </si>
  <si>
    <t>Chaussures idéales J'ai acheté ces chaussures en prévision d'une visite assez longue de parcs de loisirs aux USA...et elles ont été parfaites! Aucune gêne avec ou sans chaussettes. Une fois mouillées, elles sèchent vite. Bon amorti et pas de fatigue ressentie après de longues heures de marche. Bonne évacuation de la transpiration. Cette forme avec cette finition (une sorte de résille mesh) sont l'idéal.</t>
  </si>
  <si>
    <t>Bonne qualité Chaussures confortables et légères ! Je recommande !</t>
  </si>
  <si>
    <t>Top Parfait correspond au descriptif</t>
  </si>
  <si>
    <t>bon kit main libre Je recommande - c'est le même kit mains libre qui est fourni avec les téléphones samsung, très bon produit.</t>
  </si>
  <si>
    <t>Beau et élégant Conforme, léger et très élégant. A voir sur le temps.</t>
  </si>
  <si>
    <t>Problème informatique de coïncidence avec la taille choisie Il y’a un problème de coïncidence avec la référence Noir (Black) entre la taille sélectionné au moment du choix et la taille qui vous sera livré. Si vous sélectionnez la pointure 42/43 EU (la taille qu’il me fallait) dans le menu déroulant des tailles et que vous l’ajouté au panier, cela vous mettra du 43/44 EU dans le panier et vous serez livré avec du 43/44 EU… donc elles seront trop grande. C’est d’ailleurs la seule taille sélectionnable dans cette plage de taille pour cette couleur. Je m’en suis malheureusement aperçu trop tard et j’ai passé commande. J’ai revérifié plusieurs fois et avec d’autres couleurs et tailles. Il semblerait que ce problème n’est qu’avec cette couleur et cette taille. Ce n’est donc une erreur au niveau de la préparation de la commande mais c’est une erreur informatique au niveau du référencement. Dommage, je vais devoir les retourner et partir sur une autre couleur pour être sûr d’avoir du 42/43 EU.</t>
  </si>
  <si>
    <t>Produit de qualité médiocre coupe et matière Manque de qualité, matière épaisse.. tres mal coupé .. un  produit très cheep</t>
  </si>
  <si>
    <t>Deception Je suis très déçu de mon achat. Le casque fait mal derrière les oreilles. Je n'aime pas non plus l'option d'énoncer tout : mise en marche, le numéro appelant, fin d'appel,... (en anglais). Je le retourne.</t>
  </si>
  <si>
    <t>La taille La taille ne correspond pas du tout à la pointure .</t>
  </si>
  <si>
    <t>Ergonomie et Qualité de sons La qualité du son est très en dessous de ce que la plupart des commentaires affirment pour ma part.  Les embouts ne sont pas adaptés à  mes oreilles,  le côté droit a un meilleur rendu que le côté droit et ça m'oblige à  jouer sur l'enfoncement dans l'oreille pour compenser. Ce qui n'est pas bien pour moi, l'est peut-être pour vous...</t>
  </si>
  <si>
    <t>parfait super pendant if la chaine est un peu fine et il manque un anneau pour l'attacher plus facilement, mais sinon c'est parfait et très joli</t>
  </si>
  <si>
    <t>Bon produit Pas grand chose a dire, doux et agréable comme le dis la publicité ;) Ce qui est pratique c'est l'Aquatube, même mon mari adore ! Livraison : RAS Emballage : RAS</t>
  </si>
  <si>
    <t>huile presque sans odeur on sent vraiment presque rien lhuile est grasse juste ceux quil faut moi je la mélange a lhuile dolive pour plus de fluidité pour moi c'est une  bonne huile et j'en suis satisfaite.</t>
  </si>
  <si>
    <t>robe pull Tien bien chaud et les couleurs sont top, pas déçu !! merciii :)</t>
  </si>
  <si>
    <t>Bon papier Très bon papier toilette, dommage qu'il soit un peu cher mais je ne regrette pas</t>
  </si>
  <si>
    <t>Très confortable Agréable à porter, chaud, se chausse facilement et look sympa.</t>
  </si>
  <si>
    <t>Légères et plutôt solides à première vue Mon fils de 6 ans et demi les aime particulièrement. Par ailleurs, elles semblent relativement solides (contrairement à la paire précédente de Geox, plus résistante à première vue, mais qui a tenu un mois et demi). Leur légèreté surprend à la réception mais à l'usage, mon fils les apprécie beaucoup.</t>
  </si>
  <si>
    <t>Parfait Je ne vois plus quoi écrire qui soit accepté par le service amazon pour dire que ces chaussettes correspondent à ce que l'on attendait.</t>
  </si>
  <si>
    <t>parfait pull vraiment au top-très joli rendu -matière agréable-taille très bien -correspond à un 42 -ne pas hésiter à l'avoir dans une garde robe</t>
  </si>
  <si>
    <t>Un casque de grande qualité Casque de très grand confort avec différents niveaux d'atténuation du bruit et différentes ambiances possibles. Connexion bluetooth très simple. Dépasse grandement le casque Jabra que j avais jusqu'à présent.</t>
  </si>
  <si>
    <t>Impeccable ! J'adore le design de cette montre ! J'apprécie le compte à rebours programmable à la seconde près. Convient parfaitement pour les hommes (seule la longueur du bracelet doit varier entre la version pour hommes et celle pour femmes), vu que j'ai dû faire retirer 3 ou 4 crans du bracelet chez un bijoutier.</t>
  </si>
  <si>
    <t>Très bon cable VGA facile d'utilisation , j'etais un peu inquiet au sujet des deux vis sur le coté mais au final il s'est avéré que c'était beaucoup plus utile que ce que je pensais. Tout se passe parfaitement bien depuis. Je recommande !</t>
  </si>
  <si>
    <t>Vintage pour pas cher Excellente petite montre pas chère avec un style vintage des années 80 qui n'est pas pour me déplaire. A ce prix là, on peut difficilement se tromper !</t>
  </si>
  <si>
    <t>Pratique Son impeccable</t>
  </si>
  <si>
    <t>Top Trop belle</t>
  </si>
  <si>
    <t>Inconditionnelle AllStar Inconditionnelle marque .all star ne nous déçoit jamais et reste toujours tendance ,choisir une taille au dessous car taille grand</t>
  </si>
  <si>
    <t>baskets Puma Confortables, ce que je souhaitais, jamais déçue avec Puma en plus jolie ligne bien actuelle</t>
  </si>
  <si>
    <t>Top Très joli tee shirt conforme à la description. Qualité toujours présente comme d’habitude pour cette marque. Rien à redire</t>
  </si>
  <si>
    <t>MAGNIFIQUES Elles sont très très très belles ! Wahou ! Ce sont mes premières converses et j'adooooooore. Sobres et classes. De belle qualité et taille parfaite en 39. (Avec des socquettes pour moi) Merci beaucoup pour ce produit à un prix Amazon</t>
  </si>
  <si>
    <t>Pas satisfait Je suis déçu cela était un cadeau, il y'a plusieurs soucis, le bracelet ce désserre tout seul et c'est très compliqué de le resserrer soit même à cause de la complexité du fermoir... Je ne conseil pas.</t>
  </si>
  <si>
    <t>Corleone Lambout du câble doit avoir un faut contacte car quand je veux le brancher et que jecoute ma musique des fois le son coupe je doit débrancher et débrancher le cordon pour que je puisse écouter ma musique</t>
  </si>
  <si>
    <t>Décu recu en fond de cadrant noir et ne fonctionne plus au bout d'une semaine Je suis déçu du produit: - la photo de présentation du produit laissait penser un cadran à fond bleu, mais pas du tout le cadran est noir; - je me suis dit : "tant pis à ce prix, ca fera l'affaire pour une montre de tous les jours"; au bout d'une semaine, elle s'est arrêtée! - retour à l'envoyeur après 10 jours seulement! Cette montre à 30€ sur Amazon laisse  un sentiment de produit très "sheep"!</t>
  </si>
  <si>
    <t>bol petit bé mol c'est qu'il y a une chaussure ou le noir se dégrade un peu c'est bien dommage au bout d'une semaine Mdr</t>
  </si>
  <si>
    <t>TRES BIEN Bon rapport Qualité/Prix</t>
  </si>
  <si>
    <t>parfait malgrés qu'il taille grand bon rapport qualité prix comme dans la description livraison rapide au souci je recommande cet article vendeur fiable je suis ravie</t>
  </si>
  <si>
    <t>Qualite Très bien...correspond à la photo</t>
  </si>
  <si>
    <t>PRODUIT CONFORME A CELUI D AVANT CONFORME ET QUALITE EQUIVALENTE A CELUI D ORIGINE</t>
  </si>
  <si>
    <t>Très bon legging ! Ravie de mon achat ! Enfin un legging qui colle bien au corps. Ayant les chevilles très fines, les seuls leggings que je peux utiliser sont ceux qui font «&amp;nbsp;collants&amp;nbsp;». De plus, la matière est ultra agréable «matière maillot de bain&amp;nbsp;» et ça évitera que les poils de mes chiens ne s’accrochent trop. Pour ne rien enlever à ce super legging, il comporte une poche de chaque côté. Je l’ai acheté pour l’utiliser dans la vie de tous les jours et il me satisfait tellement que je vais en recommander un, avant qu’il n’y ait plus ma taille !</t>
  </si>
  <si>
    <t>Géniale Ils son géniale</t>
  </si>
  <si>
    <t>Rien à dire Idéal pour stimuler la circulation sanguine. c'est un véritable anti-stress,et relaxe le pied...Produit de très bonne qualité comme d'habitude chez Scholl (massage favorisant la microcirculation : plus de mal de jambes entre autre. Qui plus est, elles seront faciles à laver (pvc).. je l'ai recommandé à toutes mes collègues!</t>
  </si>
  <si>
    <t>Très bien Large bande velcro. Très bien.</t>
  </si>
  <si>
    <t>plus  jolis en vrai que sur la photo cet un cadeau qui a été très appréciait il est magnifique</t>
  </si>
  <si>
    <t>G Shock pour faire simple allez y achetez la Très belle montre G Shock. Sportive et peut être porté au bureau pour donner un look dynamique. Idéal pour l'été</t>
  </si>
  <si>
    <t>Super achat Je suis méga contente de cet achat je ne regrette pas dutout Le produit est comme sur le photo, je les ai reçu en 2 jours. Pour toute celle qui aime le style coréen Bienvenue!!😊😊</t>
  </si>
  <si>
    <t>brassières Les brassières sont  de très bonne qualité les finitions sont soignées. Elles sont confortables et le tissu agréable. Excellent rapport qualité - prix</t>
  </si>
  <si>
    <t>Très bien Bien</t>
  </si>
  <si>
    <t>balance aux top tres bonne balance pour moi meilleur raport qualiter/prix.La coupelle de protection se cale parfaitement a la coupelle en aluminium et assure un pesage plus precis.si je devait conseiller une balance a un(e) ami(e) sa serai celle la!</t>
  </si>
  <si>
    <t>superbe! Ces converses sont parfaites, je n'ai pas eu besoin de prendre une autre taille de celle habituelle. Les rouges ont deux possibilités: l'ancienne collection ou la nouvelle: elles sont quasiment identiques, sauf le logo au talon qui diffère. La couleur du rouge est peut-être également différente, entre du rouge écarlate à rouge foncé (pas bordeaux).</t>
  </si>
  <si>
    <t>bas jogging vraiment trés beau la couleur au top</t>
  </si>
  <si>
    <t>Légèreté et bonne accroche Randonnée sportive .a la recherche  de quelques chose de léger et avec une bonne accroche pour les balades dans les calanques .</t>
  </si>
  <si>
    <t>Avis Bon produit mais problème dans la livraison</t>
  </si>
  <si>
    <t>vive l'économie Il y a quelques années , avec une autre marque j'avais connu un échec couteux. Après une longue hésitation et une nouvelle imprimante j'ai tenté.Résultat impeccable. Belle source d'économie et impression très bonne. Bilan: Je conseille.</t>
  </si>
  <si>
    <t>Bof... De qualité médiocre. Aucune souplesse. Les LES auront amusé au moins le temps d’une journée. Je ne recommande pas ce produit</t>
  </si>
  <si>
    <t>Elle rouille ! Cette bouilloire était a priori super pour moi : petite, pratique... Mais au bout de quelques mois d'utilisation, elle a rouillé ! et pas qu'un peu. Je trouve ça assez scandaleux car probablement dangereux pour la santé.... je déconseille donc !!!</t>
  </si>
  <si>
    <t>Tout est correct sauf l'autonomie C'est bien dommage ces écouteurs ont tout ce qu'il me faut ou presque. Le son est correct car à ce prix on est rarement dans le rayon audiophile. Pour l'ergonomie c'est plutôt bien et mon gros bémol se situe au niveau de l'autonomie qui est faiblarde je dirais deux heures et des poussières. Bien dommage je les aimais bien... La recherche continue.</t>
  </si>
  <si>
    <t>Se détend. Prévoir taille en dessous Bon produit .taille correct mais se relâche après j'en ai pris pour mon fils mon mari et moi très confortable</t>
  </si>
  <si>
    <t>A recommander Taille comme prévue et il est chaud et long. Bien pour l'hiver. Et puis il a une capuche et fais simple mais moderne. A recommander</t>
  </si>
  <si>
    <t>Robe vintage Robe vraiment belle un peu lâche a la poitrine sinon je suis ravi de mon achat</t>
  </si>
  <si>
    <t>Veste Belle veste mais à du être renvoyer car trop grande</t>
  </si>
  <si>
    <t>brosse souple pour ne pas abimer le daim j'en cherchais une depuis longtemps... je l'ai enfin trouvée. merci ! c'est parfait bien utile pour enlever toutes les traces sur les peaux claires.</t>
  </si>
  <si>
    <t>Génial Génial. Mon bébé allaité refusait le biberon. Il prend celui ci sans problème et ça ne coule pas trop vite</t>
  </si>
  <si>
    <t>Qualité / prix J'ai porté ces chaussures 8 semaines de suite lors d'une mission d'intérim en entrepôt. Ma distance de marche journalière était de 10-15 kms selon mon iPhone et je n'ai jamais eu une seule douleur ni ampoule. La coque de protection est aussi très résistante. Je recommande</t>
  </si>
  <si>
    <t>Article de qualité Très bel article de grande qualité .. simple et moltoné, à enfiler ... pub Adidas discrète...Superbe sur un pantalon noir.. A recommander...livraison rapide et protégée...Attention, taille grand, c'est de l'européen... habituellement je prends du XL... là,  je renvoi pour échange en L...</t>
  </si>
  <si>
    <t>très confortables pour la marche Très bonnes chaussures pour la marche que cela soit en ville ou en campagne. très agréables et très confortables. du coup, j'en ai pris 2 pour le prix très acceptable. je m'en sers pratiquement tous les jours. (tous les 2 jours pour l'une des 2 paires) je recommande cette marque de chaussures.</t>
  </si>
  <si>
    <t>Timberland ! 5 ans minimum de bons et loyaux services, je garde mes vielles paires pour jardiner ou bricoler. Elegant et fonctionnel . Excellent produit</t>
  </si>
  <si>
    <t>Top CM1</t>
  </si>
  <si>
    <t>jolie ensemble bien sympa comme ensemble et bien moins cher que dans le commerce,avec le tee shirt en plus c est la classe..</t>
  </si>
  <si>
    <t>IMPECCABLE Utilisation personnelle. Bon produit. Service livraison compétent (car relivré suite à détérioration du premier colis)</t>
  </si>
  <si>
    <t>paires de chaussettes Très bien les chaussettes de travail. Nous verrons dans la durée, pour le moment je suis satisfait. Nous sommes plusieurs, donc trois coloris c'est top. Je recommande sous réserve dans la durée et après lavage. Pour l'instant rien n'a bouger au lavage. Super !</t>
  </si>
  <si>
    <t>Très utile Très utile pour marquer les livres et cahiers de notre fils</t>
  </si>
  <si>
    <t>Collection Magnifique livre</t>
  </si>
  <si>
    <t>Bien Pratique pour habituer à boire sans tétine</t>
  </si>
  <si>
    <t>La base De bonne qualité agréable à porter en journée, parfaite pour compléter son look, surtout pour le prix. Essayer c'est l'adopter !</t>
  </si>
  <si>
    <t>résistante, pratique et stylée pratique je m'en sert aussi bien pour ma tenue d'airsoft que pour mon pantalon de moto. réglable et tres costaud je suis surpris de l'efficacité de cette ceinture tactique.</t>
  </si>
  <si>
    <t>Chaussures de protection Très belles chaussures de sécurité qui ressemblent à des chaussures de sport. C'est bluffant.</t>
  </si>
  <si>
    <t>Taille et maintien parfait mais Chaussettes très bien conçues au niveau de la forme, et très fines et confortables mais des trous apparaissent très rapidement (trop même car après seulement 2 portages elles se trouent, en 1 mois j'ai déjà 4 paires de parties à la poubelle.</t>
  </si>
  <si>
    <t>défaut de qualité du produit Nous achetons les rouleaux de CB depuis plusieurs années chez vous mais depuis plusieurs mois , la qualité n'est pas bonne. En effet , l'impression se fait souvent sur une seule partie du papier ! Nous gaspillons donc beaucoup . Pourriez vous me tenir informée car je ne pourrais plus acheter si cela continue. merci pour votre retour</t>
  </si>
  <si>
    <t>pure arnaque je n'achèterai plus de montre via Amazon aucune garantie ! !!et me voilà au bout de dix jours avec une montre dont je ne peux pas changer l heure et le bracelet qui ne se ferme plus alors éviter d'acheter cette montre</t>
  </si>
  <si>
    <t>pas cher les rubans d'emballage ne sont  pas de très bonne qualité cela ne tient pas sur les cartons s'enlève trop facilement par contre le prix est très abordable mais la prochaine fois je mettrais p;lus cher quand même</t>
  </si>
  <si>
    <t>Crochets boucles d'oreilles Ces 200 crochets sont de bonne qualité. Le métal argenté ne change pas de couleur et ne se déforme pas Rapport qualité/prix très bien Je recommande ce produit</t>
  </si>
  <si>
    <t>Belle robe La robe est très belle. Elle est envoyée dans une pochette qui la protège.  Seul Bémol la taille ne correspond pas au guide des tailles. Elle est trop grande ... je vais la faire retoucher parce que je n ai plus le temps de la renvoyer</t>
  </si>
  <si>
    <t>Excellent produit J'ai acheté cet article pour me réchauffer le cou et les épaules comme pour au sauna ! La sensation du chaud qui couvre le cou et le dos est très agréable, et surtout que les graines de lin sentent très bons ! C'est un excellent produit, je le recommande.</t>
  </si>
  <si>
    <t>Canon pg 545 /cl 546 /multi pack Livraison rapide comme toujours avec Amazon produits correspondant à ma demande rapport qualité prix raisonnable de très bonne qualité je recommande</t>
  </si>
  <si>
    <t>Marque chinoise inconnue mais correcte ! Il faut reconnaître que pour le prix, c’es pas mal! Maintenant je voir sur le temps ce que cela vaut !</t>
  </si>
  <si>
    <t>joli sympa</t>
  </si>
  <si>
    <t>parfait bon produit très satifait</t>
  </si>
  <si>
    <t>Détente et relaxation👍👍👍 Vraiment très content du produit : très facile d utilisation, il est extrêmement silencieux et très agreable ... Surtout en fin de journée. Le massage et le contrôle de la température degré par degré est très appréciable. Un vrai bonheur contre les éternelles jambes lourdes...</t>
  </si>
  <si>
    <t>Casque audio J’avais besoin de casque audio après avoir comparé les différentes offres , il me fallait un produit pas trop cher mais qui soit fiable. Je me suis donc porté sur ce casque sony, le rapport qualité /prix est excellent et le casque est agréable à porter surtout pour les écoutes prolongées. Je suis satisfait par ce produit .</t>
  </si>
  <si>
    <t>Assouplissant pour un linge très doux.... Lot d'assouplissants reçu très bien emballé/protégé. Les petites bouteilles, de part leurs tailles, sont très faciles à ranger et à manipuler. L'assouplissant par lui-même est très concentré et il est bon de bien respecter les recommandations d'usage. A l'ouverture du la bouteille l'odeur est très agréable et subtile. Le linge lavé et étendu, enfin une lessive qui n'entête pas ! Le parfum est très léger. Le linge sec l'odeur est très faiblement perceptible, les textiles sont réellement plus doux après repassage ou pas, qu'avec notre ancien assouplissant, c'est très agréable. Aucune réaction cutanée avec cet assouplissant, en phase donc avec son étiquetage hypoallergénique/peaux sensibles. En résumé nous le trouvons en adéquation avec ce que nous recherchions, un assouplissant qui fait son "job", qui n'entête pas, qui laisse le linge très doux, hypoallergénique/peaux sensibles et de surcroit porte les valeurs "écologiques", parfait pour nous !</t>
  </si>
  <si>
    <t>Superbement pas cher ;-))) Superbe petit bijou... Passionné de montres, je pense pouvoir lui attribuer le meilleur rapport Qualité/Prix !!! De très nombreuses fonctions paramétrables avec facilité. On fond bleu est original et sympa 👍🏽👍🏽</t>
  </si>
  <si>
    <t>Rien à redire Parfaitement conformes à la description Rien à redire le son retransmis est parfaitement identique sans imperfections</t>
  </si>
  <si>
    <t>La qualité Très bien et discret</t>
  </si>
  <si>
    <t>Parfait pour fête Parfait  pour anniversaire pour les enfants. Très coloré, carte de qualité. Je recommande ce produit de 8 cartes d invitation</t>
  </si>
  <si>
    <t>Converse, for ever ! Bon je ne vais commenter Converse. C'est comme si je commentais la recette Coca Cola ou Caprice des Dieux... Envoi rapide. Colis nickel. Taille nickel Bref converse c'est bien</t>
  </si>
  <si>
    <t>lavable super, épais, très bonne qualité, je le lave 3,4 voir 5 fois facilement si que pipi. adopté bon rapport qualité prix</t>
  </si>
  <si>
    <t>PARFAIT Conforme, C'est bottines sont très confortables, épousent parfaitement le pieds et la cheville... Grâce à leurs doudoune, elle vous permettent de les porter avec des chaussettes fines comme semi épaisses sans sensations de froid... Les crampons sont efficaces sur neige comme verglas car gomme tendre...  POINTURE PARFAITE Je recommande sans hésiter</t>
  </si>
  <si>
    <t>super le supertooth Acheté pour remplacer mon oreillette dont j'étais très content mais bon... Cet appareil fonctionne bien. Son correct et sensibilité micro aussi. Il est juste au dessus de moi sur la pare-soleil. Il faut juste penser à le changer de côté suivant si le pare-soleil est ouvert ou non. Je n'ai pas pu juger de l'autonomie mais j'ai oublié de l'éteindre un weekend et il a refonctionné ensuite. Pas de défaut constaté pour l'instant. Reconnaissance instantanée par mon smartphone. Impeccable.</t>
  </si>
  <si>
    <t>Parfait Comme toutes les chaussures de la marque converse, Taille un petit trop grand donc prendre une demi pointure voire une pointure en dessous de sa taille habituelle</t>
  </si>
  <si>
    <t>vraiment confortable Montre de luxe vraiment confortable Facilement réglable Très détaillé. Je recommande Livraison rapide grace à Amazon.</t>
  </si>
  <si>
    <t>Satisfait J’ai bien ce écouteur, il est pratique et confortable. Je vous recommande</t>
  </si>
  <si>
    <t>COMFORT IMMEDIAT LEGERES ET DE QUALITE</t>
  </si>
  <si>
    <t>Erreur de taille.... Difficile d'évaluer leur qualité réelle, j'air reçu du 36/38 à la place du 44/46 commandé....  Mais comme tous leurs produits, la couture épaisse sur les orteils, c'est pas du tout confortable.....et ça sert fort aux chevilles ( même si c'est trop petit, ça doit pas trop changer à ce niveau-là ).  Là encore, aucune réponse aux mails......et toujours de l'argent qui parti en fumée....fabricant à fuir !</t>
  </si>
  <si>
    <t>Je l'ai renvoyé... Produit un peu grossier....cuir de mauvaise qualité... à moins que ce soit du cuir synthétique</t>
  </si>
  <si>
    <t>La pointure ne correspond plus Je porte ces chaussures depuis des années ... Pointure 36. (ma pointure habituelle pour toutes les autres chaussures également) Première commande en 36 : beaucoup trop petites Deuxième commande en 37 : encore trop petites Troisième commande en 37 : énormes !!! J'aimerais comprendre pourquoi ...</t>
  </si>
  <si>
    <t>Bel article, mais la couleur ne correspond pas J'avais commandé cet article en vert et j'en ai été vraiment satisfaite : qualité, taille, coloris, tout était au rendez-vous. J'ai donc passé la commande du même article, mais en coloris "vin rouge", qui paraît être bordeaux sur la photo. En fait, il est couleur brique, beaucoup moins joli qu'un bordeaux (après cela dépend des goûts). Je le retourne donc, je vais certainement commander le noir à la place.</t>
  </si>
  <si>
    <t>Bouilloire aluminium Belle bouilloire simple d’utilisation cependant très lourde</t>
  </si>
  <si>
    <t>Ok mais Très bonne qualité et fonctionne très bien (testé sur le terrain). Mais trop grand pour le Rode Pro qui est illustré sur les image. Au moins 5 cm trop long. Si on l'enfonce au maximum il cache les interrupteurs arrières du micro. Cela doit pouvoir se résoudre avec un élastique ou autre.</t>
  </si>
  <si>
    <t>la chaine esr trés longue.. bijou offert a une femme, pour anniversaire...mauvaise surprise la chaine comportait plusieurs nœud..</t>
  </si>
  <si>
    <t>bien textile assez rigide, mais il devrait s'assouplir avec le temps</t>
  </si>
  <si>
    <t>Entretien canalisations J'utilise régulièrement ce type de produit surtout pour éliminer les odeurs de mon évier de cuisine. Il fait bien son job et le parfum est léger. Le prix proposé en lot par Amazon est un peu moins cher qu'en grande surface.</t>
  </si>
  <si>
    <t>Tres bon produit ! Produit conforme a la photo !! Rien a dire sur les produits de la gamme Mam !! Je recommande ce produit !!</t>
  </si>
  <si>
    <t>très pratique quand bébé veut commencé à manger des fruits tout seul Il évite notre stress quand aux "gros bouts" qui pourraient passé dans la bouche de bébé, c'est bien pratique! Super contente</t>
  </si>
  <si>
    <t>Basket nike Produit correspondant à la photo taille bien</t>
  </si>
  <si>
    <t>Pwc Conforme à la description, je recommande + + + + + + + + + + + + + +</t>
  </si>
  <si>
    <t>Tout Tr bien</t>
  </si>
  <si>
    <t>Cool Cela faisait longtemps que je souhaitais une bouilloire qui me permette d'avoir la température idéale en fonction de toutes les sortes de thé. Produit répondant à mes attentes, La température réglable de ± 5 ° C entre 40 ° C et 100 ° est très adaptée pour les différents thé et infusion J'aime ce changement de couleur des led en fonction de la température. Très content pour l'instant.</t>
  </si>
  <si>
    <t>bonne qualité Parfait pour le pc portable et l'ensemble des documentations à transporter !</t>
  </si>
  <si>
    <t>Très belles Taille petit mais mon mari a un pied fort, à voir sur un pied plus fin. Ces chaussures sont légères et très jolies. Mon mari les adore</t>
  </si>
  <si>
    <t>PARFAIT Bien que ce soit un Sweatshirt homme , mon amie ,voulais le même que moi que j'avais acheté en plus grand.Elle a été ravie,et le trouve super! donc on peut dire qu'il est unisexe.C'est un excellent  produit , je l'ai commandé d’ailleurs avec les pantalons assortis de la même marque qui sont tout aussi agréable à porter.Nous recommandons donc .</t>
  </si>
  <si>
    <t>Timberland Parfait</t>
  </si>
  <si>
    <t>Super Écouteurs acheté pour la switch de ma fille. Ils sont impeccable elle en est satisfaite, elle peut jouer, parler et entendre ses amis lorsqu'ils  jouent ensemble en ligne. Elle en est très satisfaite</t>
  </si>
  <si>
    <t>Juste PARFAITE Une bouilloire parfaite sur tous les Points silencieuse ! Belle! Pratique ! Légère! Intelligente car ne s’allume pas a vide ! Belles couleurs lors du temps de chauffe Maintien parfaitement au chaud Aucun défaut à ce jour</t>
  </si>
  <si>
    <t>Parfait Produit nickel. Livraison rapide</t>
  </si>
  <si>
    <t>Pas cher en lot, livré pratique et moins lourd pour mes courses Très  faciles à ranger dans les placards, bouchons pratique pour dosé</t>
  </si>
  <si>
    <t>Correct Correspond à mes attentes. Fonctionne très bien.</t>
  </si>
  <si>
    <t>Trop fine Tétine trop fine. Mon bébé n'aime pas du tout téter ce produit</t>
  </si>
  <si>
    <t>Mauvaise qualité de tétine Toutes les tétines rondes se fendent en l'espace de quelques jours, une catastrophe ! Et mon fils n'a même pas de dent en plus ! J'ai vite rangés ces biberons et achetés des MAM avec une tétine plate, aucun problème de qualité.</t>
  </si>
  <si>
    <t>Ce n'est pas un produit médical J'ai reçu un produit reconditionné, sans film de protection sur la lampe, et l'intensité de 10 000 lux n'est pas au rendez-vous. Après mesure, tout juste 2 500 lux à 20 cm. Trop peu. Je vais retourner l'appareil, car à ce prix, ce ne peut être un gadget.</t>
  </si>
  <si>
    <t>Manque un élément J'ai reçu le kit et nous en sommes satisfait par contre Il manque le bouchon d'un des 2 biberon de 240ml ! Dommage, très dommage !</t>
  </si>
  <si>
    <t>Le très petit chat J’ai acheté ce collier pour ma compagne qui adore les chats. Elle est très contente de ce produit mais je suis très déçu par la taille de ce bijou je l’imaginais beaucoup plus gros.</t>
  </si>
  <si>
    <t>😀 Le sac est beau et de bonne qualité exactement comme sur les photos avec de bonnes dimensions. Parfait pour transporter un pc.</t>
  </si>
  <si>
    <t>Bon rapport qualité prix pour une sacoche idéale par sa taille Les coloris sont sobres et masculines. Moderne par sa matière et le format ce qui  rend actuel un accessoire pourtant has been. Les dimensions permettent d'emmener portefeuille, smartphone, livre... sans s'encombrer d'un sac bandoulière. Idéal pour moi. Livraison rapide et soignée.</t>
  </si>
  <si>
    <t>Très bon produit Utilisé lors de déplacement en voiture. Confortable, et très bien pour un enfant.</t>
  </si>
  <si>
    <t>Très agréable bon résultat après shampoing Cette brosse a tout de suite été adoptée par la famille. Agréable sensation de massage. Imprégnation du shampoing jusqu à la racine des cheveux, donc cheveux mieux lavés. Nous venons de commencer à l’utiliser, alors pour ce qui est du résultat dans le temps, c est encore trop tôt.</t>
  </si>
  <si>
    <t>pul qualité moyenne</t>
  </si>
  <si>
    <t>Je ne peux plus m'en passer Très efficace pour les taches et pour le blanc</t>
  </si>
  <si>
    <t>Bon achat Bonne qualité et pointure correspondante, bon achat</t>
  </si>
  <si>
    <t>Super Les chaussons sont beaux et tiennent super chaud rien a dire la dessus, bon achat, la semelle est mémoire de forme. Super confortable et tres solide.Bonne finition. Achetez une taille plus&amp;nbsp;grande. Pour un 41, j'ai choisi le 42/43, la taille parfaite. je les recommande.</t>
  </si>
  <si>
    <t>Tres satisfait Parfait. Améliore considérablement la compréhension des paroles. En revanche il faut que les oreilles s'habituer à la pression des embouts. Ça fait un peu mal au début quand on le porte longtemps.</t>
  </si>
  <si>
    <t>Je recommande Biberon de reve</t>
  </si>
  <si>
    <t>produit tres bien fini Livraison parfaite et un produit tres bien fini pour un tel cout, la construction est solide et le support est stable, pas  difficile pour l'utilisation, à conseiller pour cet investissment.</t>
  </si>
  <si>
    <t>goood! Article Parfait !</t>
  </si>
  <si>
    <t>montre digitale produit sympathique qui correspond au descriptif, livré dans les temps maintenant montre légère que j'utilise pour aller au boulot. Remplis bien ce que j'en attend.</t>
  </si>
  <si>
    <t>Tellement agréable !! Je recherchais vraiment une couverture chauffante pour bravé l'hiver. En tombant sur cette article je me suis lancé. La couverture est vraiment très grande. On peut être 2 dedans sans soucis, donc déjà un gros point positif. Le système de chauffe est très facile avec une télécommande reliée à la couverture, il y a 6 réglages de température différentes. La couverture est vraiment très douce est agréable avec 1 couleur de chaque côté. Vraiment une très bonne couverture que je vous recommande avec une qualité de fabrication parfaite. Je l'ai reçu avec une prise française contrairement a ce que les autres commentaires indiqué.</t>
  </si>
  <si>
    <t>Très bien Très bien, mon mari est ravie de ce cadeau pratique pour travailler sur les chantiers. La montre est solide et légère. Et surtout conforme à la photo.</t>
  </si>
  <si>
    <t>Génial fonctionne Confortable facile à installer, simple d'utilisation, le plus il a une prise jack en plus pour rajouté un autre micro ou un autre micro casque.</t>
  </si>
  <si>
    <t>Finition impeccable !! Tres beau sac avec beaucoup de poches !!!</t>
  </si>
  <si>
    <t>Conforme Produit conforme aux attentes.</t>
  </si>
  <si>
    <t>Avis Déçue car pas pratique mais il marche bien tout de même . Le rendu est décevant ...trop.plastique</t>
  </si>
  <si>
    <t>En panne ne fonctionne pas Déçu en panne retourné</t>
  </si>
  <si>
    <t>On adore pour les vitres Pour les vitres au top Sinon pour le reste ..... L'aquarelle ne fonctionne pas et lors de dessin sur papier à peine on frôle qu'on en met partout main habit table feuille Bref on l'utilise que pour les vitres, belle couleur bonne qualité effaçable rapidement</t>
  </si>
  <si>
    <t>Le haut de la boucle d'oreille est vraiment trop petit J'aime beaucoup le style mais il aurait fallu que le petit diamant qui se trouve sur le lobe de l'oreille soit beaucoup plus gros car cela fait vraiment riquiqui !</t>
  </si>
  <si>
    <t>Top Le produit réponds totalement à mes demandes</t>
  </si>
  <si>
    <t>Nike Je viens de le recevoir</t>
  </si>
  <si>
    <t>Belle, mais pas que... Vous allez me dire que c'est cher pour une bouilloire... Oui, c'est sur, mais elle est magnifique, ça en fait un objet décoratif pour la cuisine. Je m'en sers tous les matins, et souvent le soir, aucun problème. Le seul bémol, elle n'est pas aussi bien isolée que Kitchenaid le dit. La bouilloire ne reste pas froide, et la T° descend un peu vite. Par contre, j'apprécie la précision du réglage de la T°.</t>
  </si>
  <si>
    <t>Très bien Très bien nous l’avons utilisé pour conserver et réchauffer notre vin chaud pour notre chalet de noel rien à redire nous sommes très content de notre achat</t>
  </si>
  <si>
    <t>parfait rien a dire, le produit est conforme a mes attentes et efficace.. je recommande cet achat !!! le prix correct</t>
  </si>
  <si>
    <t>Super !!! Usage quotidien ...</t>
  </si>
  <si>
    <t>Parfait Fonctionne très bien</t>
  </si>
  <si>
    <t>Exactement le bon produit Une des chaussures de référence pour le coureur à pied</t>
  </si>
  <si>
    <t>parfait conforme a mes attentes, bon rapport qualité prix et chaussure très performante</t>
  </si>
  <si>
    <t>Un excellent son avec ces écouteurs !! ⭐⭐⭐⭐⭐ ⭐⭐⭐⭐⭐  Pour commencer le tout arrive dans une boite très soigné, on y trouve : la boite de recharge portable, les 2 écouteurs bien sûr, un câble de charge USB, des embouts de différentes tailles pour aller à tout le monde et enfin un manuel (en français).  Les 5 étoiles que je donne à ces écouteurs sont justifiées car :  1) Les écouteurs son beau, bien finis, ergonomiques, design et surtout, chose la plus importante pour des oreillettes, ils ne tombent pas des oreilles, même lors des d'activités physiques (footing pour moi). 2) Le son est très bon, que ce soit en aigu ou en grave. 3) La fonction de réduction de bruit remplie son rôle entièrement. 4) Le contrôle des écouteurs est tactile, pas de boutons inutiles. 5) La vitesse appairage au téléphone. Il suffit d'intervenir la première fois et ensuite, à chaque connexion, les écouteurs se connectent automatiquement. 6) L'autonomie est juste folle, le boitier de recharge, qui se glisse partout, permet à vos écouteurs de prolonger leurs autonomie de 100h. Imbattable.  Bref, rien à redire si ce n'est que vous inciter à acheter ces écouteurs.  ⭐⭐⭐⭐⭐</t>
  </si>
  <si>
    <t>Indispensable Indispensable, pourquoi vivre sans l'hiver ?! Je la laisse toute la nuit à 1. Je la met sous le protège matelas afin de ne pas non plus être directement dessus.</t>
  </si>
  <si>
    <t>Basquette Très bien</t>
  </si>
  <si>
    <t>Ravie Je voulais des crayon assez gras et en voici pour des crayon de moyenne gamme il me convienne tout à fait et son super pigmentée</t>
  </si>
  <si>
    <t>Fonctionne bien si le cadre n’est pas trop lourd Tester</t>
  </si>
  <si>
    <t>super Ce produit est en tous points conforme a la commande passer chez ce vendeur je vous le conseil si vous chercher un produit de ce type</t>
  </si>
  <si>
    <t>super super</t>
  </si>
  <si>
    <t>Un magnifique collier Un joli collier bien protégé  reçu avec écrin, et sac pour le ranger. Vraiment pratique!  La chaine risque peut être  de s emmêlér avec le temps ( mailles fines). A voir...  Le pendentif est magnifique!  Tout cela en argent 925 Je le recommande pour un cadeau, pour soi ou les autres, pour ma part j en suis ravie !</t>
  </si>
  <si>
    <t>Pratique et parfait pour powerpoint, laser puissant très pratique bonne prise en main et laser très puissant parfait pour PowerPoint.  Petit plus, la clef usb de connexion est rangée dans la télécommande et facile d’accès. Ça permet de ne pas la perdre.</t>
  </si>
  <si>
    <t>Très jolie montre Montre en acier noir, cadran noir rempli parfaitement ses fonctions. La montre est sobre et peut convenir aux hommes comme aux femmes. Le bracelet est prévu pour les gros poignets mais on peut enlever des maillons, ce que j'ai fait.</t>
  </si>
  <si>
    <t>Pas vraiment manteau Je m'en sers comme veste d'interieur</t>
  </si>
  <si>
    <t>Arnaque Pull vraiment pas chaud et surtout pas long du tout! Il m arrive limite au nombril alors que je sais bien le fermer c est la bonne taille. Il fait beaucoup plus long sur la photo. Vraiment déçue!</t>
  </si>
  <si>
    <t>A déconseiller Trop grand car commande en m reçu en xxl!! Matière de très mauvaise qualité!!</t>
  </si>
  <si>
    <t>Pas assez confortable pour un usage intensif J'ai acheté ce casque pour m'isoler du bruit au travail et écouter ma musique pendant mes longues heures au bureau. La qualité du son est bonne, l'usabilité générale aussi, les contrôles sur le casques sont pratiques et relativement simples d'accès. Le gros point noir pour moi est le confort, il n'est pas exécrable, loin de là, mais les coussinets ne recouvrent pas totalement l'oreille et font donc de légères pressions dessus, qui à la longue sont douloureuses. Pareil pour l'arceau qui a tendance à tirer sur les cheveux avec sa matière au plastique qui accroche.</t>
  </si>
  <si>
    <t>mitigée... Je sui un peu déçue par ce produit... Il a un design vraiment drôle, et son emballage est parfait. Mais une humidité persiste après l'étape du micro-onde : un peu désagréable...</t>
  </si>
  <si>
    <t>bon produit pour la fabrication lait  bain douche livraison nickel ,et savon avec un vrai bonne odeur de rose.</t>
  </si>
  <si>
    <t>Achat satisfaisant en tout point. Parfait.</t>
  </si>
  <si>
    <t>tres bien Bonne finition quoiqu'un peu lourd</t>
  </si>
  <si>
    <t>Bon produit Bonnes chaussures, qualité ok, très légères mais résistantes. Le seul hic c'est qu'elles ne sont pas du tout respirantes donc on macère et le soir au secours on pue des pieds! Ce qui n'arrivait pas avec celles de grande marque C*T, mais en même temps ce n'est pas le même prix non plus...</t>
  </si>
  <si>
    <t>Satisfaite de mon achat Les premiers jours, il faut s'habituer, je suis contente de l'achat car je l'utilise surtout pour des problèmes de circulation sanguine ; mes jambes sont moins gonflées. Au niveau du sommeil, jusqu'à présent, je n'ai pas trouvé d'amélioration.</t>
  </si>
  <si>
    <t>Des pieds protégés au sec Chaussures de sécurité robustes imperméables, pratiques sur un chantier, car on peut les passer au jet pour nettoyer le ciment. Extra qualité/ prix. Prendre 1 pointure en dessous, car elles chaussent grand. Je les recommande vivement.</t>
  </si>
  <si>
    <t>Top Très bon produit. Taille bien. Conforme à la photo.</t>
  </si>
  <si>
    <t>Excellent rapport qualité prix J'ai pris ma taille usuelle (je fais un petit 39) et cela convient tout à fait. La couleur (Bleu radio) est très sympa; mixte, elle peut convenir aux filles ou au garçons. Le prix sur amazon est imbattable!</t>
  </si>
  <si>
    <t>casque audio très bonne qualité audio, une fois en chargé, un plaisir d'écouter la musique sans avoir de fil à trainer. Très bonne réception Bluetooth et reste en charge longtemps au moins 8 heures d'écoute sans problème avant de le recharger.</t>
  </si>
  <si>
    <t>pack très complet Nous l'avons offert en cadeau de naissance et c'est nickel car très complet av la petite sucette qui va bien et la boite pour les dose de lait.</t>
  </si>
  <si>
    <t>Baskets homme souple et léger!!! Reçu très rapidement et emballage très bien. Basket running légère confortable à porté la taille correspond parfaitement . Elles sont super confortables et vraiment belles. J’adore la finition et le design. Basket vraiment top : légère et souple! Parfaites aussi pour faire du running! Je recommande ce produit!!!</t>
  </si>
  <si>
    <t>très satisfaite Après avoir perdue ma première montre j'en ai recommandé une et suis toujours aussi satisfaite ! Belle présentation est très utile</t>
  </si>
  <si>
    <t>super pratique commandé pour tester et j'y reviendrai car feutres de bonnes qualité! mes enfants les ont mis à rude épreuve sur leurs tableaux noir et sur leurs vitres de leurs chambres et le rendu est super!!! Couleur très  vives qui se tiennent bien, qui s'effacent très rapidement avec un chiffon  ou éponge  mouillées. Par contre bien faire attention à la porosité du tableau car sinon laisse des petites traces mais cela est bien décrit avant l'achat.</t>
  </si>
  <si>
    <t>Bon produit Bon produit....</t>
  </si>
  <si>
    <t>Van’s Parfait taille exacte !</t>
  </si>
  <si>
    <t>grande fonction de chaleur ma circulation n'est pas bonne, mes pieds ont souvent froid, avec la fonction de chaleur et l'acupuncture chinoise du produit, les symptômes de mes pieds ont été grandement soulagés.</t>
  </si>
  <si>
    <t>Parfaite J'adore son design, sa couleur noire est très jolie et pour l'allumer très pratique.</t>
  </si>
  <si>
    <t>Rien à redire Pour ma part, j'utilise cette huile de ricin après avoir vu le film "Teresa Venerdi" de et avec Vittorio de Sica dans lequel en sa qualité de médecin il prescrit une cuillerée d'huile de ricin pour soigner le rhume des foins. J'ai essayé et cela m'aide. Donc...</t>
  </si>
  <si>
    <t>Parfait pour la transition au biberon... Ma soeur allaite ma nièce depuis 2 mois et demi et commence le passage au biberon... enfin elle essaie mais bébé n'a pas l'air d'accord du tout! Résultat, elle pleure, hurle même, et refuse de boire... Tout le monde s'en inquiétait beaucoup et moi aussi...  Alors je lui ai proposé d'essayer ces biberons Dodie, hier à la maison. J'ai gardé la puce toute la journée, et dès le premier biberon préparé, je n'ai eu aucun soucis. La forme de la tétine a eu l'air de lui convenir immédiatement (ma soeur avait essayé avec d'autres biberons et tétines rondes), et elle a vite compris qu'elle devait faire moins d'efforts pour téter car ça coule bien plus vite. Bref, biberon vidé en un temps record et pas de coliques à déplorer. Le second et le troisième biberons ont eu autant de succès! Je suis super tatie!!!!  La forme de la tétine, plate, est parfaite pour la transition. La forme du biberon est agréable pour la prise en main, c'est confortable de donner le biberon. La préparation est bien homogène avec la forme triangulaire, et le nettoyage se fait aisément car le biberon est assez large.  En plus, ils sont vraiment très beaux. Les couleurs sont magnifiques, et bébé à l'air fasciné. C'est vraiment un super produit bien pensé et de qualité, et le prix est très abordable. On est conquises et bébé adore!</t>
  </si>
  <si>
    <t>Problème de bluetooth Le bluetooth marche mal, les écouteurs se desapairent tout le temps, très mitigée.</t>
  </si>
  <si>
    <t>N'importe quoi ! Piètre qualité et pas la dimension commandée. A éviter !</t>
  </si>
  <si>
    <t>Pantoufle déchirée Pantoufles gauche totalement déchirée au bout de quelques jours, sans raison Très déçu</t>
  </si>
  <si>
    <t>Prix/qualité Un levi’s a 50 euros ça se refuse pas Et livre avant la date prévue</t>
  </si>
  <si>
    <t>Très joli Pour. Le sport</t>
  </si>
  <si>
    <t>Bon produit Très bon produit. Confirme a la description. Convient pour sac en cuir. Je recommande ce produit sans hésitation. Prix raisonnable</t>
  </si>
  <si>
    <t>Sacoche OK Super sacoche. Juste un petit bémol sur l'accroche des sangles. La fente est trop petite et il a fallu l'agrandir pour la fixer.</t>
  </si>
  <si>
    <t>Je recommande Conforme à la description un petit bémol a du mal à être attrapé par la plastifieuse sinon RAS</t>
  </si>
  <si>
    <t>Très bien Parfait pour un enfant qui commence à apprendre à lire. Très bonne collection.</t>
  </si>
  <si>
    <t>Produit utile pour offrir Utiliser pour offrir a ma meilleure amie. Elle a apprécié. Facile en ce qui concerne le montage. Produit conforme à la photo</t>
  </si>
  <si>
    <t>Jolis pulls Très satisfaite de ces tops!! j'en ai acheté une dizaine de différentes couleurs et différents modèles  Tous sont très jolis!!!!!  - Après lavage reste impeccable, ne se chiffonne presque pas - Matière très douce</t>
  </si>
  <si>
    <t>Article fragile, cassé après moins de 2 mois d'utilisation, mais service client de qualité et problème résolu, d'où 5 étoiles Je suis très déçu par la qualité de ce produit.  De prime abord et pendant le temps que je l'ai utilisé, j'en ai été très satisfait: - la qualité du son est très bonne, les basses manquent peut-être légèrement de puissance à mon goût, mais les sons sont clairs, définis et bien équilibrés. - l'ergonomie convient bien à mon oreille (même si j'ai lu que ce n'était pas le cas  de tous les acheteurs), il y a une bonne isolation du bruit extérieur et les écouteurs tiennent bien dans mon oreille. - la réduction de bruit active est bien meilleure que ce à quoi je m'attendais. Le volume est légèrement augmenté lors de son activation, mais je l'ai également testé sans musique pour m'assurer que cela fonctionnait et la différence était flagrante ! Je l'ai testé lors d'un voyage en bus et de trajets en train. Ce genre de bruits de fond continus sont bien atténués.  Par contre, et c'est ce qui justifie mon évaluation à 1 étoile, les écouteurs sont très fragiles et de mauvaise facture. Alors que je me promenais en écoutant de la musique, le long câble des écouteurs s'est pris dans une branche et, au lieu que la prise jack ne se débranche de mon lecteur mp3 comme cela m'est arrivé des dizaines de fois avec d'autres paires d'écouteurs, là c'est le câble qui s'est rompu au niveau de la batterie de la réduction de bruit active ! En regardant de plus près, le connecteur accroché au câble et qui est censé le sécuriser dans l'orifice de la batterie est en plastique mou, ce qui fait qu'il ne remplit pas sa fonction de sécuriser le câble et que ce sont les fils électriques qui s'en chargent et qui bien sûr se rompent.  Je n'arrive pas à déterminer s'il s'agit d'amateurisme de la part du fabriquant, ce qui serait un peu étonnant vu la qualité du son des écouteurs, ou s'il  s'agit plutôt d'un calcul visant à inciter les gens à renouveler leur matériel, mais je suis très déçu de cet achat, la durée de vie est de moins de 2 mois, ce qui à l'année revient à 29.99*6=179.94€. A ce prix là, il est probablement possible de trouver des écouteurs d'aussi bonne qualité et plus solides...</t>
  </si>
  <si>
    <t>Merci calma! Enfin le "biberon" qui a sauvé mon allaitement. Ma fille ne voulait plus mon sein après avoir eu quelques biberons classiques, avec celui-ci elle l'a repris très facilement. Je recommande vivement, même si le prix est un peu élevé si on souhaite continuer à allaiter, il ne faut pas hésiter car c'est le seul biberon qui permettra d'éviter la confusion (ou paresse) sein / tétine. Donc je suis très satisfaite de mon achat!!</t>
  </si>
  <si>
    <t>Branchez votre Smartlav à votre APN Reflex ! Article commandé pour accompagner mon Rode SmartLavPlus, que j'utilise pour mes vidéos youtube en complément de mon micro USB Blue Yeti.  Objectif réussi  : brancher mon petit micro cravate de Rode sur mon Reflex Panasonic G80 et bénéficier d'un son de bonne qualité  Et oui, si on branche son SmartLav+ sur autre chose qu'un smartphone, le son est horrible du coup cet adaptateur est indispensable.  Cet adaptateur SC3 de Rode, offre un bon rapport qualité prix : ça marche, de bonne qualité, et cela ouvre le champs des possibles pour votre micro de poche  Pas cher, je recommande d'adjoindre à votre microphone une rallonge Jack, car si avec votre smartphone le câble de 1.5m n'était pas trop court, avec un appareil photo ou caméscope c'est une autre histoire !  Pour se mouvoir librement Rode propose donc une rallonge :&amp;nbsp;&lt;a data-hook="product-link-linked" class="a-link-normal" href="/Rode-SC1-Rallonge-pour-SmartLav-et-SmartLav-6m/dp/B00WSNWFM8/ref=cm_cr_arp_d_rvw_txt?ie=UTF8"&gt;Rode SC1 Rallonge pour SmartLav et SmartLav+ - 6m&lt;/a&gt;  Avec ces 2 accessoires vous êtes parés pour réaliser toutes sortes de vidéos, dans de nombreuses conditions.  En conclusion je recommande cet achat, éprouvé sur ma chaine youtube.  Si vous avez jugé ce commentaire utile, cliquez sur oui, merci à vous ;)</t>
  </si>
  <si>
    <t>Qualité parfaite J'ai voulu essayer une autre marque de cartouches autres que celles de la marque de l'imprimante. Mon imprimante a remarquer que ce n'etait pas la bonne cartouches donc j'ai eu peur que ca ne fonctionne pas. Mais apres avoir repondu au message qui s'affichait, l'impression etait parfaite. Pas de problème particulier au niveau de la qualite. Pour la longévité je ne sais pas car je viens juste de la changer.</t>
  </si>
  <si>
    <t>Très pratique... Après une réception très rapide (reçu le samedi au lieu du lundi comme prévu) j'ai vite essayé mon nouveau jouet ! Prise en main rapide et facile avec un livret en français, mais bon limite pas besoin car l'usage est très facile et intuitif. Le son est très bon, les écouteurs agréables a porter et le boîtier est beau et pratique avec son écran digital de charge. Très pratique aussi la possibilité de pouvoir se servir du boîtier comme chargeur de batterie externe..génial ça ! Très content de mon achat pour le moment</t>
  </si>
  <si>
    <t>AU TOP !!! EXCELLENT PARFAIT QUALITÉ PRIX  SUPER CONFORTABLE ET SEXY !!!</t>
  </si>
  <si>
    <t>Impeccable Mon fils ne prends que les biberons dodie avec les tetines plates , ils sont bien solide et grand</t>
  </si>
  <si>
    <t>AGENDA produit reçus avec plus d'une semaine d'avance. Conforme à la description, l'agenda à assez de place pour ecrire, et ce n'est pas ecrit en tout petit dedans (heures etc). Je recommande</t>
  </si>
  <si>
    <t>Superbe Cadeau pour mon épouse. Casio est gage de qualité. Ma femme n'est pas délicate et elle tient . Envois et colis parfait . Je recommande vraiment .</t>
  </si>
  <si>
    <t>Grande satisfaction. Il s'agit d'un cadeau de Noël offert à ma fille. Je l'ai reçu avant la date prévue et dans un emballage de bonne qualité. Ma fille qui habite dans une région froide en est complètement satisfaite. Enseignante, elle les porte tous les jours pour aller à l'école. Elle apprécie leur confort, la qualité de fabrication et leur look. Bien sûr ces bottines ne sont pas faites pour une utilisation intensive dans la neige. Je recommande ces chaussures sans restriction.</t>
  </si>
  <si>
    <t>parfait depuis plus d'un an en fonction il suffit de nettoyer de temps en temps la cuve, très bon diffuseur</t>
  </si>
  <si>
    <t>volume trop fort au plus bas du reveil le volume est deja super fort et reveil toute la maison...de plus les sons ne sont pas tres naturel, et la qualité du haut parleur pour la radio est mediocre. la lumiere ne me reveil pas ne douceur, mais ne me reveil pas du tout...c'est surmeent pas fait pour moi autre point negatif, les bouton du dessus pas agreable a manipuler, qui font un bruit de fou aussi... dommage pour un objet que je voulais "Zen"</t>
  </si>
  <si>
    <t>casque vraiment pas costaud déja en panne niveau connecteur impossible de contacter le vendeur pour un éventuel échange. je suis déçu car déjà en panne 8 mois c'est tout, bof pour du Sony.</t>
  </si>
  <si>
    <t>TB rapport qualité/prix mais... Le rapport qualité/prix est indéniable. Casque audio Bluetooth avec un son de qualité, aussi bien dans les aigus que les graves. Belles finitions. Capacité de batterie excellente et rechargement rapide. Attention, Un sifflement à basse fréquence lors de la mise en route de la réduction du son peut apparaître et devient trop gênante lors de l’absence de son audio. Certes on attend moins les bruits ambiants, mais c’est parce qu’ils sont couverts par ce sifflement permanent, qui en est gênant à la longue. UPDATE = sur ce point, et à la suite de mon commentaire, j’ai été contacté d’initiative par le sav du vendeur. Un nouveau produit m’a été envoyé. Après plus d’un mois de tests, dont des trajets en train et surtout en avion, je suis en mesure de dire que le premier produit était défectueux... le 2e produit fonctionne parfaitement et procure effectivement une réduction de son sans sifflement. N’attendez toutefois pas une qualité de réduction sonore comparable aux meilleurs produits du marché (mais aussi extrêment plus chers...) avec un casque à ce prix là. Je répète néanmoins bon rapport qualité/prix. J’ajouterai aussi que la qualité du sav est assez rare pour être soulignée. Quant au premier produit, le sifflement s’est amplifié et rend la réduction de son impossible à mettre en marche... Si vous êtes  dans ce cas, je vous invite à contacter le sav du vendeur.</t>
  </si>
  <si>
    <t>Bien mais... État du colis minable, mon fils en a besoin pour travailler la semaine qui arrive donc pas le temps de rentrer dans des procédures de renvoi. Mais je tien quand meme a signaler mon mécontentement sur 2 points : - le colis est dans un sale état - le livreur TNT MARSEILLE c'est trompé de boite aux lettres !! J'ai passé la journée au téléphone avec amazon et tout les relais colis de ma ville afin de retrouver ce foutu colis jusqu'à qu'un voisin vienne sonner a ma porte !!  Bref vous m'avez compris. En ce qui concerne les chaussure elle sont confortable, des baskets. Mon fils et peintre en bâtiment et est très content de pouvoir jeter ses vieilles chaussure avec l'embout qui rouille et qui pèse presque le double du poids. J'ai pris les noires et ne vous fiez pas a la photo ou elle paraissent grises foncées, elle sont bien bien noires.  En bref je comptais mettre 5 etoile mais il chausse du 43 et elle sont un poil trop grande donc -1 étoile, et comme expliqué plus haut -1 étoile pour le livreur et l'état du colis.</t>
  </si>
  <si>
    <t>TOUT J  ARRIVE PAS A CONNECTER MES 2 APPAREILS  LES2 EMBOUT DONC CELUI  LE FIL DE LA PRISE NE RENTRE PAS  DOIS JE EN  COMMANDER UN AUTRE  ( AVEC DIFFERENTGROSSEURS  IL FAIT 5 VOLTS  THERM PRO  REMOTE SENSOR  CETTEFOIIS CI MERCI  TESSIER</t>
  </si>
  <si>
    <t>Bien Conforme livraison rapide</t>
  </si>
  <si>
    <t>Bon produit Très bon article! A la fois esthétique, rapide et surtout silencieuse!!! Élément silencieux à détartrer régulièrement Je la recommande vivement !</t>
  </si>
  <si>
    <t>Good Bon produit léger et confortable semelle souple mes glisse un peut sur sol très lisse la protection est uniquement en bout de pied</t>
  </si>
  <si>
    <t>Bonne chaussure Une bonne chaussure de très bonne qualité. Mon seul reproche concerne la taille, parfaite en longueur, un peu juste en largeur. C'est d'autant plus regrettable que ce modèle est fait de cuir épais (c'est pour cela que je l'ai choisi). Il n'y a pas de demi pointure, ce qui aurait peut être permis d'éviter l'inconvénient indiqué.</t>
  </si>
  <si>
    <t>Havaianas ou pas, ça y ressemble Peut-être mal stockées  Les brides un peu tordues mais ne gênent pas  Avec le temps elles vont se détendre.</t>
  </si>
  <si>
    <t>Lave très bien même à froid et en plus, elle prend soin de notre santé... Ma machine Bosch a un programme lavage Coton à 20° et j'ai voulu essayer ce programme avec cette lessive et voir s'il faisait aussi bien que le programme à 30° où, habituellement, je mélange coton et synthétique. Mon linge est ressorti très propre et j'étais de plus rassuré par les qualités anti-allergiques de cette lessive. Bien sûr, si vous êtes allergique aux accariens, il vous faudra laver le coton à 60° pour tuer les bestioles. Mais comme j'ai trouvé chez Amazon une couette et une housse de matelas qui font que ces bestioles ne vont pas s'y loger, je peux laver à froid et mieux garder les qualités du linge. Je recommande ce produit où les concepteurs pensent d'abord à notre santé, avant de penser à la publicité qui va nous la vendre.</t>
  </si>
  <si>
    <t>Contente de l'achat ! Je suis fan des baskets pour mon travail et j'ai toute les couleurs possible ! Chausse la pointure exacte ! Une couleur super belle qui va avec toutes les tenues ! Je recommande un bon investissement</t>
  </si>
  <si>
    <t>impec ! Ravi de mon achat ce petit micro n'a rien a envier aux grand je le recommande fortement avec un rapport qualité/prix impec !</t>
  </si>
  <si>
    <t>Écouteur Bluetooth sans fil On a toujours son téléphone à proximité  Je  l'utilise aussi bien pour les appels que pour écouter de la musique et regarder des vidéos et rien de plus pratique que des écouteurs Bluetooth sans fil  j'avoue en avoir une vraie collection ce modèle est vraiment top car il est fourni avec un petit boîtier pour les recharger qui sert en plus de batterie du coup même en extérieur on peut avoir deux fois plus d'énergie puisque on peut les recharger elles sont petites et surtout elles tiennent dans mes oreilles car de ce côté-là on on est tous différent et certaines formes tiennent plus ou moins bien  le son et de très bonne qualité, en communication mes interlocuteurs m'entendent très bien quand je parle  tous ces facteurs montre que cette article est utile pratique et efficace et tout ça a un prix plutôt raisonnable comparé à d'autres que j'ai pu voir sur d'autres sites</t>
  </si>
  <si>
    <t>Très bon matériel Très bon matériel efficace pour moi qui fait de sono et karaoké sur vidéo projecteur</t>
  </si>
  <si>
    <t>Excellent Je l'ai acheté pour ma fille de 15 qui écoute beaucoup de musique et elle est ravie, le son est top, le confort parfait et l'autonomie vraiment excellente. Seul bémol, le micro... Impossible de s'en servir pour téléphoner, la personne à l'autre bout ne nous entends pas. C'est un casque et uniquement un casque. Mais un très bon :)</t>
  </si>
  <si>
    <t>Superbe Beau produit.</t>
  </si>
  <si>
    <t>Produit Bien reçu merci  2 ème commande effectuée reçu aujourd'hui</t>
  </si>
  <si>
    <t>Plus grand dedans que dehors Malgré sa taille modeste, ce sac permet d'emporter énormément de choses. Les quelques poches/rangements sont juste en quantité suffisante pour organiser clés, porte feuille, couteau suisse, stylos, briquets, gel hydroalcoolique, mouchoirs, labelo, chargeur de téléphone, écouteurs etc... tout en gardant la poche principale libre pour un carnet A5, une bouteille de 50cL et quelques gouters par exemple. Ok à ce niveau il commence à être plutôt gonflé, mais il tient le coup! Je l'ai porté tous les jours pendant presque un an et jamais une couture n'a lâché, alors que je bourrais à raz bord régulièrement.  Bon look, pas fragile, efficace, et avec une mini poche presque secrète, c'est une super affaire pour ce prix!</t>
  </si>
  <si>
    <t>Conforme 👍 Conforme à la description C'est un cadeau pour Noël J'espère que la qualité seras la car moi j'y connais rien Reçu avec 1 jour de retard</t>
  </si>
  <si>
    <t>gratte-langue en cuivre pur Très bien</t>
  </si>
  <si>
    <t>Basket mauve métallique Très jolie et confortable c est juste dommage qu il n'y ai pas d autres lacets, les rubans sont sympa mais j'aimerai d autres lacets c est un détail je vais en commander</t>
  </si>
  <si>
    <t>déçu je suis très déçu par ce jeu qui est simple à comprendre mais le stylo qui est l outil principal ne fonctionne pas plus d encre!!!! l emballage était neuf bien fermé mais malheureusement le stylo chono ne fonctionne pas... et dans ce cas là on ne peut jouer qu en utilisant un stylo neutre : aucun interet de payer aussi cher pour devoir utiliser un autre stylo je ne recommande pas ce jeu</t>
  </si>
  <si>
    <t>La taille et la qualité Trop petit pour mon boubou, donc ne peut pas le mettre, déçue !!</t>
  </si>
  <si>
    <t>Decolle Apres 3 semaines tout se décolle j'ai du payé  pour les faire réparer</t>
  </si>
  <si>
    <t>Bonne autonomie et confortable. Léger et confortable. Attention aux traces sur les coussinets!!! Prévoir un réglage de l’equaliseur (en téléchargeant l’application «&amp;nbsp;CapTune&amp;nbsp;».  La réduction de bruit est plutôt discrète (comparé à mon Parrot Zik).  Le casque bipe un peu de trop à mon goût. Il bipera aussi pendant l’utilisation du téléphone, sous certaines conditions: Lorsque vous utiliserez les fonctions de certaines applications (sans aucun rapport avec le son), comme rafraîchir une page, par exemple.  Il vous faudra un temps d’adaptation avec les commandes, une fois le casque sur la tête, vous allez sûrement devoir tâtonner, pendant quelques jours, pour trouver du premier coup, les boutons correspondant à ce que vous souhaitez faire.  Malgré tout, il a une bonne autonomie, il est confortable et le son n’est pas si mauvais.</t>
  </si>
  <si>
    <t>Pas mal! Casque sans fils Thomson à 35€! confortable et très classe avec son support/chargeur!  ça donne un son assez puissant et propre, je me ballade par la maison sans aucun souci de signal ça marche nickel!  c'est conseillé de mettre l'appareil qui sort le son au max et après régler le volume sur le casque ;)  par contre les basses sont pas top et des fois j'entends du grésillement...si on veut de la qualité faut payer un peu plus ^^</t>
  </si>
  <si>
    <t>Très aagreable Très bien</t>
  </si>
  <si>
    <t>Très bien Fonctionne bien mais il y a un coup à prendre. Il faut appuyer sur la pointe quand il est sec donc le réhydrater sur un support "dechet" car ça coule fort. J'ai pourri un projet à la première utilisation. Sinon je ne regrette pas mon achat</t>
  </si>
  <si>
    <t>la qualité j'aurai aimé avoir un bon de garanti</t>
  </si>
  <si>
    <t>tutu dancing Ces tutus ont fait fureur. Achat raisonnable même pour une soirée.</t>
  </si>
  <si>
    <t>solide, esthétique, pratique, prix Une belle montre, couleurs agréables. Simple mais précise, affichage légèrement luminescent. Un bon achat</t>
  </si>
  <si>
    <t>Top Magnifique Diffuseur . Fonctionne très bien facile à l'utilisation . Diffuse le parfum dans toutes la pièce . Je recommande. Merci</t>
  </si>
  <si>
    <t>Pratique pour la découpe!!!!! Très pratique, très économique</t>
  </si>
  <si>
    <t>Excellent rapport qualité prix! Ce micro possède une très bonne qualité audio. Et ses accessoires sont correct.  Je recommande vivement ce kit micro!</t>
  </si>
  <si>
    <t>Top Je suis contente c'est crochets sont de très bonne qualité je m'en sert pour faire des boucles d'oreilles en pate fimo</t>
  </si>
  <si>
    <t>Très bon diffuseur Très pratique et facile d'utilisation, grosse capacité donc diffuse pendant longtemps, et s'arrête automatiquement dès que le réservoir est vide</t>
  </si>
  <si>
    <t>LES ETOILES DEVRAIENT SUFFIRE LES ETOILES DEVRAIENT SUFFIRE</t>
  </si>
  <si>
    <t>Bon produit C'est fonctionne bien sur chronomètre et facilement sur modify le date et le l'heure. Il met petit truc pour modifier la taile de acier.  Merci. J'aime bien</t>
  </si>
  <si>
    <t>Parfait Parfaite Confortable à souhait</t>
  </si>
  <si>
    <t>Tongue Havaianas Tongues taille 37 Je les portent tous les jours à la maison, Elles sont parfaite !</t>
  </si>
  <si>
    <t>Taille bien après un premier lavage. Bonne qualité Elles sont un peu plus grande mais je fais du 41 donc c’est normal je pense. Et quand on les lave on peut les faire rétrécir à la machine. La qualité est assez bonne je trouve. A voir si elles se trouent dans les mois à venir. Parfait pour les sneakers.</t>
  </si>
  <si>
    <t>Parfait Ces kickers sont parfaites. Je les porte depuis un an, elles n'ont pas bougé et sont comme neuves. J'avais peur d'une contrefaçon mais elles sont parfaitement authentiques. Tous les gravages, étiquettes et marquages sont là.</t>
  </si>
  <si>
    <t>La qualité Avec cette marque nous sommes certains d'avoir une bonne qualité de textile agréable à porter. Livraison rapide sous plastique opaque.</t>
  </si>
  <si>
    <t>bien pour personne qui glisse à cause de maladie premier achat pour personne vivant  en appartement qui risque de tomber à cause de problème de parkinson.Le port de chausson à haute tige et à scratch peu adapté .L' Idée de cet achat s'avère positif et rassurant pour la personne et son entourage . Pratique et Efficace pour personnes ,enfants qui peuvent beaucoup bouger ou dont la marche peut être difficile ou pour qui mettre des chaussons est compliqué .</t>
  </si>
  <si>
    <t>ça change du bleu je suis satisfaite de cet achat, c'est très beau visuellement et remplie bien son rôle. je recommande cet achat. j'ai pris la  couleur grise</t>
  </si>
  <si>
    <t>couleur ok mais ... couleurs ok mais ça sert à quoi de mettre une puce dans la cartouche si c'est pour indiquer un passage de "moitié plein" à vide "à remplacer" sans autre transition ?</t>
  </si>
  <si>
    <t>Qualité moyenne je pense. Belle présentation. La date ne fonctionne deja plus . Je vais la renvoyer.</t>
  </si>
  <si>
    <t>Déception : inutilisables aussi bien côté micro que écouteurs... Grosse déception malgré les excellents commentaires : - Il y a un grésillement constant. Je l'entends à moins d'être vraiment dans un environnement très bruyant (métro...) - Quand on marche si le câble touche quoi que ce soit (manteau, veste...) ça fait énormément de bruit qui "résonne" dans les écouteurs à chaque frottement. Donc à chaque pas/mouvement en fait. - Le micro est d'extrêmement mauvaise qualité : à chaque fois que j'ai pris un appel (via smartphone ou laptop) j'ai du les enlever. Inutilisables, personne ne m'entendait correctement.  En résumé : si vous êtes immobile et dans un endroit un peu silencieux on entend le grésillement. Si vous marchez vous entendez très fort le bruit du frottement dans les écouteurs. Si vous voulez les utiliser pour des appels on ne vous entend/comprend pas.  Comme les écouteurs avaient de super commentaires j'en ai acheté 2 paires immédiatement : une qui reste au bureau et  une pour les trajets. J'ai exactement les mêmes problèmes sur les 2. Donc ce n'est pas une paire qui fonctionne mal.</t>
  </si>
  <si>
    <t>Cadre numérique je suis déçue car le produit avait une date de livraison au 23 décembre et je ne l'ai reçu que le 27 décembre soit après noel c'est dommage</t>
  </si>
  <si>
    <t>Sans importance Très fin jolie</t>
  </si>
  <si>
    <t>la date de livraison et la qualité du produit telle que vu sur la publicité déjà c'est du cuir et a mon age ce sac me va très bien</t>
  </si>
  <si>
    <t>Bien Bon feutre</t>
  </si>
  <si>
    <t>La qualité équivalente à son prix Acheté pour jouer principalement sur PC à des FPS et jeu de simulation, j'en suis plus que ravi.  J'avais précedemment un casque Razer Kraken Pro V1, la différence notable est les basses, d'un côté le Razer en avait beaucoup trop, de l'autre le Corsair se retrouve avec un son plus équilibré. Les sons sont nettement plus distinctifs notamment grâce au logiciel Corsair ICUE, qui permet d'avoir un 7.1 virtuel. La connexion en bluetooth se fait sans aucune difficulté. Je n'ai rien à reprocher à ce casque. J'apprécie notamment le fait d'avoir les écouteurs semi-ouverts (très agréable si quelqu'un vous appelle ou autre). Le design sobre m'a aussi très satisfait  Bref pour l'avoir acheté à 75€ en promo, je ne regrette en aucun cas mon achat</t>
  </si>
  <si>
    <t>conforme aux attentes Pas grand-chose à dire sinon que ses chaussons font leur office de garder les pieds au chaud virgule pour une taille 48 ils sont parfaitement bien proportionnés</t>
  </si>
  <si>
    <t>Très bien Contente de mon achat.</t>
  </si>
  <si>
    <t>Une bonne odeur de frais Un très bon produit avec une bonne odeur de citron frais ... envoie rapide et bien emballé</t>
  </si>
  <si>
    <t>😤 Quality bien mais livraison 0</t>
  </si>
  <si>
    <t>Indispensable pour un enfant J'ai regretté de ne pas l'acheter plus tôt trop pratique pour un enfant qui dort, op on mesure la température et on est rassuré ma fille l'aime bien, et elle ne refuse plus la mesure de température avant cet achat, on galère pour le faire.</t>
  </si>
  <si>
    <t>Montre CASIO WAVERECPTOR EXCELLENT PRODUIT DONT LA FONCTIONNALITE EST SIMPLE. DESIGN AGREABLE A L'OEIL ET NE DEPARE PAS SOUS UNE CHEMISE DE VILLE. PRODUIT A RECOMMANDER.</t>
  </si>
  <si>
    <t>Achat correct Pas cher et pratique. Je l utilise tous les jours ! Même si pas très beau et moderne. Pas facile à nettoyer....</t>
  </si>
  <si>
    <t>Pas mal du tout Je suis allée à la salle avec, tapis de course, rameur, vélo elliptique etc, ils tiennent très bien au niveau du son c’est bon aucun soucis avec. Ils sont bien restée connecté et d’ailleurs faciles à connecter. Le son est assez fort si on met au Max, la réduction de bruits autour est suffisante pour que je n’entende pas la musique de la salle elle même (qui est très forte) Je les trouvent confortable, je n’ai pas eu mal aux oreilles après 2h portées d’affilée</t>
  </si>
  <si>
    <t>Superbe Très belle montre à petit prix. J’adore !</t>
  </si>
  <si>
    <t>Bon produit Très bien. Biberon solide et pratique.</t>
  </si>
  <si>
    <t>Très approprié pour ce vieil homme. Je les aime! Je suis sourd ces sont merveilleux! Était si facile à connecter. Je peux aussi m'interroger sur la maison et continuer à recevoir un bon accueil. Pour le prix, ils le valent bien.</t>
  </si>
  <si>
    <t>la sécurité grace au fermoir articulé, la montre ne peut pas tomber en remplacement d'un bracelet abimé. très facile à fixer sur la montre. sécurité gràce au fermoir articulé. la matière du bracelet est agréable et jolie. enfin: le prix</t>
  </si>
  <si>
    <t>Relaxer Tres bonne cadeau pour mon copain. Il a l’habitude de mal à jambe .Cette machine peut l’aider de bien relaxer .</t>
  </si>
  <si>
    <t>agréable et confortable se lave sous l'eau, tient bien aux pieds, design correct, je les utilise en guise de pantoufles, n'ont pas l'air de s'user rapidement</t>
  </si>
  <si>
    <t>Style Top</t>
  </si>
  <si>
    <t>Parfait!!!!!! Parfait!!!!!!</t>
  </si>
  <si>
    <t>Très agréable Cette brosse est vraiment agréable à utiliser. Elle stimule de cuir chevelu, lave en profondeur et ne fait pas de nœuds ! j'étais septique mais je recommande!</t>
  </si>
  <si>
    <t>Pas pour mon Bébé On ma dit que du bien sûr ce biberon mais tout les enfa t'a son différent.  Ma fille allaiter exclusivement depuis sa naissance ne la pas aimer.</t>
  </si>
  <si>
    <t>Inconfortable et mauvais son au téléphone Je suis très étonné des commentaires... Les oreillettes sont grosses, inconfortables et ne tiennent pas bien lorsque l’on fait du Running. Je l’ai ai acheté pour le sport et le travail, certes le son est bon, mais comment les garder plus de 30 min sans avoir l’impression d’avoir une patate dans l’oreille. Par ailleurs, en conversation téléphonique, on nous entends mal. La boite est jolie, la connexion avec le téléphone aisée, mais cela ne sert à rien si le reste ne suit pas.</t>
  </si>
  <si>
    <t>Qualité pas au rendez vous Qualité pas top, semelle légèrement décollée après 2 jours d'utilisation. De plus cette paire chausse trop petite. Prévoyez une taille de plus. J'avais une paire que je me suis fait voler dans mon service elle était 10000 fois mieux. Déçu par cet achat donc.</t>
  </si>
  <si>
    <t>Petite encyclopédie Utilisateur un peu trop jeune (4ans) pour apprécier</t>
  </si>
  <si>
    <t>Bon produit Goupillon solide,  qui nettoie bien mes biberon de la marque  Mam . Le petit goupillon pour Nettoyer les tétines n’est vraiment pas pratique,  J’ai l’impression qu’il nettoie pas grand-chose.</t>
  </si>
  <si>
    <t>Très bien Très jolies baskets fines et discrètes. Je les ai pris en taille 43 pour mon mari qui chausse habituellement du 42 et demi et c'est parfait. Je recommande cet article</t>
  </si>
  <si>
    <t>Écouteurs Intra-Auriculaires produit bien emballé, son et présentation très correcte pour le prix</t>
  </si>
  <si>
    <t>Cool Parfait rien a redire je l’ai porté depuis 5 mois maintenant surper !</t>
  </si>
  <si>
    <t>Enfin de la solidité Après de nombreuses paires de tong acheté et beaucoup de deception, j'ai enfin trouvé une paire solide.  J'en suis bien satisfait et je les recommandes. Il faut parfois prendre de la marque, même pour des objets simple du quotidien, pour avoir de la qualité.</t>
  </si>
  <si>
    <t>Superbe Offert en cadeau de Noël pour ma fille de 7 ans, produit de très bonne qualité, aussi bien sur l'aspect physique du produit, son cot3 agréable à porter comme la qualité sonore. Vous pouvez acheter les yeux fermés.</t>
  </si>
  <si>
    <t>Rebecca Je vien de la recevoir  le 2 mai  le jour de mon anniversaire  elle est encore plus belle que sur  les photos /////////voilà déjà  près aue 1 moi  que je l'ais  au doigt  elle a pas bougée  elle est magnifique</t>
  </si>
  <si>
    <t>Parfait Commandé pour mes biberons Avent. Complètement compatible et exactement pareil que celui de Philips. La seule différence le prix</t>
  </si>
  <si>
    <t>Cool! Super!</t>
  </si>
  <si>
    <t>Très bon achat Le produit correspond tout à fait à mes attentes. Ces chaussures ne sont pas très lourdes à porter et garantissent une sécurité optimale tant au pied, qu'à la cheville.</t>
  </si>
  <si>
    <t>Comfortable Comfortable</t>
  </si>
  <si>
    <t>Très bel article Très bel article</t>
  </si>
  <si>
    <t>Bon Il est bon :)</t>
  </si>
  <si>
    <t>Fait entièrement son travail vraiment top, je cherchais un réveil lumineux pour tester les réveils en douceur et c’est le cas la lumière est top puis sert aussi de lumière d’ambiance avec de nombreuses couleurs je recommande si vous cherchez un réveil lumineux polyvalent !</t>
  </si>
  <si>
    <t>Parfait stable et anti derapant C’est le deuxième que j’achete et je suis toujours aussi ravi. De la bonne hauteur il y en avait un devant le lavabo de la salle de bain et le nouveau reste dans les toilettes puisque mon fils de 3 ans est en train de lâcher la couche pour aller directement sur les grandes toilettes (il n’aimepas le pot). Enfin bref mon fils l’adore car il lui permet vraiment de faire comme les grands. Et loi je suis rassurée car il est vraiment anti dérapant sur le dessus malgré les éclaboussures d’eau et également sur les supports au sol.</t>
  </si>
  <si>
    <t>Défectueux mais merci Amazon ! Pour l instant j'en ait commandé un qui doit être défectueux.. Bruit désagréable dans l'oreille droite et batterie qui ne tient pas la journée.  J attend de recevoir une autre pair (même modèle) afin de blacklister ou non cette marque.  Edit : Aucun soucis avec la nouvelle paire reçue.. Merci Amazon d offrir cette possibilité !</t>
  </si>
  <si>
    <t>A recommander sans réserve utiliser pour câbler mes enceintes arrières. qualité du son top (pas entendu de différence par rapport à d'autres cables) gaine plutôt épaisse mais assez souple pour pouvoir être facilement coudée.</t>
  </si>
  <si>
    <t>Très belle sacoche Belle sacoche grande et avec bcp de place. Je la conseille</t>
  </si>
  <si>
    <t>Superbe Superbe casque , autant sur la qualité d’écoute que sur la plastique du produit . Réduction de bruit convenable , inférieur au Bose mais la qualité d’écoute est meilleure . J’écoute du jazz, reggae, rock , tout passe , son super clair . Top</t>
  </si>
  <si>
    <t>Joli bola Je n'ai pas reçu celui commandé mais c'était un cadeau et je n'ai pas eu le temps de le retourner. Joli Bola mais forcément déçue car ce n'était pas celui la que j'ai commandé.</t>
  </si>
  <si>
    <t>La chaîne s'est cassée facilement L'a donné comme cadeau. Dommage que la chaîne se soit cassée si tôt après l’avoir achetée. Semble trop fragile.</t>
  </si>
  <si>
    <t>Très bien Chaussettes conforment à la photo et correspondant à ce que recherchait mon fils. La couleur est un classique et c'est parfait.</t>
  </si>
  <si>
    <t>Elodie Bon produit néanmoins il est un peu lourd à porter sur les épaules</t>
  </si>
  <si>
    <t>Satisfaisant Commandé le lundi et reçu le jeudi, super rendu sur le bois. Odeur forte, prévoyez un bon masque lors de l'utilisation (et des gants)</t>
  </si>
  <si>
    <t>que le cadeau arrive à l'heure Cadeau</t>
  </si>
  <si>
    <t>Look extra excellent produit, look super, rapide, le seul inconvenient qui lui fait predre une etoile est l'imprecision du thermostat pour la temperature de l'eau</t>
  </si>
  <si>
    <t>Tres pratique Très pratique pour transporter sans problème le repas de bébé. Je le recommande sans problème. Prix vraiment très attractif sur le site.</t>
  </si>
  <si>
    <t>Son agréable et net Je suis très satisfaite de ce casque, je l'utilise depuis plus de 4 mois maintenant sans rencontrer de soucis. Je cherchais un casque fermé et neutre pour écouter ma musique au travail. Je n'ai pas une grande expérience des casques audio, mais je trouve le son de celui-là très agréable et net. Ce casque étant un casque de monitoring, les basses ne sont du coup pas trop en avant (ce que j'apprécie personnellement, mais qu'il est bon de savoir si vous aimez les casques avec des basses très présentes). A noter aussi que ce casque est adapté pour les petites têtes. La plupart des casques du commerce me vont trop grand, mais pas celui-là =). Il est aussi très léger, on peut le garder pendant des heures sur la tête sans problème. Bref, très contente de mon achat.</t>
  </si>
  <si>
    <t>Top Ras, tout correspond, et livraison en 1 jour. Parfait</t>
  </si>
  <si>
    <t>parfait j'adore cette gammes très bon rapport qualité prix vraiment bien</t>
  </si>
  <si>
    <t>Très bien Ce produit est très bien. Je le mets dans un flacon pompe il dure très longtemps.  Je le recommande sans problème</t>
  </si>
  <si>
    <t>Satisfaite Très jolis ce porte bien</t>
  </si>
  <si>
    <t>Parfait J’avais peur de la stabilité avec mon gros casque mais aucun  souci je recommande</t>
  </si>
  <si>
    <t>Recommande Article conforme , livraison rapide</t>
  </si>
  <si>
    <t>Top Super canons et très confortables. Je ne regrette pas mon choix.</t>
  </si>
  <si>
    <t>Rapidité d’envoi et confort aux pieds !!! Pour marcher.</t>
  </si>
  <si>
    <t>Conforme à la description Est exactement ce à quoi je m'attendais</t>
  </si>
  <si>
    <t>Déhumidificateur Rubson Très contente ,  il se pose partout et il ne fait pas moche c'est fait avec un beau plastique ça peut vraiment passer  pour un élément de décoration. Envoyer rapidement, je ne regrette pas mon achat .</t>
  </si>
  <si>
    <t>Modèle stylé J'ai aimé la forme et la couleur.</t>
  </si>
  <si>
    <t>Au top Tout simplement enorme. Environ 4000 gommette. Elle sont tres bien pré découpé et de tres bonne qualite. Plusieurs choix de tailles formes et couleur. De quoi faire passer un bon moment aux enfants</t>
  </si>
  <si>
    <t>Bon produit Chaussures très sympa, pratique pour le p’age avec des galets ou rochers, confortable.</t>
  </si>
  <si>
    <t>ne tiens pas très rapidement casse de la courroie, une première pour un sac acheté, maintenant la fermeture éclair commence à dysfonctionner! Ok pour les apparences, nickel, mais ne tine tpas du tout dans le temps! Je déconseille même aux gens très soigneux (pas de soucis avec le suir par contre)</t>
  </si>
  <si>
    <t>Trés mauvais produit Appareil arrivé defectueux, l'oreilette gauche ne fonctionnait pas...  Tres deçu par ce produit. Ne recommande pas ce produit.</t>
  </si>
  <si>
    <t>Problème batterie, moins de 3h d’autonomie en repos Juste Après 3 semaines d’utilisation la montre ne tenait plus deux heures de batterie. Maintenant plus de possibilité de retour.</t>
  </si>
  <si>
    <t>En panne au bout bout de 4 mois Jolie montre , mais déjà en panne ,écran vide au bout de 4 mois, rare pour une Casio,je me demande même si ce n est pas une contrefaçon et bien sur aucune garantie de la part d Amazon , la prochaine sera achetée en boutique pour a peine plus cher au moins et  une véritable garantie de 1 an .</t>
  </si>
  <si>
    <t>contente bonne qualité recu dans les delais</t>
  </si>
  <si>
    <t>Top Très bonnes brassières, la qualité est là. Je n'avais pas l'habitude du sans armature mais finalement je suis très contente. Le look est plutôt sympa (sportif). Je retire néanmoins une étoile pour le fait qu'elles ne soient lavables qu'à la main. Je testerai en machine mais pour moi tout devrait pouvoir se passer en machine pour plus de facilité !</t>
  </si>
  <si>
    <t>Correct Correct pour le prix</t>
  </si>
  <si>
    <t>Pratique Super solide, pratique et s'adapte parfaitement a notre poubelle ... Je recommande ce produit ... Pas de problème de dégât ...</t>
  </si>
  <si>
    <t>Bon produit Couleur bleu foncé sur l'arrière dommage que se ne soit pas indiqué dans les caractéristiques Les photos laissent à penser que c'est noir ...</t>
  </si>
  <si>
    <t>Idée cadeau C'est un très beau collier et je l'aime beaucoup. Le design est vraiment bon. Il est très mignon et le diamant dessus brille et semble très brillant. Et comme il est fait en argent et de bonne qualité, il constitue également un excellent cadeau pour vos amis.</t>
  </si>
  <si>
    <t>Petit et discret Petit et discret, les couleurs sont apaisantes. Le plus, le mode sleep, plus de lumière et une légère brume se diffuse. Je le recommande</t>
  </si>
  <si>
    <t>Timberland C'est vraiment parfait la chaussure correspond parfaitement a la photo je suis vraiment pas déçu je les conseille par contre comme elle sont en daim il voudrai mieux les imperméabiliser</t>
  </si>
  <si>
    <t>Chaud, doux et confortable à souhait Super qualité</t>
  </si>
  <si>
    <t>Chaine Vraiment  un cadeau  qui  vraiment  fait plaisir  créateur  de bijoux  vraiment  tres bien dommage  qu il est  plus  sur le site</t>
  </si>
  <si>
    <t>Radio réveil élégant, malin vous offrant un super coucher de soleil ! Je m'endors avec le soleil ou du moins l'effet lumineux soleil depuis l'installation de radio réveil et c'est beaucoup moins traumatisant même à 6h du matin. Installation très simple et manuel d'utilisation en français. C'est un radio réveil qui vous reveille, c'est pas sympa, mais il peut vous réveiller avec musique, sons de la nature, lumière qui s'intensifie plus on s'approche de l'heure fatidique. 2 réveils peuvent être programmés pour ceux qui auraient dû mal à sortir du lit. Radio qui fonctionne super bien avec enregistrement des stations préférés. Un petit + très pratique, la prise USB pour charger le portable. Fonctionne avec une pile bouton. Bref, un radio réveil dont je suis très satisfaite !</t>
  </si>
  <si>
    <t>Parfait Identique au produit d'origine, livré avec les pompes, rien à redire, parfait. J'ai pu remettre à neuf ma montre qui a quasiment 10 ans. La taille est de 22 cm</t>
  </si>
  <si>
    <t>Du bon motos ! Belle qualité. Blindage efficace zéro parasite. La longueur des câbles est juste la bonne pour un pedal-bord. Pourquoi aller dépenser plus ailleurs ?</t>
  </si>
  <si>
    <t>Bon cable C'est bien du cuivre.  Juste le bon diamètre pour passer dans les petit connecteur à pince (pas à vis) de mon ampli. Le 2.5 était bien trop gros...  Testé sur des bous de 10m. Son Top avec mes Davis HERA 200...  Se dénude bien. Le cuivre ne part pas en charpille comme on peut le voir souvent sur certains câble élec.  Et puis esthétiquement je trouve ca chouette la couleur cuivre en transparence de la gaine.  Je recommande.</t>
  </si>
  <si>
    <t>Parfaite Très pratique, pas très grande permet d'être facilement emmenée partout et de mettre la quantité nécessaire de poudre pour de grands biberons . Reçue en bleue.</t>
  </si>
  <si>
    <t>Je recommande Juste au top elles sont assez épaisses comme je les voulaient. Honnêtement je ne m'attendais pas du tout à cette qualité, rien à dire, je recommande sans hésitation.</t>
  </si>
  <si>
    <t>Huiles essentielles Livraison rapide, produit bien emballé et protégé contre les chocs. À l'intérieur on trouve un très joli coffret, il peurrait convenir parfaitement pour un cadeau.  On peut sentir une superbe odeur des huiles essentielles dès l'ouverture du coffret  Je mets plutôt de 6 gouttes environ dans le diffuseur&amp;nbsp;</t>
  </si>
  <si>
    <t>cintres hyper pratique j'ai acheté ces cintres car dans les voyages les cintres sont accrochées à des tringles que l'on ne pas enlever et il y a 12 pour 3 personnes. donc j'ai les miens</t>
  </si>
  <si>
    <t>Écouteurs KLIM difficile de trouver mieux à ce niveau de prix. Qualité au rendez vous joli packaging 5 paires de mousses plusieurs couleurs et diamètres que demander de plus !  pour le prix ça vaut vraiment le coup je recommande les yeux fermés !</t>
  </si>
  <si>
    <t>Bonne qualité Vive le made in France et vive la Charente, Chaussons de bonne qualité agréable, A voir dans le temps l'usure</t>
  </si>
  <si>
    <t>Taille incorrecte Attention à la taille ! Il faut prendre une taille en plus. J'ai l'habitude de commander cette marque et la taille européenne et la taille brésilienne sont différentes. Cependant sur Amazon, la conversion était faite jusqu'à présent. Ici j'ai commandé ma taille habituelle 39 mais elles étaient trop petites, il aurait fallu la taille au dessus</t>
  </si>
  <si>
    <t>Trop petites Commandé en 37/38 reçu en 36/37 . Sinon , tongs assez sympas bien que peu confortables même lors de l’essayage . Je préfère de loin les tong havaianas.</t>
  </si>
  <si>
    <t>Moins Très déçu car le modèle est très bas au niveau du maintien du talon modèle très fille pas de tout mixte</t>
  </si>
  <si>
    <t>Très bien Bon rapport qualité prix</t>
  </si>
  <si>
    <t>Bon rapport qualité prix Je les porte au quotidien . Elles sont très légères. Les tiges sont légèrement tordues,mais ça ne se voit une fois portées et pas d'allergie liée au metal.</t>
  </si>
  <si>
    <t>Je recommande Plutôt costaud. Et ce déroule sans trop de difficulté. Du coup il faut quand même le découper avec un couteau, ciseau ou cutter ou un dévidoir (pas très donné)</t>
  </si>
  <si>
    <t>Bon produit et bon vendeur Utilisation sur tv produit bien fini facile d utilisation</t>
  </si>
  <si>
    <t>tres bien produit conforme a la description, qualité plus que bonne pour un prix aussi bas, je recommande pour ranger divers petite chose =)</t>
  </si>
  <si>
    <t>Sympa Je pense que j aurais du prendre une taille au dessus.  Sinon basket sympa</t>
  </si>
  <si>
    <t>livraison faite à temps état neuf. super qualité.</t>
  </si>
  <si>
    <t>Mon avis sur le micro cravate SmartlavPlus de Rode Ce microphone acheté moins de 50€ offre une qualité sonore étonnante. Branché sur un smartphone Apple, le son est clair, fort, sans artefacts.. Bref c'est pro !  Je recommande pour profiter de cet excellent son, d'utiliser l'application gratuite (sur IOS) "Reporter" de Rode qui est gratuite et est mise à disposition par le constructeur du microphone. Cette application permet de régler le format de sortie, le niveau de compression, ainsi que le "gain" (puissance sonore). Concernant le "gain", un code couleur permet de détecter lorsque le micro pourrait "saturer", le son est vert (=OK) puis vire sur le jaune si une dégradation est constatée, pour finir au rouge ... Cela permet de positionner le micro au bon endroit et de régler le gain.  Avis au possesseurs de smartphone Android ! RODE ne propose que des applications sur IOS, il faudra donc trouver un logiciel qui permet d'enregistrer à partir d'un micro cravate dans de bonnes conditions. Attention à ne pas utiliser un enregistreur vocal basique, votre voix serait trop compressée (64kbits/sec) et le son de piètre qualité.  Le micro est livré avec :   -  une sacoche de transport,   -  une bonnette anti-vent et anti pop-up,   -  Avec un câble jack d'environ 1,50m,   -  Et une pince pour fixer sur les vêtements,  Pour conclure je met 5 étoiles, car pour 50 euros vous avez un micro qui offre un niveau de prestation qui me semble unique. Je l'utilise d'ailleurs sur ma chaine youtube avec satisfaction, en parallèle de mon Blue Yeti, avec lequel il n'a pas à rougir en terme que qualité du son.  Le seul reproche que je pourrais faire, concerne la non mise à disposition d'une application pour Android, il faudra se débrouiller sur le Google Store. On pourrait aussi reprocher le câble un peu court dans certains cas, sachant qu'il est possible d'acheter une rallonge : https://www.amazon.fr/Rode-SC1-Rallonge-pour-SmartLav/dp/B00WSNWFM8/ref=as_li_ss_tl?_encoding=UTF8&amp;amp;psc=1&amp;amp;refRID=TDFEYB8BY8935DH2KG57&amp;amp;linkCode=ll1&amp;amp;tag=sebyintutopc-21&amp;amp;linkId=3843c180698ce6ff5b3dd04f9dc6ba76.  Pour une utilisation sur un APN Reflex, Compact ou un camescope il vous faudra l'adaptateur SC3 :https://www.amazon.fr/Rode-SC3-Adaptateur-pour-Smartlav/dp/B00L6C8PNU/ref=as_li_ss_tl?_encoding=UTF8&amp;amp;psc=1&amp;amp;refRID=TDFEYB8BY8935DH2KG57&amp;amp;linkCode=ll1&amp;amp;tag=sebyintutopc-21&amp;amp;linkId=1de02ea165ae24bb0cb0f35905b51ef6  En conclusion je recommande donc ce produit, si vous cherchez un très bon micro, pas cher, permettant d'enregistrer sa voix en situation de mobilité. Attention c'est un micro cravate, donc plus fragile qu'un micro USB (à prendre en compte quand même).  Si vous avez jugé ce commentaire utile, merci de cliquer sur oui, c'est sympa :)</t>
  </si>
  <si>
    <t>Intemporelles Baskets intemporelles !!! Tout le monde aime les Stan smith !!!que dire de plus .. elles sont confortables ..</t>
  </si>
  <si>
    <t>Top top produit très souple</t>
  </si>
  <si>
    <t>Super Pull de bonne qualité, agréable à porter. J'en ai commandé de plusieurs couleurs, jamais déçue. Doux au toucher et ne bouge pas après le premier lavage</t>
  </si>
  <si>
    <t>Parfait J'ai essayé les recyclées, les sans marques... Rien a faire, l'original est la seule qui fonctionne correctement même si elle se vide un peu vite à mon gout.</t>
  </si>
  <si>
    <t>Grande et agréable Echarpe douce , agréable et très grande : 1,90m de long sur 1m de large , thème sympa et moderne !</t>
  </si>
  <si>
    <t>SUPER CASQUE Satisfaite de mon achat. Que ce soit pour la maison ou pour le sport, ce casque est super.  La packaging comprend le cable jack, le cable usb pour le recharger, une house et le manuel.  Le son est très bon, les basses sont particulièrement intéressantes.Bon rapport qualité/prix!  Je conseil fortement ce produit !</t>
  </si>
  <si>
    <t>Vraiment surpris Vu le prix défiant toute concurrence, je ne m'attendais pas à une balance de cette précision et à la répétabilité des pesées. Certes ce n'est pas une balance d'une qualité irréprochable mais l'équivalent coûte plutôt 450 euros alors je conseille cet achat à qui n'a pas besoin d'une certification cofrac ou autre pour le travail.</t>
  </si>
  <si>
    <t>Les vraies Adaptées au biberons de la même marque, silicone de qualité facile à nettoyer (lave vaisselle). 3 positions de débit. 2 par paquet</t>
  </si>
  <si>
    <t>Bien comme il faut JE suis super contente du resultat, depuis le temps que je cherchais un soutif de sport pour ma poitrine pas trop cher, celui ci est génial</t>
  </si>
  <si>
    <t>Une gamme de livre vraiment extra Un livre parfait pour apprendre à lire. Le prix est vraiment abordable Ma fille est vraiment ravie d’en recevoir</t>
  </si>
  <si>
    <t>Parfait!!! Un lit bien douillet en hiver! Vraiment très bien pour ne plus se glisser dans des draps froids! J'étais un peu septique avant de l'acheter mais depuis que je l'ai, je me demande comment j'ai pu m'en passer. Je l'ai mis entre le matelas et le drap, on ne le sent pas du tout. Allumé 30mn avant de se coucher , on se glisse dans le lit comme dans un cocon douillet, (ma chambre est peu chauffée.) La position 1 ne chauffe pas beaucoup, la 2 et la 3 marchent très bien. Dommage qu'il n'y ait pas un minuteur.  La taile est bien suffisante pour mon lit de 160; il y a deux boutons pour chauffer chaque moitié de lalèse. Chacun peut ainsi chosir son degré de chaleur. Ravie de mon achat</t>
  </si>
  <si>
    <t>Super produit Acheté pour faire du vélo et pouvoir mettre un casque de protection sans être contraint par un fil. Je suis super content du produit. Esthétiquement et ergonimiquement, je les trouve mieux que ceux des de certaines grandes marques, genre la pomme, qui s'accrochent partout. Il épouse super bien l'oreille et ne bouge pas. Comme il n'y a rien qui dépasse car ils sont bien dans le pavillon de l'oreille, même en en levant un sweat ou un tee-shirt, il n'y a rien qui bouge. Le son est nikel et il est super réactif à la connection bluetooth, il y a un message vocal pour indiquer la connection ou la déconnection. ils sont réactifs pour donner les commandes pour monter ou baisser le son avec une alerte si le son est au maxi. Le petit étui peut servir de power bank. L'étui est un peu aimanté, donc les écouteurs y vont direct. Très content du produit!</t>
  </si>
  <si>
    <t>Très confortable Très belle chaussures, chaudes et confortables. Envoi rapide. Je recommande.</t>
  </si>
  <si>
    <t>malgré le vent Bonjour,  Reçu sans aucun probleme, sauf que j'ai remarqué de très légé siflement à cause du vent, donc j'estime que celui veut faire un truc pro, je ne conseil pas réellement cet article.</t>
  </si>
  <si>
    <t>bracelet vraiment très petit- J'ai reçu le bracelet et je suis très déçu car il est vraiment tout petit, minuscule. C'est plus un bracelet pour un petit fille  que pour une adulte.</t>
  </si>
  <si>
    <t>A offrir pour un amateur du genre. Montre basique, pour le prix on ne peut pas demander la lune ! Je ne l'ai pas essayée à une certaine profondeur d'eau, je lis qu'un client en est mécontent... Ét comment un bacelet en cuir-daim serait-il bien adapté pour aller sous l'eau ?  cela mis à part, elle marche bien - pour le moment. Je la trouve un peu épaisse.  Est un  peu "mastoc" pour offrir en cadeau. Moi  je me contente de la tester, mais je lui préfère des modèles plus sophistiqués et de  marques connues... A chacun ses gouts et sa bourse.</t>
  </si>
  <si>
    <t>Taille Bonjour! Est-il possible changer la taille pour la taille S J’ai acheté la taille M, mais à été  énorme sur, cependant excellent pour la langueur de mes jambes. J’ai 1m,77 😬</t>
  </si>
  <si>
    <t>Conforme à la description Correspond à la description, j'ai bien reçu les 2 tétines.</t>
  </si>
  <si>
    <t>Tres bien Taille petite meme en prenant 1 pointure de plus c juste Tres belles basket</t>
  </si>
  <si>
    <t>Taille à surveiller... Produit de bonne qualité mais taille trop petite...un petit 41 plutôt qu'un vrai 42... Il faudra en tenir compte lors de la commande...</t>
  </si>
  <si>
    <t>Cette marque est de bonne qualité Rien à dire c'est bon biberon</t>
  </si>
  <si>
    <t>produit dans la tente de mon espoir j ai apprecie je suis bien dedans</t>
  </si>
  <si>
    <t>Pratique Super pratique pour les biberons mam que je démonte entièrement à chaque lavage.</t>
  </si>
  <si>
    <t>parfait super pour son prix</t>
  </si>
  <si>
    <t>Très bons écouteurs "Ils marchent toujours parfaitement,Pas de bruit parasite et les embouts permettent de l'adapter à la taille de vos oreilles. Les écouteurs sont de très bonne qualité, ils ont l'air bien solides fidèle a la description. Le son est clair, je suis très satisfait de mon achat. Je recommande ce produit."</t>
  </si>
  <si>
    <t>Très belle bouilloire &lt;div id="video-block-R3P36JN6OHZ1R1" class="a-section a-spacing-small a-spacing-top-mini video-block"&gt;&lt;/div&gt;&lt;input type="hidden" name="" value="https://images-eu.ssl-images-amazon.com/images/I/81SW6N8xytS.mp4" class="video-url"&gt;&lt;input type="hidden" name="" value="https://images-eu.ssl-images-amazon.com/images/I/91PpNSILOgS.png" class="video-slate-img-url"&gt;&amp;nbsp;Super bouilloire, très stylée mais surtout très pratique ! Le col cygne est super pour servir l'eau chaude, le trou est petit donc on peut servir proprement, alors que les bouilloires classiques le rebord est vulgaire et grossier, difficile de bien servir. Le temps de chauffe est très court, je trouve que l'eau monte vite en température, sur la poignée vous pouvez régler la température que vous souhaitez. Il y a aussi bouton on /off et un bouton pour garder la bouilloire à la température choisi. Facile à nettoyer en plus. Au top, je recommande donc.</t>
  </si>
  <si>
    <t>Bonne qualité Ajouter un mini point de colle pour être sûr de la tenue.</t>
  </si>
  <si>
    <t>bon produit tres bon produit, prix raisonnable, merci</t>
  </si>
  <si>
    <t>Très bien Très pratique et recouvre bien les épaules et fonctionne parfaitement</t>
  </si>
  <si>
    <t>tres joli je l ai acheter pour noel a ma belle fille, elle l adore , il est tres beau</t>
  </si>
  <si>
    <t>Fonctionnne très bien L'objet très esthétique, qui diffuse bien les huiles essentiels avec un brume abondante.</t>
  </si>
  <si>
    <t>Très belles chaussures Très belles chaussures, je les porte tous les jours. Passent aussi bien avec un jeans qu'une robe. Chaussures de très bonne qualité.</t>
  </si>
  <si>
    <t>Bien La suppression du bruit fonctionne bien. Ils ne s'emmêlent pas et semblent résilients. Qualité sonore dynamique à bas prix avec service rapide et qualité.</t>
  </si>
  <si>
    <t>New balance 574 J’ai maintenant l’habitude des 574, elles sont très confortables. Très bon produit confirme aux exigences. Je recommande ces superbes baskets.</t>
  </si>
  <si>
    <t>Bien Bien reçu. No problémo</t>
  </si>
  <si>
    <t>Pas top! Jolie mais pas confortable du tout ! Difficile de danser avec toute une soirée !</t>
  </si>
  <si>
    <t>Ne pas acheter Ne correspond absolument pas à la photo ne recommande pas</t>
  </si>
  <si>
    <t>Logiciel en français Pour téléchargé le logiciel sur l ordi pour le faire fonctionner c est en anglais donc c est difficile de le mettre en fonctionnement</t>
  </si>
  <si>
    <t>Bouilloire. Bouilloire bon rapport qualité prix !</t>
  </si>
  <si>
    <t>Pantalon de Survêtement SULKY 3XL Pour utilisation régulière et journalière au repos , coupe et taille très approximative obligé de faire retailler , longueur des jambes - 15cm.</t>
  </si>
  <si>
    <t>Pratique Ces lingettes on un très bon rapport qualité/prix comparé aux autres lingettes désinfectantes. Ce sont les seules que j'achète depuis maintenant plusieurs années. J'enlève une étoile pour le fait que le produit qu'elles contiennent laisse des traces. J'ai pour habitude de laisser agir puis de passer un chiffon microfibre humidifié pour retirer les traces.</t>
  </si>
  <si>
    <t>parfait c'est simple, pratique, belles couleurs, livraisons rapide et conforme à la description, se lave très bien, se garde bien car fermer à vis c'est parfait</t>
  </si>
  <si>
    <t>Très satisfait. Très satisfait, élastique parfait et solide. Je recommande vivement. Mes sacs ne se cassent plus a cause de la forme de ma poubelle.</t>
  </si>
  <si>
    <t>Presque parfait Bon produit pour le prix Attention à la fixation du micro si votre micro est trop large (le diamètre) il ne tiendra pas Heureusement j'avais une autre fixation chez moi qui a pu être vissé à la place de l'autre Appart ça, produit parfait qui facilite la vie</t>
  </si>
  <si>
    <t>Survêtement Nike Belle tenue, conforme et agréable à porter.</t>
  </si>
  <si>
    <t>Top De quoi laver votre linge en toute facilité et de l accompagner d'un doux parfum</t>
  </si>
  <si>
    <t>peut être prendre 1taille au dessus pour ceux qui sont juste 1 la limite des pointures Elle déchire! !!!😂</t>
  </si>
  <si>
    <t>Collier Swarovski Magnifique, «&amp;nbsp;classe&amp;nbsp;» et élégant !!! Brille bien !!!! Valeur sûre !! J’adore!!!!!!</t>
  </si>
  <si>
    <t>Lampe réveil J'adore cette lampe réveil.... Son design s'adapte partout... Les boutons sont sur le dessus ce qui ne gâche rien sa beauté. Lampe, réveil, similuation lever et coucher de soleil... Plusieurs sons naturels et surtout un coté connecté qui est très pratique... Je le recommande..</t>
  </si>
  <si>
    <t>Éducatif et intellectuel Il explique facilement et convenablement</t>
  </si>
  <si>
    <t>Sympa La couleur est flashy comme sur la photo, les chaussures sont confortables.</t>
  </si>
  <si>
    <t>Il sont bien Je ne suis pas déçu de  l’article.</t>
  </si>
  <si>
    <t>Top Rapport qualité prix au top. Les boucles d’oreilles ne sont pas trop lourdes et les fermoirs tiennent bien.  Je recommande !</t>
  </si>
  <si>
    <t>Plus cher que du générique mais aucun problème Il faut mettre le prix si on veut éviter les ennuis.  Les cartouches fonctionnent parfaitement du premier coup, rien à redire, contrairement aux multitudes de cartouches bon marché qu'on trouve ici et qui ne fonctionnent pas où peuvent même abimer les imprimantes.</t>
  </si>
  <si>
    <t>Finalement, le casque est excellent après une mauvaise expérience Bonjour,  Alors la, je m'attendais à un casque à réduction de bruit mais je suis vraiment désolé de le dire mais ce casque ne réduit absolument aucun bruit autrement que d'avoir les oreilles entourées d'une mousse. Cela fait 2 jours que je l'utilise et j'ai l'impression que c'est une vaste blague... Il y a un interrupteur à activer et désactiver mais d'une part, la qualité de l'interrupteur laisse vraiment à désirer car il faut le caler dans un entre-deux pour avoir la led bleue qui s'allume, et d'autre part l'interrupteur n'a aucun effet. De même pour la qualité du son, c'est vraiment pas terrible, j'ai entendu bien mieux pour moins cher. Seul le confort est assez bon, et le Bluetooth qui se connecte rapidement à mon appareil mais si c'est la seule qui va bien, cela ne m'intéresse absolument pas.  Je suis vraiment déçu par ce casque, je vais me faire rembourser et vous conseille de ne pas dépenser votre argent pour cela.  EDIT APRES UN AUTRE MODÈLE REÇU : J'ai certainement reçu un modèle défectueux. Du coup, j'ai été contacté très aimablement par le service client de la marque qui m'a fait parvenir un autre modèle. Après avoir testé le nouveau casque : très bonne surprise, le logo a été redesigné et a changé, il est beaucoup plus joli. Le casque a aussi changé de nom, je vois qu'il s'appelle maintenant : "SoundSurge 60".  Au niveau de la qualité sonore, c'est aussi bien mieux que celui que j'ai reçu précédemment. La qualité de la réduction de bruit est aussi meilleure mais il faut mettre de la musique pour être vraiment isolé. Le bouton pour activer la réduction de bruit est maintenant fonctionnel et ne déconne plus comme avant où je devais le caler pour que ce soit activé. Les coussinets sont toujours aussi confortables et agréables, ça j'adore. Toujours livré avec sa jolie housse.  Je confirme donc que j'avais bien reçu un modèle défectueux et que ce dernier modèle reçu fonctionne très bien et j'en suis très satisfait. Ce casque est un très bon achat pour un prix vraiment correct. Le service client est vraiment compétent et sérieux, c'est une très bonne chose pour une marque qui veut vraiment satisfaire ses clients.  Je ne pensais pas dire ça mais je le recommande totalement cet excellent casque.  Merci Taotronics</t>
  </si>
  <si>
    <t>basket compenssee  8 cm super vendeur recu bien avant la  date  j ai pris ma taille habituelle tres legere genial  n hesitez pas</t>
  </si>
  <si>
    <t>tres precise belle montre</t>
  </si>
  <si>
    <t>scotch double face ce produit est très fiable il tient hyper fort une fois installé pour le retirer on a du mal mais c'est le but recherché maintenant quand j'ai des trucs à refixer j'utilise plus de colle j'utilise le scotch je recommande d'acheter produit très simple d'utilisation ma facilité la vie</t>
  </si>
  <si>
    <t>Belle montre mais Belle montre mais j l'ai trouvée un peu sale, je pense elle déjà utilisée</t>
  </si>
  <si>
    <t>Produit de mauvaise qualité Des le deuxième jour, la bandoulière s'est cassée, le troisième jour, c'est la fermeture éclaire qui s'est cassée. 30 euros mal dépensés..</t>
  </si>
  <si>
    <t>Contrefaçon ? J’ai eu des Stan Smith achetés en boutique Adidas ... la qualité de celle-ci me laisse croire à une copie. Je retourne le produit car malgré la boîte les chaussures semblent être des contrefaçons.</t>
  </si>
  <si>
    <t>Probleme de batterie Les pile se decharge tres vite Tre consommateur</t>
  </si>
  <si>
    <t>Montre conforme mais pas d'emballage La montre est chouette mais attention sur les photos il y avait une boîte d emballage Superdry que je n'ai jamais eu... malgré 2 renvoi.. dommage</t>
  </si>
  <si>
    <t>Passe partout Au début ça fais mal au pied mais maintenant ça va</t>
  </si>
  <si>
    <t>Très belle La blouse est très belle je pensée juste qu’elle etait de couleur Corail mais j’ai plus l’impression d’un rose bref la coupe est belle et les tissus a l’air de bonne qualité. A voir avec le temps en attendant je recommande cet article.</t>
  </si>
  <si>
    <t>bouilloire tres satifaisant Cafe  the vert</t>
  </si>
  <si>
    <t>Bon produit a conseiller. Facil a utiliser,s'adapte aux biberons Aven,ne fait pas de bruit , et le temps de chauffe n'est pas très long ,contente de mon achat.</t>
  </si>
  <si>
    <t>Tresbon produit Excellent biberon, j utilisais déjà pr bb 1 et maintenant pour bb2 Se lave très bien, mon bb prend très bien  la tétine.</t>
  </si>
  <si>
    <t>Biberon bleu a dragee x24 Super contente mieux que se que je croyais pour le prix</t>
  </si>
  <si>
    <t>Taille parfaite, confortable Un bon rapport qualité prix. Le lot de 10 offre un grand nombre de paires, pour un prix raisonnable, avec un vrai confort d'usage.</t>
  </si>
  <si>
    <t>Imùpeccable La cartouche est bien une originale. Elle est arrivée à la date prévue. Je l'ai essayé et pas de souci elle fonctionne très bien. Elle est reconnu par HP. Et elle est pleine. Merci beaucoup.</t>
  </si>
  <si>
    <t>Bon rapport qualité prix Très satisfaite de cet achat</t>
  </si>
  <si>
    <t>Confort Loisirs</t>
  </si>
  <si>
    <t>avant Noel Je connaissais cet album , j'étais sure de faire plaisir ! L'histoire a beaucoup plu à la petite et ses ainés !</t>
  </si>
  <si>
    <t>J'adore ! Je me suis fais un petit plaisir petite casio à l'ancienne top rien à dire elle est vraiment très fine mais Jaime beaucoup</t>
  </si>
  <si>
    <t>top jolie comme sur la description, bonne taille</t>
  </si>
  <si>
    <t>Je rachète ! J'adore ce produit ! Je l'utilise très souvent pour les compotes de mon bébés. Et je n'ai rien à redire. il est facile à utiliser, il se nettoie très bien.</t>
  </si>
  <si>
    <t>montre Une belle montre qui est annoncée précise dans le temps, solide avec une durée de la pile à deux ans.</t>
  </si>
  <si>
    <t>tres belle montre le plaisir</t>
  </si>
  <si>
    <t>Bon produit Bon produit, confortable et surtout plus joli que ce que je pensais.</t>
  </si>
  <si>
    <t>excellent produit parfait, taille adapté comme indiquée, très agréable à porter, je recommande et je vais en commander un autre. Merci</t>
  </si>
  <si>
    <t>Vintage Un kdo pour les geek.</t>
  </si>
  <si>
    <t>au top c'est de loin la meilleure bouilloire que je n'ai jamais possédé, elle est belle précise et pas très encombrante  je valide et je recommande vivement</t>
  </si>
  <si>
    <t>Mauvaise resistance des bulles de protection A la moindre manipulation les bulles éclatent. Tres mauvaise qualité pour un produit sensé protéger.</t>
  </si>
  <si>
    <t>Bof Voulu l'offrir  en cadeau. Me paraissait de meilleur qualité en photo. Déçue du rendu réel.</t>
  </si>
  <si>
    <t>Déçue Pantalon commandé en taille S et reçu en taille L ... Inutile de dire que je ne suis absolument pas satisfaite.</t>
  </si>
  <si>
    <t>Qualité moyenne Pas de soucis quant à la taille, le produit est tres bien emballe. Mais je trouve la qualité du "cuir" moyenne. Vu le prix je m'attendais à du cuir un peu plus epais et plus souple et un aspect un peu cheap. J'ai peur que le cuir craquele trés vite, il a deja aux pliures naturelles un aspect inquiétant. Je verrais à l'usage. La coupe est egalement myenne. J'ai eu des chaussures moins cher avec une coupe un peu plus elaborée.</t>
  </si>
  <si>
    <t>Conforme Au bout de 3 semaines d'utilisation, je ne constate pas encore d'effet, mais il est sans doute encore trop tôt. La stimulation est très forte au bout du compte et il faut savoir un peu prendre sur soi - un peu c'est pas non plus horrible - pour aller dans les puissances hautes. Je fais une taille 36 et c'est parfait, j'ai de la marge mais ça tient.</t>
  </si>
  <si>
    <t>Puma Renvoyer car trop petite pour fille et du coup j’en ai pas recommandé Mais en tout très jolie</t>
  </si>
  <si>
    <t>boucles d oreilles j adore</t>
  </si>
  <si>
    <t>Super Bon produit Je suis satisfait de ma commande</t>
  </si>
  <si>
    <t>Super Très bon produit. Le design est top avec sa lumière bleue et le choix de la température est un vrai plus car selon le type de thé, le degré n'est pas le même. Simple d'utilisation et facile a nettoyer Je recommande ce produit sans hésitation ☺</t>
  </si>
  <si>
    <t>Exposition Impeccable, merci</t>
  </si>
  <si>
    <t>Super produit je le conseil Je le conseil c'est vraiment top pour la découverte des aliments solide sans que bébé risque d'avaler des morceaux</t>
  </si>
  <si>
    <t>Boulot Comme prévu et en cadeaux une paire de lacets et semelles en plus. Merci</t>
  </si>
  <si>
    <t>Parfait Super</t>
  </si>
  <si>
    <t>un coucher douillet Après quelques soirs d'utilisation, c'est un très bon produit et une matière de qualité. Je le recommande à l'achat car j'ai déjà utilisé ce genre de produit mais pas avec ce confort.</t>
  </si>
  <si>
    <t>Que demander de plus J'ai commandé ce casque suite aux avis positif, mais comme je suis audiophile, j'avais quand même des doutes. Le casque est souple, les réglages le rendent très discret sur la tête. Pour la clarté  sonore, alors là, j'ai été bluffé. Le son est clair, les basses présentes juste ce qu'il faut, la séparation des canaux est top. Pour résumer, il y a longtemps que je n'ai eu un casque d'une si bonne qualité audio et surtout le prix! Que du Bonheur.</t>
  </si>
  <si>
    <t>Idee cadeaux Top ma fille est au ange produit  au top</t>
  </si>
  <si>
    <t>Effet G-Shock garanti Commandée pour une utilisation quotidienne "gentille" et pas encore pour du travail lourd, le style m'a complètement séduit. J'avais un peu peur au vu de la taille, considérant mon poignet comme petit. Au final, elle rend superbement bien, est très légère pour sa physionomie et fait preuve d'un confort jamais vu auparavant pour ma part. Bref, je l'aime déjà.  Je souligne simplement que c'est une montre "tactique" : elle a des fonctionnalités, mais son but premier est la discrétion. Elle n'est pas bling bling, son éclairage ne met en valeur que les aiguilles mais c'est bien assez lorsqu'on connait le but de la montre.  UPDATE : 2 semaines après, je ne l'enlève plus. Cette montre est vraiment parfaite. Je lisais les commentaires, certains se plaignent de sa taille, allant jusqu'à la qualifier de "roue de tracteur". Je n'ai certainement pas un gros poignet et elle donne magnifiquement bien. Pour le prix, c'est du très très haut niveau.</t>
  </si>
  <si>
    <t>conforme je chausse du 42, chaussettes de bonne tenue au pied</t>
  </si>
  <si>
    <t>Super Bonne qualité et confortable</t>
  </si>
  <si>
    <t>Toooop!!!! C est tellement génial ce truc! Très peu de bruit à l utilisation et super facile! On peut choisir l intensité du massage, le temps, la chaleur... vraiment j adore!</t>
  </si>
  <si>
    <t>Super biberon Ma fille adore ce nouveau biberon ! Tétine très plate qui permet une bonne succion. Elle refusait le biberon , et celui-ci ma sauvé la vie</t>
  </si>
  <si>
    <t>parfait! convient parfaitement. Correspond à nos attentes.je recommande vivement, passe  très bien avec un jean ou avec un short. Atemporel.je recommande</t>
  </si>
  <si>
    <t>bien jai un iphone 7 du coup pas de prise casque et du coup cest parfait pour moi</t>
  </si>
  <si>
    <t>Chaussettes puma Produit de qualité plutôt médiocre, le tissus est extrêmement fin et les chaussettes glisses sur la peau ce qui n'est pas très agréable lors de sortie un peu longue....in fine, deçu par cet article.....</t>
  </si>
  <si>
    <t>Trop petit La taille ne correspond pas du tout beaucoup trop petit</t>
  </si>
  <si>
    <t>un peu fin Bonne taille, les sachets sont conformes à la photo mais je les trouve un peu fins : la preuve, le plastique du sachet "frise" légèrement (cf. photo).</t>
  </si>
  <si>
    <t>très bien - attention au poids du micro cependant - stabilisation très bon. je lui ai installé un NT1-A comme micro. ce micro est lourd donc le pied peut avoir des problèmes de stabilisation notamment parce que le trépied est court. cependant si vous n'avez pas besoin d'utiliser la perche pour profiter d'une certaine distance il n'y aura aucun problème de stabilisation.  je suis très satisfait cependant. les réglages sont propres, les fixations solides.</t>
  </si>
  <si>
    <t>Table parfaite.. Ravie de cet achat..j ai hésité entre plusieurs modèles car il faut tenir compte du critère rapport qualité / prix/ confort ( matelas épais)/poids ( légère à transporter) /esthétique(très belle table, belles finitions des coutures, chaleureuse avec sa structure bois)/ praticité (facilite de depliage, pliage de la table, rapidité installation des accessoires et réglage en hauteur)..housse de transport correct...pour le prix elle est parfaite, je la recommande vivement!</t>
  </si>
  <si>
    <t>Fait son effet même si la qualité est un peu moyenne Le sweat est très bien et conforme aux attentes esthétiques. Seul petit défaut, la qualité. Tissu un peu fin qui risque de mal vieillir. Mais pour le prix on est quand même contents.</t>
  </si>
  <si>
    <t>Très sympa Ces baskets sont très sympa et la couleur conforme à l'annonce. Attention à la pointure, je chausse 35 et j'ai pris 36 comme préconisé au moment du choix de pointure et je ne regrette pas car elles vont très bien.</t>
  </si>
  <si>
    <t>Divines Boucles d'oreilles de princesse indienne ! Elles sont magnifiques, finesse et délicatesse. Je recommande vivement ces bijoux à offrir ou à s'offrir !</t>
  </si>
  <si>
    <t>Tres bien Tous les jours</t>
  </si>
  <si>
    <t>Excellent casque J'utilise ce casque depuis près d'un moi avec une totale satisfaction. Il tient bien sur la tête sans serrer et sans être dérangé par l'anse au dessus de la tête, ce qui était le cas avec mon ancien casque. Je l'utilise principalement le soir afin de ne pas déranger les voisins tout en profitant d'un confort d'écoute très correct et d'une dynamique de son qui rend bien les ambiances. L'autonomie est bonne, je recharge le casque  environ 3 fois sur une période de 2 semaines. Il tient plutôt bien la connection Bluetooth même en allant dans une aure pièce jusqu'à environ 5 ou 6 mètres et 2 murs à traverser</t>
  </si>
  <si>
    <t>Le confort Aller marcher après le travail</t>
  </si>
  <si>
    <t>esthétique et pratique Un joli produit pour un petit prix, très pratique pour écouter sans déranger et rester au fait des bruits ambiants.</t>
  </si>
  <si>
    <t>Parfait Parfait pour le prix, juste ce qu'il me fallait !</t>
  </si>
  <si>
    <t>Excellentes chaussures Très belles chaussures, très confortables, excellent rapport qualité/prix ! Un service client de qualité également. Je m’étais trompée de pointure et les nouvelles me sont parvenues quelques jours après. Je recommande vivement !</t>
  </si>
  <si>
    <t>super Commander  mardi reçu mercredi toujours au top les livraison amazon fluide rapide les colis intact et les écouteur sont superbe moi qui était un peu septique pour le sport j'avais peur que sa reste pas en place dans l'oreille juste nickel je recommande ce produit</t>
  </si>
  <si>
    <t>Montre homme Jolie montres je la recommande</t>
  </si>
  <si>
    <t>Achat satisfaisant Taille nickel - Bonne qualité / chaussettes douces Pour info, elles remontent un tout petit peu sur la cheville donc personnellement c'est ce que je voulais pour ne pas qu'elles glissent sous ma chaussure. Très satisfaite de mon achat</t>
  </si>
  <si>
    <t>Son confort,  et son look J'aime son look .</t>
  </si>
  <si>
    <t>Odeur efficace Parfaite comme toutes les huiles essentielles que j'utilise soit quelques gouttes pour desodoriser poubelle cuisine, salle de bains ou la litière du chat,</t>
  </si>
  <si>
    <t>Bottes achetees pour remplacer le meme modele mais qui etait fatigue apres 10 ans de service Bottes achetees pour remplacer le meme modele mais qui etait fatigue apres 10 ans de service Pas de remarques</t>
  </si>
  <si>
    <t>Pour bien démarrer dans la vie! Tout est bien pensé dans ce kit: - les tétines des biberons ont une base très large qui permettent un grand confort. - Elles sont très bien conçues pour que le flot de lait ne soit pas trop rapide et que le bébé n'aie pas trop d'air en buvant. - l'ergonomie de la bouteille est parfaite pour toutes les mains, grandes comme petites (je parle de ceux qui tiennent le biberon... le bébé est trop petit à cet âge!) - les capacités proposées permettent une évolution pour les premiers mois. - la tétine est réversible. Cette forme a ma préférence pour le plus jeune âge (par opposition aux tétines biseautées) - la brosse de nettoyage est bien conçue pour la bouteille ainsi que les tétines: on dévisse le manche et une petite brosse apparaît. - bien sûr, sans BPA (depuis le temps!) - enfin, j'aime les couleurs mixtes pour les bébés.  Rien de mieux pour bien démarrer dans la vie!</t>
  </si>
  <si>
    <t>bonne qualité j’ai reçu mes chaussettes 1 semaine avant la date prévu donc très ravie. Les chaussettes sont de bonne santé qualités et tiennent bien après les lavages De plus la taille est très bien. Je recommande !</t>
  </si>
  <si>
    <t>Jolie mais c'est tout Bouilloire jolie mais encombrante et bruyante. Pas tout alu. Des éléments en plastique à l'intérieur. Un liquide brun qui coule des jointures du manche et du bec verseur lors des premières utilisation. Odeur de plastique chaud persistante.</t>
  </si>
  <si>
    <t>N'améliore pas le son par rapport au micro du téléphone L'avais acheté pour faire desprise de son en concert. Aucune amelioration de la prise de son par rapport au micro natif du samsung s4. Ai renvoyé l'article.</t>
  </si>
  <si>
    <t>Emballage ouvert et produit cassé. Je déconseille. Le produit m'est arrivé en retard avec l'emballage abimé et le produit qui ne fonctionnais pas. Je déconseille du coup, ce genre d'achat par internet.</t>
  </si>
  <si>
    <t>Démesuré J'ai bien reçu des timberland mais dans une taille démesurée. Pour le retour en revanche aucun soucis et j'ai bien été remboursé 👍</t>
  </si>
  <si>
    <t>ce produit est à conseiller sans problème je suis tout à fait satisfait un très bon article.</t>
  </si>
  <si>
    <t>bien stylé et chaud je le recomande pour tout les jours de la tenue décontracté mais basique aussi avec un jean, avec un jogging ou un minijupe</t>
  </si>
  <si>
    <t>bon équipement super maillot pour s entrainer en salle ou a l extérieur il se forme a votre corps très agréable à porter</t>
  </si>
  <si>
    <t>précaution pour certains linge habituellement j'utilise du Le Chat Sensitive (lessive liquide) ce Dash 3 en 1 en capsule à "volume égal" est effectivement plus efficace constaté sur des taches tenace (exemple serviette de cuisine), celui ci est plus concentré dans sa capsule, là ou la solution est plus dilué dans une lessive liquide. si on se penche sur les étiquettes on se rend compte que le flacon de Dash 3 en 1 contient en gros 2x plus de produit actif il est également plus pratique à manipuler (il est plus aisé de manipuler une ou deux capsule qu'un flacon de 3/4 litres de lessive liquide) Maintenant personnellement ce qui me fache un peu c'est le parfum très artificiel qui se dégage du linge une fois lavé.  Attention cependant, qui dit produit plus concentré, dit plus de précaution à prendre, et l'étiquette sur le Dash 3 en 1 ne manque pas d'avertissements, notamment son usage est déconseillé pour la laine et la soie. note: Je réalise mes lavages à 40°c  Point de vu efficacité/prix comparé à de la lessive liquide je dirais ça se tiend. Maintenant selon vos vêtements le Dash 3 en 1 ne semble pas vous permettre de laver tout type de linge. Du coup j'aurais tendance à continuer à utiliser du Le Chat liquide pour un lavage standard peu sale, et recourir à des capsules de Dash 3 en 1 pour laver tout ce qui est tache type grasse (tache de sauce) ou sur du linge ou vous auriez beaucoup transpiré (vêtement de sport, suite à un effort physique ou chaleur d'été)</t>
  </si>
  <si>
    <t>Devenu un indispensable Très sympa pour un massage d appoint, ça détend vraiment ! Les balles lassantes si t peut être un peu dur mais on peut doser son appui...la chaleur un vrai plus!</t>
  </si>
  <si>
    <t>Parfum très agréable Un plaisir</t>
  </si>
  <si>
    <t>pratique et très utile Objet facile à transporter et pas trop encombrant. Très utile pour un enfant dysexécutif qui a du mal avec l'organisation temporelle</t>
  </si>
  <si>
    <t>Perfect Perfect Bébé confort c'est ma marque de biberon pour tous les petits et même quand j'offre des coffrets pour un nouveau né.</t>
  </si>
  <si>
    <t>la hauteur de la botte parfait bien impermeable</t>
  </si>
  <si>
    <t>trés belles bottines très bonne qualité, très confortables pour pieds larges, talon juste comme il faut : bref, impeccable ! j'ai juste écouté les commentaires précédents et pris une 1/2 taille au dessus (37.5 pour 37)</t>
  </si>
  <si>
    <t>Tres Bon rapport qualité prix Tres Bon rapport qualité prix. Quand on voit ce qui peut être vendu à des prix élevés dans des enseignes comme la Fnac, on se réjouit de ce type de produit. Le son est très satisfaisant et le casque est plutôt confortable.</t>
  </si>
  <si>
    <t>La moins courante Les montres casio sont très à la mode mais celle-ci :  - ne se trouve pas partout et est même peu courante  - est très élégante avec son cadran entièrement noir (pas d'écriture bleue, rouge, ou dorée)  Convient parfaitement à un poignet d'homme.</t>
  </si>
  <si>
    <t>utile utile fait son boulot d, adaptateur merci</t>
  </si>
  <si>
    <t>La meilleure montre digitale waterproof du marché ! ⏰ Je recherchai une montre waterproof pour résister notamment aux nombreuses sessions de snorkeling en mer. Et bien on peut dire que je l'ai trouvé ! Cela fait plus d'un an que je l'utilise quotidiennement.  Casio ne déçoit que rarement et avec une montre waterproof jusqu'à 100m, au design simple/efficace et de qualité on ne peut pas dire le contraire. La montre est en plus garantie 2 ans et pour un rapport qualité/prix comme celui-ci on ne peut que féliciter la marque !  La montre convient parfaitement aux petits poignets et possède tous les avantages d'une montre digitale par excellence (affichage de la date, minuteur, alarme, écran rétro éclairé, légéreté...). Vous pouvez aussi paramétrer un second fuseau horaire (utile pour les gens en voyage). Pas besoin également de se prendre la tête pour changer la pile, la durée de vie est de 10 ans...  L'essayer c'est l'adopter, la montre ne me quitte plus !  Je recommande (pour tout ceux qui aime bien avoir l'heure) :)</t>
  </si>
  <si>
    <t>Bien Fait le job. Produit tout à fait conforme à sa description, rien de plus à ajouter... C'est ridicule de forcer la taille des commentaires pour les produits basins en tout cas...</t>
  </si>
  <si>
    <t>Top Magnifique je recommande cette bouilloire très facile d utilisation très design très robuste j adore</t>
  </si>
  <si>
    <t>Elle est comblé mais.. Bonne livraison. Pour le prix on peut se dire "c'est de la mauvaise qualité" !! Honnêtement, elles sont magnifique. Je confirme elles ne sont pas en "ARGENT" après plusieurs jour portait sur ma femme elle a eu une allergie aux oreilles.. Du coup elle va les mettres seulement une journée lors d'une soirée. En effet il y a pas de poinçon mais ce resserre facilement avec les doigts. Cordialement.</t>
  </si>
  <si>
    <t>1000 KM à pied mon fils est ravi de ses vans adepte de la marque depuis plusieurs années article trouvé sans effort sur le site livraison rapide et soignée article correspond parfaitement visuellement et au niveau de la pointure (commandé pointure habituelle)</t>
  </si>
  <si>
    <t>Correcte Mon fils a des oreillettes Bluetooth récentes qui ne le quitte plus...Et si je pouvais trouver mieux...Après avoir étudié un peu le marché et en restant dans un budget d'une cinquantaine d'euros, je pense avoir trouvé quelque chose de pas mal. Avec ce type de produit, on se pose toujours les questions suivantes : qualité du son ? Facilité d'utilisation d'une part pour se déplacer dans notre playlist et d'autre part pour augmenter ou baisser le son. Autre point important, la durée d'une charge d'oreillette. Et c'est une réussite. Les tap tap sur les oreillettes permettent en fonction du nombre de tap et de l'oreillette droite ou gauche de se déplacer au niveau des chansons et de régler le volume. La durée d'utilisation d'une charge est suffisante pour mon activité. Une fois en place et la musique lancée, je m'isole dans un monde de musique. Donc, vraiment satisfait de ce produit.</t>
  </si>
  <si>
    <t>merci  Amazon très belle basket merci beaucoup J'ai trop aimé merci Amazon</t>
  </si>
  <si>
    <t>oui et non Le bas es parfait, ais impossible d’enfiler le haut....</t>
  </si>
  <si>
    <t>Sweat Gildan GULLIVER ON TOUR. Attention à bien choisir la taille inférieur à votre stature, en effet je m'habille en L et le produit reçu taillait trop grand d'au moins 2 tailles. De plus le vendeur qui offre généreusement la livraison ne rembourse pas les frais de retours même avec un échange standard du produit à la clé. Bref 6.20€ de frais de retours à ma charge pour un article mal taillé à 12.80€... Avis aux amateurs d'argent perdu choisissez le bon vendeur !!! En effet, j'ai retrouvé le même article vendu et livré par Amazon, j'ai choisi la taille M, qui me va tout à fait, mais je savais que si l'article avait été défectueux je n'aurais eu aucun problème de retour payant et de plus l'échange standard aurait été tout aussi facile et confortable, car sans aucune contrainte.</t>
  </si>
  <si>
    <t>Bon rapport qualité/prix Ce produit me parait plutôt bon pour le rapport qualité/prix.  J'ai opté pour du 4mm² en 30m blanc et je suis pas déçu. Par contre, j'avais pas imaginé que le 4mm² était aussi épais, si j'avais su j'aurai pris du 2.5mm². Ceci dit, 30m de 4mm² à moins de 16€ (lors de mon achat), c'est difficilement trouvable (même pour du 2.5mm²), donc pour le prix, je suis très satisfait de ce câble !  ps: pour ceux qui, comme moi, se pose la question de savoir si il y a un détrompeur sur la version blanche de ce câble, soyez rassuré ! il y en a bien un !! Par contre, aucune indication pour signaler un éventuel "sens" de connexion ni même de longueur ; dommage...</t>
  </si>
  <si>
    <t>CA PAS LAIR SOLIDE A LA DUREE FAUT PAS FAIRE 2KM MAL AU PIED</t>
  </si>
  <si>
    <t>Déçue, je regrette mon achat. Fidèle de cette marque et modèle, j'ai opté cette fois-ci pour des scratchs et non des lacets. Malheureusement ce modèle ne tient pas aux pieds. A chaque pas ça a tendance à déchausser car au niveau du talon il y a un problème. Donc je ne recommande absolument pas ce modèle pour les personnes qui en ont besoin pour marcher. Et c'est le but non ? Je n'ai pas mis ce prix dans des chaussures pour rester dans mon canapé. Je suis vraiment déçue.</t>
  </si>
  <si>
    <t>Montre Super belle je trouve bien plus jolie que la classique parfait pour le cadeau de mon fils de 15 ans qui adore les montres .</t>
  </si>
  <si>
    <t>OK bonne Bouilloire mais elle sent pas très bon.. même après 3 lavage à l’eau bouillante comme indiqué</t>
  </si>
  <si>
    <t>une heureuse ma fille est ravie le seul hic ça taille un peu petit ma fille fait du 37 et j'aurais du prendre du 38 mais ça lui plait quand même</t>
  </si>
  <si>
    <t>Coloris ne correspondant pas à l'image Excellent produit. J'ai eu le même pour mon précédent enfant. Cependant : couleur dit " nude " visuel photo : beige ... Est en réalité : rose pâle ! Un peu embêtant pour un ptit mec donc !</t>
  </si>
  <si>
    <t>Bonne qualité Très belle pour le prix</t>
  </si>
  <si>
    <t>Bon produit Bon produit, utilisée pour réaliser un baume corporel ! Parfait</t>
  </si>
  <si>
    <t>Super bib (340 ml) Voilà un duo de biberons ergonomiques pour nos petits bouts. Première remarque : LA GRADUATION 210 ML EST INSCRITE ! contrairement à tous les autres bibs' que j'ai eus jusqu'à présent, ou il fallait "viser" entre 200 et 220. Au niveau de la tétine, ça imite bien le mamelon et je pense que ça convient parfaitement aux bébés allaités. Ma fille l'a adoptée tout de suite, mais elle n'est pas difficile de ce côté là. Petit plus : il y a une petite valve à côté de la tétine qui sert à dépressuriser le biberon au fur et à mesure de l'aspiration, c'est ingénieux pour que le flux de lait soit constant. Pour le reste, c'est un bib classique qui fait son travail correctement.</t>
  </si>
  <si>
    <t>Impeccable Brosse qui rempli bien sa mission, très bien pour nettoyer nos chaussures en daim de différentes marques (Timberland, Kickers, etc.)</t>
  </si>
  <si>
    <t>Un régal! Bonjour.Produit correspondant parfaitement à mes attentes et conforme à la description.Comprend un petit outil hyper pratique qui permet d'enlever des mailles du bracelet en un tour de main.La montre était déjà synchronisée à la bonne heure de Bruxelles.Je recommande cet article.</t>
  </si>
  <si>
    <t>parfait pour ma fille je connaissais déjà la marque du coup pas de surprise mais toujours aussi ravis  oui , je le recommanderai a mes proches</t>
  </si>
  <si>
    <t>Papier bulle pour toute utilisation Top, reçu rapidement</t>
  </si>
  <si>
    <t>Très bon service. Chaussures amusantes. Bonne qualité, bien fait et une belle forme pour moi, je les aime. Arrivé environ une semaine plus tôt en parfait état. Achètera encore!</t>
  </si>
  <si>
    <t>Parfait Produit correspondant parfaitement à la description. Réception rapide.</t>
  </si>
  <si>
    <t>Un produit excellent Un excellent produit je suis tout simplement bluffe par cet aspirateur ! Réticent au début et en voyant les commentaires je me suis laissé tenter et j'avoue que c'est sans regrets !!!  Top</t>
  </si>
  <si>
    <t>Attention J'ai pris ce sweat vu que je suis une fan des sweat à capuche (bref). Je l'ai pris en taille 36 sachant que je mets du M Il me va parfaitement comme si je mettait du M  Sinon la couleur est bien rouge, l'intérieur tient super chaud.</t>
  </si>
  <si>
    <t>Bracelet Cadeau qui à eu son effet. Très satisfaite. Bracelet très magnifique.</t>
  </si>
  <si>
    <t>livraison expresse, super qualité Super, maintenant quand je me tronpe  (trompe ),  je peux effacer!</t>
  </si>
  <si>
    <t>Bracelet argent Ce bracelet très féminin très élégant Parfait pour un petit poignet de femme</t>
  </si>
  <si>
    <t>Sympa Tres beau</t>
  </si>
  <si>
    <t>Très moyen Très déçue. Les coutures sont mauvaises. Le cuir n est pas de bonne qualité. Beaucoup de coups et marques. Meme l épaisseur du cuir des brides n est pas pareil entre celle de gauche et celle de droite.</t>
  </si>
  <si>
    <t>Déçu de la couleur et de la coupe Je suis déçu de la couleur qui est bleu pastel très clair et non pas comme sur les photo. De plus la coupe n'est pas très belle.</t>
  </si>
  <si>
    <t>Tombé en panne au bout de deux ans J'ai acheté ce grille-pain en mars 2017, nous somme en juin 2019 et il fait maintenant sauter mon disjoncteur. C'est pour la même raison que j'avais changé de grille-pain, manque de pot, la garantie est dépassée de 3 mois.  Je ne rachètera pas le même modèle voici les problèmes rencontrés pendant ces deux ans : - le pain se bloque dans la tige en métal - en le retirant, cela déforme la tige - le pain se bloque donc encore plus etc etc cercle vicieux  Le problème vient principalement de la conception , car la tige est tenue d'un seul côté et est très fine. Il faudrait une tige tenue des deux côtés dans un matériaux plus robuste.  Et bien évidement le problème récurent qui fait sauter les plombs, je dois donc renouveler mon achat pour un nouveau grille pain. (marqué précédente Tefal, prochain achat ???)</t>
  </si>
  <si>
    <t>Inaceptable!!! de la part d'Amazone J'ai acheté deux cartouches 62XL HP neuves avec une imprimante HP5740 sur Amazone en Octobre. Une des cartouches 62XL est installée en même temps que l'imprimante lors de la réception en Octobre. Impossible d'installer la deuxième cartouche en décembre car non reconnue par l'imprimante. Impossible aussi de retourner la cartouche à Amazone car délai dépassé, alors que la date de garantie -marquée sur l'emballage- est Mai 2016!!; ; donc 26, 52 euros jetés par la fenêtre!! Je suis extrêmement déçu par Amazone qui vend du matériel défectueux  alors qu'on a l'impression d'acheter une cartouche de marque HP.  La prochaine cartouche sera achetée chez un commerçant local qui reprendra un cartouche défaillante!!</t>
  </si>
  <si>
    <t>Bracelet fragile Montre mince légère et très pratique (lumière, chrono, étanche...) hélas le bracelet est fragile. Il casse tous les ans. Tous les ans, je rachète donc une montre car c'est le même prix que le bracelet.</t>
  </si>
  <si>
    <t>Bien pratique Bonne sacoche. Elle évite la ringardise de la banane pourtant bien pratique. Après 6 mois d’utilisation, les fils  des coutures commencent à s’effilocher sans plus.</t>
  </si>
  <si>
    <t>Pas mal Table efficace, une sorte de mousse mémoire de forme, skaï a peu près résistant mais après 6 mois quelques déchirures commencent a apparaîtrent. Densité de mousse trop faible pour garantir la réussite de tout vos dog technique.</t>
  </si>
  <si>
    <t>OUI MAIS PAS DANS LE SABLE Bon produit mais taille petit. Attention : bien penser a l'utiliser sur les galets ou roches car dans le sable, c'est très désagréable car il s'incruste entre les pieds et les chaussures et quand il sèche c'est encore pire tant cela devient irritant.</t>
  </si>
  <si>
    <t>Bien reçu Bien reçu mais pas testé bébé n'étant pas encore né. Par contre commandé en bleu et reçu en blanc.</t>
  </si>
  <si>
    <t>Si le produit correspond bien à la description Pour avoir des baskets de meilleurs qualité, plus de confort et qui dûr plus longtemps.</t>
  </si>
  <si>
    <t>Super confortable Super ecouteurs pour faire du sport: tiennent très très bien en place... super qualité de son, bonne isolation de l’extérieur Livrés avec 2 jeux d’accroche oreilles</t>
  </si>
  <si>
    <t>Article de référence Je commence seulement mon traitement !!</t>
  </si>
  <si>
    <t>Top Beau lot de gommettes. Des ronde, carrée... de différentes couleurs. De différentes tailles. Mes enfants dont super content. Je recommande</t>
  </si>
  <si>
    <t>Bien On est bon</t>
  </si>
  <si>
    <t>Sac pratique En faisant mes courses pouvoir sécuriser ma carte de paiement contre les voles. Pratique de rangement lors des déplacements.</t>
  </si>
  <si>
    <t>Mes placards revivent J'avais un placard très humide, il ne l'est plus grâce à ces petits sachets discrets et bien pratiques. Mes habits ne sentent plus l'humidité.</t>
  </si>
  <si>
    <t>cressi chaussons pour sport aquatique chaussons en plastique bien  enveloppants, perforés de petits trous pour l'aération, légers et résistants en même temps. Parfait.</t>
  </si>
  <si>
    <t>belle contine offert à une petite fille</t>
  </si>
  <si>
    <t>Produit de bonne qualité. Achetée avec la lavande vraie, le mélange des deux huiles est efficace contre les douleurs musculaires et articulaires. Les senteurs sont agréables, la menthe poivrée est revigorante et donne du tonus. Produit de qualité, bouteille bien remplie.</t>
  </si>
  <si>
    <t>mon beau sapin un livre plein de poésie à lire lors des fêtes et surtout au moment de décorer le sapin.</t>
  </si>
  <si>
    <t>PARFAIT J ai acheter ce casque Bluetooth pour le mettre en fonction avec le Transmetteur Bluetooth Récepteur et Émetteur, Mixcder TR007 2-en-1 Adaptateur Audio Stéréo Sans Fil que j'ai installée sur ma TV les 2 ce son connectés sans problème.</t>
  </si>
  <si>
    <t>Conforme, bon casque testé depuis plusieurs années sur piano de même marque. Conforme, acheté pour confirmer que l'ancien Fonctionnait bien et que mon piano avait un souci.</t>
  </si>
  <si>
    <t>Parfait Excellent soutien pour les sports de combats. Je fais un 90D et j’ai pris taille M c’est parfait. Si parfait que je viens d’en commander un deuxième !</t>
  </si>
  <si>
    <t>Très confortables Très agréables et légères Je recommande Taille normale</t>
  </si>
  <si>
    <t>Tissu trop fin. A la bonne taille mais le tissu est beaucoup trop fin pour des chaussettes de sport !</t>
  </si>
  <si>
    <t>Dommage pas tailler pour les grands Chantier</t>
  </si>
  <si>
    <t>Bien mais sans plus Si ce produit était un peu plus grand ce serait parfait. On constate à l'usage que ce produit est conçu pour des petites mains (j'entends au sens premier du terme). Pour le reste il fait le job très correctement.</t>
  </si>
  <si>
    <t>Bien mais attention fermetures J'ai une fermeture qui a grippée et s'est enraillée. J'ai réussi à la remettre mais ne préfère plus utiliser cette poche là. Sinon très bien.</t>
  </si>
  <si>
    <t>bon cuir bien</t>
  </si>
  <si>
    <t>léger Bruit de fond RODE, la qualité mais le prix.  Un petit bruit de fond avec mon canon 700D. mais niquel pour faire des vidéos :) compact et très bonne entré de gamme pour youtube !</t>
  </si>
  <si>
    <t>qualité et confort Je travaille dans le domaine de l'informatique et je porte ce casque chaque jour, je ne peux plus m'en passer. Le son est de bonne qualité et le casque se laisse porter pendant de nombreuses heures. Bon le son n'est pas égal à celui d'un casque Bose mais le prix est abordable ! Vous ne serez pas déçu. Le bluetooth de l'appareil quand à lui est facile a connecter à votre ordinateur.</t>
  </si>
  <si>
    <t>Bon produit Facile à détacher et à coller</t>
  </si>
  <si>
    <t>Bonne qualité De la boite d’emballage aux écouteurs tout semble fait pour durer. La forme des écouteurs est bien choisie, ils se logent facilement dans les oreilles. On peut secouer la tête ils ne bougent pas! On retrouve toutes les commandes utiles sur les écouteurs avec un unique bouton qui n’est pas tactile (le tactile est une fausse bonne idée pour des écouteurs, il suffit de les replacer pour toucher le tactile sans le vouloir...). Pour ce qui est du son, on peut augmenter le volume sans faire cracher les bass et le son est limpide avec des mediums et des aiguës bien présent. L’appareillage est d’une simplicité déconcertante, il suffit de les sortir de la boite de charge et ils sont visible dans la liste des appareils bluetooth de son tel.  Si ça vous a aidé cliquez sur utile.</t>
  </si>
  <si>
    <t>Super Super, taille bien un 36 normal. Je sème des paillettes mais il y en a toujours autant sur les chaussures.</t>
  </si>
  <si>
    <t>très bonne montre Envoi rapide, bonne montre, mon mari travaille dans le bâtiment et cette monte est incassable, parfait et belle, je compte bien en acheter une pour moi</t>
  </si>
  <si>
    <t>Parfait J'espère que mon commentaire vous sera utile pour faire votre choix. J'ai pris ma taille habituelle et c'est parfait. Il n'en est rien. Elles étaient en très bon état. Reçu comme prévu.</t>
  </si>
  <si>
    <t>Bon produit Pour le prix c'est un très bon produit, avec des flèches sur les films qui s’effacent lors du laminage à chaud.</t>
  </si>
  <si>
    <t>Très bon rapport qualité prix A la recherche d'un casque à un prix "raisonnable" (J'ai du mal à mettre 300 balles dans des ecouteurs ou un casque)... Il est complet, livré dans une malette semi rigide de bonne facture avec fil de recharge, adaptateur pour avion et fil pour le brancher sur un apareil si pas de bluetooth. Ce produit correspond vraiment à ce que je cherchais. Facile d'utilisation, facile à apairer à mon téléphone, ma tablette ou à ma télé. Il me sert à regarder des séries ou des films le soir sans réveiller la maison (meilleure immersion dans le film garantie), au bureau pour ecouter de la musique sans deranger les collègues (je suis dans un open space) et pour s'isoler du bruit ambiant, ou sur les trajets bus ou à pied. La qualité du son est très bonne. Les basses sont présentes sans en faire trop, La réduction du bruit est correcte. On parle bien de réduction de bruit, pas d'annulation. Dans un contexte très bruyant (rue animée), ça atténue vraiment mais on n'est pas complètement isolé... Le confort est bon. Attention, l'été, on peut avoir tendance à transpirer car le casque isole très bien et s'il fait chaud, ça tient chaud aux oreilles. L'hiver, c'est top par contre... A choisir entre un casque et des oreillettes intraauriculaires, j'ai fais le choix du casque car même si je trouve que ça ne fait pas forcément discret, c'est quand même plus hygiénique que des oreillettes...</t>
  </si>
  <si>
    <t>indispensable super rapport qualité prix il n y a aucun retour d'eau chaude comme il pourrait y avoir dans des bouillottes bas de gamme</t>
  </si>
  <si>
    <t>Bague argent 925 rhodié Je suis comme toujours enchantée par les bagues de cette marque. J'en ai déjà 5, et j'en attend trois autres samedi. Les bagues sont de qualité, je les porte chaque jour, je fais la vaisselle, le ménage, je prends mes douches avec et elles ne ternissent pas, ne s'oxide pas car elles sont recouvertent  d une couche de rhodium (platine) ce qui permet d être plus dur et de garder cet éclat comme les bijoux en or blanc... Je suis enchantée car les prix sont très attractifs et la qualité est là.</t>
  </si>
  <si>
    <t>je le recommande je cherchais un chauffe biberon qui chauffe rapidement et qui soit assez large pour mes biberons de différentes largeur (Nuby, Tigex). une fois qu'on trouve les ml qu'il faut pour chauffer le biberon à l'aide de la dosette c'est parfait exemple pour 180 ml de lait dans mon biberon Nuby un peu plus de 15 ml d'eau est nécessaire et en moins de 2 min c'est prêt pas de bruit pour signaler que c'est prêt uniquement lumière qui s'éteint et ça chauffe selon le principe de la vapeur à acheter !!!</t>
  </si>
  <si>
    <t>boucles d oreilles papillon forme noeud et boule de noel très jolie et de très bonne  qualité et prix abordable</t>
  </si>
  <si>
    <t>RAS Produit livré en temps et en heure en parfait état</t>
  </si>
  <si>
    <t>Pull blanc Super pull Chaud et de bonne qualité pour le prix Je lai pris en m et je fais du s il est un peu juste au niveau de la longueur car j'en voulais un très large mais sinon super Je pense en racheter un autre</t>
  </si>
  <si>
    <t>Feuilles de bonne qualité Parfait merci !</t>
  </si>
  <si>
    <t>Un gros changement par rapport à un micro-casque J'ai changé de micro pour des raisons de qualité. Je voulais un micro abordable pour posséder une meilleur qualité d'audio durant des échanges/conversations.  Très satisfait de cet achat, cela fait quelques mois que je le possède et je n'ai jamais eu de soucis avec. Il marche très bien, la qualité micro est vraiment top. Pour les particuliers, c'est le must à avoir !  De même pour les conférenciers, les entrepreneurs qui cherchent un bon micro pour des webinars, des vidéastes ou simplement des personnes qui veulent améliorer le confort de leur interlocuteurs, ne pas hésiter sur l'achat de ce micro ! Je recommande</t>
  </si>
  <si>
    <t>Joli et bien fini Produit livré très rapidement (moins de 3j) joli et surtout il a l'ai plus solide que d'autres bracelets de ce type que j'ai acheté et il est livré avec un fil de remplacement si l'original casse.  Très bien!</t>
  </si>
  <si>
    <t>Déçue Déçu  j ai reçu des bracelet c etait indiqués  des colliers</t>
  </si>
  <si>
    <t>Déçu Je m'attendais à que ce jogging soit plus agréable et plus beau. Il n'est ni l'un ni l'autre. Quand je vois mon fils avec je suis vraiment déçue, Mais pour le sport c'est efficace.</t>
  </si>
  <si>
    <t>Sweat femme. Pull qui taille très mal... Et impossible de le changer ou alors tout les frais sont à votre charge et cela revient plus cher que le pull... On vous propose un petit dédommagement en échange mais que je n'ai jamais eu. Très déçu,je ne recommande pas du tout ce vendeur.</t>
  </si>
  <si>
    <t>sympa mais il manque le petit r d’authentification Ne croyez pas les gens qui disent de prendre une taille en dessous, c'est ce que j'ai fais et j'ai pris du 41 car je fais du 42 et ça taille comme du 41 donc prenez votre pointure habituelle. remboursement rapide mais je ne comprends pas les différences de prix entre pointureset d'une journée à l'autre le prix n'est plus le même</t>
  </si>
  <si>
    <t>bien mais ... mais trop juste  bon vu le prix , je l'ai reclassé en haut de pyjama  et l'hiver je m'en servirais de tee shirt de dessous car prés du corps , belle matière</t>
  </si>
  <si>
    <t>Très convenable Esthétique parfaite, fait ses preuves en terrain dangereux, il manque un peux de protection au niveau des côtés et derrière.. sinon top !</t>
  </si>
  <si>
    <t>Produit conforme Produit conforme à la description. Odeur de savon noir ! Pas désagréable. Texture assez compacte. Je trouve le prix un peu excessif.</t>
  </si>
  <si>
    <t>Confortable, bon style mais finition pas au top level Joli modèle très confortable Je les utilise durant la semaine avec les tenues "chill".  J'en suis content même s'il m'arrive de reprocher à Van's des problèmes de semelle qui se décolle à la pliure du pied.</t>
  </si>
  <si>
    <t>Qu'il est superbe Pour sortir sport</t>
  </si>
  <si>
    <t>Bien Très bien. Volume correct</t>
  </si>
  <si>
    <t>Je n'oublie  plus Enfin divers objet sur soi a porté de main</t>
  </si>
  <si>
    <t>avis sur le produit exacompta paquet de 100 Pour ranger les dossier c'est beaucoup mieux, je m'y retrouve bien mieux, le paquet était bien emballé, rien d'abîmer, le top et en plus pas chère pour le pack de 100! (je ne les ai pas compté mais elles ont l'air d'y être en tout cas) la couverture est bien rigide c'est vraiment le top</t>
  </si>
  <si>
    <t>Comme attendu J'ai l'habitude des Skechers pour leur confort, celle ci ne fait pas exception. A voir à l'usage ! Beau design et fin</t>
  </si>
  <si>
    <t>bon usage parfait</t>
  </si>
  <si>
    <t>Perfect ! Rien à redire ! C’est ce à quoi je m’attendais</t>
  </si>
  <si>
    <t>Parfaite Chaussures  de très  bonne qualité. Prix  très  intéressant  pendant  les soldes</t>
  </si>
  <si>
    <t>Bonne qualité Très bonne qualité, son clair, parfait pour mon iphone.</t>
  </si>
  <si>
    <t>bave beaucoup moins je ne sais pas si le collier fonctionne vraiment pour la douleur (car c'est le début pour ma fille) mais ce qui est sûre c'est qu'elle bave beaucoup moins.</t>
  </si>
  <si>
    <t>Montre mythique. Très belle montre,Seiko c'est une MARQUE,j'espère que je vais acheté un autre modèle ,je suis plus que satisfait,je vous conseil de l'acheter.</t>
  </si>
  <si>
    <t>Super Top très satisfaite de cette achat Seul point positif un peu difficile a nettoyé mais bon il y a pire comme on dit donc bref n’hésitez pas a l'acheté !</t>
  </si>
  <si>
    <t>Super très utile les essentielles sont dans le lot Explication facile.. je recommande.. Aucun soucis avec la livraison.</t>
  </si>
  <si>
    <t>solide et grande contenance Acheté pour mettre dans la salle de pause au travail pour celles et ceux qui aiment la thé et la tisane car c'est la mode en ce moment. Ensemble solide et sans défaut, facile a installer, l'eau arrive à ébullition  en 2 minutes. Sa grande  contenance permet de remplir environ  6 mugs . Fait l'unanimité en salle de pause! Nettoyage facile grâce à sa large ouverture.</t>
  </si>
  <si>
    <t>Très bon produit conforme à l annonce et très léger au pied Pour le travail</t>
  </si>
  <si>
    <t>Fragiles Doublure intérieure qui a commencé à se déchirer après les avoir porté une dizaine de fois. Le dessus s'est déchiré au niveau du collage avec la semelle après les avoir porté 2-3 mois. La semelle déformée à l’intérieur, on sent des légères bosses</t>
  </si>
  <si>
    <t>Très déçu Montre offerte le 2/03/2019 et le 11/03/2019 ne fonctionne plus, la trotteuse s’arrêtes constamment</t>
  </si>
  <si>
    <t>Basket Bien</t>
  </si>
  <si>
    <t>se n'est pas la bonne taille j'ai commander 37/38 j'ai reçu du 35/36 PAS CONTANTE</t>
  </si>
  <si>
    <t>très bien Produit conforme à la description et aux photos que j'ai pu voir. Elle est très jolie, assez grande sans être imposante et reste plutôt discrète . Le bracelet est aussi plutôt grand ce que j'apprécie car j'ai plutôt une grosse poignée. Bref, pour le prix on ne peut qu'être satisfait, reste à voir la solidité de la montre dans le temps.</t>
  </si>
  <si>
    <t>Sweat Nike Bonne qualité, couleur respectée, épaisseur correcte,vieilli bien et ne rétrécit pas au lavage,un peu large pour mon fils qui est plutot menu.</t>
  </si>
  <si>
    <t>Mieux en photo que sur mes pieds Mais néanmoins très bon confort,juste les semelles ont l'air d'être glissante mais j'ai pas encore testé sur sol mouillé. Bon achat quand même.</t>
  </si>
  <si>
    <t>Compact et puissant Épaulée par un PC avec son logiciel DJ, cette petite console Hercule et ses Pads feront parfaitement leur travail dans un encombrement minimal tout en gardant une bonne ergonomie.</t>
  </si>
  <si>
    <t>Parfait Pull de tres bonne qualité sa coupe particulière fait son charme il repond parfaitement a mes attentes je conseille vraiment cette article</t>
  </si>
  <si>
    <t>Montre Mon père est très satisfait</t>
  </si>
  <si>
    <t>Reebok, une valeur sure Très enthousiaste à propos de ces chaussures. La taille correspondait parfaitement. Le confort est au top, aucun temps d'adaptation, je me suis immédiatement senti à l'aise dans ces chaussures.</t>
  </si>
  <si>
    <t>Écouteur Ces écouteurs s'avèrent de bonne qualité à un prix modique. Ils sont livrés dans une petite boite en plastique ce qui permet de les ranger facilement et de ne pas les abîmer. Donc bonheur intense de retrouver cette partie là si peu chère en ligne.</t>
  </si>
  <si>
    <t>Maintien, confort et élégance Ne supportant plus les soutiens gorge, je voulais des brassieres à la fois confortables et élégantes. J'ai commandé 3 brassieres (blanche, noire, chair) et j en suis très contente , elles rassemblent  les critères dont je souhaitais c'est à dire maintien(90 B) confort et élégance. Livraison très rapide et qualité au rendez vous, je recommande.</t>
  </si>
  <si>
    <t>Très bien Cette collection est très bien faite</t>
  </si>
  <si>
    <t>Bon produit Ça fait longtemps que je cherchais un diffuseur d’huile essentiel à prix bas. Celui ci est bien et pratique d’utilisation. A voir dans le temps, je l’ai utilisé qu’une fois.</t>
  </si>
  <si>
    <t>lave vaisselle on ne le trouve pas en magasin</t>
  </si>
  <si>
    <t>Au top La montre est juste magnifique, je suis satisfait de mon achat.  L'ayant trouve (beaucoup) moins cher que sur les autres sites marchands je n'ai pas hésité une seconde à investir dans cette montre.  Je la recommande. Si c'est votre style bien évidemment 😊</t>
  </si>
  <si>
    <t>produit génial très efficace;ça marche vraiment pour soigner beaucoup de maux;il faut vraiment le tester pour le croire;c'est un véritable produit "miracle"</t>
  </si>
  <si>
    <t>Nickel Utilisé pour raccorder deux jacks sur le même ampli. Cet adaptateur est de bonne qualité et n'altère pas le son.</t>
  </si>
  <si>
    <t>Nickel J'ai acheté ce casque pour mon fils et sa PS4. Il est ravi, moi moins car il ne vient pas quand je l'appelle... Bref, c'est bien!</t>
  </si>
  <si>
    <t>Très satisfait Très content de cette bouilloire. La qualité des finitions est très bonne. On peut régler la température désirée et lorsqu'on pose la bouilloire sur son socle ça affiche la température actuelle de l'eau. C'est parfait pour mon thé au bureau.</t>
  </si>
  <si>
    <t>Bien J'avais une crainte que la taille soit trop grande,comme ça a été le cas pour une autre paire de baskettes. Dont j'ai dû donner hélas! Donc, la taille était bonne d'autant que je dois mettre des semelles orthopédiques.</t>
  </si>
  <si>
    <t>Résistants Très bonne qualité. J’ai voulu faire l’essai de la marque. Je suis satisfaite. Fini les sacs percés qui fuient lorsqu’on les soulève !</t>
  </si>
  <si>
    <t>Chaine vraiment fragile Elle est vraiment jolie mais vraiment fragile. Apres une ou deux semaines elle etait deja cassé(la chaine)</t>
  </si>
  <si>
    <t>Bof Il aurait pu être pratique pour donner les médicaments mais la forme ronde de la tétine ne convenait pas à mon fils. En plus il fuit, la totale !!! J'ai opté pour une sucette achetée en pharmacie.</t>
  </si>
  <si>
    <t>trop grand belle qualité mais beaucoup trop grand, j'ai été obligée de raccourcir les manches</t>
  </si>
  <si>
    <t>enveloppes utilité sans luxe</t>
  </si>
  <si>
    <t>Très intéressant Coool</t>
  </si>
  <si>
    <t>Bracelet Bien</t>
  </si>
  <si>
    <t>TRES BIEN ce produit est tres bien</t>
  </si>
  <si>
    <t>Très belle montre Bon achat</t>
  </si>
  <si>
    <t>produit conforme aux attentes et solide j'ai acheté ce produit car j'avais déjà un égouttoir à biberon en tige qui c'est vite cassé donc je voulais du plus solide ce qui est le cas. Prend un peu de place mais assez classe.</t>
  </si>
  <si>
    <t>Notre élégante Montre élégante et conforme à la description</t>
  </si>
  <si>
    <t>Nickel Rien a dire, allez y</t>
  </si>
  <si>
    <t>Correspond a mes attentes Chaussure Super agreable !</t>
  </si>
  <si>
    <t>produit excellent usage me le dira</t>
  </si>
  <si>
    <t>Égouttoir très stylé Je l’adore !</t>
  </si>
  <si>
    <t>Bien reçu Beau papier d emballage et bien enveloppé super à recommander</t>
  </si>
  <si>
    <t>A recommander pour les fans de licornes Très beau livre de coloriage pour une enfant de 10 ans</t>
  </si>
  <si>
    <t>Super Comme en pharmacie, pas de soucis , reçu rapidement</t>
  </si>
  <si>
    <t>Silencieuse Mon critère principal était le silence .. Mission parfaitement accomplie par cette excellente bouilloire. Particularité : L'afficheur permet de suivre l'évolution de la température de l'eau.</t>
  </si>
  <si>
    <t>Je recommande Super pour les plages du sud de la France !</t>
  </si>
  <si>
    <t>TOP Très belles Baskets , confortable dès la première utilisation . Je chausse du 39 mais j'ai commandé du 40 mais cela me convient car je mets des chaussettes. C'est vrai qu'il y a une odeur de produit chimique quand je les ai reçu, mais je les ai vaporisé avec du fébreze et laissé aéré une nuit et l'odeur est partie. Très contente de mon achat.</t>
  </si>
  <si>
    <t>essentiel magnifiques sneakers je recommande</t>
  </si>
  <si>
    <t>Produit niquel Excellent diffuseur ! Un beau design, un très bon rapport qualité/prix</t>
  </si>
  <si>
    <t>élégant !! Commande conforme, bracelet à la bonne longueur 19cm, livré avec une petite pochette en feutrine marqué PANDORA et un certificat d'authenticité, la boite et le petit coeur ont été commandé en complément. très joli bijou</t>
  </si>
  <si>
    <t>Déçue ! Bonjour ayant déjà eu un détachant spray au fiel de boeuf (Eres) qui marchait très bien mais que je ne trouve plus sur le marché, j'ai acheté ce savon solide mais je n'en vois absolument aucune efficacité!!! Il ne détache pas. Autant revenir à l'ancienne méthode qui est de faire tremper le linge taché avec du produit lessive classique dans de l'eau pendant 1jour avant de le passer en machine, au moins ca marche!...</t>
  </si>
  <si>
    <t>Pas pratique Pas facile d enlever le sac quand il est rempli</t>
  </si>
  <si>
    <t>Pas imperméable Le manteau est bien comme coupe vent mais à la première utilisation sous la pluie je me suis rapidement rendu compte qu'il n'est pas imperméable du tout... Dommage pour un imperméable !!!</t>
  </si>
  <si>
    <t>pas mal mais s'est vite cassé Mon fils à adoré l'utiliser pour croquer des morceaux, surtout ceux avec du jus... mais il l'a fait tombé plusieurs fois à terre et du haut de la chaise haute, sa a fini par cassé.. dommage car il aimé vraiment beaucoup l'utiliser</t>
  </si>
  <si>
    <t>trop lourde produit bon mais attention au poids des chaussures un peu lourdes a voir dans le temps sur l usures de celles ci</t>
  </si>
  <si>
    <t>Excellent rapport qualite/prix Vu le prix &amp;lt;4 eur je ne m'attendais pas a miracle mais j'ai ete tres agreablement surpris.</t>
  </si>
  <si>
    <t>Très belles baskets Super paire. Je fais du 40 normalement mais je les ai commandé en 39 au vu des commentaires et heureusement car la pointure est impeccable. Très belle qualité de lacets.</t>
  </si>
  <si>
    <t>Chausson confortable Chausson souple et moelleux, je ne sais pas jusqu’à la mousse restera avec cette mémoire de forme . La finition est pas mal. On verra s'ils tiennent tout l'hiver. Acheté au alentour de 8 euros donc ça vaut le coup. Je chausse du 43 j'ai pris 44/45 en taille et cela va nickel</t>
  </si>
  <si>
    <t>Conforme Robe conforme à la photo. Couleur respectée. Agréable à porter. Je recommande</t>
  </si>
  <si>
    <t>papier  a4 deja évalué</t>
  </si>
  <si>
    <t>Bon biberon qui dure dans le temps ! Très bonne qualité!</t>
  </si>
  <si>
    <t>Très bonne tenue dans l'oreille avec un son de qualité &lt;div id="video-block-R3R54HSMJ1Q0KB" class="a-section a-spacing-small a-spacing-top-mini video-block"&gt;&lt;/div&gt;&lt;input type="hidden" name="" value="https://images-eu.ssl-images-amazon.com/images/I/B17+LBQ9IBS.mp4" class="video-url"&gt;&lt;input type="hidden" name="" value="https://images-eu.ssl-images-amazon.com/images/I/91gFuzOgmyS.png" class="video-slate-img-url"&gt;&amp;nbsp;Vraiment au top je suis énormément satisfait, je recherché des écouteurs avec une bonne tenue dans l'oreille et discrète en même temps. Mais surtout des intra auriculaire car cela donne vraiment une sensation de sécurité quand on bouge sans craindre de les faire tomber ! Chose que je n'est pas trouver même avec des écouteurs de marques. Je vous ai fait une petite vidéo du contenus de la boîte. 3 embout de différente taille perso la première me convient bien. Gros avantage aussi pas de manipulation bizzare a faire les écouteur se synchroniser automatiquement quand on les allume.</t>
  </si>
  <si>
    <t>Très bon produit Je l utilise pour le branchement d un micro et il est de très bonne qualité</t>
  </si>
  <si>
    <t>Encre de bonne qualité! Produit commandé le 8 Novembre et livré le 13 comme annoncé lors de l'achat.Produit proprement emballé. Encre compatible avec mon imprimante puisque reconnue par celle-ci. Les couleurs d'impression sont très nettes et repectées. Je recommande cette encre.</t>
  </si>
  <si>
    <t>Très joli bracelet Ce bracelet rigide Pandora est superbe. Il est très joli avec quelques charms, et même porté seul. Attention, il n'y a pas de support pour les clips sur ce modèle, les charms sont donc libres de bouger sur tout le jonc. A moins de les bloquer avec des petits clips en caoutchouc, disponibles en boutique Pandora.</t>
  </si>
  <si>
    <t>Très heureuse, produit complet Ça fait un moment que je cherchais un diffuseur d'huiles essentielles et puis je suis tombée sur celui-ci... coup de cœur. Qui s'est  confirmé à sa réception. Il est très design, épuré, les couleurs sont très belles et il est très intuitif. Il peut être programmé pour s'éteindre au bout d'un certain temps, ce qui est fort agréable quand on veut s'endormir bercer par les odeurs ! Et gros point positif : les fonctions sont complètement indépendantes les unes des autres, ce qui permet de les mettre en même temps ou non. Je vous le recommande</t>
  </si>
  <si>
    <t>Excellent achat Produit de bonne qualité, je suis à mon 2ème achats, du coup, j'ai pris 2 lots. vraiment super rapide, 2 jours avant la date prévu.</t>
  </si>
  <si>
    <t>Merci Amazon !! Magnifique boule d'oreilles. Je suis ravie de mon achat. Elles sont arrivées avec trois poussoir et une paire de boucles d'oreilles offerte. Je vous le recommande !</t>
  </si>
  <si>
    <t>Petite eponge qui fait ce qu'on lui demande Cette éponge de petite taille est efficace et convient parfaitement pour les petits tableaux. Le colis a été livré très rapidement. Je recommande</t>
  </si>
  <si>
    <t>Nickel Excellent</t>
  </si>
  <si>
    <t>agréable et fiable Les couleurs sont fidèles et vives. l'écriture est fluide, et le dessin aussi. j'aime la texture de l'encre qui ne coule pas et la mine n'attache pas. Ces stylos peuvent s'utiliser autant pour du dessin (pas pro bien sur) que pour égailler les cahiers avec des titres et surlignages de couleur</t>
  </si>
  <si>
    <t>Sortie Tres belle super</t>
  </si>
  <si>
    <t>Fini les fils qui s'emmêlent ! Pratique car super discret pour circuler à vélo, et il ne craint pas la pluie. Le son est bon et pas de déconnection.</t>
  </si>
  <si>
    <t>très bien Agréablement surprise. Très beau produit pour le prix. Monté sur une montre Hugo Boss, on y voit que du feu, très bel effet. très facile à remplacer.</t>
  </si>
  <si>
    <t>appareil non fiable Appareil correct d'emploi mais utilisé seulement deux fois puis tombé en panne. Je vais testé le SAV Amazon. Affaire à suivre...</t>
  </si>
  <si>
    <t>Trop petit Achat pour mon fils. La photo ne représente pas du tout la taille de cette sacoche qui est trop petite. La poche de devant ne ferme pas.</t>
  </si>
  <si>
    <t>mécontente Mets trop de temps a chauffer, pas efficace du tout!!!  Même en le laissant une heure il ne chauffe rien pratiquement. Payer très cher pour rien. Je suis très déçu de ce produit.</t>
  </si>
  <si>
    <t>Taille beaucoup trop petit ! Beaucoup trop petit, matière pas très agréable, pas assez extensible. Je les ai retourné le jour même.</t>
  </si>
  <si>
    <t>Satisfaite Le collier vas super bien bien dommage que le diamant soit un peux gros j’aurai aimer l’avoir plus petit Mes le principal sa a plus a ma fille</t>
  </si>
  <si>
    <t>Bien. Après un mois d'utilisation,je pense que c'est un bon produit, j'avais des traces qui apparaissaient des qu'il y avait une forte pluie, plus rien depuis que j'ai acheté ce produit. Mais les recharges sont chères  et la premiere n'a duré qu'un mois alors à voir sur le long terme pour le budget. Le produit est assez joli donc ça ne choque pas.</t>
  </si>
  <si>
    <t>un cadeau idéal C'était un cadeau pour un adolescent qui était enchanté.et qui l'a apprécié énormément.Je ne peux que recommander cet article qui est de bonne qualité.</t>
  </si>
  <si>
    <t>Conforme à la description Aucun défaut sur le sac. La bandoulière a une large marge de réglage. Fermeture de devant qui ne va pas jusqu'au bout, mais je le savais avant l'achat. Néanmoins, le cache permet de protéger ce qu'il y a à l'intérieur, des clés par exemple. Il est un peu plus grand que je ne le pensais, mais au moins ça fait une pochette assez grande pour garder en sécurité toutes ses affaires personnelles, sans craindre un vol car la pochette est près de soi. Je recommande.</t>
  </si>
  <si>
    <t>Super confortable à prix modique. Réception un peu longue mais c'est indiqué à l'achat. La taille correspond bien à ce que j'ai commandé. Elle sont super légères, semblent durable et de bonne qualité et pas d'odeur au déballage. Le look est moderne sans être tape à l'oeil.</t>
  </si>
  <si>
    <t>Très bien Cartouche que je ne trouve pas dans le magasin proche de chez moi, le prix est correct, cela m'évite de faire plusieurs kilomètres pour en acheter, l'encre ne sèche pas</t>
  </si>
  <si>
    <t>Confortable Parfait pour les cours de danse</t>
  </si>
  <si>
    <t>petit et magnifique jolie</t>
  </si>
  <si>
    <t>Très bien Bon produit. RAS</t>
  </si>
  <si>
    <t>Juste parfait ! Ecouteur d'une qualité enorme !!!!!!! Jai jamais vu des ecouteur aussi performant et confortable !!! J'adore !!!</t>
  </si>
  <si>
    <t>Contente Top</t>
  </si>
  <si>
    <t>Voir au dessus C’est pour mon fils je ne pourrais pas vous dire mais il en est très satisfait</t>
  </si>
  <si>
    <t>Mieux que prévu Pochette homme en tissu noire. Elle est plus grande que prévue , en 48h l’adaptation est faite. Elle permet de mettre la tablette. Plein de petites poches pour organiser le sac. La bandoulière est réglable et assez large. Finalement, mon mari est conquis</t>
  </si>
  <si>
    <t>Sacs bien contenants Ces sacs de conservation mult-usages sont très pratiques pour maintenir la fraîcheur des aliments. Le système ouverture - fermeture par zip est très bien pour éviter les odeurs et les coulées éventuelles.</t>
  </si>
  <si>
    <t>Super rapport qualité/prix Super rapport qualité/prix. Je l'utilise depuis deux ou trois semaines et rien à redire.  Ecran très lisible.  Fonctions classiques. Bonne montre.</t>
  </si>
  <si>
    <t>superbe théière LE FILTRE EST METALLIQUE J'ai reçu cette théière comme prévu le jour indiqué par Amazon. Je l'ai testée immédiatement et elle est parfaire. J'avais déjà une théière électrique de SEB mais le filtre en plastique marron s'est usé avec le temps et on ne trouve pas de pièces de rechange, donc j'ai acheté la théière AICOOK où le filtre en métal ne s'usera pas et se nettoiera parfaitement (il faut savoir que le thé noirci et tâche tous les récipients, pareil pour le café. Au fait cette théière peut également servir si on veut de cafetière.</t>
  </si>
  <si>
    <t>le plaisir d'offrir pour faire un cadeau, et les bijoux sharowsky plaisent toujours à mon épouse</t>
  </si>
  <si>
    <t>très joli legging de sport il est très joli et confortable j'aime beaucoup le découpe trois couleurs avec du violet et du blanc de jolis détails qui rendent la cuisse plus longiligne. il est bien confortable, la taille est haute sans compresser... ceci dit une taille en dessous m'aurait suffi. à noter une petite poche pour clé dans la ceinture. L - 42 : taille très bien. impeccable pour courir, fitness, cardio ...je le mets tout le temps désormais.</t>
  </si>
  <si>
    <t>Bien. Confortable. Pour la sortie de douche c'est bien pratique et quand on sort dans le jardin pour ne pas salir ses chaussons.</t>
  </si>
  <si>
    <t>Sneakers basses puma T44 Très belle chaussures , design sympa avec un p'tit logo ferrari bien placé , dommage que la taille ne corresponde pas : je chausse du 44 (voir du 43 pour certaines chaussures) , donc je commande du 44 comme conseillé dans les commentaires . Pas bon , trop juste . J'ai recommandé en 45 , je les attends .</t>
  </si>
  <si>
    <t>Pas top du tout Vu les commentaires (très) positifs sur cet appareil, je me le suis procuré pensant qu'il allait être parfait, mais très déçue quand à l'utilisation, je n'ai pas du tout adhéré !  Notice quasi inutile, pas du tout explicative, de plus c'est assez mal traduit. Fonction LCD qui ne fonctionne pas bien....on ne comprends rien, bref, je l'ai retourné.  Je ne recommande pas du tout, mais après ça reste mon avis !</t>
  </si>
  <si>
    <t>Horrible Minable</t>
  </si>
  <si>
    <t>Pas de bol j'ai acheté un équipement complet partant du Focusrite Scarlett + Bird EM2 + Support Bras + casque AKG... il ne manquait plus qu'un câble XLR. Le voilà. Sauf que... l'installation faite et refaite, vérifiée trois fois, deux jours à se tirer les cheveux, etc, le son est inaudible. Après ouverture des prises soudées sur le câble, je m’aperçois qu'une bavure d'étain de soudure, mal placée, court-circuite le son. Un coup de bricolage et hop tout fonctionne. On dira que cet accessoire est tombé dans la marmite de la malfaçon. Dommage car le câble reste de qualité avec des prises solides. Affaire de malchance ???</t>
  </si>
  <si>
    <t>Satisfait Bon produit mais le réglage des couleurs de la lampe n'est pas intuitif. Quand on allume la lampe, les couleurs défilent automatiquement, il faut cliquer à plusieurs reprises pour choisir une couleur statique qui n'est pas sauvegardée. Par ailleurs, nous n'avons pas trouvé s'il était possible de changer la couleur de la lampe pour les modes "réveil" et "coucher" (en jaune par défaut). Sinon, le son, la radio fonctionnent très bien, les sons préfinis sont très jolis, et les différentes nuances de luminosité sont très appréciables. En conclusion, un bon achat qui plait beaucoup à ma fille à qui il était destiné.</t>
  </si>
  <si>
    <t>Fait son travail...... A peine 2 jours d utilisation, pour l instant RAS, tres jolie, tres facile d utilsation et intuitive. Notice en francais et autres langues, numero pour SAV en allemagne..... Pas deçue, à voir dans le temps.</t>
  </si>
  <si>
    <t>Confortable Plus mal ni aux épaules ni au dos .soutien correct.</t>
  </si>
  <si>
    <t>😍 Très jolie</t>
  </si>
  <si>
    <t>Parfait Impeccable, la prise en main et top les tétines sont de bonne qualité. Le kit de nettoyage est bien pensé. Rien a redire. Mais le plus important c'est bébé, et ça a l'air de lui convenir parfaitement.</t>
  </si>
  <si>
    <t>pour un pincher convient parfaitement au pincher de ma maman,plutôt costaud!je crois qu'il pèse 6 kgs pris d'après les avis postés en taille xl</t>
  </si>
  <si>
    <t>Parfaite comme sur la photo Parfaite</t>
  </si>
  <si>
    <t>Piles Bien.</t>
  </si>
  <si>
    <t>Bonne qualité et bon son Le son stéréo est bon, même pour écouter de la musique (similaire à un autre casque hifi circum-aural que j'ai), et le micro est pratique, proche de la bouche et il délivre un son clair. Le câble du microphone du casque Bluetooth peut se plier si vous le souhaitez. Aime vraiment cette conception.Profitez également de la musique.Le port du casque est agréable.</t>
  </si>
  <si>
    <t>Correspond a mes attentes J'ai acheté ce produits tout d'abord en magasin puis maintenant en abonnement mensuel. Beaucoup diront que c'est inutile mais pas pour moi. Ce produit est l'alternative aux liquides vaisselles qui sentent extrêmement fort et laissent une odeur sur les Bib de mon fils, que je lave à chaud ou à froid. J'ai testé plusieurs marques de liquides vaisselles, des bios, des doux, des grandes ou sous marques, des spéciaux mains sensibles, bref, je ne m'y retrouve pas. Je suis très satisfaite de ce produit. Le seul bémol c'est qu'il soit en mousse au lieu du liquide que j'avais trouvé en magasin. Mais sinon c'est parfait</t>
  </si>
  <si>
    <t>FESTINA F16488/3 Aucune critique sur le service Amazon et la livraison. Le produit est présenté dans un trés bel écrin avec notice claire. Beau chrono qui se sent bien sur le poignet , cadran lisible sans difficultés. Bref une belle montre et une marque qui me donne satisfaction depuis longtemps.</t>
  </si>
  <si>
    <t>fidel à la photo Legging reçu dans le délai. Bon, il n'est pas rouge mais un rose sombre. Perso, la couleur réelle m'importe peu pour le sport. La texture est correcte même si il y a moins d'élasthanne que dans ce que j'ai déjà. Il tient bien et il a l'air assez solide. Pour la taille, j'ai choisi un L pour du 40/42. je suis très à l'aise dedans, je ne me sens pas comprimée. J'ai fait tout un parcours training sans aucune gêne, pas d'échauffement, pas de problème ceinture et les poches sont bien profondes donc aucun problème pour le smartphone</t>
  </si>
  <si>
    <t>Impeccable! Produit conforme au descriptif!</t>
  </si>
  <si>
    <t>Produit conforme à la description Parfait</t>
  </si>
  <si>
    <t>Top Excellent produit</t>
  </si>
  <si>
    <t>Une bonne odeur de propre, et anti-calcaire Ces 2 blocs WC Bref « blue activ » diffusent une odeur fraiche et permettent de lutter contre le calcaire. L’odeur n’est pas trop entêtante, contrairement à d’autres. Il s’installe en un clin d’œil et tient bien. Il y a 2 produits par pack, et 2 packs, soit 4 produits pour 6,50 € ce jour… Je trouve ça un peu cher, mais ils ont l’air de durer longtemps.</t>
  </si>
  <si>
    <t>Parfaites Je recommande Super marque Très à l’aise de suite et sent toujours aussi bon</t>
  </si>
  <si>
    <t>Chausson Satisfait de mon article</t>
  </si>
  <si>
    <t>Bon produit Bon produit la livraison a été plus vite merci beaucoup</t>
  </si>
  <si>
    <t>Défaut sur le papillon en métal Parure reçue dans les temps, l'ensemble présente très bien, mais malheureusement, le papillon argenté présente 2 défauts, un gros sur l'aile gauche et un plus petit sur l'aile droite. Demande d'échange.</t>
  </si>
  <si>
    <t>Les paire de basket runing pointure 40 et 35 Les semelles sont d'une mauvaise matière au bout de deux jours d'école usure accélérée des semelles le caoutchouc noire de la semelle se colle au blanc Adidas n'a pas été finalement livrais rupture de stock</t>
  </si>
  <si>
    <t>Mignon petit bijou Joli bijou</t>
  </si>
  <si>
    <t>Bien mais colis reconditionné Bien, mais j'ai reçu un colis déjà ouvert. Reconditionné. La brosse a été écrasé.</t>
  </si>
  <si>
    <t>Très bon rapport qualité prix Rien à dire, impeccable et rapide</t>
  </si>
  <si>
    <t>agréable et relaxant après plusieurs utilisations c'est relaxant et plutôt efficace.</t>
  </si>
  <si>
    <t>detente chic J'ai été attirée par le design de ce produit. Son allure et ses couleurs sortent des standards traditionnels en matière de fauteuils de massage. La matière est très agréable. J'étais septique sur la fonction vibrations des jambes mais ce n'était qu'un a priori. La chaleur est douce (les lumières virent au rouge quand il chauffe). Plusieurs fonctions de massage du bas du dos jusqu'en haut de la nuque. Utilisé ici par une femme d'environ 1m60 et un homme assez carré d'environ 1m80 et chacun y trouve son compte. Il est possible de rester au même endroit si nécessaire. L'écartement des masseurs est gérable. La télécommande est intuitive. La fonction démo est complete. Facile d'installation. Le seul hic : prévoir un siège ou fauteuil assez droit et assez haut pour l'installer.</t>
  </si>
  <si>
    <t>TRES CONFORTABLE je travaille debout et c'est hyper confortable ,on sent pas ses pieds quoi,très léger poiture exacte sur mesure  je recommande</t>
  </si>
  <si>
    <t>Excellent réveil / assistant de chevet ! Excellent réveil / assistant de chevet !  J'avais un modèle équivalent Philips, beaucoup plus gros, qui n'avait pas la moitié de ses fonctions... L'appli Android est super pratique et précise, on peut tout commander et régler tranquillement sans jamais toucher aux boutons du réveil 😁. Il a trouvé et enregistré 43 radios chez moi, la lumière est ultra-progressive, et le haut-parleur de bonne qualité, impeccable. Cette critique à l'air trop bonne, mais franchement, j'ai passé une bonne heure à le tourner dans tous les sens hier, je n'ai eu que des bonnes surprises. N'hésitez pas, foncez, il vaut très largement son prix.</t>
  </si>
  <si>
    <t>Jolie Bonne qualité</t>
  </si>
  <si>
    <t>Design et efficace ! Beau design pour cette bouilloire en verre. La lumière correspond à la demande de température (et pas à la température de l'eau en cours de chauffage). C'est pratique pour se repérer si on n'a pas ses lunettes pour voir la température indiquée ! Facile à programmer. Grand volume. Il faut juste prendre le coup et bien viser pour la remettre sur son socle. A voir si ce produit dure dans le temps. Pour l'instant, je recommande ce produit.</t>
  </si>
  <si>
    <t>Casque de bonne qualité et tres simple a utiliser. Bonjour à tous un peu dubitatif envers ce casque mais vraiment surpris. Vraiment pas déçut de ce casque!!!!tres léger et de très bonne qualiter avec une très belle finition👍🏻👍🏻 Ce casque est juste parfait design / poids / agréable au portée / rendu du son / grande autonomie</t>
  </si>
  <si>
    <t>Jolie chaîne. Offerte à mon mari. La longueur est parfaite. Très jolie. Merci</t>
  </si>
  <si>
    <t>Très bon produit à associer au tableau emanté Je les utilise avec le tableau émanté lifestyle et c'est la combinaison parfaite. Pour les utiliser il faut les secouer puis appuyer à plusieurs reprise sur la bille jusqu'à ce que la craie commence à sortir. Les couleurs sont super sympas et vives. S'efface avec un chiffon sec ou du sopalin mais bien veiller à ne pas repasser le chiffon/sopalin déjà taché de craie sinon la craie se re-dépose et le tableau n'est jamais propre.</t>
  </si>
  <si>
    <t>Soyez au chaud :) Livraison rapide, emballage correct, article fidèle à la photo. Cette veste polaire et très très douce et très chaude :) Je la porte aussi bien dehors que pour une soirée douillette à la maison. J'adore !! et je recommande cet article qui de bonne facture.</t>
  </si>
  <si>
    <t>boucle d'oreille tres beau produit correspond bien à la photo tres bon rapport qualite prix ce produit fait un tres beau cadeau</t>
  </si>
  <si>
    <t>*** Super</t>
  </si>
  <si>
    <t>Montre LIGE Parfait, montre offerte à mon père qui lui a fait très plaisir, toutes les fonctions sont actives, bon rapport qualité prix, à voir l'usage dans le temps</t>
  </si>
  <si>
    <t>Adopté J'ai acheté ce livre car il était recommandé sur le blog d'une maîtresse que j'apprécie beaucoup pour ses idées originales. Nous nous sommes régalés en famille chaque soir ou je l'ouvrai pour y découvrir les nouveaux épisodes du feuilleton d'Hermès ... mes enfants ont 11, 8 et 4 ans et ils ont tous été passionnés.. Nous avons d'ailleurs prévu d'investir dans les deux autres feuilletons de la collection: Thésée et Ulysse . Nous recommandons chaudement !</t>
  </si>
  <si>
    <t>Bon rapport qualité/prix Bonne qualité du produit Agréable à porter. À voir dans le temps mais satisfait!</t>
  </si>
  <si>
    <t>Une merveille Je l'utilise en toute circonstance : train, metro, avion.... la réduction de bruit est vraiment reposante! De plus le poid est insignifiant grace à son support en tour de cou.Jje recommande vivement! Le prix en vaut la peine.</t>
  </si>
  <si>
    <t>PARFAIT pour DÉSODORISER Tapis ou matelas .... Parfait pour désodoriser matelas, tapis ... divans en tissu... Pour mon tapis : j'ai saupoudrer abondamment le tapis sur une face, j'ai fait pénétré le bicarbonate, et roulé mon tapis pendant 24 heures avant de l'aspirer. J'ai fait la même chose sur l'envers du tapis. Plus de mauvaise odeur.</t>
  </si>
  <si>
    <t>La livraison Super</t>
  </si>
  <si>
    <t>Difficile de voir le lign d'eau! - Difficult to see the water lign! On dirait très agréable, mais une douleur dans le derriere essayant de voir combien d'eau à mettre ou combien d'eau est déjà là. Il est recouvert par la poignée! Dommage!  Looks very nice but a pain in the derriere trying to see how much water to put in or how much water is already in there. It is covered by the handle!</t>
  </si>
  <si>
    <t>La goutte d'encre... C'est la commande qui m'a fait acheter une imprimante d'une autre marque à la place de ma Canon ! Oui, c'était la bonne référence, sauf que c'est une cartouche étroite, et qu'il fallait une large. Je n'ai pas renvoyé le produit... évidemment ouvert, car je ne me suis aperçu de l'erreur qu'en essayant de l'installer. Ce que j'ai renvoyé, c'est l'imprimante... à la déchèterie.</t>
  </si>
  <si>
    <t>nul très mauvaise fixation et pas solide du tout</t>
  </si>
  <si>
    <t>Élastique qui se plie tout le temps Bon produit mais il monte trop à la taille , taille haute et l'élastique au niveau de la taille bouge tout le temps et de plie</t>
  </si>
  <si>
    <t>Bouilloire irréprochable. Bouilloire qui chauffe très rapidement. Aucune odeur de plastique même dès la première utilisation. Ni trop grande,ni trop petite (1,5 litre). Livraison rapide.</t>
  </si>
  <si>
    <t>bien d fg fg gh hg g f g hg h  f g h j hg gh j huj g  kjhgh  hh g hg  j j gh h k jk h g h k k yh tr  j l lk k jh jh  k lm lml</t>
  </si>
  <si>
    <t>Permet à l'enfant de commencer à lire seul Les histoires de Sami ne sont franchement pas passionnantes. Mais ma fille (début de CP) parvient à les lire seule donc ces livres lui plaisent quand même un peu. Comme le prix n'est vraiment pas cher, cela vaut le coup d'en avoir un ou deux pour encourager l'enfant.</t>
  </si>
  <si>
    <t>Convenable La qualité d'écoute musique est très bien mais lors de l'utilisation téléphonique l'interlocuteur entend plus les bruits environnant que la voix</t>
  </si>
  <si>
    <t>Super contente Très contente livraison rapide et produits très bien amballés. Très pratique de pouvoir ouvrir le fond pour le nettoyage très bon prix comparé au prix magasin.</t>
  </si>
  <si>
    <t>❤❤Siège massant chauffant❤❤ Produit reçu très rapidement et bien emballé.Attention il faut être présent à la livraison car le colis est très gros. Installé rapidement,je l'ai mis en place sur mon canapé.Ce qui est  plutôt cool c'est que l'on peut l'installer où l'on veut,par exemple sur un fauteuil de bureau,sur une simple chaise,dans la voiture(oui il y a la prise pour l'allume cigare^^). Ce siège est vraiment bien pensé et est de bonne qualité(simili cuir). Au niveau fonctionnalité il est complet.On peut choisir de se faire masser la nuque,le haut du dos,le bas du dos,ou les fesses.Soit on choisit le programme qui masse partout,soit on cible la zone souhaitée.Tout se programme par le biais de la télécommande.Le livret d'utilisation explique tout de A à Z. Personnellement je préfère le massage au niveau de la nuque et du bas du dos,je trouve celui du dos un peu trop tonique,cela surprend assez.D'ailleurs je ne suis pas sûr que ce siège puisse être utilisé sur toute pathologie du dos... Bon à savoir: ce siège est réglabe en hauteur,il y a une fonction chauffante,et l'intensité de la vibration au niveau du siège est réglable. 👍👍Au final,j'apprécie vraiment ce siège massant,je trouve qu'il me détend bien au niveau musculaire,je le conseille donc.👍👍 N'hésitez pas à me signaler si ce commentaire vous a été utile😊</t>
  </si>
  <si>
    <t>Nickel Je n aime pas trop les bottes de manière générale, mais elles sont supers et point positif, elles tiennent la cheville.</t>
  </si>
  <si>
    <t>joli sweat joli produit , simple efficace livraison super emballage super merci</t>
  </si>
  <si>
    <t>parfait! Pour le prix cette casquette est nickel et super agréable à porter! comme toute les flexfit je recommande vivement cet article!</t>
  </si>
  <si>
    <t>tétines d'excellente qualité tétines souples et solides à la fois adaptées à la morphologie de la bouche de bébé, n'ai jamais constaté d'usures, très résistantes, utilisées aussi bien avec un lait normal qu'avec un lait épaissit ou céréales.</t>
  </si>
  <si>
    <t>Wouaaaaaaaaaaaaa je suis comblée !! Wouaaaaaaaaaaaaa je suis comblée !! Tennis Parfaite !! Outre que j'ai commandé la taille 39 faisant un 39 et que j'ai reçu la taille 40 !!! Mais finalement c'est super, c'est exactement ce qui me fallait ! Chaussure correspondant bien au modèle, exactement identique, et quand les gens disent qu'on se sent comme dans un chausson, c'est exactement cela !! on s'y sent très bien, JE RECOMMANDE VIVEMENT CE TYPE DE CHAUSSURE POUR LES PERSONNES QUI ONT DES PROBLÈMES AUX PIEDS, facilite plantaire, pieds plats, talons douloureux, j'en pouvais plus de mon mal aux pieds et enfin j'ai trouvé une hauteur de talon et une semelle qui convient totalement à mes problèmes !! J'ai acheté sur un autre site le même style de semelle mais genre espadrille, et c'est que du bonheur aux pieds car  grâce à son tressage fait avec des vrais élastiques le pieds s'adapte totalement, c'est miraculeux !! Plus de problèmes de chaleurs aux pieds, ni de gonflement, les chaussures s'adaptent totalement aux pieds, c'est un soulagement total pour ceux qui souffrent des pieds. Merci infiniment !</t>
  </si>
  <si>
    <t>Câble de qualité Le câble a un bon rapport qualité prix, surtout pour un OFC. La gaine plastique est un peu rigide, mais il est facile de séparer les deux brins sans les dénuder en utilisant des ciseaux.</t>
  </si>
  <si>
    <t>Bon produit Super produit</t>
  </si>
  <si>
    <t>Excellent Attention bien mettre un t_shirt car les picots sont un peu rude mais la sensation de bien être est parfaite. Je le recommande à ceux qui ont des douleurs musculaires.</t>
  </si>
  <si>
    <t>Rapport qualité prix impeccable Rapport qualité prix imbattable, l'outil livré avec est très pratique! J'ai pu remplacer le bracelet de ma tissot en deux minutes, en gardant les éléments métalliques initiaux, pour 5 fois moins cher que le bracelet vendu sous la marque tissot</t>
  </si>
  <si>
    <t>Tres bien Conforme à la photo très pratique ! Tant que bebe ne suce pas la tétine l eau ne coule pas et ca cest super quand votre bebe veux se renverser de l eau volontairement et bien il ne peux pas ! Je recommande</t>
  </si>
  <si>
    <t>parfait C'est ma 1ere paire. Je l'utilise comme pantoufle. La chaussure est super légère et confortable. Passe partout. Bon produit ! Je ne les quitte plus. Je compte en commander dans une autre couleur.</t>
  </si>
  <si>
    <t>Toute simple Sacoche très pratique et jolie</t>
  </si>
  <si>
    <t>Déçue, fermeture qui ne tient pas Déçue même si la pire est très jolie . Elles se ferment très mal . Ma Filleule à perdu le cœur plusieurs Fois pour finir par perdre une boucle d’oreille complète au bout de quelques jours seulement .</t>
  </si>
  <si>
    <t>Appareil défectueux À peine ouvert et ... impossible de l'utiliser ! L'article est défectueux !! Impossible pour mon téléphone de le détecter ! Pourtant mon bluetooth fonctionne très bien et détecte d'autres appareils.... Très très décevant !!!</t>
  </si>
  <si>
    <t>Moyen Pratique pour transporter les biberons, esthétique agréable, mais ne garde pas vraiment au frais ni au chaud. Je suis mitigée.</t>
  </si>
  <si>
    <t>BOF! ne comprends pas un PC de 13;3 pouces !!!! Déçue!</t>
  </si>
  <si>
    <t>Montre Casio dorée Montre Casio dorée superbe j ai gardé la même montre pendant plus de 5 ans sans changer la pile  sans blem .le seul défaut de cette montre  c'est que la notice n'est pas en français sinon la montre est bien en français il faut juste toucher un peu les boutons et vous comprendrez le mode d'emploi très simple léger problème avec le fermoir du bracelet</t>
  </si>
  <si>
    <t>la couleur bleue est plus mate que sur la photo de présentation Après un problème de livraison,Maikes a réagi très rapidement pour me faire livrer un autre bracelet. Très positif ! La couleur est plus pâle donc plus discret.Très bon rapport prix-qualité.</t>
  </si>
  <si>
    <t>jsuis fan !!! il est tout petit, c'est pour ça que je l'ai acheté, mais comme il est large, tout tient parfaitement et puis j'aime cette odeur de cuir et oui le cuir est fin, mais c'est de la chèvre, et pour le prix c'est drôlement bien et non, pas de défaut de couture ou autre  je peux plus m'en passer !!!</t>
  </si>
  <si>
    <t>Bon produit Bon rapport qualité prix rien a redire</t>
  </si>
  <si>
    <t>Bonne petite bouilloire Première chose à dire : méfiez vous de la taille de cette bouilloire. Elle n'est pas ridiculement petite mais elle n'est pas très grande. Chez nous, cela nous convient à merveille. Super également, les petits témoins interne du volume d'eau inséré. Et, signature Russel Hobbs oblige, elle est d'un super design.</t>
  </si>
  <si>
    <t>Tres bon produit mais le prix un peu excessif J’utilise au travail et en voiture très pratique on as juste a les mettre et le son va directement sur les écouteurs produit de qualités rien as dire le prix je trouve cela très chère mais bon quand on vois ce qui il y as sur la marcher on tombe souvent sur des produits médiocres . Les AirPods tiens tres biens la charge et se recharge très vite</t>
  </si>
  <si>
    <t>Parfait pour les activités sportives, bonne qualité La première chose qu'on remarque en ouvrant la boîte c'est la petite taille de la housse rigide qui contient le casque. Il se plie de manière astucieuse et se transporte ainsi facilement tout en étant bien protégé. Une fois en place il ne bouge pas, même lors d'un jogging. De plus le fait qu'il n'y a pas de fil qui traîne est très agréable. A noter que la doc n'est pas en Français (Allemand, Anglais et Japonais), mais la description des commandes au centre du manuel est suffisamment claire pour être comprise. L'appairage se fait sans difficulté (testé avec smartphone Android, iPhone et iPad). La qualité du son est très satisfaisante. La partie téléphonie fonctionne bien aussi, tant qu'on est pas dans un environnement trop bruyant. La musique s'arrête au moment de l'appel. Le câble de recharge n'est pas très long, mais ce n'est pas un gros soucis. En résumé un casque très pratique et un très bon rapport qualité / prix.</t>
  </si>
  <si>
    <t>Boucles d'oreilles J'a-do-re..!..tout simplement , de par sa brillance extra lumineuse , j'ai des compliments de tout mon entourage....</t>
  </si>
  <si>
    <t>Chaussures de sécurité Chaussures de sécurité très confortable, la taille est parfaite et en plus elle sortes de l'ordinaire question chaussures de travail. Je suis ravie de mon achat.</t>
  </si>
  <si>
    <t>Plait beaucoup aux enfants. Amusant et peu commun</t>
  </si>
  <si>
    <t>super tout est parfait utile, suffisament grand mais pas trop . idéal pour partir en vacances ou en week end</t>
  </si>
  <si>
    <t>Bouilloire électrique avec LED bleu Je recherché un bouilloire pour remplacer un ancien. Ce bouilloire électrique a une grande capacité de 1,8L en verre.  Il faut mettre un minimum de 0,5L pour faire bouillir. L'ébullition prend place rapidement et des LED bleu s'allume en même temps.  Arrêt automatique du bouilloire, une fois que c'est terminé. Le bouilloire tient bien la température de l'eau.</t>
  </si>
  <si>
    <t>Parfait pour atelier, activité Parfait, commandé pour faire des activités avec mon fils de 5 ans elles sont super. Pas chère et très bonne qualité. Je vais en recommandé.</t>
  </si>
  <si>
    <t>Tres bien Jolie papier et prix attractif, 50m c'est énorme mais au moins on ne passe pas son temps à racheter des rouleaux de 2m qu'on a en magasin</t>
  </si>
  <si>
    <t>Joli coffret Coffret sympa, à utiliser avec un diffuseur. Les aromes sont agréables.</t>
  </si>
  <si>
    <t>Satisfait Très utile pour le séjour à la maternité. Ne pas hésiter à compléter avec des protections tigex supplémentaires. Je suis très satisfaite de la trousse.</t>
  </si>
  <si>
    <t>un régal reçu à la date prévue, emballage correct. J'ai été surprise par la taille elle est vraiment grande. J'habite une région ou l'automne est gris et pluvieux, je voulais vraiment essayer la luminothérapie. Au bout d'une semaine les effets se font ressentir. Je l'allume dès mon réveil,30 à 40 mn. Je me sens beaucoup moins fatiguée la journée et je suis de bonne humeur. franchement c'est un excellent investissement!</t>
  </si>
  <si>
    <t>Fait le travail demandé sur Bird UM1 Cette bonnette s'adapte parfaitement à mon micro Bird UM1, le son obtenu est excellent, les enregistrements sont très agréables les bruits parasites réduits.</t>
  </si>
  <si>
    <t>Satisfaite Ce sont des très beau bracelets. Ils correspondent parfaitement à mes attentes. C’est pour offrir donc parfait. Merci pour cette commande</t>
  </si>
  <si>
    <t>Satisfait mais ! Satisfait légère prend bien le pied lacet solide seule bémols les crampant s’use rapidement et une fois usé vous pouvez les jeter !</t>
  </si>
  <si>
    <t>Produit très douteux! Certainement une contrefaçon ou autre malfaçon, car le produit n'est pas reconnu par l'imprimante comme étant un produit original HP. Perte d'argent inutile. Je ne recommanderai plus jamais de cartouches par ce site. Je suis très mécontent et surtout je préfère alerter d'autres acheteurs éventuels afin qu'ils ne fassent pas la même erreur que moi. Cordialement et bienveillance à tous.</t>
  </si>
  <si>
    <t>Produit dangereux Produit dangereux, ces chaussures glisse, en plein service quand y faut courir, ça glisse, elle font mal aux pied pour une journée de travail, bref n'achetez pas ce produit sauf si vous voulez un accident..</t>
  </si>
  <si>
    <t>Pas satisfait Je suis un grand amateur de g-shock Mais la un peu déçu Le rouge n'est pas rouge comme sur la photo mais plus terne Beaucoup de décoloration futé pr rapport a les vêtements dessus.</t>
  </si>
  <si>
    <t>satisfaisant Sac bien arrivé, propre, bon état. Un peu grand peut etre mais chacun ses gouts. Produit réunissant tout ce que l'on lui demande. Pratique.</t>
  </si>
  <si>
    <t>Bon rapport qualité prix Le papier est quelque peu fragile, mais c'est toujours plus avantageux que d'acheter plusieurs petits rouleaux à un prix exhorbitant. Seul bémol...un carton énorme pour la livraison</t>
  </si>
  <si>
    <t>Jolie montre Très belle montre de la marque fossil, acheté il y a 1 an et je l ai toujours au poignet, dommage quelle coûte si chère on a pas forcément tous les moyens!</t>
  </si>
  <si>
    <t>Magnifiques Produit top qualité sonore magnifiques, réduit les bruiit de fond mais pas les brutes  comme voix ,moteur le casque est top quand on est dans l'avion il réduit à plus de la moitié les brutes des réacteur c'est un casque entre les casque a réduction de bruit active plus performants et les casque a réduction de bruit  passif c'est un bon entre dzux</t>
  </si>
  <si>
    <t>un très beau sac pour aller travailler cette besace ou cartable est vraiment très belle, grande , pratique et de bonne qualité. Le premier avantage, est la possibilité de le porter à la main, comme un cartable, grâce à sa poignée, mais aussi à l'épaule, avec la bandoulière fournie, c'est pratique.  Ensuite, les différents compartiments intérieurs sont utiles pour classer et ranger ses affaires, ordinateur portable 15", cahiers, blocs notes, portables, dossiers, etc...tout trouve sa place, il est vraiment grand.  Il se ferme par des lanières cuir qui s'enfilent dans des boucles.  Je suis ravie de ce modèle qui convient parfaitement à mes besoins.</t>
  </si>
  <si>
    <t>produit de qualité Livraison rapide. Je trouve que ce sac est très sympa. Il est bien fini, la fermeture et le tissu est de bonne qualité. La couleur est un peu sombre mais ça va bien à tous le tenues.  Je l'utilise pour apporter mon ordinateur ainsi que quelques affaires aux cours. Il est assez large et souple. J'aime beaucoup ses poches diverses, ça me permet de bien ranger. Une surprise c'est il ne fait pas mal à l'épaule même quand il est bien rempli. Bref, très bon rapport qualité-prix. Je recommande.</t>
  </si>
  <si>
    <t>Ravi Parfait très bien bon produit</t>
  </si>
  <si>
    <t>parfais Recu tres rapidement bonne qualite rien a redire</t>
  </si>
  <si>
    <t>Très belle sacoche Bonjour je suis très contente de ma sacoche elle est semblable à la photo juste plus grande que je ne le pensez mais cela ne gêne pas merci</t>
  </si>
  <si>
    <t>Très bien Tout à fait conforme</t>
  </si>
  <si>
    <t>Parfait En boutique Swatch, on m'avait assuré ne pas pouvoir remplacer mon bracelet à l'identique : ni la matière, ni la couleur. On me proposait d'autres bracelets, et ce n'était pas donné. Au final, j'ai trouvé ici : - un bracelet de couleur identique, et dans une matière plus agréable que le plastique - un prix défiant toute concurrence Et l'ustensile livré avec permet de changer le bracelet en moins d'une minute. Si j'avais su, je ne me serais jamais déplacée en boutique.</t>
  </si>
  <si>
    <t>Taille petit, prendre une pointure au-dessus de la pointure habituelle Très confortables, très bon amorti.</t>
  </si>
  <si>
    <t>Parfait ! Superbe surligneur stabilo reçu en peu de temps, l'idée que je me faisais de leurs couleurs pastel est la bonne ! Je suis vraiment ravie, prix abordable par rapport à la concurrence. Envoi soigné, pas un pet sur le carton ! Je recommande</t>
  </si>
  <si>
    <t>Une montre de qualité à très petit prix ! J'ai acheté cette montre pour les beaux jours qui arrivent. Elle est parfaite pour ça.  C'est une montre de qualité et d'une marque connue dans le monde entier. Et le prix est vraiment très attractif.  De plus, elle encore plus belle que sur la photo. Elle est parfaite sur mon poignet.</t>
  </si>
  <si>
    <t>Utilisées pour plastifier des cartes à jouer J'ai commandé ces pochettes pour plastifier des cartes à jouer personnalisées.  Imprimées sur du papier A4 puis collées sur du papier épais style Canson, les pochettes tiennent très bien sur le support, et rigidifient les cartes.  J'ai également testé sur des photos, sans problème.  Très bon produit.</t>
  </si>
  <si>
    <t>design, pratique, parfait pour toute sorte de thés bonne bouilloire très design, s'éclaire d'un beau bleu à l'utilisation; lumière qui s'éteint dès qu'on l'enlève du socle ET ne se rallume pas une fois la bouilloire remise en place sur son socle. par contre l'écran LED reste allumé mais pas rétro-éclairé. sinon la trappe fonctionne bien malgré les commentaires: certes, après avoir chauffé de l'eau elle s'ouvre partiellement du à la dilatation du plastique mais rien de gênant; d'autant qu'il est -me semble t-il -  déconseillé de faire çà sous peine de se brûler avec la vapeur. chauffe de 85 à 100°c par paliers de 5. mais rien n’empêche de chauffer à 70°c: on fixe n'importe quelle température, on suit la température sur l'écran LED, et une fois  atteinte, on arrête la bouilloire! bref très content de mon achat</t>
  </si>
  <si>
    <t>Parfait pour se réchauffer Le cousin est très doux et très agréable au toucher , je dors depuis 2 jours avec et cest le kiff totale. Il chauffe très bien et cest pas comme dautre ou tu te crame les la peau.je conseil</t>
  </si>
  <si>
    <t>okokokoko okokokoko</t>
  </si>
  <si>
    <t>Pratique, super rapport qualité/prix Vraiment pratique, en plus des biberons et tétines, j'y met les sucettes et les anneaux de dentition, Sophie la girafe y séjourne aussi parfois. Il suffit de mettre 200mois d'eau froide au fond et 5 minutes à pleine puissance dans le micro-onde. Super rapport qualité prix. Attention, quand on le sort du micro-onde c'est très chaud, personnellement je prend les maniques du four...</t>
  </si>
  <si>
    <t>Talon compensé Basket reçu avant la date prévu. Très confortable, elle sont super. Je recommande ce produit Petit hic il fait les laisser aérée au moins 1 semaine. Une odeur de fuel très tenace qui a eu du mal a partir.</t>
  </si>
  <si>
    <t>Ne recommande PAS du tout Produit de mauvaise qualite. Celui-ci glisse constamment. Et les coutures commencent deja a s ecarter, pourtant c est bien ma taille.</t>
  </si>
  <si>
    <t>Pour des boucle d oreille en argent degouter Je l ai est pris pour ma fille apenne mis au oreille l agneau a casser très dessus a du racheter des agneau plus solide je ne commanderai plus chez vous</t>
  </si>
  <si>
    <t>Déçue pour le prix Déçue pour le prix. C'est la galère pour réchauffer du lait congelé. Le chauffe biberon s'arrête alors qu'il y a encore des glaçons dans le lait. Impossible de lui dire de chauffer a nouveau. Il faut enlever l'eau, mettre plusieurs fois de l'eau froide pour qu'il accepte de se réinitialiser et fe refaire un cycle de chauffe. La galère quand on z un bébé allaité qui n'a donc les l'habitude d'attendre pour manger.</t>
  </si>
  <si>
    <t>Produit pas mal Produit et description correspondant à ce que j’ai reçu ! Satisfaite de mon achat.</t>
  </si>
  <si>
    <t>Super qualité (mais un peu cher) Ce lot de 3 biberons en verres est de très bonne qualité. Ils ont une capacité de 240mL et adaptés pour les bébés de 0 à 6 mois. Chaque biberon est fourni avec une tétine de taille M étudiée anti-colique et douce pour rendre le plus agréable possible la tétée. Elle est bien résistante. Le verre est reconnu comme moins dangereux donc j'aurai tendance à les préférer et apparemment bébé les aiment aussi !  J'ai donné ces biberons pour mon petit neveu qui les a accepté très facilement. Et effectivement l'effet anti-colique fonctionne bien. Ils se lavent très facilement. Bref mon petit neveu et ses parents sont bien contents de ces biberons ! Malgré toutes leurs qualités, je pense que leur prix (36,50€) est tout de même un peu trop élevé.</t>
  </si>
  <si>
    <t>Basket compensée Très légère et assez confortable</t>
  </si>
  <si>
    <t>Jolies baskets Jolies baskets belles couleurs - légères - adaptées pour activités sportives modérées</t>
  </si>
  <si>
    <t>Très bien Demande d’amis à l’étranger</t>
  </si>
  <si>
    <t>Produit impeccable Produit parfait</t>
  </si>
  <si>
    <t>tres joli, facile à utiliser Comme nous avons des problèmes de muqueuse sèche, nous avons eu l’idée d’acheter ce diffuseur. La manipulation est très simple. Vous pouvez ajouter différentes saveurs (huiles) à votre goût, goutte à goutte (pas trop) à l'eau. Après la mise sous tension, une sorte de vapeur d'eau sort constamment de l'appareil, ce qui rend l'air incroyablement "plus frais". Nous l'avons dans la chambre à coucher et avons le sentiment de mieux dormir depuis l'utilisation de l'appareil. Absolument recommandé.</t>
  </si>
  <si>
    <t>Parfait Magnifique :)</t>
  </si>
  <si>
    <t>Top Ras</t>
  </si>
  <si>
    <t>Chaussures féminines Pas déçue du produit Les chaussures sont très belles et féminines pour des basket Très chic les lacets et le côté vernis</t>
  </si>
  <si>
    <t>Top produit 😊 Super complet!</t>
  </si>
  <si>
    <t>Sympa J'ai eu un peu de mal à l'appairer, il faut d'abord appuyer sur les boutons sur les deux oreillettes pendant quelques secondes le temps qu'elles se synchronisent. (la notice a des fautes de français d'ailleurs) Puis on peut l'appairer avec un téléphone via le bluetooth. Une fois installé par contre ca marche bien, il dure pas mal de temps. Au bout de 5 heures la batterie était étonnement high. Le mode de chargement est cool aussi, il faut les mettre dans la boite et le connecter via le cable sur un chargeur de portable (non fourni). Il clignote de temps en temps, ca plait à mon ado. ;)</t>
  </si>
  <si>
    <t>Un bon rapport qualité prix Un modèle très  à la mode actuellement et depuis pas mal d'année déja pour un look chic et sportif. Un prix très raisonnable. Un incontournable du moment</t>
  </si>
  <si>
    <t>Je dis yes! À voir à l'usage mais ce roller est très agréable aussi bien chaud (pour améliorer l'efficacité d'une crème, d'un masque ou d'un sérum) que froid pour décongestionner les tissus. De plus les massages ne peuvent que faire du bien et drainer les tissus. Je suis ravie de mon achat et je conseille.</t>
  </si>
  <si>
    <t>Agréable Tres agréable à porter Pas déçu</t>
  </si>
  <si>
    <t>Au top Chaud ou froid c'est impeccable. J'ai une névralgie faciale dont le traitement m'indispose et ce petit  objet tout simple réduit les douleurs sensiblement. Je le recommande. Seul bémol : comme n'importe quel coussin en gel, La température revient à la normale en 20-30min, on aimerait que ca dure plus longtemps.</t>
  </si>
  <si>
    <t>Bien Correspond à la description. Produit conforme à mon attente</t>
  </si>
  <si>
    <t>Top Très bien. Dodie est la marque de biberons et tétines pour mes bambins et j'en ai essayé avant qu'elles ne soient enfin acceptées par mon aîné qui n'a pris le biberon qu'à partir de 1 an, refusant tout avant cela.</t>
  </si>
  <si>
    <t>Un très bon moyen pour aider a apprendre à lire Livre au top pour l’apprentissage de la lecture, avec quelques questions à la fin pour l’enfant</t>
  </si>
  <si>
    <t>Très bien J'ai utilisé ce casque pour écouter mes chansons en haute définition sans être perturbé par les bruits des alentours.  Et celui ci répond à ce besoin. Simplement merci.</t>
  </si>
  <si>
    <t>Modèle réussi mais recharge peu efficace Absorbeur d'Humidité qui se laisse oublier, tant par sa forme que sa taille. Livré avec une recharge dont l'absorption est faible. Désagrégé par l'humidité de 70% à 19 degré en 3 semaines.</t>
  </si>
  <si>
    <t>surtout à éviter j'ai vu la pub, je me suis dis c'est génial, bref j'ai suivi les indications pour utiliser la "gomme magique" = 5 minutes plus tard la 1ère était en mille morceaux !!! j'ai relu le mode d'emploi (= humecter, les supports sur lesquels il faut l'utiliser ...) la 2ème n'est pas morte mais pas loin. pas de bol j'ai acheté un lot de 3 paquets. bref un gros mensonge, je n'ai plus qu'à appeler le fabriquant. et en + c'est marqué 50 % + résistant, oups. comme quoi il ne faut pas se fier à la pub qui écrit "puissance extraordinaire" et ne m'appele pas wonder woman.</t>
  </si>
  <si>
    <t>Ne tiens pas facilement sur les cheveux . A tendance à glisser. Grand choix mais qualité médiocre. Ça tient sur tresses épaisses mais tombe régulièrement. Je suis mitigée.... 5/10</t>
  </si>
  <si>
    <t>je sais pas encore l'utiliser c vrai</t>
  </si>
  <si>
    <t>Untrès très bon casque Utilisation en sans fils en écoutant de la musique plutôt rock. Utilisé aussi avec télévision (film et émissions)</t>
  </si>
  <si>
    <t>rapport qualité/prix au top Marche très bien , bon son mais c'est dommage que le niveau maximum n'est pas un poil plus haut, on dirait que maintenant ce genre de produit est volontairement bridé.Ok mais bon, c'est comme la limite de vitesse ou cela va t-il s'arrêter? Bref niveau maximum utile un peu trop faible.</t>
  </si>
  <si>
    <t>Qualité Elle font très qualité, très jolies.</t>
  </si>
  <si>
    <t>Alu Bonne qualité , très résistant et fait le job sans problème.  Livraison rapide de la part d'Amazon.  Pour le prix , je ne sais pas je n'ai pas comparé.</t>
  </si>
  <si>
    <t>simple d'utilisation, semble efficace au début les jambes gonflent , après quelques utilisations la circulation semble s'améliorer, je  possède cet appareil depuis peu , je fais 3 séances par jour de 30 minutes, j'en profite pour me relaxer</t>
  </si>
  <si>
    <t>parfait !! J'avais un doute sur l'efficacité, mais après utilisation, je suis conquis ! Utilisé sur du daim couleur abricot pour gommer des traces noir, miracle !! tout est partis ! Je recommande.  Livraison tjrs au top mode Amazon !</t>
  </si>
  <si>
    <t>Pendentif cœur argent J'ai reçu ce jolie pendentif argent pour un effet Cadeau c'est idéal sauf que je les commandé pour moi je le recommande vivement 😄</t>
  </si>
  <si>
    <t>Confort et beauté Pour l'aisance de danser et de jolis pieds, très contente</t>
  </si>
  <si>
    <t>Très jolie bottines Moto</t>
  </si>
  <si>
    <t>Très pratique Ces sacs multi-usages permettent de ranger des aliments mais aussi pleins d'autres choses. Ils se ferment parfaitement et ne s’ouvrent qu'avec le curseur !</t>
  </si>
  <si>
    <t>Génial ! Appareil indispensable quand bébé boit des biberons chauds Permet de chauffer le biberon en quelque secondes , Très pratique surtout la nuit</t>
  </si>
  <si>
    <t>Efficace ! Huile essentielle très efficace pour les inflammations, diluée avec de l'huile d'arnica. Sensation de chaleur et odeur très agréable !!</t>
  </si>
  <si>
    <t>Super pratique! Je recommande!</t>
  </si>
  <si>
    <t>Renouvellement d'un achat fait il y a 3 ans Mon mari adore ces baskets qu'il porte sans arrêt. Après un 1ier achat fait il y a 3 ans, et l'usure inexorable de celles-ci, il a souhaité les recommander. Elles sont confortables et solides.</t>
  </si>
  <si>
    <t>Bon rapport qualité/prix Très pratique, facile à replier, je le lave au lave vaisselle...</t>
  </si>
  <si>
    <t>Super contente! (Je fait un 95C) J’ai d’abord commandé en L mais trop grand mais c’est une erreur de ma part ducoup je les utilise en pyjama pour traîner et pour dormir sans problème. Ducoup j’ai recommander en M et c’est parfait j’en reprendrais d’autre pour avoir toutes les couleurs c’est sur bon maintien confortable, j’aime beaucoup, et elles sont jolie en plus, et livrée avec ses rembourrage qu’on peut mettre si l’on a envie et c’est super bien emballer quoi! (photo du M)</t>
  </si>
  <si>
    <t>Top Livraison rapide et sérieuse. Je recommande. Produit conforme à la description !  ;)</t>
  </si>
  <si>
    <t>bonne qualité sacoche assez grande et de bonne qualité pour le prix . A voir dans le temps ...  je suis satisfaite de mon achat</t>
  </si>
  <si>
    <t>Très bien Très bon produit ,fait bien ce qu'on lui demande.Les points négatifs sont le mode d emploi uniquement en anglais (elle n est pas intuitive comme une simple bouilloire où il suffit de baisser un levier), le voyant bleu qui reste allumé H24 quand la bouilloire est éteinte et le fait que du coup le calcaire est bien visible ,cependant c est aussi un avantage car le fait de bien  voir le calcaire fait qu'on la nettoie plus souvent. A 100°C on fait nos œufs le matin A 90°C notre thé noir A 80°C notre thé vert Et le petit plus qui fait que je suis fan: A 40°C on fait les biberons du petit en 2 min chrono,beaucoup plus rapide et silencieux que le micro ondes, surtout pour les biberons de nuit . A acheter sans réfléchir</t>
  </si>
  <si>
    <t>Couleur très moche La couleur est loin de la photo. j'ai choisie le marin. il est 'beurk' a souhait. j'ai l'impression qu'il restait une autre couleur dans la cuve... je le passe a la machine pour voir si ça s'améliore...</t>
  </si>
  <si>
    <t>Pas du tout à la bonne taille. Beaucoup trop petit et ne correspond pas à du 46/48 français. Le tour de poitrine serre et la poitrine est écrasé, les seins vont dans tous les sens et sont raplapla. Pas l'idéal. De plus pour renvoyé après c'est plutôt chiant car il faut payé les frais de port jusqu'en Chine, soit beaucoup plus cher que l'article lui même.. Je ne retenterai pas l'achat d'un produit chez eux.</t>
  </si>
  <si>
    <t>Déçue pas solide a craqué au départ trop fine : ce qui induit que la solidité de la chaine laisse à désirer, elle a craqué le 2ème jour ! déçue</t>
  </si>
  <si>
    <t>Montre Très jolie mais doit être ajusté au poignet</t>
  </si>
  <si>
    <t>J’aimerais plus de détails pour les tailles Le produit était trop grand c’est pour homme mal expliqué sur les taille j’ai perdu beaucoup de sous en voulant faire des économies à acheter moins chère très déçu 😔</t>
  </si>
  <si>
    <t>Sacoche 20 cm Ne correspond absolument pas au visuel : cuir granulé souple de bonne tenue couleur marron mais belles finitions et bonne odeur de cuir. Plein de poches. Cadeau sympa. Dommage cependant qu'il manque un centimètre en hauteur pour y placer un chéquier ou une enveloppe. Emballage soigné, commande complète. Satisfaite également de la livraison parfaite le jour indiqué par Amazon.</t>
  </si>
  <si>
    <t>Au top Prendre une taille au dessus, très belle couleur. La languette est assez rigide. Les paillettes tombent un peu en début d'utilisation mais je pense que c'est seulement le surplus</t>
  </si>
  <si>
    <t>Au prix où elle est, elle est très bien Super à l'aise dedans. J'attends de voir dans le temps cette histoire de semelle interne.</t>
  </si>
  <si>
    <t>Très bon casque, qualité et confort Cherchant un casque pour remplacer un sennheiser hd200, (oui c'est vieux;)  j'ai pris le temps de choisir celui qui pourrait me permettre d'écouter de la musique et des vidéos sur PC et jouer de la basse sur PC (appartement) via un guitar link, paquet reçu dans un bel emballage, jack adaptateur (3.5/6.5) fourni, câble de qualité, grands écouteurs entourant largement l'oreille tout en laissant les bruits extérieurs pénétrer bien que filtrés. (demi-ouvert) Le son est largement plus faible qu'avec les Sennheiser, (augmentation d'un tiers pour avoir lke meme niveau) mais quelle couleur du son ! Chaque note est claire et cristalline, sur des flac c'est le bonheur, basses profondes et aigus très purs. Avec la basse c'est parfait sans gêner personne je retrouve presque le son de l'ampli.  Casque très léger (meme si après plus d'une heure on transpire un peu avec les coussinets cuir mais je n'ai pas testé le velours), bien fini et demi-ouvert pour ne pas s'enfermer dans une bulle, pour moi, il est presque parfait.  Le bémol étant le volume un peu bas obligeant à relever le niveau de sortie (par rapport au Sennheiser) et les oreillettes inamovibles (on ne peut pas les orienter ou les tourner)  Résumé: très bon casque, le prix est largement justifié, du haut de gamme à prix raisonnable.</t>
  </si>
  <si>
    <t>Excellent produit Il faut juste apprendre à s'en servir et ensuite le résultat est parfait. Comme la résistance reste chaude une fois la température désirée atteinte, il faut la régler 5 degrés en dessous du seuil désiré et voilà le tour est joué. Très esthétique et excellent rapport qualité / prix.</t>
  </si>
  <si>
    <t>Pratique Pratique à la bonne taille pour transporter le repas de bébé. Les couleurs et motifs sont au top. Garde bien au froid et même au chaud.</t>
  </si>
  <si>
    <t>Aiguille tourne disque Tres bon produit dans un emballage digne d un bijou je vous le conseille vivement</t>
  </si>
  <si>
    <t>Tres bien Super. Recu rapidement avec tetine niveau 2, ce que je voulais super. Et prix tres recommandable vu le prix des pharmacies.</t>
  </si>
  <si>
    <t>Nickel Classiques Converse, j'adore</t>
  </si>
  <si>
    <t>Bon casque Envoi très rapide, nous l avons essayer le soir de sa réception. Mon fils est ravi. Il peux parler en réseau, le son est bon (sur ps4) Et le branchement très simple Bon produit Je recommande</t>
  </si>
  <si>
    <t>Étiquettes imprimables Super pour imprimer toutes les étiquettes de mes élèves !</t>
  </si>
  <si>
    <t>Excellent Tout est dit pour les bienfaits du corps seul bémol il est écrit qu'il existerai 25 exercices différents mais aucun écrits ni explication ou la manière de les faire. A part ça nickel ça fait du bien.</t>
  </si>
  <si>
    <t>avis montre casio marque de qualite et de fiabilite reconnue;recue le lendemain de la commande . emballage en parfait etat rien a redire</t>
  </si>
  <si>
    <t>conforme a l'attendu délais livraison ok Bon matériel prix ok</t>
  </si>
  <si>
    <t>très bien fait le job, bien emballé, de bons câbles fournis avec. Ne chauffe pas même durant son utilisation intensive. Je recommande.</t>
  </si>
  <si>
    <t>Comme prévu. La montre est simple, mais sombrement efficace voyez-vous je ne m'en sépare plus. On peut la porter avec n'importe quoi elle passe toujours inaperçu, en tenue de sport comme en tenue de ville. Je suis fan des cadrans numérique, facile à lire et bien plus précis qu'une simple montre à l'ancienne. Pourtant le style semble un peu " à l'ancienne" et cela me plait beaucoup. L'un des boutons permet d'éclairer le cadran, très utile dans la nuit, ce détail compte énormément pour moi. Bref, je la recommande ! ( petit détail, elle résiste à l'eau )</t>
  </si>
  <si>
    <t>top !! pk payer une fortune sur le site dolcegusto quand celui ci fait parfaitement l'affaire ! jai pu avec un flacon nettoyer la bouilloire et la cafetière !</t>
  </si>
  <si>
    <t>Nike air Nickel</t>
  </si>
  <si>
    <t>Parfait ! Fonctionnel ! J'ai utilisé ces étiquettes pour marquer notre matériel de pratique en tissu, tous en coton (couvertures, housses, sacs). Facile à découper et à poser, avec un simple petit fer à repasser de voyage. L'écriture est très lisible. Elle semble juste un peu pâle à voir comment elle se comporte après lavage. Le gris est ok. Une encre de couleur aurait été peut-être plus jolie. Mais bon, it does the job. Et c'est très bien !</t>
  </si>
  <si>
    <t>Trop petit Chaussons trop petit pour la taille indiqué</t>
  </si>
  <si>
    <t>Je conseil pas Déçu sa fonctionne pas super bien</t>
  </si>
  <si>
    <t>article renvoyé elles chaussent beaucoup trop grand et si vous avez le pied un peu large elles ne sont pas du tout confortables  bref je me suis fié aux dires des gens sur comment les baskets taillent et je n'aurai pas dû</t>
  </si>
  <si>
    <t>un peu déçue Confortable au niveau des bretelles, mais les trois petits crochets de fermeture dans le dos ne sont pas pratiques (difficile d'en fermer plus de deux d'un coup, et quand on veut fermer le troisième, les premiers se rouvrent....) D'autre part, le côté "respirant", ce qui m'intéressait le plus, est efficace sur les bretelles, les bonnets, et sous les bras, mais au retour d'une rando, l'élastique du bas était trempé !! Suis-je la seule à transpirer à cet endroit-là ?</t>
  </si>
  <si>
    <t>Fonctionne bien après 1 an d'utilisation sur le plan technique rien à dire. charge super bien. Se met à l'heure automatiquement. Le bracelet se règle sans aller chez le bijoutier. Très fonctionnelle.</t>
  </si>
  <si>
    <t>Très bien Facilité d'utilisation, colle assez bien. Petite pointe de colle spéciale textile pour maintenir 2 couleurs de rideaux sur tringle entre 2 pièces, recto-verso. Parfait aussi pour maintenir une nappe sur une petite table de cuisine, 1 face collée sur l'envers de la nappe (2 sur longueur et 1 sur largeur au milieu) et l'autre sur la tranche du plateau de la table en vis à vis. Ne sais pas encore si ça tient au lavage mais avec autant de paires, pas trop grave.</t>
  </si>
  <si>
    <t>Joli Bon rapport, qualité prix. Prit XL pour une taille L habituelle.</t>
  </si>
  <si>
    <t>Biberon répondant aux attentes de base Comme d'habitude, très bon biberon, à changer très souvent car le liquide prend vite le goût du plastique... Je goûte donc régulièrement le contenu pour savoir quand changer le biberon. Niveau tétine, rien à redire.</t>
  </si>
  <si>
    <t>Fonctionne parfaitement . Sonorisation action caméra</t>
  </si>
  <si>
    <t>écouteur original Parfait, correspond en tout point à la description, envoi rapide et prix attractif</t>
  </si>
  <si>
    <t>Super super C est trop cool ....de superbe pom pote ....fonctionne très bien...se congele bien...et de la place pour écrire sur l emballage.....</t>
  </si>
  <si>
    <t>Sélectionner sa pointure habituelle. Chaussures identiques à la photo et à la description.</t>
  </si>
  <si>
    <t>Bien Très pratique et facile à nettoyer</t>
  </si>
  <si>
    <t>Très bon casque Ce casque est très bon. J'ai voulu mettre le prix et je ne suis vraiment pas déçu. Le son est vraiment très bon, avec de très bonnes basses. Les commandes sur le casque sont faciles à utiliser. Il est livré avec plusieurs câbles, dont un câble jack et son adaptateur, plutôt pratique lorsque le casque est déchargé et inutilisable en bluetooth. D'ailleurs la charge tient bien (environ 10h avec utilisation intensive). LE casque est agréable à porter et très confortable. Il est réducteur de bruit pour s'isoler encore plus. Très bon produit.</t>
  </si>
  <si>
    <t>Grill pain Très bien</t>
  </si>
  <si>
    <t>Convient à tout type de cuisinière Facile d'utilisation. J'aime son style vintage. Il s'adapte à tout type de flamme ou plaque</t>
  </si>
  <si>
    <t>impec stickers de différents tailles et couleurs permettant de travailler avec notre fils la motricité fine, et les algorithmes,répond à nos besoins, même si certains sont vraiment très petits, on aurait préféré moins d'autocollants mais plus gros</t>
  </si>
  <si>
    <t>au top mon ami est ravi de cette pochette qui est de super qualité et bon rendu, il peu y mettre son porte feuille, son téléphone et tout ce qui lui semble utile, ne se déforme pas, top achat!</t>
  </si>
  <si>
    <t>Parfait! Cette paire de NB correspond tout à fait à ce que je voulais!</t>
  </si>
  <si>
    <t>Agréable de contrôler la température et voir le niveau d’eau Chauffeur l’eau très rapidement</t>
  </si>
  <si>
    <t>Tres bon produit pas cher à renouveler chaque année Tres bon produit pas cher à renouveler chaque année car perd un peu de texture à force des lavage (bouloche)</t>
  </si>
  <si>
    <t>Très bon produit ! Produit très utile pour les présentations. L'objet a été envoyé très rapidement et fonctionne parfaitement ! Au top ! Je le recommande vraiment</t>
  </si>
  <si>
    <t>super agréable je le porte tout les jours , il est pratique la couleur est sympa , le prix était plus intéressant sur Amazon que pour une polaire chez décathlon et je remarque que la qualité est meilleur.</t>
  </si>
  <si>
    <t>Pratique et esthétique Sac isotherme très pratique avec assez d'espace pour enmener biberons et petits pots.</t>
  </si>
  <si>
    <t>Tout est dit dans les évaluations, c'est décevant !!! Rien à dire de plus! C'est du très bon marché à prix incorrect ! Décevant !</t>
  </si>
  <si>
    <t>pull de tres mauvaise qualitée produit transparent de qualitée très moyenne. tout juste bon à faire les vitres et encore. au bout de deux lavanges c'est devenu un torchon</t>
  </si>
  <si>
    <t>Trop large J’ai commandé ce t-shirt en taille M, ce qui est normalement ma taille mais il est trop long et beaucoup trop large. La coupe est raté. Je recommande pas ce t shirt!</t>
  </si>
  <si>
    <t>Bon produit La tirette pour découper le film étirable, c'est le top et la boîte est rigide donc c'est très facile pour poser le film .</t>
  </si>
  <si>
    <t>simple et sympa Mon fils a trouvé ces baskets confortables et a apprécié leur simplicité. Il trouve juste que l'avant de la basket est un peu large mais au moins son pied n'est pas comprimé quand il met des chaussettes de sport assez épaisses</t>
  </si>
  <si>
    <t>trop bien pour  une atmosphère agréable pour assénir l'air ambiant de la maison "lavande,eucaliotus" etc</t>
  </si>
  <si>
    <t>Chauffant et fiable pas mal du tout, sauf la jonction (raccordement?) électrique sur le coussin qui peut rentrer dns les côtes si mal placé.  Dommage qu'il ne soit pas livré avec une house car comment trouver une  housse à sa taille, mystère. On le dit lavable mais néanmoins j'aurais aimé qu'il soit livré avec une protection</t>
  </si>
  <si>
    <t>Conforme au descriptif Aspire bien mais programmation marche 1 fois sur 2. Utiliser la télécommande a 1 mètre. Bon rapport qualité prix. Un peu bruyant.</t>
  </si>
  <si>
    <t>chifon de cirage excellente pour l'application le produit il donne de la brillance a mes botte il reste bien en main alor merci.</t>
  </si>
  <si>
    <t>Le top qualité prix Excellent rapport qualité prix. Un look sympa, toutes les fonctions nécessaires. J'ai gardé 5 ans la précédente avant de la perdre. Pas une seconde de décalage en 5 ans sans changement de pile. J'ai racheté la même !</t>
  </si>
  <si>
    <t>Conforme à l’an’once Pour un cadeau</t>
  </si>
  <si>
    <t>Bodum 1812-01 Theière À Piston Assam Filtre Inox 0,5 L Excellent produit le piston permet de révéler tous les arômes. Attention verre fin et fragile sinon à recommander sans problème</t>
  </si>
  <si>
    <t>Super aspirateur Super appareil. Léger. Silencieux. Il est parfait pour aspirer les poils de notre chien plusieurs fois par jours. En vitesse 1 l'autonomie est très satisfaisante. 45 mn. L'entretien des filtres est facile à démonter. Un coup de soufflette et c'est répartie ! Je le rachèterai sans hésiter. Pour le prix il est top.  Pour ma part il fait le job aussi bien qu'un Dyson !</t>
  </si>
  <si>
    <t>Très bien Pull bien livré, rien à redire car il correspond à la photo. A recommander pour offrir si votre amie aime les truc kawaii</t>
  </si>
  <si>
    <t>C'est un très jolie sac C'est un très jolie sac, de bonne qualité et solide et j'en suis fière de l'acheter pour mon fils et je suis sûre qu'il va être heureux de l'avoir</t>
  </si>
  <si>
    <t>Génial ! Les gens qui se plaignent que les boules à l'intérieur sortent ou que la semelle s'arrache, normal vous n'avez pas l'air d'avoir lu la notice mais on ne doit pas marcher avec !!! Ils servent seulement à se réchauffer les pieds quand on est sur le canapé par exemple ! Ils tiennent bien chaud, ils sont efficaces à ce à quoi ils sont faits pour :)</t>
  </si>
  <si>
    <t>Super ! Bon produit, qualité irréprochable chez puma. J'ai toute la gamme (boxer, chaussettes, t-shirt, pantalon, sweat, chaussures, blouson...). Les chaussettes sont bien taillées. Confortables et beau produit.</t>
  </si>
  <si>
    <t>RAS L'article conforme à la description. Les chaussures taillent bien et sont confortables. Je suis satisfaite de mon achat. Envoi dans les délais.</t>
  </si>
  <si>
    <t>Au top Je n'étais pas fan de Converse mais c'était avant, et avec ce modèle cuir, on allie confort et sport casual chic, parfaites. La pointure correspond bien. Je recommande :)</t>
  </si>
  <si>
    <t>Achat veririfier Nickel rien d autres a écrire</t>
  </si>
  <si>
    <t>Oh, oui..... superbe montre Suite à une newsletter de Dealabs, j'ai vu une petite promotion sur cette montre.... J'en avais acheté une, en 2007, 250€... au lieu de 450€ dans un magasin qui allait fermer définitivement, et j'étais super content de cette montre, jusqu'à presque fin 2015, où elle s'est arrêtée, hélas, définitivement.. Irréparable, car batterie morte et pas possible de la changer. Bref, cette montre-ci lui ressemble beaucoup, certes un peu plus épaisse, un peu plus lourde également... mais que de qlques grammes, en revanche, le cadran de celle-ci est superbe, et plus beau que "mon ancienne", et, beaucoup moins chère que ma 1ère. Je ne suis pas un "agent Casio", mais je la recommanderai fortement.</t>
  </si>
  <si>
    <t>Très bon modèle d un super qualité. Je recherchais un sac à  dos d un petit volume et très bien conçu  il est parfait et correspond parfaitement au descriptif.</t>
  </si>
  <si>
    <t>taille une taille en dessous Je n'ai pas des pieds spécialement grands ni larges, mais je chausse du 43.5 et j'ai acheté ces nikes en 44, et elle étaient vraiment trop petites. Ca faisait mal sur le coté extérieur du pied. Je les ai donné à un ami. Déçu, surtout qu'elle sont introuvables au prix que j'avais payé à l'origine.</t>
  </si>
  <si>
    <t>la taille j'ai pas aimée sa va pas il est trop petit desolé</t>
  </si>
  <si>
    <t>Très bonne chaussures Chaussures acheté pour la récup après les randos. Taille un peu juste mais j'avais pris la taille au dessus et je les perdais en machant. Comptent de mon achat</t>
  </si>
  <si>
    <t>Bébé est ravi Compact, sobre et simple d'utilisation, même mon compagnon à tout de suite comprit le fonctionnement de l'appareil. Les cinq niveaux de chauffe permettent un réglage précis pour le bonheur de bébé, l'ouverture large et le gros bouton permet de s'en servir à une seule main, ce qui est bien pratique quand l'enfant a décidé qu'il était l'heure TOUT DE SUITE ^^  Maintenant, les reproches. - Il ne possède pas de signal sonore ou visuel de fin de chauffe. - Il a une chauffe pas très rapide  Mais c'est malgré tout un produit de bonne qualité, mais un peu cher compte tenu de ses défauts</t>
  </si>
  <si>
    <t>Pas de 1/2 pointure . Trop petite en taille 42 et trop grande en taille 43 . Dommage je les revois une fois de plus .</t>
  </si>
  <si>
    <t>Tres bon produit J'ai choisi ce tire lait a cause des bons reviews qu'il avait et je ne suis pas decu. J'avais deja teste 2 autre tires lait loues, le Ardo Calypso et Lactalina Personal mais je trouve que celui la est un peu mieux surtout a cause de sa taille petite et le set de pompage qui est tres bien. Le sac fournie avec le rende encore plus pratique a transporter. Par contre il faut pas non plus s'attendre a un apareil qui fait des miracles, la quantite de lait exprime ne va pas augmeter de bcp plus, c'est plus une question de confort et de temps qu'on passe pour exprime le lait.</t>
  </si>
  <si>
    <t>taille impeccablement Livraison en point relais avant la date prévue pourtant au moment des fêtes. pointure conforme- Il faut juste prévoir d'avoir des chaussettes un peu épaisse et montante car le cuir frotte sur le devant, mais ce sont des chaussures de sécurité. donc très bon produit.</t>
  </si>
  <si>
    <t>produits conforme Conforme à la description.</t>
  </si>
  <si>
    <t>Très bonne qualité, très imperméable Ce trench-coat à manches longues est très imperméable. Quand j'ai pris une robe la veille, il pleuvait. Je l'ai sorti pour qu'il reste sous la pluie. C'était mieux que ce que je pensais. Il était résistant à la pluie. Mettez-le dans un endroit ventilé et faites-le tout en même temps. J'aime un vêtement très pratique qui doit être mon bon compagnon en hiver.</t>
  </si>
  <si>
    <t>Bonne chaussures J'ai pris la taille 39, c'est ma taille en général. Donc parfait ! Si tu veux que ce soit un peu plus large, prend une taille au dessus sinon prend ta taille habituelle. C'est la première fois que je prend de la marque. Très confortable pour marché longtemps, très joli. J'adore</t>
  </si>
  <si>
    <t>Inusables, à acheter les yeux fermés Superbes</t>
  </si>
  <si>
    <t>Super confortable Agréable et légère</t>
  </si>
  <si>
    <t>Bonne capacité Utilisations courantes d'impression</t>
  </si>
  <si>
    <t>Baume du tigre de qualité Ce lot de patch baume du tigre est très efficace contre les douleurs. Mon papa en utilise régulièrement après les randonnées. Je recommande</t>
  </si>
  <si>
    <t>Écouteurs  moderne ! Ecouteurs avec un design élégant  et moderne.  Très  facile à  utiliser par paire ou seul. Le son est de bonne qualité.  C'est un produit que je recommande.</t>
  </si>
  <si>
    <t>top Super look, super confort, super accroche au sol, J ai dû en recommander une 2 ème paire, mon fils en est ravi</t>
  </si>
  <si>
    <t>Conforme à la photo Couleur conforme Taille impeccable</t>
  </si>
  <si>
    <t>parfaites ni trop grosses ni trop petites, elles sont parfaites !</t>
  </si>
  <si>
    <t>Client très satisfait G-shock toujours au top cette montre est fabuleuse et super légère on ne la sent même pas Je recommande cette article à tout les accros de g-shock Merci a amazon pour la rapidité de livraison.</t>
  </si>
  <si>
    <t>bonne qualité le produit est de bonne qualité, belle finition, la taille est respectée. original avec son lacet sans noeud. Je conseille</t>
  </si>
  <si>
    <t>Qualité et confort sport Une super qualité. Hyper confortables. Légères. Taille impeccable ! Agréable surprise ! Élégantes et confortables.</t>
  </si>
  <si>
    <t>Nickel Dès que je dois acheter de l’accessoirie pour PC ou smartphone j'ai le réflexe UGREEN sur Amazon. Je trouve exactement ce que je veux et dans la qualité que je veux. Tous mes encouragements pour maintenir ce niveau de qualité et prestation.</t>
  </si>
  <si>
    <t>Produit défectueux et 'made in china'.. Le produit a des défauts. Le plus visible c'est la marque que les manches laissent apparaître sur les côtés du sac car je pense que c'est mal concervé (voir photo) . Sinon c'est un produit 'made in china', et on trouve même pas d'étiquette sur le produit concernant les matières utilisées.</t>
  </si>
  <si>
    <t>Verre rayé Bonjour, j'ai reçue la montre pagani design automatique (Or-Noir) à la date prévue. Le Verre à 3 grande rayure , je suis vraiment déçus</t>
  </si>
  <si>
    <t>Décevant Matière trop fine et trop extensible. Peu de maintien</t>
  </si>
  <si>
    <t>trés lent a recevoir comme beaucoup de colis qui vienne pas a date très apprécier mais manque de temps pour recevoir vos colis a votre date pour faire un cadeau</t>
  </si>
  <si>
    <t>Pas mal du tout. Très beau sweat. Bien coupé et bien cousu Avec un bon tissu. Cependant il taille assez petit, si vous êtes habitué au coupe carhartt ou dickies. Le XXL timberland est trop petit pour moi, alors que le XL carhartt est très bien.</t>
  </si>
  <si>
    <t>bon Merci a celui qui a prévenu qu'il faillais prendre une taille en dessous c'est vais il taille un peu large</t>
  </si>
  <si>
    <t>Presque top Bien pour les grands pieds et les pieds larges ! Se deforment un peu après une machine mais ca reste confortable par rapport aux 43-46 qui vous compressent les pieds ;)</t>
  </si>
  <si>
    <t>rouleau de jade Envoi rapide et soigné. Je vais le tester pour voir s'il y a un résultat.</t>
  </si>
  <si>
    <t>paraît génial</t>
  </si>
  <si>
    <t>Diffuseur o top &amp;amp; déco. Bonjour excellent fonctionne bien clapotis agréable du tout désagréable bref que du bonheur merci a vous.</t>
  </si>
  <si>
    <t>Sympa petit et design Diffuseur très peu encombrant , plusieurs couleurs de lumière et fait pas mal de fumée exactement ce que je recherchais sans dépenser trop hyper satisfait de mon achat</t>
  </si>
  <si>
    <t>cartouches d'encre Mipelo les cartouches d'encre vendues, compatibles avec mon imprimante Epson XP520 d'après le descriptif, ne sont pas acceptées par celle-ci. J'ai donc des cartouches dont je ne sais que faire.</t>
  </si>
  <si>
    <t>une merveille suite à un reportage sur la Corse, j'ai voulu tester l'huile d"immortelle sur mon psoriasis. je constate après quelques jours, une amélioration.</t>
  </si>
  <si>
    <t>Excellents écouteurs. son clair. utilisation facile. Ces écouteurs sont très légers et surtout tiennent très bien aux oreilles et ils ont un son clair, sans grésillement. Initialisation et connexion BT facile. Le boitier-chargeur est équipé d'un affichage qui renseigne sur l'état de charge des écouteurs, et ça c'est très utile. Les fonctions volume, prise communication, etc... super simple à utiliser. Touches tactiles efficaces qui facilite l'utilisation des écouteurs. La portée chez moi est d'une quinzaine de mètres de l'intérieur de ma maison jusqu'à l'extérieur, à travers des murs. C'est sûr, je rachèterai les mêmes.</t>
  </si>
  <si>
    <t>j'adore très belle et confortable</t>
  </si>
  <si>
    <t>appareil de massage le  matériel se positionne bien comme une écharpe . le massage est efficace et décontractant pour les cervicales. A acheté absolument</t>
  </si>
  <si>
    <t>Produit efficace Je n’ai pas encore essayé le baume, mais le nettoyant est formidable, j’ai réussi à faire partir des traces impossibles à enlever avec d’autres produits.</t>
  </si>
  <si>
    <t>RAS Conforme à mes attentes.</t>
  </si>
  <si>
    <t>satisfaite Chaussures de très bonne qualité et à la bonne taille. Je recommande.</t>
  </si>
  <si>
    <t>Tres belle montre Belle montre. Beau cadran bleu turquoise avec des reflets rougeâtres au soleil. La fermeture du bracelet est sympa et le tout est de bonne qualité, j'en suis plus que content.  Elle est imposante et attire l'oeil.  Je n'ai eu que des compliments dessus.  Livrée dans une boite diesel carré, la montre etant posée sur un petit coussin en simili cuir a l'intérieur.</t>
  </si>
  <si>
    <t>Excellent produit. J’utilise ce câble pour faire sortir du son stéréo de ma table de mixage vers mon enceinte. Le câble est fidèle à la description !</t>
  </si>
  <si>
    <t>Excellente en usage sédentaire Je l'utilise tous les jours au bureau (open space donc assez bruyant) associé à un ampli USB (nécessaire pour donner toute sa puissance). J'en suis très content, il masque très bien les bruits (mieux que mon précédent Bose QC3), la qualité audio est excellente à ce niveau de prix (avec une bonne qualité en source, j'ai l'impression d'être dans mon salon) et globalement il est confortable. Un must.</t>
  </si>
  <si>
    <t>Bon rapport qualité prix Je cherchais des chaussons remboursés et hauts, ceux ci font l'affaire bien que non rembourres. Le prix de 24€ était donné vu la marque.</t>
  </si>
  <si>
    <t>Parfaite Très bonne qualité. Pointure parfaite.</t>
  </si>
  <si>
    <t>Bien Super pratique pour mettre sur les tetine qui non pas anneau type Mam comme ca on peu mettre l'attache sucette sans probleme</t>
  </si>
  <si>
    <t>Trop cher Beaucoup trop cher par rapport à la qualité du produit. Les tiges se déforment pour un rien. j'aurais su, j'aurais mis 5€ max, pas plus.</t>
  </si>
  <si>
    <t>Prix attrayant mais authenticité douteuse Baskets Vans vendues par le vendeur "hxjktxkul" dont je doute grandement de l authenticité étant donné qu elles ont été expédiées sans leur emballage d origine mais emballées dans des sachets en plastiques... de plus pour des chaussures mixtes, elles sont tout de même très larges alors que je n ai pourtant pas un pied fin.</t>
  </si>
  <si>
    <t>Ben non !!! Pas bien pour écrire. J'en ai pris 2 mais le porte pointe se devisse tout seul. Pas bien du tout.</t>
  </si>
  <si>
    <t>vendeur super bien, très commercant et professionnel ! Taille petit. Nous avons pris une taille au dessus : OK En revanche il y a un problème sur les 2 chaussures. Une des chaussures ne fonctionne pas du tout. ET la deuxième bug Nous avons contacté le vendeur qui nous a renvoyé une paire spontanément sans aucune difficultés.</t>
  </si>
  <si>
    <t>Bon rapport qualité prix mais taille trop juste.. Chaussures de sécurite</t>
  </si>
  <si>
    <t>Beau produit Très satisfaite de cet achat.</t>
  </si>
  <si>
    <t>Top L'article corresponds à la description et aux photos. J'en suis très satisfait la qualité est au rendez vous. Matière épaisse et bien chaude, très bel article j'en suis satisfait</t>
  </si>
  <si>
    <t>ATTENTION A LA TAILLE Attention a la taille, je fais du 37 j'aurais du prendre du 36, une taille en plus, sinon très bon produit et jolie couleur comme sur la photo.</t>
  </si>
  <si>
    <t>Hyper pratique et resultat impeccable. Bon rapport qualité prix. Resultat impeccable. Résistant apres plusieurs lavages</t>
  </si>
  <si>
    <t>très bon produit et livraison ok je suis ravie de ce produit, ayant des animaux à la maison je lave leur tapis et tissus avec un bouchon de sanytol au moment du rinçage et plus d'odeur persistante après le séchage. Je l'utilise également pour les chaussettes et serviettes de toilette.</t>
  </si>
  <si>
    <t>Vendeur fiable Je suis très contente du collier bébé ambre multi couleurs. La qualité est bonne. La livraison à été plus rapide que prévu. Rien à dire de négatif. Je vous recommande ce vendeur.</t>
  </si>
  <si>
    <t>Belle qualité, chauffe rapidement Pour commencer je dirais que la matière de la couverture est très agréable. Le branchement est fait de façon à ce qu'on puisse la passer au lavage. Elle n'a pas bougé après un passage au lave linge et sèche linge. La rapidité de chauffe est exceptionnelle et dure 10heures. Je l'ai acheté pour mon veau père qui est très frileux, et il est ravi.</t>
  </si>
  <si>
    <t>TBS Je connaissais ce produit et cette référence donc pas de surprise.Cette chaussure est très agréable au pied  et très confortable parfait . cdt Patrick</t>
  </si>
  <si>
    <t>Genial Reveil acheté pour ma copine, qui n'en pouvait plus de son portable comme reveil, cela lui change la vie ! Reveil tout en douceur le matin grace à la lumière, puis la radio pour les "matins difficiles". Deux points négatifs : - Si vous êtes sensibles à la lumière, la lumière se déclenche progressivement 1/2h avant l'heure programmé ! Du coup on peut être réveillé avant l'heure normale ! - Pas de piles dans le reveil : Si les plombs sautent, bonjour la reconfig manuelle ! C'est assez idiot tout de même</t>
  </si>
  <si>
    <t>Élégant Très facile d'avoir un bureau rangé et agréable à regarder. En association avec le porte-revues et le trieur 3 tiroirs.</t>
  </si>
  <si>
    <t>Qualité et finition très satisfaisantes Très simple d'utilisation, capte bien les poussières</t>
  </si>
  <si>
    <t>Parfait Bien reçu.  Commande tout à fait conforme</t>
  </si>
  <si>
    <t>Super Des baskets de bonne qualité</t>
  </si>
  <si>
    <t>un article de qualité enfin des chaussures qui ne font pas mal aux pieds, confortables pour les personnes ayant des petits problèmes pour se chausser. un grand merci</t>
  </si>
  <si>
    <t>CONFORME Conforme à la description, c'est très bien travaillé. RAS</t>
  </si>
  <si>
    <t>Parfait pour débuter dans l'observation du microcosme Petit ouvrage bien construit pour débuter pas à pas, donner des idées à nos jeunes curieux: quoi et où prélever? Apprendre à collecter des échantillon, faire les prélèvements, effectuer les préparations, les colorations, les fixer etc. L'observation, la description, la tenue d'un journal. Eléments de naturalisme, etc. Plein d'idées d'expérience et d'observations. Les conseils et les précautions à prendre pour réussir.  Voici le sommaire qui donnera une meilleure idée du contenu: 1) Voir les petites choses en grand 2) Exploration des habitats (écorces, vieux bois, restes, sol, bouse de vaches, prairie, mare...) 3) Le microscope (les différentes parties, le maniement, l'entretien, le matériel annexe) 4) Première observation 5) La vie dans un goutte d'eau (revue des microorganismes communs) 6) Le monde des algues 7) Composition des plantes (pollens, feuilles, etc) 8) Découper et colorer 9) Mousses lichens et fougères 10) N'aie pas peur des araignées 11) Les insectes vus de plus près 12) Préparation durables (se confectionner une collection de préparations que l'on pourra garder, maniement de la glycérine-gélatine) 13) Sang et cheveux (poils, crins, etc) 14) Le monde merveilleux des cristaux 15) Sur les trace de la lumière (éléments d'optique, comment fonctionne une loupe, qu'est-ce qu'une distance focale, etc.) 16) Rendre les atomes visibles (introduction à la microscopie électronique) 17) Le microscope et la science 18) Microprojets (envie d'analyser la qualité d'un étang? La vie microscopique dans ton aquarium... etc.) 19) Glossaire  Evidement, ce livre trouve toute son utilité si on possède un microscope de bonne qualité. Il existe un site internet que vous trouverez avec quelques mots clefs et qui propose un comparatif bien utile pour guider l'achat. Pour moins de 100 Euros, il y a de quoi acquérir un microscope tout à fait correct et que l'on peut même brancher sur un PC avec lequel on pourra photographier les observations.</t>
  </si>
  <si>
    <t>Très bien Super diffuseur à huile électrique je le recommande à 100%. Ne fait aucun bruit lumière sympathique !! Merci</t>
  </si>
  <si>
    <t>Vraiment confortable Je ne regrette pas mon achat vraiment magnifique</t>
  </si>
  <si>
    <t>L'un des meilleures micro du marché ! Je suis hyper content de possédé ce micro parce qu'il est vraiment génial, mes amis me l'ont recommandé et franchement pour son prix on ne peut rien lui reprocher, il est beau et fonctionne vraiment bien, je fais des vidéos YouTube et la qualité est vraiment génial, pas besoin de payer plus pour avoir mieux! Je trouve que c'est le meilleur rapport qualité-prix ! N'hésitez surtout pas pour l'acheter ! Attention je parle de ce produit étant gamer, je ne suis en aucun cas chanteur *</t>
  </si>
  <si>
    <t>pas terrible j'ai acheté ces feutres aux 10 mois de mon fils pensant qu'ils allaient lui survivre un peu vu les promesses avancées sur la boites. Il n'en etait rien au bout d'une semaine 3 n'avait déjà plus de mines ! les mines sechent très vite ! en bref je ne recommande pas ce produit d'autres concurrents font de bien meilleurs feutres enfants pour le même prix</t>
  </si>
  <si>
    <t>Chaussure très molle Chaussure chaude peu être mais ressemble a des chaussons au bout d'une semaine, pas la moindre tenue, s'affesse et se deforme</t>
  </si>
  <si>
    <t>Coloriages enfantins Livre très très enfantin comme dit dans un autre commentaire. Beaucoup plus que celui des chevaux dans la même collection. Un peu déçue du coup, mais ça fera des heureuc quand même..</t>
  </si>
  <si>
    <t>Mauvaise qualite Produit pas chere, mais de mauvaise qualite. Je ne conseille pas</t>
  </si>
  <si>
    <t>Résistant Produits solide</t>
  </si>
  <si>
    <t>Bel ensemble fluo pour ma fête. Commande reçue rapidement. Merci Amazon. Ce lot d'articles fluos va me servir pour mon anniversaire (Mes 50 ans) avec le thème (Ça va de soi) année 80 fluo. J'ai une lampe lumière noire et mise à part les bracelets et boucles d'oreilles, tout est flashi ! Seul le bracelet orange ressort bien. Par contre les colliers perles sont pétillants de lumières. Bémol également pour les boucles d'oreilles. Elles sont avec un peu de paillettes mais ne reflète pas le fluo mauve. On ne peut tout avoir . . .</t>
  </si>
  <si>
    <t>Ma femme ne le quitte plus Colis reçu après 2 jours, dans une enveloppe Amazon trop petite. Heureusement, le pendentif et le collier était dans leurs écrin orange, plutôt jolie.  a l'intérieur de celui ci, il y avait une petite poche doré, ou à l'intérieur se trouvait une petite poche ZIP ou il y avait -enfin- le collier et le pendentif.  ça fait quand même beaucoup de couche de protection pour un simple collier.  Maintenant le produit:  pendentif tout petit , environ 2cm de haut pour 2/3cm de large, mais qui correspond fidèlement à la photo. il a l'air plutôt solide.  Le collier quand à lui est fin, d'environ 20/25cm de longueur,  (à vue d'oeil) je pense pas que le collier fasse plus de quelques mois vu sa finesse.  Madame était heureusement très contente, elle le porte depuis sa réception. J'aurais bien mis des photos, mais je ne sait pas comment faire sur l'application Amazon.  Voilà, 4 étoiles à cause de la sur protection du produit, à mon avis, le petit sachet ZIP n'était pas obligatoire.</t>
  </si>
  <si>
    <t>Bon coussin massant Souffrant de maux de dos, j'ai donc essayé le coussin massant.  Quand le dos est vraiment endolori,  le massage est trop fort et difficile à supporter.  Pour mon cou qui est moins sensible,  le massage est parfait et détend grandement.  La fonction chauffante est parfaite</t>
  </si>
  <si>
    <t>Parfait Reçu le lendemain. Jolie petite pochette pour chaque gratte langue. Produit conforme et facile d'utilisation. De plus la petite carte accompagnant les produits permet de lire sur internet le mode d'emploi.</t>
  </si>
  <si>
    <t>parfait je recommande je recommande</t>
  </si>
  <si>
    <t>Bien Ça conforme au description. Je ne sais pas si c'est moins chere en achetant ici. Mais c'est plus facile d'acheter ici dans mes abonnements mensuels.</t>
  </si>
  <si>
    <t>Bon câble Très bon cable conforme à ce qui est décrit</t>
  </si>
  <si>
    <t>Identique au descriptif Collier arrivé avant la date prévu il est comme sur les photos très jolie</t>
  </si>
  <si>
    <t>parfait dommage que ces cartouches soient aussi chères ou alors en fonction de la conSommation Canon pourrait faire un effort, plutôt accorder une remise suivant les quantités consommées. A méditer</t>
  </si>
  <si>
    <t>Chaud et agréable à porter J'ai acheté cette veste pour l'automne, à porter dehors, ou l'hiver, à l'intérieur, mais cela dépend bien sûr de la région où on habite... Il y a l'attente habituelle pour un article qui vient de loin, mais c'est normal. La veste est agréable au toucher et à porter. Je dirais qu'il taille «&amp;nbsp;normal&amp;nbsp;» mais qu'il faut mieux prendre une taille au-dessus de sa taille habituelle pour pouvoir confortablement porter quelque chose en-dessous quand, comme moi, vous n'aimez pas les vêtements trop «&amp;nbsp;slim&amp;nbsp;». Joli jeu de couleurs, tissus chaud, poches pratiques et capuche utile. Content de mon achat.</t>
  </si>
  <si>
    <t>Sympa la caisse J'ai acheté cette caisse pour faire une réserve de vinyles proche de la platine. Il répond parfaitement à mes attentes. Le seul point c'est qu'il faut une visseuse électrique pour faire l'assemblage. Elle semble solide et n'abîme pas le sol  grâce à ces roulettes.</t>
  </si>
  <si>
    <t>Parfait Offert à ma mère pour sa fête. Ce bijou est très fin et délicat, il est magnifique. elle a adoré.</t>
  </si>
  <si>
    <t>Futur maman Conforme à la description . Mon bébé n’est pas encore né ... donc à voir avec le temps !</t>
  </si>
  <si>
    <t>Super ! Etant débutante avec le pendule, je le trouve vraiment très reactif. Je trouve qu'il est leger et assez lourd en même temps. Il a été livrer dans sa petite pochette en velour. Je le recommande.</t>
  </si>
  <si>
    <t>Magnifique Basket souple et légère. Bon amorti. La taille est adaptée comme prévu. Elle a eu beaucoup de succès. Je recommande.</t>
  </si>
  <si>
    <t>Bon rapport qualité prix Agréable à porter - matière fluide et douce - lavage à 30 mis sur un cintre sans repassage - C'est le 3ème teeshirt que j'achète et j'en suis toujours aussi ravie</t>
  </si>
  <si>
    <t>Éfficace. Arrivé dans une boîte parfaitement fermée, emballage très discret (personne ne peut se douter de ce qui se cache à l'intérieur!). A prendre en compte si vous souhaitez garder cet objet à l'abri des regards indiscrets (enfants, colocataires, etc.): l'appareil ayant une ""taille respectable"" il peut être difficile de le dissimuler.. donc prévoir un endroit discret pour le ranger à l'abri des éventuels curieux. Sensations extra, très facile d'utilisation. Possibilité de changer l'intensité des vibrations (assez puissantes au maximum donc plaisir garanti!!), ergonomique et assez silencieux! Parfait pour une utilisation en solo mais aussi en duo!</t>
  </si>
  <si>
    <t>basket légère et résistante</t>
  </si>
  <si>
    <t>4 feutres differents et non 8 La qualité du produit est indéniable. En revanche je pensais offrir 8 feutres différents du XS au 1.5. Mais ce n'est pas le cas la boîte comporte 2 fois les 4 plus épais. Je ne sais pas s'il s'agit d'une erreur.</t>
  </si>
  <si>
    <t>Je m'attendais quand même à mieux pour le prix Aucun amortis Aucun confort Tissus rèche a l'intérieur Chaussure très bas de gamme</t>
  </si>
  <si>
    <t>Très important Vraiment un produit contre façon. Après un mois et deux jour l’état de la semelle très abîmé  au point l’eau rentre de mon pied touche le sol par fois du coup je vous déconseille</t>
  </si>
  <si>
    <t>Bien Un peu déçu, la languette est blanche sur le dessus, ce que je n'avais pas vu sur les photos</t>
  </si>
  <si>
    <t>chassures de sport led problème avec les leds, ne clignotent pas comme il faut et une led de différente  couleur lors de la selection d'une autre couleur</t>
  </si>
  <si>
    <t>Linge tout doux et doux parfum Bon assouplissant qui rend le linge tout doux et qui dégage une parfum frais, léger mais qui dure. Et surtout, il est écologique et c'est bien pour la peau de mon bébé.</t>
  </si>
  <si>
    <t>Tétine de bonne qualité Tétine de bonne qualité, pratique à nettoyer (passe au lave-vaisselle). Le plastique peut se colorer après de nombreuses utilisation. Bien adaptée à la petite bouche de bébé.</t>
  </si>
  <si>
    <t>Gildan Sweat à capuche Génial. Rien à signaler de négatif tant qu' à l'envoi et son emballage. Le colis est arrivé dans les temps impartis dans un état correct. La qualité est suffisante pour ce prix mais ce n'est pas du luxe. Je pourrais considérer d'autres achats de ce type à l'avenir. Merci</t>
  </si>
  <si>
    <t>Parfait pour le sport Très bonne tenue et très bon son</t>
  </si>
  <si>
    <t>La.classe La classe</t>
  </si>
  <si>
    <t>Je le recommande sans hésitera Je l'utilise pour décontracter mes muscles du ventres et cela fonctionne très bien. En 10min c'est chaud mais il vaut mieux ne pas la poser à même la peau car elle sera très chaude. Le matin elle est encore tiède quand je l'utilise avant de me coucher donc elle dure longtemps.</t>
  </si>
  <si>
    <t>parfait très belles, je les porte tous les jours. authentiques donc qualité!</t>
  </si>
  <si>
    <t>Survêtement Franchement très utile je fais du footing avec très léger</t>
  </si>
  <si>
    <t>Bien recu j adore</t>
  </si>
  <si>
    <t>Très satisfait! Bonne qualité. Je recommande.</t>
  </si>
  <si>
    <t>Très beau design Très beau Très léger Très bonne diffusion Nous en sommes ravis. Je recommande à tous ceux qui aiment se détendre.</t>
  </si>
  <si>
    <t>Le meilleur compromis entre portabilité et qualité Etant moins cher que le rode video mic go ou pro, ce video micro est ce qu'il ce fait de mieux en terme de micro portatif, très facile à transporter, dans une poche, finition métal de haute qualité, à acheter les yeux fermés !!</t>
  </si>
  <si>
    <t>Très léger avec un excellent son. Excellent produit que j'utilise au quotidien et pendant mes séances de sport que sont les sorties en vélo et le running. J'aurais juste aimé une autonomie plus importante.</t>
  </si>
  <si>
    <t>Top Bracelet super chouette et de qualité je recommande</t>
  </si>
  <si>
    <t>Palladium Confortable et Stylé</t>
  </si>
  <si>
    <t>Expédition  rapide Litotherapie</t>
  </si>
  <si>
    <t>super écouteurs. jen suis tres content !  je l'utilise pour la course à pied et jamais il as glissé. super écouteurs.. attention quand vous courrez a l'extérieur ! les écouteurs peuvent être dangereux quand vous faite un écart sur la route.car on as tendance as être dans sa bulle</t>
  </si>
  <si>
    <t>Probleme ecouteur resolu 1 er appareil recu semaine derniere et probleme de connection apres repose ds la batterie 1 ecouteur sur 2 fonctionnait, vu le probleme avec le vendeur, conseil sur reinit et vu que ca ne faisiat rien ils m on renvoyé un ecouteur qui lui fonctionne tres bien Merci pour le professionalisme du vendeur et son aide. La qlte du son est très correct pour le prix et la tenu ds l oreille est bien egalement, la batterie portable est bien agreable aussi si pas de prise dispo Le rapport qlte/prix du produit est excellent malgres mon petit soucis de depart Je conseil</t>
  </si>
  <si>
    <t>Très satisfait ! Radio réveil très intuitif, le son est net et il y a plusieurs sonneries bien choisis pour l'alarme. On peut régler la luminosité et les couleurs sont jolis et relaxant. Horloge numérique que je préfère comme c'est très silencieux Je recommande !</t>
  </si>
  <si>
    <t>Décu Ne répond que partiellement au besoin. Je rencontre un gros problème d'appairage entre les 2 écouteurs. Individuellement, ils connectent bien avec l'appareille de lecture. Si le deuxième écouteur s'appaire tout et coupé. Très souvent lorsqu'ils sont ensemble, le son passe de l'un à l'autre, c'est pénible. Je regrette l'achat, car mon épouse possède un autre modèle, moins cher qui fonctionne correctement.</t>
  </si>
  <si>
    <t>Ne recommande pas... Commander 40 reçu 39 est le tissus s'abîme très très vite et la coque en métal a bouger rapidement... Ne recommande pas</t>
  </si>
  <si>
    <t>bof Elle ressemble à des fausses crocs, ma mère en avait déja des autres et celle ci ressemble à du low cost de chez crocs...bizzare, es ce de la contre façon? difficile de l'affirmer mais le confort diffère des autres.</t>
  </si>
  <si>
    <t>bonnes chaussures de trail + : esthétique, accroche sur sols meubles ou accidentés, système de laçage rapide et efficace - : très glissant sur sols durs humides</t>
  </si>
  <si>
    <t>Epais Silicone un peu epais, ai préféré les medela.</t>
  </si>
  <si>
    <t>Produit de qualité Livraison en avance, produit de qualité</t>
  </si>
  <si>
    <t>Belle montre Très belle montre mais pas très silencieuse.</t>
  </si>
  <si>
    <t>Taille ok Taille correspondante !!</t>
  </si>
  <si>
    <t>Le tricot se détend sur la durée mais bon prix Conforme à la description, bouillotte de bonne qualité. Attention, le tricot se détend au fur à mesure. Dans l'ensemble, très bon achat vu le prix.</t>
  </si>
  <si>
    <t>Produit de qualité Cuir épais, les coutures ont l'air solides. Contrairement à ce qui a été écrit, je trouve la taille limite pour des documents A4, notamment quand on ferme le rabat. Il faut juste le savoir mais cela n'enlève rien à la qualité du produit.</t>
  </si>
  <si>
    <t>produit très efficace: détartre et enlève les graisses déposées par le café Préconisé par la marque de ma machine à expresso semi-professionnelle, c'est un produit très efficace qui respecte le matériel. Il enlève le calcaire mais aussi les graisses déposées par le café (le liquide ressort bien marron). Produit, certes onéreux mais je possède cette machine depuis 30 ans et après avoir du changer la pompe par défaut d'entretien de détartrage je ne me risque pas d'utiliser des produits agressifs (un changement de pompe coûte extrêmement cher...). Un petit flacon de 125 ml dilué avec la même quantité d'eau chaude paraît peu mais en fait c'est bien suffisant. Après quoi 2 rinçages s'imposent.</t>
  </si>
  <si>
    <t>Magnifique! Magnifique  bracelet  offert pour  Noël, il a beaucoup plu,jolies pierres  brillantes sur un  montage  plaqué or rose et attache  sécurité ...bon rapport qualité / prix</t>
  </si>
  <si>
    <t>sac besace Tout à fait conforme à la descriptioncouleur sympa très grand grande poche à linterieur pratique lavable Grande contenance je recommande</t>
  </si>
  <si>
    <t>Ravie!! Très jolie</t>
  </si>
  <si>
    <t>superbe J'ai découvert le papier toilette humide et j'ai adoré, pas de sensation désagréable comme certaines lingettes intimes, on adore terminer la toilette avec. Pour rester propre dans toutes les situations. Je le recommande</t>
  </si>
  <si>
    <t>Génial Niquel</t>
  </si>
  <si>
    <t>Belle performance Super performance, j'ai écouté mes musiques préférées avec ces écouteurs, le son était agréable. En plus il y a un petit sachet avec, c'est pratique de les ramener.</t>
  </si>
  <si>
    <t>Pas déçu Pas déçu prix élevé quand même</t>
  </si>
  <si>
    <t>Fast &amp;amp; serious. Belle montre pour mon fils de 7 ans.</t>
  </si>
  <si>
    <t>Parfait Bon rapport qualité prix. Rien à redire sur le produit. JE le recommande vivement</t>
  </si>
  <si>
    <t>Gel kind Bonjour, je viens d'essayer votre gel et je dis en toute honnêteté qu'il est surprenant , éfficace.  Je recommande ce produit.</t>
  </si>
  <si>
    <t>Excellent Reçu bien plus vite que prévu, il va être parfait pour ce noël, il est encore plus kitch que l'on avait espéré :) La taille corespond bien, le pull ne gatte pas et il est confortable car fait d'une matière agréable. L’imprimé est niquel pas de couleur baveuse ou autres je suis rassurée, j'ai hate de voir l'effet a mes invité a noel ^^</t>
  </si>
  <si>
    <t>Un classique Je connaissais ce produit ... ma fille a désormais une trousse assortie à son sac.</t>
  </si>
  <si>
    <t>Trop grand Je me demande si c'est un défaut ou si c'était vraiment un produit authentique ... car j'ai d'autres converse all star achetées en magasin et de la même taille, qui pourtant me vont parfaitement ....</t>
  </si>
  <si>
    <t>Prendre plus grand que votre taille Pas a ma taille</t>
  </si>
  <si>
    <t>très décu je suis très déçu par cette bouilloire achetée en décembre 2014;  en juillet 2015, la fonction programmant la température ne fonctionnait plus, donc la bouilloire si elle n'était pas stoppée avant continuait à bouillir, donc très dangereux ; et aujourd'hui, juin 2016, elle ne fonctionne plus  Aucun intérêt d'acheter un appareil si couteux</t>
  </si>
  <si>
    <t>Solide et jolie mais des fonctionnalités qui pourraient être meilleures Belle montre, qui paraît solide. Excellente tenue au poignet avec un bracelet que l'on ne sent absolument pas (système de fermeture et matériaux étant très efficaces). En revanche, compliquée à régler et heure assez peu visible quand la lumière est faible ou inexistante... l'affichage de l'heure digitale étant trop foncé et ne ressortant pas de l'arrière-fond.</t>
  </si>
  <si>
    <t>standard standard... je recommande davantage de se tourner vers Lotus Just 1 : enfin un papier innovant et agréable... Bien plus économique qu'on le croit</t>
  </si>
  <si>
    <t>qualité GEOX 3ème paire  de suite incontournable confort et élegance</t>
  </si>
  <si>
    <t>Chaussure de plage Pratique pour la maison!</t>
  </si>
  <si>
    <t>Très bien Je recommande cette huile car elle est très efficace lors de douleur.</t>
  </si>
  <si>
    <t>Très fonctionnel Mises en lieu et place de mes chaussures de sport dont le plastique glissait sur des tapis de sport, ces chaussettes s'avèrent d'un très bon maintien sur le pied et je ne glisse plus sur les tapis. Utilisées pour du sport style fitness, crossfit. ne glisse pas même quand on est en position de pompes.</t>
  </si>
  <si>
    <t>Très satisfait La montre est très belle et à un très bon rapport qualité prix ! Je suis entièrement satisfait de mon achat !!</t>
  </si>
  <si>
    <t>Petit et pratique Petit format qui correspond très bien pour un sac à main. Le semainier en vertical est bien pratique</t>
  </si>
  <si>
    <t>Mini bouilloire facile à transporter J'ai vu qu il n y avait pas de bouilloire dans la cabine du bateau pendant ma semaine de croisière. Je la voyais plus grande sur les photos et finalement elle est toute petite c est impeccable pour la glisser dans la valise. En plus elle est mimi je verrais à l usage Livraison en 4 jours c est parfait</t>
  </si>
  <si>
    <t>Belle montre à petit prix. Montre petite et discrète avec les fonctions nécessaires : heure, date, alarme, chronomètre, seconde heure : juste ce qu'il faut, je suis contente de mon achat.</t>
  </si>
  <si>
    <t>livraison rapide,bien emballer. très belle montre,bracelet long,légère,aucun regrée.Qualité,prix parfait.Ne pas hésité,je recommande fortement cette montre déja amateur de cette marque.merci a mazon.top du top amazon</t>
  </si>
  <si>
    <t>Au top !! 5 cartouches pour le prix d'une seule de la marque HP , c'est une bonne chose , niveau qualité d'impression je dirais que c'est acceptable pour mon usage essentiellement de l'impression de documents, je ne suis pas certain que sur de l'impression photo la qualité soit présente mais peu importe je voulais surtout des cartouches qui ne me coutent pas plus cher que l'imprimante et qui font ce pourquoi elles sont conçues! Donc bonne affaire , je recommande !</t>
  </si>
  <si>
    <t>OCB Était très bien à 4€95 très bonne qualité, livraison très très rapude</t>
  </si>
  <si>
    <t>Diffuseur Super achat sauf au niveau des 2 boutons on dirait qu'il sont cassé.</t>
  </si>
  <si>
    <t>bon micro très bon micro rapport qualité prix rien a redire</t>
  </si>
  <si>
    <t>Excellent rapport qualité prix Très bon rapport qualité prix pour ce casque bluetooth Je l'ai acheté car j'en avais marre du fil qui traînait pendant mes entraînements. Il est très confortable et le son est pas mal. Pas besoin de le charger trop souvent, l'autonomie est plutôt bonne</t>
  </si>
  <si>
    <t>Poulet au four Ideal pour un poulet ou une dinde au four. Pas de risque d'avoir une volaille seche. J'en suis ravie, et le four reste propre !</t>
  </si>
  <si>
    <t>Qualité et confort. J'avais commande la taille 38.5 et j'ai reçu la taille 39, mais ça me va très bien.</t>
  </si>
  <si>
    <t>Très bon produit ! Après quelques jours d'utilisation je ne peux que recommander ces écouteurs ! La qualité du son est très bonne, l'autonomie des écouteurs est effectivement proche des 4 heures et ils se chargent automatiquement dès leur rangement dans l'étuis ! Sur des écouteurs de cette taille difficile actuellement de faire mieux ! A voir dans la durée mais a ce prix la c'est un excellent choix pour ce type d'écouteurs !</t>
  </si>
  <si>
    <t>Article endommagé Reçu l’article Endommagé tout aplatit, en goupillon qui sert plus à rien !! Carton et protège goupillon tout écrasé !! Vraiment pas contente !! Sinon le produit en lui même et bien car déjà commander .</t>
  </si>
  <si>
    <t>est ce vraiment une cartouche origninale? J achète mes cartouches d'encre en hypermarché: soit l’originale de HP ou alors la marque générique du supermarché qui est très bien. Donc là pas de problème particulier au départ sauf que la durée de vie est vraiment très voire trop trop courte.Donc je ne  recommanderais pas ce produit. il est affiché impression 190 pages or j'en ai fait une vingtaine grand maximum. Depuis page blanche, entièrement blanche. Si je remet mon ancienne cartouche usagée, achetée en hypermarché,  j'ai une impression très très pâle mais ça fonctionne tout de même. Donc la cartouche Amazon est défectueuse et je sais pas comment faire pour en obtenir le remboursement.</t>
  </si>
  <si>
    <t>Katana... Pourquoi es-tu Katana? Je m'attendais à une sacoche qui sentent vraiment le cuir, mais je suis plutôt déçu..  Autres déception la couleur, je ne m'attendais pas à ce qu'elle soit aussi foncée (chaques articles en cuir d'un même modèle diffère les uns des autres) cependant la différence là est asser marquante.  J'avais choisi ce modèle par rapport à d'autres car la couleur et les contrastes sur la photo m'avait énormément plus, du coup ça ne comble pas tellement mes attentes..  À noter que ce n'est absolument pas la faute du vendeur, mon commentaire (ou ma critique) vise surtout la marque Katana, ce n'est pas la première mésaventure que je rencontre avec cette marque.</t>
  </si>
  <si>
    <t>Cordon electrique un peu court . La longueur du cordon électrique est de 73 cm prise incluse . Ce grille pain à laché au bout de 6 mois.  Par contre il est garanti  2 ans et le SAV de Russell hobbs est au top. Remplacement de grille pain en moins d'une semaine. Bravo au  SAV de Russell Hobbs.</t>
  </si>
  <si>
    <t>Une valeur sûre J'avais déjà la même avant. Hélas ma fermeture éclair s'est cassée, au bout de 20 ans... Ça va ! J'ai donc racheté la même. Par contre j'ai perdu un noeud sur une fermeture éclair au bout d'une semaine. Donc vérifiez vos nœuds. Sinon parfait.</t>
  </si>
  <si>
    <t>Produit conforme Un petit peu petite de ce que j'attendais mais je l'aime bien.</t>
  </si>
  <si>
    <t>Feutres fabercastel Bon produit</t>
  </si>
  <si>
    <t>Bon casque de musique anti-bruit à un tarif raisonnable Je ne voulais pas dépenser 300euros dans un casque, et celui ci correspond bien à mes attentes: bonne qualité sonore, fonctionne avec ou sans cable, fonction anti-bruit relativement efficace ( on entend encore certaines personnes parler mais pas les bruits de moteurs et autres bruits "parasites"). Je le porte dans les transports en communs 40min matin et soir, son poids se sent sur la tête mais cela reste confortable, les pads d'oreille sont confortables. La boite de rangement est très bien car semi rigide, mais trop grande pour mon sac, donc je le range en vrac, et en 3 semaines d'utilisation, il n'y a pour l'instant pas de dégât.</t>
  </si>
  <si>
    <t>satisfaisant plus vives que sur les photos mais je les ai gardees car elles etaient jolies je ne suis pas decue</t>
  </si>
  <si>
    <t>une montre ! Me donne l'heure dans plein de pays, la date, me réveille. si besoin. Répond a ce que j’attendais</t>
  </si>
  <si>
    <t>Satisfait 👌🏼 Envoi rapide et exactement la bonne taille 👍🏼</t>
  </si>
  <si>
    <t>parfait j'ai pris ces leggins car j'ai eu un accident au genou, il me fallait donc un produit qui puisse me permettre de mettre l'orthèse après avoir eu l'attelle pendant 6 semaines. Ce produit est très bien, je pourrai le remettre pour mes cours de yoga par la suite. La matière est agréable suffisamment épaisse.</t>
  </si>
  <si>
    <t>Casque top Casque bien sous toutes ses formes, ergonomique, léger et adapté pour l’usage télé et musique</t>
  </si>
  <si>
    <t>Satisfait du produit Produit super très contente</t>
  </si>
  <si>
    <t>Jolie petite bouilloire Achat récent mais totalement satisfaite, je voulais vraiment une petite bouilloire et dans cette gamme le choix n’est pas si vaste que cela, celle ci au moins était esthétique, de plus rien à lui reprocher, j’apprecie De pouvoir sélectionner la température et contrairement à un avis les petits bips de confirmation ne me gêne absolument pas, au contraire étant plutôt tête en l’air ... De plus l’arret Automatique est important pour moi également pour les mm raisons que précédemment. Elle chauffe très vite Donc que du positif , à voir dans le temps</t>
  </si>
  <si>
    <t>Parfait Excellent produit. Ravie de mon achat. Livraison rapide, le top.</t>
  </si>
  <si>
    <t>Idéal pour les bébé pressé Quand bébé à les crocs chaque secondes compte et pouvoir faire chauffer son biberon rapidement est un bonheur.  Mon seul regret ne pas pouvoir démonter la grille en plastique au dessis de la résistance histoire de pouvoir nettoyer a fond, mais bon le vinaigre marche bien</t>
  </si>
  <si>
    <t>très bonne calculatrice très bien</t>
  </si>
  <si>
    <t>Le top ! J'avais acheté un lot de 3 paires il y a 5 ans, j'au repris les même. Elles sont résistantes et confortables (épaisses) mais bien aérés. Pratique du tennis entre 2 et 5 heures de tennis par semaine.</t>
  </si>
  <si>
    <t>Génial ! Vraiment génial ! Je ne pourrais pas m'en passer pour laver les biberons de ma fille ! La manivelle est vraiment super pratique ! Je recommande !</t>
  </si>
  <si>
    <t>Très bien et efficace. Diffuseur petit et efficace. Plus de moustiques. Très satisfait du produit.</t>
  </si>
  <si>
    <t>Parfait, correspond à mes attentes. Commande effectuée le 02 mars 2016 et réceptionnée le 05/03/2016. Réception ultra rapide. En ce qui concerne le produit, mon mari s'en sert quotidiennement pour ses déplacements professionnels ou dans la vie de tous les jours. La communication est appréciable. Parfait, je recommande ce produit, tout comme le vendeur à 100%.</t>
  </si>
  <si>
    <t>Superbes puma authentiques et très confortables Livrées très rapidement dans leur boîte d’origine, ce sont de vraies puma ! De très bonne qualité et magnifiques, elles sont très confortables et agréables à porter. Ne pas hésiter à les commander à la taille habituelle.</t>
  </si>
  <si>
    <t>Moyen Produit trop grand et en plus les scratch de fermeture une fois fermées dépassent d'au moins 2 centimètres par rapport au scratch inférieur.</t>
  </si>
  <si>
    <t>Grésillement dès la première utilisation Grésillement dès la première utilisation. J'ai dû aller en acheter de nouveaux.</t>
  </si>
  <si>
    <t>Ne fonctionne pas J ai remplacé 1 cartouche , l imprimante me demande si on continu a imprimer malgré le fait que ce ne soit pas une cartouche de la marque , je met ok et  quand je veux imprimer , la couleur ne vient pas . J ai testé sur une autre couleur , pareil. Achat inutile</t>
  </si>
  <si>
    <t>Bien, mais aurait pu mieux faire J'ai utilisé ce micro fixé sur un DSLR ( Canon 5D ) pendant plusieurs mois sur différents reportages et tournages. La première utilité de ce micro était pour moi de contrer les bruits parasites du micro interne du 5D lorsqu'on utilise un objectif stabilisé. L'utilisation d'un micro externe, quel qu'il soit, permettant d'éviter ces bruits de fond indésirables. De ce côté là, ce micro a parfaitement rempli son rôle. Mais je reste déçu par le fait qu'il n'y ai pas, par exemple, de possibilité de choisir entre une position directive et plus large, ce micro étant assez directif. Ca a ses avantages bien sûr, mais en reportage, il est souvent très utile d'avoir aussi la possibilité d'effectuer un enregistrement du son plus global. Là, pas le choix. On entend bien ce qu'il se passe devant la caméra, quoique le micro ne soit pas extrêmement sensible, mais à côté et au-delà de 5 ou 6 mètres, nada. Si vous enregistrer quelqu'un qui parle normalement à 5 ou 7 mètres de vous, il sera difficilement audible ( mais tout ça peut se corriger en post-prod' bien sûr ). A part ça, aucun bruit de fond, aucun bruit parasite. Attention toutefois à la vis qui maintient le sabot d'accrochage au micro. Elle a trop vite tendance à se défaire, ainsi que les petites suspensions en caoutchouc qui se décrochent un peu trop facilement. A part ça, ça reste un micro de bonne qualité.</t>
  </si>
  <si>
    <t>très décue chausse plus petit que les précédents kickers que j'avais acheté sont moins larges un peu décevant ne correspond plus a la qualité kickers</t>
  </si>
  <si>
    <t>Pratique Donc le plus important,j'avais des soucis avec mes dernières chaussures pour fermer celles ci ,je mettais un temps fou.Et ils ont fini part casser.Déjà ces nouvelles chaussures sont déjà plus pratiques de ce côté,on verra avec le temps pour la solidités.</t>
  </si>
  <si>
    <t>Super bouilloire Très contente de cette bouilloire on peut choisir la température voulue pour le thé ou autre très pratique et rapide</t>
  </si>
  <si>
    <t>Très content de ma commande G utilisé ce produit pour coller une batterie de téléphone portable . Elle est très bien .facile a doser .livraison rapide.</t>
  </si>
  <si>
    <t>Excellent Bonjour, J'ai longtemps hésité avant de l'acheter car il y a pas mal  de commentaires négatifs sur ce casque. Mais vu le prix, je ne prenais pas trop de risque et je ne suis pas déçu, je n'ai pas la moindre onde parasite quand j'utilise le casque (à 4m de mon pc pour visionner des films) et pour le moment j'en suis à 10 heures d'autonomie sans avoir du le recharger alors que l'autonomie moyenne est donnée pour 8 heures! (il faut dire que j'ai une bonne carte son qui me permet d'augmenter le volume par le pc et non par les écouteurs d'où économie d'énergie). Je suis donc content du produit et lui mets 4 étoiles (je ne lui mets pas 5 étoiles car le produit est un peu léger en fabrication, il faudra le manipuler avec douceur pour qu'il tienne dans le temps). Par contre je compte en acheter un deuxième pour les utiliser en alternance et ne pas être surpris par un casque déchargé. J'espère que mon commentaire vous sera utile.</t>
  </si>
  <si>
    <t>Bon produit Bon produit à voir sur la durée lors de la sortie des dents. Par contre je le voyais plus grand il va falloir le changer un moment donné je pense.</t>
  </si>
  <si>
    <t>Bonne qualité 3 vitesses très bien , biberon léger et facile à utiliser .</t>
  </si>
  <si>
    <t>Produit très satisfaisant Utilisation perso pour un ado</t>
  </si>
  <si>
    <t>Super chouettes ! Je suis une fan inconditionnelle de la marque Mam. Notre fille ne jure que par ces tétines (elle refuse les autres). Pratique,  design sympa,  elle adore. .. et nous aussi !</t>
  </si>
  <si>
    <t>Five Stars Les tétines Mam conviennent très bien aux très jeunes bébés qui ont testé le sein avant.</t>
  </si>
  <si>
    <t>Superbes Ces baskets sont magnifiques et font un bel effet. On s'y sent comme dans des chaussons. La pointure est un peu plus grande que ma taille; j'en ai recommandées avec une demi-pointure au-dessous. Je les adore . J'en ai commandées aussi pour ma fille qui les a adoptées et ne les quitte plus.</t>
  </si>
  <si>
    <t>Produit conforme à recommander Produit conforme à mes attentes, légères, la couleur grise conforme. Attention ce produit taille un peu juste, je fais un 37,5 j'ai pris un 38 et c'est parfait.</t>
  </si>
  <si>
    <t>pratique Parfaite pour mon fils qui est au collège Elle a tout d une grande avec son petit prix Je recommande cette calculatrice avec son étui pour la protéger dans le cartable</t>
  </si>
  <si>
    <t>Très bon achat Impeccable !!</t>
  </si>
  <si>
    <t>Parfait Ras</t>
  </si>
  <si>
    <t>un peu de douceur dans un monde de brutes Pochette refermable de 6 fluos aux coloris pastels très lumineux. Les coloris changent des classiques surligneurs. Pointe biseautée bien conçue.</t>
  </si>
  <si>
    <t>Mules Hommes très bien</t>
  </si>
  <si>
    <t>Thermomètre Comme descriptif</t>
  </si>
  <si>
    <t>Belles illustrations Magnifique livre belles illustrations</t>
  </si>
  <si>
    <t>Détend et relax les muscles Je l'ai offert à mon mari qui a des problèmes des lombaires et cevicales.  Le coussin se détend et relax les muscles. il est très satisfait du bien-être que cela lui procure. Mon mari se fait des petites séances tous les jours . Il est pas trop bruyant. Super agréable. Les boules de massage ne sont pas trop violentes tout en restant efficaces. Le système de chauffe est un plus. Et il y a un autre prise qu on peux utilisé dans le voiture. C est agréable pour les gens qui conduit beaucoup dans la journée.</t>
  </si>
  <si>
    <t>Superbe produit !! Au top même en enregistrant du son très violent !!!</t>
  </si>
  <si>
    <t>Pas bon pour lire les formats Word - Excel - PPT Produit simple d'utilisation, compact, très bien emballé - livraison très rapide avec AMAZON. Par contre très déçu par la luminosité : il faut être quasiment dans l'obscurité totale pour pouvoir en profiter ; de plus, ne convient pour des présentations professionnelles sur PC portables, de type présentation PPT ou Excel ou Word. Caractères flous et illisibles même après réglages. En fait, je l'ai vu après, c'est indiqué sur la notice (en français) du constructeur. Mais dans la présentation produit sur AMAZON, ce n'est pas indiqué. Donc, j'ai renvoyé le produit ; remboursement immédiat et service retour toujours aussi parfait avec AMAZON.</t>
  </si>
  <si>
    <t>Cartouche à moitié vide Très mécontente de ses cartouches d'encre pas très cher mais finalement pas d'ancre dedans une vingtaine de photocopie la cartouche déjà morte je préfère les payer plus cher et finalement voir des cartouches remplis d'encre</t>
  </si>
  <si>
    <t>Silencieuse mais mauvaise qualité J'ai acheté cette bouilloire pour son silence et il faut dire qu'elle fait moins de bruit que toutes celles que j'ai utilisées auparavant, même si elle est devenue de plus en plus bruyante avec le temps. Elle souffre cependant d'une qualité de fabrication médiocre (le filtre ne tient plus, elle rouille, et le tartre est difficile à supprimer). Le plus grave est qu'elle s'est mise aujourd'hui en court-circuit, ce qui vient d'établir un nouveau record de faible longévité pour ce type d'appareil me concernant. A éviter donc...</t>
  </si>
  <si>
    <t>Joli efficace mais pas d’iso Joli mais pas isolé, du coup la paroi inox est brûlante lorsque l’eau est chaude</t>
  </si>
  <si>
    <t>Moyen Au bout 2 semaines un lacet s'est cassé  sinon bien pratique</t>
  </si>
  <si>
    <t>chaussettes confortables et qui s'adaptent à toutes les pointures du 36 à 47 Super chaussettes de bonne qualité,  confortables , solides qui s’étirent bien.  Je chausse du 43 et mes fils du 45-46 et tout le monde est satisfait. je recommande cet article.</t>
  </si>
  <si>
    <t>RAS BONNE CARTOUCHE RAS</t>
  </si>
  <si>
    <t>taille juste bien coupé j'ai lue les commentaires je fais un 105 C j'ai donc prix XL trop juste pour le prix je commande la taille au dessus. je recommande</t>
  </si>
  <si>
    <t>Autonomie à revoir Déçue par le temps d'écoute de musique entre 2h30 et 3 h . Trop déçue je vais être obligée d'en acheter une autre plus autonome...</t>
  </si>
  <si>
    <t>Jolies couleurs J'adore écrire avec ces feutres qui ont une très jolies couleur. La mine est fine et permet d'écrire correctement. De plus , ils durent longtemps. Du coup mon fils, qui est en 6ème , m'a demandé les mêmes pour écrire dans ses cahiers et décorer ses fiches de révisions.</t>
  </si>
  <si>
    <t>Très bon rapport qualité prix Le micro a un très bon son, on dirait un microphone de studio avec ses points forts et ses points faibles, son point fort est qu'il a un bon son, sans bruit de fond etc... mais de l'autre côté, il capte tout les sons et ça peut être génant, il capte ce que je dis lorsque je suis à 30m de mon micro en criant. Sinon super avec le kit pour seulement 30euros et je n'utilise pas le filtre anti-pop car trop gros pour du gaming je vois plus rien</t>
  </si>
  <si>
    <t>Très bon casque Acheté pour mon fils pour jouer en ligne sur Xbox live, entre autres</t>
  </si>
  <si>
    <t>parfait taille parfaite , couleurs attendues. même la prof de mon fils adore ce pull!</t>
  </si>
  <si>
    <t>Parfait Très confortable, mais en ajoutant des semelles Scholl, pour avoir l'effet amortisseur. J'ai failli renvoyer, mais finalement gardé avec les semelles. Car sinon, pas d'effet amortisseur.</t>
  </si>
  <si>
    <t>Supzr Super. Conforme</t>
  </si>
  <si>
    <t>Parfait Parfait très confortable on a pas envie de changer de chaussures tellement on est bien dedans très satisfait a recommandé</t>
  </si>
  <si>
    <t>Calendrier annuel bleu lecas Tres bonne esthétique, la couleur bleu est sympa, moi la taille que j'ai pris est un peu petit, sinon il est clair et lisible.</t>
  </si>
  <si>
    <t>Parfait Bel aspect, beau et bon produit...Porté plusieurs fois, lavé plusieurs fois, elles sont comme neuves. Etant donné le prix d'achat, on peut dire bonne affaire</t>
  </si>
  <si>
    <t>Bon rapport qualité prix Tres bon produit mon fils s amuse depuis des mois avec</t>
  </si>
  <si>
    <t>Indétronable !! J'ai profité d'une promo sur amazon pour m'offrir ce sweat shirt car je n'aurais jamais pu me le payer plein pot ( 110€). Les promos ne durent pas longtemps sur tout avec cette marque aussi je n'ai pas hésité . Super content de ce sweat : bien taillé , matière agréable , finitions nickel , sobre et tendance en même temps . J'ai choisi le coloris vert , il est vraiment très beau et ca change du bleu marine , du gris et autres couleurs habituelles . Bref on peut faire confiance a Lacoste et encore une fois je remercie amazon pour cette promo , d'ailleurs je surveille régulièrement les promos sur amazon . Faites comme moi ! je recommande vraiment ce sweat , reste a choisir votre couleur préférée !!</t>
  </si>
  <si>
    <t>Super produit C'est mon deuxième casque acheté.  Acheté pour mon père pour appairer avec son iphone.  Je me suis fiée aux commentaires d'Amazon et je ne regrette pas.  Très ergonomique, bonne qualité de son. Matériaux qui semble robuste à l'usage.  Je le trouve, pour son prix, vraiment bien. la durée de la batterie m'a siée.</t>
  </si>
  <si>
    <t>Impeccable Très joli modèle, conforme à la photo !!! je les ai offertes à mon mari qui les trouve géniales !!! Elle sont confortables, décontractées et en même temps très classes !!! Je recommande !!!!</t>
  </si>
  <si>
    <t>Homme Femme Baskets Chaussures de Course Sneakers exellent merci</t>
  </si>
  <si>
    <t>Cartouche d encre Produit conforme à la photo et à la description</t>
  </si>
  <si>
    <t>Diffuseur d’huile essentielle Marche très bien mais convient pour des petites pièces au delà de 20m2 On sent pas grand chose</t>
  </si>
  <si>
    <t>Très bien Lave vaisselle</t>
  </si>
  <si>
    <t>Montre en panne Je suis très déçu car cette montre ne fonctionnait  pas quand je l’ai reçu. J’ai dû la renvoyer. Dorénavant je me méfierai des montres très peu chères.</t>
  </si>
  <si>
    <t>Pas mal Un peu petite, difficile a regler et non etanche mais disign sympa et fonctions utiles</t>
  </si>
  <si>
    <t>pas mal mais taille un peu grand je les trouve moins confortable que des gazelles par ex, mais elles coutent la moitié de leur prix, donc bon... Attention à la taille, ça taille un chouille grand, je dirai une demi pointure en plus.. si vous hesitez entre deux tailles prennez la plus petite.</t>
  </si>
  <si>
    <t>presque bien j ai acheté ces chaussures pour courir en mode minimaliste la taille si vous souhaitez le mettre sans chaussette c est une taille trop grand  avec des chaussettes ça va souple mais pas trop , on ressens le terrain mais sans avoir mal sous les pieds par contre pas évident de courir avec faut vraiment se concentrer sinon on attaque avec le talon et LA ça pique à voir dans le temps si je vais m y faire pour le moment toute petite sortie avec plus de marche que de course</t>
  </si>
  <si>
    <t>feuille rouler livraison rapide  feuilles de bonne qualité aucune différances à celles que je pourrais acheté  dans  un bureau de tabac  je donne une très bonne note</t>
  </si>
  <si>
    <t>Correct Très bien</t>
  </si>
  <si>
    <t>conforme le produit est conforme à la description la livraison est été réalisée conformément au délai annoncé fonctionnalité du produit cohérente avec son objet très bonne réception de la radio</t>
  </si>
  <si>
    <t>Moi Excellent très bon produit.  '''''''''''''''''''''',,,,,,,,,,,,,,,, ,,,,,,,, ,,,,,,,,,,,,,,,  recommande à tous,,,,,,,,,, ,,,,,, ,,,,, ,,,,, ,,,,, ,,,, ?, ,,,,, ,,,,, ,,,, ,,,,</t>
  </si>
  <si>
    <t>ludique mon fils de 2 ans adore. histoire sympa, pas trop longue a raconter. il ne s'en lasse pas .je recommande</t>
  </si>
  <si>
    <t>Huile très efficace pendant la grossesse Je l'ai utilisé 2 fois par jour toute ma grossesse et après la naissance sur presque tout le corps et aucune vergeture! À un prix super compétitif. Flacon très pratique avec son bouchon doseur.</t>
  </si>
  <si>
    <t>super trés beau pull bon style..effectivement taille un peu grand, mais j'ai quand même prit la taille habituelle de mon fils qui n'aime pas etre serré dans ses pull et c'etait parfait ni trop serré ni trop large mon fils 1m75 pour 80kilos porte du L et c'est parfait,aucun regret</t>
  </si>
  <si>
    <t>solides Cest sacs sont grands, bien étanche comme il le faut et surtout très solides. Ce système de poignée est plus pratique que les fils ou l'on fait un noeuds.</t>
  </si>
  <si>
    <t>Convient parfaitement. Fuite entre le réservoir et la cafetière Circolo de Krups. 6 vis à enlever et zou, c'est reparti pour un tour. Attention, ce sont des vis Torx avec une "tige" au milieu.</t>
  </si>
  <si>
    <t>J'hésitais vraiment à l'acheter J'hésitais vraiment à l'acheter , donc bon je ne regrette vraiment pas , on ne le ressent pas du tout sur les oreilles , idéale pour le sport bien sure et puis les petits bouchons doreille offert avec c'est super , la durée d'utilisation me parait longue et il y a un son vraiment magnifique avec en plus ses petits bouchons qui nous isole des bruits qui peuvent être émis autour de nous . Je suis tout simplement satisfait de mon achat</t>
  </si>
  <si>
    <t>Impeccable sous une robe Taille très bien, j'ai pris une taille S pour du 36. Tissu très agréable, qui ne roule pas. Ceinture épaisse qui maintient au niveau du ventre. Le blanc est cependant plutôt un blanc cassé/écru légèrement transparent. Je le met sous mes robes.</t>
  </si>
  <si>
    <t>Adéquat Conforme, bonne qualité.</t>
  </si>
  <si>
    <t>Sobre, fonctionnel et à bon prix Tout le monde le sait : un mauvais son sur une bonne vidéo, ca fait une mauvaise vidéo. Rien de pire qu'un YouTubeur dont la voix provoque de l'écho ou dont la sonorité est tellement faible qu'il faudrait avoir un niveau 250 sur le bouton volume pour commencer à y comprendre quelque chose.  Pour mes tournages fixes en studio, je voulais quelque chose qui soit à la fois esthétique, fonctionnel et avec une qualité de son correcte sans me ruiner.  Bien que livré sans sa notice de montage, il ne m'a fallu que 5 minutes pour assembler le tout et l'installer sur mon bureau de tournage. Fixé avec un étau, le pied tends un bouger un peu mais rien d'anormal, il suffit de bien serrer ( astuce bonus : deux petites cales en caoutchouc fin eviteront de laisser des marques sur le bureau ;) ) Le microphone est sobre avec un retour son direct de -11.4 Db en moyenne comparé à mon micro cravate, ce qui est tout à fait correct.  Pour le coup, je suis content de cet achat ! A voir sur le long terme mais je ne suis pas inquiet jusque là après une 10aine d'heures de tournage</t>
  </si>
  <si>
    <t>Câble de bonne qualité Ce câble d'instrument jack - jack est de bonne qualité. Épais et robuste,il fonctionne parfaitement et n'ajoute pas de souffle au son</t>
  </si>
  <si>
    <t>Très. Ien Très bon produit livraison rapide nickel.</t>
  </si>
  <si>
    <t>Bonne surprise ! J'avais un a priori sur la marque Crocs pour les fameuses paires que l'on connaît bien, fortes rudimentaires. Ici, rien de tout cela : on ressent une tong de bonne qualité, ne présentant pas l'inconfort et la faible durée de vie des fameuses tongs de plages à 5€.</t>
  </si>
  <si>
    <t>efficace super rapport qualité prix</t>
  </si>
  <si>
    <t>Ne pas avoir de problème de vue Montre bien trop petite à mon goût. Je préfère porter des montres d'homme, donc effectivement montre trop fine pour moi.</t>
  </si>
  <si>
    <t>Trop petit pour vidéo Luc rycote Trop petit pour un vidéo Luc rycote il n'est pas assez long et à peine assez large dommage car la qualité est la</t>
  </si>
  <si>
    <t>Défaut à réception Très jolies boucles reçue avant la date prévue. Cependant, sur les quatres boucles payées, je n'en ai réellement que trois, puisque la dernière, j'ai reçu simplement la tige et le fermoir... Dommage ... Sans cet incident, j'aurai recommandé le produit.</t>
  </si>
  <si>
    <t>graisse très dur cette graisse est très dur ,don difficile de bien étaler sur le cuir , vraiment pas facile je ne la conseille pas</t>
  </si>
  <si>
    <t>Intéressant Intéressant</t>
  </si>
  <si>
    <t>Très bon gommage naturel Très bon gommage naturel ! Efficace Attention à ne pas laisser trop longtemps agir si vous avez la peau un peu fragile. Il est écrit temps de pose 5 à 10mn mais à vous d'adapter en fonction de votre peau. L'odeur Super on se croirait au Maroc !</t>
  </si>
  <si>
    <t>Satisfaite Très Bon produit et bonne qualité. Le débit est parfait pour un nouveau né et je pense peut servir pour des plus grands même s'il s'agit d'un taille s</t>
  </si>
  <si>
    <t>Comme prévu... ... mais ce ne sont pas les premiers Crocs que j'achète. A noter que la sangle a des longueurs un peu trop aléatoire: dès fois un peu trop longue (pas grave) et dès fois un peu trop courte (on ne peut pas la rabattre vers l'avant).</t>
  </si>
  <si>
    <t>Taille petit Je fais un 40/41, j'avais pris un 40 puisqu'en magasin il est dit que la marque taille grand. Grosse erreur.</t>
  </si>
  <si>
    <t>Très bien Super ! A moi les économies !!! Bon après 5 ou 6 lavages des têtes d'impression sinon pas de noir mais cela fonctionne très bien !! Les cartouches sont emballées individuellement et de bonne qualité ! Je recommande</t>
  </si>
  <si>
    <t>bloqueur excellent pour bloquer différents charms</t>
  </si>
  <si>
    <t>Impec Une bonne Lumiere des réglages bien fait pour aller de la froide à la chaude par niveau et le viariateur preci et surtout puissant ce qui est parfoix dur avec les Led</t>
  </si>
  <si>
    <t>Tres beau collier Collier magnifique en plaqué or blanc avec un pendentif en forme de coeur orné de cristaux.Il est discret et leger,mon epouse le porte tous les jours que ce soit pour sortir ou a la maison il se porte en toute circonstance meme pour une fete un mariage ou une sortie en soiree.Ce bijou a fait un plaisir fou a ma femme.Rapport qualité prix tres raisonnable 👍</t>
  </si>
  <si>
    <t>Zippo Briquet neuf de marque renommée à un excellent prix de vente. Sa forme simple permet de réaliser facilement un étui en cuir, et son étanchéité est "améliorable" avec un morceau de chambre à air de vélo, ce qui permet aussi de garder l'essence plus longtemps.</t>
  </si>
  <si>
    <t>Très satisfaite Très bel ouvrage. Je n'aurai que 4 élèves de ce1 dans ma classe l'an prochain et je voulais un livre de petites expériences qu'il pourront réaliser en autonomie. Plein d'idées.</t>
  </si>
  <si>
    <t>Top Comme pour ma 1ère commande, envoi rapide et soigné et au moins ces cartouches sont compatibles avec mon imprimante Epson (alors que d'autres censées l'être ont terminé au recyclage directement!). Je n'hésiterai pas à recommander même si j'aimerais avoir la possibilité de n'avoir que des cartouches de couleurs! Je recommande évidemment!</t>
  </si>
  <si>
    <t>O 👌🏽</t>
  </si>
  <si>
    <t>bonne qualité de papier produit tout à fait conforme aux attentes, bonne qualité d'impression, grain régulier, blancheur parfaite, convient tout à fait à l'impimante</t>
  </si>
  <si>
    <t>Je recommande!! super plastifieuse plastifieuse au top! livraison rapide  fonctionne super bien et en plus le vendeur offre des feuilles pour la plastifieuse de 3 tailles différentes en cadeau.  sehr gut! danke zoomyo!</t>
  </si>
  <si>
    <t>Super Gommage qui sent extrèmement bon, pratique, rend la peau douce et soyeuse. Au top et puis pas cher pour de la marque</t>
  </si>
  <si>
    <t>bien les socquettes sont emballés dans un sachet de qualité et la texture du produit est de bonne facture, à voir maintenant dans la durée mais je suis pour l'instant agréablement surpris.</t>
  </si>
  <si>
    <t>Super beau et pratique Pour remplacer un bracelet blanc qui avait jauni. Le bracelet est livré dans un bel étui avec le petit outil nécessaire et des petites accroches en supplément. Mais en plus le bracelet est incroyablement facile à installer car les accroches disposent d’un petit dispositif sur lequel il suffit d’appuyer pour fixer le bracelet sur la montre. Bravo pour la conception et la qualité du bracelet.</t>
  </si>
  <si>
    <t>Bébé là adopté ! J'utilise MAM depuis la naissance de mon fils et j'en suis très satisfaite</t>
  </si>
  <si>
    <t>non recu bjr je n ai toujours pas recu mon colis et le point relais me dit qu il ne l on pas non plus  donc ou se trouve t il?</t>
  </si>
  <si>
    <t>Ça a l'air très pas cher Ce collier a l’air très bon marché, sa matière n’est pas bonne et ne répond pas à mes attentes.</t>
  </si>
  <si>
    <t>Taille très petit dans ce coloris J ai commandé ce short pour dormir la nuit et traîner à la maison. Il taille super petit environ 2 voir 3 taille en dessous.</t>
  </si>
  <si>
    <t>Se fendent rapidement Super tétines mais en débit variable elles se fendent Trop rapidement.</t>
  </si>
  <si>
    <t>Brassière Brassière en aucun cas fait pour le sport. Je les ai acheté pour m’éviter le supplice du soutien-gorge le WE. Ce que j’apprécie ce sont les bretelles, car elles sont réglables.</t>
  </si>
  <si>
    <t>Très confortable! Pantalon de jogging hyper confortable! Sur moi il est un peu ajusté, j'aurai donc préféré un peu plus large. N'hésitez pas à prendre une taille au dessus si vous aimez qu'il soit un peu large (comme sur la photo). Je mesure 1m72, je fais habituellement une taille xl ou xxl en fonction des marques. La longueur est parfaite! Et ne sert pas la taille. Bon produit, je ne regrette pas mon achat.</t>
  </si>
  <si>
    <t>Rapport qualité-prix correct J'ai acheté ça pour mon Shih Tzu. Ça fait deux fois que je l'achète en 3ans car l'autre était usé . J'en suis très satisfaite. 😊Et lui en est très content pendant les périodes fraîche. Le prix est très intéressant</t>
  </si>
  <si>
    <t>Très bon produit J'ai commandé ces chaussures pour mon frangin qui se plaignait de ressentir les pierres avec ses anciennes baskets. Il est très ravi et recommande ce produit. Taille comme il faut. Il faut aimer les chaussures serrées. 👍</t>
  </si>
  <si>
    <t>basket ses ce que ma petite fille voulait</t>
  </si>
  <si>
    <t>Nikel Bon produit satisfait</t>
  </si>
  <si>
    <t>Très bonne qualité Fonctionne très bien sans bruit</t>
  </si>
  <si>
    <t>Superbe Le legging est vraiment superbe, très belles couleurs. La taille correspond.</t>
  </si>
  <si>
    <t>adidas pace bon rapport qualité prix, conforme à la commande</t>
  </si>
  <si>
    <t>Superbe montre à l'allure vintage. Franchement, rien à redire.  J'adore le design des montres casio. Celle-ci est pour moi un peu plus charmante que les autre.  Simple à régler et à comprendre, en 30 minutes elle était à mon poignet.  Bref rien à redire (surtout pour le prix)</t>
  </si>
  <si>
    <t>Bon accessoire Chaussures très confortables.</t>
  </si>
  <si>
    <t>Pack nouveau-né top, Dodie nous propose ici un kit nouveau-né Anti-Colique pour garçon de couleur bleu et jaune. Ce lot se compose : -2 biberons de 150 ml -2 biberons de 270 ml -2 biberons de 330ml -1 goupillon 2 en 1 -une sucette anatomique Les valves des tétines disposent d’un système anti colique.</t>
  </si>
  <si>
    <t>Très adapté Lessive</t>
  </si>
  <si>
    <t>Très bien Très bon rapport qualité prix, avec un nombre de paquets respecté Motifs très originaux Je suis satisfaite (il y a juste une toute petite odeur, papier ou plastique, mais pas gênante pour moi)</t>
  </si>
  <si>
    <t>QUALITE DU PRODUIT Ce produit correspond parfaitement à mes critères de sélection, autonomie , réduction des bruits, qualité et faible en poids ...... Prix correcte également pour la qualité Hifi du produit</t>
  </si>
  <si>
    <t>Au Top Acheter il y a un moment maintenant. Ciseaux de très bonne qualité, solide. Je les utilise souvent et ils coupent toujours aussi bien. Je regrette un peu sa taille, mais ça reste strictement personnel. Je recommande</t>
  </si>
  <si>
    <t>Très bien Modèle bien ajusté, en taille M. Un style sobre et discret en blanc et noir, conforme à la photo. Qualité Cressi. Je recommande.</t>
  </si>
  <si>
    <t>Bien Résistant</t>
  </si>
  <si>
    <t>Parfait! Exactement comme sur la photo, l’assemblage de ces bracelets donne un super effet!</t>
  </si>
  <si>
    <t>belles baskets Mon fils est très content. les baskets Nike taillent petit donc j'avais pris une taille au dessus et c'est parfait ! Maintient bien le pied, belles finitions</t>
  </si>
  <si>
    <t>Déçu Déçu car taille vraiment trop petit</t>
  </si>
  <si>
    <t>Rapidement défectueux Je me suis servi très peu de cet appareil puisqu'au bout d'une dizaine d'utilisation , il ne fonctionnait plus!! J'ai contacté le vendeur et j'espère qu'il pourra me faire un échange ou un remboursement! Affaire à suivre</t>
  </si>
  <si>
    <t>Jamais reçu Jamais reçu</t>
  </si>
  <si>
    <t>Pas géniale Cette bouilloire fonctionne plutôt bien mais elle fait très "cheap", le plastique et léger, il y a du jeu dans le bouton et elle n'a pas l'air très solide, on verra avec le temps mais je regrette déjà mon achat.</t>
  </si>
  <si>
    <t>très bien rien de particulier à signaler en la matière pour ce produit. Ensemble satisfaisant dans son utilisation on peut recommander ce produit</t>
  </si>
  <si>
    <t>Petite bouilloire pour 1 à 2&amp;nbsp;personnes Cette bouilloire permet de chauffer au maximum 800ml ce qui la destine à l'usage d'une à deux personnes. Le temps de chauffe est court car la puissance est importante.  Un très bon produit simple d'usage que je recommande sans réserve.</t>
  </si>
  <si>
    <t>Une référence Les biberons AVENT sont pour nous une référence, c'est ceux que nous utilisons depuis longtemps à la maison. Les nouveaux biberons ont un système de valve anti colique. Ce système est fait pour que bébé avale moins d'air, et c'est très pratique. C'est un système que l'on rajoute sous la bague du biberon avant de le fermer. Toutefois, on peut l'enlever pour utiliser le biberon de manière classique. Un référence.</t>
  </si>
  <si>
    <t>Bon rapport qualité prix J’adore! Enfiin trouvé des baskets compensées qui apparaissent comme des baskets normales! Donc on peut gagner quelques centimètres tout en discrétion lol. elles sont tres belles très confortables, identiques aux photos..Parcontre prendre une taille au dessus, meme si dans le descriptif il mentionne taille européennes , elle taille petit .. je mets du 35 dans les compensées mais la elles me serrent ..donc si vous vous trompez pour la taille cest fichu car renvoyer le produit coûterait autant que le produit lui même et les frais de retour ne sont pas pris en charge ..mais le vendeur est tres pro , réactif et fait son possible pour ns satisfaire .. pour conclure j’adore,  je vais devoir les recommander en 36 cette fois</t>
  </si>
  <si>
    <t>Aromathérapie Je l'utilise beaucoup pour ajouter de l'humidité à l'air. Il y a un peu de bruit mais je trouve ça relaxant parce que c'est tellement subtil et à base d'eau.  Vous pouvez le chronométrer pour qu'il s'éteigne à différents intervalles, vous pouvez activer et désactiver les couleurs, et il est facile à remplir et à vider.  Le seul inconvénient est que les huiles ne durent pas aussi longtemps dans la machine que dans un brûleur, par exemple.</t>
  </si>
  <si>
    <t>Super évolution du modèle précédent. Le modèle précèdent, de la même marque, ayant rendu l'âme au bout de 5 ans, après de bons et loyaux services, je l'ai remplacé par ce modèle très complet et pratique à tout point de vue : Visu de l'avancement de la mise sous vide, Intégration du rouleau de film, rangement vertical, .... Ne surtout pas se priver de cet outil idéal pour conserver les aliments.</t>
  </si>
  <si>
    <t>Super bouilloire Super bouilloire, très beau design. La bouilloire est très solide. Elle est légère, très facile d’utilisation, très facile à laver. L’eau chauffe rapidement et la bouilloire s’arrête toute seule une fois que l’eau est bouillante.</t>
  </si>
  <si>
    <t>Bon volume et nettoyage facile Très bon volume . J’en avais assez de mon ancienne bouilloire avec la résistance à l’intérieur . Celle ci est très belle et à l’intérieur surface plane . Nettoyage facile .</t>
  </si>
  <si>
    <t>Taille impecable . Je recommande</t>
  </si>
  <si>
    <t>Chaud et classe Très bien pour rester au chaud. Très bonne qualité de produit. Rien à redire. Un beau cadeau de Noel !</t>
  </si>
  <si>
    <t>Chaussettes simples Premier essai les chaussettes sont bien taillées et tiennent bien. A voir la tenue dans le temps mais ça me convient.</t>
  </si>
  <si>
    <t>Anneaux argent Les anneaux sont parfait. Je port les plus petits dans mes deux et troisième trous d'oreilles, je ne les enlève pas, ils n'ont pas bougé. Ils sont très petits difficile à mettre avec mes gros doigts... les plus grands rien à redire. Reçu rapidement</t>
  </si>
  <si>
    <t>Très utile Correspond à ce que je cherchais. Livraison le jour annoncé</t>
  </si>
  <si>
    <t>Super Super son et bonne qualité.</t>
  </si>
  <si>
    <t>Coupe originale et bien taillée Veste bien taillée, agréable et chaude.</t>
  </si>
  <si>
    <t>Satisfait Performant, confortable, pratique et design. Juste pas trop compter sur la qualité du micro.</t>
  </si>
  <si>
    <t>j’ai adoré ce produit est très fonctionnel et beau et surtout très design,,,,j’ai pris du plaisir à mieux sentir en mode relaxant</t>
  </si>
  <si>
    <t>Contre façon ou pas ? Ma fille qui au collège est très déçue par l'achat. Les écritures en rouge sur les côtés représentant  la marque de la chaussure s'effacent de plus en plus. On se rend compte que c'est une contre façon ? Elle a déjà eu une paire sans le moindre problème. J'attends votre réponse.</t>
  </si>
  <si>
    <t>Qualité de son médiocre Malgré tous les réglage possible via l’application, ces écouteurs manque cruellement de basses. De plus les correspondants vous entendent très mal lors d’un appel. Dans cette gamme de prix, j’ai acheté des AirPods que je trouve bien meilleur et plus simple d’utilisation.</t>
  </si>
  <si>
    <t>Pas terrible Petite qualité. Cela ressemble au chaussure que l'on aurait dans une solderie</t>
  </si>
  <si>
    <t>Pas mal, peut mieux Ce que j'aime bien c'est qu'il y en a beaucoup dans le paquet par contre je trouve que le papier n'est pas assez épais et tu devrais faire des rouleaux auto biodégradable et jetable dans les toilettes</t>
  </si>
  <si>
    <t>pratique et agréable utilisation journalière pour chantier. résistante , étanche et confortable</t>
  </si>
  <si>
    <t>pas très solide beau bracelet, qualité à revoir sur le long terme</t>
  </si>
  <si>
    <t>TB ! Rando sur GR34. Confort !</t>
  </si>
  <si>
    <t>Fait de l'effet Il est très beau à mon poignet</t>
  </si>
  <si>
    <t>A nouveau conquise 😊 Edit du 02/11/2017 je reviens sur mon precedent commentaire.Le service apres vente est rapide et efficace.  Après un premier temps d'utilisation optimale le micro ne fonctionne plus et le cable a des problèmes de faux contact. Je ne recommande plus cet article.</t>
  </si>
  <si>
    <t>Aux pieds !!! Utilisation travail chantier taille en 42 qui doit être un petit 42 1/2 mais avec des chaussettes l’hiver ça le fait</t>
  </si>
  <si>
    <t>Idéal Idéal. Je suis contente de mon achat. J’ai essayé le chaud et le froid ! Top. On verra avec le temps.</t>
  </si>
  <si>
    <t>Impeccable Ras</t>
  </si>
  <si>
    <t>Parfait pour les pieds déformés J'en achète depuis une vingtaine d'années Elle taille petit : Je prends du 44 alors que je chausse du 43. Je retire la semelle amovible et la remplace par celle (orthopédique) de mon podologue. Je la porte presque en permanence. Le modèle de couleur beige me semble un soupçon moins large</t>
  </si>
  <si>
    <t>magnifique tres jolie bracelet pour ce qui est de la taille c'est correct pour un poignet de femme sans souci</t>
  </si>
  <si>
    <t>Très bon sac. Spacieux, confortable, pas mal de poches, un compartiment accès rapide pour les chaussures ou autre en bas très pratique! A recommander sans hésiter !</t>
  </si>
  <si>
    <t>Très légère et confortable Très bon produit, qualité de son exceptionnelle, pour le prix c'est vraiment de la qualité je recommande fortement à voir dans le temps</t>
  </si>
  <si>
    <t>Bonne acquisition Cette sacoche a l'air de bonne qualité, elle est un petit peu plus grosse que la moyenne et c'est justement ce que je recherchais (voir dimensions dans la fiche article). Il y a une myriade de poches, vraiment beaucoup, donc si comme moi vous aimez compartimenter les choses vous serez aux anges. La couleur est conforme aux photos, et le style casual/urbain plutôt facile à assortir. Je la destine plus à un usage voyage que quotidien, car sa taille permet de ranger facilement un petit appareil photo numérique ou une tablette 7 pouces et d'avoir tout sous la main quand on voyage.</t>
  </si>
  <si>
    <t>J'en ai possédé 4 Les anciennes fonctionnent encore avec leur pile d'origine, certaines depuis 8 ou 9 ans. Dommage que les bracelets soient bien plus courts dans les récentes fabrications, sans doute prévues pour les fines attaches des mâles asiatiques ... Donc ce serait devenu presque une montre pour femme. En tous cas c'est un achat à recommander.</t>
  </si>
  <si>
    <t>Tétine parfaite pour légume Tétine avec un trou suffisement assez gros pour faire passer des petits bouts de jambon, poisson, courgette mélangé avec du lait. Ne lutilisez pas si vous mettez que tu lait avec des céréales, coule trop vite si trop liquide et devient du gavage</t>
  </si>
  <si>
    <t>Chaussettes solides et chaudes Je cherchais des chaussettes solides et qui tiennent un moment au niveau de la cheville (car c'est souvent que les élastiques ne tiennent pas le coup) et elles sont parfaites . En plus elles sont chaudes!</t>
  </si>
  <si>
    <t>Le meilleur casque que je n'ai jamais eu (ou presque depuis aujourd'hui)... [Mise à jour au 31/08/2019] Ayant envie d'un bon casque ouvert (pour du monitoring, le 770 me sert pour l'enregistrement voix, guitare pour éviter la repisse dans le micro) j'ai craqué pour le frangin ouvert, le DT 990 Pro en 250 Ohms cette fois-ci (attention cette différence d'impédance joue aussi peut-être, je ne sais pas). Il est encore en rodage mais il semble supérieur au 770, déjà exceptionnel. En tout cas leur signature sonore est vraiment différente. La scène du 990 est logiquement plus ouverte bien que le 770 soit déjà vraiment étonnant sur ce point pour du fermé. Sur certains morceaux c'est le jour et la nuit. Sur Dancing With Your Ghost de Sasha Sloan c'est terrible ! Le 770 est super pour un fermé sur ce plan, mais quand même là il se fait exploser. Les voix sont moins dans les médiums... C'est d'ailleurs sur les voix que les deux casques se distinguent le plus lors des premières écoutes comparatives. La différence est flagrante. Le 990 les retranscrit avec moins de médiums, plus de chaleur, tandis que le 770 est d'avantage dans les médiums avec un son plus "plastique" (j'ai du mal à exprimer ce que je ressens). Ce n'est pas désagréable, juste très différent. Par contre le 990 semble avoir un poil moins de basses (il en a quand même, attention, sont-elles plus fidèles ?), casque ouvert oblige, mais j'affinerai mon jugement après un bon rodage. Elles sont moins percutantes mais très agréables et semblent vraiment justes. Là le 990 sort de la boîte, ça peut bouger pas mal. J'adore les basses mais je déteste celles, artificielles, fournies par les casques à la mode qui bousillent/réinterprêtent les morceaux. Ces deux Beyer les retranscrivent de façon juste, descendent très très bas mais sans jamais en faire trop, dénaturer les morceaux. [fin de la mise à jour !]  J'ai possédé pas mal de casques. Des Sennheiser (HD 25 et HD 598), Sony, AKG (K 242 HD), Koss, Focal Spirit One… Du ouvert hifi, du fermé en Bluetooth de djeuns hyper basseux (revendu quelques mois après), etc. Faisant un peu de home studio j'avais acheté l'AKG il y a quelques années. On me l'avait conseillé pour son côté neutre. Mais, suite à un problème de jack j'ai dû me rabattre sur le Sennheiser 598 récemment. Et là, le rendu était tellement différent entre les deux que je ne savais pas auquel me fier. Connaissant le DT 770 Pro par réputation je me suis renseigné partout sur le web. Ok, ce sera celui-ci. Au pire, s'il n'est pas top, je le renverrai. Puis, de si bonnes critiques pour un prix plutôt bas, je ne prenais pas trop de risques. J'ai pris le 32 Omh. Même si je suis équipé en carte son externe je veux pouvoir aussi l'utiliser en direct avec un ordinateur portable sans carte son externe ou sur mon iPhone. J'ai lu tout et son contraire sur les différentes versions. Au final le 80 semble un peu plus exagéré (pour la prise de son) et les deux autres, 250 et 32, semblent se ressembler et être un poil plus fins (mixage). Après réception j'ai comparé avec mes autres casques, essayé plein de styles de musique. Et là je peux dire que c'est, de loin, le meilleur casque que j'ai eu. Les basses descendent ultra profondément (5 Hz) mais sans tout pourrir comme sur certains, les aigus sont hyper détaillés, les médiums pas étouffés comme sur pas mal de casques aussi ou très en avant comme sur mon Sennheiser. J'ai lu quelques fois que ce casque n'était pas très fourni en basses. Heu... Je n'ai jamais eu un casque les retranscrivant aussi bien. Des basses, si on lui en donne, il en a ! J'oserais même dire que c'est une de ses forces. Il ne va pas les survitaminer artificiellement comme certains au point d'en déformer le rendu et s'écrouler sous 20 ou 30 Hz. Il a une plage de rendu de ces basses exceptionnellement étendue. Encore une fois, mon AKG et mon Sennheiser sont largués sur ce point. Essayez sur Angel de Massive Attack, morceaux juge de paix sur le rendu (puissance et finesse) des basses pour moi. Alors que mes autres casques ne retransmettent plus du tout beaucoup d'infra basses, celles-ci sont bien présentes avec le Beyerdynamic, détaillées, ultra profondes. La grosse caisse est bien plus précise par exemple. Pour ceux qui connaissent on entend la nappe d'infra basses et une légère texture au moment de la frappe. Ça, ça n'existe tout simplement pas sur les autres casques. Il n'invente pas les basses, il ne les exagère pas, elles sont là et il est capable, lui, de les retranscrire. Et ce à partir de 5 Hz !!! Pour en revenir au rendu global, mon fils de 13 ans à qui je l'ai fait essayé m'a dit ce qu'il en pensait à sa manière que je trouve aussi imagée que juste : « c'est comme si avant on avait écouté la musique comme un si c'était un dessin à plat et qu'avec ce casque le dessin passait en 3D, que plein de détails apparaissaient les uns derrière les autres. » C'est exactement ça. À côté, le Sennheiser 598 (sorti à 300 balles quand même) est en dessous. Fouillis, très medium, trop typé, à la limite de réinterpréter les morceaux. L'AKG est dans le même registre que le DT 770. Neutre. Mais bien moins détaillé, moins précis. Comme plus étouffé, filtré. Le Beyerdynamic est largement au-dessus. Franchement le rapport qualité prix est juste phénoménal. Je me rappelle avoir ressenti tout ça sur des casques bien plus chers (600€). Là pour 120 balles je ne vois pas comment trouver aussi performant, précis. Ce casque est un must have et ce n'est pas pour rien qu'il trône dans beaucoup de studios. Il est impossible de se planter en en achetant. Seul léger inconvénient qui me concerne, j'ai surtout été habitué à du casque ouvert, ce qui est une hérésie en enregistrement/prise de son d'ailleurs. Mais le confort est top pour moi. Le DT 770 Pro, en 32 qui plus est, isole fortement (-20 db pour le 32 et -18 db pour les 80 et 250 et leurs coussinets en velours). Pour moi c'est une habitude à prendre, pas forcément naturelle. J'aime entendre ce qu'il se passe autour de moi, ne pas sentir cet effet d'étouffement des casques fermés. Et là on a vraiment l'impression de devenir sourd quand on le met ;) Mais c'est d'abord une qualité pour un casque fermé, orienté monitoring qui plus est. On embête personne et l'écoute n'est pas perturbée... Je conseille donc à 200%. Ok ce n'est pas du Bluetooth mais pour obtenir cette qualité c'est filaire obligatoire.</t>
  </si>
  <si>
    <t>Efficacité réelle ... a recommander Clairement j'avais un petit doute avant d'acheter ... Il y avait pas mal de commentaire positif mais nous avons tous appris à nous méfier des commentaires n'est ce pas ? Donc essaie dans des bottes de moto étanches (donc pas très respirantes) qui prennent en plus régulièrement la pluie ces derniers jours (donc humidité externe) et qui sont stockés dans un placard fermé au boulot : J'y met un sachet par botte et hop, miracle aucune odeur d'humidité ou de transpiration. J'ai mis les gros sachets dans le placard à chaussures de la maison et ça calme nettement les ardeurs des baskettes de mes ados.  Je n'ai pas encore le "rechargement" au soleil à faire régulièrement. Le coté "naturel" et le fait qu'on le recycle dans le jardin sont clairement un plus,  C'est à croire qu'on a effacé de la mémoire collective que des produits naturels pouvaient faire le job et qu'on peut se passer de pas mal de produits manufacturés polluants ...  A recommander chaudement donc.</t>
  </si>
  <si>
    <t>Tellement pratique On ne peut plus s’en passer pour conserver au frais les aliments.</t>
  </si>
  <si>
    <t>Parfait Bonne qualité et très pratique, rien à dire, n'hésitez surtout pas à vous le procurer vous en serez entièrement satisfait.</t>
  </si>
  <si>
    <t>Bien vérifier le nombre de lot... Je suis déçue.. Lorsque l'on regarde le produit il est écrit 18 lots, je commande et ne reçois que 6 lots... En regardant la commande il est effectivement écrit 6 lots... Il y a une grosse différence entre le nombre avant commande et le nombre après commande... Sinon elles taillent bien..</t>
  </si>
  <si>
    <t>toujours cassé J'ai commandé l'article 3 fois et les 3 fois, celui-ci est arrivé cassé. J'arrête les frais parce qu'après 3 fois, il y a peu d'espoir que ça change</t>
  </si>
  <si>
    <t>appareil coupe droite au lieu de croisée ! Lors de mon premier essai, l'appareil faisait bien une coupe croisée, mais vu que je m'en sers peu, je me suis apercue hier en vidant la cuve, que la coupe était devenue DROITE" !!! Depuis quand.. je ne sais pas vu que la cuve est vidée environ une fois tous les 18 mois et que je me suis absentée plus de 6 mois... La coupe droite ne sert à rien pour des documents confidentiels tels que bancaires par exemple.. A ce prix là, on fait des destructeurs à coupe droite pour 20 euros.... je ne sais pas si ce materiel est reparable.</t>
  </si>
  <si>
    <t>Pas mal. A cause des chiens dans la voiture ma banquette arrière était très sale. Les tâches sont anciennes et très étendues. J’ai frotter énergiquement avec ce produit et un chiffon micro fibre. J’ai réitéré trois fois l’opération avec une semaine d’écart entre chaque utilisation, et le résultat est assez satisfaisant, quoi que pas miraculeux. Un bon produit tout de même, qui doit être très efficace sur des taches récentes.</t>
  </si>
  <si>
    <t>Trop petit Prenez une taille au dessus de votre taille habituel car cette veste taille vraiment petit</t>
  </si>
  <si>
    <t>Plus que correct Utilisé principalement pour écouter la TV sans déranger, j'apprécie le confort acoustique et physique. L'oreille est bien enveloppé et le casque ne sert pas trop. En Hifi, le son n'est pas aussi cristallin que sur certains produits mais on est plus dans la même gamme.</t>
  </si>
  <si>
    <t>Cher mais efficace Ce produit étant assez cher, je ne l'utilise que pour laver draps ou serviettes de toilette. Il suffit de l'ajouter dans le tambour avec le linge, et le linge sort parfaitement propre et désinfecté. Pour des lavages plus fréquents, la version liquide de ce produit revient moins cher.</t>
  </si>
  <si>
    <t>Super pour les journees coocooning d'hiver Très confortable et chaud</t>
  </si>
  <si>
    <t>Parfait nous en avions déja deux mais notre fille en a cassé un un, que l'on remplace. Super son, pas trop lourd, la grande longueur de fil pour se raccorder au téléviseur est excellente.</t>
  </si>
  <si>
    <t>Livraison rapide et produit parfait Très bien! Livraison super rapide. Convient très bien à porter le soir à la maison pour être plus relax. Très souple et agréable à porter. Taille très bien et semble de bonne qualité</t>
  </si>
  <si>
    <t>correspond à la description couleur superbe Taille un peu grand et large</t>
  </si>
  <si>
    <t>Bon rapport prix/performance Pour commencer, je vais parler brièvement du packaging qui est plutôt soigné, sans être extraordinaire , mais pour le prix c'est déjà pas mal.  De prime à bord le casque fait plutôt massif et solide.  Pour les caractéristiques :  Microphone réglable Lumières LED Connectique : mini-jack 3,5 mm (pour l'audio) et USB (pour les LED) Compatibilité : PC, PS4, smartphones et tablettes Impédance : 32 Ohm Longueur de câble: Env. 2,2 m Poids : 330 g Garantie : 1 an  Donc sans rentrer dans les détails je vais énumérer les points que j'ai aimé ou non .  Points positifs :  - Il a une bonne isolation des bruit extérieur , pas totalement fermé, mais toujours bon pour l'immersion . - la commande pour le son, le micro qui est toujours un plus pour switch de réglage en jeu. - le micro qui est réglable verticalement - le confort qui est bon, mais pas excellent , acceptable au regard du prix. - le design du casque qui est pas mal, pas discret, mais c'est pas ce que l'on recherche avec un casque GAMER - les LED - Le son, mais en gardant à l'esprit le prix du casque. Il est bon pour cette gamme de prix, mais pas extraordinaire , mais pour un 1er casque GAMER ça suffit amplement.  Les points qui fâche :  - le rendu du micro qui est juste passable, rien pour contrer le souffle. - la qualité général. Même si de l'extérieur le casque fait solide, si on le maltraite un peut, ça craque légèrement . (Gardez le prix à l'esprit !) ce n'est pas catastrophique non plus. - l'effet glossy du casque très joli, mais bonjours les traces de doigts (pour les plus maniaque !)  Donc pour résumer :  La qualité sonore de ce casque est tout à fait acceptable. Le design, la commande son, le micro orientable en font un très bon compagnon de jeu pour qui ne veut pas se ruiner. Il à quelques défauts, mais qui ne sont en rien rédhibitoire . Il faut garder à l'esprit le prix du casque et on obtient un très bon rapport performance/prix.  Je recommande donc fortement se casque comme 1er casque ou simplement pour les budgets serrés.</t>
  </si>
  <si>
    <t>PARFAIT J'adore, il est parfait et en plus je fais des jalouses :) Mode sport-chic, il va avec tout. Solide et très grand pour tout mon bazar !</t>
  </si>
  <si>
    <t>Confortable elles sont top! c'est vraiment agréable ce type de basket, la semelle est hyper moelleuse on se sent sur un petit nuage. je pense que ça fait du bien pour le pied. elles taillent normalement. je fais du 38 et elles font assez "fines" sur le pied, je ne m'en passe plus.</t>
  </si>
  <si>
    <t>Parfait ! Superbes paires de baskets. Achetées pour la rentrée de ma grande en 3ème. Elle est ravie! J’ai pu profiter de l’offre à 50% en plus, donc c’est super.</t>
  </si>
  <si>
    <t>Très pratique pour le voyage Pour les voyage mieux qu un sac à main</t>
  </si>
  <si>
    <t>Matière douce. Pas mal ce petit haut. Dommage que c’est pas un col en V.</t>
  </si>
  <si>
    <t>baskets stylées. Pour mon fils très belles baskets , conformes au descriptif , envoi rapide.</t>
  </si>
  <si>
    <t>Conforme Taille conforme, produit conforme :)</t>
  </si>
  <si>
    <t>montre très belle montre mon fils est content</t>
  </si>
  <si>
    <t>Très pratique Super produit, un indispensable lors des voyages. Comme j'ai des jumelles qui ne prennent pas le même lait, les deux couleurs différentes sont un atout. Je recommande.</t>
  </si>
  <si>
    <t>très Parfait pour un enfant de 5 ans qui se pose pleins de questions sur les choses de la vie courante.</t>
  </si>
  <si>
    <t>Produit conforme à la description, tient ses promesses. Chauffe bébé très pratique que l’on peut emmener partout. Juste besoin de faire bouillir de l’eau avant de partir et hop le tour est joué. Pas besoin d’électricité, le biberon peut être chauffé partout, et l’eau reste chaude pendant au moins 6h !</t>
  </si>
  <si>
    <t>Solide Comme à la description .</t>
  </si>
  <si>
    <t>pas ce que j'attendais, décue par le produit déçu, haute, mais pas large je m'attendais à mieux, je pensais avoir trouver la sacoche idéale, ba non, elle repartira dès lundi, tout se trouve ratatiné a l'intérieur ! tres déçu</t>
  </si>
  <si>
    <t>Inutile Aucune effet</t>
  </si>
  <si>
    <t>Trop petit J'adore le produit, malgré que j'ai pris une pointure au dessus il est trop serré.</t>
  </si>
  <si>
    <t>bon mai ... pas vraiment de plus je ne vois pas de différence sur la réduction de bruit  par rapport au modèle précèdent il y a même une régression avec l'usage du téléphone (coupure ou hachage ) par contre l'application Bose music sur iPhone est franchement NUL l'appareillage est aléatoire et fastidieuse . en même temp ce n'est pas nouveau j'ai eu le même problème avec la barre de  son 700. Donc pour une acquisition c'est top , pour un renouvellement avec espoir de nouveautés et une réduction de bruit amélioré alors la c'est franchement la déception .</t>
  </si>
  <si>
    <t>Correct Après un essai infructueux, et lecture de la notice un peu complexe, avons finalement réussi à poser ces languettes.</t>
  </si>
  <si>
    <t>LA DOUCEUR DE CE GILET je regarde la TV avec, il est très confortable le seul problème c'est qu'il faut toujours rester connecter ou surtout ne pas oublier de se débrancher EDF</t>
  </si>
  <si>
    <t>Sympa Chaussette sympa de couleur, qualité prix</t>
  </si>
  <si>
    <t>Enfin un T-shirt à ma taille ! La matière est très agréable à porter. Reste à savoir comment il sera après plusieurs lavages. Une question que je me pose : sur l'étiquette j'ai le message suivant "buy one get one free" même si mon anglais n'est pas très bon je comprends très bien que je peux en réclamer un autre !!!! comment faire ?</t>
  </si>
  <si>
    <t>Pointe des chaussures un peu fragiles en surface Pointe de la chaussure fragile en extérieur</t>
  </si>
  <si>
    <t>*The* best... La meilleure crème cirage que j'ai plus essayer jusqu'à présent. Nettoie, nourrit, répare... J'ai laissé tomber les produits de grande surface.</t>
  </si>
  <si>
    <t>bien abordable et de bonne qualité</t>
  </si>
  <si>
    <t>article coforme et livraison rapide article coforme et livraison rapide</t>
  </si>
  <si>
    <t>Parfaite ! Utilisation intensive dans une maison de 6 personnes, buveurs de thé et de café soluble. Facile à décalcariser : remplir d'eau, ajouter du vinaigre, faire bouillir et laisser reposer 30', rincer. Très satisfait de cet achat, excellent rapport qualité-prix !</t>
  </si>
  <si>
    <t>Top ! Top et stylé ! Je recommande ! Confortable après une journée !</t>
  </si>
  <si>
    <t>Une hygiène parfaite et irréprochable Cela fait une semaine que je teste ce papier toilette humide . Si au début lors de la première utilisation j'ai été quelque peu surprise par sa fraîcheur , c'est devenu maintenant un geste quotidien , une nouvelle routine de propreté pour se sentir bien . on utilise ce papier toilette humide en complément du papier de toilette traditionnel , pratique comme un papier toilette ordinaire cela se jette dans les toilettes ! Sa formule aloé douceur laisse la peau propre sans problème d'irritation . Toute la famille se sert désormais de ce papier toilette humide , et les filles de la maison sont plus que ravies surtout à certaine période du mois ! Je recommande vraiment ce produit qui devient l'atout propreté de la famille, maintenant que l'on a connu le papier toilette humide Lotus on va plus pouvoir sans passer</t>
  </si>
  <si>
    <t>Au top Je suis très content de mon achat ! Très confort, tien bien bonne connectique... J'avais une mauvaise expérience en écouteur sans fils, les nids sont une réussite 👍 Je recommande</t>
  </si>
  <si>
    <t>Impeccable Parfait comme tjrs chez converses, taille un peu grand, j'ai pris une demi taille en dessous.</t>
  </si>
  <si>
    <t>Top achat Livraison rapide correspondance parfaite avec la description, top ! Je recommande 👌🏼</t>
  </si>
  <si>
    <t>Crocs, what else?! Un produit original dont on n'a plus besoin de le présenter. Beau, pratiques et très chaleureux. Confort maximal.</t>
  </si>
  <si>
    <t>Très bonne achat ! Très bonne article niveaux qualité prix !! Je conseil fortement ! Je recommande, beau design et fonctionnel tous ce que j'attendais de cette article !</t>
  </si>
  <si>
    <t>Magnifique ! J'ai offert ce bracelet à ma chérie, et il est encore plus beau en vrai. La boite Swarovski est bien présente ainsi qu'un certificat d'authenticité, packaging complet. Merci Amazon de proposer ce produit à un tarif aussi avantageux :) Je recommande fortement ce bracelet !</t>
  </si>
  <si>
    <t>Pratique Pratique et ne tient pas beaucoup de place. On peut placer 8 biberons et autant de tétines.</t>
  </si>
  <si>
    <t>Doseur Je ne regrette pas du tout de l'avoir acheter...  Si vous prenez qu'une dose avec vous, il faut pas oublier de mettre le couvercle qui se fixe en plus....</t>
  </si>
  <si>
    <t>Bof Taille pas top Mal aux pieds</t>
  </si>
  <si>
    <t>Earphones pourris Les ecouteurs sont des copies, je vous deconseille de les acheters. Les basses sont vraiment nuls la qualité du son est vraiment horrible.</t>
  </si>
  <si>
    <t>Qualité Comment tout les bijoux Amazon ne vaux rien</t>
  </si>
  <si>
    <t>Mouais Le prix est trop élevé par rapport a la qualité du tissu.</t>
  </si>
  <si>
    <t>La taille Ces pantoufles sont  très bien ,  faciles  à mettre  et pas chers, mais  attention pour la taille ! Chaussent trop petites,  me méfiant j'ai pris les plus  grandes 44-45 , je  fais  du 43 et cela correspond parfaitement. Prenez 2  tailles  au-dessus</t>
  </si>
  <si>
    <t>Tout Écouter</t>
  </si>
  <si>
    <t>bon produit bon produit par contre au premier abord, on dirait un survêtement de fille un peu moins une fois porté</t>
  </si>
  <si>
    <t>bien look assez discret, pas trop lourdes, bons crampons. A voir à l'usage si elles sont bien imperméables. elles taillent correctement : nous avons pris la taille habituelle et cela va bien.</t>
  </si>
  <si>
    <t>Parfait Excellent produit, vous pouvez libérer le club de golf de la saleté grossière, le fond de mes chaussures de golf peut également être nettoyé.</t>
  </si>
  <si>
    <t>Magnifique Très content de mon achat  Des écouteurs qui font plaisir portés Ayant déjà eu des écouteurs sans fil qui m'ont coûté un peu plus cher, ces derniers sont tout simplement au top en termes de tout (design, qualité de son, autonomie et légèreté)  Je recommande :-)</t>
  </si>
  <si>
    <t>Lancez vous Longueur parfaite qualité idéale rien à redire</t>
  </si>
  <si>
    <t>Parfait pour l’automne je fais une taille de  38 et J'ai choisi la taille M. Elle me va très bien ! la matière est douce. Parfait pour l’automne. Je suis très satisfaite de mon achat.</t>
  </si>
  <si>
    <t>Rapport qualité/prix ; Excellent produit Je voulais m'offrir des oreillettes buds (style Samsung buds) et la j'ai trouver (après diverses recherche, modèles (et ils y a un paquets de versions &amp;amp; avis) celles que je désirais. Bien sûr mon choix final a été porté sur TOUS les avis positifs de CE produits juste fantastique tant par le disign, le confort à porter(j'avais des doutes sur le maintien aux oreilles mais il est parfait même pour les petites oreilles ce qui est mon cas ) ,le confort d'écoute subtile, puissant et performant tant par la qualité des bass, médium &amp;amp; des aiguës le tout sans saturation d'aucune sorte. On peu ajuster, avancer/reculer, augmenter/baisser, decrocher/recrocher &amp;amp; pause/play sur les deux oreillettes et cela indépendamment l'une de l'autre ou l'une à l'autre. On l'utiliser soit en stéréo évidemment mais aussi et surtout individuellement (en mono) ce qui est très pratique car effectivement le réducteur de bruit est bien là et extrêmement efficace donc aucune gêne par les bruits ambiant et "ce" dans toutes les conditions possible. La porté et le signale du Bluetooth 5.0 et rapides et parfaite quand on sait que la distance conseillé maximale est de 10m et bien après mon test j'y ai mis une distance ~ 20m et je n'ai eu aucune coupure évidemment au delà la connexion se coupe. Station de rechargement petite légère &amp;amp; pratique surtout que vous pouvez recharger votre Smartphone via le port USB situé en façade et de se fait sert aussi de batterie de secours(judicieux combo ) Question prix ;bin 5* Rapport qualité /prix je vous le conseil FORTEMENT car pour avoir  testé également certaines marques &amp;amp; vu les tarifs EXORBITANT de ventes (selon revendeurs cela varie entre 149,99/179'90€)pour exactement la même chose voir moins bien qualité son et où d'autre non pas là fonction réduction du bruit !!! Merci VIGORUN pour ce produit de qualité Ma note ; 10/10</t>
  </si>
  <si>
    <t>Légère et confortable Les semelles à l'interieur font une sensation bizarre sous le pied.j ai racheté une semelle à gel. Sinon elle sont légère et confortable</t>
  </si>
  <si>
    <t>Nickel ! Je ne m'attendais pas à un son si bon pour le prix de ce casque , c'est bluffant !. De plus il est très simple d'utilisation .La pochette de rangement est sympa. Très bon article, je recommande vivement.</t>
  </si>
  <si>
    <t>Avis bouilloire carrera Design super, juste attention quand l'eau est arrivé à température le corps de la bouilloire est chaud. Donc ne pas poser ou attraper la bouilloire par le corps mais la anse qui sert à ça. Niveau monter en température, le temps est satisfaisant.</t>
  </si>
  <si>
    <t>Beau produit Produit confortable et résistant</t>
  </si>
  <si>
    <t>Bon produit et bon son Tres bon son ( meme je ne suis pas un professionnel) !! Les produits xiaomi sont pas cher et de très bonne qualité. Facile à transporter et configurer avec son téléphone. Marche tant avec les deux oreillettes qu'avec une seule aussi. Fan de ce produit !!</t>
  </si>
  <si>
    <t>Souple et léger Mise à part leur style adorable. Je trouve ces chaussure bien confortable. Grace à leur souplesse et leur légèreté, je les utilise pour faire du sport dans la salle de fitness. Parfaites aussi pour faire du running.</t>
  </si>
  <si>
    <t>Très satisfait ! Les écouteurs Bluetooth ont été livrées rapidement, dans une belle boite en carton qui contient : les écouteurs sans fil, un boitier de rechargement portable, un câble de rechargement USB, des embouts de différentes tailles, un sac de transport et un manuel d'utilisation (en anglais).  Les écouteurs sont de très bonne qualité, la qualité du son est super (baisses et aigus), le son est très clair, , l'autonomie est bonne, ils s’accrochent super bien aux oreilles (même en courant), de plus ils sont discret. Il n'y a pas de boutons, c'est la touche tactile (le dessus) qui permet de contrôler le volume, éteindre...etc. La connexion avec le téléphone se fait super rapidement (Bluetooth 5.0, jusqu'à 20 mètres). De plus, ils sont waterproof (IPX8).  Les écouteurs sont retenus magnétiquement dans le boitier pour éviter de les faire tomber si celle-ci s'ouvre. Elle a capacité de 3500mAh (30 fois de charge complète des écouteurs Bluetooth, 120h max autonomie). Il y a des voyants indiquant le niveau de charge.  Le rapport qualité/prix est très bon, pour le prix c'est un super produit, rien à dire, je conseille fortement !</t>
  </si>
  <si>
    <t>80's Nostalgique Produit excellent. Conforme à mes attentes. Livraison rapide, en parfait état. Génial pour les nostalgiques comme moi des années 80's et, au passage, de "RETOUR VERS LE FUTUR".</t>
  </si>
  <si>
    <t>Jogging comfortable Jogging qualité-prix super. Grand-mince, taille XL bien ajustée (192cm, 78kg). Très comfortable.</t>
  </si>
  <si>
    <t>Contente Je cherchais une bouilloire "intelligenete" c'est-à-dire qui peut être réglée à différentes chaleurs. C'est fait, très rapide aussi, grande quantité d'eau. Seul bémol : la chaleur extérieure de l'appareil et si je peux me permettre la bouilloire est bouillante.</t>
  </si>
  <si>
    <t>Assisse trop longue Montage bien pensé avec les étapes a suivre. Attention avec les clés alènes, bien les introduire dans les vis avant de tourner car on flingue facilement la tête des vis.  1 mois que j’utilise quotidiennement ce fauteuil et je suis plutôt déçu. Pour une utilisation gamer, l'assise est effectivement trop longue côté genoux, ce qui fait que lorsque je veux être assis bien droit, le dos contre le dossier, les mollets sont comprimés cotre le bout de l'assise si je veux les tibias verticaux, pieds à plat. Du coup on a tendance à avoir les fesses qui se décalent vers lavant, et donc le dos n'est plus droit. Je mesure 1m78 pour 73kg.  C'est vraiment dommage car pour le reste le fauteuil est confortable, mais ne pas pouvoir se tenir bien droit dans la durée... ça gâche tout.</t>
  </si>
  <si>
    <t>Attention se n’est Pas en verre Je suis très mécontente je voulais des biberons en verre et se n’est pas du tout sa. Très mécontente déçu</t>
  </si>
  <si>
    <t>Taille petit Victoria mes chaussures fétiche car très confortable mais là moi qui chausse du 40 elles sont serrés dans la largeur et dans la longueur impossible de mettre des chaussettes dommage. Je tente de les agrandir par tous les moyens.. :/</t>
  </si>
  <si>
    <t>Déçu Déçu car j'ai reçu mon colis mais le collier c'est casser lorsque j'ai voulu le mettre en plus il était trop beau et je n'arrive pas à le réparé ☹️</t>
  </si>
  <si>
    <t>Très belle Magnifique puma! Par contre le rouge ressort plutot rose foncé... Agreable a porter mais plutot fragile... Mais un bon rendu!</t>
  </si>
  <si>
    <t>Agréable Il est pratique, fonctionne bien, et plutôt joli</t>
  </si>
  <si>
    <t>Un basique à avoir Belle montre, assez fine, agreable à porter . Parfaite pour le travail et pour la vie de tous les jours . Par contre attention à l'eau, il est note qu'elle résiste aux éclaboussures mais je ne tenterai pas de la garder sous la douche . Parfaite pour le week end , la vie de tous les jours</t>
  </si>
  <si>
    <t>bouilloire tres bien</t>
  </si>
  <si>
    <t>Au top Très content ma cousine et ravis elle n’a pas du tout bougé au top merci</t>
  </si>
  <si>
    <t>Ravi Montre chic et sobre,à l'esprit vintage.parfait. Reçu dans sa jolie boîte,elle ne manque pas de vous donnez de l'allure,si j'en crois certaines femmes ☺️</t>
  </si>
  <si>
    <t>Bouillotte très sympa :) Très contente de cette bouillotte qui est jolie, grande et lourde mais pas trop, ne sent pas mauvais lors de la chauffe, les grains sont tout petits et c’est plus agréable que des noyaux de cerise et ils gardent étonnamment bien la chaleur. Seul «&amp;nbsp;bémol&amp;nbsp;» c’est que le tissu est une sorte de polar et je ne m’attendais pas à cela car cela a tendance à accrocher les poils ou poussières un peu plus que du coton par par exemple... mais en soit cela retient mieux la chaleur donc pourquoi pas c’est doux et agréable :) Idéal pour mon bébé de un mois qui a des coliques mais aussi pour lui poser tiède sur le ventre et oui donner l’impression d’une presence à ses côtés afin de faciliter l’endormissement ! Bref très contente de mon achat.</t>
  </si>
  <si>
    <t>Livraison rapide. Entretien facile. Agréable à porter Livraison rapide. Entretien facile, lavé plusieurs fois sans soucis. Agréable à porter selon les dire de mon mari très sportif, tiennent bien aux pieds sans échauffement.</t>
  </si>
  <si>
    <t>SATISFAIT Déjà je souhaite confirmer qu'il s'agit bien du vrai produit de chez Wincase.Je suis très content de cet achat. J'avais déjà des écouteurs bluetooth mais les deux étaient reliés par un cordon et ils n'étaient pas forcément faciles à allumer / appairer. J'ai donc craqué pour les AirPods (qui sont ici à un prix inférieur que celui affiché chez Wincase) et j'en suis pleinement satisfait pour leur simplicité d'utilisation avec un iPhone.</t>
  </si>
  <si>
    <t>de bonne qualité pour besoin perso</t>
  </si>
  <si>
    <t>j adore parfait pour l'instant il fonctionne on verra dans quelques mois.... mais sinon beau design.... fait de l effet et produit un reel apaisement et une diffusion agreable des huiles essentielles je recommande..livraison tres bien et rapide</t>
  </si>
  <si>
    <t>Dangereusement beau... Le bijou est conforme aux photos du site. Le pendentif, magnifique, resplendit dans la lumière et attire les regards : à chaque fois que je le porte, il y a toujours quelqu'un pour l'admirer ... ou pour le convoiter ! C'est le cas notamment de ma nièce (8 ans) qui ruse et argumente depuis plus d'un an pour que je le lui donne ! Finalement, cette année, je lui en ai commandé un pour Noël... Donc, achetez-le sans crainte, mais sachez que vous risquez, comme moi, de devoir investir à nouveau pour quelqu'un de votre entourage !</t>
  </si>
  <si>
    <t>Des écouteurs qui changent tout Ecouteurs utilisés pour écouter de la musique. très bon son, même si les oreillettes occultent un peu moins les sons environnants que les oreillettes classiques plus enfoncées dans les oreilles. Facile à appairer. Quelle liberté de mouvement ! Finis ls fils qui pendent ! Inutile de saisir son smartphone pour régler le volume. Doit être très pratique aussi pour prendre un appel. Un très bon produit à un prix mini !!!</t>
  </si>
  <si>
    <t>Papier de bonne qualité ! J'avais déjà acheté du Papier Clairefontaine pour faire des cadeaux et n'avis pas été déçu. Ici non plus le papier est de bonne facture, pas de mauvaise surprise au niveau de l'imprimé qui tient bien. Très bon produit je conseille vivement !</t>
  </si>
  <si>
    <t>Très bonne qualité d’impression Parfait pour Canon MG 3550.  Mais comme l’imprimante à presque deux ans, je pense ajouter quelques euros et acheter un nouveau matériel. Ce qui veut dire que comme dans les autres marques un lot de deux cartouches noir et couleurs n’est pas très loin en prix de la valeur d’une imprimante neuve de même type. Alors ...</t>
  </si>
  <si>
    <t>Merrel , c est excellent ! chaussures agréables à porter été comme hiver , robustes , bien aérées  mais aussi assez imperméables .... jusqu à un certain point bien sur  , en gros la pluie et les flaques ne posent pas de problème . au premier abord elles paraissent assez grosses : fausse illusion !! rapidement elles s assouplissent on les confondrait avec des baskets .  attention toutefois Merrel taille petit : choisissez impérativement 1/2 pointure au dessus de votre taille habituelle . elles sont ultra confortables  de vrais pantoufles  quant au prix sur amazon c est imbattable !!!! vous les garderez longtemps , je porte quasi quotidiennement ce modèle depuis  3 ans  et  elles vont durer encore . en gros en passant une commande je renouvelle le stock ^^ avant qu il n y en ai plus  ^^</t>
  </si>
  <si>
    <t>micro karaoké bluetooth A l'occasion des 60 ans de maman , je cherchais un micro sans fil et enfin j'ai trouvé ce modèle qui en plus fait karaoké. il est très simple d'utilisation, il se recharge avec son câble micro USB. La connexion bluetooth se fait aisément sur téléphone et tablette, en revanche je n'ai pas réussi a l'appairer sur l'enceinte sono, mais cela est un détaille, d'autant plus qu'il peut accueillir une carte micro sd sur laquelle on peut mettre une playlist pour la version karaoké. le son est diffusé et amplifié grâce aux hauts parleurs du micro et le son est fluide.la voix dans le micro est claire. En définitive, je suis ravie de mon achatt qui promet de belles soirées karaoké . je recommande fortement ce produit avec un bon rapport qualité prix.</t>
  </si>
  <si>
    <t>Bien mais Alors sa masse bien après pour les bulles sa fait quelques bulles sa ne sert presque à rien de ce coter la</t>
  </si>
  <si>
    <t>Cartouches vide ou encre dé-séchée ! ? Dés mise dans l'imprimante, celle-ci a signalé qu'il fallait changer les cartouches que ce soit celle en NB (540XL) ou couleur (541XL). A chercher à faire des économies, on peut être amené à payer plus cher ! J'étais obligé de remplacer les deux cartouches par deux autres de la marque de la grande surface où je les ai achetées ! Ces dernières marchent au moins !</t>
  </si>
  <si>
    <t>Je ne valide pas Déçu trop petit par rapport à la photo que j’ai vu sur Amazon et trop cher</t>
  </si>
  <si>
    <t>Déçue de la description photo Mauvaise description par rapport à la photo ! on montre des poches latérales et tu reçois un legging avec uniquement une petite poche à l'arrière, il n'y a pas de poche(s) latérale(s) sur le côté du legging !!! Je le garde car cela met tjrs utile mais déçue ….</t>
  </si>
  <si>
    <t>Ils ont l'air smart, mais faibles. J'aime leur aspect, très cool, mais ils ont développé des trous après seulement deux utilisations.</t>
  </si>
  <si>
    <t>Convient â un ado Ma fille est ravie. Seul bémol en 2 mois la couleur du bracelet à l intérieur commence à partir</t>
  </si>
  <si>
    <t>Très jolie Très jolie petite robe, matière fluide, agréable. La robe est doublée donc pas de transparence. Taille très bien, comme sur la photo Longueur : au niveau du genou, parfait pour moi</t>
  </si>
  <si>
    <t>mignon Chaine fragile</t>
  </si>
  <si>
    <t>Confortable. Confortable.</t>
  </si>
  <si>
    <t>Achat satisfaisant, rapport qualité prix très raisonnable &lt;div id="video-block-RXK8MJPXMXTY"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id="77" preload="auto" src="https://images-eu.ssl-images-amazon.com/images/I/B1Zex2fzy3S.mp4" style="position: absolute; left: 0px; top: 0px; overflow: hidden; height: 1px; width: 1px;"&gt;&lt;/video&gt;&lt;/div&gt;&lt;div id="airy-slate-preload" style="background-color: rgb(0, 0, 0); background-image: url(&amp;quot;https://images-eu.ssl-images-amazon.com/images/I/81C88xBfrIS.png&amp;quot;);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value="https://images-eu.ssl-images-amazon.com/images/I/B1Zex2fzy3S.mp4" class="video-url"&gt;&lt;input type="hidden" name="" value="https://images-eu.ssl-images-amazon.com/images/I/81C88xBfrIS.png" class="video-slate-img-url"&gt;&amp;nbsp;écouteurs arrivés dans le temps, Qualité top, très confortable,J'en suis très content, ils tiennent parfaitement dans mes oreilles, Je trouve le son très correct, aussi ils sont adaptés avec mon iPhone, Confortable à porter, beau design, en gros les écouteurs BT les plus parfaits à acheter.</t>
  </si>
  <si>
    <t>A recommander Pointure convient très bien . Produit arrivé dans le délai annoncé</t>
  </si>
  <si>
    <t>Microphone parfait pour nouveaux vidéastes ou diffuseurs ! Un micro à ce prix avec une tel propreté sonore j'en ai rarement vu !  Convient beaucoup aux gens qui se lancent sur youtube oi twitch et même pour les autres !  Je recommande fortement !</t>
  </si>
  <si>
    <t>Nickel Super pour blanchir</t>
  </si>
  <si>
    <t>une trouvaille Quand on l'a en main on remarque la qualité du cuir et des coutures. Je m'en sers comme sac à main, car il est pratique par ses nombreuse poches de rangement et celle qui est centrale et très pratique pour ranger les documents format A4. Petit détail ce sac se règle difficilement cours car la boucle de la sangle ne laisse pas passer la partie de cuir et de caoutchouc qui empêche le cuir de "cisailler" l'épaule. Mais tout dépend de votre "gabari", il m'arrive à la hanche (1m60) et cela me suffit pour ouvrir correctement le sac.</t>
  </si>
  <si>
    <t>bonne qualité la qualité est très bonne pour le prix et l'article est conforme aux photos. Je suis satisfaite et je recommande.</t>
  </si>
  <si>
    <t>Jolie robe Très jolie pour mettre tous les jours ou pour les fêtes ;tissu très agréable et très fluide;taille très bien au corps</t>
  </si>
  <si>
    <t>Rien C’est un beau pull</t>
  </si>
  <si>
    <t>Bien J'ai acheté cette montre car j'en avais assez de l'imprécision d'une montre numérique classique et de devoir changer l'heure tous les six mois.</t>
  </si>
  <si>
    <t>Super Grille pain J'ai choisi ce grille pain pour son aspect rétro et j'en suis très contente , il est pratique ne prend pas trop de place et la grille  qui se pose sur le dessus du grille pain pour réchauffer des viennoiseries est  très bien pensée avec meme un creux pour le dessus d'un croissant vraiment très pratique. Et bien évidemment il grille très bien le pain !</t>
  </si>
  <si>
    <t>Attentes remplies Conforme à mes attentes.</t>
  </si>
  <si>
    <t>Au top Évite de faire des trous au mur c'est impeccable</t>
  </si>
  <si>
    <t>Super ! Prise pour mon compagnon , lui va très bien et tiens très chaud parfait pour le cocooning a la maison surtout si comme nous vous avez du carrelage</t>
  </si>
  <si>
    <t>Parfait! Je voulais un chauffe biberon qui ne coûte pas trop cher et qui puisse s'utiliser aussi bien chez moi qu'en sortie. Celui-ci est simple mais efficace et pas besoin d'électricité si on prévoit de l'eau dans le thermos à l'avance. Il ne prend pas trop de place dans un sac. Petit bémol: l'eau ne reste pas chaude une nuit complète par exemple.</t>
  </si>
  <si>
    <t>Parfaite Converse basique blanche plus facile à porter que les montantes , entretient super facile, passe en machine sans soucis avec du détachant avant lavage.</t>
  </si>
  <si>
    <t>Financement en plus nécessaire Le coffret est arrivé dans les temps. Mais je trouve ça dommage que la ceinture ne comporte aucun trou. C'est un élément à arranger avant de l'offrir et donc un financement en plus.  Il n'y a pas de pile dans la montre, donc un financement en plus. Autrement c'est bien emballer, le coffret est très jolie.</t>
  </si>
  <si>
    <t>Occasion ou alors très mauvais Bonjour,  Reçu comme s'il était déjà utilisé, en plus le "film" de protection ne tien pas, c'est pas très esthétique... vraiment déçu ! Prenez plutôt une mousse qui se pose directement sur le micro !</t>
  </si>
  <si>
    <t>Imperméabilisant qui tâche Première et dernière fois que j'utilise ce produit que je déconseille fortement pour la simple et bonne raison qu'il fait des tâches très visibles sur daim clair (beige dans mon cas).</t>
  </si>
  <si>
    <t>A eviter Me font mal à l'arrière du pied au niveau du talon. Trop dur pour des chaussures que l'ont garde au moins 8h aux pieds</t>
  </si>
  <si>
    <t>Conforme aux attendus Belle bouilloire mais les parois chauffent</t>
  </si>
  <si>
    <t>Bien, UN GROS DEFAUT Montre qui marche comme il le faut, vaut son prix malgrés un GROS défaut :  La petite tige de l'attache est trop courte et passe de l'autre côté de la boucle fermoir, ceci à répétition, ce qui empêche de fermer comme il faut</t>
  </si>
  <si>
    <t>Ça reste une bague ma femme aime Très belle</t>
  </si>
  <si>
    <t>Bien J’ai pris une 1/2 taille de trop, me basant sur les commentaires. C’était une erreur, car du coup elles sont légèrement trop larges! Chaussures peu respirantes</t>
  </si>
  <si>
    <t>Qualité irréprochable, mais... On ne peut pas critiquer un produit bose. La qualité du son, la tenue dans l’oreille ainsi que la durée de vie de la batterie sont juste parfaites.  Le seul point négatif c’est qu’ils sont un peu désagréable à porter à partir de quelques heures... ce qui justifie l’étoile manquante.  En général je suis content de mon achat malgré le prix un peu ridicule pour des écouteurs 😅</t>
  </si>
  <si>
    <t>A conseiller Très pratique et joli</t>
  </si>
  <si>
    <t>Chaussettes coton de qualité. Ces chaussettes sont douces et ont l'air solides. Le haut ne tombe pas.</t>
  </si>
  <si>
    <t>rien à dire Très satisfaite de ces titine. La livraison était rapide</t>
  </si>
  <si>
    <t>Le bruit de la clochette Grossesse</t>
  </si>
  <si>
    <t>Juste magnifique Voilà maintenant 1 an que j'ai ces belles chaussures et je suis vraiment contente. Ce sont les vraies superga et la qualité est excellente. Je les ai lavé 3 fois depuis et elles sont toujours intactes ! Elles sont très confortable et se portent avec tout. Je les mets avec des robes, des jupes et des jeans. Des chaussures indémodable ! C'est un achat qui me prouve encore une fois qu'on peut faire confiance à Amazon !</t>
  </si>
  <si>
    <t>Confort avec style Très satisfaite par le produit, confortable et bon look</t>
  </si>
  <si>
    <t>Recommandé Marque distributeur de très bonne qualité. Recommandé</t>
  </si>
  <si>
    <t>Parfait Reçu 1 jour en retard mais parfait comme sur les photos magnifiques</t>
  </si>
  <si>
    <t>Elles font le job Tous les jours je travaille debout et je piétine beaucoup donc j'ai besoin de chaussures confortable.</t>
  </si>
  <si>
    <t>rien a dire conforme à la description extra solide fiable du bon matos</t>
  </si>
  <si>
    <t>Genial Genial. Decontracte cervicales, lombaires...</t>
  </si>
  <si>
    <t>Abordable, de qualité  et dans les délais Impression pour la famille donc très bon produit</t>
  </si>
  <si>
    <t>un excellent produit Lacoste à un prix abordable Bon produit de Lacoste , confortable et très bien coupé parfait soit chez soi ,soit à l'extérieur</t>
  </si>
  <si>
    <t>Bien Parfait tétine officielle</t>
  </si>
  <si>
    <t>Top Exactement ce que je voulais</t>
  </si>
  <si>
    <t>Pas de réduction de bruit Déçu par mon achat, je l'ai retourné. La réduction de bruit correspond à celle d'un casque antibruit passif type Peltor (de par l'effet des bourrelets circumauriculaires) mais en moins bien, avec ou sans activation de l'ANC. Pour être plus exact, en activant l'ANC, certaines fréquences précises sont supprimées et on note une différence quand on met une hotte de cuisine en marche, mais en ce qui concerne la voix humaine et les sons ambiants, pas de différence avec ou sans ANC.. Sinon, le port du casque est agréable, l'appairage est aisé et le casque se reconnecte bien quand on sort de la zone de réception.</t>
  </si>
  <si>
    <t>quand  est ce que je serai remboursee? quand serais je rembourserde cet achat,qui ne corespondait pas a l article decrit et que jai renvoyer trois jours apres sans meme l utiliser  zero etoile</t>
  </si>
  <si>
    <t>bien mais le prix très facile à installer, auto-adhésif, bien..... mais le problème c'est le prix de la feuille sa fait chers le millimètre autant attendre que le prix baisse et acheter en gros.</t>
  </si>
  <si>
    <t>Efficace et nettoie bien. Nettoie parfaitement les biberons. Le.sac le tien bient est pratique. Le point negatif le petit goupillon ne tien pas bien dans le manche</t>
  </si>
  <si>
    <t>Conforme Ce qu'il me fallait mais ça reste cher pour le meu d'impression possible</t>
  </si>
  <si>
    <t>Pas mal Matière pas terrible  je crois que la taille convenait plutôt bien</t>
  </si>
  <si>
    <t>bien bien  je m en sers pour eviter que les rats qui parait il les repoussent . je ne sais pas si ca marche mais je ne peux pas dire exactement</t>
  </si>
  <si>
    <t>prix convenable bonne cartouche originale de chez HP rien n'a redire de bone qualité</t>
  </si>
  <si>
    <t>Excellent Utilisé pour une tendinite à l épaule et c'est génial ma compagne est ravie et vous le recommande</t>
  </si>
  <si>
    <t>Parfaite. Facile d'utilisation, cette boîte doseuse permet d'emporter partout grâce à sa petite taille (trouve facilement sa place dans un sac à langer) 3 doses de lait (aussi bien pour des biberons de 60cc que pour des biberons de 180cc et plus). Chaque partie se "visse" entre elles et reste bien hermétique. Le bouchon permet de verser la poudre proprement et avec précision.  Se nettoie et se stérilise sans problème.</t>
  </si>
  <si>
    <t>Produit très bon Très bon produit à un prix très intéressant car moins cher que les plus petites cartouches, plus d'encre donc plus d'impression je recommande</t>
  </si>
  <si>
    <t>Très bien Je suis très satisfaite de mon achat. Chaussettes confortables et qui semblent être de bonne qualité. Et elles se portent sans gêne dans des chaussures.</t>
  </si>
  <si>
    <t>Nickel Vie de tous les jours</t>
  </si>
  <si>
    <t>Bien Superbe écouteurs qui marche tres bien pour leur petit prix</t>
  </si>
  <si>
    <t>Idéal pour préparer les biberons avec épaississant Notre fils a besoin d'un épaississant dans son lait en adjuvant. Pour éviter les gros paquets de lait et faciliter la dissolution, c'était compliqué en manuel. Heureusement, la découverte de ce mixeur plongeant spécial biberon nous a facilité grandement la vie, et surtout celle de notre fils, qui attend moins longtemps pour manger !  Il nous sert aussi pour mélanger de manière homogène les vinaigrettes en petite quantité, et est aussi fourni avec un embout mousseur de lait, parfait pour les cafés crème maison !</t>
  </si>
  <si>
    <t>Génial... Diffuseur au design très sympa, avec bcp de choix de couleur, une possibilité de pouvoir le régler au niveau du temps et 2 mode différent pour la vapeur.. il est parfait. De plus, des sa mise en marche il diffuse rapidement l'odeur des huiles essentielles. Je recommande cette article.</t>
  </si>
  <si>
    <t>Au top Au top ! J’avais pris les mêmes pour mon fils aîné et j’en ai adoré alors je recommence pour le second !</t>
  </si>
  <si>
    <t>très bon livre c'est un très bon petit livre pour une première approche du microscope. bien fait et bien expliqué. mon mari est ravi</t>
  </si>
  <si>
    <t>Well built Bien conçue, un peu lourde à manipuler. C'est une bouilloire thermos, et ses caractéristiques annoncées sont valables.</t>
  </si>
  <si>
    <t>Fait bien le boulot Très bon produit qui permet de régler précisément la température de chauffe. Produit design en alu brossé. Seul bémol: un peu trop de bips , mais le niveau sonore reste raisonnable</t>
  </si>
  <si>
    <t>Bon produit Bon rapport qualité prix</t>
  </si>
  <si>
    <t>Génial ! Prennent bien les oreilles, le son est parfait.Tres bien pratique pas cher.</t>
  </si>
  <si>
    <t>Avis cliente Arrivé en tant et en heure produit super je suis ravie</t>
  </si>
  <si>
    <t>Aucun poids constructeur indiqué Le produit a l'air de bonne facture mais il manque une information cruciale: le contrepoids à appliquer sur le bras. Ne voulant pas abimer mes disques ou le diamant, je cherche l'information avant d'utiliser le produit</t>
  </si>
  <si>
    <t>Produit défectueux Reçu assez rapidement mais quelle déception au déballage.... Brassière un peu longue au maintien zéro Pantalon troué ou mal cousu avec un accro Couleur moins foncées (plus gris) Je ne suis pas du tout satisfaite de cet achat</t>
  </si>
  <si>
    <t>Decue ... n' as absolument pas tenu sur mon mur et encore moins sur le miroir que je souhaitais coller pourtant très léger , je me demande si le produit n' a pas été mal conditionné car vu le nombre de commentaires positifs j' ai vraiment fait cet achat en toute confiance ! Malheureusement me voila extrêmement déçue d'avoir investi dans ce produit pour au final devoir tout jeter après utilisation car inutilisable ....</t>
  </si>
  <si>
    <t>descriptif de fonctions, de l'écran. Aucune mention de la garantie ? le produit très bien mais aucune notice pour expliquer les fonctions de ce qui apparait sur l'écran de la montre.</t>
  </si>
  <si>
    <t>Légère Pour tout les jours à la marche quotidienne.</t>
  </si>
  <si>
    <t>satisfait délais respectés , emballage correct , produit correspondant à l'annonce , un seul bémol mode d'emploi pas en français et pas de garantie d'après ce que j'ai compris</t>
  </si>
  <si>
    <t>bon produit Produit conforme à mes attentes, solidité, qualité. Matière de  bonne qualité. Trés bon rapport qualité/prix Je recommande ce produit sans hésitation.</t>
  </si>
  <si>
    <t>Fonctionne parfaitement Parfait</t>
  </si>
  <si>
    <t>parfait Conforme à mon souhait</t>
  </si>
  <si>
    <t>faut pas mettre plus cher voir lidl c'est pour la poubelle</t>
  </si>
  <si>
    <t>Super Bonne qualite</t>
  </si>
  <si>
    <t>Très belles Très belles et de bonne qualité</t>
  </si>
  <si>
    <t>Bien Tres belles chaussures. Taille parfaite.</t>
  </si>
  <si>
    <t>coque très pratique et solide</t>
  </si>
  <si>
    <t>Sublime le bracelet Très joli sur ma main, j'adore le motif coeur en rose violet, je le mets depuis quelques jours et il est toujours brillant. La qualité semble correcte, je suis satisfaite en tout cas, à recommander.</t>
  </si>
  <si>
    <t>Utile Reçue rapidement : design sympa avec cette lumière bleu : grande capacité...super pour les petits déjeuners à grande tablée. Facile d’utilisation et facilité pour le nettoyage : rempli correctement sa fonction : je recommande</t>
  </si>
  <si>
    <t>Coloris très gais et qualité /prix parfait ... je conseille comme cadeau 🎁 Bracelets pour l’été</t>
  </si>
  <si>
    <t>Très bonne qualite Sport</t>
  </si>
  <si>
    <t>Parfait Produit de belle manufacture, conforme à la description. Solide et élégant. Merci.</t>
  </si>
  <si>
    <t>c'est ma 2 eme j'adore cette chaussure elle est solide resistante etanche et tres classe un HIC le blanc et la qualité de certain jeans fond deteindre celui ci sur les chaussures mais pour une fois que des nikes arrivent a survivre pendant plus d'un an a mes pieds je dis ENFIN !</t>
  </si>
  <si>
    <t>rien ne va! pas de rubrique! je suis dégoûtée il vient de tomber en panne il est garanti deux ans et je ne sais comment le renvoyer pour réparation ! je suis en colère amazon tu m'énerves!</t>
  </si>
  <si>
    <t>Parfait ! J'utilise ce modèle de cartouches depuis des 4 ou 5 ans, avec une imprimante HP OfficeJet Pro 8600 multifonction. Ces cartouches sont parfaites, l'encre sèche rapidement, l'impression est d'une finesse parfaite, le changement de cartouches est ultra simple edt rapide, et la capacité énorme... Que demander de plus ? Le prix ? Il est très raisonnable, surtout avec ce genre de packaging. Bien sur, on trouvera des cartouches reconditionnées un peu moins chères, mais ces différences s'estompent au fil des années, et la qualité est imparable, alors il y a longtemps que je ne prends plus que des "vraies", je suis certain d'être gagnant. Comme les deux hommes de main des Tontons Flingueurs disaient en comparant leurs flingues, "Le prix s'oublie, la qualité reste"... Merci Audiard !</t>
  </si>
  <si>
    <t>Bon produit Super confortable pointure couleur correcte. Par contre arrivé en retard.</t>
  </si>
  <si>
    <t>Très jolie montre Aucuns regrets quand à l'achat de cette montre. J'avais un doute au niveau du rendu sur poignet fin vu que j'ai de petit poignet, mais finalement ca rend très bien, cela ne fait pas une montre disproportionnée.  Le bracelet en cuir à l'air très résistant.  Au final que je conseil vraiment cette montre si son prix ne dépasse pas les 120€.</t>
  </si>
  <si>
    <t>Bonne montre connectée... d'occasion!!! Très bonne montre, un peu lourde mais très "lifestyle" par rapport aux montres connectées habituelles (Fitbit, Polar, AppleWatch...) plus orientées geek ou sport. Je gère par exemple la musique sur mon téléphone (pause, chanson suivante...) sans sortir l'iPhone de la poche, pratique. C'est moins connecté que d'autre, et c'est bien pour moi qui cherchait à moins traquer toutes mes données...  Par contre, ma boîte ne semblait pas neuve; l'autocollant sur la montre avait des bulles et il n'y a que 80% de batterie... dernière chose, je n'ai pas la clé pour changer la pile! Je l'ai acheté neuve, pas d'occasion... je suis déçu, je suis un client habituel d'Amazon (sur plusieurs continents) et c'est la deuxième fois que ça m'arrive!!!</t>
  </si>
  <si>
    <t>Prendre une taille au-dessus. Ces sandales taillent petit. Pour éviter ce genre de problème, il faudrait qu'Amazon précise si les pointures annoncées sont françaises ou européennes ou britanniques ou brésiliennes. Sinon, il est impossible de s'y retrouver.</t>
  </si>
  <si>
    <t>A éviter pour les amateurs de bons sons. Un casque sans intérêt. Super packaging mais je ne comprends pas l’intérêt de ce casque si le son est plat, voilé...sans pêche. Sans parler des touches impossible à deviner à tâtons, il faut avoir un œil dessus donc le retirer de la tête pour les utiliser. La radio qui casse les oreilles pendant une recherche de station. Reçu, déballé et renvoyé aussitôt. À fuir....</t>
  </si>
  <si>
    <t>3 ans d'abonnement parti en fumée 3 étoiles pour la qualité du papier, qui est correcte. Il en est autrement pour le nouveau tarif exorbitant.  Après plus de 3 ans d'abonnement, je ne reçois plus le colis de papier toilette depuis 2 mois. On m'indique que le produit n'est plus disponible. Or, je vois bien que je peux l'acheter sans abonnement. Seul hic, le paquet de 24 rouleaux est passé à 19 euros!  En 2015 je le payais 6,31 euros.  En septembre 2018, je le payais 7,74 euros.  Chez Chronodrive, sans abonnement ni promo, il coûte 7,49 euros.  Mon choix est fait. Ce sera Chronodrive. Il ne sera plus livré, mais ça, c'est accessoire.  En ce qui concerne la qualité, le papier est devenu plus fin au fil des années. Cela ne nous gênait pas. C'était tout de même suffisamment doux pour les fesses des tout petits, qui apprennent la propreté.</t>
  </si>
  <si>
    <t>Trop grand mais qualité au top Taille un peu grand : une paire de chaussette d'hiver et le problème est réglé. La qualité est là, à prix raisonnable.</t>
  </si>
  <si>
    <t>Elles étaient jolies mais ... Je me suis fiée aux commentaires , j'ai commandé une pointure de plus et en fait elles étaient trop grandes !</t>
  </si>
  <si>
    <t>Très bon réveil Un réveil qui est vraiment chouette quand on veut se réveiller en douceur. La lumière qui simule l'aube permet de se réveiller progressivement. Il est bien aussi quand on est à deux puisque la lumière n'est pas agressive et donc le/a conjoint/e peut se rendormir facilement, même après la sonnerie qui est très agréable aussi. La seule chose que je déplore est qu'on ne peut pas régler la "couleur" pour le matin. Je trouve les tons rouges plus agréable pour se réveiller (je suis sensible à la lumière). Mais en dehors de ce détail, ce réveil répond à mes attentes.</t>
  </si>
  <si>
    <t>super mais taille grand Mon fils recherchait ce style et il en est vraiment satisfait. Bonne matière, chaude seul petit bémol, il fait un peut grand.</t>
  </si>
  <si>
    <t>Utilisation Légèreté et simplicité d'utilisation</t>
  </si>
  <si>
    <t>Bon produit. Produit très sympathique, visuellement simple, sans artifice. Il marche bien, longueur de chaîne suffisante. je recommande.</t>
  </si>
  <si>
    <t>Fiable et robuste Jardin</t>
  </si>
  <si>
    <t>Très bon rapport qualité prix Super produit. Très design avec la led bleue qui s'éclaire lors de l'utilisation. Fait du bruit mais comme toute les bouilloire à vrai dire!facile à nettoyer car la résistance n est pas apparente. Prix en promo lors du black friday...du coup rapport qualité prix intéressant!</t>
  </si>
  <si>
    <t>Confortable Parfait. Très beau velours et bonne qualité Taille un peu grand</t>
  </si>
  <si>
    <t>Très efficace Beaucoup plus efficace pour les douleurs (lombalgies, genoux, cervicales...), que n'importe quel anti inflammatoire ou pommade rhumatismale en tube...!! Et aucun besoin d'en mettre beaucoup. Seul petit ennui, le baume rouge tâche un peu...mais est encore plus puissant que le blanc..</t>
  </si>
  <si>
    <t>Génial Excellent produit pour tout faire dans la maison. Son prix est un peu élevé mais le résultat est au top</t>
  </si>
  <si>
    <t>au top très bon livre top</t>
  </si>
  <si>
    <t>Fondalement il n'y a que l'adjonction de la valve qui change la donne Pour le reste on retrouve ce qui a fait le succès de la marque : des biberons solides, qui supportent bien la stérilisation à chaud et qui grâce à leur large col sont tout à la fois facile à remplir et à nettoyer. La prise en main est toujours aussi agréable pour le parent ou care taker. Cette nouvelle valve me laissait assez septique mais finalement chez un bébé très sujet au colique, sans faire de miracle elle apporte un vrai plus en confort. A recommander.</t>
  </si>
  <si>
    <t>Trop jolie Pour moi personnellement.</t>
  </si>
  <si>
    <t>Parfait J’adore son design</t>
  </si>
  <si>
    <t>Satisfaite Très joli montre pour les activités sportives j'adore.</t>
  </si>
  <si>
    <t>Bon rapport qualité prix. Bon rapport qualité prix. Très légère, bracelet très facile à régler. Heure et date très lisible. Boitier de bonne qualité.</t>
  </si>
  <si>
    <t>bof Produit bien mais manque un minuteur et il est assez long à chauffe. Je suis adepte des produit de la manque mais la je retrouve pas trop la qualité</t>
  </si>
  <si>
    <t>Déçue J'ai acheté une boîte en couleur, l'autre en noir, l'encre en couleur marche parfaitement mais celui en noire ne fonctionne pas, malgré que l'indication de niveau de couleur montre que l'encre est plein...</t>
  </si>
  <si>
    <t>Fake On dirait des fausses</t>
  </si>
  <si>
    <t>Bien mais très cher Comme toujours je suis étonné du peu de pages qu'on peut imprimer, mais c'est le défaut de ces cartouches HP. Le noir est intense.</t>
  </si>
  <si>
    <t>Asics Asics tout simplement</t>
  </si>
  <si>
    <t>plus rien à prouver efficacité du produit, passe partout, sobriété dans ce coloris. rien à redire, on connait la solidité de cette marque expédition rapide</t>
  </si>
  <si>
    <t>Satisfait Pratique, il facilite pas mal la vie :) de grand taille, il prend de la place. Le système de fermeture n'est pas pratique. il faut s'y reprendre à plusieurs fois pour enclencher les encoches ensemble et l'ouvrir ou le fermer facilement. Bon rapport qualité-prix</t>
  </si>
  <si>
    <t>pot un petit livre résistant à l'humidité pour accompagner avec tact une étape très importante. Un graphisme agréable et sans mièvrerie</t>
  </si>
  <si>
    <t>Merci Pépère</t>
  </si>
  <si>
    <t>Amazy Set de 2 brosses à daim pro avec sac de rangement indispensable pour les chaussure en Daim</t>
  </si>
  <si>
    <t>Montre casio Superbe montre de très bonne qualité et finition, belle série j en recommandera une de cet catégorie. Je la porte souvent.</t>
  </si>
  <si>
    <t>très bon rapport qualité/prix sandale très confortable mais prévoir une taille en-dessous de sa taille habituelle car taille grand. Je n'avais pas l'habitude de porter des sandales et là j'ai vraiment été séduit par le confort et pense m'en acheter une autre paire.</t>
  </si>
  <si>
    <t>Super produit! Ce biberon est juste parfait la couleur est mixte. Super pr la prise en main de bébé. Facile à nettoyer.</t>
  </si>
  <si>
    <t>Pas forcément très belles mais très confortables et taillent bien Esthétiquement je ne trouve pas ce genre de chaussures très jolies, mais qu'est-ce qu'on est bien dedans! Je les avais achetées pour le travail (vétérinaire), je suis souvent debout, je fais beaucoup de petits pas, mais je n'ai plus mal au pied depuis que je les mets. J'en ai même achetées pour mettre chez moi! Se nettoient très bien. Sont solides. Et surtout taillent très bien! Il faut juste se reporter au guide des tailles. Vraiment satisfaite!</t>
  </si>
  <si>
    <t>Bonne expérience Je l’ai acheté pour le Noël, très bon performance, qualité adorable, on l’ai connecté sur Mac, ça fonctionne bien. Une bonne expérience. Et joyeux Noël à toutes et tous :)</t>
  </si>
  <si>
    <t>Marshall major marron Parfait..la.couleur est magnifique et la qualité Marshall au rendez vous. Ma fille est ravie et c'est ce qui compte . Je vais en acheter un second pour moi... pourquoi pas...</t>
  </si>
  <si>
    <t>Rapport qualité/prix pour 2 casques imbattable 🤑 ! Pour les vacances je recherchais 2 casques pour 2 enfants de même âge afin de profiter de lecteur DVD dans la voiture, ainsi que de la boite à histoire Lunii avec un doubleur jack.  Mes critères étaient simples : un casque filaire adapté aux enfants (mousse confortable, branches extensibles et des couleurs sympas) pour un budget de maximum de 15€ par casque. Ce pack de 2 casques réponds donc à mon besoin. C'est principalement en raison de son prix (25€ fin juin 2019) , puisque je n'ai rien trouvé de plus abordable.  Retrouvez ci-dessous un peu plus de détail sur le produit. Si cet avis vous a été utile, n'hésitez pas à l'indiquer avec un clic sur le bouton "Oui" sous le commentaire, merci 👍 !  ----------------------------------  Contenu de la boite : Pour ce qui est du contenu il est très basique, les 2 sont emballés de chaque côté de la boite dans un plastique à bulle. Un manuel utilisateur traduit en plusieurs langues accompagne le tout.  Le casque : Les casques sont plutôt légers et de bonnes facture, l'appareil ne fait pas cheap entre les mains. Effectivement il peut se tordre de manière assez importante, c'est normal, c'est pour les enfants ! Les 2 branches sont réglables en hauteur, c'était un de mes critères pour ne pas avoir à changer de casque chaque année.  Le câble fait 1,20m, une longueur suffisante pour les utilisations qu'on en fait. De plus il est extra plat et très souple pour l'enrouler facilement autour du casque. A voir sa durée dans le temps, notamment au niveau de la jonction avec le casque.  Et pour conclure, le design et les couleurs pastels sont très sympas.  A l'usage Pour 2 enfants de 5 ans et une fois les casques réglés je n'ai pas rencontré de problème avec le lecteur DVD en voiture ou avec la Lunii. Je n'ai pas reçu de plainte, même après une utilisation prolongée supérieure à 2h (oui, nous sommes de mauvais parents pendant les longs trajets en voiture 😅). A noter que je n'ai pas spécialement su apprécié la réduction du volume pour les enfants : les niveaux sonores étant réglables sur les appareils que l'on utilise, j'ai toujours pu trouver le volume adéquate.  Les + :  - Design, ergonomie et couleur adaptés aux enfants 👌  - Câble de bonne longueur  - Tarif pour 2 casques très intéressant  Les - :  - RAS, à voir la résistance dans le temps  En conclusion : J'ai longuement hésité avec un casque Phillips ou JVC, tous deux un poils plus chers (~ 17€/casque) mais de marque reconnue. Au final je me suis rabattu sur ces modèles MPOW, plus abordables et ayant de bons avis.  Depuis quelques semaines que mes enfants les utilisent occasionnellement, je n'en suis pas déçu. Ils conviennent à notre utilisation pour un tarif très correct.</t>
  </si>
  <si>
    <t>Parfait Rien à dire : conforme à l'annonce, livraison dans les temps, matériaux de qualité. A  recommander!</t>
  </si>
  <si>
    <t>Super Basket!! Tout d'abord le produit est conforme. Elles ont plus à tout mon entourage même aux hommes. Elles sont confortable . Elles font un joli pied et on peut les porter avec tout. Elles sont légère et le compenser me permet de gagner quelque centimètres. Achetez sans problème. Très bon produit.</t>
  </si>
  <si>
    <t>top très bon son petit prix j'adore</t>
  </si>
  <si>
    <t>Au top contre les coliques Les meilleurs de biberons . Ils ont atténué les coliques de mon fils et il n’a plus jamais voulu boire dans une autre marque</t>
  </si>
  <si>
    <t>ta taille taille exacte expédition rapide rien à dire je recommande vivement</t>
  </si>
  <si>
    <t>Taille grand Reçu première paire avec la semelle extérieure plus grande sur l'une des baskets. Amazon super ils m'ont fait l'échange rapidement.  Par contre j'ai reçu la deuxième paire et au final je me rends compte que sa taille trop grand. je chausse du 36 et ça équivaut à du 37 en réalité.  Attention quand vous choisissez la taille.  Prenez une taille en dessous.  ou demie taille si existe.</t>
  </si>
  <si>
    <t>un paquet déchiré !!!! Très déçue par cet envoie alors que tout avait été très bien lors de la première commande, celle-ci est décevante : un des paquets est arrivé déchiré alors que le sac plastique regroupant tous les paquets était lui intacte !!!! Merci de remplacer ce paquet déchiré !</t>
  </si>
  <si>
    <t>cartouche bien ne dure pas plus longtemps que des cartouches basiques juste le fait de ne pas avoir a se deplacer</t>
  </si>
  <si>
    <t>Bon point sur le délai La montre m'est parvenue dans de très bon délai mais l'état n'était pas génial, la boite de la montre était complétement enfoncé et il y avait une belle rayure qui partait d'une corne au bracelet de la montre.</t>
  </si>
  <si>
    <t>Bonne qualité La qualité semble bonne que cela soit au niveau de la toile ou des attaches éclaires, il y a un petite poche devant, une ouche centrale avec un compartiment à tirette, et un petit poche à l'arrière.  Si le commentaire vous a été utilé pensez à cliquer sur utile en dessous :-)</t>
  </si>
  <si>
    <t>Super Petite mais suffisante pour une ou deux personnes (contenance : 2 tasses). Très pratique et verre solide. Je recommande :)</t>
  </si>
  <si>
    <t>Produit tout à fait conforme à mes attentes Bonne description et taille du produit</t>
  </si>
  <si>
    <t>bouilloire à T° variable Très bonne bouilloire permettant d'avoir de l'eau à la température désirée (entre 50° et 95° par bond de 5°), beau design, je recommande ce type d'appareil. Seul bémol à chaque manip des boutons, de la machine un bip sonore désagréable pour moi, c'est pourquoi je n'ai pas mi 5 étoiles.</t>
  </si>
  <si>
    <t>Très bien Bon envoi...</t>
  </si>
  <si>
    <t>l'anti vomito! Parfait pour enlever des tâches laissées après un vomi d'enfant sur des fauteuils de C-Max en tissus.  Suivre le mode d'emploi sur le produit et ça marche.  Jamais déçu par les produits Meguiar's.  Je recommande ce produit.  N'hésitez pas à cliquer sur le bouton OUI si ce commentaire vous a été utile.</t>
  </si>
  <si>
    <t>Avent est la qualité A la hora de enter un bebé es fundamental tener este producto y más si es de Avent porque sabemos que es calidad.</t>
  </si>
  <si>
    <t>chauffe bibreon à recommander Je recommande ce chauffé biberon + pots, rapide, efficace, petit à emporter lors des voyages, facile à nettoyer et à préparer à la fois les biberons et les pots. rapport qualité/ prix.</t>
  </si>
  <si>
    <t>Légère et accrocheuse Légère et bien adaptée sur terrain clair. Utilisable plutôt par température clémente, donc moins en hiver. Recommande</t>
  </si>
  <si>
    <t>super collier pendentil Depuis que je l'ai acheté je ne l'ai pas retiré, très classe et discret ... tout comme j'aime ! C'est un vrai bijou en argent très classe je vais certainement acheter d'autre pour mes sœurs Je recommande cet article très vivement</t>
  </si>
  <si>
    <t>Bon produit Ce produit est bon ; une qualité suffisante pour le prix et il est aussi bon que l original</t>
  </si>
  <si>
    <t>En attendant Noël. .. J'ai acheté ces calendriers de l'avent pour mes petits enfants qui me le demandent chaque année. Ils sont fanatiques de cette marque et ces calendriers les enchantent.</t>
  </si>
  <si>
    <t>Pratique et chaud Super sweat</t>
  </si>
  <si>
    <t>Sweat Riverdale Beau sweat sauf la matière qui n'est pas top...</t>
  </si>
  <si>
    <t>bien  le top top</t>
  </si>
  <si>
    <t>Parfait. Le Blue Yeti était, et est toujours même en 2019, l'un des microphones les plus efficaces que j'ai vu et utilisé. Il suffit simplement de le brancher à un port USB et aucun logiciel ou pilotes n'est requis. J'utilise ce microphone à des fins personnelles (Discord, Skype, Twitch, YouTube, jeux, ...) mais il convient parfaitement à des fins professionnelles et sérieuses. Je l'ai installé sur un bras articulé quelconque et le Blue Yeti s'y est accommodé sans aucun souci. Il possède 4 modes différents et une notice en français expliquant et détaillant chacun de ses modes avec précision, même des novices pourrait l'utiliser sans problème. Les 4 modes sont : bidirectionnelle, cardioïde, stéréo et omnidirectionnelle. Ils sont tous très efficace et très utiles. Le Blue Yeti possède aussi une roulette en dessous de celle des modes qui permet d'augmenter ou de réduire son gain. Le microphone enregistrant beaucoup de son aux alentours de base, je conseille de tourner la roulette vers le minimum (sens contraire des aiguilles d'une montre) car pourrait gêner pendant des conversations ou des enregistrements. Je conseille absolument cet incontournable succès qu'est les Blue Yeti, comme dit précédemment, il convient à tout type de projet, avec un prix plus qu'honnête.</t>
  </si>
  <si>
    <t>Modèle complet et discret, mais n'appuyez pas sur les touches sous l'eau. Modèle très casual, ordinaire et discret. Le cadre et le bracelet sont noir mate, mais à la lumière la montre parait anthracite foncé.  Elle est indiqué sur amazon.fr, comme étant une montre femme avec une longueur de bracelet "Taille Standard Homme ?!".  Je fais 20cm de tour de poignet. Je la mets donc au 3ème cran de la boucle du bracelet, sans trop serrer.  Un détail un peut déroutant, le premier chiffre 2 des vingtaines d'heures est moins large, ce qui fait un peu bizarre de 20H à 23H.  L'emballage est assez gros, il n'y a pas de feuille de protection à enlever sur le verre en plexiglass de la montre. Elle est callé avec un bloc de mousse anthracite, dans un carton de forme cubique plié, plutôt joli.  N'ayant jamais eu de montres au poignet,  j'étais un peu dérouté au début, pour son réglage et son utilisation.  Petit mode d'emplois abrégé :  Il faut donc, passer d'un mode à l'autre en appuyant sur la touche "MODE" (en bas à gauche). Jusque-là, rien d'illogique.  Pour le réglage de l'heure et du jour par exemple : Se placer sur "Heures du jour" (touche en bas à gauche). On navigue dans : heures; minutes; secondes; mois; numéro de jour; lettres abrégé du jour en anglais, avec  la touche "LIGHT" (en haut à gauche). On indique les valeurs  avec la touche "START-STOP" (en bas à droite).  Pour passer du mode 12H à 24H par exemple : Quand on est sur le mode "Heures du jour" et que les valeurs ne clignote plus pour réglage. On peut passer du mode "PM" à "24H" en appuyant une fois sur "START-STOP" (en bas à droite).  Pour régler le mode "ALARM" (touche en bas à gauche) : On navigue avec  la touche "LIGHT"  (en haut à gauche). On change heure, minutes d'alarmes et on règle, soit en mode sonnerie de l'alarme 1 fois par jour, avec la barre en forme d'onde ou/et bip tout les heures avec la clochette ou rien, avec la touche  "START-STOP" (en bas à droite).  En mode "CHRONO" (touche en bas à gauche)  : On met à zéro avec la touche "LIGHT" (en haut à gauche) après avoir utiliser la touche "START-STOP" (en bas à droite) pour arrêter le chrono. On le lance et l'arrête avec la touche "START-STOP" (en bas à droite).  Pour éclairer le cadran la nuit. Je vous le donne en mille : On reste appuyer sur la touche "LIGHT" (en haut à gauche)."  La notice précise qu'elle est étanche jusqu'à  50 mètre. Mais, que sous l'eau, vous ne devez pas changer de mode, ni presser les touches, afin qu'aucun liquide ne s'infiltre dans la montre, justement  au niveau des touches.  Si on n'utilise pas trop souvent de façon continue la touche "LIGHT"  (en haut à gauche), la pile est censée durer environ 3 ans. Il est conseillé de changer ou faire changer le joint d'étanchéité et la pile de la montre, au bout de cette période de 3 ans.  C'est un grand classique de la marque, un bestseller. Un très bon compromis entre l'entrée de gamme et le haut de gamme. Elle est assez souvent en promotion.</t>
  </si>
  <si>
    <t>sacoche pas trop satisfaite des la première semaine la sangle a cassée.</t>
  </si>
  <si>
    <t>Inefficace Totalement inutile sans effet ! Heureusement pas cher sur Amazon ( presque 10 fois plus sur d’autres sites ...)</t>
  </si>
  <si>
    <t>Ne recommande  pas du tout, c'est dommage car il était beau ! Je l'ai jeté au bout de 2 jours, il est devenu tout noir sans que je le mette à l'eau !!!</t>
  </si>
  <si>
    <t>Bien mais pas assez solide niveau  son Casque super mais une oreille ne fonctionne plus...déjà</t>
  </si>
  <si>
    <t>montre homme cadio cette montre est tres bien, originale,seule inconvenient le bracelet, pas facile pour ôter des maillons, lorsqu'il est trop long.bon rapport bon rapport qualité prix.</t>
  </si>
  <si>
    <t>Super bottes Ces bottes sont de très bonne qualité et très confortables. Noter qu'elles taillent un peu juste par rapport à d'autres bottes Clarks et du coup elles sont un peu serrées.</t>
  </si>
  <si>
    <t>Qualité Il ne s'agit pas de contrefaçons à priori, la finition est au rendez-vous, la couleur fidèle à la photo (sable / beige), la taille correspond.</t>
  </si>
  <si>
    <t>Cool design bonne montre, sympa,  fuseaux horaires amusants, bien lisible, légère au poignet. taille moyenne.</t>
  </si>
  <si>
    <t>bien bien a voir dans le temps</t>
  </si>
  <si>
    <t>parfait Il faut biensûr connaître sa taille en basket Converse C'est un produit conforme et de bonne qualité je recommande ce produit</t>
  </si>
  <si>
    <t>Rentable Bien plus rentable que les petits rouleaux du commerce ! Qualité similaire. Joli motif</t>
  </si>
  <si>
    <t>Très bonne qualité sonore, isolation au top. Reçu les écouteurs très rapidement. Assez surpris par la qualité de son, lorsqu'ils sont bien positionnés dans les oreilles, ils égalent voire sont meilleurs que des AirPods ( car les Airpods n'ont aucune isolation sonore). Les contrôles tactiles fonctionnent très bien.  Les + : -Qualité sonore -Le prix (payés 59€) -Le confort -L'isolation -Simplicité d'utilisation (sortis de l'étuis, se connectent automatiquement, et se déconnectent dès qu'on les range) -L'étui est de très bonne qualité  Les -:  -Un peu massif comparés à des AirPods -Prise Micro-USB et non Type-C</t>
  </si>
  <si>
    <t>Effet Idéal pour un petit cadeau.</t>
  </si>
  <si>
    <t>Prix un peu élevé mais très bon produit Prix un peu élevé par rapport les autres bain de pieds premier prix.Mais cela vaut le coût. Il est solide,et mache très bien avec la température. juste les rouleaux dessous ne roule pas comme prévu</t>
  </si>
  <si>
    <t>Sorel homme Parfait et conforme à la commande. Prendre 1/2 pointure en plus de votre pointure ! J'avais calculé mon coup, Nickel ! Super produit !</t>
  </si>
  <si>
    <t>Pratique pour le sport Une paire d’oreillettes qui tiens vraiment très bien. Idéal pour aller courir ou pour faire du vélo sans craindre de les faire tomber. La batterie tiens plusieurs heures et il est facile d'emporter avec soi le petit boitier de charge. Le design général est plutôt joli, c'est un produit de qualité.</t>
  </si>
  <si>
    <t>Top de la légèreté ! Article correspondant à ce que je recherchais. Belle ligne, belle couleur et une aisance à le porter. De plus, ces chaussures sont ultra légères.</t>
  </si>
  <si>
    <t>Satisfait Je suis satisfait de ce biberon. La poignée est compatible avec des biberons de la même marque. J'ai changé la tétine pour adapter le débit au besoin de mon bébé.</t>
  </si>
  <si>
    <t>Du Sony produit d'entrée de gamme, pas fait pour les puristes contrairement au WH 1000 XM3, mais c'est pas le but de l'achat. Très Boone fabrication, facile a ranger.</t>
  </si>
  <si>
    <t>Très bon choix Super tableau bon rapport qualité prix, je vous le conseille.</t>
  </si>
  <si>
    <t>Mon fils adore, et le confort est suffisant. Mon fils les porte tous les jours depuis 1  mois environ, aucun soucis, confortables, sympas et pas abîmées, donc je recommande !</t>
  </si>
  <si>
    <t>TOP TOP TOP !!! Passant 50 % de mon métier sur la route, et pour un premier essais, je recommande. Il vas devenir mon meilleur compagnon le soir en rentrant.Je viens de me déplacer 3 vertèbres cervical. Remise en place par osthéopathe. J'avais besoin de remettre les nerfs et muscle en place. Premier essais concluant, je regrette quand même les mouvements qui change toutes les minutes.Certain mouvement sont reposant, et d'autres moins concluant. Le + c'est l'utilisation sur allume cigare, quand vous faite de la route. Il aurais pus mettre 5 minute de chaque. Le chauffage est un peu trop chaud à mon goût, mais il fait le job. J'ai déjà un Masseur chauffant SBM-500H Shiatsu qui vas du bas du dos aux épaules. Avec celui-ci, j'ai la panoplie de remise en forme shiatsu.</t>
  </si>
  <si>
    <t>Efficace et délicatement parfumée. Bien sûr cette lessive n'est pas écologique, mais ni plus ni ni moins que la plupart. A la fleur de monoï  et au lait d'aloé, son bleu " Curaçao " ou lagon fait rêver.  Evidemment si vous humez son parfum non dilué, il peut être entêtant, en revanche au sortir d'une machine,le linge sent juste une odeur de frais légèrement exotique et fort agréable  De plus cette lessive liquide est très concentrée. ( 40% de plus que les autres ) c'est pour ça que chaque bidon, muni d'un bouchon doseur est vendu pour effectuer 43 lessives ( je dirais plutôt 35 ) mais enfin c'est pas mal du tout. Je la trouve efficace, sans être agressive avec le linge.  Elle s'utilise à toute température, et ça c'est bien de le souligner ( combien sont restrictives ) surtout celles en berlingots. Question prix, au vu de sa concentration et de sa qualité, je trouve son prix correct, il correspond à celui pratiqué en magasins</t>
  </si>
  <si>
    <t>pas satisfait j'ai bien pris 1 taille 1/2 supplémentaire (comme conseillé) mais malgré ça c'est trop petit, à utiliser donc uniquement sans chaussettes, et encore. D'autre part la semelle a des 'picots' dont on ne comprend pas bien l'utilité mais au contact très désagréable. Bref, je crois que je ne les mettrai jamais !</t>
  </si>
  <si>
    <t>2 commandes de sacs 2 retour 2 commandes de sacs et 2 retours en 2 semaines... Un retour à cause d'une pièce tenant l'anse décousue, et l'autre retour à cause de l'anneau manquant tenant un côté de l'anse.</t>
  </si>
  <si>
    <t>Catastrophique Ne fonctionne absolument pas sur mon tableau noir/à craie. De plus, j'ai voulu retourner l'article et le code barre de retour ne fonctionne pas au point relais... Je suis très déçue</t>
  </si>
  <si>
    <t>attention a la taille , ça peut etre un colant !!! Pris en 2 xl , normalement je devrais y nager un peu et bien c'est tout le contraire. Ca me fait comme un collant bien serré , peut etre utile pour l'hiver sous un pantalon mais pas plus dans mon cas...</t>
  </si>
  <si>
    <t>Très beaux Très satisfaits de mon achats merci cordialement</t>
  </si>
  <si>
    <t>Très bien Très bon son. Un petit bémol sur la solidité.</t>
  </si>
  <si>
    <t>La date pas très lisible,pas de jour de la semaine Bon rapport qualité,prix.</t>
  </si>
  <si>
    <t>Super pratique Très bien car ne prend pas trop de place à côté de l'évier. Par contre il faut le laver régulièrement car je n'arrive pas a enlever les champignons qui se sont développées au niveau de l'eau stagnante de l'écoulement même avec de la javel.</t>
  </si>
  <si>
    <t>NW-700 Kit micro + condensateur Produit nickel, rapport qualité prix OK. Je suis vraiment bluffé quand à la qualité du produit. Seul bémol, l'alimentation qui grésille tout le temps.</t>
  </si>
  <si>
    <t>Montre Cela fait presque 3 semaines que je la porte, elle fonctionne très bien, le bracelet en cuir est solide, rien a redire.</t>
  </si>
  <si>
    <t>je recommande sans hésitation J'aime le concept de ces écouteurs. Vraiment sans fil. Ils ne sont pas trop lourds et viennent avec une gamme d'embouts en silicone. Obtenir la bonne taille pour s'adapter à l'oreille n'est pas un problème. Ils portent de petites étiquettes pour les fixer à l'oreille. Je les trouve très à l'aise et n'ai pas eu de problèmes avec eux. Le jumelage avec mon appareil est un jeu d'enfant par rapport aux autres que j'ai utilisés. Juste un clic et c'est fait, vraiment bien. La qualité sonore est excellente, plus charnue que ce à quoi je m'attendais et très claire. La durée de vie de la batterie est de 6 heures par charge. Elle est fournie avec une unité de charge portable qui fournit 3 charges supplémentaires. Pas de problèmes avec les pertes de signal comme certains appareils Bluetooth le font parfois. En résumé, une excellente paire de têtes, comparée à d’autres sur le marché, est d’un très bon rapport qualité-prix. 5 étoiles.</t>
  </si>
  <si>
    <t>Super achat Parfait ! Chauffe l'eau à la température idéal instantanément ! Utilisation très simple ! Top , en moins d'une minute le biberon est prêt ! Un achat que je recommande à tout les parents</t>
  </si>
  <si>
    <t>Parfait ! Je me sers de cet adaptateur pour relier mes claviers à mon ordi. Aucun souci de latence ou autre ! Prix mini et fonctionne parfaitement ! Que demander de plus ?</t>
  </si>
  <si>
    <t>Beau produit , pas cher! Montre légère, qualité tés correct pour le prix !</t>
  </si>
  <si>
    <t>Le meilleur casque bluetooth qualité prix Bonjour  Que dire pour se casque bluetooth , très facile à appareillages , qualité du son correct , vitesse de rechargement , adaptable sur smartphone, téléviseur , duré de la batterie.  Franchement pour le prix ras  Sincères salutations</t>
  </si>
  <si>
    <t>Très bonnes chaussures L'envoi est conforme. Les chaussures sont très confortables. Il me reste à voir leur utilisation lors d'une randonnée - ce sera pour demain.</t>
  </si>
  <si>
    <t>Bouilloire electrique J'aime son design tout en rondeur. Elle me semble de bonne qualité, sa capacité est suffisante et le temps de chauffe rapide. Excellent rapport qualité prix Je recommande cette bouilloire.</t>
  </si>
  <si>
    <t>trres bon achat Chaussette de tres bonne qualité au premier lavage très bonne tenue  tres contente de mon achat je bous les conseille</t>
  </si>
  <si>
    <t>Super bonne qualité Les chaussures sont vraiment plus jolies en vrais que sur la photo l'intérieur es très doux je suis vraiment content, elles sont antidérapantes et ont de belles finitions je pense chercher de nouvelles chaussures de la même marque pour mes enfants sur Amazon car celles ci sont vraiment bien :)</t>
  </si>
  <si>
    <t>Très joli Très jolie vraiment comme sur la photo</t>
  </si>
  <si>
    <t>Coussin chauffant Facile à utiliser et agréable à porter sur soi, sa chaleur fait beaucoup de bien. Je recommande ce produit.</t>
  </si>
  <si>
    <t>Impeccable Pour faire du sport</t>
  </si>
  <si>
    <t>Adapté à l'exercice du sport Livré assez rapidement, bel emballage et coffret élégant. Je cherchais des écouteurs sans fils à utiliser en salle de sport. J'ai essayé cet article hier et aujourd'hui et je trouve qu'il tient bien dans l'oreille même sur un tapis de course, resiste à la sueur et à la transpiration et offre une bonne qualité de son. J'en suis content</t>
  </si>
  <si>
    <t>Très mauvais micro et son très moyen Très mauvais micro, écouteurs très moyens. J'ai vu plein d'avis positifs alors je me suis dit que ça ferait le job, c'était une erreur. A ne surtout pas acheter si c'est pour téléphoner, a éviter même pour écouter de la musique.</t>
  </si>
  <si>
    <t>Petite qualité Belle paire de basket que j'avais acheté pour travailler. Mais déçu de mon achat, au bout de 2 jours une des semelles se décollé déjà dans une chaussure. De plus pieds qui transpire énormément dedans.</t>
  </si>
  <si>
    <t>Dommage Pas de différence</t>
  </si>
  <si>
    <t>sans surprise matériel sans surprise, comme d'habitude bonne qualité et prix intéressant. A conseiller . . . . . . . .</t>
  </si>
  <si>
    <t>jolie montre jolie mais on sent que ça ne vaut pas les 160€ affichés initialement</t>
  </si>
  <si>
    <t>rapport qualité prix parfais super, couleur un plus claire que sur la photo, produit sensible en machine faire attention au lavage et sèchage sinon rien de négatif réellement</t>
  </si>
  <si>
    <t>Nickel 😍 Très bon produit qualité rapport prix  j'aime beaucoup. J'ai pris du 2xxl pour mon mari pour 85kg et 1m82 parfait rien à dire mon mari adore son bas jogging, taille et coupe nickel il est à l'aise dedans je le recommande. Je prendrais d'autres couleurs pour lui.</t>
  </si>
  <si>
    <t>Chaussure Magnifique Léger</t>
  </si>
  <si>
    <t>Très pratique Parfait. Correspond parfaitement à mon utilisation. Très pratique,facile d’entretien.</t>
  </si>
  <si>
    <t>Ras conforme Bon produit et je compte en recommander</t>
  </si>
  <si>
    <t>Stabilo Trio Pochette souple de 18 feutres Mes enfants sont heureux d'utiliser ces feutres, s'enlève facilement au lavage, laisse pas de trace sur la table, et sur les habits non plus. Livraison et prix correcte</t>
  </si>
  <si>
    <t>Nouvelles odeurs. Très bon diffuseur, laisse chez moi une odeur très agréable, nous pouvons régler le temps pour que le diffuseur libère une odeur qui était un critère important pour moi.  J'ai déjà testé quatre types d'huiles essentielles, la diffusion du parfum est très bien faite.  Extrêmement facile à utiliser et à nettoyer.   Ma famille est super contente des nouvelles odeurs de notre maison.</t>
  </si>
  <si>
    <t>🔝 Vraiment bon produit pour nettoyer les bijoux !</t>
  </si>
  <si>
    <t>Ergonomique La connection se fait simplement. Les écouteurs sont légers et confortables pour l'oreille (plusieurs embouts de disponibles). Je les utilise dans les transports en commun, le son est clair avec des bonnes basses. Mon mari me les emprunte pour faire du sport, ils restent logés au creux de l'oreille sans bouger. Le boîtier des écouteurs est de petite taille, les écouteurs se logent à la perfection à l'intérieur. L'indicateur de charge restant est fiable. J'ai également utilisé les écouteurs pour téléphoner, ils ont un microphone intégré, la communication est parfaite et mon interlocuteur m'entend parfaitement.</t>
  </si>
  <si>
    <t>Nikel Principalement utilisé en mixture avec d'autres huiles, huiles essentielles, aloe verra et de l'eau.  Pour la peau mais principalement cuir chevelu et dread</t>
  </si>
  <si>
    <t>Beau et chaud très joli sweat épais et classe. Mon fils est ravi. Il taille très bien.</t>
  </si>
  <si>
    <t>Casque de très bonne qualité J’étais lises ce casque pour aller au travail tous les jours en faisant plus d’une heure et demie de train et je trouve que ce dernier est très performant</t>
  </si>
  <si>
    <t>top Tres design et de tres bonne qualité. Fait tres bien son boulot..chauffe tres vite...je suis ravie...n'hesitez pas a vous l'acheter</t>
  </si>
  <si>
    <t>Facile a utiliser vraiment cool et simple a se servir et très jolie aussi</t>
  </si>
  <si>
    <t>100% compatible Compatible à 100%, impression équivalente à des cartouches de marques</t>
  </si>
  <si>
    <t>Un kit complet pour bien démarrer! Un lot de 6 biberons de marque Dodie et ses 6 tétines rondes sont&amp;nbsp;incluses&amp;nbsp;dans ce joli kit. _2 biberons de 150 ml adaptés de la naissance à 6 mois _2 biberons de&amp;nbsp;270&amp;nbsp;ml -2 biberons de 330 ml adaptés aux bébés de plus de 6 mois Les tétines ont l'avantage d'être conçu avec un système anti-colique, ce qui permet une digestion plus facile et surtout beaucoup moins de régurgitations. Ils sont composés de plastique et sont fabriqués en France pour une réglementation beaucoup plus sure. Des biberons parfaitement adaptés pour un bon démarrage, très joli avec ses motifs divers (camion de&amp;nbsp;pompiers,&amp;nbsp;lapinou... Sa forme triangulaire permet une prise en main facile et agréable. Des biberons de qualité pour un très bon rapport&amp;nbsp;qualité-prix, une marque qui est attentive à l'attente des besoins des parents.</t>
  </si>
  <si>
    <t>Très bien Parfait pour nettoyer rapidement les biberons. Je recommande</t>
  </si>
  <si>
    <t>ne résout pas le problème de connexion je ne peux dire si bien ou non, puisque l'adaptateur ne me permet pas de faire fonctionner le matériel. achat inutile de ce fait.</t>
  </si>
  <si>
    <t>trop cher beaucoup moins cher en grande surface il y a de l'abus il faut bien comparer avant d'acheter cdlt cdlt cdlt</t>
  </si>
  <si>
    <t>Decevant La matière n’est vraiment pas agréable et fait vraiment basse qualité</t>
  </si>
  <si>
    <t>Magnifique Tres belle et également à la hauteur de la description. Magnifique modèle de montre. Se porte avec tous styles de vêtements</t>
  </si>
  <si>
    <t>Happy Ravie de mon achat . Très belle association de couleur Utilise le jour même en salle et très confortable Merci</t>
  </si>
  <si>
    <t>Toast et croissants Très joli, ce toaster est pimpant avec ce rouge rubis et son chrome brillant. A l'essai j'ai remarqué qu'il n'acceptait que les tranches fines de pain, il est idéal pour le pain de mie tranché à l'anglaise dans les paquets de supermarchés ou bien le pain de boulanger qu'on achète tranché. Pour la baguette il faut la trancher fin en 2 tartines pour espérer que ça passe dans les fentes. J'ai apprécié la chauffe rapide et la fonction décongélation qui donne vite fait un pain tendre en arrêtant la chauffe juste avant le brunissage. Très pratique également la possibilité de vérifier la cuisson en remontant la tartine sans déconnecter la résistance. Cette fonction permet de caler le réglage du thermostat pour les prochaines fois. Rapide avec réchauffage des croissants grâce au panier qui se pose en superstructure.  Tout est très bien, dommage qu'il n'accepte que les fines tranches à toaster.</t>
  </si>
  <si>
    <t>Très jolie Très belle petite boucle d’oreille</t>
  </si>
  <si>
    <t>simplicité d'utilisation Préservation appareil photo en voyage</t>
  </si>
  <si>
    <t>Joli petit brillant Conforme a la description, emballé avec soin diaman porté en toute discretion a l'air solide.il me manquait un petit qqch pour un mariage avec une robe bustier c eat parfait. Satisfaite de mon achat.</t>
  </si>
  <si>
    <t>Enfin j'ai chaud ;-) Que d'heures d'insomnies à cause de ce bout de lit froid où mes pieds se glacent ! Et, là, fini, le lit est chaud ! Génial, surtout par ces temps de gel actuels. Le système de fixation au matelas serait plus efficace avec des sangles au lieu de la petite ficelle fournie. Vérifiez l'embranchement électrique sur la matelas, un matin je l'ai déboité par inadvertance, le soir, bien sur, ça ne chauffait pas... Heureusement panne vite découverte et tout est rentré dans l'ordre :-) Je ne regrette pas du tout du tout cet achat ! :-)</t>
  </si>
  <si>
    <t>tutrès beau produit bonne qualité comme la photo très beau produit décrit comme la photo</t>
  </si>
  <si>
    <t>tres bon c'est joly</t>
  </si>
  <si>
    <t>Parfait Superbe conforme à la description j'en suis ravi je la recommande pour un prix défiant toute concurrence faites-vous plaisir g</t>
  </si>
  <si>
    <t>Chaussure top Très belle chaussure.très confortable.Je ne regrette pas mon achat. je me sens très bien dedans.</t>
  </si>
  <si>
    <t>Rien de tel Marque recommandée pour les machines Nestlé (dolce gusto et nespresso) et fait largement le travail pour lequel il est conçu. Je le commande à chaque fois.</t>
  </si>
  <si>
    <t>des écouteurs indispensables pour les activités en extérieur Se promener, passer la tondeuse, ... une mise en place des écouteurs avec un "par derrière l'oreille" très facile, et qui les maintiens bien en place, un son de très bonne qualité, accès aux boutons on/off, et de réglage du volume ou changement de morceaux de musique très accessibles. je suis vraiment très content de ces écouteurs bluetooth avec micro incorporé. Durée de fonctionnement après recharge très longue (malheureusement, je n'ai pas mis de chronomètre pour la mesurée exactement), Livré avec une petite sacoche boite ronde pour les ranger avec le câble USB pour le rechargement, très pratique. N'hésitez pas sur le choix de cet article, vraiment je vous le recommande.</t>
  </si>
  <si>
    <t>trop la classe de belles chaussures de sécurité, prévoir une pointure en dessous par contre, elles taillent un peu trop grandes. Sinon elles sont confortable.</t>
  </si>
  <si>
    <t>Très bon produit Après quelques jours d'utilisation je ne regrette pas mon achat c'est un très bon diffuseur, je trouve qu'il est vraiment beau avec sa finition imitation bois. La minuterie qui est équipée est vraiment sympa aussi ca permet de ne pas devoir le laisser tourner pendant des heures quand on oublie de l'éteindre vu le prix des huiles essentielles c'est très bien. Ce que j'aime bien aussi c'est le fait de pouvoir allumer la lampe sans allumer le diffuseur, c'est vraiment pratique aussi. Au niveau de la diffusion des huiles je n'ai repérer aucun problème.</t>
  </si>
  <si>
    <t>A recommander Très bon produit a recommander sans soucis bonne taille.</t>
  </si>
  <si>
    <t>Simple à utiliser et pratique Très chouette ce grille pain ! Il est joli, léger, pratique et super facile à utiliser... Je recommande !</t>
  </si>
  <si>
    <t>DU BON SON WIRELESS VIA BLUETOOTH 5.0! Fait le TAF! J'en suis même surpris vu la puissance que dégagent ces petits écouteurs wireless! En tout cas, ils sont parfaits pour écouter du hip-hop, Rnb, pop-rock, etc. Manuel en anglais mais assez facile à comprendre car concis et très bien illustré! Rapport qualité-prix excellent! Pourvu que ça dure!</t>
  </si>
  <si>
    <t>Super pratique L'eau chauffe a la bonne température en quelques secondes. Très contente</t>
  </si>
  <si>
    <t>Un beau produit bien fini et fonctionnel Une sacoche de très bonne qualité aux finitions impeccables. Robuste et légère, dotée de nombreux compartiments elle accueille la majorité des éléments que je souhaite avoir avec moi en permanence. Seul point noir: attention aux carnets de chèque au format classique qui entrent difficilement.</t>
  </si>
  <si>
    <t>Déçu.mais confortable Déçu car il est écrit manteau et c est en faite un gilet</t>
  </si>
  <si>
    <t>Decu de la qualité du produit Chaussure pas top pas à lése dedans ..inconfortable et surtout très glissante . Taille très grande . Quel dommage car beau design</t>
  </si>
  <si>
    <t>Mauvais article J'ai commandé le produit de la photo que je trouvais très beau et j'ai reçu un modèle pas beau du tout, n'ayant rien à voir avec le sac commandé.</t>
  </si>
  <si>
    <t>Assez moyen sur un plan esthétique Cette sacoche d’assez grande taille permet de contenir beaucoup de choses. Elle manque toutefois de rigidité ce qui nuit à son esthétique. Dommage !</t>
  </si>
  <si>
    <t>Bon son, dommage que l'oreille gauche se déconnecte toutes les 10 minuted Il semble que le son est plutôt de bonne qualité, a voir sur le long terme. Le bluetooth est ok, a voir sur une utilisation longue. Mais rien à reprocher pour le moment OK.  La boîte arrive bien conditionnée, donne envie. -cable -boite rangement -ecouteurs -manuel bien écrit  Edit : après plusieurs jours d'utilisation intense, le bluetooth semble bug et l'oreille gauche se déconnecte toutes les 10 minutes il faut la reconnecter. Renvoi.</t>
  </si>
  <si>
    <t>Bien Acheter pour donner, jog' Un peu épais qui fait son travail, comme sur la photo, pas encore abîmer, assez bien</t>
  </si>
  <si>
    <t>bonne lessive bonne lessive pas de soucis et odeur très agréable, on s'y croirait presque!! ;)</t>
  </si>
  <si>
    <t>Ça va Très bon produit mais après 2 mois d utilisation il ne fonctionne plus. Y a t il une garantie svp?</t>
  </si>
  <si>
    <t>Bien Je me suis trompé de pointure 44 et il me faut du 43 maison pas grave il sont bien</t>
  </si>
  <si>
    <t>Bon rapport qualité/ prix Chaussure comme sur les photos.  Taille un peut petit, n'hésitez pas à prendre une demi voir une taille au dessus. Sinon produit de bonne augure.</t>
  </si>
  <si>
    <t>Correspond en tout point à la description Cadeau</t>
  </si>
  <si>
    <t>au top qualité au rendez-vous la pochette est très solide, le style simple et pratique . le tabac ne sèche pas.  je recommande.</t>
  </si>
  <si>
    <t>jolie, et pas très bruyante. J'ai changé ma bouilloire car trop bruyante. Celle ci est nettement plus silencieuse et joli design. Chauffe rapidement. A recommander.</t>
  </si>
  <si>
    <t>Super Impec</t>
  </si>
  <si>
    <t>Ecouteur  bleutoof J'adore ses écouteurs , je l'ai utilise souvent pendant mon temps de trajet dans le métro. Discret avec un agréable confort je suis ravie . Le son et super et avec sa petite boite de rangement impossible  de les perdre</t>
  </si>
  <si>
    <t>Basket Bonne chaussure taille très bien je fait un 39 je les est prise en 40</t>
  </si>
  <si>
    <t>Très bien Offert en cadeau et très bon produit avec un prix intéressant. Prenez votre pointure habituelle.</t>
  </si>
  <si>
    <t>Conforme à la description Pas encore utilisé mais semble ok?</t>
  </si>
  <si>
    <t>Excellent choix, pas de souci avec les iphones J’ai un iPhone, et parfois quand je ne commande pas les AirPods d'iPhone j’ai beaucoup de souci de compatibilité, pb de qualité  De son ou de micro, par contre avec ces écouteurs je suis très satisfait, car j’ai eu aucun souci mais au contraire la qualité est excellente, stabilité remarquable niveau oreilles  Je le recommande.</t>
  </si>
  <si>
    <t>Qualité Tres jolie , très belle finition</t>
  </si>
  <si>
    <t>Conforme Ok</t>
  </si>
  <si>
    <t>Une gamme sympa Biberon d'initiation permettant à bébé d'apprendre à boire tout seul grâce à ses anses. Mickey est là pour aider. Sympa Mickey. Un biberon à la forme triangulaire. Pas très classique donc. Une valve anti-colique. C'est toujours ça de gagner. Trois vitesses. Tétine ronde. Une bonne gamme.</t>
  </si>
  <si>
    <t>Parfait Les yeux fermés je recommande... soulage les maux de dos. Bonne qualité, livraison rapide.</t>
  </si>
  <si>
    <t>Qualité moins bonne qu'avant. Ces bottines ne me semblent pas aussi solides que ça pour le prix, on est bien dedans mais chausses grand! Pour du 45, ai du renvoyer et recommander du 43 ! Faut le savoir !</t>
  </si>
  <si>
    <t>Nn trop petit Pour du xl cet bizare on dire du s le maillot. Cet une fausses tailler sur donc bizar pour une marque comme nike</t>
  </si>
  <si>
    <t>Gagdet de pacotille On transpire vite dedans, semelle qui sort a chaque déchausse, matière assez désagréable au toucher....</t>
  </si>
  <si>
    <t>Bien La taille et la couleur correspondent parfaitement. La qualité est très bien vu le prix. A voir la résistance au lavage.</t>
  </si>
  <si>
    <t>l'esthetique belle montre très pratique et fonctionnelle</t>
  </si>
  <si>
    <t>Bien Texture hyper douce pour la sorti du bain</t>
  </si>
  <si>
    <t>Les cables et tout fils d'alim on1sens de pose(ecriture sur cable a lire a l'endroit de source a enceintes Jai commander ses cables  en esperant avoir de l'ofc pur pour finition de ma sono auto pour enceinte a amplis.je les reçois demain je vous dirait si cest vraiment de lofc il suffit de chauffer un brun au briquet et voir resultat de couleur et tenue des cables.ou de les trempée dans produit que tout bon audiophiles connait je pense que cest du 75%cuivre et 25%aluminium maxi car gaine tres fine.je vous dirais ca demain ou apres demain. Eh une chose: les cable electrique et enceinte on toujour un sens .il suffit de lire ce quil ya decrit sur cable par exemple kabel ofc a lendroit de la source au enceintes car ça joue sur le son et cable electrique le sens des cables de courant ou enceintes essayer de le faire vous verrez il ya une différence audibles. Pour ceux qui ne le savait pas verifier toujours le sens des ecriture des cables de nimporte quelle marques.toujour de la source au enceintes ou cablage amplie auto  vous devez lire kabel ofc a lendroit de source a caisson ou enceintes ou de batterie a amplie toujour de la source au enceintes,amplis auto ect les ecriture serve de pub mais surtout pour le sen decriture a lire a l'endroit de source a enceinte ou autres.bonne journée a tous et toutes.</t>
  </si>
  <si>
    <t>Bon produit Bon produit correspondant à la description et enfin un sweater à ma taille</t>
  </si>
  <si>
    <t>PAS BEAUCOUP DE POINTS NÉGATIFS Super casque de très bonne qualité (niveau son et structure du casque ) le son est vraiment bien mais quand il N y a aucun son il grésille un peux mais pas gênant il faut vraiment y prêter grande intention sinon au niveau de la structure comme je le disais c est très solide C est du plastique mais faut vouloir le casser NIVEAU CONFORT : Les oreilles ne dépassent pas des coussinets seulement au bouts de 2 heures les oreilles commencent à chauffer NIVEAU AUTONOMIE : il prend 3 heures à charger assez long mais dur 9h a 10h d autonomie Point négatif on ne peux pas l utiliser quand il charge</t>
  </si>
  <si>
    <t>Sechage Un peu cher mais tres fonctionne, j’aime bien le fonction de séchage . réduire des ennuis</t>
  </si>
  <si>
    <t>conformité répond aux attentes</t>
  </si>
  <si>
    <t>Je fait du 38 jai pris du M il me va comme un gant 😊 Parfait</t>
  </si>
  <si>
    <t>J'adore Coloris au top Qualité prix impeccable</t>
  </si>
  <si>
    <t>Noir Tres joli produit j en ai achete deux pour offir je regrette rien je le conseille la noire est tres joli</t>
  </si>
  <si>
    <t>Excellent service.... Top agenda très pratique bien structuré beaucoup de place pour les RDV, super utile pour mon job et top livraison très bon service !!!</t>
  </si>
  <si>
    <t>ca colle fort! Utilisé pour coller un miroir et d'autres tableaux il fait très bien ce pour quoi il est conçu. Il se découpe également facilement et après  plusieurs mois pas de trace de décollement.</t>
  </si>
  <si>
    <t>très légé taille parfaite bonne qualité livraison rapide très bonne qualité</t>
  </si>
  <si>
    <t>Montre homme Tommy HILFIGER Très satisfait de cette montre. Le bracelet en cuir manque un peu de souplesse mais avec le temps........tout devrait s'arranger.</t>
  </si>
  <si>
    <t>Prix Qualité et le prix</t>
  </si>
  <si>
    <t>Pour préparer le thé ! Belle bouilloire électrique, esthétique simple et contemporaine, couleur argent. Le niveau de bruit quand l'eau commence à bouillir est acceptable, et le bouton de commande est facile à manipuler. Le couvercle s'ouvre facilement, et le niveau de l'eau à l'intérieur est bien visible.</t>
  </si>
  <si>
    <t>Excellent casque Casque avec un fil, simple, pas cher et efficace! Le rapport qualité/prix est excellent. Ne vous attendez pas à un son de grande qualité, mais pour le prix, il ne faut pas s'attendre à un Bose.. Je le recommande!</t>
  </si>
  <si>
    <t>Bon rapport qualité prix Si vous chercher des chaussettes douces et un peu epaisses, je vous les conseilles. Je ne suis pas déçu de mon achat!</t>
  </si>
  <si>
    <t>Pas mal Aspect parfait, même si au bout d’un moment l’es écriture disparaisse, après rien a redire sur le reste</t>
  </si>
  <si>
    <t>Niveau au plus bas après trop peu de copies Ce n'est pas le premier pack de cartouches HP364 que je prends sur Amazon mais je suis surprise et déçue par la vitesse à laquelle l'encre diminue, je suis loin de totaliser le nombre de copies annoncé et je dois déjà en recommander. Idem pour le précédent pack. J'hésite à repasser commande pourtant il y a pas mal de bons commentaires sur la page de cet article.</t>
  </si>
  <si>
    <t>impossible a supporter je demande le retourje ne les supporte pas je les ai jamais mises mon pied trop serrepuis je les retourne je ne les ai pas mises c est trop serre mon pied ne les supporte pas je demande un retour</t>
  </si>
  <si>
    <t>Boucle Très sympa ce porte avec plusieurs couleurs et légère...</t>
  </si>
  <si>
    <t>Bonne a porter. Essayé sur 2×10, chemins route. Bonne souplesse bon amortie. Bonne taille.</t>
  </si>
  <si>
    <t>Très bien Pratique pour la naisance ! Grâce à ce biberon ps de colique du tout avec notre fils.. facile à stériliser au micro-ondes !</t>
  </si>
  <si>
    <t>LA TAILLE Suivant les commentaires j'ai acheté une taille au dessus de la mienne car j'ai rajouté des semelles spéciales. Elles sont chaudes et confortables.</t>
  </si>
  <si>
    <t>xxxxxx attention pointu par devant car il faire attention au pieds large.Reste une marque sur le cuir .chaque pas qu'on fait demande de le plier ,c'est un peut normal.</t>
  </si>
  <si>
    <t>nettoie bien Beaucoup plus pratique qu'un goupillon normal , je recommande</t>
  </si>
  <si>
    <t>Comment changer la pile ? Bon produit , bonne transaction !</t>
  </si>
  <si>
    <t>Confortable Super employée cels tous mes collègues adorent et je suis très bien dedans👍</t>
  </si>
  <si>
    <t>Une très belle qualité beau cadeau à offrir à mon amie, Pas déçu belle finition de qualité</t>
  </si>
  <si>
    <t>Top Envoie rapide article conforme</t>
  </si>
  <si>
    <t>Rien à reprocher Belle monte</t>
  </si>
  <si>
    <t>Casque et service après-vente de qualité ! Tout d'abord, je tenais à préciser le très bon rapport qualité/prix de ce casque. Pour mon usage d'écoute de musiques via mon smartphone, il remplit toutes les conditions que je recherchais, à savoir: - Restitution sonore de qualité avec des basses agréables et percutantes. - Tenue impeccable sur la tête sans sensation désagréable avec un contact doux sur les oreilles. Le casque s'adapte facilement à chaque personne grâce à ses articulations à la base des écouteurs. - Casque avec un poids plume qui nous permet de l'oublier durant notre écoute. - Autonomie de la batterie très confortable permettant une écoute prolongée plusieurs fois avant son rechargement. - Boutons intuitifs permettant une navigation facile avec prise en main des appels entrants si besoin. - Casque avec une esthétique sympa bien conditionné dans une boite comprenant une housse de protection.  Autre atout important, le service client est à l'écoute et très réactif à toute demande. J'ai pu trouver une réponse à ma demande dans des délais très court. Bonne communication de la part de Cowin.  En conclusion, après un an d'utilisation, je suis très satisfait de ce casque qui offre un confort et une restitution sonore très agréable. J'ai découvert Cowin suite à mon achat de ce casque bluetooth E7 et je ne suis pas déçu de mon achat, merci.</t>
  </si>
  <si>
    <t>Parfaite Parfaite Qualité sérieuse le filtre situé sur le bec verseur permet d'infuser les plantes directement dedans. Bon format, chauffe rapide Absolument rien à lui reprocher au bout de 3 semaines</t>
  </si>
  <si>
    <t>Impeccable Super confortable, taille et galbe super bien. Je ne m'en passe plus.</t>
  </si>
  <si>
    <t>Super Bonne qualité, imprimé nickel Léger confortable</t>
  </si>
  <si>
    <t>Légéreté.. Basket très agréable à porter, elle amortie les choques surtout quant on rencontre des problèmes aux pieds</t>
  </si>
  <si>
    <t>Super Produit intéressant  moins cher que les Grand surface</t>
  </si>
  <si>
    <t>Attention à la pointure Impossible à porter chausse vraiment trop petit il faut  1 pointure au dessus et encore pas sur de pouvoir l enfiler</t>
  </si>
  <si>
    <t>Montre arrivée dans les délais mais avec trotteuse flottante dans le mécanisme Très déçu par cette montre qui est arrivée défectueuse. La trotteuse flottait dans le mécanisme et ne permettait pas de se servir de la montre donc renvoi immédiat. Je ne conseille pas cet achat</t>
  </si>
  <si>
    <t>à éviter produit de mauvaise qualité et dangereux.  - les paroies extérieures sont brûlantes après utilisation  - bien qu'il y est un thermostat réglable, le pain ressort souvent brûlé  - l'appareil fait régulièrement disjoncter la cuisine  - il est difficile de sortir le pain sans se brûler  ... bref, ce produit est à éviter, c'est pourquoi je suis obligé d'en acheté un autre...</t>
  </si>
  <si>
    <t>pochette Je l'ai acheté pour mon mari lorsque nous nous promenons en week end ou en vacances. Très pratique pour les papiers de voiture et le téléphone etc...</t>
  </si>
  <si>
    <t>Jolie montre, mais attention à la taille Très jolie montre, qui respire la qualité. Je la porte depuis une semaine, et elle tient bien l'heure. En revanche, attention à la taille : le boitier fait 40 mm, mais le cadran (surface du verre) ne fait que 30 mm. Si mon achat était à refaire, je m'orienterais vers le modèle Pro Diver 420, dont le boîtier mesure 45 mm, disponible chez Amazon à 160 euros. Je conserve néanmoins ce modèle auquel je me suis attaché, et qui convient bien à mon petit poignet.</t>
  </si>
  <si>
    <t>nikel les chaussures sont a ma taille nikel</t>
  </si>
  <si>
    <t>Rapidité face au pleurs de bébé.... En tant que jeune maman, ce produit m'a sauver la vie. En effet l'eau est à la bonne température de suite. Elle sort un peu plus chaude que la température désiré mais le temps de mettre la poudre et de remuer le biberon la température devient ideale.  Certe il faut toujours verifier, surtout avec les biberons en verre, Mais je n'ai jamais eu de souci à ce niveau. Je recommande vivement.</t>
  </si>
  <si>
    <t>Je ne regrette pas mon achat Même si je n'ai pas la prétention d'être un grand audiophile, je peut affirmer que ce casque restitue du son très très correct et assez équilibré. Le basses sont juste comme il faut, les amateurs de musique JackyTuningextraboostbass seront peut être un peu déçus mais pour le reste, que du bonheur. La restitution du spectre m'a permis de redécouvrir beaucoup de morceaux.  Je porte quotidiennement le casque (PC fixe) depuis 1 an maintenant pour écouter de la musique en travaillant et aussi pour des jeux. Rien à dire niveau confort, si ce n'est que les coussinets tiennent chaud et font transpirer un peu si porté longtemps. Câble : RAS Qualité du son : toujours aussi bonne</t>
  </si>
  <si>
    <t>Micro Bon son pour ce micro utilisé dans le cadre familial/amical.Bonne prise en main.Vendu dans des boîtes plastiques rigides ,idéal pour le transport. Rapport qualité/prix a guidé notre choix</t>
  </si>
  <si>
    <t>Efficace Efficace, peu bruyante. Notice pas très claire. Eclairage très désagréable (très froid) ampoules de rechange très difficiles à trouver</t>
  </si>
  <si>
    <t>Trop top 💕💕💕 Change des couleurs traditionnelles. Sensation de soleil aux Notes. C’est le printemps dans les cahiers 😊</t>
  </si>
  <si>
    <t>très joli pour faire plaisir à tout  prix</t>
  </si>
  <si>
    <t>Bonne qualitée Je l'utilise pour la ps4 COD essentiellement, très bon casque très agréable belle finitions  rien à redire à par peut-être son prix...</t>
  </si>
  <si>
    <t>Au TOP Super écouteurs ! le son est parfait. Le bouton sur les écouteurs répond bien et la sensation lors de l'appuis est bonne de nombreuses fonctionnalités sont integrées,  le maintient dans l'oreille est bon, plusieurs embouts de différentes tailles sont fournis dans la boite pour que tout le monde y trouve son compte. De plus une house est aussi vendu avec l'ensemble afin de protéger la boite des écouteurs, par ailleurs la boite fait aussi office de batterie externe de 2600mah permettant quasiment une charge et c'est vraiment pratique en cas de besoin ! les écouteurs tiennent 4h, le boitier permet de recharger les écouteurs plusieurs fois ce qui donne une très bonne autonomie, les écouteurs se rechargent entièrement en 1h30. Pour finir, la notice est très bien faite!  Je suis ravi de cet achat !</t>
  </si>
  <si>
    <t>Discret C'est un assouplissant que j'achète dans le cadre d' "économisez en vous abonnant". Je dois dire que pour le moment, il n'y a aucune raison de changer mes habitudes. Son parfum est discret, les vêtements restent doux au toucher. C'est parfait !</t>
  </si>
  <si>
    <t>Rassurée C'est la première fois que je commandais un pack compatible pour ma nouvelle Canon et ma satisfaction a été totale. J'ai commencé par une seule couleur et celle-ci a été automatiquement reconnue sans aucun message. Au rythme de mes impressions, il était évident qu'une seconde commande s'imposait ce que j'ai fait tout de suite. Il est à noter que ce pack comprend la couleur grise ce qui n'est pas le cas pour le pack d'origine. Bon investissement.</t>
  </si>
  <si>
    <t>conforme c'est du papier</t>
  </si>
  <si>
    <t>Bon produit. Je connais bien ce produit pour l'acheter chaque année. Envoi rapide, aucun problème.</t>
  </si>
  <si>
    <t>Super luminosité J'ai commandé la lampe pour mon bureau pour me faire les ongles et j'en suis très contente.  La luminosité est parfaite,  la lampe se replie sur elle même donc gain de place quand je n'en ai pas besoin. Je la recommande</t>
  </si>
  <si>
    <t>Légère et stylée Ma fille de 11 ans les adore, elles sont pratiques à enfiler, légères comme une plume et super confortables avec la semelle intérieure toute moelleuse. J'ai commandé un 37 et ça chausse un 38 sans problème.</t>
  </si>
  <si>
    <t>Conforme Attention ça fait grand: bien mesurer</t>
  </si>
  <si>
    <t>Le radio réveil 2.0 Franchement épaté par ce réveil, il dépoussière carrément l'image du radio réveil classique de tout le monde connait. Il a pleins de fonctions, se connecte au smartphone pour le piloter, fait la radio, la lumière réglable est géniale, puissante ou douce en fonction de l'ambiance souhaitée. Il vous réveille doucement par sa lumière qui simule l'aube matinale et déclenche la radio ou une sonnerie au choix. La documentation est en français, un vrai plus.</t>
  </si>
  <si>
    <t>du beau papier de noël on ne peut pas dire aqu il y ait de surprise au déballage. On sait ce qu on commande et on l a. Beaucoup de papier cadeau en réserve pour offrir beaucoup de cadeau de noël avec un papier plutôt classique et très joli. Il est normalement solide et vous ne serez pas déçu!</t>
  </si>
  <si>
    <t>Excellent masseur Parfait masseur que l’on peut utiliser sur plein de partie du corps, nuque, cuisses, mollet... ! Pratique et peu encombrant. Après une heure de crossfit, c’est un régal.</t>
  </si>
  <si>
    <t>Basket puma 👍 Tres belle paire de basket j ai pris ma taille normal êt sa me va super bien avec 2 pair de la êt tres jolie</t>
  </si>
  <si>
    <t>LA BATTERIE LA Batterie de la montre et a changer il e arrive a plat</t>
  </si>
  <si>
    <t>Pas efficace pour moi il me donne encore plus de rougeur j'avais pourtant vue aucune contre indication j'ai trouver le produit sur le net</t>
  </si>
  <si>
    <t>Outils pour retirer les mailles inefficace Impossible de retirer une maille avec l'outil fourni : la vis en plastique et le pas de vis en plastique lui aussi font que la vis fait du surplace face au petit "pin" maintenant la maille.</t>
  </si>
  <si>
    <t>Bof Je ne l'a trouve pas forcément conforme aux photos. Elle est moins jolie en vrai. Après, pour le prix, c'est compliqué de faire son difficile. Elle marche très bien. Le temps de livraison est vraiment long. J'en ai pris une autre sur Amazon. Moins chère et bien plus jolie</t>
  </si>
  <si>
    <t>Confortable mais qualité médiocre Très confortable, tissu très doux. Cependant je ne suis pas sûre concernant la qualité sur le long terme, après un essayage, l'élastique de la brassière était distendu et après un lavage, l'élastique du boxer commence à se découdre. Vraiment dommage car comme dit précédemment,  l'ensemble est très doux et confortable.</t>
  </si>
  <si>
    <t>C'est "presque" très bon ! Le contrat rapport qualité/prix est rempli pour ce micro qui fait très bien le job au regard de son prix. Vous voulez un meilleur enregistrement que lui...changez de budget, vous chercher mieux à ce prix... vous ne trouverez pas.</t>
  </si>
  <si>
    <t>Belle finition.... C'est d'abord pour transporter ma tablette Samsung 10.1, et quelques accessoires et affaire personnelles. Pour un usage quotidien un peu encombrant, comme sac de transport. Il protège très bien, à une belle finition, bref pour avoir sa tablette avec soi, c'est un très bon choix....  Cordialement</t>
  </si>
  <si>
    <t>Vraiment bien De supers petits écouteurs ! Ils tiennent bien en place même en dansant avec ^-° La qualité du son est très correcte mais sans être exceptionnelle non plus (Je trouve que les écouteurs extra auriculaire sont plus qualitatifs mais j'en fais des utilisations différentes). Le temps de la batterie est . . . bah en fait depuis que je les ai, je n'ai toujours pas eu besoin de les charger (je commence même à me demander si l'indicateur de charge et fiable 0.O' Je vous redirez ça ^-° ) Alors petit bémol quand même, je n'ai pas pu les appareiller avec mon Ipod. Et autre petit point de détail, dans le noir, vous ne passerez pas inaperçu !!! Dommage qu'on ne puisse pas désactiver les lumières.</t>
  </si>
  <si>
    <t>Produit très honnête Après un premier modèle dont les canaux étaient déséquilibrés, ce casque s’avère être un bon produit pour l’usage que j’en fais (sport). Sur le plan sonore ça n’est pas le Bose QC35 mais le JBL s’en sort honorablement pour nettement moins cher !</t>
  </si>
  <si>
    <t>Complètement adéquate à ma MG5550 Complètement adéquate à ma MG5550, mon imprimante m'a fait 4 impressions NB pour le moment sans problème. Tout est reconnu, pour le moment niquel!</t>
  </si>
  <si>
    <t>Bon produit Bon produit pour faire du sport, bien tailler, souple, je recommande, et comme celui que j'avais pris, je l'ai reçu largement avant la date prévue ! :)</t>
  </si>
  <si>
    <t>Excellent Le coton est un bon coton , bel ensemble de T-Shirt , je recommande .</t>
  </si>
  <si>
    <t>Si vous avez des soucis de jambes lourdes ou circulatoire.  C'est l appareil qu'il  vous faut. Très bon produit. Ayant des problèmes circulatoires. Ça va beaucoup mieux. Le petit plus et très efficaces pour les douleurs musculaires.  Ceux sont les électrodes. . Je recommande vivement ce produit.</t>
  </si>
  <si>
    <t>Indispensable Produit parfait pour les plaques à induction. Hyper economique. Un peu casse pied à rincer mais nettoie rapidement et efficacement.</t>
  </si>
  <si>
    <t>Diffuseur au design sympa J'ai offert ce diffuseur à une amie qui l'a adopté et qui l'adore... diffuse un parfum en fonction de nos préférences en continu ou pour un temps défini.</t>
  </si>
  <si>
    <t>Génial Pas cher et avec un format économique. Il est en plus présenté sous forme de poudre fine et non de gros cristaux comme souvent ce qui facilite son utilisation notamment pour la poudre de lave vaisselle</t>
  </si>
  <si>
    <t>Le Top Acheté en promo (150€), il est juste parfait! Que du bonheur ! Massage très agréable! Je précise que je mesure 1,90m et le massage remonte bien haut!</t>
  </si>
  <si>
    <t>Super produit je recommande Écouteurs déjà reçus, la livraison à été très rapide, la finition est top, rien à dire sur le design. La qualité du son est vraiment bien et puissante. J'ai testé lors d un footing ils ne bougent pas, ils tiennent bien en place. 4 embouts et une housse de transport sont fournis. Rien à dire sur le rapport qualité / prix.</t>
  </si>
  <si>
    <t>Très contente Au top, je suis ravie. Prévoir une demi taille en dessous, les all stars chaussent grands. Très bon rapport qualité/prix.</t>
  </si>
  <si>
    <t>Conforme J'ai acheté cette paire de chaussures pour mon fils. Elle sont très confortable</t>
  </si>
  <si>
    <t>Très joli sac J'adore ce sac, je l'emmène partout avec moi. Les deux poches sont isothermes, et j'ai de quoi emmener tout le nécessaire pour bébé.</t>
  </si>
  <si>
    <t>Top qualité/prix Bonne qualité pour ce casque gaming. Comme idée cadeau por mon neveu c’est parfait. À voir dans le temps pour l’usure des fixations etc</t>
  </si>
  <si>
    <t>Bien mais fonctionne mal avec ma montre de sport Garmin Aucun souci avec mon téléphone, rien à redire sur la qualité audio, à ma grande surprise, les appels sont aussi OK si environnement pas trop bruyant.  En revanche :  - je n'ai pas réussi à faire fonctionner l'assistant vocal de google (un triple tap devrait l'activer) - je les ai acheté pour faire du sport avec ma montre garmin forerunner 945 qui permet de streamer de la musique en bluetooth, et bizarrement, même si j'arrive à les appairer correctement, à jouer de la musique et à utiliser les boutons (volume, play/pause, suivant / précédent), ils s'éteignent systématiquement au bout de 5 minutes comme s'ils n'avaient pas réussi à s'appairer... ce qui les rend inutilisables pour l'usage que j'avais prévu.  J'ai écris un message au support d'Aukey, resté sans réponse (ça fait une semiane), je vais donc les renvoyer. Dommage.</t>
  </si>
  <si>
    <t>Produit bas de gamme J'ai du le renvoyer au bout de 2 mois à peine. Je ne recommande pas ce produit qui est cher pour une qualité aussi médiocre.</t>
  </si>
  <si>
    <t>Ne marche pas longtemps Le kit fonctionne 5 minutes puis l'interlocuteur n'entend plus rien ou du moins un gros bruit rendant la communication impossible.</t>
  </si>
  <si>
    <t>Odeur ++ mais la capsule se désagrège mal à baisse température Comme indiqué en titre, l'odeur de cette lessive est très agréable mais moi qui fait surtout des programmes courts, dont plutôt basse température (max 30°), je trouve que la capsule se désagrège mal de sorte que j'ai des restes de matière gluante qui se coincent entre le tambour et la porte de la machine.</t>
  </si>
  <si>
    <t>Confortable Très confortable un peu juste pour la pointure</t>
  </si>
  <si>
    <t>Confort Un poil trop grand mais très confortable mais les bretelles sont ajustables</t>
  </si>
  <si>
    <t>Sécurité Pas confortable</t>
  </si>
  <si>
    <t>N'a rien a envier aux beats Top</t>
  </si>
  <si>
    <t>Baskets très élégantes Ma. Fille est ravie. Baskets très élégantes très bonne affaire lors des prime days. Je recomande</t>
  </si>
  <si>
    <t>Très bon usage et rien à redire Pour notre poubelle de tri des.déchets organiques . Pour moi la taille est très adaptée  car je n'aime pas accumuler des débris abondants . Les liens sont bien solides .</t>
  </si>
  <si>
    <t>Un bijou En ayant assez de mes écouteurs géants avec ce fil et ses coussinets énormes , je me décide pour des sans fil bluetooth et après maintes recherches tombe sur ceux ci qui me séduise .Reçu rapidement la boite est top et l'étui digne d'une bague de fiançailles ! Après une recharge rapide et brève lecture du mode d'emploi , les voici dans mes oreilles , légères ,d'une qualité qui n'a rien à envier au grands  ,des basses bien enrobées ,bref un son ! Je ne les quitte plus , un dongle bluetooth sur la télé ,et je n’ennuie plus madame le soir .Je me reveille avec le matin.Je recommande sans souci !</t>
  </si>
  <si>
    <t>Parfait Parfait ma femme la porter tout le long de la grossesse son très doux</t>
  </si>
  <si>
    <t>Utile Super produit et utilisation rapide pour un feignant du nettoyage de chaussures</t>
  </si>
  <si>
    <t>Conforme Conforme, crocs qui taillent correctement.</t>
  </si>
  <si>
    <t>Double face très résistant 1,5m sur 19mm Ras en tout point mis à part qu’il faudrait 60 cm de plus pour une crédence carré de ~60cm de côté  adhésif très résistant à condition de presser bien fort dessus un moment pour l’adhérence Salutations P.r</t>
  </si>
  <si>
    <t>Très chic Très chic sur ma montre Seko. Content de mon achat en remplacement d'un bracelet cuir noir. Lors du montage il faut bien pousser le petit poussoir à fond pour que les extrémités restent en place.</t>
  </si>
  <si>
    <t>Cartouches excellente Cette cartouche est d'une excellent rapport qualité pris. La livraison est conforme et dans les temps.</t>
  </si>
  <si>
    <t>PARFAITE Achetée il y a déjà quelques mois, elle a acquis une très belle patine ( mis baume pour siège cuir voiture). Les poches zippées sont très pratiques et vastes ( bon point pour les deux cachées à l'oeuil des voleurs. Je recommande cet article de très bonne facture.</t>
  </si>
  <si>
    <t>Super! Correspond à mes attentes, vraiment comfortable! Je recommande, en revanche prendre une demi voir 1 taille en dessous depend de la forme de vos pieds car ca taille grand</t>
  </si>
  <si>
    <t>Taille bien Acheté pour mettre sous ma robe de mariée que je trouvais un peu transparante.</t>
  </si>
  <si>
    <t>J'ai retrouvé le plaisir du son Bose En fin, je peux profiter de nouveau de mon enceinte ! Quel plaisir !  Chargeur bien emballé et aux normes européennes. Aucun risque.</t>
  </si>
  <si>
    <t>Superb Superb! Merci</t>
  </si>
  <si>
    <t>Bon produit J'ai acheté toute la gamme MAM en biberon anti-colique et tétine, différents débits je suis satisfaite de cette marque les tétines sont agréables pour le bébé et faciles à nettoyer</t>
  </si>
  <si>
    <t>Un peu déçue Les deux colliers sont arrivés de Chine. Ils sont de couleur et de matière différente. Je n'ai pas de pochette en velours comme prévu mais un autre collier dont la chaine est cassée!</t>
  </si>
  <si>
    <t>Rien Pour le travail. .....Je marches beaucoup. J ai mal au pouce du pied gauche.</t>
  </si>
  <si>
    <t>bague  2 coeurs un peut  fragile très mince  et  a  nouveau  d après le  numéro  ?  ont peut  l ouvrire comme l ont veut mais très fragile  a  part ca  elle est plaisante</t>
  </si>
  <si>
    <t>Moyen Ne tient pa dans le temps , de déforme</t>
  </si>
  <si>
    <t>Bien Bon produit. Agréable. Solidité à voir dans le temps.</t>
  </si>
  <si>
    <t>Très relaxant Problèmes de dos</t>
  </si>
  <si>
    <t>Très belle et confortable J'ai pris cette montre pour mon fils. Il en est très content. La couleur rouge est belle. La montre demande de bien lire la notice pour la regler et comprendre son fonctionnement. Donc je vous conseil de bien garder la notice.</t>
  </si>
  <si>
    <t>Super Mais la couleur n est pas aussi flash que sur les images mais sa reste bien</t>
  </si>
  <si>
    <t>Très bien La qualité du son  est vraiment bonne, tant pour les appels téléphoniques que pour écouter de la musique. Et c'est vraiment sympa de pouvoir faire du sport en écoutant de la musique, sans être ennuyé par des câbles constamment. Pour l'instant l'autonomie m'a l'air d'être bonne et ils se rechargent en USB en quelques heures. Franchement bien pour le prix...</t>
  </si>
  <si>
    <t>Hoodie couleur caramel Beau pull qui ne fait pas «&amp;nbsp;cheap&amp;nbsp;» contrairement à ce que je pensais. Les manches sont très étroites au niveau de l’avant bras mais le tissu est élastique et s’adapte vite à la morphologie. J’ai l’habitude de remonter légèrement les manches donc ça ne me dérange pas. Pour moi la taille est fiable.</t>
  </si>
  <si>
    <t>Jolie Montre Très bon produit j'en suis très content :) - Avantage :   - Wear OS by Google donc pas un OS proprietaire de la marque   - NFC pour payer directement avec   - Beaucoup de choix dans les cadrans   - Bracelet de bonne facture et confortable Désavantage :   - Wear OS un peu mou au démarrage. Il faut 5 bonnes minutes pour que la montre soit utilisable correctement   - Batterie qui ne tient pas 48H mais plutot entre 36 et 40H. Prévoir un chargeur de voyage pour les déplacement court</t>
  </si>
  <si>
    <t>J'adore Winnie - couleur douce grand contenant pour ma future petite fille que j'attends avec impatience anti-colique, anti-régurgitation et anti-aérophagie Dodie est une très bonne marque qui a su faire ses preuves avec le temps</t>
  </si>
  <si>
    <t>Produit conforme à mes attentes Très bon produit, taille conforme et livraison rapide.</t>
  </si>
  <si>
    <t>Rien Encrer tampons commandés sur Amazon pour mariage</t>
  </si>
  <si>
    <t>Belle doudoune Belles doudounes, j'en ai acheté deux en 6XL car je suis corpulent et sachant que les tailles chinoises taillent petits, j'ai bien fait, elles me vont parfaitement, ajustées, mais pas trop, comme il faut. Prévoyez deux tailles au dessus de la vôtre. Je recommande, bonne qualité.</t>
  </si>
  <si>
    <t>Le top Après plus de deux ans d'utilisations, je n'ai rien a en redire. Le plastique ne se décolore pas, est robuste, facile a utiliser, capacité importante tout en étant compact. Nettoyage ultra facile et rapide.  Je ne suis pas prêt d'en racheter un autre, car celui ci risque de faire encore très longtemps. C'est un achat depuis longtemps rentabilisé</t>
  </si>
  <si>
    <t>Bon rapport qualité-prix Après plusieurs mois d'utilisation quotidienne, il fonctionne toujours ! Alors que matin et soir il est mis dans une poche de manteau. La batterie tiens la semaine correspondant à 10 h d'écoute. Le casque est confortable et isole bien du bruit ambiant sans activé l'atténuation. Je précise que j'utilise le casque dans le RER pour écouter des podcast et de la musique. En activant l'atténuation ça élimine une bonne partie du ronronnement du train et je peux baisser le son tout en ayant une écoute confortable. Inconvénient, j'entends beaucoup plus les conversations de mes voisins.</t>
  </si>
  <si>
    <t>Léger et confortable pour ma TV plasma</t>
  </si>
  <si>
    <t>Excellent! Rien à ajouter ! Rapport qualité prix au top</t>
  </si>
  <si>
    <t>Excellent Pas pour rien que Rode est reconnu comme une reférence dans ces produit pour les debutant en video ou produit de grande qualité pour les petits budgets. En effet excellent produit ce micro avec l&lt;a data-hook="product-link-linked" class="a-link-normal" href="/Rode-SC4-Adaptateur-pour-VideoMic/dp/B00L6C8PN0/ref=cm_cr_getr_d_rvw_txt?ie=UTF8"&gt;Rode SC4 Adaptateur pour VideoMic&lt;/a&gt;&amp;nbsp;pour les smartphones. Que du bon pour ton appareil photo ou smartphone.</t>
  </si>
  <si>
    <t>Bon produit, je le recommande Bien utile pour chauffer le lit le soir avant de se coucher Bonne étanchéité Douceur de l'enveloppe Excellent rapport qualité prix mais attention le diamètre de la plus grande n'est pas de 28 cm mais de 25 cm</t>
  </si>
  <si>
    <t>Très très bien le le sports Super! Parfait. Ultra légère parfait! parfait Tres bien bien emballé bon coloris et bonne taille service irreprochable. Je ne regrette absolument pas cet achat. Classique pas déçu.</t>
  </si>
  <si>
    <t>Qualité sonore de mauvaise qualité J'ai acheté ce micro afin de pouvoir créer des fichiers vocaux. Ce micro a un bel aspect et semble de bonne facture. Concernant la qualité audio, sur ce point, je suis très déçu. Je ne sais pas si je suis le seul, mais le rendu est très grave, sec et pas rond du tout. En comparaison avec un micro Shure BG1 ou un AKG Solidtube, le rendu du Bird est nasillard, très très grave et pas flatteur du tout. Afin d'obtenir un rendu vaguement exploitable (je ne reconnais toujours complètement ma voix) il faut passer par une équalisation pointue avec des filtres paramétriques sur plusieurs plages de fréquences plus ou moins large, coupe bas, etc... et y appliquer une réverbe. Ai-je une problème avec l'article reçu?</t>
  </si>
  <si>
    <t>Arnaque absolue J'ai déjà signalé que cet article n'est pas utilisable car le bocal n'est pas étanche et il y à une fuite de liquide à l'usage. J'ai envoyé un message au vendeur qui ne m'a pas répondu à ce jour. Pour ce qui me concerne, cet article ne mérite même pas une étoile, je l'ai foutu à la poubelle et le vendeur n'est tout simplement pas sérieux. A EVITER.</t>
  </si>
  <si>
    <t>Déçu, très déçu Offert il y moins de 3 mois à une personne méticuleuse et la déco "bois" se décolle toute seule</t>
  </si>
  <si>
    <t>ANTI EAU produit adapté pour commode placard et armoire néanmoins dans armoire sur les cintres il n est pas pratique d'accrocher le sac sur le cintre</t>
  </si>
  <si>
    <t>Pochettes brillantes mais pas très solides Le plus: elles sont bien transparentes et lisses: pas de grain Le moins: le plastique est fin et elles ne sont pas très solides à l'usage et se cornent</t>
  </si>
  <si>
    <t>Un peut long Un peut lo</t>
  </si>
  <si>
    <t>produit conforme! Le produit est de meilleure qualité que ce que j'attendais. Les chaussures taillent petit mais pour une utilisation en danse, c'est parfait. Livraison respectée, produit satisfaisant.</t>
  </si>
  <si>
    <t>Bon rapport qualité prix Bon produit pour le prix, assez élégant.</t>
  </si>
  <si>
    <t>Paire de chaussures légères et confortables Pour tous les jours j'ai choisi cette paire de Vans en 47. Taille parfaite, je suis très à l'aise à l'intérieur, c'est vraiment très confortable. Je mets que 4 étoiles car le seul petit défaut pour moi c'est que les chaussures n'ont aucune ouvertures et les pieds ne respirent pas du tout</t>
  </si>
  <si>
    <t>Bon casque Un bon casque, sobre et pas trop gros sur la tête. Le casque est fait avec de très bons matériaux solides et résistant il est très agréable il tient bien Au niveau du son il y a vraiment la présence de la réduction de bruit qui marche très bien qui nous met dans une bulle musicale, le son est très bon le casque est très confortable, on peut le garder sur la tête pendant de longues heures sans problème</t>
  </si>
  <si>
    <t>belles boucles d'oreilles belles boucles d'oreilles, reçues avant la date prévue. Elles ont beaucoup plu autour de moi</t>
  </si>
  <si>
    <t>rapport qualité prix respecté J'ai acheté ce produit pour enregistrer des vidéos avec un bon son sur ma caméra et mon smartphone et j'en suis très satisfait ! Ce micro est excellent, il est de bonne qualité, il est fournie avec plusieurs accessoires dont une pochette de transport, il est utilisable sur smartphone et sur caméra grâce aux différents adaptateur fournies. Le son du micro est excellent, il est même utilisable pour des vidéos YouTube occasionnel, je vous recommande vivement ce produit pour ce qui cherche un micro de qualité pas trop cher !</t>
  </si>
  <si>
    <t>Je recommande Fan de ce type de chaussures, Vans est une belle marque. 45€ contre 60€ prix en boutique. Cest un très bon deal. Pas de surprise dans les délais ni la qualité.</t>
  </si>
  <si>
    <t>Chaud super Bon article satisfaite de mon achat Je recommande</t>
  </si>
  <si>
    <t>Super Super qualité du son</t>
  </si>
  <si>
    <t>Jadore ! Confortables, vraiment belles, juste se méfier au niveau de la taille, elles peuvent tailler un peu plus petit. 😊</t>
  </si>
  <si>
    <t>bien Impossible de trouver ces tétines près de chez nous. Nous avons commandé sur amazon pour notre croqueuse de tétines et avons été satisfaits car ce sont bien les tétines avent que nous cherchions.</t>
  </si>
  <si>
    <t>Qualité et prix Super</t>
  </si>
  <si>
    <t>top et pratique j'ai acheté ce biberon pour que ma fille commence à boire de l'eau (elle n'aimait pas trop ça) notamment le midi avec la diversification. Elle a trouvé ça amusant de tenir le biberon et boit seule maintement. Pratique car l'anse peut être utilisé sur d'autres biberon mam</t>
  </si>
  <si>
    <t>Bien, c'est du crocodile Ce sweat-shirt Lacoste taille bien comme les polos taille à prendre la taille identique. C'est du crocodile classique et indémodable.</t>
  </si>
  <si>
    <t>Casque Tres fun</t>
  </si>
  <si>
    <t>tres bien Super montre qui fonctionne très bien ainsi que la calculatrice qui peut être pratique et surtout la fonction lumière quand on active le poignée est très pratique</t>
  </si>
  <si>
    <t>Très bien Très bien tailler, matière top. J’adore le porter avec un jean très sympa.</t>
  </si>
  <si>
    <t>Envoi soigné et rapide. Objet conforme à la photo. Tres belle sacoche pour homme, très classe. L'envoie est rapide et très soigné. La sangle a l'air bien solide, ainsi que ses attaches (principal soucis de mes sacoches précédentes)</t>
  </si>
  <si>
    <t>Fuites biberons Marque recommandée par mon gynéco quand on allaite, mais j'ai eu des fuites pendant la première utilisation, je vais demander un remboursement.</t>
  </si>
  <si>
    <t>Sac de poitrine mauvaise qualité J’ai Acheter cette article pour partir en vacances pour ranger mon passeport et mes papiers . deux fermetures éclair ne fonctionne plus!! J’étais obligé d’achêtre un autre .degouté. Je déconseille ce sac.</t>
  </si>
  <si>
    <t>affreu le produit et arriver sens bouchon , c'est du n'importe quoi  !!!!!!!!!</t>
  </si>
  <si>
    <t>. Pas assez résistant pour travailler dans le batiment</t>
  </si>
  <si>
    <t>casio très belle montre conforme à la description. L'heure se règle tout seul. De nombreux fonctions utiles mais pour bien comprendre ne pas oublier de lire la notice fournie</t>
  </si>
  <si>
    <t>bon modele correspond a la photo tres agreable a porter</t>
  </si>
  <si>
    <t>CROCS EN FOLIE. Adapté comme prévu oui mais un coup de chance. Le modèle reçu est un 8 à 10 (donné pour  41/42), je possède un modèle ancien (vrai CROCS) dans la pointure 8 à 10 et j'ai quant même un écart de de 3 centimètre de longueur  en moins sur celle livrée dernièrement ? Bonne journée / DB.xxxxxxxxxxxxxxxxxxxxxxxxxxxxxxxxxxxxxxxxxxxxxxxxxxxxxxxxxxxxxxxxxxxxxxxxxxxxxxxxxxxxxxxxxxxxxxxxxxxxxxxxxxxxxxxxx</t>
  </si>
  <si>
    <t>Bien mais... Ce produit est de bonne qualité. La fermeture est très bien addapter pour les bébés! Mais attention il n'est pas très grand!</t>
  </si>
  <si>
    <t>Sweat-shirt champion Très beau sweat-shirt. Envoi rapide. Belle qualité.</t>
  </si>
  <si>
    <t>la taille en cm super, pratique avec toute ses options (sac à dos, bandoulière, et à la main), et toute ses poche sont vraiment pratique lorsque l on a des matières différente. le 15 in est vraiment très grand. Je 14 in suffi.</t>
  </si>
  <si>
    <t>Super diffuseur (bcp de style and fait son job !!!!) J adooooore. Je vais en acheter un second. Style super sympa. Le diffuseur marche super bien. Je suis ravie.</t>
  </si>
  <si>
    <t>Super! C'est exactement ce que je recherchais, plein de petite gommettes! Mon fils adore, les couleurs sont belles, vive et brillante! En effet si vous recherchez des grosses gommettes passez votre chemin une feuille fait la taille d'une main Arrivé bien emballé et plus tot qu'annoncé, je recommande!</t>
  </si>
  <si>
    <t>La confiance Très satisfait aussi je emai</t>
  </si>
  <si>
    <t>Joli design et idéal pour les ados Ma fille est ravie de cet achat. La couleur rose choisie est vraiment classe. Le son est très bon. Facile à ranger. Livraison rapide.</t>
  </si>
  <si>
    <t>pour ouvrir ce bracelet pour ouvrir le bracelet,il suffit de glisser votre ongle dans la fente de l'ouverture du bracelet,je vous dit ça car j'ai galéré à l'ouvrir!</t>
  </si>
  <si>
    <t>Produit conforme à la description Produit conforme à la description,  bien emballé et livraison rapide.  Lot de 2 pour moins de 5 euros.  Rapport qualité prix intéressant.  De plus ces stylos durent dans le temps  . Je recommande vivement.</t>
  </si>
  <si>
    <t>Magnifique Tres belle montre de qualité ! Discrète et classe c’est un véritable bijou</t>
  </si>
  <si>
    <t>Très bien L intéresse est plus que ravi. Fonctionnelle confortable et vraiment jolie pour une montre en plastique. En plus le prix est top. A voir dans la durée</t>
  </si>
  <si>
    <t>Jolies et légères Belle casquette .jai prix 2 modèles pour mes 2 fils .ils en sont contents.</t>
  </si>
  <si>
    <t>Adidas Super basket Un classique</t>
  </si>
  <si>
    <t>Ok Correspondant à la demande</t>
  </si>
  <si>
    <t>Rien a dire conviens parfaitement à mes attentes J’ai acheter c’est écouteurs pour la salle de sport car je n’aime pas courir sur un tapis ou même en extérieur avec un fils qui se balade, A l’ouverture j’ai etait surpris des accessoires fournis (boîte de transport passe partout, 3 tailles d embout, une paire d’embout a mémoire de forme, et une petite pince pour serrer le câble des écouteurs. J’ai reçu les écouteurs charger a 100% très bon point, connexion très simple suffit de l’allumer est d’activer son Bluetooth est de cliquer sur les écouteurs. Parlons maintenant du son qui est pour moi très très bon ! J’utilisais des écouteurs Apple filaire sur un iPhone 7 le son est vraiment identique voir un peut mieux une bonne présence des basses, est avec un peut de réglage on peut vraiment avoir quelques chose de très bien. Les écouteurs ne font bas de gamme, et il tiennes vraiment bien quand on bouge. Je recommande grandement se produit pour les personnes qui ne veulent pas dépenser énormément d’argent dans des écouteurs pour le sport, qui peuvent aussi bien être utilisé tout les jours.</t>
  </si>
  <si>
    <t>Sans avis Obligé de le renvoyer ne fonctionne pas</t>
  </si>
  <si>
    <t>Puma trop grandes Bonjour malheureusement elles sont beaucoup trop grande j'ai déjà une paire de Puma en 37 qui me va parfaitement et celles-ci sont trop grandes</t>
  </si>
  <si>
    <t>Bonne qualité,facile à installer,mais la version XL n'est pas vraiment XL ! Je suis un habitué des imprimantes HP depuis des années,après ma bonne vielle HP- Deskjet 4280,qui marche toujours, j'ai choisi une nouvelle(HP5740) soi disant plus économe en encre ! En fait pas vraiment. Revenons à la cartouche: l'ayant utilisé souvent pour les mêmes impressions j'ai constaté que le format XL n'imprime que 450 pages et non pas les "600" stipulé; d'ailleurs dans chaque cartouche il restera 8% non exploité. Pour la cartouche standard n'en parlons même pas ! Des 200 pages promises, il vous en imprimera 140 ! Et ça je précise,en 100% textes ! Pas d'images noir ou gris gourmand en encre ! Heureusement que sur Amazon c'est moins cher, car chez les magasins Toner etc c'est du racket ! 38 Euros, idem chez Carrefour ! On se moque du monde !N'achetez plus que sur AMAZON !!! Mais de manière générale ce n'est toujours pas la meilleure cartouche.Donc 3 étoiles, sorry.</t>
  </si>
  <si>
    <t>DECUE... - Le voyant lumineux OF reste allumé constamment, donc je la débranche car cette veille me gène... un point lumineux aurait était suffisant comme la majorité des veilles... - Attention ELLE N'EST PAS PROGRAMMABLE POUR S'ARRETER à la température demandée ! Comme l'indique le titre de l'annonce on peut juste sélectionner la température souhaitée ! Cela permet juste de voir défiler les degrés de température... il faut donc rester près de la bouilloire pour surveiller les degrés afin de l'arrêter à ceux souhaités... Donc pas pratique ! - Même en retirant l'excédant d'eau après utilisation, une pellicule blanche se forme sur le fond. Je l'enlève régulièrement, cela part facilement.</t>
  </si>
  <si>
    <t>chaussures super bonjour commandé le 13 juin reçu le 15 juin vraiment rapide merci chaussures conforment en taille et en coloris noir c'est parfait</t>
  </si>
  <si>
    <t>je l'adore cette montre très bon rapport qualité / prix et précision seuls défauts ce sont la peinture qui finis par s'en aller et le verre en polycarbonate qui n'est pas anti-rayure mais pour le prix c'est tout à fait normal pour une Casio et je ne suis pas non plus quelqu'un qui fait très attention.</t>
  </si>
  <si>
    <t>Passable pour le prix Bon rapport qualité prix.. pas cher pour un son moyen</t>
  </si>
  <si>
    <t>Parfait Jolie fine classe</t>
  </si>
  <si>
    <t>Je recommande Produit très bien emballé dans un carton avec une notice en français puis dans sa boîte fermée hermétiquement avec de l’alu. Facile d’application les masques sont très souples et épousent la forme de l’oeil. Ils sont imbibés de produit et on laisse poser 15-20 minutes. Sensation de frais agréable.</t>
  </si>
  <si>
    <t>Très bien. Très bien, correspond tout a fait aux photos, la taille également.</t>
  </si>
  <si>
    <t>Salomon speed cross 4 Cela fait quelques années que je suis utilisateur des Salomon speed cross et sur tous les points, je n'ai jamais eu de déception. Qualité, durée de vie, confort tous ce que l'on veut. Très bonne qualité et ne change pas de marque et de modèle pour le moment je suis très satisfait comme à chaque achat de chaussures Salomon</t>
  </si>
  <si>
    <t>très bon son stéréo Ils ont un très bon son stéréo, presque pas de poids et confortable à porter. La batterie a suffisamment d’autonomie et apporte différents accessoires à adapter!</t>
  </si>
  <si>
    <t>Huile essentielle de Menthe Poivrée BIO Très bon produit sent bon très agréable. dur longtemps si on l'utilise avec un diffuseur. A recommander</t>
  </si>
  <si>
    <t>Sac style urbain réussi Acheté pour aller à la salle de sport, je suis content de mon choix. Robuste et super bien fini j'aime bien le style, la matière et la couleur grise costard très urbains. Assez volumineux pour serviette, short, tshirts, gourde, polaire et 1 paire de tennis. L'ouverture du rangement chaussures aurait été mieux plus large mais on ne peut pas tout avoir.</t>
  </si>
  <si>
    <t>Écouteur sans fils Écouteurs de bonne qualité Légers pratique et avec un  son plutôt bon Le boîtier de charge et de protection facile à utiliser parfait pour les sorties Je recommande ce produit</t>
  </si>
  <si>
    <t>Chic et confortable Livrés plus tôt que prévu.</t>
  </si>
  <si>
    <t>Conforme a l'image et a la description Je chausse du 42 et la taille est parfaite Je recommande cette article pour tous les fan de vans et du style a damier</t>
  </si>
  <si>
    <t>Satisfaite Super pour l'apprentissage</t>
  </si>
  <si>
    <t>blopens acheter pour ma fille elle est heureuse des couleurs et des pochoirs a recommander pour les artistes en herbe qui aiment dessiner</t>
  </si>
  <si>
    <t>Trop beau collier, contente Magnifique collier en swarovski avec une chaîne qui à l'air de qualité. Bonne taille ni trop gros ni trop petit. Livré dans une belle boite, ideal pour offrir, fait vraiment son effet. Le collier est conforme à la photo concernant la couleur. Sans plomb, sans nickel donc pas de soucis pour les allergies.</t>
  </si>
  <si>
    <t>Tennis Bonne chaussure de TBS trés confortable et robuste</t>
  </si>
  <si>
    <t>La première G-Shock imitée et surpassée Je voulais la première G-Shock pour la solidité et le style (écran carré, montre noir et liseret rouge, fond en briques) Finalement, celle-ci est parfaite, un bel hommage avec des fonctionnalités en plus : énergie solaire, mise à l'heure automatique (qui peut être désactivée) et éclairage automatique désactivable aussi (tout l'écran s'illumine d'une couleur vert-bleu quand on regarde l'heure dans l'obscurité) Les G-Shock n'ont plus à faire leurs preuves, elle est confortable et solide, parfaite pour faire du sport, bricoler, etc.. Je précise qu'il s'agit bien du modèle G-Shock GW-M5610-1ER et non du modèle G-Shock GW-M5600-1ER comme affiché parfois sur le site.</t>
  </si>
  <si>
    <t>Excellente bouilloire Excellente bouilloire. Fonctionnement au top. Esthétique parfaite. Indicateur de remplissage.  En PVC, donc on ne se brule pas au contact.</t>
  </si>
  <si>
    <t>Fruit of the Loom élastiques Pantalon de jogging... Très déçu ce n'est pas du tout un jogging mais un pyjama impossible de sortir dans la rue avec ça ! la  qualité (on dirait du papier crêpé) et la  couleur sont médiocres il taille beaucoup trop grand dans la longueur de jambes un vrai sac à patates.......</t>
  </si>
  <si>
    <t>Nul S'enroule tout le temps pas top</t>
  </si>
  <si>
    <t>tromperie sur la marchandise je n'ai pas aimé la qualité , cassé plusieurs fois j'ai fini par le mettre a la poubelle trop déçu , je pensais que sur amazon il y avait un controle</t>
  </si>
  <si>
    <t>cher ! Bon principe (encre effaçable par frottement) mais cher. Les cartouches se vendent séparément et coutent cher par rapport à leur durée, et les stylos ne sont pas très résistants.</t>
  </si>
  <si>
    <t>sympa Ras</t>
  </si>
  <si>
    <t>CHAUSSURES IMPERMEABLES Protègent bien de la pluie. Taille correctement. Confortable. Seul bémol: Font un pied large. Correct pour le prix.</t>
  </si>
  <si>
    <t>Je l'ai branché sur un ampli guitare pour l'utiliser pour les fêtes de fin d'année Fiche d'utilisation en anglais pas top Manque vraiment  d'infos pour les possibilités de branchements</t>
  </si>
  <si>
    <t>agenda cet agenda est simple mais fonctionnel : taille est bien et les "rubriques" proposées à l'intérieur sont adaptées à un agenda</t>
  </si>
  <si>
    <t>Pas de regret sur mes achats. Je ne suis pas déçu de mes achats. Les différents produits achetés sont de bonne facture que ce soit les chaussures, la veste ou les deux pendentifs. Donc pas de déception.</t>
  </si>
  <si>
    <t>Très confortable Après une longue journée de travail, j'ai souvent les pieds en compote et ces sandales sont très confortables et relaxantes.</t>
  </si>
  <si>
    <t>bracelet argent et swarovski Magnifique bracelet , belle présentation dans sa petite boîte ,je suis super contente de mon achat qui est en fait un cadeau pour ma fille , je sais d'avance qu'elle va adorer</t>
  </si>
  <si>
    <t>Confortables et renforcées Chaussures confortables de sécurité pourvues de renforcements au niveau des orteils</t>
  </si>
  <si>
    <t>J adore! Le diffuseur est vraiment très joli ,aussi bien de jour naturel ,que la nuit avec ses lumières changeantes . Il n est pas bruyant et dégage une brume très agréable,parfume bien la pièce,J en suis ravie. Et la fonction pour régler le temps de fonctionnement est super !</t>
  </si>
  <si>
    <t>Parfait Bonne résistance et très rendu autour du poignet !</t>
  </si>
  <si>
    <t>Belle et pratique Bouilloire reçue aujourd'hui, 1ère utilisation ce même jour. Ravie de mon achat. Esthétique et facile d'utilisation. A voir dans le temps.</t>
  </si>
  <si>
    <t>Très bien J'ai acheté ces feutres pour faire des mandala et des zentangle. Ils sont fins et ne coulent pas. Il est vrai que certaines couleurs diffèrent légèrement du capuchon. Je me suis créé un nuancier pour être sûre. Ils ne conviennent pas pour le coloriage car la pointe est trop fine mais comme ce n'est pas mon utilisation, ils sont parfaits pour moi. Je suis ravie de cet achat.</t>
  </si>
  <si>
    <t>Simple et fiable Emploi simple avec un bouchon à vis large pour pouvoir mettre l eau chaude.  Pas de problème de fuites. Et avec un habillage tout moelleux. Super la poche en plus offerte sur le site.</t>
  </si>
  <si>
    <t>👌👌👌 Rien à redire pour sont prix il est vraiment top.. -Son -Légèreté -Design -confort Tip top 👌👌👌👌👌</t>
  </si>
  <si>
    <t>Très bon produit Offert à notre fille pour son anniversaire avec le lecteur MP3 AGPTek® de couleur blanche, l'ensemble a fait le bonheur de sa destinataire, bonne qualité de son et surtout excellente stabilité sur la tête de la jeune danseuse!</t>
  </si>
  <si>
    <t>Un bon choix Pas très chère mais très efficace, pratique et facile à utiliser. Rien d'autre à dire</t>
  </si>
  <si>
    <t>Parfait Très bonne capacité, et garantie trentenaire (2 ans pour les pièces qui s'usent) sont un plus pour qui recherche un article intéressant.</t>
  </si>
  <si>
    <t>A ne pas racheter Bien rikiki trop fin d’écho vite</t>
  </si>
  <si>
    <t>Vraiment sympa Conforme à la description, très bonne qualité, fourni avec le gratteur. D'ailleurs la couche à gratter est bien épaisse ce qui permet de bien séparer les parties que l'on découvre. Emballage top, rien a dire.</t>
  </si>
  <si>
    <t>Top Très simple a installer, et deux installations possible (pincé ou pour bureau a trou) Installation rapide, pratique et solide</t>
  </si>
  <si>
    <t>vraiment cool je viens de le recevoir, aussitôt reçu aussitôt essayé, je fais 95 kg, la première fois que je me suis allongée dessus au début ça pique, c'est pas très agréable, mais passées 5 -7 minutes, une chaleur s'installe même si on sent toujours les picots c'est tout à fait supportable, par contre quand on se relève c'est assez  douloureux. Bon, pour ce qui est de l'effet dès la première utilisation 2x10 min avec 5 minutes de pause entre, il est quasi magique, moi qui ai en ce moment mal au dos -lombaire et épaules surtout- avec une hyperlordose, je me suis sentie hyper soulagée</t>
  </si>
  <si>
    <t>Très bon produit J'adore ce produit ! Il est efficace pour nettoyer, et laisse une délicate odeur de savon. Je recommande.</t>
  </si>
  <si>
    <t>Forme idéale mais s'use très vite Autant les deux brosses sont très pratiques de part leur forme et leurs fonctionnalités (manche rotatif pour la grande, forme adaptée aux tétines pour la petite), autant leur qualité laisse largement à désirer : - les poils des brosses sont complètement pliés après 3 semaines d'utilisation - Les manches se dévissent largement, il faut les revisser après chaque utilisation (voir pendant l'utilisation pour la petite brosse).  Donc effectivement ce n'est pas cher du tout, mais s'il faut les changer toutes les deux ou trois semaines, ce n'est pas un achat intéressant et je peux donc pas recommander ce produit.</t>
  </si>
  <si>
    <t>adidas Stan Smith elle taille tres grand . mon concubin fait deux pointures de plus que moi et elles sont trop grande pour lui aussi</t>
  </si>
  <si>
    <t>Échangé Produit renvoyé et échangé, pas de compteur natation</t>
  </si>
  <si>
    <t>reglette bien pour école</t>
  </si>
  <si>
    <t>Solide Assez rigide au départ. A force de les mettre elles vont s'assouplir . Ce sont des chaussures solides. Un peu grande, je peux mettre des semelles bien chaudes pour l'hiver.</t>
  </si>
  <si>
    <t>excellent produit Les Doc sont arrivées en parfait état, bien emballées, et sont à la bonne taille! J'ai mis 4 étoiles et non 5 car la livraison a été un peu plus lente que ce que je pensais (4jours, alors qu'amazon en annoncait 2)</t>
  </si>
  <si>
    <t>confortable tres confortable</t>
  </si>
  <si>
    <t>tres bon produit mais un peu plus e quantité cela serait le top muscle - maux de tète et autres</t>
  </si>
  <si>
    <t>Satisfaite Satisfaite de mon achat Neanmois au niveau du filtre c est mal étudié et l eau passe a cote lorsque l’on verse</t>
  </si>
  <si>
    <t>Casque de très bonne qualité Très beau casque, super pratique de très bonne qualité mon fils est ravi!! Qualité d écoute très bonne et coussinets bien épais pour protéger les oreilles!!! Je le recommande!!!</t>
  </si>
  <si>
    <t>Très satisfait Très joli montre exactement que celle ds le site reçu avant la datte prévu</t>
  </si>
  <si>
    <t>Bel aspect pour ces  colliers serpent, ils ont une longueur suffisante et sont très jolis Merci, la livraison était plus rapide que prévue. Le précédent collier serpent sur lequel un vendeur de minéraux m'avait mis une pierre, était plus court, je préfère cette longueur, mais surtout le mousqueton était plus piquant, et au bout d'une journée mon cou était légèrement irrité. J'ai attendu de recevoir ses colliers pour échanger et je suis très satisfaite par la qualité de ces derniers. Je recommande à ceux qui hésiteraient.</t>
  </si>
  <si>
    <t>Génial Très jolie, grande contenance et super pratique pour le rangement. Vous la posez sur une plaque éteinte et ça fait le bon déco et praticité. J'adore.</t>
  </si>
  <si>
    <t>la belle et le clochard rangement de pieces de monnaies anciennes</t>
  </si>
  <si>
    <t>Rien Bien</t>
  </si>
  <si>
    <t>Très jolies créoles Ces créoles sont très jolies...leur design est original...elles sont faciles à mettre et a enlever...pour le prix, on n'hésite pas à craquer...</t>
  </si>
  <si>
    <t>RAS Ravi de la marchandise et de la livraison</t>
  </si>
  <si>
    <t>Excellent rapport qualité / prix Batterie pratique avec sa poignée, sans entretien, livrée "plug &amp;amp; play" ! S'est adaptée parfaitement à mon tracteur tondeuse qui a (enfin) démarré du au quart de tour !</t>
  </si>
  <si>
    <t>Tres confortable Tres bon produit je le valide</t>
  </si>
  <si>
    <t>Que ce soit sans danger pour les fosses septiques. Entretien des canalisations.</t>
  </si>
  <si>
    <t>superbes et conformes étant donné la difficulté pour trouver ce modèle et cette couleur spécifiques - en commerce ce n'est pas imaginable - je suis totalement satisfait de l'achat! les connaisseurs comprendront</t>
  </si>
  <si>
    <t>Parfait La couleur est comme prévu ! Le tissu étant doublé il n’est pas transparent pendant les mouvements. Effet seconde peau ! Je compte bien en recommander un d’une autre couleur ! Je recommande !</t>
  </si>
  <si>
    <t>indispensable pour le micro rode si utilise avec un smartphone celui livré avec le micro ne fonctionne pas, celui ci est l'adaptateur qui permet au micro d être reconnu, et il fait bien son office, donc je le recommande car indispensable. le jack gris va sur le portable, le noir sur le micro, laissez un j'aime si mon commentaire à facilité votre achat et bonne journée !</t>
  </si>
  <si>
    <t>VISIBLE TRÈS GROSSE SUPER POUR L HEURES ELLE FAIT SON POIDS. ELLE ME BOTTE.</t>
  </si>
  <si>
    <t>large taille très large</t>
  </si>
  <si>
    <t>C'est de la camelote Aiguilles cassées après quelques jours</t>
  </si>
  <si>
    <t>Attention aux details Attention regardez bien la chaussure sur toutes ces coutures et sur les plus petits détails si vous ne voulez pas être déçu....</t>
  </si>
  <si>
    <t>très joli mais mauvaise qualité collier reçu très rapidement, bien emballé. Ma fille était ravie de pouvoir le partager avec sa meilleure amie mais quelle ne fut pas sa déception quand au bout de 3 jours le système de fermeture s'est bloqué ouvert et la chaîne est inutilisable. Dommage, petit prix et très joli mais pour trois jours d'utilisation ça fait franchement cher !</t>
  </si>
  <si>
    <t>Pour le prix, il est surprenant! Je possède aussi le WH-1000XM3 de chez Sony et le tao étant pour mon épouse, je l'ai tout de même essayé, la réduction de bruit est vraiment pas au top comparé a mon Sony, la qualité du son si elle reste acceptable est bien en dessous aussi, mais ils n'ont rien de comparable tant niveau prix que cible client, donc on peut lui pardonner, je m'attendais toutefois a pire avec ce casque, ma surprise fut plutôt bonne. Je le recommanderais aux personnes peu exigeantes, si vous êtes audiophile, passionné de musique, oubliez vous serez déçu! PS: les testes ont étés faits en câblé le Bluetooth comprimant le son, on ne peux pas se rendre compte avec cette technologie.</t>
  </si>
  <si>
    <t>Bon produits Bon produit. Odeur agréable et pas trop gras. Remplit bien son rôle. Quelques gouttes suffisent pour masser tous le dos.</t>
  </si>
  <si>
    <t>bon produit Bon produit correspondant tout à fait à ce que j'attendais. Bien entendu, la qualité est moindre par rapport à ce qui se faisait il y a quelques années. Je crains, un peu,  pour l'entretien de ces chaussures.</t>
  </si>
  <si>
    <t>Super Très satisfaite le produit est à l’an bonne taille et bien chaud cela a fait un heureu!!! Il est très confortable</t>
  </si>
  <si>
    <t>Très bien Très bien, bien fini, normal c'est du Eastpak !!! J'en avais déjà une pour moi perso, j'en voulais une deuxième exclusive pour mon travail, papier et documents à avoir tout le temps sur soi pendant ma journée de travail, c'est du bon, du beau, du costaud, juste ce qu'il faut !!!!</t>
  </si>
  <si>
    <t>sabot plastique  homme sabot plastique homme,taille normale pour une pointure 41,léger,agréable à porter,moins lourd que les  sabots crocs,bien aéré,lavage sous l'eau,j'en ai racheté une autre paire.</t>
  </si>
  <si>
    <t>TRES SATISFAITE Beau produit pas cher. Les couleur sont belles et il taille bien. Taille unique pour un 38-40 environ. Je compte en recommander un autre d'une autre couleur. Livraison dans les temps.</t>
  </si>
  <si>
    <t>Taille grand Après avoir lu certains commentaires, je me suis décidée à prendre une pointure de moins que la mienne, et c’est parfait comme ça. J’ai pris du 36 alors que je fais un petit 37, et les baskets me vont parfaitement, ajustées mais pas trop serrées, le pied à la place de bouger et respirer. Le look noir et blanc est discret, les lacets sont interchangeables car il y a 2 couleurs dans la boîte. Quant au confort, je n’ai pas encore essayé sur de longues durées, mais les baskets sont souples, super légères, et l’amorti est bon. De vrais chaussons à un prix très correct.</t>
  </si>
  <si>
    <t>Bon produit Un bon produit qui fait son job.  Utilisé en remplacement d'un câble d'alimentation pour mon PC (cause de longueur), rien à signaler.  Si ce commentaire vous à été utile n’oubliez pas de cliquer sur OUI juste en bas de cet avis ou sur « utile » si vous êtes sur Smartphone. Merci à tous et à bientôt !</t>
  </si>
  <si>
    <t>Calculatrice Reçu rapidement suite à la rentrée scolaire en seconde de mes enfants. Beaux produit.</t>
  </si>
  <si>
    <t>c'est plus utiles qu'on ne le pense c'est très utile si vous avez une carte-mère micro-ATX ne comportant que une prise 4 pins ainsi que plusieurs ventilateurs</t>
  </si>
  <si>
    <t>Gant Idée originale! Fini les torchons qui prennent de la place , au vu du prix un pour chaque couleur</t>
  </si>
  <si>
    <t>Nikel Taille petit bien fait de prendre 43.1.3 .. Mais super qualite..</t>
  </si>
  <si>
    <t>Casque réduction de bruit de tres bonne qualité Super casque, vraiment content de mon achat j'en ai un autre sans réduction de bruit et la différence est nette, il joue tres bien son role et une fois sur la tete les bruits autour sont coupés. Le son est de bonne qualité, le casque est agreable a porter et n'est pas gênant. L'autonomie est plutot bonne et la recharge facile, il se connecte rapidement est tres facilement. Bouton sur le casque pratique. Tres bon produit je recommande</t>
  </si>
  <si>
    <t>Beau bracelet Il rend très bien sur la Gear S3 Frontier et n a pas bougé depuis mon achat</t>
  </si>
  <si>
    <t>tres bien Un son vraiment excellent, tiennent très bien dans les oreilles avec une bonne isolation du bruit Ne fais pas mal aux oreilles après une longue utilisation</t>
  </si>
  <si>
    <t>montre de poche belle et elle l est super</t>
  </si>
  <si>
    <t>Toujours en utilisation Un pack très sympatique; très utilisé pour certaines huiles comme : Eucalyptus, lavande, menthe, citron côté médicinale. les autres pour parfumer le linge ou la maison dans un diffuseur d'huile essentielles.</t>
  </si>
  <si>
    <t>Basket non recu Assez petit</t>
  </si>
  <si>
    <t>Troué Troué</t>
  </si>
  <si>
    <t>Je m'attendais mieux... La vibration .. comment dire on s'en quasiment rien. Les bulles c'est pareil. Les rouleaux au fond, je croyais que sa tourner tout seul, mais non, c'est toi qui doit les faire bouger, donc pas terrible; en plus les piques je trouve qu'il fond mal .. sinon la température et correct à part si t'es pieds son trop proche du marquage niveau de l'eau sa chauff trop, limite brûle. Avec les bulles sa éclabousse un peux et si tu met moin d'eau je trouve qu'il n'y en a pas assez. Le trucs au mileux ou tu pose ton pied pour soi poncer, massage ou brose, ca ne fonctionne pas bien du tout jai essayer, tu gallere grave, tappuie trop sa tourne pas tappuie moin satourne et opp sa sarrete --' ok. Mais enfin bon sa doit être un mal pour un bien, car après une séance de 60min, je suis toute endormie des pieds, ils sont tout décontracter et moi je suis aussi à moitier endormie. Donc bien mais à moitier déçu je m'attendais à mieux surtout vue le prix enorme ! J'aurais su j'aurais pris moins chère pour la même chose je pense.</t>
  </si>
  <si>
    <t>correct pointure correcte mais pas très large chaussure pas très souple et peu confortable durant les premières heures bref ce n'est pas une MORZINE de chez P.......T</t>
  </si>
  <si>
    <t>Sac Aolvo Un peu déçu par la taille, plus petit que je l’avais pensé</t>
  </si>
  <si>
    <t>Sécurité et esthétique Livraison rapide. J’ai commencé un 39 pour une pointure 38, parfait pour mes pieds. Très légères et jolies, on dirait des baskets. Très agréable à les porter. Protège bien les pieds avec la coque. Belles chaussures mêmes si  les finitions extérieure me paraissent moyens , à voir dans le temps mais je suis satisfaite et le recommande</t>
  </si>
  <si>
    <t>vu le prix c'est très bien Bon prduit dans l'ensemble je m'en sert de chrono près du PC</t>
  </si>
  <si>
    <t>Fait le boulot Utilisation dans mobile home, pas mal pour le prix.</t>
  </si>
  <si>
    <t>tres  bien et convient à l'usage produit correct et convient à son usage</t>
  </si>
  <si>
    <t>Confortables Produit conforme à mes attentes, taille très bien, confortables, bonnes finitions. Impeccable !</t>
  </si>
  <si>
    <t>Parfait Excellent👍</t>
  </si>
  <si>
    <t>bon produit je l'ai offert à une amie qui en est très satisfaite.</t>
  </si>
  <si>
    <t>Génial L'objet reçu est conforme à la description de l'article acheté. Je m'en suis servie et je n'ai eu aucun problème avec.</t>
  </si>
  <si>
    <t>Parfait Elegant</t>
  </si>
  <si>
    <t>chaussette sochs livré tres rapidement apparament bonne qualitée parfait</t>
  </si>
  <si>
    <t>Elegant et pratique Sacoche acheter il y a deja 2 ans et toujour en parfaite etat .cette derniere me sert ponctuelement attention toute foi au format ce n est pas une sacoche pc...meme si lon peut aisement y transporter tablette ou micro pc</t>
  </si>
  <si>
    <t>Excellent rapport qualité prix Jogging</t>
  </si>
  <si>
    <t>Dickies Medway, Chaussures de sécurité Adulte.. J’ai mis 5 étoiles car je peu enfin travaillé en toute sécurité et surtout ne plus avoir mal au pieds, après avoir exécuté mon travail, elles sont super confortables, et cerise sur le gâteau on ajoute une paire de lacets de rechange, et j’ai beaucoup apprécié.  J’ai acheté cette paire de chaussures en remplacement d’une paire de Jallatte qui me faisaient très mal aux pieds .</t>
  </si>
  <si>
    <t>taille bien du 37 C'est ma cinquième paire identique...que dire de plus</t>
  </si>
  <si>
    <t>Tres bien Des chaussons en feutre qui tiennent tres chaud grace a la laine a l'intérieur. Amis frileux, ce produit est fait pour vous. Mon père ayant des soucis de pied froid, il en est heureux</t>
  </si>
  <si>
    <t>Collier Très beau collier! Cela fait plus de 6 mois que j'ai ce bijou et toujours en bon état, j'en suis ravie ☺</t>
  </si>
  <si>
    <t>Parfaites Ces baskets sont juste parfaites ! J’ai l’impression de marcher avec des chaussons ou meme pieds nus tellement les chaussures sont confortables, et je peux très bien les utiliser pour faire du sport.</t>
  </si>
  <si>
    <t>Basket Super basket de qualité, idéal pour tout les sports, s adapte parfaitement à votre pied</t>
  </si>
  <si>
    <t>Prix bas, qualité à l'avenant Certes le prix est intéressant, mais franchement le produit est de qualité très médiocre. Je ne conseille pas...</t>
  </si>
  <si>
    <t>Je ne recommande pas du tout - Ne tient pas bien du tout dans les oreilles - Aucune isolation du bruit - Le son est médiocre pour des écouteurs à ce prix là - Le signal Bluetooth est très faible et ne capte pas bien Bref, je ne recommande pas du tout ce produit. Je pensais avoir fait une bonne affaire en le voyant à 40€ au lieu de 120€ mais il ne vaut clairement pas plus de 20€. Le seul point positif que je lui ai trouvé est la qualité du micro que je trouve assez bonne.</t>
  </si>
  <si>
    <t>Ne fonctionne plus Pour chauffer rapidement l'eau, Est tombé en panne au bout de 6 semaines, il n'est utilisé que 2 fois par jour</t>
  </si>
  <si>
    <t>tecplast comment ça marche avec le Swiftpak standard polypropylène, avez vous des explication sur la manière de son servir merci du renseignement</t>
  </si>
  <si>
    <t>languette abime la languette de la basket se decouds  sur les cotes bien dommage</t>
  </si>
  <si>
    <t>Goodyear Gyshu1503, Chaussures de Sécurité. Très bonne chaussure de sécurité, confortable ,pratique et remplit leur fonction. Je n'ai plus à me déchausser lors des passages de portiques de sécurité, enfin!!! Seul hic,la semelle n'est pas vraiment faite pour résister aux grosses chaleurs comme celle du macadam chaud, mon job. Je recommande sans retenue</t>
  </si>
  <si>
    <t>Trop chaud si activité physique Pour brancher sur un tapis de course et regarder un film Tiens un peu chaud au bout d’un moment J’aurai dû opter pour un intra auriculaire même si isolé moins des bruits environnants (Musique du club de fitness nulle)</t>
  </si>
  <si>
    <t>super ! comme des pnatoufles marche moyenne, les chaussures sont confortables et adaptées. Je recommande</t>
  </si>
  <si>
    <t>Pratique Mon mari est ravi. Il a un sac avec plein de poches.... ce n'est plus moi qui trimballe ses affaires dans mon sac à main enfin! La couleur est pas top à mon goût. ... Mais ca lui convient à lui, c'est l'essentiel!</t>
  </si>
  <si>
    <t>génial super</t>
  </si>
  <si>
    <t>porteur d'horloge passe votre chemin tout est dans le titre , montre élégante discrète , mais qui attire l’œil par son rendu vintage.  cadran 3.5 cm*3.5 cm</t>
  </si>
  <si>
    <t>Très bon achat Fini les écouteurs à fil... Vraiment surpris par la qualité de ce produit au prix ou je l'ai acheté! Très facile d'utilisation, tient très bien à l'oreille avec un son de très bonnes qualités. 8ls sont vendus avec un petit câble USB pour les recharger.une boîte de rangement qui sert également de chargeur.</t>
  </si>
  <si>
    <t>bien je suis content pour faire mon jardin droit par contre c'est trop costaud sur le jardin sa me sèrre bien pour mes sac en tissu et sa ne bouge pas merci amazone</t>
  </si>
  <si>
    <t>Très bon produit J'en suis Très satisfait très confortable c'est exactement le modèle que je recherchais la couleur juste parfaite rien à redire</t>
  </si>
  <si>
    <t>montre Lacoste au top 👍 très belle montre simple et efficace</t>
  </si>
  <si>
    <t>T.O.P Je les utilise pour le skate et pour la vie de tout les jours elle son top , exactement comme la photo rien à dire.</t>
  </si>
  <si>
    <t>Ça colle Je me suis servi de ce produit pour confectionner une moustiquaire à l'extérieur sur une fenêtre PVC sur laquelle on ne peut percer Ça tient super bien je suis satisfais</t>
  </si>
  <si>
    <t>Bonne fabrication Super ces bottes rien à dire d'autre</t>
  </si>
  <si>
    <t>Produit parfait Je cherchais une brassière qui maintient bien pour une pratique de fitness. C'est chose faite. La taille est parfaite.</t>
  </si>
  <si>
    <t>Superbe J adore</t>
  </si>
  <si>
    <t>Excellent papier photo Très bon rapport qualité prix. Je trouve juste que les couleurs sont un peu sombres. Je l'utilise sur une HP Envy 4527. Avant j'utilisais un papier photo d'un marque lambda, mais mon imprimante avait du mal à imprimer correctement dessus (impression décalée). Ce papier photo HP fonctionne comme attendu.</t>
  </si>
  <si>
    <t>très bien Super produit très confortable de bonne qualité  vous pouvez acheter les yeux fermés</t>
  </si>
  <si>
    <t>tres bien tres bon produit, je racheterais si besoin. Envoie rapide et produit de qualité. Colle à merveille les photos et je peux les decoller sans abimer mes photos. Maniables</t>
  </si>
  <si>
    <t>Attention faux commentaires pour ce produit Il est clair que la plupart des commentaires concernant ce produit sont faux. Lisez-les : "je suis tombée amoureuse..." ils sont trop beaux pour être vrais et comportent tous des fautes de syntaxes impossibles à faire par un français natif.  Concernant le produit, il est bien conçu et solide mais tout d'abord il ne chauffe pas car il s'agit de simple lumières rouges (comme indiquée sur la boite) et donc la description du produit sur Amazon est fausse et les commentaires qui font état "d'infrarouge" mensongers. Ensuite le produit ressemble à un marteau piqueur et ne produit pas de véritable massage et l'effet bien que pas trop désagréable sur le moment cesse immédiatement. Conclusion, aucun soulagement. De plus n'espérez pas perdre de la cellulite avec sont effet est bien trop superficiel.  La seule chose pour lequel il offre un vrais service c'est pour poncer les pieds mais vu qu'il n'y a pas de possibilité d'avoir plus de pastilles de ponçage il ne servira pas longtemps. Je met deux étoiles pour la solidité.  Appareil renvoyé grâce à Amazon. Merci.</t>
  </si>
  <si>
    <t>securite alimentaire insuffisante Qualité insuffisante au niveau de la sécurité alimentaire : plastique à l’intérieur de la bouilloire (filtre en plastique !) en contact avec le liquide à chauffer ainsi qu’un cordon intérieur ...</t>
  </si>
  <si>
    <t>cartouche hp authentique  certe mais pourtant refusé par l imprimante bonjour il met impossible d utiliser les cartouches d encre recu ce matin l imprimante la reconnait pas et me demande d'en inseré une autre alors que l ancienne même vide et accepté merci de bien vouloir procéder au remboursement de ses " cartouches en sachant que l d 'entre elle a forcement été ouverte caemr canneviere</t>
  </si>
  <si>
    <t>faux contact Cet aspirateur à main est réservé  un usage sur canapés, matelas, tapis et autres ameublements. Il permet d'aspirer la poussière et non les miettes, cheveux et autres éléments plutôt gros. En effet, il assainit les tissus et matelas grâce à un filtre et une aspiration élevée. Bien que bruyant, il est agréable à passer: ses trois couleurs permettent de définir le nombre de passages sur l'objet. Lorsqu'on a fini d'aspirer, on vide le filtre et on obtient un amas poussiéreux, très fin.  J'ai utilisé cet aspirateur sur mon canapé en velours et je dois avouer que j'ai pu voir la différence avec une aspiration  traditionnelle. Le canapé est franchement moins poussiéreux et sa couleur est plus éclatante! Idem pour les tapis, on a vraiment l'impression d'un nettoyage en profondeur.  Il y a tout de même un problème avec le modèle que j'ai reçu: la prise ne fonctionne pas bien, elle a tendance à ne pas tenir en place et cela crée des faux contacts ou bien elle se déconnecte. C'est très désagréable et je ne crois pas pouvoir y remédier...</t>
  </si>
  <si>
    <t>Robe femme Très bel article et rapport qualité prix RAS</t>
  </si>
  <si>
    <t>Belle bague Super bague je l es pris pour ma fille de 14 ans et elle était super contente Indentique a la photo Recu dans une belle boîte</t>
  </si>
  <si>
    <t>Bonne qualité Satisfait de mon achat</t>
  </si>
  <si>
    <t>Bon produit Excellente qualité de son mais mon problème c’est la connexion entre la télé et la freebox Ce qui est étonnant que il capte le son de Tv sans la Freebox Il fallait faire pas mal de manœuvres à chaque fois pour le connecter Sinon très satisfait de produit</t>
  </si>
  <si>
    <t>Totale satisfaction Utilisation personnelle.</t>
  </si>
  <si>
    <t>Golf V Ed30 Parfait pour pouvoir récupérer l'antenne GPS d'origine lors de la pose d'un autoradio androïd</t>
  </si>
  <si>
    <t>conforme à la description Le feutre fonctionne bien. IL faut actionner plusieurs fois la mine pour que le produit sorte. Un peu embêtant parfois car en cours d'écriture il faut enfoncer la mine pour avoir plus de produit. Dans l'ensemble bon produit, jolies couleurs. A voir dans le temps s'ils tiennent ou pas.</t>
  </si>
  <si>
    <t>bracelet magnifiques pierres</t>
  </si>
  <si>
    <t>l'ensemble satisfait</t>
  </si>
  <si>
    <t>Base Trépied très pratique pour pouvoir ajuster la hauteur et l'orientation du micro. De plus le pack est très bien fourni en équipements ce qui permet de commencer  avec ce micro peu onéreux sur de bonnes bases !</t>
  </si>
  <si>
    <t>super bon achat livraison rapide pas cher et correct je le recommande</t>
  </si>
  <si>
    <t>Parfait Les écouteurs sont confortables, facile a installer, bon son. Le support de charge est super pratique. Je vous recommande ce produit</t>
  </si>
  <si>
    <t>Pratique Pratique et solide,parfait pour l'assaut ou les voyages, coloris doux</t>
  </si>
  <si>
    <t>une belle qualité pour cette paire de boucles d'oreilles les matériaux sont de très belle qualité et il y a un très bon rendu</t>
  </si>
  <si>
    <t>Mes préférés Des biberons MAM que j'utilise depuis mon 1er enfant ! Jamais déçu ! Forme de tétine parfaite. Dévissage du fond pour un nettoyage nickel.</t>
  </si>
  <si>
    <t>Top Chaussures très confortables.</t>
  </si>
  <si>
    <t>Montre classe Montre stylée très jolie</t>
  </si>
  <si>
    <t>Parfait correspond pleinement à la description produit chic et sobre de belle qualité, je le recommande, pour une présentation générale élagante</t>
  </si>
  <si>
    <t>bouilloire très désign ce cadeau a beaucoup plu et sert tous les jours</t>
  </si>
  <si>
    <t>wingsLove soutien gorge de fitness déçu vous notez que ce produit est pour une forte intensité, je suis désolée, je fais du mini trampoline en fitness et il ne maintient vraiment pas assez, peut-être pour des petites poitrines mais pour les autres  je déconseille</t>
  </si>
  <si>
    <t>Le produit ne fonctionne pas J'ai utilisé ce produit dans mon appartement pour tuer les cafards et les punaises de lit. Ça n'a pas du tout fonctionné pourtant j'en ai utilisé 4 en même temps. Je suis très déçu.</t>
  </si>
  <si>
    <t>Prix correct et finition correct mais ... Bonne gueule Lumière bleue sympa Couleur blanche pratique pour ne pas voir le calcaire qui s'incruste avec le temps  mais le véritable problème est la durée de vie de la bête !  acheté fin octobre 2012 elle commence a tomber en morceaux !  le couvercle c'est fendu en deux ce soir, il ferme toujours mais pour combien de temps ?  Bon au moins il ne coute pas très cher a remplacer mais une fois de plus on peut constater que plus rien ne dure de nos jours (et ce n'est pas les modèle a 70€ qui diront le contraire...)  je rachèterais ce modèle a terme malgré ces défauts !</t>
  </si>
  <si>
    <t>moyen bon maintien ...commande avec mesures  ...mais photos trompeuse  car pour une forte poitrine  c'est  un peu juste .. le dessous  de ce caraco sport  est déja  déformé  c'est domage  ...il est confortable  .... mais avec mesures  cela ne correspond pas ....je ne recommanderais  pas  car  62 euros  c'est  trop  cher</t>
  </si>
  <si>
    <t>Top Un collier très mignon qui se porte bien pour toutes les occasions. Je ne sais pas combien de temps il durera,  mais pour le moment c'est top!</t>
  </si>
  <si>
    <t>Je ne peux plus m'en passer Produit bien fabriqué. Massage efficace et varié. Pas trop bruyant. Un peu limite pour le monter sur mon siège de bureau. J'aurais du acheter celui qui masse le cou.</t>
  </si>
  <si>
    <t>The Butt has it's place on your desk J'adore! Il ressemble parfaitement à la photo et a déjà eu beaucoup de succès auprès de mes collègues :) Juste la partie porte crayon qui est un peu trop petite à mon goût. Pour le reste c'est top!</t>
  </si>
  <si>
    <t>Super!!!!!! Super!!!!!</t>
  </si>
  <si>
    <t>Beau mais ... La taille et parfaite mais le pull et un peu top épais</t>
  </si>
  <si>
    <t>Parfait Fini la galère des emballages cadeaux. J'ai enfin trouvé un rouleau de longueur cohérente. Tous mes cadeaux de Noël sont emballés de la même façon (après tout le Père Noël ne s'amuse pas à changer de papiers cadeaux à chaque paquet). Plus besoin de jongler avec les petits bouts ou les gros bout de papier. J'en ai assez pour un bout de temps. Par contre la taille de la boite d'envoi par rapport au rouleau était "légèrement" disproportionnée.</t>
  </si>
  <si>
    <t>Parire Tout simplement magnifique !!!</t>
  </si>
  <si>
    <t>Parfait Très bon biberon, tétine 2 tres bien pour le lait épais. La mise a l'air fonctionne tres bien.</t>
  </si>
  <si>
    <t>good a nice classic sweat! which tough to find nowdays in this world and above all classics are the best !</t>
  </si>
  <si>
    <t>Aspire très bien Parfait pour les tapis par contre le filtre se salit très très rapidement il faut en avoir 2 pour pouvoir jongler</t>
  </si>
  <si>
    <t>Parfait Agréablement surprise par cette super jolie boite. A peine ce coffret ouvert, une merveilleuse odeur s y dégage. J ai hâte de pouvoir tous les essayer.</t>
  </si>
  <si>
    <t>tétine acceptée La seule tétine acceptée par ma fille allaitée qui refusait le biberon. Elle passe sans problème du sein au biberon désormais.</t>
  </si>
  <si>
    <t>Fait parfaitement ce pourquoi on l'achète Cette bonnette permet d'empêcher de capter une partie des nuisances sonores ambiantes, les soufflements et autre, elle est assez grande sans être encombrante.</t>
  </si>
  <si>
    <t>Simple et efficace Tissu gauffré très sympa</t>
  </si>
  <si>
    <t>Pratique Ces oreillettes sont arrivées rapidement et parfaitement protégées dans leur emballage. Elles peuvent fonctionner séparément ou en stéréo. il suffit de les ôter de leur boitier de recharge simultanément et valider seulement L pour qu'elles soient en stéréo. si on les ôte une après l'autre, espacées de 5 secondes ou plus, elles seront indépendantes. Le design  est parfait. Agréable de ne pas avoir de fil et agréable de basculer sur les communications téléphoniques facilement.</t>
  </si>
  <si>
    <t>livrasion rapide bon produit...je utilise chaque jour pour renforce les muscles de mon hanche...je recomande</t>
  </si>
  <si>
    <t>Cafetière Russell Hobbs Sitôt commandée, sitôt reçue, cette cafetière d'un design rétro et tendance se marie bien avec tous les styles de cuisine. Tout d'abord, je remercie Amazon concernant la livraison ultra rapide. Pour la première utilisation, il est important , comme l'indique la notice, de faire tourner la cafetière en remplissant l'eau au maximum ,sans café, afin de nettoyer le système, après cela, elle sera fonctionnelle. Silencieuse, elle gère parfaitement l'arôme dont vous apprécierez son usage pendant de longues années mais n'oubliez pas de la détartrer , une fois par mois afin de conserver son efficacité.</t>
  </si>
  <si>
    <t>J'adore Chaussure super confortable, que je recommande les yeux fermés ! Taille normalement.</t>
  </si>
  <si>
    <t>Casque Bluetooth Très satisfait très bonne tenue pendant les randonnées son correct et bonne qualité par rapport au prix rien à ajouter</t>
  </si>
  <si>
    <t>Parfait Parfait pour les soirées entre amis et les soirées pyjama des enfants</t>
  </si>
  <si>
    <t>Taille ne correspond pas  a celle commandée Tres belle chaussure mais quel dommage que la taille ne corresponde pas a celle demandée. Manque de serieux a mon sens ...</t>
  </si>
  <si>
    <t>NUL c'est nul  même à la puissance 3 il y a très peu de chaleur j'ai essayé de retourné le produit. et on me dit que ce n'est pas possible.</t>
  </si>
  <si>
    <t>Non conforme Non conforme à la photo, dos nageur fixe (cousu), impossible à enfiler</t>
  </si>
  <si>
    <t>RAS Ben...tout va bien, c'est du PQ quoi  :-) et bien non, on me dit qu'il manque 12 mots à mon message pour poster mon commentaire, c'est fait !</t>
  </si>
  <si>
    <t>Thèïere sympa Théière en verre avec son filtre en inox super sympa à mettre sur une table pour le thé ou la tisane.  Malheureusement le joint ne résiste pas à l'emboitage du couvercle. Il finit pas se fendre. J'espère qu'il va tenir encore quelques années à raison d'une utilisation quotidienne mais j'en doute!</t>
  </si>
  <si>
    <t>Très bon son, RBA perfectible aigus De manière générale c'est un très bon casque. Il est bourré de fonctionnalités tactiles ce qui facilite grandement son utilisation et le son est très bon (meilleur que celui du QC35 de bose pour moi) le seul point négatif est la réduction de bruit : elle atténue très bien les fréquences graves et les bruits sourds (machine à laver en phase d'essorage, voiture ou transport en commun, ventilation) mais à encore pas mal de progrès à faire au niveau des voix et des bruits plus aigus Il reste tout de même un très bon casque premium avec la qualité Sennheiser. Acheté en solde pour 250€, c'est une affaire</t>
  </si>
  <si>
    <t>Bon rapport qualité prix Pratique, je l'utilise au bureau. Ça fait quand même du bruit qui gêne un peu pour le bureau.</t>
  </si>
  <si>
    <t>Peu soigneux mais à recommander Le produit est conforme à la photo et bien protégé par des plastiques. Le problème sur cette commande fut : - premièrement, le retard de la commande (5 jours) - deuxièmement, le coffret de la montre qui était endommagé cela n'est pas génial pour offrir....  Sinon, le produit en lui-même à recommander</t>
  </si>
  <si>
    <t>Bonne chaussures pour un prix raisonnable Idéal comme chaussure de ville pour l'été. Au début elles doivent s'adapter au pied</t>
  </si>
  <si>
    <t>Excelent produit Très satisfait avec cet achat!</t>
  </si>
  <si>
    <t>Fabuleux ! Tout simplement Génial ! Ces feutres sont ultra lavables, ne sèchent pas même quand on perd le capuchon quelques temps et ils ont de belles couleurs très vives. La mine courte permet de faire des points en appuyant même très fort sans endommager le feutre. Mon fils de 2 ans les utilise depuis 6 mois sans ménagement et ils résistent parfaitement. Pour le côté lavable, mon fils les a testés sur la table, le sol, ses pulls, pantalons, sweat et bien-sûr sur lui, visage et mains et avec juste un peu d'eau c'est toujours parti en un clin d'œil, magique ! Bref, ce sont les feutres à avoir !</t>
  </si>
  <si>
    <t>Calculatrice pour l'entrée en 6ème Une bonne calculatrice qui correspond au modèle demandé par les professeurs de mathématique pour les élèves de 6ème et classes suivantes du collège.</t>
  </si>
  <si>
    <t>Bon rapport qualité prix Conforme à mes attentes</t>
  </si>
  <si>
    <t>Ras Bien ras</t>
  </si>
  <si>
    <t>Super Joli, bien fait, professionnel et coloré!</t>
  </si>
  <si>
    <t>Très bien! Biberon adopté pour mon fils, tétine ronde ( pas de sens c est pratique ) et très souple, s adapte sur d autres biberons , allaitement mixte qui fonctionne très bien grâce peux être à ce biberon ( ou à mon fils qui n est pas compliqué lol)</t>
  </si>
  <si>
    <t>Un classique... ... de la chaussure! Parfaites, couleur magnifique et indémodables! Bien penser à prendre une taille en dessous de sa pointure habituelle : je chausse du 38, j'ai donc pris un 39. Je recommande à 100%!!!</t>
  </si>
  <si>
    <t>Cadeau à faire Très belle bouilloire où on voit facilement la quantité d'eau et avec l'éclairage qui évolue avec la température.</t>
  </si>
  <si>
    <t>Bonne qualité Cafetière bien conçue, pratique, de bonne qualité, plutôt jolie. Si comme moi vous vous êtes habitué à une senseo, prenez du café corsé. En effet le café filtre est plus doux au niveau du goût (en caféine il est plus fort).</t>
  </si>
  <si>
    <t>Super Super huile texture agréable composition propre sans produits chimiques, les produits de cette marque sont à mettre dans toutes les mains!</t>
  </si>
  <si>
    <t>Parfait Très bon produit léger solide</t>
  </si>
  <si>
    <t>Très belle chaussure Très bon rapport qualité prix, la taille est exact, elle sont très belle et correspondent parfaitement au descriptif</t>
  </si>
  <si>
    <t>Top ! Très contente de cet achat ! Chaussures conformes aux photos et très confortables ! Taille respectée (pas besoin de prendre 1 taille au dessus/en dessous). Je recommande !</t>
  </si>
  <si>
    <t>Confortable Idéal pour la street dance. Très confortable et jolie</t>
  </si>
  <si>
    <t>Vraiment cool Très cool et bon rapport qualité prix. Très simple à coller et tiens bien</t>
  </si>
  <si>
    <t>Le confort Chaussures au quotidien Mais n’appreci Pas le modèle chose bien mais trop étroite dedans j’aur Aimer un modèle pour large pied</t>
  </si>
  <si>
    <t>Stand by pour le moment. Je ne parlerai pas des performances de l'appareil : pour l'instant, je me demande si j'ai seulement réussi à le mettre en fonction. Je n'ai jamais vu un mode d'emploi plus mal fichu, voire inexistant. Déjà, les instructions en Français sont cachées au milieu d'autres langues, le  tout est imprimé en petit, en bleu pâle... On vous indique de commencer par appuyer sur la touche "menu", mais on ne vous dit pas où elle est sur le schéma, j'ai fini par la trouver sur l'appareil lui-même, mais elle est relativement discrète. J'ai réussi à caler l'heure après moult essais, une galère totale. Quand à comprendre comment on règle le reste, j'ai renoncé. Vendre à ce prix un appareil avec un mode d'emploi si mal conçu, c'est une vraie aberration. Je me demande si je ne vais pas renvoyer cet article.</t>
  </si>
  <si>
    <t>Non conforme Bracelet cassé lors de la réception</t>
  </si>
  <si>
    <t>Bon filtre J'avais avant un filtre anti-pop classique de la marque Neewer mais très volumineux avec mon bird UM1 pour mon utilisation devant mes écran. Avec ce filtre, mon micro est mieux intégré à mon setup et il a un très bon rendu.</t>
  </si>
  <si>
    <t>Moyen SON FAIBLE!!!</t>
  </si>
  <si>
    <t>Surpris ! J'ai reçu le produit 3 jours après l'avoir commander ce qui assez rapide.  L’emballage est bien fait, dans la boite on retrouve le micro, un câble pour le recharger, un autre pour brancher sur le téléphone, et un guide d’utilisation en anglais.  Le microphone est de bonne qualité, la qualité des matériaux a l'air de tenir sur le long terme, il y a plusieurs bouton pour modifier les options (echo, bass, volume...), la qualité des enceinte intégrer est pas mal, on peut charger le micro grâce au port Usb, on peut aussi y connecter en bluetooth ou le brancher avec son téléphone grâce à l’auxiliaire.  Dommage qu'il n'y ai pas des modes (autotune...etc)</t>
  </si>
  <si>
    <t>bon rapport qualité/prix pinceaux utilisés pour peinture à l'huile. ils sont agréables, peu chers, et se nettoient bien dommage que ce ne soit pas fabriqué en France</t>
  </si>
  <si>
    <t>Elégant Un sac sobre et élégant, en cuir véritable avec de très belles finitions.  Le seul souci est que le sac est extrêmement rigide et que le rabat est tout juste de la taille du sac. Vite rempli, il peut ne plus fermer et comme le sac n'a pas de zip, il faut avoir ses affaires à l'œil pour qu'elles ne sortent ou ne tombent pas.  Mais cette rigidité est malgré tout le signe d'un cuir de qualité et l'on ne peut qu'espérer que celui-ci va "se détendre" pour gagner en extensibilité.  Un bon achat au final.</t>
  </si>
  <si>
    <t>tres joli Impeccable</t>
  </si>
  <si>
    <t>efficace reçu mon diffuseur la livraison a été très rapide bien emballé je suis ravi le diffuseur imitation bois a un très  bon effet principe d utilisation très simple et rapide il est très mignon j'adore</t>
  </si>
  <si>
    <t>Parfait Excellent rapport qualité/prix. Étuis sympa, appareil conforme à la description et esthétiquement sympa.</t>
  </si>
  <si>
    <t>Parfait Top !</t>
  </si>
  <si>
    <t>Casque audio JBL HARMAN T450 très bon pour son prix Je teste ce casque depuis quelques mois et je n'en suis vraiment pas déçue. J'ai utilisé ce casque pour écouter de la musique et je dois dire que côté son j'ai été très contente. Le son est clair avec de bonnes basses. Si vous n'aimez pas les basses prononcées je vous le déconseille. La qualité en appel audio est excellente. Le micro fonctionne vraiment très bien et la personne a l'autre bout de la ligne nous entend parfaitement. Au niveau de l'encombrement et bien il est faible, il tient parfaitement dans une petite sacoche où chez soi dans un tiroir de table de nuit pour ma part. Dommage qu'une petite sacoche de transport ne soit pas fournie. C'est un casque supra aural donc si vous recherchez un circum aural ne prenez pas celui ci. En espérant que mon avis sera utile.</t>
  </si>
  <si>
    <t>Solide, jolie, et efficace J'ai pris la taille 37, et taille au juste niveau ! Une couleur kaki qui passe partout. Converse courte qui se porte facilement et très jolie. Livraison rapide et sans problème. Se nettoie facilement au savon de marseillais si saleté. Je recommande un bon achat sur du long terme.</t>
  </si>
  <si>
    <t>bonne qualité Ils sont de bonne qualité et ont un très bon son comparé aux autres achetés dans cette gamme de prix. Entièrement recommandé!</t>
  </si>
  <si>
    <t>⭐️ ⭐️ ⭐️ ⭐️ ⭐️ Bonjour, je suis très satisfait de mon achat. Un produit qui est, pour le prix, un parfait achat au niveau rapport qualité prix. Je recommande ce produit à tous les amateurs de belles montres</t>
  </si>
  <si>
    <t>Peu encombrant  suffisant pour l'essentiel Très pratique randonnées</t>
  </si>
  <si>
    <t>Je recommande Je recommande.</t>
  </si>
  <si>
    <t>chaussure de sécurité pour la cuisine merci beaucoup</t>
  </si>
  <si>
    <t>Très bien Excellent pour la peinture. Je l'ai acheté pour mon fils de 3 ans qui veut faire de la peinture de temps en temps. Bien solide et parfait pour exposer ses chefs d'oeuvre!</t>
  </si>
  <si>
    <t>Parfait! Look sympa produit conforme à la photo confort sympa couleur noir intense chaussure ultra légère parfait!</t>
  </si>
  <si>
    <t>magnifique Les dessins sont sublimes ou kawai, ça dépend. Idéal à partir de 7-8 ans car les motifs sont parfois petits, c'est très détaillé. Seul bémol: ils auraient pu faire des dessins détachables.</t>
  </si>
  <si>
    <t>Bouillotte Bon produit rien à dire 👍</t>
  </si>
  <si>
    <t>Chaussures de randonnée ? Semelles vraiment pas épaisses du tout , faut marcher que sur du plat sans cailloux.</t>
  </si>
  <si>
    <t>Très inconfortable, fonctionnalités limitées et micro faible. Attention le "port" (l'endroit où on place l'embout) est ENORME et à moins d'avoir les oreilles de dumbo ils seront impossibles à insérer de manière confortable dans le canal auditif pour réaliser une bonne étanchéité et avoir un son de qualité. A ce prix il manque aussi une fonction de transparence audio pour pouvoir entendre son environnement sans les retirer et avoir une conversation rapide. Ah et pour terminer mes correspondants se plaignent de la qualité de ma voix lors d'une conversations téléphonique. Autant mettre un peu plus et prendre des TWS qui cochent toutes les cases comme les Jabra 65T.</t>
  </si>
  <si>
    <t>Bouchon cassé à l'ouverture du colis Bouchon reçu cassé. Inutilisable proprement. Le liquide ne coule pas car trou bouché par l'opercule cassé.</t>
  </si>
  <si>
    <t>Veste Je suis un peu déçu de la qualité intérieur de la veste, elle est différente de la photo, quand je mets un pull sous la veste je suis moyennement à l’aise. Mais pour le prix elle fera son temps. Elle taille un peu grand</t>
  </si>
  <si>
    <t>Apart des montres de plongée, il n'y a pas de plus étanche ! Montre casio de référence ! rien à dire de plus!</t>
  </si>
  <si>
    <t>Ok Tres bien .</t>
  </si>
  <si>
    <t>Bien Bien. Super couleur. C'était pas exactement le modèle que je voulais, mais ça m'a convenu qd même. Je fais du 37,5 et avec les TBS je prends du 39 pour être confortable.</t>
  </si>
  <si>
    <t>Bon produit en Q/P Confortable malgré la "compression", en fait il est très moulant donc attention au  choix de taille: ne pas sous estimer sa taille, et encore j'ai pris un L alors que ma taille habituelle est M. Attention aussi à la définition de maillot thermique: ça veut dire fibre ne retenant pas la sueur, et non pas fibre apportant chaleur. Utilisé en 1ère couche par 10°, je suis rentré sec mais frigorifié (relativement ... n'exagérons rien !) Sinon très bien en sensations : comme une deuxième peau, on ne sent aucune couture, matière agréable. Conclusion: très bon rapport Q/P si on l'utilise en mi-saison aux alentours des 15°.</t>
  </si>
  <si>
    <t>Ce n'est qu'une catouche d'encre HP Que dire sur une cartouche d'encre classique HP: Les prestations d'Amazon toujours à la hauteur les prix sont relativement élevé pour une simple cartouche mais ça c'est HP et non Amazon mais je pense neanmoins qu'un petit effort pourrait être fait, pour le reste rien à signaler</t>
  </si>
  <si>
    <t>chaussures femmes minceur produit exelent porter la journée complete sans soucis taille adaptée modele respectant la photo du produit la marche est rendus tres agreable avec la semelle compensée</t>
  </si>
  <si>
    <t>Montre unisexe parfaite convient pour femme</t>
  </si>
  <si>
    <t>Super papier photo Papier de très bonne qualité. Très satisfaite de cet achat. Les photos imprimées dessus rendent très bien. Je le recommande</t>
  </si>
  <si>
    <t>Écouteur avec fil Reçu rapidement Écouteur fonctionnel, génial pour faire son sport , son ménage pour écouter la musique ou parler au copines au téléphone</t>
  </si>
  <si>
    <t>conseillé Plus petit que prévu, mais en fait très agréable à porter et à aimer. Quartz de bonne qualité, bien fait. J'adore que vous receviez des perles de rechange et des élastiques, juste au cas où. Un article très attrayant, de belle couleur.</t>
  </si>
  <si>
    <t>Très bien Très bon rapport qualité prix. Ça revient beaucoup moins cher que les petits rouleaux du commerce, et ça dure très très longtemps ! Le système de découpe est pratique. je recommande ce produit.</t>
  </si>
  <si>
    <t>Galaxy buds excellent rapport qualité prix. Son pur même pour la musique classique. Bass suffisantes à mon goût.</t>
  </si>
  <si>
    <t>Très grand Je fais un 40/42 et j'ai d'abord commandé un S. Il était trop grand alors je l'ai renvoyé (sans souci) et acheté un XS. Il est parfait. Bien coupé, très doux et agréable à porter.</t>
  </si>
  <si>
    <t>Soulagement ! Douleurs chroniques sciatique et hernie discale j ai voulu tester cette crème ! Eh bien l’effet fraîcheur fait effet dés la 1ère minute et un soulagement apparaît ! 2 a 3 applications par jour en cas de douleurs persistantes! La texture est très agréable alors que de 1ère abord le visuel ne donne pas envie donc ne pas bloquer sur l aspect visuel de la crème. L effet l odeur et la texture en fond une super crème anti douleur Je recommande</t>
  </si>
  <si>
    <t>écouteurs au top Mise en place du bluetooth très facile, écouteurs agréables pour tout type d'oreilles car vendu avec différents bouchons 3 modèles. Petit moyen grand. très bonne autonomie je m'en sers tous les jours. je vous les conseille, une amie a suivi mon achat elle en est aussi très contente.</t>
  </si>
  <si>
    <t>Super ! Super rien à dire</t>
  </si>
  <si>
    <t>Très bon produit Notre famille est fan de ces feutres : certains les aime pour écrire et d'autres pour les coloriages. Les couleurs sont agréables et leur durée de vie est longue. Très bon produit</t>
  </si>
  <si>
    <t>Conforme Pointure ok (38), correspond à la description.</t>
  </si>
  <si>
    <t>Super Ces boucles m ont été offerte. Elles sont juste magnifiques. Agréable à porter et font leurs effets. Je recommande fortement.</t>
  </si>
  <si>
    <t>Pas du cuir!!!! Tres cher pour un produit qui n est pas du cuir. Mensonger sur l annonce. Sur les finitions on peut voir que ce sont une couche de plastique avec du simili cuir encolle au verso et recto.... Retourné. Honteux de faire passer ça pour du cuir. Rendu très plastique..... Bref ne vaut pas le prix a fuir....</t>
  </si>
  <si>
    <t>panne electrique utilisé depuis longtemps mais out noir le support et panne electrique peux t on avoir un Echange</t>
  </si>
  <si>
    <t>Réduction du bruit ultra performente mais pavé tactile inutile Très bon casque audio à réduction du bruit. La reduction du bruit est la meilleure du marché. Le système adaptatif est très pratique. Design haut de gamme et sobre. Le son est comparable à un Beat (basses très prononcées). Qu'on aime ou pas, l'égaliseur est réglable via l'application. A noter que pour profiter du son Aptx HD et LDAC il faut avoir les codecs audio adequat sur son appareil. Pour samsung par exemple c'est à partir d'oreo 8.0. Si l'on choisi d'utiliser l'equalizer pour minimiser les basses, le son repasse en SBC et donc compression audio... (une etoile en moins)  Autre défaut, le tactile n'est pas intuitif, les commandes ne réagissent pas à tout les coups car elles sont mal conçues et mal placées. Aussi elles réagissent au port d'une capuche, ou d'un tissus si on s'assoupi dessus, ce qui est énervant pour un produit de cette gamme. (une autre etoile en moins).  Bref, je le garde uniquement pour la réduction du bruit au dessus de la concurence.</t>
  </si>
  <si>
    <t>Dense C’est un bon achat. Le livre traite de beaucoup de sujets et ma fille de 7 ans est intéressée. Seul bémol, la mise en page est dense. Peut effrayer les lecteurs moins acharnés.</t>
  </si>
  <si>
    <t>Bon casque, anc décevante Globalement un bon produit avec un son équilibré et bassu. Ayant une petite tête le casque ne me serre pas. Bémol mais pas suffisant pour renvoyer dans mon cas, l'anc dégrade la qualité du son et n'est pas aussi bonne que ses grand concurrents (Bose, sennheiser, BBP 2). Cela peut en rebuter certains.</t>
  </si>
  <si>
    <t>très bien porté très bien porté ça change de chaussures sécurité de d'abitude le prix un peut cher</t>
  </si>
  <si>
    <t>Bien pour le prix Bon produit, s'adapte bien l'intensité en fonction de la tâche que l'on à faire (lecture, détente, tablette, etc.). Cependant un regret : ne fonctionne pas sur une prise de courant branchée en va-et-vient...</t>
  </si>
  <si>
    <t>Jean plutot leger et bien taillé Correspond en tout point à un jean levi's 511 que j'ai achete aux us il y a un an. Une petite difference cependant au premier lavage, la lingette antidecolor stop en est ressortie marron foncé, sans doute a cause dunmorceau de cuir avec la marque. C'etait pas le cas avec celui des us. Sinon a voir a l'usure.</t>
  </si>
  <si>
    <t>Très bons biberons Les biberons sont très bien et la tétine est tout de suite adoptée par le bébé. Le système anticolique permet au bébé d'avaler moins d'air. Je recommande ce produit</t>
  </si>
  <si>
    <t>tres bien bien reçu en temps et en heure parfaitement emballer avec grand soin avec une documentation et un petit mot tres sympa g commencer a me passer huile immortelle qui me fait du bien parfaitement a ce que j'attendais je sait ou commender et en plus d'autres produits tel que les savons que j'essayerais bientôt merci pour ce plaisir amicalement</t>
  </si>
  <si>
    <t>Très bien J’aime beaucoup ce papier de la marque d’amazon car il est épais y a beaucoup de rouleaux et il reste agréable au toucher. Mais attention il été la place pour le stocker</t>
  </si>
  <si>
    <t>Très pratique Parfait pour les tâches au mur de doigts de feutre ou de nourriture inscruste ,pour les meubles de jardin un coup suffit sans rien rajoute . Très bon achat je recommande ;)</t>
  </si>
  <si>
    <t>Un petit prix pour une grande satisfaction ! Au top ! Une petite paire d'écouteur basiques mais qui font très bien ce qu'on leur demande. Le son est bon, la qualité du micro pour les appels en main libre est niquel et ils étaient livrés avec différents embouts. Il y a également un bon de garantie dedans, qui stipule que les écouteurs sont garantis à vie. A voir si cela vaut vraiment le coup de les renvoyer en cas de problème mais ce genre d'attention fait toujours plaisir. Je recommande !</t>
  </si>
  <si>
    <t>très bonnes huiles très bonne huile essentielle. colis arrivé ouvert mais tout dedans.</t>
  </si>
  <si>
    <t>Bon produit le design est très attractif, épuré et efficace et les avis sont positifs en général sur la qualité et le son. ils donnent une impression de qualité et de solidité, la qualité de son est effectivement très bonne et ils fonctionnent parfaitement .</t>
  </si>
  <si>
    <t>Parfait pour les détails Ravie de ces pinceaux, juste ce que je recherchais pour faire mes travaux de peinture sur toile, faire des poils pour les animaux c'est un plaisir</t>
  </si>
  <si>
    <t>Très beau zippo Bonne finition pour le Zippo mais un peu lourd.</t>
  </si>
  <si>
    <t>Chaussures très confortables J'ai utilisé ces nouvelles chaussures tous les jours cet été, à l'occasion de grandes randonnées et j'en suis ravie. Je n'ai jamais eu d'ampoules alors que j'ai les pieds très sensibles et elles sont très confortables. De plus, la semelle bien épaisse et crantée permet de passer facilement sur des surfaces escarpées et on ne glisse pas. Je les recommande vivement !</t>
  </si>
  <si>
    <t>Top Parfait et livraison rapide</t>
  </si>
  <si>
    <t>Boucles d'oreilles Très jolies conformément à la photo.</t>
  </si>
  <si>
    <t>Legging parfait Je suis juste trop trop satisfaite de ce legging. Aussitot reçu aussitot adopte. Lave et hop au sport. Il est parfaitement ajuste, il maintien parfaitement au niveau des renfort. Je suis trop fan Je le recommande ++</t>
  </si>
  <si>
    <t>Genial Acheté pour les loisirs créatifs pour moi même. Large choix de pinceaux ( fins larges etc ...)</t>
  </si>
  <si>
    <t>Difficile à lavé Pas facile à laver. Le lait reste coincé dans les coins.</t>
  </si>
  <si>
    <t>colis  abîmé,  reparti à l'expéditeur et pas de nouvelles depuis J'ai eu l'information selon laquelle le colis étant abîmé, il était reparti à l'expéditeur et pas de nouvelles depuis. Quelle procédure pour renouveler cette commande (déjà réglée) ? A noter que sur les 10 ramettes commandées, 5 sont arrivées sans problème dans un premier colis  mais pas de nouvelle des autres ...</t>
  </si>
  <si>
    <t>TROP PETIT TROP PETIT</t>
  </si>
  <si>
    <t>petit trop petit</t>
  </si>
  <si>
    <t>collier cuir Les colliers semblent être de bonne qualité, mais ils ne sont pas en cuir mais en synthétique ...Un peu déçue...</t>
  </si>
  <si>
    <t>Conforme marche</t>
  </si>
  <si>
    <t>Fonctionnel Utilisées pour ma fille de un an, pour ses biberons de lait + céréales. J'en ai également découpée une aux ciseaux pour faire une tétine à soupe qui est fonctionnelle et ne se déchire pas même dans le temps. A noter que ma fille connaissait et acceptait bien les mêmes tétines en taille M.</t>
  </si>
  <si>
    <t>Simple et utile Que dire sur un article aussi simple qu'indispensable ? Parfait pour des usages temporaires. Pour des installations fixes, il vaut mieux préférer des placage or. Mais le rapport qualité/prix est imbattable !</t>
  </si>
  <si>
    <t>bonne année avec cette montre très belle montre avec un prix modeste très bien</t>
  </si>
  <si>
    <t>Produit sain simple à utiliser et super efficace pour soukager les douleurs. Ce gel est miraculeux. Il apèse rapidement la douleur et donne une sensation de fraicheur dès que l'on applique sur la peau. Ce n'est pas un médicament mais bien une crème qui soulage les douleurs. Jusqu'à présent je n'ai rien trouvé de mieux. Je le recommanderais à tous mes amis ayant des douleurs chroniques.</t>
  </si>
  <si>
    <t>Multi band et radio-pilotée a prix mini Superbe gshock d'une belle fabrication. J'ai remplacé mon anciene apres 11 ans qui faisait solaire et radio-pilotée par ce modèle qui est parfait. Question prix imbattable pour les fonctionnalités. Petite led blanche qui donne le plus belle effet. Ce met a l'heure toute seul via le mutiband toutes les nuit. Manuel pas très claire mais comme tt les gshock. Très heureux de mon achat.</t>
  </si>
  <si>
    <t>Bon produit. Ce bracelet est de très bonne qualité ainsi que le service de ce fournisseur.</t>
  </si>
  <si>
    <t>Excellent  rapport qualité prix Utilisé pour nettoyer et raviver les sièges cuir de notre véhicule. Facile d’utilisation le résultat est très satisfaisant. Nous recommandons ces 2 produits.</t>
  </si>
  <si>
    <t>Trop belle Belle bouillotte "retro" par sa couleur rouge. Se mari parfaitement dans ma cuisine. Chauffe vite sans trop trop de bruit. Bonne quantité. Je recommande</t>
  </si>
  <si>
    <t>Encre de bonne qualité C'est depuis des années que j'achète sur Amazon cet encre et tout va bien pour moi. Pour moi c'est essentiellement pour imprimer des documents et le travail est impeccable. Je continuerai à le faire parce qu'il n'y a pas de raison valable de le changer.</t>
  </si>
  <si>
    <t>Très bon produit. À recommander Chauffe vite même biberon large. Les tommee teeppe (ancien modèle et nouveau modèle) y passent en enlevant la bague accélérant la chauffe mais n'altère pas la rapidité de chauffe. Seul bémol, le cordon électrique est un peu court.</t>
  </si>
  <si>
    <t>Parfait Parfait bon maintien et matière agréable</t>
  </si>
  <si>
    <t>chic glamour J'adore elle est classe,  belle,  mignonne comme tout je kiffe elle est comme sur la photo pas de problème j'aime beaucoup</t>
  </si>
  <si>
    <t>👍🏻 J'ai eu un soucis de fonctionnement et j'ai envoyé un message au vendeur qui m'a rapidement répondu avec une solution. Les ecouteurs fonctionnent très bien, la qualité du son est assez bonne pour le prix. J'en suis très satisfaite !</t>
  </si>
  <si>
    <t>Évaluation produit Très bien Très bon produit que j'ai offert en cadeau. Largeur Très bien. 6 pts magnétiques Très bien. Dimension Très bien. Merci.</t>
  </si>
  <si>
    <t>Très pratique ! Très bonnes boîtes qu'on peut individualisé ce qui est super pratique !</t>
  </si>
  <si>
    <t>Très beau ! Très bel article et très pratique. Ce "gazon" est assez grand, on peut y disposer beaucoup de choses, et d'autant plus si l'on achète quelques petits accessoires supplémentaires comme les fleurs. Nous l'avons choisi en vert, la couleur est conforme à la photo du descriptif, cet article est en pus très design, ce qui ne gâche rien !</t>
  </si>
  <si>
    <t>Parfait ! Ce tapis ressemble à un tapis de fakir, et le pire, c'est qu'on y prend vite goût ! On sent que la circulation se fait dans les tissus sous la peau, il faut juste un peu de patience et les tensions s'en vont ! Au besoin, mettre un tissu fin entre la peau et le tapis au début, puis le retirer. A recommander également en cas d'insomnie, nervosité excessive : ça calme vite !!</t>
  </si>
  <si>
    <t>Parfait Bonne qualité. Bon son.  Compatible pour un enfant. Joli look. Offert a ma fille de 9 ans pour son lecteur mp4 mais aussi sa ds. Pliable facilement. Peu encombrant</t>
  </si>
  <si>
    <t>Correct sans plus Beaucoup trop de crochets nus sans la boule c'est ce qui justifie les 2 étoiles... Sinon ceux qui sont entiers sont bien</t>
  </si>
  <si>
    <t>Attention ! Contrefaçons ! Ne vous faites pas avoir ! Il s'agit là de fausses Converse !  Pour les détails flagrants qui le prouvent juste en regardant les photos, sur les vraies Converse : - c'est écrit "Converse All Star" sur la languette et l'arrière de la chaussures et non pas juste "All Star" - il y a un empiècement sur la languette qui permet d'y passer les lacets pour les plaquer - le dessous de la chaussure est légèrement noircie sur certaines zones bien définies..  Suffit de chercher un peu sur internet et comparer, vous verrez ;)</t>
  </si>
  <si>
    <t>mauvaise qualité Le bijou reçu n'est pas conforme à la photo, l'ensemble est beaucoup plus imposant. Et la distance entre la partie haute et la partie basse est trop importante pour 'nimporte quelle oreille, on voit les 3 barres qui relient les deux.. c'est moche. En revanche livraison rapide.</t>
  </si>
  <si>
    <t>très puissant L'affichage de l'heure est très (trop) puissant, même au réglage minimal, et m'oblige à utiliser le mode "nuit noire" heureusement qu'il est là lui! car pour moi, il y a 3 intensités : rien, fort, et vraiment trop fort.  Il parait que les sons "naturels" sont moches, je n'ai pas vraiment pu essayer, même au réglage minimal le son est tellement fort que j'ai eu peur de me faire agresser sous peu par les voisins.Sauf la radio,pour une raison que je n'ai pas comprise, mais devant l'assaut sonore, j'ai vite opté pour le moins brutal donc la radio.Dommage pour un appareil avec une sélection de sons naturels! (et oui, j'ai bien lu et relu le mode d'emploi pour être sûr de ne pas régler sur le maximum par accident, je vous jure, j'arrivais encore à augmenter le volume après avoir décidé que c'était insupportable) Le simulateur d'aube démarre donc 30min avant l'heure configurée.Si vous voulez pouvoir personnaliser ce temps, cherchez ailleurs, ici, c'est 30 minutes et pis c'est tout.Important à savoir, si ce détail est important pour vous.La lumière me réveillant très bien, j'ai juste réglé l'heure voulue en conséquence, l'alarme sonnant n'ayant jamais le temps de se déclencher. La lumière , même très faible, s'allume d'un coup, et augmente par palier toutes les 5 ou 10 minutes, je n'ai pas vérifié ce point exactement. Donc si , comme moi, vous êtes très sensible à la lumière, le "début" de l'aube peut être un brin brutal. Un allumage plus progressif aurait été bien plus confortable mais j'imagine que c'est la raison pour laquelle les grandes marques ont des simulateurs coûtant 3 fois le prix de celui ci.  Le choix des couleurs ne concerne pas la simulation d'aube. Seulement le mode "lampe couleur" et l'intensité de la lumière n'est pas réglable dans ce mode. (ou alors je n'ai pas trouvé, ni en testant, ni en relisant le mode d'emploi qui n'est pas toujours hyper clair, d'autres commentaires l'ont dit, parfois on doit un peu deviner!)  En résumé, si vous voulez des sons naturels d'hyper qualité, ou que vous êtes très sensible à la lumière et que ça vous réveille très efficacement, ce modèle n'est peut être pas adapté, vous devriez hélas viser plus cher... Si vous êtes modérément sensible à la lumière, et que le réveil doit vous hurler dessus pour achever de vous réveiller, ce modèle est sûrement un excellent rapport qualité/prix pour vous!</t>
  </si>
  <si>
    <t>Livraison Bien reçu merci</t>
  </si>
  <si>
    <t>Bon agrafeuse Agréablement surpris par cette agrafeuse que j’utilise tous les jours au boulot et qui marche parfaitement bien même avec 15 feuilles en 80 g</t>
  </si>
  <si>
    <t>un très bon achat article satisfaisant confortable pas de soucis  avec la pointure (correspondante ) prix très abordable j'avais déjà une paire de la même marque, que je ne quitte pas</t>
  </si>
  <si>
    <t>CATERPILLAR HOLTON CONFORME A L'ANNONCE - Chaussures confortables dommage qu'elles soient cheres. Très bonne qualité. A conseiller au futur acheteur - ok</t>
  </si>
  <si>
    <t>Très agréable, ergonomie peu s'améliorer Offert comme cadeau à mon épouse qui en est très contente. La lumière est complètement réglable dans son intensité (et donc sa couleur). Les mélodies de réveil sont douce et agréable. Beaucoup de réglage. Elle trouve cependant que les 3 boutons pour régler la lumière (on/off, plus et moins d'intensité) mériterait d'être plus mis en avant pour les trouver simplement.</t>
  </si>
  <si>
    <t>Pas déçue Belles couleurs, des classiques, pas déçue</t>
  </si>
  <si>
    <t>tres bien produits de tres bonne qualite normal avec timberland on est jamais deçu</t>
  </si>
  <si>
    <t>Qualité du son Tres bon produit pour un petit prix .Bonne qualité d'ecoute (musique et appels)  très bonne autonomie. Je recommande le vendeur reçu le lendemain .Ravi de mon achat</t>
  </si>
  <si>
    <t>Comme prévu Chaussure authentique, livré avec la boite vans et le Stickers étiquette. Taille grand n'hésitez pas à prendre une taille en moins !!</t>
  </si>
  <si>
    <t>Comme sur la photo Recu avant l'heure. Conforme à l'abri photo. Bonne qualité à priori</t>
  </si>
  <si>
    <t>Bon produit Un très beau collier pour le prix. Avec une très jolie pierre bleue qui brille plutôt bien. Je recommande ce bijoux 👍</t>
  </si>
  <si>
    <t>Sac de bonne qualité et pratique Ce sac est d'une très bonne qualité et très solide. Son organisation - nombre de poches, agencement intérieur - est très fonctionnelle. Idéal pour le boulot, permet de ranger des documents, un ordi . Le fait de pouvoir le porter aussi bien à la main, qu'en bandoulière ou encore en sac à dos renforce son côté pratique. Vendeur sérieux tant par la livraison rapide que par l'emballage soigné dans un carton avec rembourrage papier, le sac est dans une pochette tissu, Aucun soucis de transport. Très satisfait de cet achat.</t>
  </si>
  <si>
    <t>Super pack!!! Bonne prise en main des baguettes. Elles sont fluides dans leur mouvement. Le pendule est simple mais de très bonne qualité et finition. Hate de le purifier et de l utiliser!</t>
  </si>
  <si>
    <t>montre conforme à ce que j'attendais</t>
  </si>
  <si>
    <t>Je ne peux plus m’en passer ! Fan de ce réveil ! Quel plaisir de se faire réveiller naturellement par «&amp;nbsp;l’aube &amp;nbsp;»  et le chant des oiseaux :)</t>
  </si>
  <si>
    <t>Très bien Je suis très satisfaite par cet achat</t>
  </si>
  <si>
    <t>Venus Reçu en temps et en heure bon produit et bonne qualité</t>
  </si>
  <si>
    <t>peur servir à bien des choses personnellement je m'en sert pour rehausser mon clavier et je peux l'incliné comme je le souhaite il me permet de moins avoir mal la grandeur et la profondeur sont elles aussi très adaptées je recommande  vivement cet achat il me facilite la vie vu mon handicap merci à tous</t>
  </si>
  <si>
    <t>Beau bijoux bon qualité-prix Très jolie bijoux bien fini de bonne qualité Je le recommande sans problème</t>
  </si>
  <si>
    <t>Parfait Très bon produit Fait son travail</t>
  </si>
  <si>
    <t>les anglais ont des problèmes avec le système métrique quand les câbles de 1,20 mètres font un 1,02 mètres, il y a probablement un problème de conversion ! (Le produit est livré depuis le Royaume Uni)</t>
  </si>
  <si>
    <t>Falsification Produit n’est pas originaux!!!!  Voir led photos</t>
  </si>
  <si>
    <t>Très belles mais .... Le vendeur n'y est pour rien mais .... impossible à supporter. Très bon produit sauf que je suis à tendance allergique donc je ne supporte pas la partie dorsale et bretelles qui ne sont pas de la même matière que le restant de la brassière, dommage car elles sont très jolies.</t>
  </si>
  <si>
    <t>Inox tres chaud et non protégé Malheureusement l’inox n’est pas protégé risque de brûlure si on ne l’attrape pas par la poignet.... Toute la bouilloire est brûlante lors de la chauffe (et même après!)</t>
  </si>
  <si>
    <t>Compact et complet Ce grille-pain n’a de défaut que son nombre limité de tranches : 1 seule. Mais ceci semble normal au vu de cette nouvelle gamme de produits « compact ». Les dimensions générales de l’appareil  sont effectivement faibles, mais je trouve également intéressant les nombreuses fonctionnalités. Le plus original est le petit écran LCD. Il affiche le niveau de puissance sélectionné (par le sélecteur manuel en bas de l’écran), puis affiche un compte à rebours en secondes du temps restant de chauffe. Lorsqu’on abaisse la tranche avec le levier à droite de l’appareil, la chauffe démarre selon le niveau de puissance sélectionné (de 1 à 6). Il est alors possible d’appuyer sur la touche « décongélation » en bas à gauche de l’écran pour rajouter du temps, ou sur la touche « réchauffage » pour diminuer. Une fois la chauffe lancée et éventuellement la fonction « décongélation »ou « réchauffage » actionnée, il n’est malheureusement plus possible de modifier la puissance et la fonction sélectionnée (il faut pour cela éjecter la tranche avec la touche du milieu, et recommencer). Un petit levier, à gauche de l’appareil, permet de lever ou d’abaisser le support « réchauffe viennoiserie). Enfin, un tiroir ramasse miette permet d’évacuer les miettes tombées au fond du grille-pain. Globalement, l’appareil est ben réussi esthétiquement. Les surfaces extérieures ne brulent pas comme certains appareils. Concernant la chauffe, elle est assez rapide et surtout homogène grâce au système de résistance multiple (plusieurs brins au lieu d’une barre qui chauffe). Le seul reproche revient au nombre de tranche. Je pense que 2 compartiments auraient été bienvenus sans non plus rendre l’appareil trop encombrant.</t>
  </si>
  <si>
    <t>Ne pas hésiter Bon produits pour un appartement d'environs 65m2. Simple d'utilisation. Esthétique. Très pratique pour avoir l'odeur de différentes huiles essentielles.</t>
  </si>
  <si>
    <t>Un casque de bonne qualité à un prix imbattable Mon fils qui est loin d'être doux avec ses affaires l'utilise très (et c'est un euphémisme ) régulièrement, et il est encore fonctionnel et en bon état, la qualité en bluetooth est très bonne, par contre  avec le câble jack de qualité très moyenne le  son est très moyen. Les boutons pour augmenter le volume et changer les pistes ne sont pas très gros et pas très accessibles , dommage. Ca n'en reste pas moins un bon casque solide pour un prix serré.</t>
  </si>
  <si>
    <t>Très bon rapport qualité/prix Ce casque simple mais efficace, en concurrence bien d'autres à prix bien supérieur, son long fil est bien pratique et l'écoute est très correcte pour le tout venant (TV, Radio......) confortable même pour une écoute de plusieurs heures</t>
  </si>
  <si>
    <t>Parfait Grande qualité, parfait pour un Blue Yeti, en revanche moins adapté à un micro plus léger (renseignez-vous bien sur les poids de vos micros). L'embout est universel. On ne trouve pas mieux.</t>
  </si>
  <si>
    <t>Bon rapport qualité prix &lt;div id="video-block-RJ8E8EZNX827G"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src="https://images-eu.ssl-images-amazon.com/images/I/A1sLA-fZPYS.mp4" style="position: absolute; left: 0px; top: 0px; overflow: hidden; height: 1px; width: 1px;"&gt;&lt;/video&gt;&lt;/div&gt;&lt;div id="airy-slate-preload" style="background-color: rgb(0, 0, 0); background-image: url(&amp;quot;https://images-eu.ssl-images-amazon.com/images/I/91RmONGDjoS.png&amp;quot;);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value="https://images-eu.ssl-images-amazon.com/images/I/A1sLA-fZPYS.mp4" class="video-url"&gt;&lt;input type="hidden" name="" value="https://images-eu.ssl-images-amazon.com/images/I/91RmONGDjoS.png" class="video-slate-img-url"&gt;&amp;nbsp;Commander pour offrir à un ado de 7 ans parceque j'ai offert des écouteurs bluetooth 2 fois et il en perd toujour un alors j'ai fini par lui commander ce casque et à mon étonnement il préfère les files alors je suis contente D'après ces retours le son est bon pas de souci.</t>
  </si>
  <si>
    <t>joli bracelet avec un bon prix. joli bracelet avec un bon prix. C'est le deuxième que j'ai acheté et j'adore ces bracelets. Idéal pour un usage personnel ou pour offrir en cadeau!</t>
  </si>
  <si>
    <t>Très bon achat Oxygène et rythme cardiaque</t>
  </si>
  <si>
    <t>Chausson Ces chaussons sont super, ils sont très chaud quand on les passe au micro-ondes, et ils gardent la chaleur longtemps.</t>
  </si>
  <si>
    <t>Top Très grand. C'est super. Plus besoin de remuer en 2 fois. Dommage que Dodie ne les fasse pas en verre</t>
  </si>
  <si>
    <t>confortable confortable un peu salissant</t>
  </si>
  <si>
    <t>Excellent rapport qualité/prix Ravie de cette commande, j'ai pris ses chaussures en 38 ma pointure habituelle et elles me vont parfaitement. Je n'ai rien à dire de négatif, elles correspondent en tous points avec les commentaires rédigés par le vendeur. Elles sont très légères et très souples surtout la semelle de fait très agréables à porter même pendant de longues heures. Je recommande ce produit en tous points tant au niveau esthétique que praticité !</t>
  </si>
  <si>
    <t>Très satisfait de l’achat J'ai toujours voulu acheter une bouilloire électrique dans le boutique pour du thé à bulles ou du café.  Vu par inadvertance sur Amazon, ce pot est en verre.  C'est à la fois bon et plus sûr qu'une bouilloire électrique normale.  La commande n’a pas été prise en compte, la logistique a également été très rapide, elle est arrivée deux ou trois jours plus tard, j’ai reçu le colis et je ne pouvais pas attendre pour l’ouvrir. Le chauffage était très rapide. L’eau bouillait en environ 5 minutes. La lumière bleue était très  Beau, le corps est lisse, exécution exquise, le fond est en acier inoxydable 304.  L'interrupteur est flexible, il n'y a pas de fuite d'eau.  Le son est acceptable et l'ensemble est très bon.  Très satisfait de l'achat.</t>
  </si>
  <si>
    <t>Bonnes cartouches Cartouches parfaites, prix raisonnable et pour le moment pas de soucis avec mon imprimante. En espérant qu'au prochain nettoyage des têtes d'impression cela ne les bouche pas... C'est ce qui est arrivé à mon ancienne imprimante Epson, mais en théorie avec Canon ça ne devrait pas poser de problème.</t>
  </si>
  <si>
    <t>Magnifique! Copie conforme à la photo ce qui n'est pas évident lorsque l'on choisi ce style de montre! Elle est très chic, va avec tous les styles vestimentaire et plait énormément. Livraison rapide, bref que des points positifs...</t>
  </si>
  <si>
    <t>Article très bien Article conforme et reçu très rapidement tres content et tiens chaud</t>
  </si>
  <si>
    <t>Un adaptateur qui fait l'affaire mais peut paraître fragile Dans un cadre professionnel j'avais besoin de faire entrer le signal d'un micro filaire dans un iphone ainsi que dans un smartphone Android, cet adaptateur trrs fait exactement ce pourquoi il est nécessaire. Sur iPhone il faut juste forcer l'allumage de Siri pour vérifier que le signal audio passe bien car parfois Siri ne se déclenche pas automatiquement mais le signal passe pourtant bien. En forçant l'allumage de Siri vous pourrez le visualiser et être rassuré.  En revanche le câble est très fin et peu paraître fragile. Il faut être vigilant au rangement.</t>
  </si>
  <si>
    <t>un peu déçu !! Un peu déçu par ce produit. Les manches sont trop courtes et trop larges. Bref un produit pas très bien ajusté</t>
  </si>
  <si>
    <t>Pas stable ! Bien que le colis soit arrivé en temps et en heure, en parfait état, je suis largement déçu par ce produit. Au déballage, j'ai été étonné par sa petite taille.  Il est simple à utiliser et les différents types de lumières et de sons étaient sympas. Je le pose sur ma table et là première surprise, je l'avais trouvé peu stable, le pied est tout petit et offre peu de stabilité. Et voilà, le premier matin ou je m'en sers de réveil, j'ai appuyé sur le bouton snooz, le réveil a basculé en avant et il est tombé au sol directement sur le bouton snooz, tête en bas... bouton coincé,  impossible d'arrêter l'appareil. Je me retrouve avec un réveil que je ne peu plus arrêter !!! obligée de le débrancher ! Peu cher certe, mais pas pratique du tout, je suis déçue..</t>
  </si>
  <si>
    <t>Pas du tout la paire de chaussures commandé Rien à voir avec ce que j'ai commandé !</t>
  </si>
  <si>
    <t>Petit Petit</t>
  </si>
  <si>
    <t>Bon article Bon vêtement efficace contre le froid- Qualité habituelle des vêtements Odlo Petit défaut : bouloche un peu et un peu trop transparent</t>
  </si>
  <si>
    <t>Une bouilloire au bon rapport qualité/prix. Une belle bouilloire plutôt esthétique et avec une grande contenance. L'eau chauffe rapidement. La sécurité fonctionne comme elle doit, une fois que l'eau est chaude la bouilloire s'éteint automatiquement. Elle garde l'eau chaude longtemps, malgrés un petit souci de finition, qui ne permet pas d'obstruer complètement l'ouverture du bec verseur.</t>
  </si>
  <si>
    <t>Très fines Très jolies boucles, un peu petites peut être,  mais conformes à mes attentes</t>
  </si>
  <si>
    <t>supers biberons très bon pack de biberons car différentes tailles et tasse évolution. La seule chose que je regrette c'est qu'il n'y ait que des tétines débit 1 alors qu'il devrait y en avoir pour chaque âge. J'ai donc dû racheter des tétines débit 2 et je rachèterai dans quelques mois des débits 3 Néanmoins pack abordable</t>
  </si>
  <si>
    <t>Très pratique pour biberons ET petits pots Correspond à mes attentes. Je l’ai pris pour son côté evolutif : chacune des 4 branches étant indépendantes, cela permet de faire sécher les biberons ET les petits pots maison! Il est donc plus durable que la plupart des sèches-biberons... et donc plus rentable. J’apprécie aussi le récupérateur d’eau qui permet de mieux sécher les bib’. Je recommande cet égouttoir sans aucun problème.</t>
  </si>
  <si>
    <t>Satisfaction total Très belles bottines, bon maintien du pied. J’ai repris les mêmes en bleues. Pas assez de recule pour plus de commentaires sur la durabilité</t>
  </si>
  <si>
    <t>LA référence du biberon On ne présente plus Avent et ses biberons de qualité. Large col, Tétine minimisant les coliques, Compatible avec allaitement mixte Nettoyage facile, Solidité  Je recommande +++</t>
  </si>
  <si>
    <t>Parfaite Chaussures très confortables , ayant un très très bon grip sur les pédales ,la taille est celle prévue elles chaussent donc normalement</t>
  </si>
  <si>
    <t>Bon rapport qualité/prix Chaussures sympa et passe partout. Attention éviter de les mettre quand le sol est mouillé elles se tâchent assez vite et deviennent très rigide après avoir été lavé. Bon rapport qualité/prix.</t>
  </si>
  <si>
    <t>Très bon casque "entrée de gamme" J'ai acheté ce casque lors d'une vente flash à 29,90€. Je ne regrette pas mon achat : le son est bon et bien équilibré, et les basses sont largement suffisantes quoiqu'en disent certains commentaires. La détection Bluetooth avec mon Honor 7 s'est faite instantanément. Attention, pas de housse avec le produit, mais c'est largement acceptable pour le prix.</t>
  </si>
  <si>
    <t>Très bien Pour Offrir!</t>
  </si>
  <si>
    <t>Excellent rapport qualité prix, son efficace et autonomie longue J'ai acheté ce produit car je recherchais un casque audio Bluetooth avec un budget limité. Le rapport qualité prix est excellent : le son est bon, et la réduction du bruit fonctionne très bien. Les coussinets sont agréables, et le casque n'est pas trop serré sur la tête, ce qui rend son utilisation agréable. Autre point positif : la batterie fonctionne très bien, je n'ai pas eu besoin de le recharger depuis son achat il y a plus d'un mois. Je suis satisfait de ce produit !</t>
  </si>
  <si>
    <t>boucles d'oreilles Absolument satisfaite de mon achat, ces boucles sont très jolies, conformes à la photo, vraisemblablement en argent. Je conseille vivement!</t>
  </si>
  <si>
    <t>La photo est comme ce que j'ai reçu. Parfait. Discrétion et élégance sont ce qui caractérise ces très jolies boucles d'oreilles.</t>
  </si>
  <si>
    <t>Ecouteurs BT sport Rien à redire, appairage au premier déballage sans problème, j'ai une préférence pour ce type d'écouteur à tête dure car ils tiennent mieux dans mes oreilles. discrets et pratiques il fournisse un son correct pour une utilisation quotidienne</t>
  </si>
  <si>
    <t>Bogoss Comme d'habitude Amazon livre n'importe où mais je suis tombé sur un voisin sympa le produit est nickel proposée je dirai même bogoss les finitions sont soignées le tactile est beau elle donne envie de travailler dessous je suis entièrement satisfait par rapport au prix j'espère qu'elle va tenir dans le temps mais je me fais pas trop de soucis la dessus sa m'a l'air plutôt résistant</t>
  </si>
  <si>
    <t>Je suis ravi. Ce calendrier est d'excellente qualité et bien rigide. Il comporte en plus des 12 mois de 2018 les mois de décembre 2017 et de janvier 2019. Je l'ai reçu très rapidement. Je recommande ce produit et son fournisseur.</t>
  </si>
  <si>
    <t>Très belle parure de qualité Je n'en suis pas revenu lorsque j'ai reçu mon colis est l'ai ouvert d'avoir une parure d'aussi belle qualité pour seulement 8 euros! Dans un bel étui tu avec écrin noir à l'intérieur qui présente plutôt bien le bijoux. Ma fille de 3 ans et demi était ravie. Ravie de cet achat :)))</t>
  </si>
  <si>
    <t>Chaussures Ces chaussures sont esthétiques et confortables, conformes à, leur description. Elles sont un peu larges cependant, mais ceci était annoncé dans le descriptif.</t>
  </si>
  <si>
    <t>bottines redskins chaussure gauche  de bonne taille 41 quand a la droite je dirai 42 voir 43 paire de chaussures pas adapté  dommage car elles sont joli</t>
  </si>
  <si>
    <t>Tres Mauvaise qualité J’ai été extrêmement soigneux et attentifs car j’avais lu que l’eau et le bracelet ne faisait pas bon ménage. En moins d’une semaine la couche de je ne sais quoi à commencer à partir ci et là. Du coup renvoie à Amazon. Dommage que ce ne soit pas un bracelet 100% en aimant; je commençais à sentir des effets sur mes migraines</t>
  </si>
  <si>
    <t>je ne conseille pas Ce soutien gorge ne minimise absolument pas. D'autre part il ne maintient pas spécialement plus qu'un soutien gorge normal de maintient fort, et son look fait penser à un objet médical. Je l'ai jeté direct.</t>
  </si>
  <si>
    <t>tissu très fin decu de la qualité en baisse des produits under armour</t>
  </si>
  <si>
    <t>Bof Jolie ensemble mais tissus pas comme sur l’image il fait un peu style vêtement de pluie pas doux à l’extérieur mais doux dedans</t>
  </si>
  <si>
    <t>Content Comme sur la photo de la commande très content merci</t>
  </si>
  <si>
    <t>Quasi conforme à l'origine ! Ma fille m'en fait recommander 1 exemplaire tous les ans en moyenne (c'est le 4 ème que je commandait) Elle en a un usage quasi quotidien et les fils très fins ne sont pas à l'épreuve du temps. Cependant elle souhaite conserver ce modèle particulier d'intra-auriculaires qu'elle trouve plus confortable parce que plus ergonomique qu'un modèle "bouchons" trop hermétique. La qualité du son est très satisfaisante pour le tarif proposé. La commande + et - de volume sur le fil fonctionne bien et pilote le téléphone. Et il y a également un bouton pause/play pour la musique ou pour décrocher un appel (vérifié sur samsung S6) Globalement satisfaisant !</t>
  </si>
  <si>
    <t>A priori super Le produit a été reçu rapidement dans un emballage 3 fois trop gros... Il a l'air résistant et il est actuellement très pratique. A voir dans plusieurs semaine pour la solidité est peut-être monter à 5 étoiles.</t>
  </si>
  <si>
    <t>Idéal pour le travail Un peu grand mais pour le reste parfait</t>
  </si>
  <si>
    <t>Egal à la marque Bon chaussant, bonne qualité de chaussure, mon fils en est très content que ce soit pour aller en cours que pour faire du BMX.</t>
  </si>
  <si>
    <t>une très bonne bouilloire Silencieuse et rapide, utiliser au bureau pour notre service.</t>
  </si>
  <si>
    <t>Une bonne paire de baskets pas chère J’avais un petit doute quand j’zi Commande en me disant, bon ce n’est pas une marque , ce sera pas top ! En fait je ne suis pas déçue du tout elles sont super confortables simples et belles</t>
  </si>
  <si>
    <t>Belles finitions, semblent robuste. Top, bien finies, je fais du 42 et je les ai pris en 41.5 au vu des commentaires, et elles me vont parfaitement. Si vous avez le pied large, gardez votre taille.</t>
  </si>
  <si>
    <t>BONNE QUALITÉ!! Je recommande, produit de meilleure qualité et une livraison ultra rapide. C'est dommage qu'il n'y ait pas d'autres couleurs. Pour l'instant il y a que du blanc et du bleu marine. Chaussure qui soulage énormément.</t>
  </si>
  <si>
    <t>Bien mais cher Un peu cher pour un adaptateur. Mais ca fait le boulot avec le micro cravate pour smartphone pour le brancher sur enregistreur normal</t>
  </si>
  <si>
    <t>ROULEAU IDEE GENIALE souffrant de douleurs dorsales récurrentes, je suis enchantée de ce produit. les rouleaux sont vraiment efficaces contre les contractures musculaires et douleurs localisées. la fonction chaleur complète parfaitement le massage. VRAIMENT TRES EFFICACE TRES BON RAPPORT QUALITE / PRIX</t>
  </si>
  <si>
    <t>Bonne étanchéité Produit très bien qui est bien étanche, doux et qui permet de se réchauffer le corps sans se bruler.</t>
  </si>
  <si>
    <t>Livraison rapide Très belle  bijoux en argent reste avoir si c'est de lo à bonne qualité</t>
  </si>
  <si>
    <t>MON NOUVEL AMI CONCHITO J'ai acheté ce robot (il s'appelle Conchito) en étant un peu sceptique mais après quelques jours d'essais je peux dire que j'en suis plus que satisfaite. Je cherchais une solution pour me soulager du ménage quotidien. J'ai 5 chats et un chien et je suis obligée de passer l'aspirateur tous les jours. Je programme Conchito pour qu'il se mette en route quand je suis au travail et quand je rentre MIRACLE!! Mon rez de chaussée est toujours propre. Par contre je le vide tous les 2 jours parce qu'avec tous mes animaux le réservoir est vite plein. A voir sur le long terme...</t>
  </si>
  <si>
    <t>Ecouteurs de bon qualite Très belle apparence. Construction robuste. Très bonne qualité de son, le microphone fonctionne parfaitement bien. Bon rapport qualité du prix. Je vais présenter des amis à acheter.</t>
  </si>
  <si>
    <t>Bien Scolaire</t>
  </si>
  <si>
    <t>Brillance et élégance Très jolies boucles d'oreilles au design unique, à aspect brillant qui envoûte les yeux, Je suis très bluffé par la qualité du produit et par la qualité de la finition et de la présentation,  Mieux que ce qu'on trouve dans les vitrine pour moins cher en plus, C'est un produit excellent et d'excellente qualité,  Ce sont des boucles d'oreilles qui vont avec tout, car elles font aussi bien des boucles pour sorties spéciales que des boucles pour tous les jours, Je recommande</t>
  </si>
  <si>
    <t>saint valentin cadeau pour la saint valentin</t>
  </si>
  <si>
    <t>Assez amusant Fonctionne très bien. Ce stylo a beaucoup plu aux enfants.</t>
  </si>
  <si>
    <t>pas terrible... Le système de fermeture n'est pas très pratique et quand on ouvre on se brule les doigts presque à chaque fois. Je l'ai pris pour chez mes parents mais chez nous on a le Avent qui est beaucoup beaucoup mieux!</t>
  </si>
  <si>
    <t>Degoute Au début tout allez bien super son et synchronisation rapide maintenant l'oreille le sort plus de son</t>
  </si>
  <si>
    <t>nulllll déçu deguelasse beurk beurk mauvaise qualité moche en réalité vrmt déçu couleur jaune fluorescent en plus les parties de couleur se déchirent ne recommande pas et imbibé remboursé pas 🤦‍♀️🤬🤬🤬</t>
  </si>
  <si>
    <t>Un peu décevant... Ce casque est le premier casque bluetooth que j'achète, et j'ai été plutôt déçu compte-tenu du prix payé : - Le son est extrêmement clair, mais très très neutre, presque fade. Sur des morceaux avec beaucoup de basses, il manque énormément de punch (surtout comparé à l'enceinte du même nom par exemple, qui elle en regorge) - Le blutooth force à utiliser soit l'écoute seule (sortie audio d'excellente qualité), soit l'écoute + micro mais avec une qualité médiocre (mode GSM). Je comptais l'utiliser aussi comme micro-casque pour PC, et du coup c'est très embêtant - Enfin, le câble fourni pour l'utiliser en mode filaire ainsi que le câble de recharge sont de facture très moyenne. Un port de recharge USB-C aurait été beaucoup plus "dans son époque", et le mode filaire ne permet même pas d'utiliser le micro (en plus d'utiliser une fiche 2.5mm non standard...) Cependant, malgré ces défauts, l'autonomie est très correcte, le port extrêmement confortable, et le son tout de même au dessus des concurrents. Un bon investissement, mais qui manque de bonnes surprises</t>
  </si>
  <si>
    <t>Pas beaucoup de basse Si vous adoré les basses passer votre chemin sinon le son est puissant rien a dire</t>
  </si>
  <si>
    <t>Comme à l'hotel Super pratique le matin avant de partir au boulot car cela permet d'avoir toujours les chaussures propres en quelques secondes</t>
  </si>
  <si>
    <t>Bon rapport Qualité Prix Un boitier pratique, 3 tiroirs de feutres, une palette assez large pour s'amuser dans les coloriage anti-stress. Rien a redire. De plus, le service Zeancolor derrière est appréciable, sans oublier les coloriages cadeaux pendant 1 an.</t>
  </si>
  <si>
    <t>bien...!!! Converse Chuck Taylor All Star, produit de bonne qualité mais il faut prendre une taille en moins car elles chaussent un peu grand...</t>
  </si>
  <si>
    <t>tout est OK marche ...</t>
  </si>
  <si>
    <t>Plusieurs mode d'éclairage top Ravie de cette lampe, elle est parfaite derrière mon canapé. Son système d'éclairage et impeccable pour mettre forte lumière ou même lumière d'ambiance. Je la recommande.</t>
  </si>
  <si>
    <t>Bon son et bonne tenue des écouteurs Habituée à utiliser des écouteurs de bonne qualité, j'ai décidé d’acheter ceux-ci suite au vol de mon sac et de mes fameux écouteurs qui étaient dedans. Je ne peux pas m'en passer, je m'en sers tout les jours et il me fallait des écouteurs complets avec du bon son. Ces écouteurs sont le bon choix, tout ce qu'il faut à un prix abordable. Les 2 écouteurs s'appareillent très bien. Ils sont opérationnels dès qu'on les enlèvent du boîtier. Le son est très très correct, ils sont légers et confortables aux oreilles. Le boîtier ne prend pas beaucoup de place, il est tout petit&amp;nbsp;! La fonction tactile est géniale et à priori ça marche avec Siri....j'ai pas encore essayé&amp;nbsp;! Pour finir la charge tient bien 5 heures à l'aise en écoute...je m'en sers depuis 1 bonne semaine et c'est parfait pour moi&amp;nbsp;!</t>
  </si>
  <si>
    <t>genial Un vrai bonheur surtout après sa journée de travail. Je recommande même si je trouve le câble d'alimentation un peu court.</t>
  </si>
  <si>
    <t>Vraiment compatibles. Cartouches installées sans problème. Et elles fonctionnent. Conformes à la description. Et livrées comme prévu.</t>
  </si>
  <si>
    <t>Tres bien Comme sur la photo au top</t>
  </si>
  <si>
    <t>meilleur prix et bonne qualité Si vous souhaitait filmer des documents prenez ces pochettes de plastification ! concernant le prix c'est le mieux et la qualité est vraiment bien</t>
  </si>
  <si>
    <t>idéal pour voyager très bon produit et il détache vraiment je le recommande et de plus très pratique à glisser dans une valise</t>
  </si>
  <si>
    <t>Très léger merci Très très joli</t>
  </si>
  <si>
    <t>très beau aussi ravissant que les boucles. je commanderais peut-être autre chose.</t>
  </si>
  <si>
    <t>Top!! excellant produit!! je recommande  à 200 % !  un peu douloureux au depart mais procure un bien etre instentané, je l utilise tout les soirs et je m en porte bien mieux !</t>
  </si>
  <si>
    <t>Efficaces et solides Ces tétines fonctionnent bien avec les biberons. L'air entre bien et permet à bébé de bien boire sans avaler trop d'air. Elles tiennent bien dans le temps et sont faciles à nettoyer. Nous les mettons au lave vaisselle et aucun problème.</t>
  </si>
  <si>
    <t>Taille et qualité très bien 6 paires de chaussettes qui taillent super bien. Le rapport qualité / prix et très intéressant. La matière est très agréable. Bref, je recommande</t>
  </si>
  <si>
    <t>Superbe Cette perle Pandora avec tous ces coeurs est tout simplement magnifique ! Je l'adore et çà me permet d'en posséder plusieurs vu les prix !!!</t>
  </si>
  <si>
    <t>Top Convient-elle parfaitement à ma fille</t>
  </si>
  <si>
    <t>Caterpillar Colorado Je suis un inconditionnel de ce modèle de Caterpillar (quatrième paire en 20 ans) qui sont idéales pour les froides et pluvieuses journées d'hiver. Suite à une très bonne promotion sur le site d'Amazon de plus de 50% en septembre (70 € au lieu de 150€), je me suis laissé tenter et fait l'acquisition de ce modèle Caterpillar Colorado noir en pointure 45.  Cependant, une petite déconvenue lors de la première utilisation. En effet, un crochet servant à maintenir un des lacets s'est désolidarisé du cuir en voulant lacer la chaussures rendant cette dernière (provisoirement) inutilisable. Ayant acheté ces chaussures en septembre et les ayant réellement porté (tout au moins essayé de le faire) la première fois en novembre, j'ai laissé passé le mois de retour pour échange ou remboursement possible par Amazon. Ainsi, j'ai malgré tout téléphoné à Amazon qui n'a rien pu faire (délai d'un mois permettant le retour ayant expiré) mis à part un geste commercial d'un bon d'achat de 5€ pour la gêne occasionnée. Suite à cela, je suis allé chez un cordonnier qui m'a remplacé le crochet et cela m'a coûté 2 €. Donc, et même si le crochet n'est pas tout à fait identique (ce qui n'est pas trop grave car cette partie de la chaussure est souvent cachée par un bas de pantalon), je m'en tire bien et je vais enfin pouvoir les porter.  Mais à l'avenir je vais tester, essayer, inspecter et porter les chaussures commandées pendant un mois pour ne pas laisser bêtement passer la possibilité de retourner un article défectueux.  En conclusion, je ne recommande pas ce modèle car je suis déçu par ces chaussures Caterpillar Colorado dont la qualité a clairement baissé (quel comble vu le prix conseillé de 150€ sur le site Amazon) semble ne plus être la même qu'auparavant (crochet qui a sauté à la première vraie utilisation, cela ne m'était jamais arrivé sur les précédents modèles qui pourtant en ont vu durant toute leur utilisation) et les matériaux semblent être différents (mais cela est purement subjectif) de ceux utilisés auparavant sur un précédent modèle (notamment la semelle du présent modèle qui est faite d'un plastique dur et brillant alors qu'avant c'était un plastique mat type de celui utilisé pour les pneus). On verra à l'usage et avec le temps si ces chaussures me durent plus de 5 ans sans déconvenues.</t>
  </si>
  <si>
    <t>déçue les perles ne sont pas a la même longueur, ça fait vraiment cloche! déçue je ne les mettrai pas!</t>
  </si>
  <si>
    <t>classe Dommage que pour les mois de 30 et de 31 jours , il faut le faire soi-même.</t>
  </si>
  <si>
    <t>Un poil cher pour ce que c'est Bon, c'est juste un fin câble audio reliant un XLR basique à un jack 3,5 mm coudé (choix pas forcément pratique, d'ailleurs). On peut largement trouver aussi bien au magasin de musique du coin, et beaucoup moins cher chez d'autres fabricants. Produit correct mais qui ne vaut pas plus qu'un billet de cinq.</t>
  </si>
  <si>
    <t>ma petite les adore tétine fiable ,le débit et parfait je les et acheter un débit 2 et 3. je recommande car ma fille avait beaucoup de colique assimiler au biberon ac super!</t>
  </si>
  <si>
    <t>Fonctionne bien Jolie bouilloire mais je m’attendais à ce qu’elle soit légèrement plus petite.</t>
  </si>
  <si>
    <t>Sachets zippé c'est ce que je cherchais, car dans les tops de Diamond Painting, il n'y a que très très peu se sachets, pour garer les diamants qui restent une fois fini!</t>
  </si>
  <si>
    <t>Malheureusement trop grand J'ai pris une taille S pour mon fils qui mesure 170 cm mais malheureusement le pantalon et la veste sont beaucoup trop grands. Très bon contact avec le vendeur pour procéder au remboursement.</t>
  </si>
  <si>
    <t>Tout doux Super trop beau</t>
  </si>
  <si>
    <t>bonne qualité De très jolies bandeaux,  facile a porté,  très bonne qualité,  un peu grand</t>
  </si>
  <si>
    <t>Vraiment aucun regret sur cet article je vous le recommande Ce produit redéfinit toute la deco de notre salon il est facile d’utilisation et diffuse super bien les odeurs ce que je préfère c’est le changement d’ambiance à chaque fois que la couleur change au niveau du diffuseur</t>
  </si>
  <si>
    <t>Belles Boucles Super !</t>
  </si>
  <si>
    <t>pratique Très utile pour soulager la douleur musculaire et sa procure une sensation de chaleur en profondeur la ou vous les placer</t>
  </si>
  <si>
    <t>Très bon lot pour débuter Ce lot se compose de 6 biberons de tailles et capacités différentes (2 de 150ml, 2 de 270ml et 2 de 330ml) et de leurs tétines rondes à 3 vitesses. Les 2 petites tailles s’utilisent de la naissance à 6 mois et la plus grande à partir de 6 mois.  L’esthétique est vraiment sympa, l’enfant en grandissant arrive à le tenir assez facilement, le nettoyage est simple et l’ouverture du capuchon peut se faire à une seule main.  Fabrication française sans BPS et BPA par une grande marque du domaine.</t>
  </si>
  <si>
    <t>D ‘être satisfait C bien</t>
  </si>
  <si>
    <t>percche micro très bon produit arrive à la bonne date , paquet abimé mais tout fonctionne  bien .</t>
  </si>
  <si>
    <t>Merci amazon top Tres heureuse de mon achat j en ai commande 2 paires pour mes 2 filles 14 et 15ans une noir et une noir et rose. Commande faite le 29 nov j ai recu en noir dimanche 3 dec. Un dimanche!!! Tres surprise!!! ma ille est tres contente super mignonnes.prendre une taille au dessus comme c est conseiile dans les commentaires elles sont parfaite j attens la deuxieme en espetant que ce sera la meme la meme. Vous pouvez commander les yeux fermes. J aime de plus en plus amazon.</t>
  </si>
  <si>
    <t>Juste magnifique Ce bijoux est tout simplement magnifique. Les couleurs rendent beaucoup mieux sur la photo. Il reflètent parfaitement bien la lumière. Je ne regrette pas mon achat.</t>
  </si>
  <si>
    <t>Lettres Rien adireparfait</t>
  </si>
  <si>
    <t>Je la re commande Sa va belle machine  . Mes il y a un petit défaut  on sa devrait  être comme une machine senseo  . Vous allumez  votre machine des quel et prête  à utiliser  . On appuie  une fois . Et l'eau  arrive . Mes avec la machine à thé  . Il faux toujour appuyer  .</t>
  </si>
  <si>
    <t>Pour les amoureux de café Depuis quelques années nous avions adopté une senseo car elle est pratique au niveau dosage. Hélas, côté saveur, on y a perdu. Or grâce à cette cafetière, on peut opter pour du café de qualité aux arômes envoutant. Et franchement, c’est top!! Le volume est parfait en cas d'invités et /ou pour les amoureux du café. D'un joli design, compact et facile à mettre en œuvre, cette cafetière est très simple à utiliser. Elle a un garantie de 2 ans pouvant aller jusqu'à 3ans en enregistrant son appareil sur internet. Sincèrement, je n'ai pas trouvé de défaut, que des qualités. le câble n’est ni trop long, ni trop court. Il est parfait lorsque l'on a un plan de travail avec des prises sur place. Et , ce qui est à mon avis le gros plus: c’est le mode programmation avec le maintien au chaud du café pendant au moins 30 minutes environ. En clair je suis conquise!!! Oh, j'allais oublié, le nettoyage est simple. Je recommande toutefois de maintenir après chaque usage une petit nettoyage afin de garder le plus longtemps possible son bel aspect.</t>
  </si>
  <si>
    <t>Parfait Câble XLR/XLR parfait pour une connexion fantôme. Sa longueur de 3 mètres permet de laisser du champs entre le microphone et une table de mixage. Livré très rapidement, bien protégé.  Merci Amazon et Stagg.</t>
  </si>
  <si>
    <t>Très bien. Beaucoup moins cher que dans le commerce de proximité et produit identique. Je recommande donc vivement.</t>
  </si>
  <si>
    <t>Bof Alors le son est correct, la réduction de bruit vous pouvez l’oublier, et pour le sport n’y pensez même pas.  Mes points négatifs: - au bout de 5 minutes j’ai mal aux oreilles car la mousse n’est pas de bonne qualité donc on sent une pression. - il n’y a clairement pas de réducteur de bruit ou alors il ne fonctionne pas sur mon modèle. - le son n’est pas réglable si vous êtes sur un pc. Uniquement via le pc. - qualité un peu cheap mais à ce prix il fallait s’y attendre.  Point positif oui il y en a: - bonne réception pas de latence et à plus de 6m. - tien une bonne journée c’est même un excellent point. - le design - pas trop cher comparé à certaine marque!</t>
  </si>
  <si>
    <t>Sa ne marche pas. Ne comprend pas. Mon appareil snaptouch neuf. N accepte pas sais photo. Pourquoi Il veut des photo zink. Aure sais du papier photo zink non... Que se passe t'il. Que doit je faire</t>
  </si>
  <si>
    <t>Déconseillé. Le produit que j'ai reçu etzit très sale avec de la salicusure dessus ! Ignoble je déconseille !</t>
  </si>
  <si>
    <t>commentaires Je ne suis pas satisfaite. je trouve que la chaleur dure moins longtemps qu'avec les bouillotes avec de l'eau. Le passage au micro onde pour chauffer n'est pas idéal. de plus je trouve que les graines à l'intérieur  ça fait mal au dos.</t>
  </si>
  <si>
    <t>Joli Élastique à revoir</t>
  </si>
  <si>
    <t>Satisfait Tiens bien chaud aux pieds</t>
  </si>
  <si>
    <t>Chaussure relativement confortable . Bon rapport qualité prix Chaussures relativement confortables . C’est un réel bonheur de travailler avec . Cependant petit b mol elles ne sont pas perméable .</t>
  </si>
  <si>
    <t>Satisfaite Très bon produit, fonctionne bien, je mets 4 étoiles car le fil de branchement est assez court du coup il faut vraiment rester à proximité d'une prise, de plus la ceinture n'est pas très large . A part ça très satisfaite</t>
  </si>
  <si>
    <t>Très confortable Chaussures très confortables et de bonne qualité dignes de Merrell. Il a fallu cependant faire un retour le 41 étant trop petit... le 42 est parfait!</t>
  </si>
  <si>
    <t>bon produit chaussures de bonne qualités bien chaude et anti dérapante , taille peut être un peu plus grande ( perso j'ai pris une taille en dessous )</t>
  </si>
  <si>
    <t>Bien Bon pour dépanner</t>
  </si>
  <si>
    <t>Très bon produit Elle est sympa d'aspect, bonne dimension (1,2 L), fonctionne très bien, exactement conforme à mes attentes! Je recommande sans soucis</t>
  </si>
  <si>
    <t>Original Très bonne qualité ,jolie couleurs,dommage que le dessin soit symétrique</t>
  </si>
  <si>
    <t>pas cher belle chaine de bonne taille et de bonne qualité . Après de nombreux mois d'utilisation elle n'a pas bougé</t>
  </si>
  <si>
    <t>Très bon livre de lecture Mon fils a du mal en lecture. Les livres de la gamme l'aident véritablement à avancer. Il adore les personnages et les histoires. Je recommande. Le plus : les lettres muettes sont indiquées en bleus. 3 niveaux de lecture</t>
  </si>
  <si>
    <t>Confo Conforme</t>
  </si>
  <si>
    <t>Boucle d'oreille bleue légère et esthétique Jolie boucle d'oreille bleue correspondant au descriptif. Légère et esthétique peut convenir aussi bien à une femme ou enfant. Je recommande cet achat.</t>
  </si>
  <si>
    <t>Excellent Jean ,la classe quoi😘 Adapté à ma taille,je fais du T38, je choisis toujours du W28-32L c'est nickel. Acheté, reçu, porté direct.</t>
  </si>
  <si>
    <t>Produit de bonne facture Bon tenue pour ce pantalon Bonne couture Poche adapté à mon téléphone si je souhaite l amené avec moi pendant mes séances Taille très bien j ai eu un doute a son arrivé mais non parfait</t>
  </si>
  <si>
    <t>Top Super produit , confortable et adapté pour faire du sport !</t>
  </si>
  <si>
    <t>Lampe sur pied parfait ! Très contente de mon achat. L'emballage en parfait état. Installation en une minute. Vous pouvez régler en fonction de votre besoin l'intensité de lumière ou choisir entre les lumières chaudes ou froides ! Impeccable !</t>
  </si>
  <si>
    <t>Satisfait Livraison rapide, correspond au descriptif. A des poches partout et mon copain l'a adoré ! Cependant aimant à surveiller dans le temps, ils ont l'air fragiles.</t>
  </si>
  <si>
    <t>achat conforme réception rapide et produit conforme à nos attentes</t>
  </si>
  <si>
    <t>Bon produit Reçu rapidement, je fais l'essayage, il tient bien en place, le tissu est agréable, il a l'air solide et il n'y a pas de rembourrage ce qui pour moi est un gros plus. Il maintient bien (test saut et course légère) et il est confortable. Je fais un gros 85F, si je recommande je prendrais la taille au dessus pour être un peu plus à l'aise mais sinon il me va tout de même. A voir avec le temps et les lavages. Pour le prix, je suis très satisfaite de trouver un produit à ma taille qui maintient réellement.</t>
  </si>
  <si>
    <t>Très bien Ce Jogging en Coton respirant et Léger ,bien pour Printemps et Été. Confort en portant a la maison</t>
  </si>
  <si>
    <t>Oui et bof Désolé je reviens sur mon commentaire. Depuis quelques jours il y a des micros coupures et des grésillements se font entendre. Je ne sais pas pourquoi. Retour chez Amazon !</t>
  </si>
  <si>
    <t>Produit très fin Produits très fin pas idéal pour la saison, j'ail fais des précédentes commande et la qualité n'a rien de comparable</t>
  </si>
  <si>
    <t>ce n'est pas le produit que j'ai commandé Bonjour, j'ai reçu les tubes de colle avec un emballage standard pas comme sur la photo. malheureusement nous n'avons pas assez de temps pour les retourner</t>
  </si>
  <si>
    <t>New balance Jolie paire de basket je fais du 36 je les ai pris en 37 mais je pense qu'il faut avoir les pieds fin impossible de rentrer le pied dedans dommage . Je vais tenter 2 pointures au dessus .</t>
  </si>
  <si>
    <t>Cartouches trop chères pour le nombre de ml Je ne mets que trois étoiles en raison de la rapidité à laquelle elles se vident, si l'on ramène le coût au litre on est à plus de 1600€ le litre d'encre...No comment! En revanche rien à redire sur la qualité d'impression.</t>
  </si>
  <si>
    <t>bottines je vous remerci mes bottines me conviennes je suis bien dedans un peu dure au bout mais je m'y ferais</t>
  </si>
  <si>
    <t>Un peu comme un Decathlon Bien taillé, je mets d'habitude bdu M et cae va, je dirais que les tailles sont bonnes</t>
  </si>
  <si>
    <t>bien RAS</t>
  </si>
  <si>
    <t>top Ces biberons sont très beaux, pas encore testés car achetés en prévision de l'arrivée de bébé. Les motifs correspondent à la photo. EN revanche attention : vous aurez 4 biberons 160ml et non 2 de 130ml et 2 de 160ml ; en effet j'ai contacté le vendeur après réception du colis et il m'a dit avoir demandé à amazon plusieurs fois de modifier la description ce qui n'a pas encore été fait, alors ne soyez pas surpris. Kit parfait pour débuter.  Si mon commentaire vous a été utile, n'hésitez pas à le préciser ci-dessous ;)</t>
  </si>
  <si>
    <t>Rapport qualité prix au top. Très très jolie montre offerte à Noël ! Reçu dans une élégante grise, qui peut être réutilisée comme porte papier. Très bonne qualité, les détails sont soignés, fidèle à la photo. Le bracelet est assez grand, peut convenir à des poignets larges. Je recommande.</t>
  </si>
  <si>
    <t>Bon casque Bluetooth Ce casque est bon rapport qualité/prix. Il est livré dans une petite malette très sympathique. La qualité de son est très correcte et le réducteur de bruit permet d'éliminer les sons parasites extérieurs relativement bien.</t>
  </si>
  <si>
    <t>Une Led Les trois lampes Led fonctionnent, pratique pour un placard , un rangement ou une l'entrée. La les nécessité 3 pile Aaa</t>
  </si>
  <si>
    <t>Parfait Ces bracelets étaient un très bon achat parce qu'ils peuvent être portés séparément ou que je les porte, ensemble. Ils sont exactement comme la photo, et très faciles à mettre et à enlever car ils sont élastiques.</t>
  </si>
  <si>
    <t>tres bon produit（————+！！） Écouteurs très agréable a porter avec un très bon son. Un bluetooth qui fonctionne même si on très loin du téléphone. Son boitier ce charge très rapidement et est très pratique pour ranger les écouteurs. Les écouteurs s'aimante à la boite ce qui est très utile pour ne pas les perdre si par malheur la boite s'ouvrirait（——+——+——）！</t>
  </si>
  <si>
    <t>genial j'ai une fille de 5 ans et croyez moi les taches ,je connais....mais avec ce savon magique , je suis tranquille,mème des taches anciennes partent comme par magie...il faut frotter un peu quand mème !!!!</t>
  </si>
  <si>
    <t>Conforme à la description Conforme à la description. Idéel pour ma plastifieuse. 100 feuilles pour ce prix raisonnable 11 centimes la feuille !</t>
  </si>
  <si>
    <t>5 étoilesun jouet de très bonne qualité Acheté comme cadeau pour ma fille, cette dernière est ravie. le miro est volumineux, il tient bien dans la main, la qualité du son est bonne. il peut servir d'enceinte bluetooth. Il est rechargeable via USB et dispose d'un bonne autonomie. Son mode Karaoké est super, on passe de bon moment avec.</t>
  </si>
  <si>
    <t>Bonne qualité Look très sympa</t>
  </si>
  <si>
    <t>Jaime beaucoup Tres bien produit</t>
  </si>
  <si>
    <t>tres bien conforme a la description</t>
  </si>
  <si>
    <t>Bonne idée cadeau Très bonne idée cadeau. Le blanc est un peu plus petit pour la femme. Un peu grand pour mon petit poignet mais ça tient quand même. Bonne qualité.</t>
  </si>
  <si>
    <t>Livraison rapide. Très mignon et très discret.</t>
  </si>
  <si>
    <t>Vraiment tip top ! D'abord les messages de l'équipe : sympas, rigolos et qui donnent vraiment l'impression d'exister en tant que client, pas seulement en tant que porte-monnaie ou CB, merci !!! Ensuite les écouteurs/kit mains libres : jolis, de couleur vive et de belle finition, au son clair (avec un poil trop d'aigus pour mes oreilles), ils sont présentés dans une jolie petite boîte cylindrique métallique, et livrés avec un petit sachet de transport de couleur assortie, 2 paires de mousses à mémoire de forme de couleur également assortie et de diamètres différents + 4 paires de mousses classiques noires (en 4 tailles différentes également), donc de quoi s'adapter à toutes les oreilles et tous les environnements... et c'était le but recherché par cette commande, pour aider un grand voyageur à affronter plus sereinement  les transports en commun de plus en plus bruyants : mission accomplie, encore merci !!! Sachant qu'en plus, cerise sur le gâteau, ils sont garantis 5 ans, pas d'hésitation pour recommander ces écouteurs ET l'équipe de KLIM les yeux fermés (ou presque :D ) !!! Mon seul regret : que cette joyeuse mais sérieuse équipe ait été obligée de s'expatrier à Hong-Kong pour travailler : La France ne sait plus protéger ni conserver ses talents, dommage !</t>
  </si>
  <si>
    <t>TRÈS CONFORTABLE Chaussettes confortable et d'une épaisseur correcte. J'en commande un nouveau lot!</t>
  </si>
  <si>
    <t>Parure Collier et Boucles d'oreille 2 Coeurs... la commande je les reçu un mois aprés l'avoir commandés  alors que c'était censsé etres un cadeaux !!  made in chine envoyé depuis la chine !  je ne recommande pas l</t>
  </si>
  <si>
    <t>bijou de qualité moindre qui ne donne pas du tout le même rendu que sur la photo ça fait vraiment très cheap... attention aux bracelets avec les boules, elles ne sont pas fixes et glissent sur le bracelet du coup ça forme un tas d'un côté ou de l'autre, vraiment pas joli, rien à voir avec la photo je ne recommande pas du tout ces 2 bracelets</t>
  </si>
  <si>
    <t>rectification ancien commentaire Je m'étais auparavant emmêlé les crayons et fait un mauvais commentaire sur ce produit qui fonctionne très bien, mon énervement concernait un cable imprimante usb et un autre vendeur surement mais je pensais que depuis le temps le commentaire serait dans les oubliettes, donc désolé , pour ce cable midi rien à redire, c'est parfait.</t>
  </si>
  <si>
    <t>Fuite à la tétine.. Le biberon est adopté par mon fils lui qui adore les pandas cependant le liquide passe à travers la tétine ce qui fait que ça déborde sans arrêt.. dommage.</t>
  </si>
  <si>
    <t>parfait conforme à la description Écouteur parfait Bose qui se respecte au niveau du son. autonomie correct comme annoncé je les utilises pour aller courir et et ils ne sont jamais tomber de mes oreilles.</t>
  </si>
  <si>
    <t>Basket Acheté pour ma fille elles sont tres bien il y a différentes couleurs elles peuvent soient clignoter soit rester allumées et elles éclairent fortement dans le noir</t>
  </si>
  <si>
    <t>UN PEU MOU EN BAS Atendance à se rouler en bas, mais néanmoins c'est un bon produit conforme à mes attentes</t>
  </si>
  <si>
    <t>parfait pour mon fils qui en est tres content,taille comme indique sur l’annonce on en est content bonne qualité merci beaucoup</t>
  </si>
  <si>
    <t>Diffuseur d’huile zen J’ai acheté ce produit pour que ma maison sente bon , pour dormir mieux et que l’air Soit plut saint ...je trouve qu’il est aussi très agréable, pas trop gros ni trop petit. Il se font dans ma décoration.</t>
  </si>
  <si>
    <t>De bonne qualité Ces deux brosses reçues - une naturelle, une noire -, semblent de bonne qualité: en crin de cheval et fabriquées en Allemagne...</t>
  </si>
  <si>
    <t>Conforme à mon attente. J'avais la même il y a de nombreuses années.</t>
  </si>
  <si>
    <t>Bon article Je suis pleinement satisfait comme toujours, merci !!</t>
  </si>
  <si>
    <t>Qualité parfaite. Un excellent article, communication très cordiale. Une découverte heureuse. je confirme ce que je viens d'écrire... Par ailleurs j'ai déjà fait un commentaire (analogue) il y a plusieurs semaines. Satisfaction totale. Merci.</t>
  </si>
  <si>
    <t>Micro cravate Fonctionne très bien je l'utilise avec un dictaphone 👍</t>
  </si>
  <si>
    <t>superbe table de massage très bonne qualitè pas trop lourde. J'aime bien car on peut la transporter facilement et il est tres comfortable</t>
  </si>
  <si>
    <t>impeccable pas de mauvaise surprise sur le produit la qualité est restée la même soit très bonne taille correspondante livraison dans les temps</t>
  </si>
  <si>
    <t>Très bien Les protèges têtières sont parfaitement adaptables sur ma chaise de massage Tec Take. Et, coutures bien pensées lors de la pose du visage !</t>
  </si>
  <si>
    <t>genial tres bon produit</t>
  </si>
  <si>
    <t>Livraison en 1 jour...merci Excellente qualité sonore, son très propre lors des appels, et le point non négligeable c'est l'autonomie "Très bonne autonomie" Excelent produit sur l'ensemble.</t>
  </si>
  <si>
    <t>Chaussure de neige et randonnées Chaussure de randonnée et neige , étanche , la taille correspond à la description. La matière est légère et étanche, facile à nettoyer. Semelles anti dérapant. Produits correspond bien à la description du vendeur.</t>
  </si>
  <si>
    <t>Très bonne qualité! La plastifieuse est parfaite, les finitions sont excellentes, plastique de très bonne qualité. Très simple d’utilisation, fait sont travail à la perfection. Rien a redire, tout est positif. 👍</t>
  </si>
  <si>
    <t>Cartouches d'encre J'ai une Epson XP 205 et ça marche super avec cette imprimante. Comme d'habitude, on a le message de l'imprimante pour dire que ce ne sont pas des cartouches d'origines, mais cela ne pose aucun problème pour imprimer. Les couleurs sont fidèles et on a de quoi faire avec un pack pareil de cartouches ! Je recommande.</t>
  </si>
  <si>
    <t>génial elle son très jolie,conforme a la description sur la photo, confortable, donc rien à dire si que je vous le recommandé</t>
  </si>
  <si>
    <t>Attention danger La bouilloire est brûlante quand on l a touché...</t>
  </si>
  <si>
    <t>FAUX PULL CHAMPION C'EST UNE ARNAQUE !!! C'est une pure Anarque ! Ceus sont de faux pulls Champion ! Le Logo C, n'est pas sur la manche; et le mot Champion sur le torse est un collage ! C'est honteux  Amazon !</t>
  </si>
  <si>
    <t>Une belle montre inconfortable! Oui, c'est une belle montre. Elle donne l'heure (même dans le noir!) et la date. Mais avec le bracelet d'origine, cette montre est inconfortable. La molette de réglage est irritante voire blessante. Je me suis donc procurer un autre bracelet (Fossil AJR1365). Et là, le confort y est!</t>
  </si>
  <si>
    <t>bracelet pandora retourné taille trop petit une fois que j'y ai placé tous les charms. Toutefois, je dois souligner la beauté du matériaux, le sérieu de la boutique pandora et la qualité des emballages de livraison.</t>
  </si>
  <si>
    <t>Joli Bon sac pratique.</t>
  </si>
  <si>
    <t>Très bon rapport qualité prix Cartable dont les dimensions correspondent tout à fait à son usage.. Il est possible d'y loger un ordinateur portable sans difficulté. Cet article fait l'objet d'une finition soignée !</t>
  </si>
  <si>
    <t>Conforme Produit conforme à la description</t>
  </si>
  <si>
    <t>Claquettes Parfait</t>
  </si>
  <si>
    <t>Super et prix canon Je trouve super ses montres à petit prix. Super qualité et franchement pour le tarif on peut avoir une jolie collection pour très chère.</t>
  </si>
  <si>
    <t>Bon produit Mon bébé de 3 mois aime beaucoup les biberons de cette gamme et marque. Aucune fausse route ni de colique.</t>
  </si>
  <si>
    <t>Un micro qui offre une qualité professionnelle Ce microphone est très facile d''utilisation et permet des enregistrements de très grande qualité. Le prix, qui peut paraître élevé par rapport à d'autres produits similaires, se justifie pleinement compte tenu de la fiabilité tant matérielle qu’acoustique de ce matériel.</t>
  </si>
  <si>
    <t>belle piece belle brillante et bien emballé.</t>
  </si>
  <si>
    <t>Simple et efficace Pas de souci d'installation.  Le dongle usb est enfiché dans le pointeur : pratique pour ne pas le perdre.  La portée est bonne. le pointeur laser rouge est également efficace.  Le pointeur fonctionne avec deux piles non fournies.  Pas de driver a installé.</t>
  </si>
  <si>
    <t>Marque au top J’adore la marque et les biberón sont top! Mon bébé adore!</t>
  </si>
  <si>
    <t>Zenacolor, je les adore... Ces feutres sont parfaits pour colorier les petites surfaces. Pour moi qui suis fan des STABILO (j'utilise les PEN 68 et les PEN 88 en artherapie), maintenant je préfère ceux là qui glissent mieux sur le papier. 60 feutres sans doublons, dans une boite en metal et à ce prix je ne regrette vraiment pas mon achat.</t>
  </si>
  <si>
    <t>Plus jamais sans mon casque J’ai acheté ce casque pour la réduction du bruit notamment dans les transports pour moins faire souffrir mes oreilles à mettre trop fort le son et c’est parfait. On entend que très peu le bruit du métro et les discussions des passagers passent inaperçues, un vrai bonheur. Le casque est esthétique, et très facile d’utilisation. Rapport qualité prix parfait. Je recommande.</t>
  </si>
  <si>
    <t>Un bon sac Un bon sac avec le vrai cuir de qualité. Le prix n'est pas cher selon la matière, un sac comme ça dans les grands marques est au moins 50 €.  Assez de poche pour mettre les petits trucs.  On peut mettre comme un sac à dos ou mettre en avant. Un sac à dos pour être stylée mais à Paris ça peut être dangereux..</t>
  </si>
  <si>
    <t>Parfait pour nettoyer les robinets Tout bête mais indispensable pour enlever le calcaire des robinets (on le remplit de vinaigre blanc et on attend!) S'adapte sur tous les robinets facilement</t>
  </si>
  <si>
    <t>!!!!! usage quotidien confortable bon rapport qualité prix</t>
  </si>
  <si>
    <t>Trop belle Super et taille impeccable</t>
  </si>
  <si>
    <t>Pratique Je l ai acheté pour un ami il été trop content</t>
  </si>
  <si>
    <t>super montre super montre je l'ai depuis 4 ans et marche nickel! sel bémol le thermomètre affiche toujours plus que la normale</t>
  </si>
  <si>
    <t>Ideal Idéal pour les excursions a quelques heures de route (non teste a la maison) Chauffe rapidement et à bonne température Au top</t>
  </si>
  <si>
    <t>trop petit retour</t>
  </si>
  <si>
    <t>Perd ses poiles . Méticuleuse quant aux soins apportés  à mes souliers et tiags en cuir et constater que la brosse perd ses poils !!! Je la déconseille vivement !</t>
  </si>
  <si>
    <t>Hyper décevant ! J'ai commandé 2 articles de ce produit Suite aux commentaires positifs et prix attractifs. Serieux Ikea fait bcq mieux !  Mémorisation des stations : on n'a pas la main ! Cest automatique certes mais on ne peut pas choisir la station à mémoriser et aucun nom de station affichée. De plus il faut balayer ttes les stations pour trouver la bonne.  La lumière d'ambiance n'est possible que si il y a un branchement secteur.  L'heure ne reste pas affichée en permanence si on le désire  Si un des 2 articles l'alarme ne fonctionne pas !  La qualité me semble bonne .. mais franchement pour le prix et la facilité d'usage c'est très très moyen  Je suis extrêmement déçue !</t>
  </si>
  <si>
    <t>Moyen Pas trop cher, mais se découpe pas. Il faut un ciseau</t>
  </si>
  <si>
    <t>Garantie du produit Mon grille pains a cesser de fonctionner hier sans provoquer de court circuit. L'alimentation électrique n'est pas en cause. Est il toujours sous garantie? Jusqu'à ce jour il m'avait donné satisfaction. Merci pour votre réponse.</t>
  </si>
  <si>
    <t>Satisfaite. Rien de plus naturel ! Super en soin pour les cheveux. Concernant la peau, je ne sais pas si ça hydrate correctement car je m'en suis servi pour ne pas avoir de vergetures lors de ma grossesse mais ma peau a tout de même craquée. A une odeur très spécial, désagréable pour ma part parcontre. Mais je recommande quand même.</t>
  </si>
  <si>
    <t>Top Design vintage super et conforme à la présentation. Une bonne idée de cadeau à un prix très abordable. Produit de qualité, comme toute la gamme.</t>
  </si>
  <si>
    <t>Excellent rapport qualité prix. Chaussure trés agréable en Course à pied .</t>
  </si>
  <si>
    <t>Satisfaite Très bonne article , livraison soignée,les baskets taillent bien et sont conforment à la photo bonne qualité . Je recommande .</t>
  </si>
  <si>
    <t>L'ambiance devient chaleureuse... Il est vêtu d'une imitation bois de bonne qualité. Je l'utilise tous les jours pour rendre agréable l'atmosphère de la maison, j'en suis plus que ravi et ma copine aussi. Plusieurs fonctions de réglages et différentes lumières. Je précise que j'ai reçu l'article avec une prise adapté en France.  Très bon rapport qualité - prix.</t>
  </si>
  <si>
    <t>aider avec l'arthrose Ce produit peut réduire les symptômes de l'arthrose du genou, une amélioration significative de la douleur après l'utilisation pendant environ cinq semaines. c'est vraiment utile, je le recommande vraiment.</t>
  </si>
  <si>
    <t>Plus jamais froid aux pieds!!!!! Super confortables, bien chauds pour l'hiver et ils tiennent bien aux pieds!!!!</t>
  </si>
  <si>
    <t>fait ce qu'on lui demande correspond à la taille,bonne tenue.Parfait pour le sport,sèche vite , ne blesse pas au niveau des bretelles ou de la fermeture</t>
  </si>
  <si>
    <t>Super Contente de mon achat, chaussures de course légères, bonne taille.</t>
  </si>
  <si>
    <t>Bouilloire design, pratique Bouilloire design, pratique. Je recommande.</t>
  </si>
  <si>
    <t>Livraison &amp;amp; qualité prix impeccables ! Traitement (merci vendeur) et livraison rapide (merci la poste !) pour un produit ayant un bon rapport qualité/prix. J'avais vu le commentaire ** mais j'ai tenté le coup et je ne regrette pas... Peut-être que la qualité a été améliorée depuis mais en tous les cas le plastique utilisé est correct. Ils sont rares les plastiques qui ne se collent pas ensemble (électro-statique oblige !) A voir à l'usage mais on ne sort pas tous les jours la carte grise de son étui !!!</t>
  </si>
  <si>
    <t>Top ! Acheté pour une imprimante laser samsung Xpress M2078w, elle s'adapte parfaitement et rempli parfaitement son rôle pour le moment. À voir sur la durée..</t>
  </si>
  <si>
    <t>Tétine 0-6 mois col étroit OK J'avais du mal à trouver la tétine col étroit Dodie 0-6 mois, 3 vitesses, c'est désormais chose faite. L'embout est tout petit, parfait pour un nouveau-né, il ne fait plus glouglou comme il faisait avec MAM. En effet, les vitesses permettent de gérer le débit, c'est mieux.</t>
  </si>
  <si>
    <t>tres efficace je ne connaissait pas du tout.1 amie m en a parlé et c est vraiment super efficace.je vais en racheter pour en mettre dans toute la maison.!!placard tiroir ect....je l ai mis dans 1 angle de chez moi qui noirci toujours et plus rien.</t>
  </si>
  <si>
    <t>Pratique Superbes écouteurs bluetooth se tiennent bien aux oreilles et très confortables. C'est très facile à utiliser!</t>
  </si>
  <si>
    <t>Super Basket Merci Beaucoup Pour Les Baskets. Super.</t>
  </si>
  <si>
    <t>Super Parfait pour une petite cuisine, si j'avais su je l'aurai acheté dès mon 1er enfant</t>
  </si>
  <si>
    <t>Branchement midi Utilisé pour brancher en midi un expandeur sur un piano électronique.</t>
  </si>
  <si>
    <t>Mal Ils sont trompé de couleur</t>
  </si>
  <si>
    <t>Lacets hickies Très décevant, élastiques trop courts,ce qui rend les chaussures très difficiles à mettre Beaucoup moins pratiques que les autres et plus chers</t>
  </si>
  <si>
    <t>catastrophique chaussures de mauvais qualites ahcetetes en juillet et mises en septembre la semelle est trouee de partout a l'interieur ca part en morceaux je deconseille tres fortement</t>
  </si>
  <si>
    <t>Peu odorantes Effectivement l'emballage est très joli, ça pourrait être une bonne idée cadeau, mais je trouve que les huiles essentielles ne sentent pas grand-chose....  Je suis donc très déçue de mon achat...</t>
  </si>
  <si>
    <t>Montre automatique fossil Rapide sérieux produit conforme je recommande</t>
  </si>
  <si>
    <t>👍 Très jolie</t>
  </si>
  <si>
    <t>déçue Article reçu non conforme à la commande noir au lieu de se zèbre decue dommage....  je n'ai pas fait de retour car j'avais besoin de ces chaussures</t>
  </si>
  <si>
    <t>Super produit!!!!! J'adore je recommande ce produit aux mamans. L'eau coule instantanément et à la bonne température fini les pleurs  de bébé en attendant son bibi.</t>
  </si>
  <si>
    <t>Bien Très sympas ne convient pas à une enfants de moins de 6/7 ans</t>
  </si>
  <si>
    <t>Pratique Rien à redire, ces boites sont parfaites. J'en ai acheté deux lots dès les premiers jours de mon bébé, pour pouvoir préparer d'avance les doses de biberons de la journée et de la nuit. Je n'ai plus qu'à verser la dose toute prête dans le biberon d'eau préparé, lui aussi, en avance, et nickel. Hyper pratique pour les nuits, et pour faire rapidement le biberon quand bébé pleure de faim</t>
  </si>
  <si>
    <t>Bien mais cher Très pratique pour avoir la bonne température de biberon. Prix un peu excessif juste pour chauffer de l’eau.</t>
  </si>
  <si>
    <t>je ne prends que la marque d'origine correctement emballées ces cartouche de la marque d'origine me convient tout a fait ,car j'ai voulu essayer avec des  cartouches adaptables avec mon ancienne imprimante j'ai eu de gros soucis</t>
  </si>
  <si>
    <t>Super ! Bonne basse, agréable à porter et très bonne autonomie Alors j'ai été agréablement surpris de la qualité de ces écouteurs ! Je pensais acheter des écouteurs Bluetooth basique (voir de mauvaise qualité) et ils sont vraiment supers ! La qualité de son est très bonne (bonnes basses comme on les aime), agréable à porter (pas comme les écouteurs intras quon à l'habitude d'utiliser), ils tiennent bien pour le sport (course notamment ) et je suis surpris car la batterie tient vraiment longtemps ! Pour conclure, je suis vraiment très satisfait de ces écouteurs. Je pensais seulement les utiliser pour le sport, mais finalement je les utilise aussi dans la vie de tout les jours.</t>
  </si>
  <si>
    <t>excellent Très bon rapport qualité prix. Voilà, deux jeunes filles très heureuses de leurs achats. Nous le recommandons à toutes les personnes.</t>
  </si>
  <si>
    <t>Parfait comme tous les Dodies Comme tous les Dodies, résistant, beau et pratique. J'apprécie toujours autant les tétines 3 vitesses qui s'adaptent à chaque enfant et à leur vitesse de succion. Ils tiennent très bien en main et se lavent facilement. On peut tout faire d'une main, l'ouvrir, le fermer, sans aucun problème. Pratique quand on a bébé dans les bras. Les tétines Mam s'adaptent aussi très bien dessus mais ne touche pas le bouchon, alors attention aux fuites si vous en utilisez.</t>
  </si>
  <si>
    <t>Tip top Très bon. L'intérieur semble bien protégé (contre la pluie), la finition des coutures est impeccable, j'y range mon apn et mon smartphone. Convient à mes attentes.</t>
  </si>
  <si>
    <t>Masseur à épaules et dos Fait beaucoup de biens aux épaules et au dos Il suffit de le brancher sur secteur. Ensuite il y a boutons, un pour allumer et éteindre, un pour changer le sens de rotation des boules massantes, un autre pour mettre la chaleur ou nom et enfin un dernier bouton pour régler la puissance. Donc plusieurs combinaisons pour choisir précisément ce dont j'ai besoin, ça me convient en tout cas</t>
  </si>
  <si>
    <t>conforme à la photo conforme à la photo convient tout à fait à mes attentes je le recommande sans hésitation</t>
  </si>
  <si>
    <t>Très bien pour les eczémateux L'huile de chanvre est excellente pour les personnes souffrant d'eczéma ou de dartres. Elle soulage la peau quasi immédiatement. Mon fils a de l'eczéma dans le cou, il a une crème à la cortisone mais une fois que le traitement est fini, la peau est super fine et fragilisée. Il se masse avec cette huile et la peau se régénère plus vite. Quant à moi qui ait de l'eczéma derrière les oreilles, je n'utilise plus de cortisone ;  j'applique en massant cette huile de chanvre et c'est tout.</t>
  </si>
  <si>
    <t>J adore J adore il est très beau et de bonne qualité. Je le complète avec un  autre bracelet de la marque. Heureusement qu il y a un maillon complémentaire car autrement je n aurai pas pu le mettre.</t>
  </si>
  <si>
    <t>Conforme à mes attentes! Emballage correct, reçu dans les délais, font le job!</t>
  </si>
  <si>
    <t>huile de massage à l'ARNICA J'utilise depuis de longues années cette huile de massage à l'arnica. Comme je pratique le vélo, skis de fond etc , je confirme qu'il est excellent pour la préparation et récupération musculaires comme indiqué sur le descriptif .  Le plus pour moi, c'est le meilleur produit  pour calmer mes douleurs cervicales .</t>
  </si>
  <si>
    <t>Confortable Brassière confortable à porter durant mes divers loisirs sportifs. Pour un meilleur confort, celui-ci est élasthanne pour un maintien agréable. La qualité globale de fabrication est très bonne. Le plus est est la possibilité de retirer les coussins.</t>
  </si>
  <si>
    <t>Sacs pratiques et solides D'une taille confortable avec les liens coulissants pratiques pour le transport vers un container poubelle  et suffisamment grand pour ne pas forcément le jeter tous les jours. Aucune fuite. Top.</t>
  </si>
  <si>
    <t>Montre Casio je met cette note basse , car le produit ne correspond pas à la description , qui est faite . le boitier est en plastique ?  alors qu'il est annoncer en acier . la documentation n'est pas en français ? contrairement à la loi de la consommation en France .</t>
  </si>
  <si>
    <t>Arnaque Beaucoup trop petit ! On ne peut rien écrire dessus ! La photo est trompeuse ! De plus,  impossible de renvoyer cet article ? Pas bien!!!!!</t>
  </si>
  <si>
    <t>MASQUE OCULLAIRE J AI CHOISI CETTE NOTE DANS LA MOYENNE CAR VENANT D ETRE OPEREE DES PAUPIERES JE NE PEUX ENCORE PAS M EN SERVIR JE REVOIS MON CHIRURGIEN ET JE VERRAI SI JE PEUX LES METTRE OU PAS</t>
  </si>
  <si>
    <t>Fonctionne bien mais pas économique en film Chaque soudure nécessite plusieurs (4, selon moi) centimètres de film gaspillés. Cela provient de la trop grande distance entre le réceptacle à vide et la zone à soudure. Autrement, le produit est bien, pratique, pas trop lourd. Je ne sais pas s’il existe des films/sacs compatibles avec cette machine&amp;nbsp;; parce que je crains que la marque se rémunère beaucoup sur les fournitures. Donc, fonctionne bien mais onéreuse à l’utilisation, selon moi.</t>
  </si>
  <si>
    <t>Très belle montre! J'ai pris cette montre à mon compagnon pour son anniversaire. La montre est plus jolie en vrai que sur la photo. Elle est très élégante et elle est parfaite pour des poignets fins car le cadran n'est pas trop gros. Elle est juste à la bonne taille! Bracelet un peu rigide au départ mais j'espère qu'il se détendra avec le temps… La montrer est arrivée dans le colis emballée dans du papier bulles en dehors du coffret Seiko. Le coffret était légérement abîmé.. Il n'y a pas d'indication "Made in Japan".</t>
  </si>
  <si>
    <t>Tissu de bonne qualité mais la taille ne correspond pas decue Mal taille</t>
  </si>
  <si>
    <t>Bien Petite bouilloire qui fait bien son job . Je l'ai faite bouillire 2 fois pour lever un peu l'odeur de plastique mais au final ca n'a aucun incident sur le goût de l'eau . Légèrement lente à chauffer comparé à mon ancienne bouilloire 2200watt . Mais pour le prix c'est trés bien .</t>
  </si>
  <si>
    <t>Ideal cadeau Conforme a mon attente</t>
  </si>
  <si>
    <t>Matière agréable maïs légèrement transparent matière très agréable, petit bémol c’est qu’il est très légèrement transparent Pour une taille 38 c’est assez grand au niveau de la taille mais heureusement il y a un lacet pour pouvoir le serrer.</t>
  </si>
  <si>
    <t>super a partir de 4 mois Des 4 mois pour les fruits cuits et ensuite pour la decouverte du pain , biscuits. Se lave et se transporte facilement , idéal aussi pendant les poussee dentaires , tres bon produits</t>
  </si>
  <si>
    <t>Jolies Achetée pour la fête des mères.  Elles sont très jolies, fines et délicates. Reçu en 2jours. Je pense qu'elles devraient plaire. Je recommande.</t>
  </si>
  <si>
    <t>Très bonne bouilloire Bouilloire très bien conçue.Très beau design, chauffe rapidement.Elle permet de consommer les thés et les tisanes à la température souhaitée.Je ne regrette pas cet achat...</t>
  </si>
  <si>
    <t>Bon rapport qualité / prix Rien à dire pour le moment, j’admets dépasser parfois les limites en terme de nombre de feuille et la machine déchire le tout sans trop broncher ! Si je dois trouver un point négatif, c'est le bouton reverse situé en fin de course du bouton OFF, il m'arrive parfois de pousser trop loin, et de voir des reste de papier remonter dans la fente du destructeur. pas très esthétique, mais pas dramatique non plus !</t>
  </si>
  <si>
    <t>Superbe Parfait 👌</t>
  </si>
  <si>
    <t>pratique Écouteurs intra-auriculaires avec le bouton. Il peut faire pause et passer à la chanson suivante&amp;nbsp;ou précédant selon la situation. Pratique pour moi quand je fait du vélo.</t>
  </si>
  <si>
    <t>Parfait Parfait correspond a met attente bonne, taille , bon contours, bon tenure, se porte léger et n'étouffe pas  Très content !</t>
  </si>
  <si>
    <t>chaussure de marche très bonne basket</t>
  </si>
  <si>
    <t>qu'il est très bien très satisfaite</t>
  </si>
  <si>
    <t>top une montre top. diesel rien a redire</t>
  </si>
  <si>
    <t>super rapport qualité simple, fiable et robuste. Top!</t>
  </si>
  <si>
    <t>bien faut prendre sa pointure normal " HOMME " la qualité est la .</t>
  </si>
  <si>
    <t>Une montre magnifique de très bonne facture Cela fait trois mois que je porte cette montre quotidiennement, et j'en suis très satisfait. Aucune défaillance n'est à signaler, que ce soit au niveau du système d'heure ou de fermeture du bracelet. Même en aillant subit la pluie et la chaleur, la couleur est toujours intacte. Concernant la vitre, il est déjà arrivé que celle-ci frotte contre un mur ou tape contre quelque chose d'autre, et aucun dégât n'est apparent sur cette dernière. Je suis très satisfait de mon achat, c'est une montre élégante et résistante à un prix raisonnable, je la recommande donc.</t>
  </si>
  <si>
    <t>PARFAIT La couleur est très belle !!</t>
  </si>
  <si>
    <t>Parfait Legging de très bonne qualité merci j’adore et recommande</t>
  </si>
  <si>
    <t>passe d'un extrême a l'autre le lait que j'utilise est du lait épaissi pour régurgitations, autant les autres tétines ne laisse rien passer  c'est la galère, et là même avec de la farine au secours sa déborde de partout, le modèle "avent normal" était ou est bien plus pratique, mais je ne prendrai la gamme AVENT</t>
  </si>
  <si>
    <t>Très décevant Habituée depuis 15 ans à porter des Havaianas, ce modèle est très inconfortable: les lanières blessent les orteils. Une tong n'est pas conçue de la même manière au niveau de la lanière ce qui blesse encore plus le pied. De plus la taille est plus grande que d'habitude (en prenant la même pointure bien sûr...)</t>
  </si>
  <si>
    <t>SANYTOL MEDIOCRE BONSOIR SUIS PAS CONTENTE DE VOTRE PRODUIT SI DISSOUT TRES MAL VOIR PAS DU TOUT CA M A TACHE TOUT MON LINGE MERCI DE REMBOURSER AU PLUS VITE CORDIALEMENT LAURENCE</t>
  </si>
  <si>
    <t>Joli Collier Discret et Féminin, je reste un peu déçue par la taille du collier qui est vraiment grand, on s'attends à ce qu'il doit vraiment au ras du cou</t>
  </si>
  <si>
    <t>Trop grand J’ai retourné le produit car beaucoup trop grand</t>
  </si>
  <si>
    <t>Beaux Acheté en double, dont un pour offrir, ces pendentifs sont très différents l'un de l'autre. L'un a une multitude de reflets, alors que l'autre est plus "ordinaire". La pierre est pourtant bien de la labradorite... Le chaîne est trop longue pour mon usage, je l'ai remplacée par un cordon en tissus. Quant aux "propriétés" de la pierre, ça reste à voir.</t>
  </si>
  <si>
    <t>super pour le prix exellent</t>
  </si>
  <si>
    <t>Très pratique le réglage de température. Un peu bruyant mais chauffe rapidement donc la gêne est courte. Très pratique la consigne de température et très simple d'utilisation. Le calcaire n'accroche pas trop à l'intérieur. L'ouverture du couvercle est un peu petite pour le nettoyage ou le remplissage.</t>
  </si>
  <si>
    <t>Satisfait ! Super belle montre, arrivée dans les temps. Juste une petite déception au niveau des photos où on nous présente une montre tres fine (plus fine qu'un smartphone d'après la photo) mais à la réception on s'aperçoit que la montre est en fait assez épaisse et que ce n'était pas visible sur les photos.</t>
  </si>
  <si>
    <t>Sûrement parmi les meilleurs rapports qualité-prix du marché Bon casque, dangereux concurrent des fabriquants les plus chers pour les clients un peu néophytes en matière de son (comme moi). Mon jugement est bien évidemment lié au prix de la bête ! Je cherchais un casque de ce type pour changer des intra-auriculaires et avec réduction de bruits pour pouvoir mettre le son le plus bas possible et toujours entendre musique ou vidéo et ne pas me bousiller les oreilles en cas de bruits extérieurs importants (métro, bus, avion)qui me forcerait à pousser le volume. Et en dehors de l'impression d'oreilles bouchées lorsque l'ANC est activée, je dois dire que ce casque fait du très bon travail. Plus jamais je ne me risque à pousser le volume de mon téléphone pour mieux entendre car je n'en ai simplement plus besoin ! Alors évidemment ça ne vaut peut-être pas un Bose ou un Marshall, mais c'est loin d'avoir le même prix, donc ma foi, je suis preneur ! Ah oui, bien entendu il est livré avec tous les accessoires, housse rigide, câble aux, câble de chargement micro USB, et prise avion.</t>
  </si>
  <si>
    <t>Bonnes chaussures Je chausse du 43 et j'ai donc commandé ma taille.les chaussures sont confortables et pas trop grosse, par contre le niveau de sécurité est "SB" donc sa suffira pour des vendeurs, mais pas pour les chantiers.</t>
  </si>
  <si>
    <t>Très bonne idée de cadeau Très jolie bracelet fin et ajustable. Conforme à la description je l'ai offert à une amie qui est ravie.</t>
  </si>
  <si>
    <t>Bon tee-shirt Ce tee-shirt est fiable, solide et beau à porter. Il est sobre mais d'une matière ultra résistante, les manches longues font de belles finitions.</t>
  </si>
  <si>
    <t>Difficile de changer la pile Mon ami adore cette montre c'est pourquoi je lui en ai racheté une seconde Dommage que la pile soit déjà en fonction quand on la reçoit</t>
  </si>
  <si>
    <t>Bon produit Bon produit pour ce prix, mais je n’aime pas trop la petit lumière qui reste allumée pendant l’utilisation je trouve ce n’est pas très discret</t>
  </si>
  <si>
    <t>Nickel Qualité. Taille.ok</t>
  </si>
  <si>
    <t>Hyper confortables Aide soignante ne pouvant plus porter de sabots</t>
  </si>
  <si>
    <t>qualité prix RAS que ça dur</t>
  </si>
  <si>
    <t>Marie le Au travail bloc operatoire confortable facile à laver</t>
  </si>
  <si>
    <t>Pas d'ampoules Je les ai acheté suite à mon intervention du dos pour ne pas porter mes chaussures à talons et bien je suis ravie pas d'ampoules moi qui en fait a chaque fois et hyper confortable du coup j'en ai deux paires</t>
  </si>
  <si>
    <t>Son prix J'ai acheté ce produit pour créer mes produits menagers</t>
  </si>
  <si>
    <t>super tres bon , je suis tres satisfait elle sont tres confortable et belles pour le prix</t>
  </si>
  <si>
    <t>Indispensable en toute circonstance Achat d'un lot standard de scotch and très utile en toute circonstance</t>
  </si>
  <si>
    <t>entierement satisfait ce produit est tres efficace les verres sont nrts et clairs et la vaisselle tres  propre nous sommes tres satisfaits</t>
  </si>
  <si>
    <t>Pas très bon C'est cheap et le rembourrage est comme polystyrène.</t>
  </si>
  <si>
    <t>Deçue J'ai commandé du 39 et je reçois du 44 !! Retour prévu donc, très déçue :car perte de temps et au final la confiance disparaît...</t>
  </si>
  <si>
    <t>3 jour Produit qui a fonctionné parfaitement 3 jours, puis plus rien. Malgré la petitesse du cable, j'ai bien fait attention lors de mes manipulation, je pense que le produit et trop fragile, ou alors je suis tombé sur une mauvaise sérié. Bien Cordialement.</t>
  </si>
  <si>
    <t>transport sans carton d'emballage tout les matins, de l'eau pour le the pas trop chaude ni trop froide . super</t>
  </si>
  <si>
    <t>Pratique par sa taille, mais... Pratique par sa petite taille, mais un peu difficile à ouvrir et quelque peu mal conçu puisque la poudre est libérée en tournant le couvercle, mais lorsque l’on verse la poudre de lait dans le biberon, des résidus de poudre se logent dans le couvercle et compliquent l’utilisation du produit (couvercle tourne mal). Un peu déçue... les doseurs à compartiments superposés sont nettement plus efficaces.</t>
  </si>
  <si>
    <t>Presque Parfait Excellents biberons. Mon fils ne prend que ceci. Par contre, il a pas été allaité et je pense que ça joue. L'auto-sterilisation est pratique. Gros bémol, la graduation ne se voit pas en dessous de 60ml ce qui est gênant quand on veut savoir excatement ce que son bébé tete.</t>
  </si>
  <si>
    <t>Calendrier 2016 Quo Vadis. Petit calendrier adapté parfaitement pour un usage familial. Clair et lisible. Cette nuance de bleu est très agréable et non agressive. D'une grande sobriété. Aucun superflu, c'est un calendrier et ça doit rester un calendrier. Tout à fait ce que je recherche.</t>
  </si>
  <si>
    <t>Appairage automatique rien à dire à ce niveau, impeccable. Reçu en un temps record,  appairage instantané. Qualité irréprochable pour l'instant car je viens de le recevoir.</t>
  </si>
  <si>
    <t>Je recommande Produit très pratique, le biberon chauffe vite. Pour le nettoyage vinaigre blanc au fond a tremper 1 fois par semaine</t>
  </si>
  <si>
    <t>Parfait Je recommande ce produit je suis vraiment plus que satisfaite de ce produit et de cette marque je n'ai vraiment rien as dire!!</t>
  </si>
  <si>
    <t>Bon cirage pour cuir rouge Super produit</t>
  </si>
  <si>
    <t>Parfait Ajusté à la taille de la carte grise, rien à redire, merci.</t>
  </si>
  <si>
    <t>Efficace, économique et jolie ! J'en avais marre à chaque fois d'ecombrer mon caddie au supermarché avec ce genre d'article. Du coup j'ai fait les provisions en achetant un gros lot sur Amazon, c'est économique et en plus le papier est jolie !</t>
  </si>
  <si>
    <t>Parfaites! Je ne me rendais pas bien compte de la taille lors de la commande, et j'ai eu la bonne "surprise" de recevoir ces petites boules rouges avec nœud vert dans un format très discret. C'est exactement ce que je voulais pour un spectacle de Noël, histoire d'avoir un accessoire festif, sans ressembler à un sapin de Noël!!!!!</t>
  </si>
  <si>
    <t>Parfait Tétines parfaites et de très bonnes qualités.</t>
  </si>
  <si>
    <t>parfait c'est vraiment parfait et pratique pour les photo, gain de temps enorme pour les albums car les auto-collant se decollent tout seul pour la premiere face et la deuxieme une petite languette permet de retirer l'opercul tres facilement</t>
  </si>
  <si>
    <t>BO 'les Poulettes' Très jolies BO en argent présentées dans un écrin bleu, prêt à offrir -  elles sont constituées de 2 plumes en argent et sont conformes à la photo et à la description Discrètes mais du plus bel effet, elles feront des envieuses;-)</t>
  </si>
  <si>
    <t>Parfait Très bon produit</t>
  </si>
  <si>
    <t>très bien très bon produit, un bon rapport qualité prix. Contente d'avoir trouvé cette pochette de feuilles en taille A3, c'est pratique</t>
  </si>
  <si>
    <t>Tres jolie Super jolie, ma famme a aprecié beaucoup ce cadeau! Merci</t>
  </si>
  <si>
    <t>nickel Produit conforme à la description , donc parfait</t>
  </si>
  <si>
    <t>Coudière Après plusieurs mois d'utilisation (suite à une blessure du coude au handball) je ne peux que recommander cette coudière.  Elle est légère et efficace.  Parfait pour la pratique du handball sans vous encombrer.  Guillaume.</t>
  </si>
  <si>
    <t>Ravie Très bonne qualite</t>
  </si>
  <si>
    <t>trop cher très cher pour ce que c'est</t>
  </si>
  <si>
    <t>Attention : ne contient qu'une cartouche noire J'ai commandé un lot de 2 cartouches noir et couleur : j'ai du retourner l'article, le colis ne contenait qu'une seule cartouche noire (manquait la cartouche couleur). Très décu</t>
  </si>
  <si>
    <t>Bout de deins L embout de la taille standard reste grand Difficile d imaginer de mettre le bout de son sein dans un embout aussi large</t>
  </si>
  <si>
    <t>produit de qualité mais.... Malheureusement bien que j'ai commandé ma taille, ces après ski étaient trop grand, je n'ai pas pu choisir un changement de taille car elle n'était plus disponible. Par contre j'ai trouvé ces bottes gênante en marche car une pliure ce forme a l’arrière de la cheville.</t>
  </si>
  <si>
    <t>huile essentielle merveilleuse Je m'en sers pour tout. Huile essentielle qui sent très bon et peux désodoriser un placard, une poubelle en mettant quelques gouttes sur un coton. Très efficace. Action  anti-bacterienne, assainissante, blanchissante, fortifiante, detoxifiante ...</t>
  </si>
  <si>
    <t>rapport qualité prix correct conforme a la description ...sangle de tour de cou en nylon treissé et malheureusement pas en cuir</t>
  </si>
  <si>
    <t>marque sérieuse avec des produits haut de gamme pour utiliser en ce moment des produits de cette marque mais en âge 6 mois, nous avons mis de côté ces Dodie Tétine Sensation Plate Col Large en Silicone +18 Mois, dont nous avons pu voire l'efficacité chez nos voisins avec leur petite fille de 20 mois. eux aussi sont pleinement satisfaits des produits dodie et nous voyons que les Dodie Tétine Sensation Plate Col Large en Silicone +18 Mois sont parfaites. je reviendrait en temps voulu confirmer lorsque notre ils les utilisera.</t>
  </si>
  <si>
    <t>Salomon Super chaussures couleur au top et le confort est agréable elle corresponde vraiment à met attente. Je les conseils au personne qui veux être bien dans ses baskets.</t>
  </si>
  <si>
    <t>Cooool J’ai acheté cet microphone sans fil pour mon père, il aime bien chanter à la maison. Celui est parfaitement à son choix. Il peut chanter comme il veut, peu importe où</t>
  </si>
  <si>
    <t>SUPER!!! Ses chaussons sont parfaits pour petit et grand.</t>
  </si>
  <si>
    <t>une première montre boussole et thermomètre Le format réduit de cette montre convient à mon fils de 13 ans. Elle est bien plus petite qu'une protrek. Hormis les fonctions de base (chrono, décompteur, alarme ...) on trouve la boussole et le thermomètre. Mon fils est ravi.</t>
  </si>
  <si>
    <t>Génial Super pratique d'avoir un microphone bluetooth. Il a un bon poids et une bonne dimension. Après il faut trouver un bon logiciel de Karaoké.</t>
  </si>
  <si>
    <t>Très confortable Très confortable , livraison rapide merci</t>
  </si>
  <si>
    <t>L'achat de l'année C'est bien ce qu'il me fallait pour le bureau. Il ne prend pas de place, il est beau et suffit pour une personne. Je le recommande.</t>
  </si>
  <si>
    <t>Super Je fais du 38 et j’ai commandé ma taille, j’ai juste rajouté une semelle car je l’ai porté sans chaussette et super très confortable</t>
  </si>
  <si>
    <t>Parfait Bon produit a petit prix</t>
  </si>
  <si>
    <t>Un rapport qualité prix excellent! Souhaitant me débarasser des périphériques avec fil, j'ai opter pour ce casque à bas prix dont je n'attendais pas grand chose.  Quelle surprise! Ce casque est tout simplement parfait pour son prix, il est réglable, dispose d'une qualité sonore tout à fait correcte, peut se plier sans avoir peur de le casser, et l'un des points qui ravira le plus de monde : son autonomie.  Cela doit bien faire 4-5 heures que je l'utilise, et encore je réduits le temps réel, et il n'est encore à 70℅.  Le seul défaut que je pourrai trouver au casque et que je serai prêt à répayer juste pour l'avoir : un port USB C, il n'en dispose pas et c'est un peu dommage.  De même, pas de recharge rapide et le temps aproxumatif pour une charge complète est d'environ 3 heures. Mais comme ce n'est pas dans le descriptif, ça ne lui enlève pas de points.</t>
  </si>
  <si>
    <t>Bon produit Je n étais pas déçu, bon produit</t>
  </si>
  <si>
    <t>Envoie rapide Très bien, bonne taille</t>
  </si>
  <si>
    <t>super produit!! Bonne qualité du son, joli design. Il y a plusieurs embouts en plastique donc on peut adapter à sa taille d'oreille et ça tient très bien. Ils ont une bonne autonomie et se chargent très bien dans leur petite boîte/batterie qui a une bonne autonomie aussi.Très bon produit que je recommande. Bonne qualité sonore vous allez adorer écouter votre musique avec ces ecouteurs. Très bonne autonomie avec en plus le boîtier qui permet de les recharger plusieurs fois!!</t>
  </si>
  <si>
    <t>montre decevante ne correspond pas a l'image, trop sombre pour le bracelet,trop clinquant pour le boitier je ne la racheterai pas si c etait a refaire!</t>
  </si>
  <si>
    <t>Surtout ne pas les acheter TRÈS TRÈS DÉÇUS de cet achat et je n'aurai pas dû croire les commentaires au sujet de ces écouteurs. En effet, j'ai beau remplacer les embouts en caoutchouc ou les pièces qui servent à maintenir les écouteurs dans le bord de l'oreille, les écouteurs ne tiennent pas et simplement en marchant tranquillement, il est impossible de faire 5 mètres sans que l'un des écouteurs tombe. Je voulais l'utiliser pour le jardin ou simplement marcher mais vu que les écouteurs tombent continuellement, je regrette amèrement cet achat et je vais ranger tout cela dans le bas d'un tiroir en les oubliant. Dommage, car j'ai déjà eu ce genre d'écouteurs et jusqu'à ceux-là, j'en ai toujours été content. Preuve que je n'ai pas des oreilles mal formées. Donc, si vous voulez économiser votre argent, n'acheter surtout pas ces écouteurs !!!</t>
  </si>
  <si>
    <t>Chère mais c’est Bose Tester pour la course à pied. Bonne qualité audio, mais ne tiens pas super bien dans l’oreille ( j’ai fais le test avec plusieurs embouts et toujours pareils)</t>
  </si>
  <si>
    <t>Très bien, mais fragiles Exactement ce que je cherchais. Ces chaussettes montantes sont très bien, souples, légères, confortables, je les aime beaucoup. Mais le problème, c'est leur fragilité. Elles s'usent très vite, à la pointe et au talon en particulier, comme, malheureusement de nombreuses chaussettes en bambou. Du coup, je les trouve un peu chères...</t>
  </si>
  <si>
    <t>Efficace  sur du linge de couleurs tâché et dans une machine de 7kg à 40 °... Sur le coup j’ai eu peur car elle sentait très fort alors que le paquet n’était toujours pas ouvert !.  J’ai donc testé cette lessive poudre d’apparence classique dont le dosage est aisé avec le  doseur  fourni, ceci sur une tournée à 40 ° de quasiment 7kg de linge mixte ( coton + synthétique) de couleurs dont certaines pièces étaient bien tâchées. J’y ai juste rajouté comme d’habitude ma dose de vinaigre blanc. A l’arrivée le  linge est 100% propre, totalement détaché et surtout après un passage au sèche –linge, il est sans odeur résiduelle  de lessive entêtante. Il y a  juste un très très  léger parfum ce qui me convient parfaitement. A 25.59 € les 3 paquets, soit 8.53 € le paquet de 2.6kg le prix est dans la moyenne. C’est donc un ne lessive que je rachèterais en fonction des promos ;-)</t>
  </si>
  <si>
    <t>joli bijou Délai de livraison parfait. Très joli collier, pierre juste un peu plus "bleue" que sur la photo. Je suis très satisfaite, il est fin et raffiné, convient pour tous les jours comme pour une sortie.</t>
  </si>
  <si>
    <t>Qualité Converse Qualité de fabrication Converse, l'amorti est de qualité pour la marche. Une petite languette arrière aurait été un plus pour faciliter l'enfilage.</t>
  </si>
  <si>
    <t>Presque parfait Le son et nickel l'autonomie au petits oignons le seul reproche c'est que le câble qui relie les 2 écouteurs est vraiment trop long.</t>
  </si>
  <si>
    <t>Un classique que j'adore une très belle histoire sur le thème de noel mais pas avec le père noel, ça fait du bien!!! Mes élèves de GS ont adoré aussi</t>
  </si>
  <si>
    <t>Un vrai bijoux Je possède des Beats Studio que j’utilisais en temps normalement mais aussi pour toutes mes séances de sport (running, salle de sports, etc...). La sueur a abîmé les cousins. Après les réparations j’ai donc cherché une solution pas cher et je suis tombé sur ce petit bijoux. Même s’il ne vaut pas des Beats (ou autres), le son est impressionnant, très dynamique et parfait pour le sport. Top aussi au niveau du comfort. Pour ce prix là, je le recommande surtout si l’utilisaction est consacrée au sport. Il n’en faut pas plus.</t>
  </si>
  <si>
    <t>MIgnons, moelleux et confortables Doux, moelleux; confortables, chauds et mignons petits chaussons à porter dès qu'il commence à faire un peu frisquet. Je recommande</t>
  </si>
  <si>
    <t>Super Taille top 36/42 et comme c’est élastique et sans couture ça correspond à pas mal de morphologie Je recommande ce produit</t>
  </si>
  <si>
    <t>Bonne qualité Tres bonne produit. Recu rapidement.</t>
  </si>
  <si>
    <t>Utilisé pour le linge de bebe Recommandé par notre pédiatre pour diminuer l'eczéma de bebe et utilisé pour chaque machine depuis (avec un cycle long et un rinçage +) Rien à redire et bon rapport qualité prix</t>
  </si>
  <si>
    <t>Bien bien Plongée au top, matière super</t>
  </si>
  <si>
    <t>excellent confortable , et super joli</t>
  </si>
  <si>
    <t>Bon produit Parfait. Taille correctement sachant que Levi's taille assez grand de base.</t>
  </si>
  <si>
    <t>Super 👍🏻 Grande quantité de gommettes rondes, cœur et étoiles, mes filles adorent, les couleurs sont sympa, je suis ravie de mon achat!</t>
  </si>
  <si>
    <t>Parfait Adhère bien aux surfaces</t>
  </si>
  <si>
    <t>Le prix Très bon rapport qualité prix. Merci</t>
  </si>
  <si>
    <t>Semelle de piètre qualité Semelle fendue ( au niveau du talon ) au bout d'un mois d'utilisation seulement ! La semelle se fait la malle ... Décevant. Les chaussons tiennent bien chaud sinon c'est vrai.</t>
  </si>
  <si>
    <t>Déçu Le produit prend l’eau au bout d’un mois d’utilisation ce n’est pas normal je suis très déçu j’attends une réponse</t>
  </si>
  <si>
    <t>Pas la bonne taille J'ai un petit chien de 6 kgs, j'ai commandé la taille M. Cela ressemble à un vêtement pour un petit chien rachitique ! Attention de livrer à la bonne taille !</t>
  </si>
  <si>
    <t>Du bon et du pas bon Très bon micro cravate de chez rode très léger il se porte facilement avec une qualité de son  beaucoup meilleur que sur d’autres modèles que j’avais déjà essayé  dommage  car je ne vais pas le garder je vien de faire les démarche pour le renvoyer car il fonctionne seulement avec des produits Apple  mais il est possible de le faire fonctionner avec d’autres produits il faudrat donc investir sur des adaptateurs sa serait beaucoup mieux si rode fournissait le kit complet .  J’espère que mon avis vous aurait était utile</t>
  </si>
  <si>
    <t>Le format J ai du couper ma carte grise pour que ça rentre. A noter, ma carte grise a plus de 14 ans...peut être que les nouvelles sont plus petites et adaptées au format de l etui.- à voir- Sinon, l étui est transparent, pas de défaut</t>
  </si>
  <si>
    <t>Bon achat Reçu rapidement. Taille 43 correspond parfaitement. Très confortable.</t>
  </si>
  <si>
    <t>une très belle sacoche Cadeau pour un homme qui aime les belles choses. sacoche de très belle qualité. Rabat aimanté, un plus très sympa. un très correct. j'adore.</t>
  </si>
  <si>
    <t>Puissant et durable Utilisé pour coller toutes sortes de choses, puissant et durable rien à dire. Attention à l'humidité de la pièce et à la surface sur laquelle on colle bien entendu. Il peut tout fixer si on respecte les spécifications.</t>
  </si>
  <si>
    <t>Bien contente Très contente de ces Converses! Idéale pour le printemps &amp;amp; été. Mais attention! Elles taillent très grands! Je fais un bon 38, j'ai pris 38, elles me sont un peu grandes! J'aurai dû prendre du 37, ça aurait suffit!</t>
  </si>
  <si>
    <t>Ras conforme Ras conforme</t>
  </si>
  <si>
    <t>Rapidité de livraison produit conforme J'adore ce papier d'arménie à la rose. Je l'utilise pour mon intérieur, éliminer les mauvaises odeurs (cuisine, etc) Je le recommande et la livraison est très rapide. Au top !</t>
  </si>
  <si>
    <t>Merveille ! Ce plaid est une merveille pour les soirées très froides d’hiver. Il possède 6 vitesses et chauffe très vite. Il est tout doudou à l’intérieur comme à l’extérieur !</t>
  </si>
  <si>
    <t>Produit identique à la photo Bonne qualité</t>
  </si>
  <si>
    <t>Satisfaite Produit conforme à mes attentes</t>
  </si>
  <si>
    <t>Pour 1 cadeau, très bien Acheté pour offrir à mon mari, il en a été très content car il voulait une sacoche assez grande. Satisfaite du délai de livraison et de l'emballage.</t>
  </si>
  <si>
    <t>Avent Tétines avent idéale après ou pendant un allaitement. Forme ressemblant à un bout de sein. J utilise depuis les 3 mois de mon fils qui a maintenant 11 mois.</t>
  </si>
  <si>
    <t>Impeccable Très joli, pour soi ou un cadeau Jolie boite de présentation : j'ai juste retiré le film plastique qui le  protège à l'intérieur dans la boite, pour l'offrir Je viens juste de le recevoir, à voir dans le temps</t>
  </si>
  <si>
    <t>Tres belle qualité Tout simplement magnifique</t>
  </si>
  <si>
    <t>Bon produit Bonne prise en main des pinceaux. La partie brosse ne se déforme pas, ce qui est un bon point</t>
  </si>
  <si>
    <t>Ideale Pour une maman agee</t>
  </si>
  <si>
    <t>Parfait pour les écoliers Il m'arrive même de le leur piquer pour mon travail ...</t>
  </si>
  <si>
    <t>Très bonne marque, top qualité. J'adore.</t>
  </si>
  <si>
    <t>Son fluide Utilisés sur des portables Samsung, le son est impeccable. Sur des iPhone, le son rend moins bien.</t>
  </si>
  <si>
    <t>Écouteurs Bluetooth noire je suis enchanté de ces écouteurs .je les ai pris juste pour écouter de la musique sur mon téléphone et regarder des films sur la tablette. Livraison rapide. La qualité du son et le confort sont impeccable. Petite boîte de rangement et de charge avec le cordon.</t>
  </si>
  <si>
    <t>Je n'ai pas reçu le bon article ! J'ai commandé un modèle et en ai reçu un autre, d'un montant moins cher comme par hasard... Il a fallu le renvoyer ! J'ai été remboursé par contre sans soucis.</t>
  </si>
  <si>
    <t>manque d'explication dans les tailles les tailles ne sont pas explicites et prête à confusion elles sont pour certaines française u européenne ce qui pote à confusion j'ai commandé un 90G et je me retrouve avec un 105G .une mise en garde serait un plus, c'est dommage parce que je pense que le produit est excelent</t>
  </si>
  <si>
    <t>Mon avis Chaussure très dure dans la flexion pas adaptée à mon travail qui se compose de marche et des montées et descentes d engins de chantier</t>
  </si>
  <si>
    <t>Bien MAIS!!!! très bon produit livraison pareille  Mais il a l'aire un peut fébrile ca fait 1 mois je l'ai il est toujours pas casser mes il a tendance a ce deviser un peut  Mes si vous fait attention  il tombera jamais a moins que il ce casse en deux mes ca l'aire d'être du bon matériaux pour ce prix il faut pas trop en demander non plus</t>
  </si>
  <si>
    <t>Montre Casio Vintage Cette montre est quasi identique à l'ancien modèle que je possède depuis plus de 20 ans. Elle est très plate, de petite taille (par rapport aux normes actuelles). Les fonctions heure, date, chrono, alarme) sont identiques à celles de la référence du XXè siècle sauf qu'on règle désormais le mois. On évite ainsi les remises à l'heure les mois de moins de 31 jours. En théorie une remise à l'heure les 29 février seulement. Pratique. La montre peut être gardée pour nager. On peut reprocher un bracelet un peu juste en taille pour les gros poignets et qui semble assez fragile. Le rétroéclairage est moins performant que sur le modèle d'origine. Une montre parfaite pour les vacances, le sport, la piscine ...</t>
  </si>
  <si>
    <t>Bien Vraissemblance avec l'image mais plus petit que ce qui parait. Adaptable avec toutes les tenues, discrète, simple, classe. Je le recommande.</t>
  </si>
  <si>
    <t>COLIS RECEPTIONNE RAS ..COLIS RECEPTIONNE ...</t>
  </si>
  <si>
    <t>Casque 4.40bt Bon casque pour commencer a écouter de la musique de façon qualitative ! Certes c'est pas un casque à 200€ avec une réduction du bruit qui est dingue mais c'est déjà super pour le prix ! Le sans fil permet une liberté non négligeable ! Top pour un cadeau d'anniversaire, de Noël ou autre. Ne peut que faire plaisir. Je recommande. Utilisation en intérieur ou en extérieur. Utilisation avec ou sans fil.</t>
  </si>
  <si>
    <t>tres bien prix et utilite tres bien</t>
  </si>
  <si>
    <t>très bien les feutres sont bien adaptés pour les petites mains de mon fils de 15 mois. Pour l'instant c'est de l'apprentissage donc il ne maîtrise pas bien la tenue. La pointe est bien ronde donc aucun risque de se blesser. Le plus, c'est qu'ils sont lavables à l'eau, ouf !!!</t>
  </si>
  <si>
    <t>Très beau produit On va se l’admettre, pour le prix vous ne trouverez pas mieux, cette hôte à un très beau look, facile à installer je recommande</t>
  </si>
  <si>
    <t>Qualité et prix Cartouches de qualité à un prix attractif</t>
  </si>
  <si>
    <t>pas facile a régler mais au top quand même pas facile facile de régler cette montre. Elle capte assez mal l'horloge chez moi.... du coup 30 min pour l'avoir a l'heure. 5 de plus pour avoir l'heure au format 24h et encore  min pour réussir a la régler sur paris. Bref la lecture du mode d'emploi s'impose a nous. sinon a part ça elle marche bien j'ai été livré en temps et en heure et c'est un plaisir d'être toujours a l'heure pile.</t>
  </si>
  <si>
    <t>Bon produit ras</t>
  </si>
  <si>
    <t>commentaire sur livraison montre commandée le 24  ....livrée le 29  :  plus que parfait! reste à découvrir l'objet (et à régler le bracelet) ...qui apparaît totalement conforme à la commande et à l'attente.</t>
  </si>
  <si>
    <t>Basket adidas Article conforme a la description et reçu rapidement les matériaux utilisé sont de bonne qualité...se sont des originales...pas trop chère en plus.</t>
  </si>
  <si>
    <t>Au top Au top</t>
  </si>
  <si>
    <t>Sympa je recommande vivement ce produit, elles sont superbes, elles ont l'air solide , fait son petit effet: j'adore</t>
  </si>
  <si>
    <t>un peu lourde, mais grande qualité de cuir, multiples compartiments : super ! même si un peu lourde même à vide, elle tient d'autant mieux sur le bras quand on ne la met en bandoulière : c'est un cuir épais de grande qualité ! Je la recommande !</t>
  </si>
  <si>
    <t>Adapté pour le vélo, ok avec des lunettes Excellent casque ! Il me permet de rouler à vélo en toute confiance. Par contre, il ne faut pas que l’environnement soit trop bruyant. Je porte des lunettes, le casque vient par dessus sans aucune gêne. Le son est de qualité moyenne (manque de basse et médium imprécis), mais il n’est pas désagréable.</t>
  </si>
  <si>
    <t>sobre, élégante et éfficace toujours à l'heure et pas de pile à remplacer : le bonheur je voulais absolument l'affichage de la date...j'ai en plus je jour utilisée une fois en voyage à l'étranger...loin : l'ajustage aux fuseaux horaires locaux se fait assez facilement, pour peu qu'on se rappelle de la manip...pour çà j'ai chargé la notice dans ma messagerie ;-)</t>
  </si>
  <si>
    <t>papier d armenie JE recommande ce produit a bas prix qui est beaucoup plus sain que l encens, et qui dégage une très bonne odeur.</t>
  </si>
  <si>
    <t>Poignet Super bien pour que Bebe puisse tenir son biberon tout seul. Parcontre assez dommage que l'on ne puisse pas choisir sa couleur car pour un garcon jai recu du rose</t>
  </si>
  <si>
    <t>Malheureusement la montre reçu ce n'est pas identique à la montre commander je suis très déçu Cadeau</t>
  </si>
  <si>
    <t>Mauvaise qualité Qualité exécrable.</t>
  </si>
  <si>
    <t>A moitié vide Ça dure pas longtemps.  Je regrette d'être accroc à ces stylo, ils sont bien mais c'est pas rentable. La recharge est à moitié vide.</t>
  </si>
  <si>
    <t>Absence de notice en français Conforme,mais notice uniquement en allemand,la législation européenne exige une notice dans la langue du pays où l'article est vendu,c'est absolument anormal</t>
  </si>
  <si>
    <t>amusant et bonne découverte ludique et bonne découverte pour les enfants</t>
  </si>
  <si>
    <t>Fonctionne avec ma TS8151 Je suis satisfait pour le moment de ces cartouches qui ont bien été reconnues par mon imprimante TS8151. Rien à signaler côté impression, sur papier standard. Trop tôt pour juger de la longévité par contre.</t>
  </si>
  <si>
    <t>Parfait pour l'urbain ! Bon rapport qualité prix ! Un spectre très agréable, très valorisé autour 5000 et 8000Hz ce qui facilite la bonne compréhension des harmoniques aigues, des medium soignés/mellow qui doivent être eux aussi un peu valorisés. Les bass ne sont pas excessives ce qui est très agréable, et si on veut plus de sub-bass pour un côté plus "cocooning", on peut mettre le réducteur de bruit qui va rendre ce bas du spectre plus clair.  Justement le réducteur de bruit… Alors ca marche mais il faut pas s'attendre aux performances qu'on peut voir chez Boss ou Sehnneiser. Il va surtout couper les fréquences inferieurs à 200Hz (ronflement grave du moteur de bus, de voiture).  Mais l'option reste agréable.  Sinon les options marches très bien, aucun soucis d'utilisation particulier à noter.  Un casque pour ceux qui veulent écouter une musique bien défini, en relief et clair dans les bass et aigus (sans excès, juste valorisé).</t>
  </si>
  <si>
    <t>Cartouches de qualité Aucun problème pour l'installation des cartouches dans l'imprimante, elles sont reconnues tout de suite. La quantitité d'encre est conforme et le prix défie toute concurrence. A suivre sur le temps...</t>
  </si>
  <si>
    <t>COMME ESPÉRÉ Uu peu serré, mais tient bien au pied sans blesser même neuf! Elégant. Attente de livraison très longue. Cher...mais semble être un bon rapport qualité/prix.</t>
  </si>
  <si>
    <t>Rituel fraîcheur du matin J'ai inclus le rouleau dans ma routine matinale. Un geste fraîcheur rapide. Avec les mouvements et le frais la peau est bonifié et prête à accueillir soin et maquillage. J'ai placé le rouleau au frigo pour encore plus de frais. Pourrais faire un joli cadeau. Je n'ai pas utilisé l'autre pierre, à voir ! Très bon prix. Facile à utiliser et l'explication des mouvements est claire. Je recommande</t>
  </si>
  <si>
    <t>Biberon MAM Achat conforme à mes attentes, juste le coloris que je croyais recevoir comme la photo, ils sont blancs au lieu de vert. J'attends de pouvoir les utiliser quand mon petit bonhomme sera là. Je suis séduite par ces biberons car je peux complétement les "démonter" pour pouvoir faire un lavage complet. De plus, ils sont anti-coliques.</t>
  </si>
  <si>
    <t>Levi's Turlock Bonne basket confortable.</t>
  </si>
  <si>
    <t>très bien conforme à nos attentes le sweat après un an n'a pas bougé d'un iota les couleurs et qualité sont nickel allez-y les yeux fermés</t>
  </si>
  <si>
    <t>PRODUIT DE HAUTE QUALITE Ces chaussettes sont vraiment des produits de haute qualité. Très confortables, très bien conçues et solides. Impeccables pour la randonnée mais aussi dans la vie de tous les jours, dès que l'on doit marcher à l'aise... J'en ai commandé d'autres pour mon épouse et je garde l'adresse précieusement. Je recommande !</t>
  </si>
  <si>
    <t>Un bon bijou Bonsoir  Jai reçu ce petit bijou dans un boite qui est tout simplement somptueuse et on peut en dire autant du bijoux en lui-même avec un petit micro fibre j'espère juste qu'il restera aussi beau avec le temps.</t>
  </si>
  <si>
    <t>Comme prevu Comme prevu</t>
  </si>
  <si>
    <t>Cadeau original Très beau bijou!</t>
  </si>
  <si>
    <t>Je Conseil qualité prix Super prix pour un super Stock</t>
  </si>
  <si>
    <t>Le fameux Toto Très joli bande dessinée pour les enfants qui commence à apprecier la lecture. J'avoue que moi même j'ai beaucoup aimé</t>
  </si>
  <si>
    <t>Excellent produit Utilisé pour le nettoyage des biberons quotidiennement, très résistant, facile d'utilisation, le nettoie tétine fonctionne, le tout pour un prix raisonnable, je recommande !</t>
  </si>
  <si>
    <t>Rien pour le moment Très jolie montre</t>
  </si>
  <si>
    <t>Couleur exactement la même que sur photo et taille parfaitement bien Super belle, la couleur est exactement la même que sur la photo. Prenez votre pointure habituelle car elles taillent parfaitement bien.</t>
  </si>
  <si>
    <t>Seiko automatique très belle montre. La tenue de l'heure est très bonne. La réserve de marche est un peu juste mais s'améliore après quelque mois de fonctionnement. Le temps d'un petit rodage. Très bon produit.</t>
  </si>
  <si>
    <t>OCB CLASSIQUE Il s'agit de 10 carnets d'OCB que l'on peut trouver en tabac mais beaucoup moins chère sur Amazon, emballage parfait aucun défaut. Vous pouvez acheter les yeux fermés.</t>
  </si>
  <si>
    <t>Microphone Cravate sans fil VHF Micro Lavalier Le concept de cet article correspondait exactement à mon besoin.. Donc je l'ai commandé et reçu dans les délais. Le problème s'est posé lors de la mise en place des batteries. Si le recpteur a un compartiment batterie parfaitement adapté en forme aux batteries AAA prévues, par contre l'emetteur est doté d'un compartiment batterie trop large, non conforme à la pose correcte des 2 batteries AAA  qu'il doit recevoir, d'autant que c'est  l'élément porté par le conférencier, et qu'à chaque geste les piles risquent de se déplacer, coupant l'alimentation de l'appareil. C'est pourquoi j'ai renvoyé, dépité, cet article qui me convenait fonctionnellement.. On peut cependant se demander pourquoi la conception de ce compartiment batterie a été aussi bâclé.  A moins que les batteries AAA utilisées dans le pays de fabrication (  sans doute Chine) soit plus volumineuses que celles en cours en France.</t>
  </si>
  <si>
    <t>Agressif Pas de resulat habile le tissus</t>
  </si>
  <si>
    <t>Qualité déplorable Les deux chaussures se sont trouées au coup de pied au bout d un mois d’utilisation... je ne conseille pas..</t>
  </si>
  <si>
    <t>Sa douceur Me reposer</t>
  </si>
  <si>
    <t>Plutôt satisfaite J'ai acheté cette tasse pour ma fille mais elle n'arrive pas à boire, je pense que cela vient de ma fille car la fille d'une amie boit très bien avec. Cependant lorsque nous l'avons lavé l'anneau avec les poignées entourant la tasse s'est détaché et nous n'avons jamais réussi à le remboiter.</t>
  </si>
  <si>
    <t>Montre vintage de bonne facture a bas prix La montre est sympa, j'ai bien recu la couleur choisie, je l'imaginait tout de meme un peu plus imposante (sur la photo l'autre montre est elle aussi deja plutot fine)  J'ai retirer un point car la "lumiere" est vraiment naze, ca eclaire pas suffisament et l'eclairage part seulement d'un coté, ca fait pas homogene c'est dommage.</t>
  </si>
  <si>
    <t>Semble solide Bonjour, bien emballé, chaussures conformes à la photo, taille conforme. Semble rigide et solide, pas encore mise (Renfort semelle exterieur, renfort bout du pied, renfort talon).</t>
  </si>
  <si>
    <t>ideal pour 1 ado usage quotidien pour 1 ado</t>
  </si>
  <si>
    <t>MOYEN TAILLE TROP PETIT</t>
  </si>
  <si>
    <t>Juste génial C'est vraiment de qualité.  Acheter directement celui la est pas un autre car les petits prix vont ce cassée rapidement. Est il font du bruit  celui la est top très costaut ! Aucun bruit ! N'hésitez pas!</t>
  </si>
  <si>
    <t>La qualite Bonne qualite et envoi soigne</t>
  </si>
  <si>
    <t>Confortable Super brassière très agréable à porter soutien très bien j ai pris la taille M je fais un 85bfrancais</t>
  </si>
  <si>
    <t>Belle et confortable Ces baskets sont vraiment belle et très confortable. Elle sont légères à porter et adapter à la course à pied ou à la marche par exemple . Elles sont respirantes grâce aux aérations sur le dessus de la chaussure</t>
  </si>
  <si>
    <t>Sac  de poitrine ou a dos petit sac tres bien fini qui peut se porter devant ou dans le dos aussi bien droitier que gaucher , la sangle se met a droite ou a gauche.porté sur la poitrine  une ouverture pour le casque  , plein de poche intérieur , pour attacher les cles , mettre une petite bouteille etc . Sac de poitrine de bel qualité , bien fini et pratique au quotidien ou voyage . je recommande ce sac .</t>
  </si>
  <si>
    <t>Bouilloire fonctionnelle et facile à nettoyer Très content de cette bouilloire. Une seule inconnue : combien de temps durera t'elle ?</t>
  </si>
  <si>
    <t>de l'encre Le prix du pack est intéressant. Par contre, ce qui est dommage, c'est que Canon ne propose pas de solution de recyclage. Il me semble que Epson ( ou Lexmark...trou de mémoire  )inclus une enveloppe avec les nouvelles cartouches qui vous permet d'envoyer par le poste vos anciennes cartouches gratuitement.</t>
  </si>
  <si>
    <t>Recommande Super produit je Recommande</t>
  </si>
  <si>
    <t>Très efficace ! L'un de mes t-shirts blanc était taché de vin rouge ... Taches littéralement impossibles à faire partir, malgré plusieurs lavages (en machine, à la main) acharnés.  J'ai acheté ce savon détachant et j'ai donc procédé à un lavage à la main (à l'eau bien chaude) et là, miracle ... Ces satanées taches de vin ont enfin disparu !</t>
  </si>
  <si>
    <t>bouilloire pratique de 0,8 litres Point besoin d'une bouilloire de 2 litres ou 2,5 litres qui va prendre de la place sur votre plan de travail, celle-ci est très pratique et de contenance 0,8 litres ! Vous pourrez l'emmenez avec vous en vacances ! elle tient pas trop de place. D'autre part elle est d'un prix modique. En inox brossé brillant, elle a un très beau design. Les qualités sont : +++ points positifs -le filtre anti-calcaire amovible et lavable sous l'eau ... super point positif -légèreté -niveau d'eau visible -contenance 0,8 l suffisante -la forme étudiée du bec verseur -la forme compact de l'ensemble -la led bleue signalétique +++les points négatifs -ergonomie poignée à revoir -risque de se brûler  en prenant la poignée car trop près du récipient chaud  Pratique et d'un beau design elle est d'un bel effet sur le plan de travail sans prendre trop de place. Super pour les petits déjeuners le matin, les thés et tisanes. Cinq étoiles.</t>
  </si>
  <si>
    <t>Bouche Exactement comme je les aime</t>
  </si>
  <si>
    <t>Grosse surprise Très agréablement surpris par ces écouteurs. Très légers, confortables, le son est agréable. Avec son petit boîtier rechargeable, cela devient facile à transporter quelque soit où l'on va. C'est très utile. Les yeux fermés, vous pouvez l'acheter pour ceux qui cherchent des écouteurs juste pour les appels et écoute de musique sans se faire exploser les oreilles.</t>
  </si>
  <si>
    <t>Bon rapport qualité prix Bonne qualité, utilisation quasi quotidienne depuis 2 mois, peu de signes d'usure</t>
  </si>
  <si>
    <t>Féminin et pratique Un sac très joli (livré dans une sacoche de protection très chic) : réglable en hauteur au niveau des passants avant, on peut donc modifier légèrement la taille du sac ce qui est très pratique et original à mon sens. La texture du cuir est agréable au toucher et la couleur est fidèle à la photo : je suis donc très contente de mon achat et le recommande sincèrement.</t>
  </si>
  <si>
    <t>Un produit génial ! Ce produit est d'excellente qualité. Je le recommande vraiment. Tout est digitale. Le téléphone les reconnaît très bien. Le son est très bon et l'entrée dans l'oreille est toute petite mais tient très bien en place. Le petit plus étonnant de ce produit est une lampe torche sur le côté gauche du boîtier, ce qui fait que vous pouvez aller courir tardivement en emmenant le boîtier et en toute sécurité. À acheter les yeux fermés !</t>
  </si>
  <si>
    <t>Efface mal Cette éponge n'est pas très efficace. Il faut passer et repasser en insistant pour arriver à enlever les feutres spéciaux pour tableau blanc. Je ne recommande pas cet achat.</t>
  </si>
  <si>
    <t>Ne s'adapte pas sur le dernière RØDE VMP J'ai la dernière version du Videomic pro qui est pourtant tres standard. Il ne s'adapte absolument pas bien qu'il soit joli. Du coup inutile. Dommage.</t>
  </si>
  <si>
    <t>Bien... Bien mais.... Au bout de 2 utilisation ça n'a plus fonctionné.</t>
  </si>
  <si>
    <t>👍 Cooll</t>
  </si>
  <si>
    <t>Bon produit Identique à l'image, seul bémol, les mailles se défont très facilement et il s'usera vite car peluche déjà un peu. Bonne tenue à la sortie du lavage.</t>
  </si>
  <si>
    <t>Brandit Pure Vintage Pantalon Noir Homme J'aime beaucoup ce pantalon. La taille est correcte, à la taille... par contre, au niveau des jambe, c'est plutôt large ce qui fait qu'on ne peut pas le porter avec n'importe quoi en haut. Il y a des poches bien pratiques partout. Le tissus est plutôt épais, par contre, il a une facheuse tendance à accrocher les poils de nos animaux domestiques... c'est un peu rageant, mais bon. Niveau confort, c'est le top !</t>
  </si>
  <si>
    <t>Bon produit bonne qualité Cadeau d'anniversaire</t>
  </si>
  <si>
    <t>Satisfaite Utiliser depuis plus d'un bien, recommande pour les personnes qui cherche une sensation de bien être après utilisation</t>
  </si>
  <si>
    <t>top ! voila des chouz indémodables .... que l on a envie d avoir dans son armoire a chaussures  ... très bien a l aise confortable et elle en jete</t>
  </si>
  <si>
    <t>Écouteur Bluetooth Le son est super mais ça ne tient pas bien sur les oreilles et à long terme ça fait mal à l'oreille</t>
  </si>
  <si>
    <t>utile jadore tout simplement !! pas de gout donc pas de risque que ça laisse du gout sur la tétine contrairement aux produits vaisselle classique ! Le fait que ça mousse c'est super !! un flacon me fait environ 1 mois pour 4/5 bibs par jours donc ce n'est pas la ruine !</t>
  </si>
  <si>
    <t>tour cou suite a de l arthrose cervical ma doc  m a conseillé d acheter ce produit! livraison rapide couleur impeccable; tres bonne qualité de produit et la chaleur serepand tres bien sur les cervicales; je conseille fortement ce produit</t>
  </si>
  <si>
    <t>Qualité Très beau bijoux, conforme à la description</t>
  </si>
  <si>
    <t>super parfait impeccable ! conforme à la description et parait solide  ! le son est super !</t>
  </si>
  <si>
    <t>Parfait pour débuter Ayant une chaine youtube et filmant avec mon smartphones le son capturer n'était pas excellent mais je ne voulais pas dépenser énormément pour un micro de ce genre, je suis tomber sur celui là les commentaires était bon et pour le moment les premiers essaie son concluant le son et limpide et clair je doit encore voir quelques réglage mais je suis satisfait</t>
  </si>
  <si>
    <t>Multi fonctions Dimensions très pratique pour des documents A4 ou 24x32. Un cartable au look de sac ou un sac à main bien vaste, c'est une belle besace. Dommage que les poches latérales aient une fermeture pas très rapide comme il y a devant. Il a l'air très solide, c'est plaisant.</t>
  </si>
  <si>
    <t>hypoallergénique, bon marché et efficace Tout est dit dans le titre... Selon moi, cette lessive n'a aucun point faible : elle lave bien, elle est hypoallergénique, elle sent bon et elle est bon marché. Elle a tout bon !</t>
  </si>
  <si>
    <t>couverture chanffante + : prix bas :  que 25,99€ + : très efficace au point de ne chauffer qu'en position 1 (2 et 3 sont bien pour le début) - : s' arrête au bout de 2,3h ( il faut se réveiller et réenclencher si l'on a froid)</t>
  </si>
  <si>
    <t>Adapté comme prevu 👍 super merci</t>
  </si>
  <si>
    <t>Joli bracelet J’ai acheté ce magnifique bracelet pour offrir et mon amie l’a adoré!! Elle aime beaucoup les bijoux de l’arbre de vie et ce bracelet est vraiment joli. Il est rigide, simple et élégant à la fois et je l’ai reçu super bien emballé dans sa boîte. De plus il peut s’agrandir si besoin, comme ça il est convenable à tous types de poignés. Bon rapport qualité-prix. Je recommande! N’hésitez pas ;)</t>
  </si>
  <si>
    <t>Très bel effet très bonne qualité et à beaucoup plut Pour offrir à l'occasion d'un anniversaire.</t>
  </si>
  <si>
    <t>Bonne matière Super produit, correspond à la photo. La poche sur le côté super</t>
  </si>
  <si>
    <t>Très belle montre, qualité extraordinaire Elle est très belle la montre auto de Seiko. La qualité est au RDV, surtout le prix est imbattable, c'est une montre mécanique digne de son son</t>
  </si>
  <si>
    <t>Besace pour homme idéale pour aller au travail J'ai acheté cette besace pour mon père pour la fête des pères. Les finitions sont de qualité pour ce produit qui bénéficie d'un excellent rapport qualité-prix. Il y a plusieurs compartiments fermés pour la plupart par un fermeture zippée. Cela permet d'organiser ses affaires : papiers, clés, ordinateur... La couleur est sobre et passe partout pour un look masculin et dynamique.</t>
  </si>
  <si>
    <t>Bof Après avoir détartre comme indiquer sur le mode d’emploi, pas de résultat escompté mis à part le vert moisissures qui était irrécupérable dans le fond du réservoir. Le voyant calcaire à ce jour est toujours allumé ☹️</t>
  </si>
  <si>
    <t>Déçu La fermeture éclair pas solide.</t>
  </si>
  <si>
    <t>Améliorer la solidité et la semelle Bonjour g achèté se produit comme je travaille dans le btp En tant que plombier Les chaussures sont très belles certes. Mais pour se qui est de la semelle (inexistante) on  à l'impression d'être pied nue la semelle fourni dedans ne sert à rien g du en mettre une autre que g achèté et sa fait 6 mois que je les utilises et j'ai des douleurs à la voûte plantaires et je ne pense pas quelle seront très résistante longtemps Donc si vous êtes dans le btp ne surtout pas acheter se produit</t>
  </si>
  <si>
    <t>Son Beau casque mais pas suffisamment de son c'est dommage</t>
  </si>
  <si>
    <t>Bonne montre Bonne qualité, très belle montre, simple au démarrage.  Attention tout de même de ne pas la mettre dans l'eau, c'est mon seul regret.</t>
  </si>
  <si>
    <t>Taille trop grand pour moi un peu grand, je fais une taille 34, il m'aurai fallu un XS pour que ça me colle plus, je peux quand même l'utiliser et c'est vrai qu'il rend la peau toute douce après utilisation, ne serait-ce que en faisant du ménage</t>
  </si>
  <si>
    <t>Pratique Ce produit est très bien pour soulager les douleurs cervicales</t>
  </si>
  <si>
    <t>taille normal pour la marque bon produit, qui taille comme le reste de la marque pour un prix tres acceptable la photo correspond au produit</t>
  </si>
  <si>
    <t>Massage bien pour le pied Mon mari a des problèmes de pied du coup je lui ai acheter ce machine. Un très bon machine qui fait masser les pied. Il a beaucoup amélioré la circulation des pied. La douleur a nettement diminué en premier essaie. La livraison est à la date prévue aussi. En tout cas mon mari est content.</t>
  </si>
  <si>
    <t>Une des CASIO les plus réussis Après avoir acheté une CASIO F-201W-1AEF à moins de 15€ destinée à mes activités de loisir et sportives du fait de sa minceur et sa légèreté, j'ai souhaité reprendre un autre modèle plus cossu et sympa à regarder pour une utilisation plus classique disons. Proposée à 17€ (sur le site CASIO elle est à 29.90) et vendue et expédiée par Amazon, ce modèle m'a séduit d'emblée par sa lisibilité exceptionnelle, son absence de gadgets, son large bracelet confortable et son look indémodable. Le modèle en fond blanc (W-800H-1AVES) est également le mieux visuellement (le fond jaune ayant la référence W-800HG-9AVES).  Malgré sa taille plus imposante que l'autre, elle reste adaptée à des poignets fins (ce qui est mon cas). Elle est légère à porter et certainement bien plus agréable qu'une "toute métal" de la même marque. Certes le point faible des bracelets en résine Casio est leur rupture après quelques temps et la douloureuse surprise du prix du bracelet presque équivalent à la montre neuve! Pas de panique, Amazon a des offres chinoises de bracelets Casio qui pourront convenir bien que cela reste à tester pour ma part. Par contre, la pile dure bien 10 années et plus sauf usage intensif bien entendu de la lumière et autres fonctions. Curieusement cette montre ne possède pas de compte à rebours (alors que l'autre moins chère oui). Ce ne sera pas un handicap à mon sens car on pourra toujours se prendre une deuxième montre Casio pour des activités plus ciblées.  Dans le vaste catalogue Casio, on trouve toute sorte de style de montres afin que chacun trouve son bonheur. Cette montre est classique dans un sens, mais c'est une qualité car elle est indémodable et son affichage aux chiffres non déformés (comme sur d'autres modèles Casio) d'une lisibilité parmi la meilleure des montres Casio (un des critères les plus important pour une montre!) font de ce modèle un must pour un prix au final dérisoire. On pourra juste regretter que Amazon ne propose pas les 3 autres finitions de ce modèle (bleu, vert, gris) même si la noire sera la finition la plus demandée.  Recommandée sans réserve et un petit clic sur utile si mon commentaire vous a aidé. Merci.</t>
  </si>
  <si>
    <t>Chaussures de travail Reçu très rapidement. Baskets achetées pour mon mari. Cela fait plus qu’une semaine qu’il le porte tous les jours. Il trouve ces baskets sont légères et souples, aussi esthétique. Surtout très confortable pour un usage quotidien (il est debout toute la journée pour son boulot). A voir dans le temps , je vous recommande vue le rapport qualité prix.</t>
  </si>
  <si>
    <t>cable enceinte hi fi Le cable livre correspondant parfaitement a la description. Livraison ultra rapide (- 5 jours par rapport a l'estimation). Avec ce cable , le son passe trs bien.</t>
  </si>
  <si>
    <t>Pas très adapté à des enfants de moins de 4ans Ma fille s'en sert pour égayer ses dessins. Le petit bémol certains sont difficile à enlever et elle les casse mais sinon ils sont très jolies</t>
  </si>
  <si>
    <t>belle  montre j'adore  cette  montre  vraiment  très  belle  je  suis  vraiment  content  il  faut que  je  l'adapte a  mon  poignée  surtout  vu  le  prix  c'est formidable  bonne  journée  a tous  youpie</t>
  </si>
  <si>
    <t>produit conforme taille bien bon produit</t>
  </si>
  <si>
    <t>Très bon diffuseur J'ai acheté ce diffuseur vue le prix pas chère et franchement j'étais agréablement surpris. ..  Pour moi c'est le moyen d'avoir une ambiance apaisante après une journée difficile. Il suffit de mettre de l'eau sans dépasser un témoin et d'ajouté la dose d'huile essentielle en fonction de ses envies. Pour finir il nous reste a choisir le temps que l'on souhaite ici le choix est plus modeste pour ce modèle nous avons le Un simple « clic » fait passer d'un mode à l'autre. Un appuie long éteint l'appareil. Points positifs: _Ce diffuseur est très silencieux _très beau _prend pas de place _et pas chère Je recommande</t>
  </si>
  <si>
    <t>confortable Chaussettes très agréable et confortable, je les recommande. Super qu'il y est des grandes tailles ayant un enfant qui fait du 48,5 en pointure.</t>
  </si>
  <si>
    <t>Super rapport qualité/prix! Chaussures de bonne qualité, un très bon rapport qualité/prix vraiment sympa et habillées tout en restant décontractées! Seul regret qu’il n’y ai pas d’avantage de choix de coloris.</t>
  </si>
  <si>
    <t>Bien a voir Bien a voir avec le temps juste des vibrations dans le bras</t>
  </si>
  <si>
    <t>Bon rapport qualité prix. Convient parfaitement à mes besoin. Possède assez de place et de poche, pour mes affaire . Bon rapport qualité prix, je recommande .</t>
  </si>
  <si>
    <t>Très jolies Jolies paires de boucles d'oreilles. Elles sont très légères et conformes à la photo. Je les ai prise en doré. Elles sont du plus bel effet, je recommande.</t>
  </si>
  <si>
    <t>LogiLink UA0037 Adaptateur USB vers MIDI LogiLink UA0037 Adaptateur USB vers MIDI fonctionne toujours après de nombreuses années, c'est un  extra rapport qualité prix n’hésitez pas</t>
  </si>
  <si>
    <t>Top A servi en remplacement d'une courroie d'origine sur une vieille platine Technics, et fait encore le boulot alors qu'achetée en 2013 ! A acheter les yeux fermés !</t>
  </si>
  <si>
    <t>L'électrostimulation pour les femmes qui n'en ont pas besoin ?... Les promesses de ce short d'électrostimulation sont alléchantes, mais enfin, encore faudrait-il que les personnes qui en ont le plus besoin puissent l'enfiler sans douleur : c'est en effet assez serré dès qu'on dépasse le 38-40 ! Mais peut-être est-ce une stratégie du fabricant : toute l'activité physique est accomplie en amont, en mettant le short, avant même d'envoyer le courant...  Quant aux résultats au bout de quelques semaines, rien de très manifeste sur la cobaye testeuse volontaire ("je sers la science et c'est ma joie"). Par contre, ce qui est manifeste, c'est que les électrodes s'usent : l'efficacité diminue, à moins de remettre la main au porte-monnaie pour en acheter de rechange. Certes, le produit a des qualités (assez grande simplicité d'emploi, programmes clairs et détaillés, présence d'une télécommande, petit sac de voyage...) mais, en fin de compte, on ne peut que se demander : "Tout ça pour ça ?" Un achat à réserver peut-être aux convaincu(e)s !</t>
  </si>
  <si>
    <t>moche Cheap moche mou nul : renvoyé avec les 2 autres pris en couleurs différentes.</t>
  </si>
  <si>
    <t>Beau Comme sur la photo mais la couture à l'arrière du chaussure droit à lâché avec une utilisation normale en ville.</t>
  </si>
  <si>
    <t>Bien Ce produit convient parfaitement. Cependant, sur l'une des tétines une des valves d'air était percé par conséquent le lait passé par ce trou au lieu d'être mangé par bébé.</t>
  </si>
  <si>
    <t>Pochette qualitative Pochette de très bonne qualité, le cuir est beau et vieillis très bien , l’es compartiment sont pratiques, le seul bémol et que le système de fermeture ne marche pas si la pochette est pleine car on ne peut pas plier correctement la pochette, autrement dit on ne peut pas mettre énormément de tabac à l’intérieur!</t>
  </si>
  <si>
    <t>.... Films, jeux videos</t>
  </si>
  <si>
    <t>Très confortable La semelle intérieure donne se donne bien pour absorber les chocs. Un peu déroutant au début car pas habitué aux suspensions dans les chaussures. Sinon plutôt solide, pas d'usure anormale après plusieurs mois.</t>
  </si>
  <si>
    <t>Ideal pour un enfants Facile d'utilisation, pas trop chère, etanche, solide, legere, sympa .... bon, pour un garçon de 13 ans c'est l'ideal. Pour un adulte elle sera bien pratique pour un travailleur manuel.</t>
  </si>
  <si>
    <t>Brosse de bonne qualité La brosse est de bonne qualité, brosse bien. Les poils sont assez souples et ont l'air solide. A voir dans le temps si elle ne perd pas trop de ses poils.</t>
  </si>
  <si>
    <t>Impeccable Après un essai en direct dans mon salon, je peux dire ceci : Les bottes sont vert foncé (bronze) avec une semelle marron et noir. Elles s'enfilent très bien, le pied est bien maintenu dans la botte par la forme moulée au niveau de la cheville. Elles sont belles et ne font pas l'effet de bottes banales, elles sont plus travaillées, plus sculptées. Le mélange de couleur est d'un très bel effet !  Le confort est surprenant ! C'est aussi moelleux qu'une bonne paire de chaussures de randonnée. Je chausse du 43, j'ai acheté du 44, c'est un peu grand avec des chaussettes de ville, mais c'est impeccable avec des chaussettes hiver de chasse. A sec (pied) elles se retirent sans peine. La finition est irréprochable et je vais les essayer dès que la pluie tombera sur nos montagnes des Vosges.</t>
  </si>
  <si>
    <t>Bon article Ces chaussettes sont arrivées dans les délais, elles taillent parfaitement, la couture ne gêne pas les orteils, je recommande</t>
  </si>
  <si>
    <t>soulage bien agréable à appliquer , odeur agréable</t>
  </si>
  <si>
    <t>Vraiment parfait Rapport qualité prix super avec un bloc phantom et une carte son USB externe j'ai de meilleurs résultats que des amis avec des micro à 250€ et plus LOL</t>
  </si>
  <si>
    <t>Très éducatif Achat cadeau de Noël</t>
  </si>
  <si>
    <t>E recommande ! Très belles boucles !</t>
  </si>
  <si>
    <t>brr pas de problème passer le au congel et hop .</t>
  </si>
  <si>
    <t>magnifique d'ailleurs je je le porte actuellement :) il tient très chaud, super finition, c'est un pull qui est la copie conforme à la photo, il est long sous les fesses :) je conseille car pas de surprise!</t>
  </si>
  <si>
    <t>Produit de bonne qualité Magnifique produit</t>
  </si>
  <si>
    <t>Joli bracelet Joli bracelet d'un diamètre de 2cm. J'ai pris le pendentif et les boucles d'oreilles assorties pour une belle parure. Article conforme à la photo.</t>
  </si>
  <si>
    <t>Papier cadeau Super qualité à avoir en période de Noël, ce rouleau ma permis de faire deux noels consecutifs / je conseille ce produit</t>
  </si>
  <si>
    <t>Complet Fonctionnalités parfaites. Affichage complet , alarme,  chrono au 1/100ème avec temps partiel, 2ème fuseau horaire. Longue durée pile. Boitier plastique chromé résistant</t>
  </si>
  <si>
    <t>Parfait J’ai fais mes études dans le dessin, je connaissais cette marque de feutre et crayon et je ne suis vraiment pas déçu par la précision et la qualité des feutres.</t>
  </si>
  <si>
    <t>Super Je l'ai pris comme cadeau pour ma maman et elle a été super emballé le voyant avec ses 8 lumières il y a l'effet waaaw. Je ne peux que vous la conseiller !</t>
  </si>
  <si>
    <t>trop léger ! coton mauvaise qualité</t>
  </si>
  <si>
    <t>recharge exacompta je souhaite  une recharge exacompta 14212E pour l'année 2019 et j'ai reçu 2018!!!!!!!!</t>
  </si>
  <si>
    <t>Précision de la température Pour le thé et les infusions</t>
  </si>
  <si>
    <t>Taille un peu grand Dommage que la taille 36 taille un peu grand sinon très jolie haut et la matière est agréable</t>
  </si>
  <si>
    <t>beau sweat J'adore ce sweat, les couleurs sont moins vives que la photo, mais il est beau quand même. Par contre il est petit en taille, si vous mettez un L, prenez un XXL il est vraiment serré.</t>
  </si>
  <si>
    <t>Simple mais performant Utilisé pour la pratique du piano. Le son restitué est de très bonne qualité et le casque isole plutôt bien des bruits extérieurs. Englobe parfaitement les oreilles.</t>
  </si>
  <si>
    <t>bonne chaussure Chaussure sympa qui malheureusement chausse un peu large pour ma part, du coup, quelques semelles et le tour est joué! Par contre, ultra salissant... Mais bon, c'est le blanc qui veut ça.</t>
  </si>
  <si>
    <t>Peu cher et bien Pour un prix assez bas, le casque possède un son agréable. Cela fait 15 jours que je l'ai en l'utilisant 6 ou 7 fois et je n'ai pas encore rechargé la batterie. La réduction de bruit est performante. Je croyais que l'interrupteur servait à allumer le casque mais en fait sert uniquement à activer la réduction de bruit. Le casque s'allume avec un bouton comme la plupart des casques.</t>
  </si>
  <si>
    <t>Très léger confort absolu. C'est parfait très contente d'avoir acheté ce chaussures de sécurité qui sont vraiment du confort et sur tout léger donc c'est vraiment parfait.</t>
  </si>
  <si>
    <t>le top Le produit est juste extraordinaire , moi qui ai des problèmes d'ecxema depuis toute petite, utilisant des produits a la cortisone ou autre et qui avec le temps ne font plus rien ... la je suis juste contente du resultat qui se vois deja au bout d'une application ! Cela fait une semaine que je l'utilise et je n'ai presque plus de trace...</t>
  </si>
  <si>
    <t>Parfait, efficace ! Je recommande J'ai essayé ce produit dans un premier temps septique que cela fonctionne réellement mais je dois être honnete, cela marche, une légère chaleur diffuse mais surtout des massages doux et différents.  Si vous avez une légère tension au niveau du cou et de la nuque, je ne peux que vous le conseiller !</t>
  </si>
  <si>
    <t>Très bien Super taille juste un peu grande pour un 38 habituel c est un peu grande . Sinon très très belle et super confortable</t>
  </si>
  <si>
    <t>Rapport qualité/prix imbattable ! Le microphone arrive dans un carton Tonor. A l'intérieur tout est correctement emballé. L'installation du bras est rapide et simple, pour l'instant tout semble très bien tenir (araigné + filtre anti pop). Le micro est plug n play, on branche et ça fonctionne, pas besoin de logiciel/drivers. Le gain est réglable sur le micro ou sur windows (cela modifie le même gain). Au niveau de la qualité du micro, c'est excellent. On peut entendre un léger souffle, rien de bien gênant car il peut être traité en temps réel (Sur discord/skype par exemple) ou en post prod. En ce qui concerne la plage de fréquence, elle est assez large. Le meilleur micro usb rapport qualité/prix</t>
  </si>
  <si>
    <t>Cadeau de noël Belle paire de chaussures</t>
  </si>
  <si>
    <t>cartouche conforme cartouche conforme  fonctionne bien prix compétitif je reviendrais en acheter  quand l’impression vous note qu’il n’y a plus d’encre c’est faux, il faut appuyer 10 secondes sur le triangle rouge sur le coté de l’imprimante  et il y a encore de nombreuses pages a imprimer regardez su le net sur  YT il y a des explications</t>
  </si>
  <si>
    <t>un petit truc en plus Joli grille pain "Toaster Bubble 2 fentes..." La marque à de joli produit dans des couleurs pastel et des forme arrondie ce qui donne un peu un effet retro des années 60 tout en douceur et j'aime bien. Le grille pain, grille en fonction du reglage du thermostat, il peut aussi decongeler et il  a la fonction eject Comme beaucoup de grille pain, les tartines sautent en fin de grill, mais vous avez la manette de secours pour le sortir avant. Belle ligne avec la petite grille en plus sur le dessus, pour rechauffer les beignet, pain rond, pain à hamburger... Je le laisse bien en vue dans ma cuisine, façon deco en plus</t>
  </si>
  <si>
    <t>Toujours aussi satisfaite J'ai recommandé ce legging court en gris, je l'avais déjà en noir. Toujours très satisfaite. Le M taille parfaitement pour un 40/42, le tissu est agréable, la taille est maintenue par une large ceinture qui ne serre pas trop. Il résiste bien au lavage.</t>
  </si>
  <si>
    <t>Tout est parfait. Trop bien rien a redire parfaite(</t>
  </si>
  <si>
    <t>Confortable Reçu rapidement avec outil pour le démontage, très pratique ! Bracelet souple et léger, très confortable. Je recommande sans problème pour SUUNTO BLACK HR.</t>
  </si>
  <si>
    <t>Très joli Sac Harry Potter</t>
  </si>
  <si>
    <t>Casque bluetooth Une Oasis de Tranquillité Personnelle : Profitez de votre musique avec un minimum, voire aucune distraction, dès que vous activez la Réduction de Bruit Active, ce qui surveille et mesure les bruits environnants de manière continue, puis les réduise en émettant le signal opposé Haute Performance d’Autonomie : Grâce à une généreuse durée de vie de batterie allant jusqu'à 30 heures, vous pouvez profiter plus longtemps</t>
  </si>
  <si>
    <t>facile et esthétique ! Les lacets restent bien en place, ils vont parfaitement sur des baskets taille adulte. Faciles à nettoyer, ils font parfaitement illusion ! Quel bonheur d'enfiler ses baskets et d'avoir les lacets toujours parfaitement en place ! Je recommande.</t>
  </si>
  <si>
    <t>beaux biberons mam jolis biberons Mam, pratiques et solides  bonne qualité  tétines compatibles avec tous les biberons Mam, ce qui est très pratique</t>
  </si>
  <si>
    <t>Super bracelet homme Très beau bracelet acheté pour offrir à un adolescent qui en a été ravi.</t>
  </si>
  <si>
    <t>sans plus taille trop grand pour un M mais pas en valeurs. couleurs terne</t>
  </si>
  <si>
    <t>Pas de coque en avant !! Nous n’avons pas de coque de sécurité intégrale en avant de a chaussure cela ne couvre rien du coup je ne sais même pas si nous pouvons appelé cela des chaussure de sécurité je suis très déçu du produit !</t>
  </si>
  <si>
    <t>tres decu... taille completement incorrecte je prends habituellement du M la je me retrouve avec du M annonce et correspond a du XL honteux je ne commenderais plus de vêtements sur amazon.</t>
  </si>
  <si>
    <t>Mouai Tong de bonne facture mais cela reste du plastique elle ont lâché après 2 été c'est déjà pas mal mais bon pour la marque je m'attendait à un peu mieux et plus confortable mais ça reste correct pour le prix</t>
  </si>
  <si>
    <t>Qualité sûre Qualité sûre</t>
  </si>
  <si>
    <t>Bien Bien pour le prix, taille un peu petit, j'ai dû les renvoyer pour prendre une taille au dessus.</t>
  </si>
  <si>
    <t>Basket Confortable</t>
  </si>
  <si>
    <t>Sweat ado Les couleurs sont identiques à la phographie, sweat pas très épais</t>
  </si>
  <si>
    <t>Meilleur choix Visiblement aussi performant que la référence du marché, mais 2 à 3 fois moins cher . N'hésitez pas.</t>
  </si>
  <si>
    <t>Un classique et une valeur sûre... Sac acheté pour mon ado qui rentre en classe de 3ème, je connaissais déjà la marque pour l'avoir déjà utilisée, je suis plutôt contente du résultat et de la résistance de ce sac dans la durée et sa capacité correcte qui permet de ranger des classeurs, cahiers et autres livres pour la journée... Je regrette une seule chose, qu'il n'y ait pas de renfort en bas, à l'intérieur, comme dans certains autres modèles similaires d'autres marques, pour stabiliser tout ce que nos enfants portent sur leur dos, c'est déjà assez lourd et compliqué pour eux...</t>
  </si>
  <si>
    <t>Magnifique produit Tiens chaud , idéal pour la détente!</t>
  </si>
  <si>
    <t>Jadore!! Je suis trop fan de ce réveil!! Connexion facile à Alexa, le réglage du réveil peut se faire aussi via Alexa. Le design correspond à la photo, jadore!</t>
  </si>
  <si>
    <t>chausson style ùmocassin Chaussons très confortables, ligne style mocassin de couleur marron, la pointure est parfaite; Je suis très satisfaite de cet achat.</t>
  </si>
  <si>
    <t>Belles fi8nitions Jolie qualité</t>
  </si>
  <si>
    <t>Bottes Bon produit, un peu lourd a porter, mais c'est un produit classé "sécurité" Rapidité d'expédition; à recommander.  Bravo à ce commercant.</t>
  </si>
  <si>
    <t>Superbe ! Superbe album pour le prix</t>
  </si>
  <si>
    <t>Marqueurs parfaits pour écrire soigneusement sur tableau noir Les marqueurs correspondent totalement à mon attente et permettent une écriture soignées et lisibles sur tous supports ardoises (tableau, décoration murale...). Aucun problème pour effacer, même les marqueurs de couleur ne laissent pas de traces. Je recommande.</t>
  </si>
  <si>
    <t>Très beau sac Super beau sac .tres bonne qualité</t>
  </si>
  <si>
    <t>Sa pique un peu au début Au début très piquant, mais une fois installé, ça va, saccoche de rangement et de transport</t>
  </si>
  <si>
    <t>Vans officielles et taille très bien ! Je suis super contente de mon achat. Ce sont bien des officiels avec boîte d’origine et étiquettes Vans officiel. Taille parfaitement bien, je fais un 39 et j’ai pris 39 : impeccable !</t>
  </si>
  <si>
    <t>PARFAIT HAUT DE COMPRESSION TRES CHAUD ET AGREABLE A PORTER POUR COURSE A PIED SURTOUT PAR TEMPS FROID ET HUMIDE CET HIVER</t>
  </si>
  <si>
    <t>Retour de cartouches d'encre Pour ma commande du 10 Mai N°405 528518 0537142 Cartouche canon pour imprimante MG3600. C'est la référence que j'ai inscrite sur le moteur de recherche; on m'a livré des cartouches pour une MG3650 qui ne conviennent pas. Il se trouve que la fenêtre de retour soit fermée, je me suis aperçu de ma méprise seulement hier. Il y a un problème sur le moteur de recherche.</t>
  </si>
  <si>
    <t>Belle montre qui ne donne pas la bonne heure Service Amazon top. Montre superbe ; genre tool watch qui passe en costume. En revanche.....mécanisme mauvais. La mienne prend presque 4 minutes d'avance / jour !!!!!!!!!!!!!!!!!!!!!!!!!!!!!!!!! Donc retour magasin pour garantie.</t>
  </si>
  <si>
    <t>Une merde Se produit à fonctionner que 2jours 🤔 et la il refuse de se charger .</t>
  </si>
  <si>
    <t>Qualité au niveau de son prix (42,99 euros) Lorsque j'ai acheté ce casque il était présenté avec une soit disant belle promo qui en vérité n'existe pas comme cela est fréquent sur eBay (on nous propose des produits avec des promos de 30, 40, jusqu'à 70% et même plus de réduction alors que leur véritable prix correspond à celui proposé "promo" effectué. Donc, méfiez-vous de ce genre d'arnaque dont amazon s'est fait spécialiste soit directement soit comme complice.  Maintenant le produit en lui même. Le design est très agréable. La partie qui protège la tête est plutôt agréable, assez franchement même, si ce n'est qu'il est un peu trop rigide. Il est bien épais et donc confortable. Les housse pour les oreille sont vraiment nickels. Enveloppant totalement nos oreilles sans les chauffer, elles sont vraiment très confortables. La possibilités de brancher deux fils différents de chaque côté du casque pourrait paraître un détail mais c'est sacrément un vrai plus. C'est la première fois que j'ai un casque avec des écouteurs directionnels, cela me fait un peu bizarre mais c'est pas mal du tout.  Concernant le son, au final il est tout à fait honnête, agréable. Disons le franchement, il est bon (vraiment). Par rapport à mon ancien casque, le Sony MDRXB500 extra Bass de 2011, qui m'a lâché,  je le trouve presque supérieur si l'o tient compte de deux détails : le son est plus proche, on a cette impression d'être en présence de l'interprète pour peu que l'on ferme les yeux et que l'on se laisse emmener par les morceaux. L'autre est que, parfois, on entends certains sons (instrument par exemple), certaines voix (choristes) qui passaient plutôt inaperçus avec le Sony. MAIS ATTENTION : si le son est vraiment similaire voir un peu au-dessus du Sony, un réglage avec l'équalizer est carrément nécessaire pour ce résultat (ce n'était aps le cas du Sony). Donc l'un dans l'autre… car lors des premières utilisations, la basse était pour ainsi dire inexistante avec ce OneOdio.  Les réglages sont vraiment obligatoires.  Un autre aspect également est que, si le casque est vraiment léger et ne sert pas trop les oreilles, toutes les parties "argentés" ne sont ni plus ni moins que du plastocs, plastocs, plastocs. Qui semble assez peu solide. Bon, c'est sûr, ce n'est pas fait pour être balancé contre un mur. A voir avec la durée. En tout cas je pense qu'il sera plus durable que le Sony sur ce point. Cela fait un mois que je l'utilise. Dernier point, ceux qui écrivent qu'il nous protège bien des bruits environnants doivent l'utiliser dans un appartement ou une pièce où ils sont seuls. C'est vrai que nous sommes un peu coupé du monde extérieur mais n'écoutez surtout pas ceux qui veulent nous faire croire que ce casque vaut le matériel de pro ou qu'il a l'efficacité d'un réducteur de bruit actif. On se rend compte par certains commentaires que ceux qui les écrivent doivent être payé pour cela.  Conclusion : un bon casque, vraiment, qui ne vaut pas plus que les 43 euros que je l'ai payé selon moi. Rien de révolutionnaire cependant. Un bon compromis entre une qualité tout à fait honorable et une dépense sans excès, sans toutefois, ne l'oublions pas, taper dans de la gamme élevée. Et puis ce réglage obligatoire pour avoir vraiment un son agréable me gène, je l'avoue. S'il vous tente, n'hésitez pas à l'essayer. Envoyé par Amazon, il y a toujours la possibilité de se faire rembourser en cas d'insatisfaction.</t>
  </si>
  <si>
    <t>Jolies mais trop grandes Blanches et vernis. Avec 2 paires de lacets dont 1 style satin. Mais dommage trop grandes.</t>
  </si>
  <si>
    <t>Une montre de facture classique Présentée dans un coffret carton élégant avec carte de garantie, on y trouve aussi un manuel (exclusivement en anglais) d'utilisation et chiffonnette d'entretien.  La montre est montée sur un bracelet cuir daim marron naturel, avec 3 petits cadrans plus la date. Les aiguilles aciers ont une petite touche de blanc, la trotteuse un peu de rouge. L'heure est facile à lire et la pile est déjà installée par le constructeur.  Il s'agit d'une montre habillée pour le bureau ou les sorties d'une facture plutôt classique. Pour moi c'est plutôt un cadeau à partir de 30 ans ou 40 ans.</t>
  </si>
  <si>
    <t>Super pratique Alors j’adore le concept de ne pas etre obliger de prendre tout en entier pour 1 sortie une petite boite suffit par contre l’ouverture pour verser le lait c’est déjà cassé sur une boite mais sinon je racheterai si besoin</t>
  </si>
  <si>
    <t>Le vendeur est sérieux. Contente du produit.</t>
  </si>
  <si>
    <t>Efficace Deuxième fois que j'achète ce produit. Si on suit la périodicité du traitement, fini les odeurs et je bac à graisse n'a plus de dépôt superficiel. Indispensable</t>
  </si>
  <si>
    <t>Dr Martens 1460 DMC SM-B Boots mixte adulte Bravo , super chaussures, d'autant que je fais de la moto ( c'est parfait ) mais il me fallait de la taille 48 et j'ai rajouter des semelles hyper confortables de Optimale care de Decathlon car sinon je flotte dedans</t>
  </si>
  <si>
    <t>Aucune surprise Très bon produit pas de surprise Une fois les bib achetés les accessoires permettent une évolution en douceur Je conseille</t>
  </si>
  <si>
    <t>Top produit Parfait merci</t>
  </si>
  <si>
    <t>Top Top mais n'ont pas empêcher les coliques chez nous...</t>
  </si>
  <si>
    <t>À offrir d'urgence ! Le meilleur achat de ma vie ! Cela fait déjà 2 ans que je les mets quasiment tous les jours. Été comme hiver ! Et oui elles sont extrêmement solide !</t>
  </si>
  <si>
    <t>bien bon</t>
  </si>
  <si>
    <t>Montre digitale Produit acheté en solde mais qui correspond à mon attente. Montre très visible le jour et la nuit avec ses grands chiffres. Livraison et produit conforme a ma commande.</t>
  </si>
  <si>
    <t>Original et surprenant Colis reçu rapidement super idée originale pour un anniversaire. J'adore les photos et je trouve cette boîte surprise tellement surprenante que je re commanderais</t>
  </si>
  <si>
    <t>Qualité irréprochable Cristal en poudre naturel, ce produit est de belle couleur et de petite taille, vous offrant une autre expérience, convient pour le visage, le front, les yeux, etc. Il est devenu un élément indispensable de mes soins quotidiens, à peine 5 minutes par jour, confiant et Beau</t>
  </si>
  <si>
    <t>Simple et pratique Première fois que j'achetais une bouilloire, j'avais un peu l'impression que ce serait compliqué, notamment où j'habite, avec l'eau très dure, mais finalement non, ce produit est très simple d'utilisation, et même si la bouilloire est assez bruyante en chauffe, le résultat est impeccable.</t>
  </si>
  <si>
    <t>Parfait pour la course à pied Produit acheté pour la course. Bonne taille. Bon rapport qualité/prix. Le délai de livraison est correct. Il protège bien contre le froid pendant l'hiver et garde les muscles au chaud durant la course. Ne dérange pas pour la course à pieds. Je l'avais acheté avec son bas en début d’automne pour la reprise de la course à pied et je n'ai pas été déçu durant l'hiver. Je compte même acheter un troisième ensemble. Je le recommande</t>
  </si>
  <si>
    <t>Magnifique Brille de mille feux Très élégant J’en ai que des compliments</t>
  </si>
  <si>
    <t>livré en bonne état merci</t>
  </si>
  <si>
    <t>Contente Très bon rapport qualité/prix. Rien a dire de négatif sur ce produit car il est conforme au produit que nous trouvons en grande surface</t>
  </si>
  <si>
    <t>Je déconseille Suite à un colis égaré le vendeur m’a gentiment renvoyé le colis ce qui fait que je les ai attendu presque un mois, mais ça passons, au bout de 2h d’utilisation (loin d’être intensive) la semelle droite c’est mis à «&amp;nbsp;craquer&amp;nbsp;» sous mon pied à chaque pas, au bout de trois jours la deuxième aussi .. certes elles ne valent pas très cher mais je pensais pas devoir en racheter après seulement une semaine d’utilisation, elles sont jolies mais absolument pas adaptées à 8h de travail par jour, ou je ne fait que piétiner pourtant ..</t>
  </si>
  <si>
    <t>Objet dangereux Objet reçu défectueux : reçu dans l état, le socle n est pas scellé avec la base rendant les fils électriques apparent. Risque d electrocution Voir photos</t>
  </si>
  <si>
    <t>Casio en déclin Effectivement elle se met à l'heure toute seule !!! Très souvent au 01/01/2005, donc réinitialisation manuelle. Montre gadget, c'est de la m......</t>
  </si>
  <si>
    <t>Il faut bien prendre une pointure au-dessus Comme sur la photo je l'ai pas encore essayé car il fait trop chaud ça va je ne suis pas déçu</t>
  </si>
  <si>
    <t>Bon bras pour micro Le bras est très utile pour mes vidéos. Il est capable de se plier de différente manière ainsi que de se tourner en retirant la visse du pied. En revanche , j'aurais voulus avoir des attaches sur le bras pour le câble du micro. J'ai donc trouvé comme astuce d'entouré le bras avec le câble pour qu'il ne pende pas , ce n'est pas très esthétique mais ça fait l'affaire. Pour finir , après quelques mois d'utilisation , il est toujours comme le premier jour.</t>
  </si>
  <si>
    <t>Sympa Plutôt fin mais sympa . Matière basic pas ouf. Jai Pris M pr un homme et ça fait plutôt L .</t>
  </si>
  <si>
    <t>Super confort Très confortable Achat recommandé !</t>
  </si>
  <si>
    <t>Buds auriculaires Pour remplacer mes filaires j'ai commandé les Buds  reçu 3 jours après,  déballé  quelques essais pour les adapter à mes oreilles. J'ai téléchargé l'application puis mise en route. Appels téléphoniques, écoutes musicales, un régal. Je suis content de mon achat et je le recommande. .</t>
  </si>
  <si>
    <t>Jolie bruit Un article joli, le bruit l'est également. Le réglage est insuffisant en revanche.</t>
  </si>
  <si>
    <t>Il répond parfaitement à mes attentes Ecouteur de très bonne qualité</t>
  </si>
  <si>
    <t>Okay Bon rapport qualité prix</t>
  </si>
  <si>
    <t>Matières nobles finement travaillées et reflétant magnifiquement la lumière. &lt;div id="video-block-R3GH3JFVXT9HV9" class="a-section a-spacing-small a-spacing-top-mini video-block"&gt;&lt;/div&gt;&lt;input type="hidden" name="" value="https://images-eu.ssl-images-amazon.com/images/I/D1dh5j5C-AS.mp4" class="video-url"&gt;&lt;input type="hidden" name="" value="https://images-eu.ssl-images-amazon.com/images/I/818FP72mHiS.png" class="video-slate-img-url"&gt;&amp;nbsp;Bon quand je dis matières nobles il faut préciser que les pierres ne sont pas naturelles mais faites d'oxyde de zirconium, elles ont les mêmes propriétés de réflexion de la lumière que les diamants véritables.  Pour ce qui est du métal tout est en argent 925/1000 donc pas loin d'être massif, dans le petit écrin de présentation on trouve également un certificat d'authenticité, une lingette de nettoyage et une petite carte pour offrir.  La chaîne mesure 45 centimètres et dispose d'un fermoir traditionnel, attention il n'y a pas de maillons de réglage. Fine et élégante elle est parfaitement travaillée pour prendre la lumière et donner de beaux reflets au soleil.  Le pendentif est composé de deux signes infini entrelacés et sertis de petites pierres de Zircon, en son centre trône une grosse pierre taillée. Les finitions comme les incrustations sont magnifiques pour un rendu visuel impeccable, le pendentif brille de mille feux.  Portable en toutes occasions ce bijou de petite taille reste discret mais reflète parfaitement la lumière, le travail et les finitions de l'argent comme des pierres est remarquable. Si je ne suis pas expert en joaillerie le rapport qualité / prix me semble tout à fait convenable.</t>
  </si>
  <si>
    <t>Tres bien Envoi rapide et soigné. Ecouteurs pratiques  a embout magnetique , bon son, fournis dans une petite boite avec crochets et embouts de diverses tailles, un cable usb. Top pour mettre dans le sac a main. Le cable a une longueur parfaite, autant pour toucher les boutons que pour le micro.</t>
  </si>
  <si>
    <t>Parfait ! Cadeau que j'ai fait à ma très chere maman pour son anniversaire, qui est une grande consomatrice de thé. Elle en est ravie ! simple d'utilisation et efficace</t>
  </si>
  <si>
    <t>Très beau leggings Leggings conforme au descriptif je recommande.</t>
  </si>
  <si>
    <t>Je ne suis plus en retard ! J'ai longuement hésité avant de commander ce réveil, et grand bien m'a pris. Il est vrai que c'est un budget plus élevé que n'importe quel réveil, mais au moins, celui ci me réveille !!!! Je ne mets que la lumière car je n'aime pas ses options de bruits, et mets mon portable pour le réveil avec mes musiques préférées. Seul bémol pour moi : on ne peut pas régler les jours, donc si je l'oublie, elle s'allume le samedi matin ! Et oublie de s'allumer le lundi matin. Sinon, je recommande pour les reveils difficiles !</t>
  </si>
  <si>
    <t>Montre parfaite pour le prix Je recherchais une montre plongeuse du type "submariner", elle me convient parfaitement. Ce n'est pas ma première montre automatique et c'est la première fois que je met peu d'argent dans une montre. Mes attentes était donc peu élevées. Mais elle me surprend par sa qualité. Il faut garder à l'esprit que Invicta est une marque suisse à la base. Voici un compte rendu plus en détail.  Emballage : Vous recevez la montre dans sa boite jaune signée Invicta qui protège bien pendant le transport ,avec carte de garantie, notice en anglais. Elle est plus solide que la boite de ma seiko sarb à 400 euros donc ravi de ce côté là.  La montre : La qualité est au niveau de son prix. Evidemment ne vous attendez pas à avoir la qualité d'une rolex ou même d'une Steinhart ocean one, mais pour ce prix, c'est honorable. Il s'agit ici d'un mélange de polissage et brossage plutôt bien exécuté pour le prix (peut être un peu trop brillant ce qui donne un effet "bling bling" sous certains angles)  Le cadran: Il n'a rien de particulier, il s'agit d'un noir mat qui reflète très peu la lumière (dommage). Les écritures en bas sont imprimées tandis que le logo et "invicta" en haut sont apposés. Ces derniers font un peu "cheap" à vrai dire. Les marqueurs rond et rectangulaires sont aussi apposés (pas parfaitement alignés mais il faut vraiment se rapprocher pour le voir)  Les aiguilles: Elles aussi font un peu "cheap", à l'image du logo et du "invicta". Pas grand chose à dire de ce côté. Ici Invicta à repris l'aiguille "mercedes" pour les heures mais se démarque de rolex avec une aiguille des secondes reprenant le logo.  Le bezel (la lunette crantée): Il comporte 120 clicks est tourne dans le sens antihoraire uniquement. Il est un peu dur à tourner mais j'ai été étonné de voir que sur mon modèle, il est très précis. Pas de jeu et il s'aligne parfaitement à 12h. Vraiment un point positif ici.  Les lume: Gros point négatif ici. Le lume (matière phosphorescente) est de couleur presque verte plutôt moche. De plus, il n'est pas très efficace (ne reste pas brillant très longtemps).  Le bracelet: Le bracelet et sympathique mais la qualité n'est pas géniale. Il est brossé avec les maillons du milieu qui sont poli. Ça donne un look vraiment sympa. Les maillons sont non pas reliés par des vis mais par des barres. Dommage que les maillon de fin soient creux. Je conseille de le remplacer au plus vite par un bracelet en cuir marron qui rend top sur les Submariner (colareb sienna par exemple). Mais il peut faire l'affaire en attendant.  Le mouvement: Gros point positif ici. Il s'agit d'un mouvement seiko NH 35A. Il permet le rechargement de la montre avec le balancier dans les deux sens, ainsi qu'un hacking-seconde. (les secondes se stoppent lors du réglage de l'heure) ce que l'on retrouve sur des mouvement un peu plus cher d'habitude. Comme tout mouvement seiko, il est plutôt robuste et tient bien l'heure. (Il pourra être régulé chez votre horloger autour des 2-3 secondes par jour). J'ai reçu le mien avec une avance de 15 secondes par jours. La première que j'ai reçu était cassée par contre. J'ai du la renvoyer dès l'ouverture.  La couronne vissée: L'idée de la couronne vissée est bonne. Elle me parait plutôt fragile donc ne pas trop s'amuser à la visser/dévisser constamment.  En conclusion: +Qualité générale +Tient bien l'heure +Emballage nickel +Prix  -Lume dégueu -Aiguilles et logo un peu "cheap" -Bracelet à remplacer si possible pour un effet encore plus classe ;)  JE RECOMMANDE (attention le prix n’arrête pas de monter, vous pourrez bientôt vous tourner vers les orient mako/mako USA/Ray raven pour un objet plus qualitatif au même prix)  Si vous avez trouvez ce commentaire utile, mettez oui, ça fait toujours plaisir de savoir qu'on a pas passé du temps pour rien :)</t>
  </si>
  <si>
    <t>bracelet élégant Pas de problème de livraison. Je trouve ce bracelet élégant et raffiné. La maille est fine. Le bracelet n'est pas lourd mais est solide . Le fermoir à 3 positions de réglage ce qui est pratique . Je ne regrette pas mon achat.</t>
  </si>
  <si>
    <t>Génial Je lave tous mes vêtements avec ce produit, je l'associe au vinaigre blanc et à de l'huile essentielle de citron.</t>
  </si>
  <si>
    <t>parfaites Ces chaussures sont parfaites. Que vous soyez le randonneur du dimanche ou membre d'un corps opérationnel en quête d'une chaussure solide et confortable, ce modèle est celui qu'il vous faut. Pour l'avoir testé dans les pires conditions, je peux vous dire que je ne l'échangerai pour rien au monde.</t>
  </si>
  <si>
    <t>Top Très beau, je recommande++</t>
  </si>
  <si>
    <t>Satisfaite Bon rapport qualité prix facile et fonctionne très bien. Notice pas en français par contre , mais pas compliquer d utilisation donc pas important. Je recommande . Livré avec des pochette pour commencé de différent format.</t>
  </si>
  <si>
    <t>tres bien bon rapport qualite prix je recommande completement</t>
  </si>
  <si>
    <t>La tétine qu'il préfère De tous les biberons que j'ai pu tester/utiliser pour mon fils, j'ai définitivement craquer pour la marque Dodie ! Et mon fils préfère les tétines plates, donc ! je recommande.</t>
  </si>
  <si>
    <t>Extra Quel achat utile! Une table confortable, avec des bons accessoires et qui semble très solide! Correspond parfaitement à mes attentes.</t>
  </si>
  <si>
    <t>Peut être amélioré Le petit bout permettant de laver l'intérieur de la tétine n'est pas du tout efficace. Sinon la brosse résiste bien au temps.</t>
  </si>
  <si>
    <t>pas terrible impossible de travailler en soirèe avc ce casque souvent il est en mono ;;</t>
  </si>
  <si>
    <t>Bonne bouillotte mais mauvais vendeur J'ai toujours eu des bouillottes étant enfants, je ne suis donc pas surprise par la légère( et je dit bien légère) odeur de caoutchouc. Bonne taille pour une bouillotte, design du polaire sympa même si on ne le choisi pas, c'est un très bon rapport qualité/prix. Ma 3ème commande est arrivée vide est le vendeur reste muet même après mais évaluation et mes messages. Dommage pour moi, j'étais contente... au début...</t>
  </si>
  <si>
    <t>Taille grand J'ai renvoyé car elles taillaient très grand. Mais elles étaient trop jolies.</t>
  </si>
  <si>
    <t>Bof Un peu trop transparent, on voit à travers</t>
  </si>
  <si>
    <t>Un réveil qui réveille Un simple radio réveil FM avec une seule alarme qui permet de choisir entre FM et 6 mélodies (7 choix au total) pour se réveiller. Un système d'éclairage (si branché à une prise) qui s'allume progressivement avant l'heure du réveil. Un système qui prévient pour l'heure du coucher (lumière qui s'éteint progressivement). 2 piles AAA au dos non fournies + branchement 220V via cable USB (avec petit transformateur) Convient bien pour un jeune ado</t>
  </si>
  <si>
    <t>très bon rapport qualité prix Très bon micro pour un prix correct. Bon son. La bonnette pour le vent est bien mais il ne faut pas qu'il y ait trop de vent sinon on l'entend quand même pas mal.</t>
  </si>
  <si>
    <t>Qualité rapport prix habitués a du 43 et c'est du 43,très belle finition</t>
  </si>
  <si>
    <t>Robustes. Tétines robustes qui s'adaptent parfaitement et sans difficulté à un biberon Avent Classic+. Elles sont relativement épaisses et rigides ce qui permet de les "enclencher" facilement dans la bague du biberon puisqu'elles ne se déforment pas. Nettoyage et stérilisation faciles. Elles n'ont néanmoins pas été adoptées par mon enfant qui a préféré une marque concurrente (il n'a pourtant pas connu l'allaitement maternel).</t>
  </si>
  <si>
    <t>Magnifique Je suis satisfaite du produit , livré en avance et très facile a porté et de plus les coussinets sont confortable et ajoute du volume a votre pointrine</t>
  </si>
  <si>
    <t>Super produit Super produit qui va prolonger la vie de votre machine à laver et combattant efficacement le calcaire. Bien mieux qu’un paquet en poudre</t>
  </si>
  <si>
    <t>fan ! je suis fan des crocs au grand dam de ma femme :-) essayez en une paire, vous les adopterez !</t>
  </si>
  <si>
    <t>CHAUSSURES RAS</t>
  </si>
  <si>
    <t>Belle qualité Trop large</t>
  </si>
  <si>
    <t>pratique Peu encombrant, pratique, réglages faciles,le pain saute bien haut tout seul, et belle esthétique.</t>
  </si>
  <si>
    <t>Facile à utiliser Calculatrice acheté pour mon fils au collège. Très facile d'utilisation. Livré très rapidement.</t>
  </si>
  <si>
    <t>La perfection dans un sac ! Des sacs à l'image de la poubelle : excellente qualité. Il sont grands, très solides, épais. En Bref, la Rolls Royce des sacs plastiques à prix unitaire raisonnable.</t>
  </si>
  <si>
    <t>tres bon produit et excellent rapport qualité prix Testé dans un avion AIRBUS A320 low-coast  sur un vol de 3h - avec les oreillettes impossible d’entendre les dialogues du film de ma tablette ; avec ce casque et l'ANC enclenché , plus de problème,  le bruit ambiant était presque inexistant, ce qui m'a permis de suivre mon film sans aucune gêne . Qualité du son excellente , autonomie énorme. Coté confort ça serre un peu parfois et un peu plus léger aurait été mieux, mais là rien de rédhibitoire .  Avec l'étui et les accessoires : produit complet qui répond entièrement à mes attentes.  Excellent rapport qualité /prix</t>
  </si>
  <si>
    <t>Contente Jolie bague, conforme à la photo, légère et adaptable</t>
  </si>
  <si>
    <t>Magnifique ! et pourtant pas radin . En parcourant Amazon je suis tombé par hasard sur ce bijou que j'ai trouvé très beau , comme je fonctionne au coup de coeur (sans pierres😉) et du fait que j'ai pour habitude de faire des cadeaux de façon aléatoire et sans motif particulier celui-ci était une évidence . De toute façon si elle avait été déçue pour le prix !....vous l'aurez compris c'est un cadeau pour ma femme !... elle a aimé !... pour une fois que très beau rime avec petit prix pourquoi s'en priver ! Je renouvellerai ce type de surprise car l'autre avantage c'est la gestion du timing , livraison le lendemain . Je voudrais finir par une remarque négative mais je cherche encore !.....</t>
  </si>
  <si>
    <t>Taille très bien Sport</t>
  </si>
  <si>
    <t>très bon ptoduit tout simplement génial</t>
  </si>
  <si>
    <t>T shirt. Ils font le job, matière douce, respirante, et qui semble solide.</t>
  </si>
  <si>
    <t>Bonne lessive La lessive sent super bon Je n'aime pas quand le linge sent fort et la c'est parfait Nettoie très bien pas de résidu dans la machine , pas de tache sur le linge Bon rapport qualité prix</t>
  </si>
  <si>
    <t>Espérons qu'elle est réellement solide, parce que le reste... Espérons qu'elle est réellement solide, parce que le reste....lecture de l'affichage numérique difficile,  lumière très faible, manipulations compliquées pour les mises à l'heure, fonctions limitées (seulement des fonctions de chronos avancées et l'heure de différents pays). Même l'heure analogique n'est pas immédiatement lisible. On espère que le prix se trouve dans la solidité !</t>
  </si>
  <si>
    <t>Médiocre Nul pas tout reçu du panoplie</t>
  </si>
  <si>
    <t>Ce n'est pas du papier d'arménie Ce produit n'est pas du papier d'arménie, c'est du papier tout court. Surtout ne pas acheter.</t>
  </si>
  <si>
    <t>Basket compensée Compensé</t>
  </si>
  <si>
    <t>On verra Testé ça a tué des insectes par contre je sais pas si ça a tué le principal les punaises de lits mais j’en ai pas revu</t>
  </si>
  <si>
    <t>Sympa Offert pour la fête des pères,  la personne qui l a eu en cadeau en est très contente. Sac léger,  plusieurs poches, se ferme avec une fermeture éclair, ce qui évite que le sac se renverse. 4 étoiles car à voir avec le temps. Satisfaite de mon achat</t>
  </si>
  <si>
    <t>Belle montre légère Montrat achetée le jour du premuim day à moins de 30 euros. Très fine et légère. Réglages très rapides. Rien a redire.</t>
  </si>
  <si>
    <t>Efficace mais très fort Soulage la plupart des douleurs musculaires mais attention à vous laver les mains plusieurs fois après son usage car le produit est très fort et chauffe énormément.</t>
  </si>
  <si>
    <t>Très bien Sans surprise, arrivé rapidement, efficace</t>
  </si>
  <si>
    <t>Beau produit cadeau Très joli produit, idéal pour offrir !!! La boîte est très belle et est du mois bel effet</t>
  </si>
  <si>
    <t>c'est juste jouissif Et moi qui rallait toujours pour avoir un massage... maintenant c'est quand je veux. Super produit, les boules rotatives massent vraiment en profondeur. J'adore</t>
  </si>
  <si>
    <t>Bonne taille et très agréable pour marcher Utilisation intérieure</t>
  </si>
  <si>
    <t>Très bien J’ai reçu le produit rapidement, je m’en sers pour le 2 roues et le sport. La qualité du son est bonne même à volume max, on entend très bien même en moto mais on est pas totalement isolés de l’extérieur donc bien pour la sécurité. Bonne autonomie et charge rapide avec le boîtier qui rentre parfaitement en poche. On peut charger 3 ou 4 fois donc c’est nickel. Le packaging est simple et sympa, je recommande</t>
  </si>
  <si>
    <t>Mon chat en a peur mais il est efficace ! Très bon produit. Un peu d’eau un peu d’huile essentielle et le tour est joué. Facile d’utilisation, efficace. Je ne regrette pas cet achat.</t>
  </si>
  <si>
    <t>Bien Je mets 5 étoile pour le. Son mais j'avoue qu'il est difficile de le comparé cela la qualité est là</t>
  </si>
  <si>
    <t>Bonne taille J'ai pris le temps d'une mesure du pied en comparant cette mesure aux indications de taille proposées par le site officielle Converse. Le résultat est sans appel, la taille est parfaite et pour le reste, livraison très rapide, comme d'habitude.</t>
  </si>
  <si>
    <t>Adapté à bebe Jolie tasse, en plastique de bonne qualité Propose à notre bébé qui l’a tout de suite adopté Prise en main facile pour lui et surtout il n’est pas oblige de trop forcer pour boire ce qui est pas évident à trouver comme tasse Je recommande à ce prix ne vous posez pas de question NUK est une bonne marque</t>
  </si>
  <si>
    <t>un écouteur sans fils top! C’est un cadeaux pour mon mari. J’ai essayé cet écouteur. C’est vraiment un très bon produit qui est le meilleure que j’ai acheté. C’est facile à connecter. Les deux écouteur peuvent sentier bien les oreilles et connecter automatiquement si on l’autorise par nos portable.  C’est comfortable pour les oreilles, on n’a pas de fatigue. La qualité de son est très bien. En plus ça l’isole les bruits autour de nous. C’est le top, et pas cher.</t>
  </si>
  <si>
    <t>trop belle et rapide super rapide</t>
  </si>
  <si>
    <t>Original Calendrier bien garni, revient moins cher que les boîtes classiques</t>
  </si>
  <si>
    <t>Bien Tapis de souris qui correspond à la description. Très bien pour son petit prix. Sobre et très fin.</t>
  </si>
  <si>
    <t>Léger et solide... impeccable ! Mon fils de 18 mois de 12 kg adore et le prend partout dans la cuisine pour regarder ce que je fait a manger. Parfait pour laver les mains. Je recommande vivement !</t>
  </si>
  <si>
    <t>Très bien Taille très bien, confortable (je les mets sans les coussinets), le tissus est doux et semble solide.</t>
  </si>
  <si>
    <t>Obsolescence programmée en moins de deux ans! J'ai acheté cette bouilloire - chère - en décembre 2013 et elle vient déjà de tomber en panne! Elle ne chauffe plus, alors que les voyants s'allument. Très mécontente, vu le prix élevé que j'avais payé pour avoir une température réglable. Jusqu'ici j'en étais contente, mais la durée de vie est vraiment trop courte.</t>
  </si>
  <si>
    <t>Déçu par la qualité Comme la première paire qui m'a été échangée gratuitement par Amazon (que je remercie!), cette paire se décolore au niveau de la semelle. Le tissu bleu marine, dans sa partie juste au bord de la semelle, prend une couleur rouille. Pourtant, je n'utilise aucun détergent pour le nettoyage. De plus, la semelle se décolle sur le pourtour, à l'avant et sur les côtés. Je suis donc très déçu, car c'est la deuxième paire qui pose problème. Je n'achèterai plus la marque Converse. J'ai fait 3 ans avec ma première paire Converse et j'en était très content, quelques mois avec la 2ème et encore quelques mois avec la 3ème. Elle n'a déjà plus d'allure.</t>
  </si>
  <si>
    <t>comme la photo tapis de bonne qualité, il y a eu un seul lavage à voir dans le temps. Très agréable car tout doux.</t>
  </si>
  <si>
    <t>souci j'ai bien reçu mes rouleau mais il n'y avais que quatre rouleau et non six retour fait</t>
  </si>
  <si>
    <t>Genial Des baskets aussi confortable que des pantoufles et elles sont très belles!</t>
  </si>
  <si>
    <t>Bon rapport qualité prix même avec les cassés J ai fait 2 commandes Première Commandé 200 crochets 180 en très bon état. 7 récupéré en assemblant les défectueux. Donc seulement 187 conforment. 27 crochets nu ni perles ni ressort (je m en servirat quand même )et 4 inutilisables.( tordus ou ressort tellement déformé que trop serré et pas utilisable. 2eme commande 178 conforment, 17 nu, 3 tordues, 5 avec boule cassé, 3 ressort écrasé et 2 perles et 2 ressorts. J ai réussit à reconstituer 5 crochets complets et restent 16 nu etc7 inutilisables. Bon pour le prix on va pas se plaindre. Semblent assez solide pour mes créations. Reste quand même bien</t>
  </si>
  <si>
    <t>Très bien J'aime beaucoup ce casque. La qualité du son est pas mal, je ne dirai pas que c'est la meilleur du monde mais elle est très bien. Je l'ai depuis plusieurs mois et il fonctionne très très bien. Il est très résistant et surtout le fil. L'esthétique est assez jolie et classe, de plus il y a plusieurs colories très sympathique. Personnellement, je l'ai en rouge et j'adore la couleur correspond également parfaitement avec l'image. C'est un très bon casque avec un super rapport qualité prix, je le recommande vraiment. De plus il est pliable, donc il ne prend pas de place. Le seul bémol qui est vraiment dommage c'est que les fils proviennent des côtés, à droite et à gauche, ce n'est pas pratique et pas très beau esthétiquement et c'est pourquoi je lui met 4 étoiles. Néanmoins je recommande ce casque si vous voulez un casque au quotidien assez résistant qui fait bien son job sans dépenser une fortune.</t>
  </si>
  <si>
    <t>Bien mais peu mieu faire J'aime le principe, le goupillon s'égoutte tout en étant ranger les 2 goupillons s'emboîtent pour un gain de place seul bémol , la taille du petit goupillon qui est trop gros pour bien nettoyer les tétines et les poils de la brosse qui sont très souple et donc s'usent très vite Mais sinon je recommande cet article</t>
  </si>
  <si>
    <t>Produit au top Utilisation de tous les jours Produit de qualité pour un usage régulier. Facile à régler</t>
  </si>
  <si>
    <t>très très bien le système de bracelet personnalisable à beaucoup plu (c'était pour un cadeau) Il me semble que c'est tendance (mais je ne suis pas spécialiste de mode) Le seul hic c'est que je n'était pas sûr pour la taille, pas facile de prendre le tour de poignet discrètement lorsqu'on fait une surprise. Sinon cadeau bien réussi avec un bijou superbe</t>
  </si>
  <si>
    <t>Le sauveur de vos appareils Bose ! Si comme moi vous avez la malchance d'avoir vos câbles abimés par l'usure ou vos rongeurs vous vous rendez vite compte que pour changer votre câble d'alimentation cela va vous coûter relativement cher. J'ai lorsque mon câble s'est dénudé suite à une chute et ne voulant pas abimer mon amplificateur Bose recherché à le remplacer logiquement par la marque propriétaire et qu'elle dépourvue de voir une politique similaire à celle d'Apple qui consiste à vous faire payer la marque... Pour ma part très peu pour moi ! Du coup j'ai foncé en voyant pour moins de 20€ ce chargeur.  A la réception une boite plutôt élégante qui se démarque de la très souvent utilisée boite en carton rigide, couleur... carton. A l'intérieur on regrette un peu que la tête du chargeur ai commencé à s'insérer dans le carton par manque de calage du chargeur. Cependant RAS tout est fonctionnel et en état conforme avec la photo du proposée par Lavolta !  Au niveau du design, sobre, simple et efficace ! On aurait préféré c'est vrai la possibilité de pouvoir désolidariser le câble du chargeur de la base afin de pouvoir gagner en compacité dans le transport, pour le reste tout est de plutôt bonne facture.  A l'utilisation vraiment encore une fois RAS une enceinte Bose Soundlink Mobile II tant à l'utilisation qu'au rechargement on est totalement ravi d'avoir fait le choix de ce chargeur car il fait clairement le même travail que mon ancien chargeur Bose. J'ai testé le chargeur Lavoltaa sur d'autres produits Bose et là encore rien à dire le câble est compatible et rechargement totalement sans surchauffe. Client totalement satisfait !  Je recommande donc tout logiquement ce chargeur Lavoltaà pour vos appareils Bose qui fera exactement (testé 1 semaine) le même travail que le chargeur Bose d'origine pour vos appareils et tout cela sans vous ruiner !  Si mon commentaire vous a été utile, merci de me soutenir dans la rédaction de mes évaluations en cliquant sur le petit "oui" juste en dessous de ce commentaire.  J'ai reçu ce produit à un prix préférentiel pour le tester et vous donner l'avis le plus objectif et détaillé possible.</t>
  </si>
  <si>
    <t>Super joli Finition bien faite et ça sent bien le cuir !</t>
  </si>
  <si>
    <t>Très Fonctionnel Très satisfait de cet agenda qui répond parfaitement à mes exigences.</t>
  </si>
  <si>
    <t>agréable Produit indispensable pour désinfecter le linge, L'odeur est douce et agréable</t>
  </si>
  <si>
    <t>Bien adapté pour faire du sport Très bon rapport qualité prix</t>
  </si>
  <si>
    <t>Chaussure bonjour j'ai acheter une paire de puma Vikky avec un Résultat satisfaisant ! en plus elle vous Rehausse de 4 cm moi qui faisait 1m,63 je sui arriver a 1m,67 cela a changer ma vie quelque part ! je vous conseil cette paire de chaussure si vous avez un problème de hauteur et en plus elle sont confortable ! et jolie .</t>
  </si>
  <si>
    <t>Vraiment top confort Produit livraison rapide qualité au top.  On marche énormément avec et on a pas mal aux genoux ou au dos en fin de journée.</t>
  </si>
  <si>
    <t>Excellent Chaussures légères et très confortable... A voir la tenue dans le temps, mais pour l'instant vraiment très satisfait de mon achat.</t>
  </si>
  <si>
    <t>Chaud Mettre mon chat pour les soirées d hiver</t>
  </si>
  <si>
    <t>Sacoche Super léger et pratique</t>
  </si>
  <si>
    <t>Bon produit! &lt;div id="video-block-RZCM7PIILUKY2"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id="163" preload="auto" src="https://images-eu.ssl-images-amazon.com/images/I/B1evSUvRoBS.mp4" style="position: absolute; left: 0px; top: 0px; overflow: hidden; height: 1px; width: 1px;"&gt;&lt;/video&gt;&lt;/div&gt;&lt;div id="airy-slate-preload" style="background-color: rgb(0, 0, 0); background-image: url(&amp;quot;https://images-eu.ssl-images-amazon.com/images/I/61MRkEKD65S.png&amp;quot;);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value="https://images-eu.ssl-images-amazon.com/images/I/B1evSUvRoBS.mp4" class="video-url"&gt;&lt;input type="hidden" name="" value="https://images-eu.ssl-images-amazon.com/images/I/61MRkEKD65S.png" class="video-slate-img-url"&gt;&amp;nbsp;Au déballage on constate que la qualité est au rdv. La boite comporte en plus des écouteurs dans leur boitier, des embouts de rechanges, un câble micro usb. L’appairage est facile et faciliter avec le bouton et les led rouge/bleue. La qualité sonore est bonne également . Je les utilises avec un iphone 11. Les écouteurs tiennent bien dans les oreilles quand on se déplace. N’hésitez  pas!</t>
  </si>
  <si>
    <t>Chaussure de sorti Super produit, rien à dire. Colis reçu assez rapidement et bien emballé. Pour la taille, correspond à ma pointure de base et aucun doute possible car parfaitement bien taillé. Très confortable et très classe pour sortir au restaurant ou en boite ou dans des bars. Je recommande fortement ce produit, aussi bien pour son côté esthétique, que pour son rapport qualité/prix.</t>
  </si>
  <si>
    <t>très interrogative j'ai changé déjà 2 fois de résistance. peut être est ce parce que je vapote toute la journée???!!! Pourtant je respecte la notice à la lettre</t>
  </si>
  <si>
    <t>Appareil défectueux L’appareil est arrivé défectueux la prise étant tordue je ne pas pu l’utiliser</t>
  </si>
  <si>
    <t>Bouton on/off defectueux Il semble que cette bouilloire soit de mauvaise qualité. Au bout de quelques semaine le bouton qui enclenche le chauffage de l'eau saute en quelques secondes, autrement dit l'eau n'a pas chauffé. Il faut s'y reprendre à plusieurs reprise ou maintenir le bouton enfoncé 30 seconde pour que la bouilloire fonctionne.</t>
  </si>
  <si>
    <t>Le microphone ne fonction pas Le microphone des écouteurs ne fonctionne pas . Donc je peux qu'ecouter de la musique mais ne peux pas passer d'appel.</t>
  </si>
  <si>
    <t>MOYEN Les écritures se décollent obligé de les recoller avec le fer à repasser et papier et cuisson. Maintenant plus ce problème .</t>
  </si>
  <si>
    <t>Satisfaite Produit conforme à la description. Il aussi de bonne qualité. Je le recommande ma fille l'accepter depuis son plus jeune âge (4 mois)</t>
  </si>
  <si>
    <t>bien bien coupé , j'ai prix une taille M  je fait 1m80 pour 70 kg juste très légèrement un peux court pour moi</t>
  </si>
  <si>
    <t>Très bien Réveil qui fonctionne très bien et de bonne qualité. Point négatif: Difficulté de réglage pour le 'coucher de soleil' La fonction aube et coucher ne fonctionne qu'à condition de brancher le réveil via sa prise USB.</t>
  </si>
  <si>
    <t>Câble adaptateur de bonne facture Très bonne qualité de fabrication. Rien à dire. Utilisé pour plus de souplesse avec un câble jack 3.5 vers RCA. Soit branché sans sur l'ordi soit branché avec sur la carte son externe de bien meilleur qualité.</t>
  </si>
  <si>
    <t>Rapport qualité -prix Top génial ! J'adore</t>
  </si>
  <si>
    <t>Mersi Mersi</t>
  </si>
  <si>
    <t>Superbe collier Très beau collier, je l'ai mis au cou de mon petit fils en espérant qu'il lui sera très efficace comme à son cousin .</t>
  </si>
  <si>
    <t>Tres bon produit ce produit rainett est tres bien sans parfum, hypoallergenique et surtout liquide c'est un atout car les autres produits de la marques ne le sont pas assez liquides, parfum pour les personnes intolérantes comme moi</t>
  </si>
  <si>
    <t>Très bonne odeur Tres bonne adoussissant sens tres bon Adouci très bien le linge</t>
  </si>
  <si>
    <t>Très bien Acheté pour mon petit fils qui adore chanter je l’ai essayé car pas encore offert et c’est top je pense qu’il va adorer il est simp’e D’utilisation et le son est bien</t>
  </si>
  <si>
    <t>nike belle qualité</t>
  </si>
  <si>
    <t>Masseur parfait &lt;div id="video-block-R3BLNOMHON5D6U" class="a-section a-spacing-small a-spacing-top-mini video-block"&gt;&lt;/div&gt;&lt;input type="hidden" name="" value="https://images-eu.ssl-images-amazon.com/images/I/A1CtdRg0OhS.mp4" class="video-url"&gt;&lt;input type="hidden" name="" value="https://images-eu.ssl-images-amazon.com/images/I/913Zoh-EdhS.png" class="video-slate-img-url"&gt;&amp;nbsp;Étant donné que mon petit ami a souvent mal au dos, je souhaite acheter une variété de masseurs. Dans les cinq différents types de masseurs que je possède actuellement, je pense que c'est le plus pratique.  Apparence: Conformément à la description, le masseur dispose de quatre boutons: commutateur pour ajuster la direction. L'interrupteur chauffe et modifie la force. Le masseur est équipé d'un cordon d'alimentation et d'une prise de courant pour allume-cigare pouvant être utilisés dans la chambre, sur une chaise de montagne ou en voiture. Une sangle pouvant être ouverte à l’arrière du masseur permet de le fixer correctement dans n’importe quelle position.  Fonction: Quatre balles de massage peuvent fournir un massage très puissant et confortable, et vous pouvez choisir le chauffage infrarouge, ce qui est bon pour votre corps. La direction et l'intensité du massage peuvent être facilement modifiées et la méthode de massage peut être ajustée en fonction de vos besoins.  Sensation d’utilisation: j’aime vraiment ce masseur. Le massage est puissant et confortable. Il peut être placé à tout moment sur une chaise, sur le canapé et sur le lit. C’est très pratique. Après le travail, il faut 15 minutes pour se détendre après le travail. Masseur. Convient aux amis, collègues, aînés, etc. C'est un cadeau très intime.  Si vous estimez que mes commentaires vous sont utiles, veuillez cliquer sur UTILE, merci beaucoup!</t>
  </si>
  <si>
    <t>Parfait . Parfait , il a fait un heureux .</t>
  </si>
  <si>
    <t>Parfait Très bon produit satisfait merci</t>
  </si>
  <si>
    <t>Parfait Très relaxant.</t>
  </si>
  <si>
    <t>bien je les ai mis pour mettre mes guirlandes de Noël. c'est parfait, ça colle très bien etc'est invisible , je les ai laissé pour l'année prochaine..</t>
  </si>
  <si>
    <t>Bon achat ! Je suis une habituée des Vans, et je ne les achète aujourd'hui plus que sur Amazon, je guette les prix avantageux, peu importe si il s'agit de nouveau ou ancien modèle 40€ c'est toujours mieux que 70€ en magasin. Je n'ai jamais été déçu, une paire de vans est une paire de vans après tout ! Les photos sont conformes au produit reçu, nous recevons la paire dans une boite de la marque. La taille est adapté, ni trop grande, ni trop petite, juste la taille correcte, la taille demandée.  Très contente de mon achat comme d'habitude, je réitèrerais.  (Si mon commentaire vous a été utile n'hésitez pas à le signaler en cliquant sur "oui")</t>
  </si>
  <si>
    <t>Très stylé Ma femme en est super contente produit comme la description du coup je lui ai pris en blanc aussi</t>
  </si>
  <si>
    <t>trop petit de 2 tailles C'est bien un pantalon étiqueté 7XL mais c'est un petit 3 XL ou un grand 2 XL  7xl c'est un tour de taille 143.5 à 149 cm, le tour de taille de ce pantalon est de 119 cm. le tour de taille d'un 3XL est de 121,5 cm.  J'imagine qu'il n'y a pas plus grand donc je vais le garder et essayer de pouvoir rentrer dedans un jour. En attendant, il ne me sert à rien d'ou la note. Je pense que respecter les tailles c'est important.  Pour la qualité,je n'ai rien à redire, le pantalon à l'air très bien.</t>
  </si>
  <si>
    <t>a fuir matiere desagreable et tres fine, s'est dechiré en 1 semaine, deteint au premier lavage a 30 degré. et la taille ne correspond pas, c'est tres serré. (arnaque)</t>
  </si>
  <si>
    <t>Je déconseille 4 mois d'utilisation et l'écouteur gauche ne fonctionne plus. Pourtant ils n'ont reçu aucun choc, ne sont pas tombés, incompréhensible. Je déconseille fortement</t>
  </si>
  <si>
    <t>Acceptable Globalement satisfaite pour faire du fitness à la maison. Matière agréable. Mais le maintien est moyen. De plus, la coupe au niveau des fesses c’est pas top à cause d’un surplus de tissu qui forme un pli bof bof, à moins que cela nous encourage à muscler et relever notre popotin.</t>
  </si>
  <si>
    <t>Bien mais attention à la tétine Bon biberon, fabrication française, la couleur tient bien, mais la tétine s'est craqué au bout d'un mois à peine (et pourtant je ne stérilise pas et bébé n'a pas encore de dent)</t>
  </si>
  <si>
    <t>Protéger ses vêtements Ces sachets sont pratiques avec leur crochet incorporé. On peut les accrocher facilement dans une penderie et s'assurer de na pas laisser l'humidité s'installer. Le principe est pratique, car il ne forme pas de liquide comme d'autres absorbeurs. Pratique et rassurant pour les vêtements.</t>
  </si>
  <si>
    <t>rapport qualité prix satisfaisant Conforme à ce que j'attendais</t>
  </si>
  <si>
    <t>Bon produit correspond en tout Bon produit correspond en tout</t>
  </si>
  <si>
    <t>Un grand classique Voilà des années que j'achète ce type de produit et je ne suis jamais déçue. Ils durent au moins 2 ans et pour peu que vous preniez une taille au dessus, vous voilà tranquille pour 3 saisons</t>
  </si>
  <si>
    <t>Efficace Parfait et efficace, sa détend et permet de calmer certaines douleurs. Après une sceance de 35 min le soir je dort comme un bébé.</t>
  </si>
  <si>
    <t>Satisfait Très bon rapport qualité prix.</t>
  </si>
  <si>
    <t>qualité chaussure sécurité conforme et parfait pour mon mari, il était très satisfait, bon rapport qualité prix.</t>
  </si>
  <si>
    <t>Excellent rapport qualité prix ! Excellent rapport qualité prix !</t>
  </si>
  <si>
    <t>Ne pas hésiter Pour faire du sport c'est parfait. Même pour la vie quotidienne. Léger et agréable</t>
  </si>
  <si>
    <t>sac à bandoulière article conforme à la description , elle est n'y trop grande n'y trop petite , elle me conviens parfaitement,  la taille est parfaite, le tissu est de bonne qualité, les fermetures éclair ont l'air résistante à voir à dans le temps !!!!! , pour l'instant j'en suis satisfait.</t>
  </si>
  <si>
    <t>Excellent ! Je viens d'acheter ce pair de chaussures à mon mari et il l'a adoré. Il trouve juste que la semelle est un peu dure, mais c'est pour ça qu'elle est résistante. La livraison Amazon toujours impeccable ;)</t>
  </si>
  <si>
    <t>La qualité L'encre est toujours trop chère,même si en XL,c'est plus intéressant;  et la qualité de l'original reste supérieur au générique...et maintient la fiabilité de l'imprimante</t>
  </si>
  <si>
    <t>Une belle invention ! En utilisant cet appareil, l'air est plus respirable et on est moins enrhumé. J'utilise avec un parfum de menthe. C'est fort agréable. Je vous le recommande et je vais en commander un autre pour mettre dans la chambre de mon fils.</t>
  </si>
  <si>
    <t>Bon produit Mon fils en est content. C'est vraiment l'essentiel pour moi!!!</t>
  </si>
  <si>
    <t>Je recommande Produit trop géniale</t>
  </si>
  <si>
    <t>Parfait Produit de bonne qualité avec des produits naturels  facile à utiliser avec ses coussins indépendants qui permet de le plier facilement et de l'utiliser sur les parties du corps prix correct livraison rapide</t>
  </si>
  <si>
    <t>Effet rétro garanti ! Très bon produit, effet rétro garanti :-)</t>
  </si>
  <si>
    <t>Bof Pas top , j ai pas remarqué qu il y avait pas les oreilles pour porter le sac ... et du coup ce n ai pas très intéressant !!</t>
  </si>
  <si>
    <t>Article non reçu J'ai commandé l'imprimante avec ce lot de 50 feuilles de papier photo. J'ai reçu l'imprimante mais pas le lot de feuilles photo. JE ne sais meme pas comment signaler cet article manquant</t>
  </si>
  <si>
    <t>huile essentielle Il y a mieux. J'utilise l'huile essentielle dans un brumisateur et celle-ci ne me donne pas entière satisfaction, A réessayer peut-être?</t>
  </si>
  <si>
    <t>Un peu agressif Un peu agressive comme huile essentielle.. Ne cela trahi peut être une moindre qualité.. Ne mettre que quelques gouttes. Parfait pour éliminer les insectes il paraît</t>
  </si>
  <si>
    <t>légère et fonctionnelle agréablement surpris de la qualité de cette belle montre, elle est légère au poignet, l'affichage est très lisible et clair et de plus elle est fournie avec un petit appareil pour pouvoir régler le bracelet. RAS pour ma part, je la conseille et puis ça peut faire un joli cadeau pas excessif en prix vu la qualité, j'en suis pleinement satisfait, reçu en temps et heures</t>
  </si>
  <si>
    <t>Qualité , confortable et prix Je l'ai offert en cadeau et la personne s'est sentie très à l'aise avec les chaussures et m'a dit qu'il était comme dans des chansons . Je recommande donc cet article .</t>
  </si>
  <si>
    <t>Reste plus qu'à les tester Pour le moment je n'ai pas pu les essayer mais je suis satisfait de la rapidité de l'envoi, de la qualité de l'emballage et du matériel. Après, je n'ai pas vérifié si les câbles étaient assez longs, le son de bonne qualité et si'ils tiennent bien sur la tête de mes 2 filles mais c'est déjà un excellent début.</t>
  </si>
  <si>
    <t>sac Sac un peu petit très belles couleurs</t>
  </si>
  <si>
    <t>Beau produit Beau produit, bracelet robuste, élégante, mais l'interface utilisateur n'est pas optimale. Côté montre pour avoir l'heure, rien à dire, elle est top. Côté connectivité : la montre permet de gérer le son du portable, ce qui est bien plus pratique qu'il n'y parait. Par contre, la plupart des autres fonctionnalités sont inutiles ou mal faites. Par exemple, la montre vous indique si vous recevez une notification, et s'il s'agit d'un snapchat, d'un whatsapp, etc. Il n'est possible de distinguer l'expediteur du message que pour les SMS - ce qui est inutile en Suisse où tout le monde utilise Whatsapp.</t>
  </si>
  <si>
    <t>Marche très bien! Étant souvent enrhumé ou avec des problèmes de respirations je me suis tourné vers ce produit pour pouvoir diffusé une huile essentiel dans toute ma chambre avant de dormir, et cela marche très bien! Le produit est simple d'utilisation, et possède une fonctionnalité sympa qui est un changement de couleur dans le noir, c'est très esthétique!</t>
  </si>
  <si>
    <t>Génial Un produit parfait . Design super sympathique pour la cuisine. Difficile de trouver des produits passe partout pour les bébés. Sont look est génial et super pratique . Le produit est plat et grand, il permet de mettre n'importe quel biberons, tétines, cuillères , assiette sans que tout ce casse la figure . Il se nettoie de manière hyper simple. Je recommande absolument !</t>
  </si>
  <si>
    <t>Très bonne chaussure Parfait bien penser à prendre une pointure de plus que votre pointure habituelle</t>
  </si>
  <si>
    <t>Vraiment très bien J'ai reçu mes micros. Je les fait fonctionner avec une table de mixage ALESIS multimix 4 fx  (équipée d'une alim phantoom 0,48 volts) en usb sur mon PC et le résultat est bluffant de justesse. Finition impeccable, son clair, un peu plat, mais ça se travaille au mix sans problème. Le seul problème, et il est fort mineur, au point  Je suis très satisfait et je n'enlève aucune étoile, c'est que la bonnette  est fort comprimée dans l'emballage et un poil marquée par l'évènement. Mais, à mon avis, c'est un excellent rapport qualité/prix.</t>
  </si>
  <si>
    <t>Globe petit Il est bien, le globe est un peu petit mais la fonction nuit avec les constellations est superbe</t>
  </si>
  <si>
    <t>Mini Pocket C'est le meilleur de tous les correcteurs</t>
  </si>
  <si>
    <t>Conforme aux attentes Chaussures achetées pour mon fils qui a un stage (17 ans).. son commentaire "Elles sont cool, ça ressemble à des vraies chaussures".</t>
  </si>
  <si>
    <t>Parfait Très bon rapport qualité prix se nettoie plutôt bien et part lors d'un lavage en machine c'est mieu pour un produit pour enfant.  La mine un peu dur n'est pas super adapté à l art thérapie.</t>
  </si>
  <si>
    <t>Beau et design Bouilloire très jolie, elle chauffe très vite. La lumière LED bleu apporté une note très design qui s'éteint quand l'eau est à bonne température. La carafe en verre permet une nettoyage parfait, on voit très facilement si la bouilloire est propre ou non. Très satisfaite du produit</t>
  </si>
  <si>
    <t>Puma au top Je les avais déjà en noir, je les ai prise en blanches pour l'été ! A premier abord, on pourrait penser que c'est taillé un peu petit (je fais du 45) mais marchez 2/3 jours avec et elles seront faites. Elles sont vraiment très belles, sobres et font habillées. Je recommande les yeux fermés, Puma font pour moi les meilleures chaussures.</t>
  </si>
  <si>
    <t>Parfait pour l'apprentissage A servi environ 2 mois à ma fille quand elle commençait à vouloir goûter de tout mais qu'elle ne pouvait pas encore mâcher (vers 7-8 mois). On peut l'accrocher à une ficelle pour éviter qu'il ne tombe à terre sans cesse. Attention, c'est super pour les bananes mais il faut nettoyer de suite car c'est le pire fruit à nettoyer, les grains une fois secs restent collés pendant des jours!</t>
  </si>
  <si>
    <t>parfait pour moi montre petite et discrète avec les fonctions nécessaires : heure, date, alarme, chronomètre, seconde heure : juste ce qu'il faut.</t>
  </si>
  <si>
    <t>Confort Pour la musique et les films</t>
  </si>
  <si>
    <t>Tommee tippee J'ai acheté ces tétines de débit rapide 6 mois+ lorsque j'ai du y ajouter des céréales et je suis satisfaite de mon achat car elle boit beaucoup plus vite sans se fatiguer et sans régurgitations. Les tétines se lavent facilement. Bref, je suis contente et je recommande.</t>
  </si>
  <si>
    <t>Oui, mais à revoir Les plus : transparence des doses, grande capacité Les moins : filetages trop courts, du coup elles se dévissent facilement dans le sac !!</t>
  </si>
  <si>
    <t>Retour retour déjà fait</t>
  </si>
  <si>
    <t>À éviter!!! Nul produit à éviter, système fixation sac Ne tiens pas, vous ouvrer le couvercle il ce détache. (Bravo le made in «&amp;nbsp;Germanie&amp;nbsp;»)</t>
  </si>
  <si>
    <t>etroit bonnette de bonne qualité ouverture trop étroite pour couvrir le micro cravate. De plus on est obligé d'enlever la bonnette en mousse d'origine.</t>
  </si>
  <si>
    <t>Renvoi de l article super service SAV site serieux Vetement</t>
  </si>
  <si>
    <t>parfait Parfait pour l'utilisation que j'en ai faite (utilisation pour raccorder une enceinte arrière centrale sur mon home cinéma). Câble robuste et armé.La livraison s'est faite dans les temps, le produit était emballé dans une enveloppe bulle, ce qui est suffisant pour un produit qui ne craint pas les chocs.</t>
  </si>
  <si>
    <t>bien pour ce prix me servent de bottes "secondaires" on flotte au niveau des mollets et on connait la température de l'endroit où on marche...! mais bon à ce prix ....</t>
  </si>
  <si>
    <t>Pour les amateurs de belles montres Le produit parait cheap sur les photos, il n'en est rien une fois le colis reçu.  Je l'ai depuis plus de 6 mois et rien à redire pour le moment.  Le rapport qualité / prix est clairement appréciable.</t>
  </si>
  <si>
    <t>Utile et efficace mais dispendieux en eau de rinçage Produit efficace. Je nettoie mon évier et mon plan de travail en résine blanche et il fait bien partir les marques ou taches. Peu de produit suffit. Un bémol : laisse du dépôt comme une crème à récupérer et il faut beaucoup rincer donc on use bcp d’eau.</t>
  </si>
  <si>
    <t>impec encore plus beau en vrai que sur la photo</t>
  </si>
  <si>
    <t>bonne qualité écouteurs fournis a l'achat de mon one plus 6 d'habitude les écouteurs fournis avec les smartphones ne sont pas toujours de très bonne qualité ceux-ci sont parfais, rien à redire.</t>
  </si>
  <si>
    <t>Très jolie Très beau produit  mais  trop grand</t>
  </si>
  <si>
    <t>Super Beau gris, très confortable, taille comme prévue. Rien a redire</t>
  </si>
  <si>
    <t>Vraiment bien Vraiment bien</t>
  </si>
  <si>
    <t>Agréable à utiliser, taille optimale Je suis très contente de se pointer il tient parfaitement en main  il est léger et efficace c'est un réel plaisir de l'utiliser pour dérouler ces power point.   Les piles ne sont pas livré avec dommage</t>
  </si>
  <si>
    <t>Super et très bonne qualité ! Ce goupillon est vraiment bien ! J’en suis très contente et il nous sers aussi pour laver les gourdes</t>
  </si>
  <si>
    <t>Impeccable Impeccable, matériaux solide content de mon achat. Acheté pour mettre un micro dessus. Il tiens très bien et fait bien son taff</t>
  </si>
  <si>
    <t>Coffret huiles essentielles Très joli coffret d'huiles essentielles. Je les utilise dans un diffuseur. Parfums très agréables et doux. Très appréciable d'avoir plusieurs parfums différents à utiliser suivant ses envies. Très pratique ra'gées dans un coffret</t>
  </si>
  <si>
    <t>Très bien L'article est conforme à la  description et correspond tout à fait à mes attentes.</t>
  </si>
  <si>
    <t>Conforme et très pratique Très bien pour les petits</t>
  </si>
  <si>
    <t>Excellent Quel son !! Bon normal c'est du jbl franchement pas déçu par la qualité esthétique comme performance</t>
  </si>
  <si>
    <t>TRES BON PRODUIT TRÈS BON PRODUIT</t>
  </si>
  <si>
    <t>je suis satisfaite de mon Achat  5/5 je suis satisfait De Mon Achat De Ce produit  Microphone Cravate Double Tête Enregistrement Clip Mini Mic microphone pour IPhone IPad et Smartphone après plusieur teste je suis Content De Mon Achat  5/5</t>
  </si>
  <si>
    <t>bon parfum et bonne décoration &lt;div id="video-block-R2ZXJ1KCQ15BE7" class="a-section a-spacing-small a-spacing-top-mini video-block"&gt;&lt;/div&gt;&lt;input type="hidden" name="" value="https://images-eu.ssl-images-amazon.com/images/I/713dJZpvrIS.mp4" class="video-url"&gt;&lt;input type="hidden" name="" value="https://images-eu.ssl-images-amazon.com/images/I/91EclQfK7TS.png" class="video-slate-img-url"&gt;&amp;nbsp;ce diffuseur est incroyable!  J'adore l'effet de bois qu'il avait et sa forme.  Quand allumer le diffuseur est très silencieux et j'aime la lumière led qui change de couleur.  C'est génial comment vous pouvez choisir de le garder sur 1 heure 2 heures ou 3 heures en cliquant sur les boutons sur le devant.  vous pouvez également choisir de garder les lumières allumées ou éteint.  La machine est elle s'éteindra automatiquement si il mansion du l’eau.</t>
  </si>
  <si>
    <t>A réserver à une utilisation marginale Cette interface USB midi est directement reconnue sur le Mac, pas besoin d'installer des logiciels additionnels pour l'utiliser. L'ensemble est d'une construction assez légère ce qui ne la rend pas appropriée à de fréquents déplacements où des chocs répétés pourraient facilement l'endommager.</t>
  </si>
  <si>
    <t>Grosse déception 😞 Pas contente du tout fuis comme une passoire tres decu de mon achat</t>
  </si>
  <si>
    <t>nul recu article endomagé la taille S est valable pour un enfants de 10 ans voir moins et la matiere est une catastrophe domage</t>
  </si>
  <si>
    <t>Sweat bleu Le colis est livré rapidement, Le pull de marque de couleur bleue est à la bonne taille,  Assez bon rapport qualité/Prix</t>
  </si>
  <si>
    <t>prix correct Montre portée en complément d'une montre Casio Edifice. Sur le modèle MRW-200H, le verre est en plastique contrairement à l'Edifice et est beaucoup plus fragile. Légères rayures dès le 1er jour sans exercer de contrainte particulière (d'où les 3 étoiles). J'imagine l'état quand je vais bricoler!. Il semblerait que le nouveau modèle MRW 210 H dispose d'un verre minéral (mais plus cher...pour l'instant) Pour le réglage, assez facile quand on est habitué aux montres avec dateur. (hormis le choix de la langue du jour un peu bizarre) L'heure est très lisible Prix correct 19€ (20/09/2016)</t>
  </si>
  <si>
    <t>envoi rapide envoie rapide et assez conforme. Je l'attendais avec impatience</t>
  </si>
  <si>
    <t>Dessine moi un mouton Un double pack de feutres de coloriage vendu à ce prix-là, ça peut attirer des soupçons... pourtant, il n’en est rien et ces feutres issus des usines Bic font très bien le job. Au regard des mines, je pense qu’ils sont à déconseiller pour les enfants de moins de cinq ou six ans car si les mines ne s’enfoncent pas, la pointe est assez fine et devrait rapidement ne ressembler à plus grand chose sous les assauts des plus petits.  Hormis ce point de détail, les couleurs possèdent un beau rendu sur papier, les capuchons sont bien fichus et seule l’absence d’une réelle boîte métallique pour le rangement atténue l’excellente impression d’ensemble. Mais au prix de vente, on s’en passera volontiers, quitte à investir sur une boîte choisie par la marmaille plus tard :-) Annoncées «&amp;nbsp;ultra-lavables&amp;nbsp;», les ratés sur les mains disparaissent en effet assez vite. Pas de dérapages sur les vêtements à déplorer pour le moment, donc j'espère que la promesse ne sera pas vaine sur ce point !  Bref, c’est basique et cela devrait parfaitement suffire à illustrer les histoires du Petit Prince ou à inventer des aventures pour les super-héros actuels !</t>
  </si>
  <si>
    <t>original Bouilloire conforme à la description, look très rétro, superbe couleur, concernant sa principale fonction, rien à dire rapide et peu bruyante, seul bémol est le couvercle sur le dessus un peu difficile à enlever (pas automatique, il faut le tirer) mais je reste satisfait de mon achat</t>
  </si>
  <si>
    <t>Quelle coupe! Comme prévu ce produit est tres bien adapté à ma taille.c'est produit qualité prix .en coton mélangé fera un bon compris pour le confort. Je le recommande à tous ceux qui cherchent de l'entretien facile.</t>
  </si>
  <si>
    <t>Nickel Ma fille étudiante en est pleinement satisfaite</t>
  </si>
  <si>
    <t>Un sweat qui a du style ! Un petit cadeau pour mon homme !  J'ai acheté ce sweat pour faire un cadeau à mon homme. J'ai pris la même taille que d'habitude, du M. Le sweat correspond exactement à une taille M dans le commerce.  Je trouve qu'il taille correctement et prend bien la courbe de mon homme.  Les finitions sont propres, les couleurs sont agréables et vives. Il y avait deux choix de couleurs mais je préférais celui-ci ! Il y a une capuche derrière et une poche centrale pour pouvoir mettre ses mains. Il fait un peu style polaire au toucher, j'aime beaucoup !  Mon homme me dit qu'il est très bien dedans et qu'il tient chaud. En plus il a beaucoup aimé le design, comme moi.  Resultat, je suis très contente de cet achat ! Le rapport qualité/prix est très satisfaisant.</t>
  </si>
  <si>
    <t>Un bon achat, recommandé. Belles baskets, bien conçues et très confortables. Bon rapport qualité prix.</t>
  </si>
  <si>
    <t>la durée dans le temps j'ai déjà acheter une paire similaire mais pas de cette marque et franchement elles n'ont pas tenu la semelle a lâcher en mémé pas un an.je travaille en usine et je marche beaucoup je vous dirais si elle vont me faire un an de bon et loyaux  service pour l'instant rien a dire elle me convienne,son très légère et joli reste a voir la solidité dans le temps.</t>
  </si>
  <si>
    <t>bonne taille bon produit pour les sorties promenades parfait</t>
  </si>
  <si>
    <t>parfait pour moi je n'utilise que des cartouches de marque canon car j'ai vite remarqué que les compatibles ne tiennent pas la couleur dans le temps ceci est ennuyeux pour les photos qui perdent de la couleur et ceci rapidement. attentions aux cartouches canon marquées sartup ou quelque chose du même genre moins chères mais avec 50% d'encre en moins</t>
  </si>
  <si>
    <t>Produit conforme Montre correspondant au descriptif, livrée dans une boîte SEIKO avec une carte de garantie. Portée depuis 3 jours, ne prend pas de retard. Je recommande ce modèle</t>
  </si>
  <si>
    <t>En attente de vraie lecture. Je l'ai juste parcouru. L'histoire semble assez plaisante.</t>
  </si>
  <si>
    <t>Bon produit Excellent. Tien bien sur la chaussure, ne sert pas trop le dessus de pied et pratique à enfiler</t>
  </si>
  <si>
    <t>Bon rapport qualité prix Taille nickel bon rapport qualité prix</t>
  </si>
  <si>
    <t>Super Super chaussures, taille identique chez ce fabricant, le choix de la taille est donc simple</t>
  </si>
  <si>
    <t>Un son et un confort incroyable J'ai eu et testé bon nombre de casque depuis que j'ai commencé à jouer, et j'ai enfin trouvé celui que je peux garder des heures avec mes lunettes sans avoir de gènes ou de douleurs.  Premier gros point positif, le son évidemment, c'est juste dingue, la spacialisation est hyper pointu, sur des jeux comme R6 Siège c'est un véritable plus pour la victoire, mais l'immersion est elle aussi incroyable comme lors de ma session sur Alien isolation ou chaque craquement du vaisseau est perceptible.  Point de vu confort de jeux c'est simple, j'ai testé le casque sur 4 jeux, pendant 6h sans jamais avoir de gêne ou de douleur, l'isolation de l'environnement est excellente, de ce fait, inutile de pousser le volume à fond.  Le son est par ailleurs extrêmement bien équilibré, même si ce n'est clairement pas sont but, écouter de la musique depuis sont ordinateur avec est parfaitement réalisable vu la justesse des aigus, medium et basse.  Au final, il détrône mon ancien casque d'une autre marque pourtant plus cher que ce dernier, je recommande très chaudement</t>
  </si>
  <si>
    <t>Ce sont les meilleurs écouteurs pour l'argent C'est écouteurs sont de bonne qualité que se soit au niveau de son qu'au niveau de la finition. Le son tout d'abord à un bon rendu des aiguës et des graves. Je n'ai pas eu de sensation de fatigue auditive jusqu'à présent contrairement à mes précédents écouteurs. Ils sont faciles en enfoncer et à retirer des oreilles. Pour ma part, j'ai utilisé les plus petit car les autres était trop gros. Sinon, le bouton est pratique car cela évite d'avoir à sortir mon smartphone pour changer de musique.</t>
  </si>
  <si>
    <t>économie et douceur toilettes</t>
  </si>
  <si>
    <t>conforme, argent, vrai perles pour offrir, trés jolie cadeau pour un petit budget</t>
  </si>
  <si>
    <t>Un petit hic Belle montre! Pas étanche comme le disent les commentaires. Seul bémol, le bracelet vous arrache les poils et c'est pas agréable.</t>
  </si>
  <si>
    <t>Trop gros pour un bébé naissant. Trop gros pour un bébé naissant. Prenez la taille au dessous. L'explication du produit sur le site d'amazon n'est pas explicite donc pas possible d'anticiper les difficultes</t>
  </si>
  <si>
    <t>Laisse des traces Décu, je l'ai essayé avec ma fille sur un mur ardoise surprise: il laisse des traces très visibles!!! le pire c'est le blanc il ne part pas du tout... Du coup j'ai fait plusieurs essais: Tableau noir: laisse des traces Assiette ardoise: laisse des traces Verre: s'efface bien</t>
  </si>
  <si>
    <t>Bonne qualité Bonne qualité : doux et suffisamment solide. Carrés de taille correcte. J'en rachèterai très probablement. Rapport qualité / prix correct si l'on compare aux produits de supermarchés.</t>
  </si>
  <si>
    <t>Conforme Nombreuses couleurs mais aux couleurs vives. Rendu impeccable et facile à écrire. Fonctionnent très bien. Prix un peu élevé mais conforme à la description.</t>
  </si>
  <si>
    <t>Top séance salle amateur Manque d'esthétique mais top confort et idéal pour mes séances à la salle, la semelle ne s'écrase pas sous le poid de la fonte ^^</t>
  </si>
  <si>
    <t>Pas mal sauf que c'est du plastique... Le plastique c'est fantastique ! sauf qu'en dehors de légèreté et relative solidité en cas de chute... ça reste toujours aussi douteux niveau long terme / santé etc  Déjà on a pris le modèle rose.. (on a une fille :D ) ... ensuite après quelques utilisations on a commencé à galérer avec le nettoyage. Le gras du lait est pas facile à retirer comme si l'intérieur était rapidement poreux (on le lave à la main, goupillon, liquide vaisselle eau chaude... ) On n'a pas de micro onde ... et on met que de l'eau chauffée à 37 environ au baby espresso.. Même une infusion à la menthe : on sent encore la menthe après l'avoir lavé...  Donc comparé aux biberons MAM en verre c'est la version qui paraît "low cost" légère et colorée.. mais qui ne fera pas long feu.</t>
  </si>
  <si>
    <t>bien rien a dire c est correct</t>
  </si>
  <si>
    <t>Parfait Produit arrivé dans les temps comme sur la photo et c’est de la qualité il a la taille parfaite prenez votre taille et c’est assez large sur les côtes</t>
  </si>
  <si>
    <t>Taille correctement et il est confortable La vie de tous les jours</t>
  </si>
  <si>
    <t>Nickel Vans classiques qui passent bien avec tout. Tres bon rapport qualité prix vs en boutique, ravie d'avoir acheté ces shoes sur Amazon !</t>
  </si>
  <si>
    <t>Très bon réveil matin La lumière peut être réglé grâce à des capteurs sur la sphère. On peut modifier la musique de réveil. Il y a trois alternatives de musiques. On peut même choisir d'être réveillé par la radio. Il permet de réveiller en douceur le matin. Je le conseille</t>
  </si>
  <si>
    <t>recenzione Tutto ok ottima transazione, stivale molto comodo tiene il piede ben caldo e asciutto,direi che il confort è moto ragionevole</t>
  </si>
  <si>
    <t>J'adore Elles sont géniales. Très bon produit, la couleur correspond à l'image. Jolie couleur. Elles sont pas chères.  arrivées plus tôt que prévu. Je recommande sans problème</t>
  </si>
  <si>
    <t>Super ! Acheté pour ma fille de 2 ans qui me réclame tous le jours de faire de la peinture..à ce stade les mini pots achetés pour Noel n'ont pas été long à se finir.. Très pratique avec l'embout verseur contrairement aux autres ou le pot est ouvert entièrement, moins évident pour verser la bonne quantité sur une palette. Les couleurs sont bien intense, du moins suffisamment pour ma fille . Peinture lavable bien sur, critère obligatoire chez moi.  Contente de cet achat, je recommanderai quand ils seront finis!</t>
  </si>
  <si>
    <t>très bon produit super avec le BISSELL CrossWave</t>
  </si>
  <si>
    <t>Bon produit Très content.  Je l'utilise pour le travail et elle tien bien</t>
  </si>
  <si>
    <t>Super confortables Chaussettes super confortables de grande qualité, je dois dire que je ne suis pas déçu. Maintenant, je peux me détendre sur le canapé et ne pas mettre mes pieds de fer dans leurs chaussettes de velours.</t>
  </si>
  <si>
    <t>Joli coffret d'huiles essentielles_ bonnes odeurs Je suis très satisfaite de mes huiles essentielles. Le colis est arrivé dans les temps et conforme à la description. Très joli coffret ! Pratique pour le rangement. Les huiles essentielles sentent bon et il y a même un petit livret traduit en plusieurs langues avec des conseils d'utilisation pour chaque huiles. A la base je l'avais pris pour moi mais ça ferait une très jolie idée cadeau.</t>
  </si>
  <si>
    <t>Très jolie montre Ras</t>
  </si>
  <si>
    <t>Montre de confiance Nickel tout est super fonctionnelle, la montre propose divers options bien utile. En dehors des options le design est comme je le voulais un style militaire et un boitier à l épreuve de la vie  Bref une G shock quoi.</t>
  </si>
  <si>
    <t>Belles, solides Achetées pour mon fils  pour l'hiver. Pratique car pas de trous par lesquels la pluie pourrait s'infiltrer. Solides, car apres plusieurs semaines d'utilisation (il joue tous les jours au foot), elle ne s'abîment pas. Enfin il les trouve confortables( impossible à vérifier pour moi). Mais c'est le retour de mon fils</t>
  </si>
  <si>
    <t>Basse qualité Assez déçu, un son basses qualité avec des grisillement désagréables..je vous déconseille</t>
  </si>
  <si>
    <t>NUL C'est le deuxième chauffe biberon que je renvoie, les bouton de mise en marche ne fonctionne pas, c'est un article de piètre qualité, je cherchais un chauffe biberon polyvalent (voiture et maison) et bien je me fait rembourser et je vais chercher chez une marque plus sérieuse!</t>
  </si>
  <si>
    <t>pour plus de 4 mois mon fils de 5 mois a un peu de mal avec..</t>
  </si>
  <si>
    <t>Bonne qualité prix Bonne sacoche de dimension correcte et je dirais qualité prix bonne.</t>
  </si>
  <si>
    <t>Pour les dévutants Contrôleur super avec vivre avec Virtual DJ limited édition un peu dur à configurer au début mais on s'y fait conçu pour les débutants</t>
  </si>
  <si>
    <t>Bon rapport qualité prix. Bon rapport qualité prix, surtout avec l'abonnement. Attention toutefois aux prix car ils évoluent et peuvent se temps en temps dépasser ceux du commerce. Mais avec la livraison à domicile, on s'y retrouve dans tous les cas.</t>
  </si>
  <si>
    <t>Top Produit simple et facile d'usage pour un bébé de 6 mois c'est parfait</t>
  </si>
  <si>
    <t>Pas mal Je ne connaissais pas cette marque mais je suis pas déçu de qualité de ce câble pour une utilisation micro sa fait son job</t>
  </si>
  <si>
    <t>Super ! Très très contente de mes chaussures , je les ADORES !!!!</t>
  </si>
  <si>
    <t>Super brosse douce J'ai reçu la brosse rapidement, comme toujours avec Amazon. J'ai lustré les sièges en cuir de ma voiture, c'est top. Je m'en sers aussi pour dépoussiérer le tableau de bord au passage. Je la range dans son petit sac, et hop dans la boite à gant.</t>
  </si>
  <si>
    <t>Superbe Bijoux fin et délicat. Belle qualité. Le rapport qualité prix est génial. Je suis ravie. Il s’agit d’un cadeau de Noël que je vais offrir à ma maman demain au réveillon. J’espère qu’elle l’aimera autant que moi. Merci amazon</t>
  </si>
  <si>
    <t>Bon rapport qualité / prix Produit reçue se jour, mise en route très facile, 400ml d'eau et quelques gouttes d'huile essentielle (5 à 6) et c'est déjà prêt à être mis en route ! Tester avec de l'huile essentielle de citronnelle est cela dégage une bonne odeur pas dérangeante ! Les couleurs sont un plus pour l'ambiance intérieur.</t>
  </si>
  <si>
    <t>Super Super !!! Facile à manipuler. Il a différent embout qui permettra d'ajouter le massage de votre choix. La molette permet de choisir l'intensité des vibration et du massage. Toute ma famille a était conquise même le chien  😉</t>
  </si>
  <si>
    <t>Je recommande Assez solide pour le prix et stable. Je recommande. 👍🏽</t>
  </si>
  <si>
    <t>Bon rapport qualité /prix A offrir sans hésitation pour un usage quotidien</t>
  </si>
  <si>
    <t>Finesse et élégance il reflète magnifiquement la lumière Ce petit bijou ravira ces dames par sa finesse et sa composition, élégant il se porte facilement avec tout type de tenue aussi bien décontractée que plus habillée. Parure composée d'un chaîne et d'un pendentif pour un poids total de 3.25 grammes que je vous détaille ci-dessous...  La chaîne est à 100% en argent 925/1000 et mesure 45 centimètres, fine et élégante le travail de l'argent lui permet de bien prendre la lumière. Outre le traditionnel fermoir elle dispose également de cinq anneaux de réglage de la taille pour s'adapter à la plupart des morphologies.  Le pendentif lui est composé de deux entrelacs en argent 925/1000 ornés de petites pierres de zircone et un gros diamant de la même matière trône en son centre, d'une hauteur de 2 centimètres pour une largeur de 1.2 centimètres il est élégant et raffiné.  La pierre de zircone (oxyde de zirconium) est le substitut aux vrai diamants le plus utilisé en bijouterie car il a les mêmes propriétés de réflexion de la lumière, moins onéreux il est difficile de faire la différence à l'oeil nu.  La parure est magnifiquement travaillée et est du plus bel effet de jour comme de nuit, des teintes de toutes les couleurs se reflètent dans l'extrême brillance des pierres de zircone, notamment la grosse pierre centrale. Un petit cadeau d'un bon rapport qualité / prix à offrir ou pour se faire plaisir qui se voit attribuer la note maximale.</t>
  </si>
  <si>
    <t>Boule pour lessive Pour de la lessive liquide</t>
  </si>
  <si>
    <t>Bonne qualité Reçue très rapidement, elle a l'air de bonne qualité aussi, il reste juste à savoir si mon chéri l'aimera autant que sa vielle sacoche ^^</t>
  </si>
  <si>
    <t>Biberon solide et pratique Se visse en deux tours de main, robuste, assez large pour mettre la poudre de lait maternisé sans en verser à coté et pour le nettoyer facilement, couvercle qui tient très bien et idéal pour secouer le biberon car il bloque le trou de la tétine. Tétine que mon bébé semble apprécier (et la grande soeur utilise les mêmes biberons qu'on convertit en tasse avec les tétines pour bambins, pratique!). On peut regretter par contre l'absence de plusieurs vitesses sur les tétines de chaque niveau (car il nous aurait fallu un intermédiaire entre le 2 et le 3). Le trou d'entrée d'air dans la tétine pourrait aussi être un peu plus grand car la tétine s'aplatit lorsqu'il boit trop vite et il doit s'arrêter pour faire rentrer l'air (mais on a pas ce problème avec les même biberons dont le fond se dévisse, car l'air sort par là). Mais j'ai constaté que les tétines de marque Dodie à col large (et non MAM) s'adaptent en fait très bien sur les biberons MAM (MAM et Dodie étaient auparavant en partenariat). Et elles n'ont pas ces problèmes...</t>
  </si>
  <si>
    <t>Vraiment bien ! Excellent produit. Utilisées depuis la naissance, les tétines Avent sont vraiment super pour le bébé. Differentes tailles existent suivant l'age de l'enfant, et c'est très bien étudié, le debit est adapté. Tres tres bien acceptées par notre petite puce. Assez faciles à nettoyer, de tres bonne qualité, mise en place sans difficulté... C'est du tout bon sur toute la ligne. A recommander vivement !!</t>
  </si>
  <si>
    <t>Charmant et pleind’effet Un’p’tit cadeau pour une amie qui a fait son p’tit effet ! Réceptionné dans une jolie boite, contente du rapport qualité / prix!</t>
  </si>
  <si>
    <t>Bien Conforme à la photo parfait pour des créations en Fimo il sont assez solide et supporte bien la cuisson bon rapport qualité prix</t>
  </si>
  <si>
    <t>Bonnes huiles essentielles coffret complet pour diffuseur</t>
  </si>
  <si>
    <t>trop grand le médaillon est très joli, fin et original avec sa petite rose...mais pour moi il est trop gros et la chaîne trop longue même au plus court. dommage, car le bout de la chaîne est joli aussi avec un pendant et petit cœur au bout  personnellement cela ne me convient pas mais rien de plus à dire sur ce joli collier.</t>
  </si>
  <si>
    <t>Horribles... Le produit vien pas Dan son embalague originaux, et en plus Fort odeur amoniaque, originality en dout.</t>
  </si>
  <si>
    <t>mecontentement bjr j ai mis la cartouche noir ,  j ai imprimer une vingtaine de page  aujourd hui plus d encre  j aurais du lire les commentaires avant  donc etant donner que j ai encore la cartouche  couleur je vais me rapprocher des 50 millions de consommateur   c est un vol  cdlt</t>
  </si>
  <si>
    <t>Mitigé J'aime les converses mais ils sont un demi taille trop grands. La prochaine fois j'achète du 37,5 au lieu du 38. Je recommande le vendeur, envoi rapide et prix bas.</t>
  </si>
  <si>
    <t>Cintré et court Joli produit, bien finit avec de belles mailles. Assez carré j'ai en revanche sous estimé le coté très cintré et court du pull.</t>
  </si>
  <si>
    <t>Tres bien Gilet chaud et de bonne qualité mais taille petit j ai demandé un XL et reçu 3 XL et me va bien dommage que les manches ne sois pas rembouree de polaire sinon gilet tres bien avec 2 poche le coton extérieur du gilet est tres bien pas poloche</t>
  </si>
  <si>
    <t>Génial Top ! Moi qui cherchais en vain un chauffe biberon nomade pour les MAM.. Me voilà comblée ^^ Eau à 90°C ça tient bien au chaud ! 3 min pour atteindre une température de biberon à 30°C c'est parfait !</t>
  </si>
  <si>
    <t>satisfait du produit la taille est correcte. La couleur correspond à celle de la photo . je recommande ce produit, je verrai la résistance du produit sur la durée</t>
  </si>
  <si>
    <t>bon mais bon produit pais de bruit , mais un peu trop rigide</t>
  </si>
  <si>
    <t>Bouilloire rien à redire! Quand on applique les consignes d’utilisation, la bouilloire est nikel!</t>
  </si>
  <si>
    <t>La bonne surprise ! Sur le papier, ces chaussures semblaient tout à fait correspondre à ce que je cherchais. Et les commentaires m'ont convaincu de tenter ma chance. Belle surprise ! Pas besoin de mettre le double (voire le triple) du prix pour avoir des chaussures d'hiver dignes de ce nom ! Pas d'allergie (ca m'est déjà arrivé avec d'autres chaussures "chinoises"). Taille adéquate (39 pour 39). Elles sont chaudes, agréables à porter, presque complètement imperméables (elle ont réussi le test hiver polonais avec 20cm de neige sans problème). Bref, je recommande.</t>
  </si>
  <si>
    <t>O top Super</t>
  </si>
  <si>
    <t>Ras correspondant Correspond à la description reçu dans les temps</t>
  </si>
  <si>
    <t>pas donné mais qualité irréprochable Après avoir testé de nombreuses génériques, j'ai décidé de travailler avec 2 imprimantes; 1 pour la bureautique et les documents courants sur une ancienne imprimante équipée de cartouches génériques bon marché qui suffisent largement pour cette utilisation et 1 imprimante dédiée aux impressions de qualité et aux photos et là, pas de générique. La qualité des couleurs, leur tenue dans le temps est nettement supérieure avec les cartouches Canon. Le produit livré est irréprochable et la livraison rapide me fait toujours  recourir à Amazon.</t>
  </si>
  <si>
    <t>Tout simplement superbes ! Alors je me suis offert ces ecouteurs car j'avais flashé sur la photo, j'en ai offert mais moi je n'en avais pas et bien je peux dire qu'en vrai ils sont encore plus beaux ! Mon cadeau je l'apprécie et l'utilise tout le temps. Avec toute honnêteté ces ecouteurs sont une pure merveille pour moi. Non seulement le design est au top le blanc donne un côté vraiment classe, et la taille est parfaite mais en plus ils ont une qualité d'écoute remarquable. Le son est propre aucun grésillement ou autre, le réglage sonore est très bien fait. Le summum pour moi est la boîte... Elle est magnifique et la jauge de recharge est très pratique. Ne regrette en aucun cas mon choix je les recommande sans aucun problème c'est vraiment pour moi un très bon produit.</t>
  </si>
  <si>
    <t>Très bonne qualité ! Chaussure de loisir</t>
  </si>
  <si>
    <t>Tout est parfait. Parfait. Prix sympa. Rapide. Produit exact à sa description. Tissu solide. Nous referons affaire et je vais suivre cette marque dorénavant! Good job</t>
  </si>
  <si>
    <t>Très jolies est chaudes j'ai les acheté pour donner de cadeau de noël, j'ai acheté 39, mais ma amié porte le 38.... J'ai espère que ça va aller! La livraison etait rapide comme prevu. Je vais vous écrire plus après noel, mais les bottes sont très jolie, apparemment à l'interior il fait très chaudes et très confortable.</t>
  </si>
  <si>
    <t>C'est très beau destinées à un cadeau pour une jeune fille, ces clous d'oreilles sont très bien et font bien leur effet.</t>
  </si>
  <si>
    <t>APPAREIL CORRESPONDANT A MES ATTENTES CET APPAREIL EST TOUT SIMPLEMENT GENIAL, IL CORRESPOND A MES ATTENTES AYANT DES PROBLEMES DE SCIATIQUES, JE SUIS ENTIEREMENT SATISFAITE DE LA RAPIDITE DE SA RECEPTION ET SURTOUT DU SOULAGEMENT QUE CET APPAREIL VA ME PROCURER</t>
  </si>
  <si>
    <t>Très classe Je l'ai reçue il y a un mois. Elle s'est mise à l'heure toute seule dès la sortie de la boîte, le fuseau horaire était déjà sur Paris. J'ai rapidement trouvé comment régler l'alarme et utiliser le compte à rebours. J'avais commandé en même temps un kit de réparation (10€ frais de port inclus) et c'est pas du luxe pour réduire le bracelet. Résultat final, parfait. C'est une beauté discrète, pas trop grande, agréable à porter. Je suis très satisfait de mon choix.</t>
  </si>
  <si>
    <t>Un beau Puma noir Composé à 68 % de coton et 32 % de polyester, ce pantalon droit est très confortable. On apprécie particulièrement son molleton assez épais et son serrage de taille confié à un large élastique et un lien resserrable. Les finitions sont bien réussies, sans fils qui dépassent. Les deux grandes poches latérales sont bien dessinées et le logo de la marque floqué sur une cuisse apporte un bel élément décoratif. Puma est une marque de vêtements et articles de sport depuis 1948. Reconnue dans le monde entier, sa griffe est adossée à un certain degré de qualité et ce pantalon fabriqué au Cambodge ne fait pas exception..</t>
  </si>
  <si>
    <t>Massage Grosse boite bien remplie de tetiere bon produit</t>
  </si>
  <si>
    <t>32 ans et la magie opère toujours Blu ray acheté pour mon fils de 3 ans, qualité de l'image magnifique. A 32 ans je n'ai pu m'empêcher de le regarder avec lui.</t>
  </si>
  <si>
    <t>presse briquette une  désillusion le presse briquette pour 5 à 6 briquettes ensuite il plie sous la force de la personne. Les briquettes brulent mais....</t>
  </si>
  <si>
    <t>produit a ne surtout pas commander -4 stylos dont 2 sans encre - étalage des paillettes non adapté - idem pour la colle de fixation des paillettes pour gacher le Noel de vos petits enfants y'a pas mieux!</t>
  </si>
  <si>
    <t>a fuir odeur de caoutchouc et qualité deplorable , a utiliser pour une seule soirée , comment amazon peut il laisser vendre ce genre de produits juste bon pour UNE soirée</t>
  </si>
  <si>
    <t>Très bon pack pour le prix Comme le titre, je pense que le pack est très intéressant, mais il faut bien configurer le rapport Niveau sonore et Amplification pour que le micro soit bien. Je pense être tombé sur meilleur micro que celui-ci mais rien n’empêche d'acheter un autre micro du même gabarit pour le remplacer.</t>
  </si>
  <si>
    <t>joli joli</t>
  </si>
  <si>
    <t>Bonne qualité Est très regardé</t>
  </si>
  <si>
    <t>Très bien conçu Un ouvrage très bien conçu, clair, précis, bien illustré. Aussi bien pour les enfants de 5 ans et + que pour les adultes!</t>
  </si>
  <si>
    <t>3 sets de 3 recharges. Même si le prix est moins cher qu'en grande surface, je trouve que le prix est quand-même encore élevé. Mais les enfants aiment beaucoup ces stylos.</t>
  </si>
  <si>
    <t>Comme sur la photo Je ne regrette pas cette achat, le bracelet correspond à la photo. Pour les hommes, dommage qu'il n'y ai pas une ou deux perles fantaisies (masculines)... J'étais aussi  à la recherche d'un bracelet de perle ronde en Lapis-lazuli (8MN) mais je n'en pas trouvé par ce fabriquant.</t>
  </si>
  <si>
    <t>Biberon au top Très satisfaites par ces biberons Faisant un allaitement mixte cède biberons n’ont pas perturbés bébé. Je pense vraiment que la tétine forme de sein ont aidé mon fils à ne pas faire la confusion sein tétine</t>
  </si>
  <si>
    <t>Élégant raffiné Simple et efficace on adore Canon canon canon</t>
  </si>
  <si>
    <t>cartouches Ce sont de véritable cartouches pour imprimante HP,le prix est très abordable par rapport au revendeur de la ville. Seul petit reproche,le délais de livraison,qui respecte la date,est long. Mais pour une petite économie cela vaut la peine de patienté.</t>
  </si>
  <si>
    <t>Bon rapport qualité /prix. Petit prix mais qualité assez bonne. La taille me va au poil. Satisfait de mon achat.</t>
  </si>
  <si>
    <t>MONTRE TRES BEL ARTICLE DESING IMPECCABLE</t>
  </si>
  <si>
    <t>Top Conforme à la description et aux photos, pour le moment et depuis quelques jours tout se passe bien, pas de mauvaise surprise. La taille est parfaite, rien à dire.</t>
  </si>
  <si>
    <t>chaussures confortables pour pouvoir se promener avec de bonnes chaussures</t>
  </si>
  <si>
    <t>simple et efficace elles font leur effet pour les fêtes, bien sûr ce n'est pas de la super qualité mais elles sont jolies.</t>
  </si>
  <si>
    <t>Pour l'hygiène et la santé Vous mettez 5 gouttes avec une cuillère à soupe de Bicarbonate de soude une cuillère à soupe de vinaigre et vous rajoutez aussi de l'huile essentielle de citron et vous avez votre produit parfait pour nettoyer, ou pour le rhume dans le diffuseur vous mettez deux gouttes dans l'eau et vous respirez ça fait du bien. Puis ça peut s'utiliser pour L'acné, les cheveux pour dans le shampoing</t>
  </si>
  <si>
    <t>Parfait !!!! Les baskets sont géniale. Elles sont super confortable et de bonne qualité. Taille petit je fais du 37 et j'ai pris du 38 comme indiqué dans la description. Je suis super contente de mon achat je vais même recommander dans d'autre coloris</t>
  </si>
  <si>
    <t>Bon rapport qualité prix. Le rapport qualité prix est imbattable. Cette montre fonctionne parfaitement.</t>
  </si>
  <si>
    <t>super bonne chaussures , design super sympa , port agréable , tiennent bien au pied sans etre trop lourde , bon rapport qualité prix je ne rencontre pas de problème avec cet achat je recommande donc</t>
  </si>
  <si>
    <t>Top top top Produit conforme et livre très rapidement. Au Top.</t>
  </si>
  <si>
    <t>Très bon produit Vraiment indispensable pour qui veut garder ses chaussures longtemps. L'idéal est de traiter la chaussure neuve avant le port, cependant le produit fait son office s'il est appliqué après un bon brossage avec une brosse adaptée. Tarif attractif, la livraison est rapide et soignée. Si cet avis vous a été utile, faites le savoir :)</t>
  </si>
  <si>
    <t>Pas en cuir Commande expédiée rapidement, produit de qualité correcte aux vues du prix mais en aucun cas en cuir. Il s'agit en fait d'un cordon enduit d'un revêtement "aspect" cuir qui n'a pas du tout la tenue d'un cordon cuir.</t>
  </si>
  <si>
    <t>Défaut sur les chaussures. Les deux chaussures reçues  ne sont pas identiques. Problème de coutures.</t>
  </si>
  <si>
    <t>chaussures de sécurité excellentes chaussures de sécurité pour les petits travaux légers. concernant la taille , elles ne chaussent pas trop grand ,personnellement je conseille une taille en dessus si vous enfilez des chaussettes un peu épaisse. ce sont des chaussures de travail , pas de chaussures de sport</t>
  </si>
  <si>
    <t>BIEN Tour de cou qui tient bien le chaud malgré son poid qui est un peu trop lourd et un peu petit, mais produit correspondant tout à fait à l'image au coloris .</t>
  </si>
  <si>
    <t>Me convient bien Un peu fin mais Malgres plusieurs lavage ils n'ont pas bouger Dc je recommande après ce n'est pas un maintientm ferme pour faire du sport par exemple</t>
  </si>
  <si>
    <t>Super chausson bien chaud Offert pour Noël, parfait pour l'hiver. Taille un peu grand mais mon fils a le pied fort donc très confortable et tout doux pour se réchauffer !</t>
  </si>
  <si>
    <t>Pratique, pour les réfractaires aux micro-ondes On règle le volume du biberon et un premier jet d'eau chaude est prévu pour éliminer les éventuelles bactéries. On ajoute le lait en poudre, on mélange manuellement, et un deuxième jet d'eau (plus froide) permet de compléter. Le biberon servi est à température et bien dilué.  C'est pratique, c'est rapide... mais franchement je faisais tout aussi bien avec mon micro-onde, une fois la durée idéale programmée. Les fonctions de cet appareil me semblent trop limitées pour rendre son achat indispensable, même s'il est bien pensé et rassurant. Il faut en plus prévoir de changer le filtre tous les 3 mois, ce qui ajoute une contrainte supplémentaire au fait qu'il faut prévoir une place dans la cuisine pour lui.  Bien fini, pratique même à une main, rapide et rassurant, son prix refroidira néanmoins tous ceux pour qui l'usage du micro-onde n'est pas rédhibitoire car il ne fait finalement pas beaucoup plus...</t>
  </si>
  <si>
    <t>Excellent qualité Ils sont tres jolies et les pierres  sont beaux</t>
  </si>
  <si>
    <t>chaussure legere cette paire de chaussure est trop a l'aise, legere,souple .</t>
  </si>
  <si>
    <t>PARFAIT je l'ai offert est elle a beaucoup plus. je suis satisfait de mon achat</t>
  </si>
  <si>
    <t>Rigolo Très rigolo comme cadeau. Long a arriver par contre.</t>
  </si>
  <si>
    <t>Génial Très bonne qualité</t>
  </si>
  <si>
    <t>Très bien Livre idéal pour apprendre à lire, mon fils adore.</t>
  </si>
  <si>
    <t>parfait ! vraiment super, isolant , pose facile et tenue adéquate sur une porte d'entrée , suis très satisfait , merci encore</t>
  </si>
  <si>
    <t>chaussettes nike bonne qualité taille basse a recommander</t>
  </si>
  <si>
    <t>Montre Casio Livraison rapide et conforme. Cette montre est un très bon rapport qualité/prix. Elle est facile d'utilisation et très pratique pour les entrainements apnée en piscine même si là, la boussole est du lux :)</t>
  </si>
  <si>
    <t>Parfait Excellent produit. Remplacent à la perfection les cartouches d’origine. Livraison rapide</t>
  </si>
  <si>
    <t>La qualité Super contente de cet achat</t>
  </si>
  <si>
    <t>Bon produit. Produit de bonne qualité. Discret et fonctionnel.</t>
  </si>
  <si>
    <t>elegant Bon rapport qualité,Connectez-vous et éteignez automatiquement, ajustez instantanément après la perte de signal, la charge du casque dure 3 heures, ne passez pas après la connexion, super design et qualité-casque et étui !!! C'est le meille utilise quand on sorti,  Merci au fabricant et au vendeur! Pour un tel prix je panse très bien .... Apparence élégant！</t>
  </si>
  <si>
    <t>Bon rapport qualité prix Diffuseur design, convient à tout type de décoration intérieur. Assez silencieux et diffuse assez bien. Les couleurs sont top. Bon rapport qualité prix, idéal pour offrir</t>
  </si>
  <si>
    <t>L'un des meilleurs sur Amazon Il s’agit d’un micro simple mais efficace pour débuter.  Le design est fonctionnel et il n’y a rien  à configurer.  Le prix reste imbattable si vous faites la comparaison  d’autres marques ou d’autres produits.</t>
  </si>
  <si>
    <t>nickel bouilloire avec un tres joli design vintage !!! chauffe l'au tres vite avec une grande capacité 1 minute 45 pour 1L8 d'eau je recommande</t>
  </si>
  <si>
    <t>Non utilisable J'ai testé à plusieurs reprises avec ma fille de plus de 6 mois pour ses bouillies qui ont du mal à passer avec les tétines L de la même marque. Ma fille fatigue tellement à téter avec ces tétines qu'elle s'endort au quart du biberon et ne les fini pas du tout du coup ! Bien dommage car j'étais plutôt contente des autres tétines de cette marque et je me trouve bête avec ces tétines que l'on ne peut pas utiliser et qui ne sont en rien adaptées aux céréales de bébé. Du coup on utilise quand même la tétine L, faute de mieux.</t>
  </si>
  <si>
    <t>prostate nul ….poubelle !</t>
  </si>
  <si>
    <t>Gros doute sur l'authenticité Gros doute sur l'authenticité des écouteurs. La qualité n'est pas du tout la même que la référence identique acheté en boutique l'année dernière (que ce soit côté esthétique côté confort ou côté qualité du son). Les fils sont extrêmement fins par rapport aux originaux Samsung. Ils ne tiendrons pas plus de quelques semaines.</t>
  </si>
  <si>
    <t>Petit Attention l appareil photo est tout petit bien lire le descriptif cordialement</t>
  </si>
  <si>
    <t>Lourd Modèle Dyson balai V11. Non acheté sur Amazon car prix nettement supérieur à ce qu"on trouver ailleurs, y compris sur le site du constructeur (quand même 200 € de différence !). Pas étonnant en soi comme Dyson gère au plus près le prix de vente des distributeurs qu'il chouchoute tout en proscrivant toute concurrence.. Mais revenons à ses qualités intrinsèques. Pas de surprise sur la qualité des matériaux : c'est du pur Dyson avec des des plastiques de qualité, à l'image des aspirateurs traîneaux de la marque. Question accessoires, on en a pour son argent : outre le suceur et les 3 brosses classiques, pas moins de 3 brosses motorisées, une large et une plus étroite pour sols durs, une large pour surfaces fragiles. Malgré tout, on ne peut que regretter l'absence d'un embout ultra-plat non motorisé pour se glisser sous les meubles au ras du sol, comme il en existait pour les modèles traîneaux. Heureusement, si vous possédez déjà ce type de matériel, vous trouverez sur Amazon des adaptateurs ad hoc pour réutiliser tous vos embouts et disposer ainsi d'une large gamme d'accessoires. Rien à redire sinon sur l'efficacité d'aspiration, au top, et sur l'autonomie enfin crédible (1 heure) qui n'en fait pas qu'un aspirateur d'appoint, même si je l'ai acheté en tant que complément d'un robot Neato pour parfaire le nettoyage. En fait, le gros problème de cet aspirateur est son poids qui en fait un appareil tout sauf maniable à bout de bras, surtout avec une brosse motorisée. Dyson  se serait-il investit dans la musculation contrainte et forcée ?</t>
  </si>
  <si>
    <t>Anti-colique Conforme à la description, adapté dès la naissance et tétine anti-colique Design simple</t>
  </si>
  <si>
    <t>Presque parfait Livraison rapide. Je pensais faire une bonne affaire vu la promo. Pas tant que ça car entre la commande et la livraison, elle était encore moins chère chez confo. Tanpis. Sinon esthétiquement elle est certes un peu grosse mais les lumières prennent le dessus. Niveau sonore, dommage qu'on ne puisse ôter le bip relativement stressant a chaque manip. Côté pratique j'avoue il faut se faire à l'idée que si vous voulez un thé à 80° il faut mettre 65 en programme. Car la bouilloire s'arrête bien à 80 mais l'eau continu à chauffer. Pour ex j'ai programmé 55 et c'est monté à 74/75. Sinon fonctionne très bien. Maintien au chaud parfait. On monte et on descend facilement le panier à thé. Pour l'egoutter il suffit de le mettre bien en position haute. Facile à nettoyer mais surtout et là j'insiste car j'apprécie vraiment : le thé reste bien dedans, aucune fuite ! Je recommande donc malgré ses petits défauts.</t>
  </si>
  <si>
    <t>affichage le bracelet est très facile à régler.  l'affichage contient l'année ce qui me plait.  bon achat</t>
  </si>
  <si>
    <t>Satisfaite Livraison plutôt rapide. Produit conforme à mes attentes. Les huiles sentent plutôt bon (surtout celle à la fleur de monoï). Je suis satisfaite. :-)</t>
  </si>
  <si>
    <t>Super Les délais sont  respectés et la marchandise est conforme aux attentes. Très bon produit je le recommande. Taille un peu grand</t>
  </si>
  <si>
    <t>Parfait pour moi Oprée des pieds, un mal de chien à marcher pieds nus de la cabine au bassin (piscine). Enfin j'ai eu la bonne idée de m'acehter des sandales de piscine. Celles-ci me convenient bien, conforables sans être mo-molles, je peux désormais aller tranquilement des cabines au basin. Elles tiennent bien au pied. Taille ok. La "bride" (bande) du dessus du pied est doublée côté intérieur d'un tissu doux, confortable. Tissu spécial adapté.</t>
  </si>
  <si>
    <t>bon cadeau les enfants s'amusent bien avec ce jeu pour dessiner en soufflant</t>
  </si>
  <si>
    <t>Sac à dos convertible Juste parfait, livraison conforme à ce qui a été annoncée, colis conforme. Et le plus, ce sac est assez grand, même mon ordinateur de 17 pouces rentre parfaitement. Enfin un sac bien utile où je pourrais tout mettre d'un coup.</t>
  </si>
  <si>
    <t>rapport qualité prix micro avec une  esthétique parfaite, solidité vu son corps métallique,branchement et installation hyper simple . qualité sonore irréprochable.</t>
  </si>
  <si>
    <t>Parfait mon épouse qui a des gros problèmes au pieds avec douleurs sévères ne met que celles la quand elle va marcher. Ce sont les seules qu'elle a trouvé qui lui permettent de se déplacer sans douleurs. Elle les trouve extrêmement confortable et ne veut pas en changer (c'est sa 3° paire)</t>
  </si>
  <si>
    <t>Bonne protection Très bonne pochette mes enfants adorent crée des dessins et de pouvoir les mettrent dans une pochette qui le garde en sécurité</t>
  </si>
  <si>
    <t>C’est la taille parfaite ni trop grand ni trop petit juste ce qu’il faut Je l’utilise pour sortir il est génial ni trop grand ni trop petit il prend même un parapluie et bouteille d’eau de 500 ml</t>
  </si>
  <si>
    <t>Sympas et pas chers Reçus 3 semaines en avance... Vu le prix je ne pense pas qu'il faut être exigent pour autant je suis satisfait</t>
  </si>
  <si>
    <t>RAS Bon produit</t>
  </si>
  <si>
    <t>Super basket Super basket, très bien adapté à ma pointure et pour faire tout type de sport running ,velo,muscu</t>
  </si>
  <si>
    <t>Super casque Utilisé par mon fils pendant 50 heures de vol (gros voyage dans le pacifique) le casque est beau et tres solide (impressionnant vu le nombre de fois ou mon fils a marché dessus), le son est bon et il est agréable a porter (mon fils s endormait facilement avec sur les oreilles). Bref contente de cet achat qui a encore une belle vie devant lui pour les voyages a venir.</t>
  </si>
  <si>
    <t>Très bonne qualité Mon fils de 3 mois ne prend que ses biberons la. Les autres lui amplifiaient les coliques pourtant ces biberons sont grands et en théorie contiennent donc plus d'air mais bizarrement c'est avec ces biberons qu'il se sent le mieux. Vite arrivé et de très bonne qualité ! Ils sont top rien a redire :)</t>
  </si>
  <si>
    <t>Lessive avec un doux parfum de vacances Cette lessive Super Croix "Bora Bora" est conditionnée dans un carton de 4 bidons de 1.25l.  Le dosage est facile et précise avec le bouchon doseur, on place un ou deux bouchons directement dans le bac à lessive selon la quantité de linge dans la machine.  Une tournée à 30°C en cycle éco, et aucun problème avec le linge, il ressort propre, frais, et avec un doux parfum exotique (qui s'estompe assez vite ensuite).  Bonne lessive, efficace et avec un conditionnement pratique.</t>
  </si>
  <si>
    <t>Conforme à la description et pointure Chaussure assez légère, amorti moyen mais très bon pour une salle de sport par exemple, avec faible impact. Ces chaussures ne sont pas adaptées pour la course sur route (et par conséquent encore moins en montagne, cela va de soi...), car peu d'amorti et d'accroche. Mais l'effet est garanti, j'en suis très contente...</t>
  </si>
  <si>
    <t>défectueux Le fermoir d'une des boucles ne s'enclique pas donc inutilisable! C'était un cadeau pour ma petite fille...je suis et surtout elle TRES déçu!</t>
  </si>
  <si>
    <t>TROP FRAGILE Fermeture cassée au bout d'un mois, je travaille comme professeur, donc comme vous pouvez immaginer la résistance des matérieaux de cette montre. À éviter, plus jamais</t>
  </si>
  <si>
    <t>Se déconnectent constamment Ces écouteurs Bluetooth se déconnectent constamment de manière intempestive et inopinée. Parfois seul l’ecouteur Gauche est déconnecté ! Ils sont ensuite très difficile à reconnecter et il faut souvent recommencer toute la procédure. Le son est de qualité inférieure à mes écouteurs d’iPhone. Très mauvais rapport qualité prix.</t>
  </si>
  <si>
    <t>Pas mal Bien mais a tendance à se détendre après plusieurs lavage</t>
  </si>
  <si>
    <t>Montre avec un style sympa :) Très belle Mais pile qui ne marche pas, il faut en acheter à pars pour que cela fonctionne ;)</t>
  </si>
  <si>
    <t>Mauvaise qualité du cuir Produit non conforme à la photo. Le cuir a en fait un aspect pas beau, très mou et surtout poreux. Pour le reste pas de mauvaise surprise. Je voulais cette besace pour espérer y loger une mini bouteille d'eau. Au final c'est carrément une bouteille de Coca de 50 cl qui rentre. Le chéquier loge aussi en hauteur. Question ergonomie on fait pas mieux. Le système d'attache est rapide et efficace.</t>
  </si>
  <si>
    <t>Convient à mes attentes Correspond totalement à la description. N'est ni trop gros, ni trop petit, la montre reste esthétique sur le poignet. Juste un petit bémol, il faut retirer du poignet et attendre une 10ene de minutes pour avoir une température conforme.</t>
  </si>
  <si>
    <t>Bon masque Très bon masque, il ravive le teint naturels de la peau et enlève toute les impuretés, je l'utilise régulièrement, je n'est pas mis les 5 étoiles car ce n'est pas non plus un produit miracle, emballage correcte et livraison très rapide</t>
  </si>
  <si>
    <t>Revival X.</t>
  </si>
  <si>
    <t>Trousse à crayon Comme d'habitude avec Eastpak, une trousse jolie et solide. De plus, ma fille la trouve pratique car de taille idéale. Un prix correct pour plusieurs années !</t>
  </si>
  <si>
    <t>Le top Échaudé par la qualité désastreuse pour tel niveau de prix des coussinets de son grand frère, j'ai tout de même pris ces écouteurs. Je l'(utilise essentiellement dans le metro / rer. Il faut bien choisir l'embout adapté aux oreilles. L’annulation de bruit est d'un niveau exceptionnel. Autonomie : Assez faible 2/3 jours maxi en utilisation modéré. Son : selon moi très satisfaisant et puissant. Distance Bluetooth : Plus 10 mètres avec un Iphone 8. N'est pas adapté sur vélo car les mouvements d'air provoquent des bruits désagréables.  Pour le prix, ne pas hésité a visiter Amazon.es qui livre aussi en France, prix 180 euros :-)</t>
  </si>
  <si>
    <t>Excellent produit Ces sachets sont  très bien, résistants et pratiques avec le zip. Je m'en sert pour ranger mes petites pièces de découpes de scrapbooking. Je recommande cet article la livraison de la commande a été super rapide, très bon vendeur.</t>
  </si>
  <si>
    <t>Confortable et resistant Cela fait plusieurs semaines que j'utilise ce bracelet. Il est très confortable (pas de poils qui se coincent comme avec les bracelets en métal par exemple). Il est confortable et s'adapte parfaitement à ma Galaxy Watch. Je ne l'ai pas ménagé et il est toujours en parfait état, je n'ai juste pas essayé de le mettre sous l'eau ou de le porter à la piscine, je ne suis pas sûr qu'il réagisse très bien au chlore, dans le doute je m'abstiens ! La couleur choisie correspond parfaitement à la photo de l'article. Parfait rapport qualité/prix pour moi !</t>
  </si>
  <si>
    <t>Sandy Elle sont parfaites je les adores</t>
  </si>
  <si>
    <t>je trouve que pour le prix une impression de quelques pages supplémentaire  serait bien venue pour mon imprimante canon</t>
  </si>
  <si>
    <t>Super Super modèle de veste. Parcontre rétrécie vite au sèche linge</t>
  </si>
  <si>
    <t>Un produit très jolie et élégant J'ai acheté ces chaussures pour mon mari. Il est très content de recevoir ce cadeau. Il cherche toujours des chaussures qui ne fatiguent pas ses pieds. Evidemment, Geox ne nous déçoit pas...</t>
  </si>
  <si>
    <t>Magnifique collier... Le collier est véritablement magnifique, fin et à la bonne longueur par rapport au cou de mon amie. Bravo ! Confiance totale. Cordialement. Stéphane PORTAL.</t>
  </si>
  <si>
    <t>Idéal pour les motards. Utilisé pour mon blouson et mes baskets cuir moto.</t>
  </si>
  <si>
    <t>une valeur sûre prend la taille au dessous pour un ajustement parfait, idéal quand on a des douleurs au genou ou au cheville, très relaxante</t>
  </si>
  <si>
    <t>Tefal Trop  bruyante.</t>
  </si>
  <si>
    <t>Topissime Rapport qualité/prix correct. Le pull le vaut largement. Il tient bien chaud. Il est assez épais. Seul petit bémol... il est assez proche du corps. C'était un cadeau de Noël. Il est très apprécié. Je recommande</t>
  </si>
  <si>
    <t>Professionel Je l'ai acheté pour enregistrer le son,  bonne qualité, très convenable et professionnel pour le travail dans mon studio.</t>
  </si>
  <si>
    <t>Parfait pendant 2 mois Ce diffuseur était parfait (facile à nettoyer et à utiliser) jusqu’à ce qu’il lâche 2 mois après réception (il ne s’allume plus). Heureusement le service après-vente d’Amazon est toujours impeccable, mais j'hésite à le recommander.</t>
  </si>
  <si>
    <t>Très fragile C'est super angoissant de s'allonger dessus quand la table pli à l'envers sur la milieu... Je déconseille, produit trop fragile et risque de tomber et se faire très mal :(</t>
  </si>
  <si>
    <t>Je ne recommande pas N'est pas adapté pour les bracelet pandora</t>
  </si>
  <si>
    <t>Réduction du bruit pas terrible J'ai pris ce casque car j'avais le même qui fonctionnait très bien mais oublié dans un hôtel j'ai voulue m'en racheter un autre déceptions immédiate après la mise à jour la réduction de bruit est très faible j'ai pensé au réglage mais non il était au maximum je ne sais pas si c'était la mise à jour mais je suis déçu peut être une mauvaise série ps je lai rendu car problème de batterie à partir de 40 à 50 % l'autonomie tombait à grande vitesse</t>
  </si>
  <si>
    <t>D'y être bien dedans Comme chaussures pour sortir</t>
  </si>
  <si>
    <t>L'original sans fioritures Adepte des g-stock, le modèle 5600 est incontournable et avec ce module épuré qui lui donne un aspect plus moderne voilà un beau clin d'oeil au 30 ans d'existance de la montre incassable...</t>
  </si>
  <si>
    <t>cheap et pas trop mal ce micro est assez connu que ça soit sur amazon comme sur youtube il va correspondre a beaucoup de monde !</t>
  </si>
  <si>
    <t>exacompta D'années en années je reprends le même J'en suis satisfaite</t>
  </si>
  <si>
    <t>Très bien Simple d’utilisation, fonctionne très bien, très bon rapport qualité prix !</t>
  </si>
  <si>
    <t>Très bon produit Je pensais que Eastpack était surcôté, vu les 99% des gens dans mon lycée qui se trimballaient avec, mais en fait, c'est simplement parce que c'est robuste, à peu près stylé et dispose de suffisamment de place.  A recommander, par contre ne vous attendez pas à être original, tout le monde a le même sac eastpack gris comme celui-ci...</t>
  </si>
  <si>
    <t>Casque incroyable Que dire de plus sur ce casque... Cela fait un moment qu'il me fait de l'œil, je l'ai essayer en boutique spécialisée, et maintenant j'ai profiter de la promo du moment pour l'acheter à 270€,rien à dire du coup niveau prix, ça me semble plus que satisfaisant vu la bête. En revanche c'est clair qu'à 380€ c'est un peu trop cher.  Ensuite, lors du déballage, on est d'abord surpris par la petite boîte Bose qui renferme le casque. En l'ouvrant on tombe directement sur le tout aussi petit étui fourni avec (ce qui est d'ailleurs un point extrêmement appréciable). Le casque est soigneusement plié à l'intérieur, le gain de place est énorme contrairement à d'autres casque beaucoup plus encombrant. Il est clair que ce casque rempli bien sa fonction nomade et polyvalente, et saura ravir les voyageurs en particuliers. Concernant le design, il a un style très sobre et élégant, peut être même un peu trop à mon goût et le casque aurait certainement gagné à être un poil plus "extravagant", pourquoi pas en proposant les lettres de "Bose" qu'on voit en gros en couleur argentée...  La première chose qui impressionne, c'est le poids plume du casque. On peut le prendre à un doigt sans aucune peine, il est ultra léger. Mais genre vraiment ultra. Ensuite vient le confort, alors la c'est... Juste incroyable. Le casque ce fait totalement oublier sur la tête, il est doux, les coussinets le sont aussi, les oreilles sont absorbées et on ce retrouve dans un petit cocon coupé du monde extérieur.  Parce qu'en parlant de cocon, il faut bien sûr parler de la réduction du bruit (3 niveaux de réduction, dont la dernière qui la supprime totalement) qui fait des merveilles, et qui peut même paraître déroutante tellement elle est efficace, attention à ne pas l'utiliser sur la voie publique, cela peut être dangereux.. Cette réduction supprime tout les bruits environnants grâce à des micros intégrés sur le casque. Elle est efficace même sans musique dans les oreilles, c'est dire...  Un point des plus important maintenant, la qualité sonore du casque. Je dois dire que personnellement j'ai été un peu déçu par rapport à ça. Alors attention la qualité du son est Excellente, c'est du bose (avec les grosses basses en moins sur ce casque, ce qui est une très bonne chose d'un point de vue personnel, car j'ai déjà d'autre matériel pour me procurer des grosses basses.) néanmoins je m'attendais à un son un peu plus "hi-fi"... Qu'importe c'est déjà très bon. Couplé avec l'application Tidal et du son en Master, c'est le pied.  Concernant l'appli bose, elle est somme toute assez sommaire, il n'y a d'ailleurs pas d'equalizer, comme toujours avec bose.  J'attire votre attention sur le fait qu'il ne faut apparemment pas faire la mise à jour du casque, et rester en version 4.1.3. Je ne suis pas en mesure de dire exactement pourquoi il ne faut pas faire cette maj, mais d'autres commentaires le déconseillent fortement, je n'ai donc pas voulu prendre ce risque.  Voilà dans les grandes lignes ce qu'on peut dire sur ce bijou, il saura répondre à vos attentes, et deviendra votre plus fidèle compagnon musical, si bien qu'il devient difficile de s'en passer.</t>
  </si>
  <si>
    <t>Chaussette Solide</t>
  </si>
  <si>
    <t>Très beau Impeccable belle coupe taille parfaitement</t>
  </si>
  <si>
    <t>Je recommande Après  plusieurs essais  se biberon nous avons trouver la marque  qui convenait  à bébé  est à nous aussi.... tetine variable idéal  pour bebe , la forme du bibi pratique  pour la prise en mains....</t>
  </si>
  <si>
    <t>Merci Sennheiser pour la qualité ! Super casque, Sennheiser ne me décevra apparement jamais ! Il me fallait absolument un casque Bluetooth et celui la était pour moi le meilleur Qualite prix! Je le recommande !  Ps: la réduction de bruit n’est pas incroyable mais elle fait l’affaire</t>
  </si>
  <si>
    <t>Bonne tenue Piles très correctes qui tiennent plutôt bien dans le temps. Je recommande.</t>
  </si>
  <si>
    <t>Patfait ! Franchement rien à dire je vous le recommande fortement ce produit car il est simple d'utilisation,  pratique surtt quand vous avez avec vous les bonnes huiles UN KIFF TOTALE !! Aheter le !</t>
  </si>
  <si>
    <t>De très bonne qualité et super son ! 💪 La qualité de ces écouteurs a ce prix est déconcertante Je les ait acheté pour mon épouse qui en est ravie 💪💪💪 Le choix des oreillettes est large pour s’adapter à la morphologie de votre oreille Avec un petit cordon qui passe au niveau du coup et se sert afin de pas les perdre. De plus une petite sacoche pour les transporter de très bonne qualité que l’on trouve même pas avec des écouteurs parfois de grande marque! L’appairage se fait quasiment tout seul et la reconnaissance par la suite est aussi simple ! 😄</t>
  </si>
  <si>
    <t>Très bon achat Chaussures conformes. Ma fille est ravie !!!</t>
  </si>
  <si>
    <t>Topissime Je n'est pas l'habitude d'écrire des commentaires mais là je suis entièrement satisfaite, d'où les 5 étoiles. La qualités est exceptionnelle pour le prix Les écouteurs sont faciles d'utilisation et très pratiques avec les aimants. Je recommande à 100%</t>
  </si>
  <si>
    <t>Confort Chaussettes conforts, type sport, ni trop épaisses, ni trop fines. La qualité est là. Rien à dire de plus. .</t>
  </si>
  <si>
    <t>top mais chaude j'ai  pris en noir beaucoup moins salissant que le blanc . Font leurs effet au travail. Elles sont très légère ce qui comptent quand on piétine toute la journée , confortable comme dans des chaussons  solide , ne glisse pas quand le sol est un peu mouillé. le seul bémol c' quel sont chaude a éviter l’été mais pour l'hiver top  ... trop belle elle + belle que la photo . je conseil cet article</t>
  </si>
  <si>
    <t>Bien Bonne pointure , Belle chaussure . Je l’es porte depuis peu je n’en peut donc pas dire si sur le long terme elle dur.</t>
  </si>
  <si>
    <t>Déçu L'article ne corresponde pas a la photo, J'ai choisi la sweet bleu avec la capuche rouge comme le logo (le magasin a supprimé déjà cette photo) mais a l'arrivé la capuche est bleu comme le sweat.  Le sweet est de bonne qualité, mais le déséquilibre du modèle était très décevant. Ils l'ont envoyé sans prévenir. Je n'aime pas aussi que le logo ne soit pas en tissu mais en caoutchouc. Je m'attendais de meilleur de la marque Levi's.</t>
  </si>
  <si>
    <t>SAV néant Le produit est bien arrivé dans les temps mais pas à la bonne taille j'ai écrit 2 fois sans retour de leur part...</t>
  </si>
  <si>
    <t>TBS Archer, Baskets mode homme - Noir (Noir 4824), 46 EU Bravo Amazon TBS Archer, Baskets mode homme - Noir (Noir 4824), j'avais fait une commande en ville en juillet en allant les chercher en septembre la vendeuse me dit je viens de faire la commande..Il en fallait 6 ??? Oui mais pour votre mari eb taille 46 je ne les aurais que le 5 décembre ….On a annulé et j'ai commandé un vendredi et le samedi matin le livreur  sonnait à la grille …Bravo Amazon.</t>
  </si>
  <si>
    <t>Moyen au niveau tubulaire du pied Composants métal et plastique Crainte au niveau des assemblages tubes du pied.</t>
  </si>
  <si>
    <t>bien taille assez bien! résiste après plusieurs lavage! personnellement je l'avais acheté pour mettre a la maison, et franchement je le mets même pour sortir! bon rapport qualité prix.</t>
  </si>
  <si>
    <t>Commande reçue comme prévue, produit conforme Rien à signaler à part peut-être le cable un peu court. Privilégiez en plus long quelque soit votre installation. Le produit a l'air solide</t>
  </si>
  <si>
    <t>Simple et pratique !! Mon fils était ravie et très confortable</t>
  </si>
  <si>
    <t>Cartouche Canon PG-540 XL Produit un peu cher mais trés satisfaisant ; J'espère que la cartouche XL durera beaucoup plus longtemps que celle d'origine. En général les produits Canon sont d'excellente qualité : là la qualité est au rendez-vous mais la durée est vraiment trop brêve. Donc j'ai basé tous mes espoirs sur ce modèle XL pour une meilleure durée de vie : Les fabriquants d'imprimantes exagèrent : les machines sont pas par trés chères mais les cartouches de marques demeurent trés chères.  Bravo pour Amazon pour la livraison du colis.</t>
  </si>
  <si>
    <t>Taille normalement Je suis contente de mon achat. Le pantalon taille bien. Les couleurs sont conformes au descriptif. Pour un premier achat de vêtement je suis satisfaite.</t>
  </si>
  <si>
    <t>Leggings Très bien comme leggings, pas transparent, matière agréable</t>
  </si>
  <si>
    <t>C'est magnifique Meilleurs qualité</t>
  </si>
  <si>
    <t>Qualité, finesse, champêtre ou rustique Très satisfaite de la qualité du produit. Les étiquettes sont de la même couleur que sur la photo et sont vraiment jolies. Elles sont fines ET résistantes et tiennent bien droit. Leur diamètre est d'environ 4 cm (je ne les ai pas devant les yeux). Je les ai utilisé comme placement de table, insérées dans des porte-noms (2 petits bouts de bois de cannelle assemblés avec le cordon fourni avec les étiquettes). Le cordon est d'ailleurs fin et d'une belle qualité. Il fait champêtre chic.</t>
  </si>
  <si>
    <t>huiles essentielle Parfum très intenses , je recommande les utiliser dans les espacés grandes</t>
  </si>
  <si>
    <t>Bonnes chaussettes unisexes 🧦👍 Très bonne chaussettes anti dérapantes pour la pratique de sport sur tapis type yoga, stretching et cardio.  Légère contention au niveau du mollet agréable, idem au niveau du pied et de la plante.  Reçues en noires et blanches (dominante noire), elles sont unisexes : en gros j’en prends une paire pour le yoga et monsieur pour le cardio en salle (oui, c’est en chaussettes 🤷🏼‍♀️).  Je fais du 37 et lui du 44 donc autant dire que c’est extensible mais une fois portées par un 44 elles seront quand même détendues et iront moins aux plus petites tailles.  Effet anti dérapant efficace.  Assez «&amp;nbsp;jolies&amp;nbsp;» pour des chaussettes 🧦 de ce type.  Le prix est dans la norme.  Reçues dans une boite carton : attention ⚠️ les chaussettes sont retenues en haut ET en bas par une attache métallique pointue, pensez à bien retirer car sinon ça pique quand on la retrouve au fond de la chaussette 😉  Petit plus : le L (pour left=gauche en anglais) et R (right=droite en anglais) sur les chaussettes, car une fois portées elles prennent quand même pas mal la forme du pied/mollet donc c’est cool de toujours mettre au pied de d’habitude.  Nous recommandons 👍</t>
  </si>
  <si>
    <t>Parfaites J'ai pris une taille en dessous de ma taille habituelle et c'est parfait ! J'avais peur que ce soit des contrefaçons vu le prix mais elles ont été livrées dans leur boite d'origine et rien ne laisse penser que ce sont des fausses.</t>
  </si>
  <si>
    <t>cool tres satisfait , correspond bien  a la description</t>
  </si>
  <si>
    <t>Bonne taille rien à redire Parfait excellent rapport qualité prix</t>
  </si>
  <si>
    <t>Excellent produit Absolument rien à redire. C’est la 3e paire d'écouteurs Bluetooth que j'achète Et de loin la meilleure. Déjà le design de la boîte est vraiment sympa, très ergonomique. En suite les oreillettes sont à la taille parfaite. Le son est vraiment très très bon et la portée/force du signal Bluetooth est absolument excellente. Testé à la maison et dans le métro sur un trajet de 40 minutes, aucune perte de signal, très peu perturbé par le bruit extérieur. Rapport qualité-prix excellent. Pas encore testé en running mais les oreillettes ont l’air bien fixées aux oreilles.</t>
  </si>
  <si>
    <t>LEVIS Tee-shirt agréable à porter ; taille et coloris correspondant à mes attentes. Très bon rapport qualité/prix. JE  RECOMMANDE CET ARTICLE.</t>
  </si>
  <si>
    <t>Le top C’est ma troisième commande de ce produit toujours très satisfaisant. Qualité, livraison, tarif tout y est.  Je recommande sans hesiter</t>
  </si>
  <si>
    <t>Top Tres comfortable.</t>
  </si>
  <si>
    <t>Rapide et efficace Ultra efficace. Mes chaussures brillent comme au premier jour !! Attention, ce n'est pas fait pour rajeunir mais bien enlever les salissures quotidienne</t>
  </si>
  <si>
    <t>Sandale Bon produits</t>
  </si>
  <si>
    <t>Bof... Les photos donnent une impression beaucoup plus 'chic' de cette montre, sans doute renforcé psychologiquement par un prix de plus de 100 euros barré. L'emballage est en carton assez léger, le petit chiffon orange vif gratte horriblement, et la montre n'a pas de cran d'arrêt et est donc déjà en marche (habituellement les montres neuves de qualité ont un sytème qui bloque pour éviter d'user la batterie inutilement). La marque Benyar (et non pas Bersigar !) est écrit en gros sur le bracelet, c'est bien dommage car le bracelet est joli et en cuir véritable.</t>
  </si>
  <si>
    <t>Rapport qualité-prix exceptionnel - Défaillant dès la seconde utilisation ! Un spot laser très puissant (De loin le meilleur tous ceux que j'ai utilisés jusqu'à maintenant). Livraison ultra rapide. Et surtout il est léger, compact, et télécommande le PC à plus de 25 mètres (théoriquement plus, mais je n'ai pas testé). Seule préoccupation : penser à le recharger ... Deux heures pour une charge complète. Sinon, impossible de mettre des piles... Malheureusement, dès ma seconde utilisation, trois mois après la première : plus rien ne marche, sauf le laser ! ça fait cher pour un pointeur laser. Je vérifie si la garantie fonctionne toujours.</t>
  </si>
  <si>
    <t>Bracelet très fragile Très déçu de ce produit, les petite barres tenant le bracelet a la montre se sont tordu, et du coup obliger d'aller chez le bijoutier et deux jour après les avoir changer voilà le bracelet qui se casse...</t>
  </si>
  <si>
    <t>pantalon de sudation bon produit confortable mais un peut grand</t>
  </si>
  <si>
    <t>chaussettes pour gym tout à fait satisfaite de ce produit, confortable et antidérapante.ces chaussettes sont super pour la gym. le pilates et autre sport au sol</t>
  </si>
  <si>
    <t>bien pratique produit très utile, propreté, fraicheur, mais il manque une boite distributrice, j'ai adopté une boite étanche et qui se referme ayant contenu des lingettes Pampers, c'est idéal, les lingettes Lotus restent bien humides, elles sont livrées dans un emballage difficile à ouvrir, et ne se rebouche plus au bout de trois fois, une vraie daube.</t>
  </si>
  <si>
    <t>Conforme Conforme, couleurs variées et sympa, pots d'une contenance correcte pour la longévité, sympa pour les enfants car se nettoie à l'eau, idéal pour les travaux de bricolage et loisirs créatifs</t>
  </si>
  <si>
    <t>Agréable! J’adore !tiens chaud plusieurs heures et très cocooning</t>
  </si>
  <si>
    <t>bien La qualité est bien, mais je trouve qu'elles remontent un peu trop haut quand même, satisfait dans l'ensemble depuis 2 ou 3 mois</t>
  </si>
  <si>
    <t>Parfait Ravie de mon achat</t>
  </si>
  <si>
    <t>J'adore les perles J'adore les perles, elle est arrivée très vite et j'ai adoré l'emballage et l'information sur les pierres. J'espère beaucoup que le bracelet durera très longtemps en raison de la cordelette élastique. Je vous remercie.</t>
  </si>
  <si>
    <t>Commandez les yeux fermés ! Produit conforme à la photo. Très jolie, cette montre est date autant pour les femmes que les hommes. De plus elle est discret, j'avais peur qu'elle soit trop grosse. Le bracelet semble solide mais j'ai lu quelque commentaires disant que le bracelet était assez fragile mais pour le prix on va pas chipoter.  Après ma commande ( presque 1 an) je reste très satisfaite, la montre est très solide et le bracelet est intacte alors que je la porte assez souvent. Je suis tellement contente que je l'ai commandé pour mon frere à Noel. De plus je suis agréablement surprise car je devais la recevoir le 29/12 et je l'ai reçu le 19 ! Timing parfait pour qu'elle soit sous le sapin. Je recommande ce produit à 100%, vous pouvez commandé les yeux fermés.</t>
  </si>
  <si>
    <t>Le bonheur ! Achetée pour mes enfants, parfait ! ils sont ravis de se glisser dans un lit chaud. Je débranche une fois qu'ils sont couchés.</t>
  </si>
  <si>
    <t>Reveil lumineux Appareil très agréable à l'utilisation et conforme à la description. Nous nous réveillons tous les matins de bonne humeur en sa compagnie.</t>
  </si>
  <si>
    <t>Parfait pour le prix Bon câble et tarif super compétitif . Livraison tres Rapide</t>
  </si>
  <si>
    <t>Très bonne qualité! Reçu comme cadeau et très satisfait! Agréable à porter, bonne qualité du produit.</t>
  </si>
  <si>
    <t>Confort et durée de 10 ans pour moi Facile à enfiler</t>
  </si>
  <si>
    <t>Excellent Excellent produit, à voir sur le long terme</t>
  </si>
  <si>
    <t>Parfaites pour le travail de longues heures debout Très satisfaite. J’avais peur qu’elles soient un peu grandes mais impeccable. Très confortables quand on travaille de longues heures debout et le système des lacets est très pratique, juste à enfiler.</t>
  </si>
  <si>
    <t>C'est le top d'attendre Noël avec sami et julie Formidable pour mon fils qui est en début de ce1 et qui a horreur de lire. Pour cette période juste avant Noël le niveau 2 un enfant de cp aura du mal à le lire tout seul. Mais avec une aide au début des parents ça ira tout seul. Donc en bref ce livre est parfait pour un mauvais lecteur de ce1 et un très bon lecteur de cp. De toute façon dès qu'il est question de Noël, les enfants adorent.</t>
  </si>
  <si>
    <t>Excellent produit Léger, respirant et surtout confortable. Taille conforme, ce qui n'est pas toujours le cas pour cette marque.</t>
  </si>
  <si>
    <t>Parfait Parfait pour un moment de détente ou pour apaiser un dos douloureux !</t>
  </si>
  <si>
    <t>Papier Lotus onérus. Bjr, question papier rien à redire, mais franchement question prix il ne cesse d'augmenter. Il est maintenant + cher qu'en grandes surfaces alors + du tout intéressant.</t>
  </si>
  <si>
    <t>Nul, en toute objectivité Je suis allé voir ce film lors de sa sortie en salle, sans en attendre grand chose, et j'ai vraiment bien fait. Tout d'abord je tiens à souligner que j'aime les belles voitures,et le reste concerné, mais là j'ai trouvé ca affligeant. Tout d'abord même l'esprit tuning présent dans ce film est pitoyable, la décoration des voitures n'est pas mal mais ne sort pas de l'ordinaire, donc rien de remarquable. Mais alors que dire du scénario... ben rien, encore en faudrait-il un, "Montre moi ta bonne conduite et je te paie", je viens de résumer le film ! Le premier opus avait au moins un aspect nouveau genre, mais celui-ci aurait mieux fait de ne jamais sortir ! Je mets 1 étoile juste pour l'audace des producteurs qui osent le sortir en DVD(et apparement ca marche...)</t>
  </si>
  <si>
    <t>Sweat shirt bordeaux Joli sweat , la couleur correspond bien à la photo . Je l'ai commandé pour ma petite fille apparemment il taille bien, à voir à l'usage</t>
  </si>
  <si>
    <t>difficile à allumer Le produit a été livré parfaitement dans les temps mais le bouton "MIST" qui permet de l'allumer fonctionne mal ou alors j'ai raté quelque chose car je dois appuyer une centaine de fois dessus avant que le diffuseur ne se mette en route.  Cependant quand il fonctionne il est parfait, la brume est visible et c'est très sympa.  Si le problème d'allumage persiste je retournerai surement le produit, il est peut être défectueux.</t>
  </si>
  <si>
    <t>Encre/Toner Après plusieurs nettoyages des buses- reste traces BLANCHES dans la Zone BK de la feuille test(milieu) Que faire des anciennes cartouches  ?(d'origines livrées avec la machine lors de l'achat) Cdrlt</t>
  </si>
  <si>
    <t>chargeur Lavolta Pour un prix raisonnable il correspond a ce dont j'ai besoin,Son utilisation est simple et efficace,Un bon achat,Le service Amazon parfait</t>
  </si>
  <si>
    <t>Vans La chaussure est très dur aux premières marche. Par la suite elle devient plus confortable. C'est un modèle basique qui se porte avec de nombreuses tenue et style différents.</t>
  </si>
  <si>
    <t>J adore Chaud et doux à l intérieur, beau à l extérieur, bonne taille, supporte très bien les lavages</t>
  </si>
  <si>
    <t>Identique  a l'original Expédition correcte en 3 jours et modèle indentique a l'original pour modèle Krups XP528 danse mon cas. Goût et niveau dez mousse du café  conformé a mes attentes.</t>
  </si>
  <si>
    <t>indispensable pour tout bricolage bonne qualité</t>
  </si>
  <si>
    <t>Très satisfait ! J'en suis très satisfaite! Ils sont super!.le design est parfait, le son est très bon , la connexion est rapide et stable.Surtout, le boitier de recharge est très intonative et pratique, pas grand, très portable. Très bon produit son super beaucoup d autonomie et chargé rapide permet d ecouter la musique au travail en toute discrétion du a sa petite taille ils tiennent très bien dans l oreille! Surtout il est lien automatique !</t>
  </si>
  <si>
    <t>bon produit contente du produit, je m’en sers pour mon aspirateur balai bissel</t>
  </si>
  <si>
    <t>Rien à lui reprocher Cette théière est parfaite, bonne taille, thé ou tisane et le contenu reste chaud assez longtemps. j'en ai déjà racheté 2 à offrir.</t>
  </si>
  <si>
    <t>Super microphone J ai pris ce microphone comme cadeau pour mon neveu il a adoré Très facile d'utilisation,  il est puissant et le son est très intense Il y a plusieurs boutons pour adapter à l utilisation et adapter le volume aussi Les couleurs sont conformes au photo et peuvent être pour garçons ou filles L'emballage est également bon et met en valeur de cadeah</t>
  </si>
  <si>
    <t>Achat très satisfaisant Produit très simple d'utilisation et qui fait parfaitement ce qu'il a à faire. Fabrication de qualité et ensemble très peu onéreux.</t>
  </si>
  <si>
    <t>Puma Suède violet Depuis des années je ne met que des pumas Suède et cette couleur ci. Offre imbattable !!! 22euros la paire. Que demander de mieux ? 😊</t>
  </si>
  <si>
    <t>un must pour le bac d'histoire gél Solide, précis, bon rapport qualité prix, en somme tout ce qu'on lui demande ! Est utile pour le bac d'histoire géo entre autres</t>
  </si>
  <si>
    <t>Beau manteau Beau manteau idéal pour la mi saison, il est un peu chaud, bien taillé. Il se porte facilement avec un pull en dessous si besoin. J’aime bien le fait également qu’il y ait une capuche. Très bon rapport qualité prix (car pas très cher pour un manteau) ! Je n’avais pas de manteau mi saison j’en suis contente !</t>
  </si>
  <si>
    <t>Niquel Acheté pour remplacer un autre casque Sony pliable (de ce genre) dont une oreillette avait lâché. Celui-ci est plus confortable et le son est niquel. J'aurais préféré être plus isolé du bruit ambiant mais pour le prix il est vraiment top !  Je recommande :)</t>
  </si>
  <si>
    <t>parfait parfait je recommande</t>
  </si>
  <si>
    <t>Ravie et pas déçue Elles sont très confortable et légère.je suis ravie de mon achat. Jai pris les noires. La matière est agréable. Je les  recommande.</t>
  </si>
  <si>
    <t>Toujours la meilleure réduction de bruit du marché Ces 15 dernières années, j'ai acheté différentes générations d'écouteurs à réduction de bruit pour mes voyages en avion et les transports en commun. Et j'ai toujours acheté du Sony car leur algorithme de réduction de bruit est imparable pour compenser de manière dynamique les sons extérieurs: les écouteurs s'adaptent au niveau de bruit environnant et gomment instantanément toute gêne pour profiter au mieux de la musique ou d'un film. Cette dernière génération est une petite merveille, avec cette fonctionnalité permettant de couper la réduction de bruit d'un simple effleurement de l'oreillette avec le doigt. C'est parfait pour s'éviter de devoir ôter les écouteurs pour "se reconnecter" aux bruits "extérieurs".  Comme toujours, la qualité de fabrication est irréprochable. On retrouve bine entendu la petite boite de transport et de rechargement, très classe. SI vous êtes audiophile et êtes souvent en déplacement, c'est un petit bijou à s'offrir, Sony sait allier fonctionnalités au goût du jour (prise d'appels, commandes sensitives sur les écouteurs...) et excellent son.</t>
  </si>
  <si>
    <t>Utilisation très pratique et rapide Je l’utilise souvent et il est très efficace. Pratique on peut l’emmener Partout</t>
  </si>
  <si>
    <t>chaussures basiques mais efficace. simple et passe partout, j'achète régulièrement ce modèle qui est un essentiel de la collection homme à mon goût.</t>
  </si>
  <si>
    <t>Mauvaise qualité Résistances qui tiennent 1 journée. Pas du tout satisfait. Argent jeté par la fenêtre ! Je ne conseille pas ce produit.</t>
  </si>
  <si>
    <t>produit non conforme Je ne sais même pas comment ce produit a passé les test de sécurité. La coque vous scie le dessus du pied, elles sont pas portables du tout après 2 essais de quasiment une semaine, et j'utilise des chaussures de sécurité depuis 25 ans quotidiennement. Juste bonnes à jeter(ce que j'ai fait !)</t>
  </si>
  <si>
    <t>Produit fragile! Passer à la gamme supérieur ! Dysfonctionnement d une oreillette !</t>
  </si>
  <si>
    <t>collier très déçue !!! je l'ai porté deux jour...le cou noir et la chaîne noire ... à éviter ...  je porte un collier en argent et je n'ai aucun probleme ..celui ci n'est pas de l'argent mensonge sur le produit  !!</t>
  </si>
  <si>
    <t>Bof J’aime beaucoup ces bracelets mais je suis déçue car après une journée les perles bleues ont déteint sur mon bras! Pour des vrais perles...</t>
  </si>
  <si>
    <t>Conforme à la  description Article de belle apparence, et reçu rapidement. L'ensemble à l'air solide, on verra dans le temps... Les fermetures à lanières n'étant pas assez rapides à défaire pour moi, j'ai ajouté une boucle de cartable qui me permet une ouverture ou fermeture très rapide (urgences), du coup j'utilise très peu les lanières.  P.I.</t>
  </si>
  <si>
    <t>Léger facile à ranger et surtout peu de bruit Satisfaite de mon achat .</t>
  </si>
  <si>
    <t>Mystérieuse très style</t>
  </si>
  <si>
    <t>sweat le sweat est leger bien pour l ete qui arrive attention a la taille qui est plus grande que prevu</t>
  </si>
  <si>
    <t>Parfait Un excellent rapport qualité prix, le casque est léger, le son est correct, l'autonomie convenable. On peut pilote avec une application pour les réglages et les mises à jour se font simplement depuis le site en branchant le casque. Le plastique grince beaucoup on sent que bon voilà mais au moins il on tout mis dans le reste.</t>
  </si>
  <si>
    <t>Très bon achat Je suis très contente d'avoir acheté cette bouillotte. Je m'en sers contre les douleurs de l'endométriose et elle est parfaite. Elle chauffe assez fort et la chaleur reste pour une nuit complète ! C'est parfait !</t>
  </si>
  <si>
    <t>Legging noir femme Parfait pour le sport, très confortable avec un pourcentage en élastane très appréciable. Je recommande ce produit et pense renouveler ma commande.</t>
  </si>
  <si>
    <t>Exactement ce qu'il me fallait. Difficile à trouver dans le commerce, c'est chose faite sur Amazon. Permet de recharger mon agenda d'une année sur l'autre, pas de surprise tant qu'on commande la bonne référence ! Et moins chère que dans le peu de boutiques/sur le peu de sites où elle est répertoriée.</t>
  </si>
  <si>
    <t>Exactement ce qu'il me fallait Parfait, son très correct pour ce prix. Autonomie très satisfaisante.</t>
  </si>
  <si>
    <t>Coupe tous le son de l'entourage Tactile, et bon son, le stop bruit fais son travail. J'ai même pu utiliser qu'un seul écouteur quand le 2em est en charge</t>
  </si>
  <si>
    <t>garantie très longue super en plus j'ai vu qu'il y avait une garantie de 30 ans,j'en avais marre d'acheter une sacoche tout les ans,avec celle là,j'aurais pas besoin de ressortir de l'argent,le jour où elle sera cassé</t>
  </si>
  <si>
    <t>Très facile et très bien à utiliser. Excellent briquet, marche très bien.</t>
  </si>
  <si>
    <t>Super Ravie de cet achat. Répond à mes attentes. Il a l'air solide.</t>
  </si>
  <si>
    <t>bonne reception chaussure reçue dans un délai tres court. bonne pointure et comme toujours dans cette marque confort excellent pour ce modèle. en espérant qu il seraz suivi dans le temps</t>
  </si>
  <si>
    <t>Agréable à porter Parfait</t>
  </si>
  <si>
    <t>Bottes R.a.s</t>
  </si>
  <si>
    <t>Bon vendeur Super ma fille en ai ravi bonne qualité livraison rapide</t>
  </si>
  <si>
    <t>prix pour mettre une photo</t>
  </si>
  <si>
    <t>Très utile Produit de qualité. Adorable lors des nuits compliqué. Très rapide à chauffer facile d'utilisation. A avoir des la naissance. Nettoyage rapide</t>
  </si>
  <si>
    <t>Casque peux performant Pour le prix le produits et conforme a mes attente mais si vous voulez un casque d'une bonne qualité je ne recommande pas, les coussins ne son pas très agréable pour une utilisation longue durée, le son est vraiment bof et quand je bouge, le boomer a l’intérieur bouge lui aussi</t>
  </si>
  <si>
    <t>Ce n'est pas un lot de 5 !! Ce n'est pas comme dit dans l'intitulé Avery 2574 Lot de 5 Ramettes de 500 Feuilles Blanc mais 1 SEULE RAMETTE !!</t>
  </si>
  <si>
    <t>Bien mais... Très bon coupe vent, se porte avec un polaire en temps froid, par contre qu'est ce qu'on transpire en temps chaud ! Très mal aéré je trouve, il n'y a pas de volet pour évacuer la chaleur...</t>
  </si>
  <si>
    <t>Taille petit Pris 1 taille au dessus et nikel</t>
  </si>
  <si>
    <t>Pratique et moins onéreux que d'autres Cadeau pour mon conjoint qui fait du sport avec donc il se prend pas les mains dans les câbles et c'était moins onéreux que d'autres</t>
  </si>
  <si>
    <t>AURIQUE Pantalon de Yoga Femme La matière est très agréable, un peu extensible et semble avoir une bonne tenue. Par contre, je me suis référé au tableau des tailles et il taille vraiment grand. Je le retourne et le recommande en taille plus petite.</t>
  </si>
  <si>
    <t>Un bon entrée de gamme, construction solide Le casque englobe bien les oreilles et se règle rapidement, bien adapté et réglé il ne provoque pas de gêne. je me suis endormi plusieurs fois avec le casque sans pour autant qu'il n'ai subi de déformation, à suivre sur la durée. fourni avec une pochette tissu, prenez un étuis rigide en cas de transport encombré. Bonne qualité sonore, on regrette tout de même un bruit parasite lié à l'activation du Bluetooth qui est absent lors qu'utilise en filaire.  Achat conseillé, si la technologie réduction de bruit active n'est pas requise  Bonne qualité d'appel avec un retour son quasi instantané pour éviter d'avoir l'impression de s'entendre en echo</t>
  </si>
  <si>
    <t>Superbe et efficace je l'adore les présélections c'est top le maintien plusieurs choix  de température nickel elle ai belle un côté high tech,c'est beau et donc ont la garde sur le plan de travail le seul inconvénient (pour dire) trop grande capacité 1 litre aurais été top</t>
  </si>
  <si>
    <t>Parfait Rien a dire ! C’est la qualité de SONY. Ça fonctionne parfaitement avec iPhone et iPad.</t>
  </si>
  <si>
    <t>Une référence ! Très très bon ! Je sais pas si c'est moi qui ai hiberne plusieurs moi, mais les écouteurs tws ont fait un sacré bon en qualité. J'avais des QCY depuis un certains temps et qui me convenait à peut près, mais en comparaison avec ce modèle Yaciko, je suis bluffé ! (O_o) Pour commencer le boîtier est de bonne facture, résistant et un clapet de fermeture sérieux. Il intègre une batterie de 3500 mah lui donnant un poids suffisant pour inspirer la robustesse et à la fois assez léger pour le transporter dans ma poche toute la journée. Les écouteurs, sont très légers, ils se plugs aisément à l'oreille et donne une isolation passive importante. Elle se soude au conduit auditif, une garantie qu'elle ne s'envole pas pendant l'effort. Les commandes sont tactiles et répondent parfaitement. Elles peuvent être utilisés indépendamment l'une de l'autre, donc on peut répondre à un appel avec une seule oreillette, gauche ou droite. La son est puissant, claire, les basses sont très présentes et on en redemande. Le ressenti est agréable.  Bref que du bonheur.</t>
  </si>
  <si>
    <t>Très bon ! Mon écouteur Bluetooth est tombé en panne après 3 mois, alors je suis revenu aux écouteurs filaires. Ces écouteurs sont confortable à porter. Les boutons fonctionnent bien, j'aime bien la petite pouchette qu'ils contiennent, car elle offre une certaine protection lorsque l'écouteur est dans ma poche. La qualité sonore est très bonne. totalement pas umal.</t>
  </si>
  <si>
    <t>Très joli et remplit bien sa fonction Contente d'avoir reçu mon joli diffuseur d'huile essentielles, qui, pour ma part, trouvera toute sa place dans la chambre de mon fils^^ J'aime son look, assez compact et imitation bois; les finitions sont de qualité. Il remplit parfaitement sa fonction, il donne une odeur agréable à la pièce...  Dans la boîte, on retrouve le diffuseur (capacité de 400ml), le cordon d'alimentation, un verre doseur avec bec verseur, et une notice en anglais (pas de français), mais il est vraiment très simple d'utilisation. Il se règle grâce à 2 boutons en façade. On peut régler l'intensité de la brume, et l'éclairage LED est toujours très sympa! Il fonctionne très bien, au choix pendant 1h, 3h ou 6h.  Très satisfaite pour le moment :-)</t>
  </si>
  <si>
    <t>Top Comme toute la gamme avent</t>
  </si>
  <si>
    <t>efficace génial je l'ai acheté car j'en avais marre de mettre des couches pour jouer au tennis en double l'hiver par température proche du 0. Et le résultat est nickel tient vraiment au chaud et évacue bien la transpiration. le contact avec la peau est vraiment agréable.</t>
  </si>
  <si>
    <t>Top Très belle baskets achetées en blanc. Semelle très épaisse. Bon amorti. Très confortable. Je fais du 40, pris en 40,5. Prendre 1 taille au dessus pour être confortable.</t>
  </si>
  <si>
    <t>➰ Bouilloire tout inox 1litre rapide, silencieuse et température réglable ➰ Je cherchais une bouilloire tout inox : réussite à 100%. Pas de plastique au contact de l'eau.  Le marquage des mesures d'eau est gravé (min : 33cl / max 1l) à l'intérieur de la bouilloire. Le bouchon est en plastique à l'extérieur pour une saisie froide en toute sécurité et doublé d'inox à l'intérieur en contact avec l'eau. Le filtre est aussi en inox et fait partie de la bouilloire.  Pour les autres fonctions : la bouilloire est très rapide et ultra-silencieuse. La double paroi tient ses promesses : elle n'est jamais brûlante.  Pour le réglage de la température : elle démarre à 50° et va de 5 en 5 jusqu'à 100°. Je l’utilise à 60 pour le thé vert, 80 pour le thé noir, 90 pour le café et 100 pour les infusions. On  choisit la température à l'aide du + et  - et on appuie une seconde fois pour démarrer.  Les petits plus : le bec verseur est bien pensé et légèrement évasé, pas une goutte ne tombe à l'extérieur même si on verse  un peu "bourrin". Elle est simple à nettoyer, pas de recoin, et l'inox brossé ne tient pas les marques des doigts.  Les petits moins : la taille du fil électrique est correcte mais pas très longue (58 cm prise inclue).  ➰➰➰➰➰➰➰➰➰➰➰➰➰➰➰➰➰➰➰➰➰➰➰➰➰➰➰➰➰➰➰➰➰➰➰  En résumé : une bouilloire très bien pensée qui répond à 100% aux besoins des consommateurs dans leur vie quotidienne. Sa capacité moyenne (1l) est largement compensée par sa grande rapidité.</t>
  </si>
  <si>
    <t>À acheté les yeux fermé Superbe chaussures de sécurité haute qualité, je travaille dans un entrepôt comme preparateur de commande avec aller retour sans cesse, et pas de problème. Très confortable.</t>
  </si>
  <si>
    <t>Très joli mais chaîne un peu courte Acheté pour offrir à une jeune fille de 12 ans ... et il est tellement joli en vrai que j'avais envie de le garder pour moi! Je mettrais un petit bémol sur la taille de la chaîne qui est un poil trop courte...</t>
  </si>
  <si>
    <t>Si elle sont confortables Ses baskets sont parfaite pour des femmes petites de tailles comme moi elles sont très confortable je recommande.</t>
  </si>
  <si>
    <t>Collier femme Magnifique collier des très bonne qualité.tres bien présenté dans une très belle Boîte pour offrir.je l’ai acheter pour offrir mais je vais me le recommander pour moi</t>
  </si>
  <si>
    <t>Rapidité Bien correspond  à l achat</t>
  </si>
  <si>
    <t>pratique Bon produit, utilisable sur beaucoup de surfaces; pointe relativement fine qui permet de la précision.</t>
  </si>
  <si>
    <t>Décevant par rapport à la photo Le sac est loin d'être aussi beau que presenté, que ce soit au niveau de la couleur du cuir, de sa brillance, ou encore de sa forme. De plus, la qualité de la toile présente à l'interieur du sac laisse à désirer.</t>
  </si>
  <si>
    <t>Article de mauvaise qualité J'ai achete ces chaussures au mois de mars pour mon mari. Elles ont été portées 4 fois et elles déchirent sur le coté de la chaussure droite . Très décue. Ai je la possibilité de contacter le vendeur svp</t>
  </si>
  <si>
    <t>Streamer &amp;amp; Vidéastes : Ne tombez pas dans le piège du débutant. N'achetez pas. Après 6 mois d'utilisation pour mes streams et vidéos je peux clairement dire que je regrette cet achat de débutant. Je l'ai acheté en démarrant les streams, en pensant améliorer d'emblée la qualité de mon son grâce à ce micro mais c'est clairement un piège pour les personnes qui souhaitent se lancer dans le Youtube ou Twitch Game. Chers créateurs, ne tombez pas dans le piège! Economisez pour acheter mieux! Pour l'instant votre micro casque suffit!  En l'espace de quelques jours d'utilisation les problèmes commencent. Voici une liste exhaustive : -  Micro pas assez puissant (encore moins sur un ordi portable), qui nécessite obligatoirement diverses achats et installation supplémentaires (voir plus bas) - Micro non reconnu sur Streamlabs OBS et fait planter le son - Emet à blanc des grésillements très désagréables pour les spectateurs. - Grésillement difficile à supprimer. Obligation de passer par des logiciels type Adobe Audition mais qui altère alors la voix. - Plus le temps passe, plus ce problème s'aggrave. Les soucis surviennent de manière aléatoire, même quand tout semble correcte.  Si vous persistez dans cet achat, voici tout ce que vous allez devoir faire : - Acheter une carte son USB ( +10€ min) et un transfo (+10€ min). - Installer un logiciel qui améliore le son entre l'entrée et la sortie, comme Adobe Audition ou des logiciels gratuits - Donc, installer un logiciel pour créer un câble fantôme sur votre ordinateur - Et même avec ça, vous devrez ajouter des filtres à votre micro sur le logiciel de stream  Pour quelques dizaines d'euros de plus, vous pouvez investir dans un blue yéti ou un rode qui fera un bon son (environ 100€). Patientez et vous pourrez compter sur le soutien de votre communauté pour améliorer correctement votre matériel, mais ne gâchez pas votre argent au démarrage.</t>
  </si>
  <si>
    <t>Un sac pas mal mais trop petit le vrai "defaut" du sac est sa taille. les lanières sont trop courtes a mon gout ce qui limite les réglages si vous etes un tant soit peu grand. La poche du dessous est pratique pour caler une paire de chaussures</t>
  </si>
  <si>
    <t>Connectique à revoir Sur smartphone, impossible de (se) filmer en utilisant ce micro externe. En revanche il fonctionne très bien via le dictaphone de mon smartphone, je ne comprends pas ... Du coup je le garde quand même mais avec un certain regret puisque qu'il ne convient pas aux principales utilisations pour lesquelles je l'avais acheté.</t>
  </si>
  <si>
    <t>solide mais taille un peu grand pour le prix , les chaussures ont l'air assez solide  par contre elle taille un peu grand</t>
  </si>
  <si>
    <t>Sympa Tous les jours</t>
  </si>
  <si>
    <t>Le Sporc Taille parfaitement , après pour être franc avec vous ....je m'en sert jamais pour faire du sport ou des activités physiques... Mais pour glander comme un gros porc en regardant des séries et manger des chips .Un regret c'est que les poils du chien ont tendance à bien rester collés....ce grave problème électrostatique fait enlever a regret une étoile .</t>
  </si>
  <si>
    <t>Amorti et confort excellents Entrainement semi marathon</t>
  </si>
  <si>
    <t>Manque un peu  amorti. Un look sobre et classique.</t>
  </si>
  <si>
    <t>que des remarques dans le bon sens livraison dans les délais et bien avant la date buttoir du 12/10 facilités de montage très appréciées pour juger de la qualité de ce kit, il faudra attendre quelque temps mais le matériel inspire confiance Merci</t>
  </si>
  <si>
    <t>bottes de pluie adaptées à la vie rurale et de bonne qualité, c'est un achat indispensable pour vivre à la campagne</t>
  </si>
  <si>
    <t>Montre Casio Belle montre. Look sobre. Pas mastoque au poignet. Notice multilingue mais pas en français. On se débrouille avec l'anglais. Assez simple à paramétrer malgré tout. Les aiguilles ne sont pas phosphorescentes dans le noir. Il n'y a pas d'aiguille des secondes/trotteuse, du coup, elle est silencieuse. La largeur du bracelet est réglable jusqu'à un poignet assez fin (adolescent ou femme). Semble de qualité. Article recommandé.</t>
  </si>
  <si>
    <t>Découvrir la planète Une mappemonde très bien réalisée Les hymnes, les pays, les populations, les capitales...</t>
  </si>
  <si>
    <t>Lot de 2 Aimants Anti Douleurs 2500 Gauss Je trouve c'est 2 aimants bien sympas (ils ressemblent à la description du produit) et il est vrai qu'une foi dans la main ils sont agréables à manipuler. Bon produit distrayant ! Je suis également satisfait de la rapiditée de ma livraison. Cdt.</t>
  </si>
  <si>
    <t>Comme d'habitude ... RAS sur la commande , rapide et correcte qualité prix ! Je suis toujours satisfaite de votre cite et du choix des produits .</t>
  </si>
  <si>
    <t>Super lampe Pratique et fonctionnelle cette lampe a parfaitement trouvée sa place chez moi. On peut varier facilement entre lumière chaude ou lumière froide grâce à un simple bouton. L'éclairage est parfait pour pouvoir lire sans s'abimer les yeux. La lampe est de bonne qualité pour le prix c'est imbattable ! Je recommande ce produit !</t>
  </si>
  <si>
    <t>Tres beau tres beau produit reçpli parfaitement les caracteristique decrit n'as pas bouger</t>
  </si>
  <si>
    <t>bon produit Je connaissais déjà ce produit que j achetai en boutique spécialisée beaucoup plus cher. ici je fais une économie de 3 euros. sinon, le produit est très bien. Très doux et très résistant.</t>
  </si>
  <si>
    <t>••adidas Pace Vs•• J'ai effectué cet achat, il y a un mois et demi. Belles chaussures sport, au look tendances et décontracté. En outre, elle sont très confortables. Et seront Idéales, à porter quotidiennement cet été.  🆗👌🔝👍</t>
  </si>
  <si>
    <t>Très content J'avais pris le pantalon, alors il me fallait le haut, Colle bien à la peau et sèche très rapidement Je recommande ce produit pour un prix très raisonnable</t>
  </si>
  <si>
    <t>CONFORME A LA PHOTO CONFORTABLE ET DE BONNE QUALITE</t>
  </si>
  <si>
    <t>Bon produit Des converses... tout ce qu'il y'a de plus classique. Idéal pour l'été.</t>
  </si>
  <si>
    <t>tres bien parfait</t>
  </si>
  <si>
    <t>mon meilleur casque à ce jour Après avoir eu un Koss UR 40 puis un Grado SR60i dont je trouvais les performances limitées, notamment dans le bas du spectre, j'ai lu des avis très positifs sur les casques Beyerdynamic. J'ai donc choisi le 990 pro.  En terme de confort, il est nettement supérieur à mon Grado, lequel, il faut bien le dire, n'est pas une référence en ce domaine. Il s'agit d'un casque de monitoring:  une scène beaucoup plus ouverte, chaque instrument bien à sa place. Je craignais une écoute froide mais ca n'est pas du tout le cas. L'offre reconditionné d'Amazon à fini de me décider. Achat très satisfaisant</t>
  </si>
  <si>
    <t>Ecouteur sans fil Le désigne est très bien. Le réglage du son sur chaque oreille n'a pas assez d'amplitude (pour moi). les 3 réglages, pour les paroles (graves/ aiguës) ne me convenaient pas, de plus je ne pouvais pas le supporter une soirée entière bien qu'il soit très léger. je l'ai remplacé par un casque filaire arceau, toujours Sennheiser. qui lui ne me cause aucun souci. Branché sur un Convertisseur Numérique /Analogique  avec Toslink Optique, Contrôle du Volume, Super</t>
  </si>
  <si>
    <t>Jai trouvé moins cher ailleurs Le papier toilette est bien (LOL ça reste un PQ) mais je l'ai trouvé 1e moins cher chez carrouf ;-)</t>
  </si>
  <si>
    <t>pas solide est arrivée décousue</t>
  </si>
  <si>
    <t>Un peu cher J'avais des tâches sur mon mur qui ne partaient pas j'ai donc voulu essayer ces fameuses gommes magiques, je ne suis pas déçue, ça marche et je m'en sers même sur les chaussures, mais attention pour certaines surfaces !</t>
  </si>
  <si>
    <t>bon produit la taille XXL =62cm</t>
  </si>
  <si>
    <t>Parfaite J'ai acheté ce produit il y a plus d'un an et elle fonctionne tous les jours. C'est génial, je ne regrette absolument pas mon achat. Elle est assez grande et le fil s'enroule sous la bouilloire pour ne laisser que le nécessaire pour aller à la prise électrique.</t>
  </si>
  <si>
    <t>Conforme aux photos Conforme aux photos, belle montre Casio</t>
  </si>
  <si>
    <t>Petit prix mais Jolie et efficace Jolie et pop par sa couleur. Marché arrêt lumineux. Bouton pour ouvrir le dessus opaque et transparent.</t>
  </si>
  <si>
    <t>Rapport qualité prix J’ai commandé ce produit plusieurs fois il me satisfait pleinement.</t>
  </si>
  <si>
    <t>Parfaite pour toutes sortes de thés Chauffe l’eau rapidement. J'ai voulu des commandes de température simples, directes et lisibles facilement. Le réglage des températures est parfait pour les thés. Un peu cher malgré tout mais je suis contente de mon achat. Bouilloire à recommander.</t>
  </si>
  <si>
    <t>Superbes bracelets Très jolis bracelets je suis ravie de mon achat petit plus il y a une bobine de fil élastique au cas où. Je recommande cette article</t>
  </si>
  <si>
    <t>Jolie montre qui fait le job ! Montre achetée pour courir et faire du vélo. Très facile d'utilisation et la batterie tient longtemps ! Je ne suis pas déçue :-)</t>
  </si>
  <si>
    <t>Je recommande super qualitée. &lt;div id="video-block-R2XHNSUYNEGEPA" class="a-section a-spacing-small a-spacing-top-mini video-block"&gt;&lt;/div&gt;&lt;input type="hidden" name="" value="https://images-eu.ssl-images-amazon.com/images/I/91dAMctbGmS.mp4" class="video-url"&gt;&lt;input type="hidden" name="" value="https://images-eu.ssl-images-amazon.com/images/I/A1YhYL-YuTS.png" class="video-slate-img-url"&gt;&amp;nbsp;J ai acheté ce produit pour ma femme pour son anniversaire. J ai été agréablement surpris de la qualité du produit il est également tres jolie. Ma femme étant assez difficile coté bijoux en est très satisfaite et l à beaucoup apprécié.</t>
  </si>
  <si>
    <t>Livraison impeccable. Pour un Anniversaire ( 4 ans ) cadeau super apprécié, par le jeune garçon.</t>
  </si>
  <si>
    <t>Bien Nikel rien a dire pour le prix, expédition un peu long compter 2 semaines. Pile non fournie.</t>
  </si>
  <si>
    <t>Bon produit La taille est bonne, le poids correct et le confort relativement bon (c'est pas des pantoufles non plus). Petit bémol le support intérieur est un peu ferme à mon gout, j'ai ajouté des semelles gel intérieures et tout va bien. Bon produit</t>
  </si>
  <si>
    <t>Très bon achat Très bon achat. Bonne prise en main</t>
  </si>
  <si>
    <t>Très bien Très bien je les ai acheté il y a 2 ans je les mais tout les jours je viens de les changer</t>
  </si>
  <si>
    <t>Bracelet de qualité Je suis ravie de mon achat. J'ai acheté ce bracelet pour l'offrir et vraiment il est très beau. Les petits diamants tiennent bien. Le. Bracelet peut être serré comme on le souhaite et ça tient très bien. Il est superbe, très contente. Je recommande.</t>
  </si>
  <si>
    <t>Top qualité bonne taille XXXL pour 183 cm 120kg Parfait bonne cam délai top</t>
  </si>
  <si>
    <t>Douceur 😊😊 C'est une couverture très pratique et vraiment très douce. Idéal quand il commence à faire froid, elle évite de sortir les grosses couvertures et permet de régler la température. Très pratique j'adore</t>
  </si>
  <si>
    <t>j'adore ! Superbe, moi qui ai un petit poignée j'ai pu la mettre pile a ma taille, livraison rapide rien a redire j'adore ! Edit: Acheter en il y a 4ans, toujours aussi superbe, jamais changer la pile.</t>
  </si>
  <si>
    <t>converse à prix raisonnable mon fils est fan. il adore ce type de basket. rien à dire. pour les fans je recommande ce produit</t>
  </si>
  <si>
    <t>simple avec lecture facile déçue pour la mise à jour de la date car bouton défectueux - ce n'était pas une priorité pour moi mais plus la lecture facile sans lunette de l'heure - je n'ai osé de ce fait testé l'étanchéité !</t>
  </si>
  <si>
    <t>Pas le bon produit Je mets que une étoile parceque la photo ne correspond pas au produit. J ai passé une première commande et j ai pensé qu il y avait eu erreur . Mais en passant une deuxième commande je me suis aperçu que le vendeur a mis une mauvaise photo et que le produit n est pas celui qui est présenté.</t>
  </si>
  <si>
    <t>Son très plat Au premier abord, le casque est plutôt joli, mais gare aux traces de doigt avec le plastique brillant.  Une fois sur les oreilles, le casque est d’un confort absolument remarquable (circa, pour moi) et les bruits alentour plutôt bien atténués.  L’appairage avec mon iPhone s’est fait sans aucune difficulté.  Puis vient le moment du test sonore et là, c’est la déception. Le son n’a aucune profondeur, c’est plat. Même avec un equalizer, rien n’y fait, en bluetooth comme en filaire.  En bref, pour regarder un film ou une vidéo, pourquoi pas, d’autant plus que le casque est vraiment très confortable, mais surtout pas pour écouter de la musique.</t>
  </si>
  <si>
    <t>pull ananas Le pull est bien taillé ( j'ai pris un M). L'impression est parfaite. Seul bémol la matière , je m'attendais à plus chaud. La matière est un peu synthétique voir brillante.</t>
  </si>
  <si>
    <t>Conforme à la description Le produit est tout à fait conforme à la description et la livraison est rapide mais pour moi il vibre trop finalement. Le bruit est correcte, j'ai connu pire pour des vibrations moindres. Je pense que les fans de vitesse seront conquises. Je recommande le produit et le vendeur.</t>
  </si>
  <si>
    <t>très bon rapport qualité prix Très bon rapport qualité prix , avec des inscriptions en transparence qui disparaissent après la plastification pour bien se souvenir du sens d'insertion. Je n'ai mis que 4 étoiles car certaines pochettes contiennent les poussières qui collaient au plastique sont difficiles à enlever avant la plastification  j'ai dans ce cas mis le défaut dans le dos des fiches que j'ai plastifiées. Je suis quand même très satisfaite car le rebord du haut permet de positionner facilement le document et que les dimensions du pourtour sont parfaites pour avoir une plastification parfaite du document.</t>
  </si>
  <si>
    <t>Cadeau recommande Cadeau Très joli compatible bracelet PANDORA identique à la photo!!</t>
  </si>
  <si>
    <t>Tetine avent 2 trou Tetine  de bonne  qualité mais pour mon fils qui et au lait gallia anti régurgitation j'ai du lui prendre les 3 trou 3mois + alors quil na que 1 mois car le lait coulais trop doucement ce qui lenervais  beaucoup.</t>
  </si>
  <si>
    <t>Certain défauts.... Pour remplacer ma EPSON Stylus BW600FW dont le démontage était impossible pour nettoyer l'éponge encre. Impossible de régler les nuances encre directement. Panier à feuilles mal commode à sortir. Ecran tactil trop petit. Seul qualité: la rapidité de liaison WiFi. Conclusion: je me lance dans le nettoyage de l'EPSON patiemment.....</t>
  </si>
  <si>
    <t>Pantoufle hiver Bon produit bien chaud</t>
  </si>
  <si>
    <t>Bonne tetine Tétine conforme à la description</t>
  </si>
  <si>
    <t>Taille 1Petlt 37 limite 36 1 peu juste pour du 37. Pour moi c etait limite, il lirs que je fais 1 «&amp;nbsp;vrai&amp;nbsp;» 37 Mon neveu a eu besoin comme je le pensais de la taille au dessus.</t>
  </si>
  <si>
    <t>PARFAIT En lecture offerte ou en compréhension de texte, mes élèves de cycle 3 m'en redemandent, ils sont captivés par les aventures d'Hermès!</t>
  </si>
  <si>
    <t>Micro léger, résistant et de qualité supérieure ! La réputation de cette marque n'est plus à faire ! J'utilise ce micro intensivement pour des reportages depuis plusieurs mois et j'en suis extrêmement satisfait ! Il ne s'abime absolument pas même si il est transporté dans un sac en vrac ! Je conseille ce micro les yeux fermés car il possède un excellent rapport qualité prix !</t>
  </si>
  <si>
    <t>RAS Rien à signaler. Facile à assembler, il arrive en 3 parties.</t>
  </si>
  <si>
    <t>parfaite ! une 1ere pour moi adepte des crèmes cracra, elle est juste hyper agréable. pas d odeur, emballage soigné, pipette parfaite. Rien à dire. Quant à la peau: pores resserrés, peau lisse et lumineuse. huile non grasse. livraison parfaite aussi. je recommande et ne comprends pas pourquoi ce genre d huile n est pas plus mis en avant !</t>
  </si>
  <si>
    <t>Parfait Très bon rapport qualité prix :) Son pareille qu'avec mes anciens câbles audio donc au top.  En recevant la bobine je me suis dit "mince j'avais pas vue qu'il n'y avait pas de traceur pour le fil (noir/negatif)" mais au final il y a des inscriptions sur le câble (les caractéristiques du câble) toujours du même côté donc ça aide pour ne pas ce tromper sur les longues distances au lieu de prendre le multimètre et tester la continuité :)</t>
  </si>
  <si>
    <t>Parfait J'ai installé et utilisé le lecteur Blu-ray pendant quelques jours maintenant, cela fonctionne parfaitement. Bien sûr, il est important de vous rappeler que vous aurez besoin du logiciel approprié pour lire un disque Blu-ray. J'ai téléchargé le lecteur Blu-ray afin de le tester. jusqu’à présent, c’est excellent, le pilote était logique de fonctionner aussi. Un manuel ou un guide de l'utilisateur n'est pas nécessaire.</t>
  </si>
  <si>
    <t>cocinelle j'ai commander ce produit pour un bapteme. vraiment pas déçu. Livré dans une boite et j'ai eu en plus une paire de boucles d'oreilles offerte. Rien a dire de ce site. surtout bien emballé, ce qui est important.</t>
  </si>
  <si>
    <t>Super son je les adore Ce n est pas la première fois que je les commande le son est top le confier est optimal avec les protections silicones sur les écouteurs ils tiennent bien en place et les basses si t vraiment appréciables</t>
  </si>
  <si>
    <t>Super !! Après plusieurs mois d'utilisation en chaud ou froid, je suis extrêmement ravie de ces pochettes (j'en ai acheté 2). Elles ne me quittent plus que ce soit pour moi ou pour mes petits enfants : exemple boisson chaude que mon petit-fils boit dans ma voiture à la sortie de l'école !</t>
  </si>
  <si>
    <t>Pied micro Semble solide.</t>
  </si>
  <si>
    <t>montre fossil Très belle montre présentée dans une jolie boîte cadeau en fer spéciale noël mon fils l'a adorée. Elle est encore plus belle en vrai. Je recommande cet achat.</t>
  </si>
  <si>
    <t>J’adore!!! Les bons commentaires m’ont persuadés d’acheter ses baskets. Merci à toutes les personnes sérieuses qui commente. Ces baskets sont arrivées 15 jours après la commande et 10 jours avant la date prévue. Elles sont aussi belle que sur la photo et surtout on s’y sent comme dans des pantoufles!! Je m’en sers pour la salle de sport uniquement. Je suis RAVIE et vais en recommander une autre paire d’une couleur différente.</t>
  </si>
  <si>
    <t>effet breloque garantie A la réception, il me manque les attaches pour les boucles d'oreilles + la housse d'emballage. Il est clair que je ne m'attendais pas à recevoir une parure haut de gamme, mais pour le coup, cela fait vraiment "breloque". Je devais l'offrir pour la fête des mères en complément d'un bracelet commandé également sur le site (même effet), mais pense plutôt offrir autres choses car je vais avoir l'air ridicule.</t>
  </si>
  <si>
    <t>Desastreux Article super nul d'ailleurs je ne comprends pas les commentaires precedent c'est de la pacotille tres fragile ne se ferme pas tres deçu elles ont fini a la poubelle .</t>
  </si>
  <si>
    <t>Amazon vend des contrefaçon ??? Contrefaçon , achat inutile , odeur de papier brulé avec un parfum chimique</t>
  </si>
  <si>
    <t>En argent Plusieurs fois que je commande une chaîne en argent et bien qu'elles soient jolies je trouve qu'elles sont plus fines que l'aspect qu'elles donnent sur la photo. Elles sont très chouettes quand on est allergique aux autres métaux.</t>
  </si>
  <si>
    <t>Le rangement Pratique</t>
  </si>
  <si>
    <t>Excellent Excellent produit rapport qualité prix Appairage très simple Son parfait</t>
  </si>
  <si>
    <t>Confortable Pour marcher</t>
  </si>
  <si>
    <t>Pour se moucher doucement Premierement, je n'ai pas reçu un lot de 12 boites mais un lot de 3 boites. Largement suffisant pour tester le produit mais j'espère que les acheteurs recevront bien leur 12 boites... Ensuite les boites sont assez jolies, mieux que les sempiternelles mono couleur habituelles. On pourra donc les laisser trainer sans problème sur la table basse du séjour. Que dire des mouchoirs? ce sont des mouchoirs, assez doux, d'épaisseur suffisant pour ne pas vous rester dans les doigts même bien humides comme certains.</t>
  </si>
  <si>
    <t>pratique un peu déçu de la qualité, mais à ce prix là il ne fallait pas non plus que je reçoive un article en pur cuir .... Le rapport Qualité / prix est correct. La pochette est très pratique et les dimensions correspondent à celles que j'attendais.</t>
  </si>
  <si>
    <t>Beau produit Conforme aux attentes.</t>
  </si>
  <si>
    <t>Top Super contente. rien dire. Je ne peux évaluer la longévité mais pour l instant rien a envier a la marque. En espérant quelle dure longtemps.</t>
  </si>
  <si>
    <t>J aurais aimé avoir le mode d emploi en français  a part cela article impeccable Pour le bien être avec des huiles essentielles</t>
  </si>
  <si>
    <t>Toujours les bonnes tailles Balade</t>
  </si>
  <si>
    <t>Il est simple à utiliser Je l’utilise au bureau</t>
  </si>
  <si>
    <t>Parfait complet rapide et efficace Boite complete et de qualité chaque accessoire est utile pour le cuir et le daim. Petit defaut pas de notice en Francais mais je laisse 5 etoiles car Amazon a eu l’intelligence de faire la traduction directement sur le descriptif produit. Peut etre juste l’imprimer et le mettre dans le colis serait parfait ! Je recommande ce produit</t>
  </si>
  <si>
    <t>👍🏻 Super</t>
  </si>
  <si>
    <t>Parfait Tout simplement parfait. Convient parfaitement et se pose très facilement sur les téléphones Samsung J3 2016. Reçu très rapidement et en bon état.</t>
  </si>
  <si>
    <t>Cadeaux Bof</t>
  </si>
  <si>
    <t>Bien Très bon rapport qualité prix</t>
  </si>
  <si>
    <t>EXCELLENT POUR LA VILLE</t>
  </si>
  <si>
    <t>Casque au top Produit acheté pour mon fils de 4 ans, le son est de qualité et très facile à plier. On l'emporte partout dans son sac pour qu'il ecoute sa fabrique à histoire.</t>
  </si>
  <si>
    <t>Très bon rapport qualité/prix Paire de chaussure très confortable et légère</t>
  </si>
  <si>
    <t>Plaisir d offrir Ce collier avec cette jolie perle et trois strass sont très jolie Je le recommande pour faire un petit cadeau juste pour faire plaisir C est très jolie c est classique et le plaisir d offrir est bien la!</t>
  </si>
  <si>
    <t>Top Fonctionne bien Télécommande pour ne pas se baisser. Très agréable.</t>
  </si>
  <si>
    <t>pas solide Morte au bout de 3 mois pour une utilisation de chaussure de ville plus que de sport , elles ont craqué sur le coté et la semelle très usée. Mises en moyenne 2 jours pas semaine. Par contre niveau look, bien et confortable.</t>
  </si>
  <si>
    <t>Ne fonctionne pas correctement avec mon logiciel. En premier lieu, j'ai eu quelques difficultés à installer les drivers du câble (même si je suis en classe d'informatique). Après avoir réussi à installer les drivers et régler les paramètres du clavier dans mon logiciel (synthésia), celui-ci fonctionne MAIS me joue des notes aux hasards (grave) et bloque mes autres touches. Je ne recommande pas du tout (Synthesia prévient aussi d'éviter ce genre de produit, si seulement je l'avais vu avant). Pour ma toute première évaluation sur Amazon, c'est bien de partir avec une évaluation à une étoile !</t>
  </si>
  <si>
    <t>Attention à la rouille Les chaussures rouillent et de cassent au bout de quelques semaines et sont bonnes pour la poubelle.</t>
  </si>
  <si>
    <t>pas très confortable moins jolie que sur la photo, et pas très confortable, a ce prix vous pouvez trouver mieux</t>
  </si>
  <si>
    <t>Confortable Rollers et vélo elliptique, je pensais transpirer plus, laisse la peau douce, je n ai pas assez de recule pour dire si la cellulite est atténuée, a une odeur c'est clair mais après 2,3 lavages ça va, confortable.</t>
  </si>
  <si>
    <t>assez bon produit Article assez bonne qualité pour le prix, on verra à la durabilité dans le temps,  mais pour de l'amateur et faire des voix off dans des vidéos si on le laisse dans une position ou on est à l'aise sans à avoir à le manipuler toujours je pense qu'il durera, bref je recommande pour un amateur, professionnels passer votre chemin,  petit plus livraison mega super extra rapide bravo Amazon !!!!</t>
  </si>
  <si>
    <t>jolie dommage que la notice ne soit écrite qu'en anglais !!!!!!!! l'outil pour réduire le bracelet n'est pas simple d'utilisation, mieux vaut aller chez votre bijoutier pour ne pas abimer votre montre !!!va t elle etre résistante? l'avenir le dira !!!</t>
  </si>
  <si>
    <t>C'est du câble, et du bon ! Commande facile, bonne information du client de la part du vendeur. Prix raisonnable Ce câble correspond à ce que je cherchais, ni plus, ni moins. Bonne section avec conducteurs repérés. En conclusion, c'est un bon achat.  Seul petit regret, les vendeurs parlent allemand .....</t>
  </si>
  <si>
    <t>Très bon produit T-shirt à compression fin, souple et compression excellente. Pour les amateurs de la marque Under Amour, j'ai cependant le sentiment que la "qualité" a diminué sur ces produits HeatGear (tissu moins agréable à porter que les prédecesseurs)</t>
  </si>
  <si>
    <t>Souplesse et solidité. J'ai commandé ces chaussures pour remplacer une paire de la même marque portée plusieurs années et qui portait quelqes éraflures . Je chausse du 43 , j'ai choisi de commander du 43 , et elles sont exactement de la pointure qu'il fallait . Fabrication qui semble très soignée.</t>
  </si>
  <si>
    <t>Trés bien Couleur et taille correspondent à ma demande. Look sympa, comme d'habitude avec Converse. Livraison dans les temps, un peu plus d'une semaine mais plutôt rapide quand même.</t>
  </si>
  <si>
    <t>Livre pour une petite fille Ce livre a été l'objet d'un cadeau de noël. Bien que n'ayant pas avec moi cette enfant, j'ai pu remarquer que dès réception elle a pu commencer la lecture (ce n'est que sa première année d'apprentissage de la lecture !) Elle semblait très contente et je trouve cela très encourageant</t>
  </si>
  <si>
    <t>le produit correspond parfaitement à la description Le produit est conforme à la description. Il est très bien dessiné et semble de qualité. Son format n'est pas imposant et permet pourtant beaucoup de rangements grâce à de nombreuses pochettes pratiques. Une housse en tissu est offerte pour habiller le produit.</t>
  </si>
  <si>
    <t>pantalon de Jogging ce produit correspond parfaitement a mon attente ni trop grand ni trop long avec une hauteur de taille parfaite tres bon produit merci</t>
  </si>
  <si>
    <t>Veste de sport Je cherche une veste afin de couvrir dehors. Il commence d’avoir froid. Veste large jusqu’aux genoux . C’est aussi jolie lorsqu’on mit quotidiennement. Elle tient bien au chaud. Je l’aime bien.</t>
  </si>
  <si>
    <t>Très Satisfaisant J’ai testé ces écouteurs ce matin en vélo et c’est le top, plus de fils qui traine et le fait de pouvoir écouter de la musique facilement et sans être encombré est beaucoup plus agréable.écouteurs très design qui clignotent  quand on s’en sert et même quand ils sont en charge. La charge se fait direct dans la boute de rangement accompagné.</t>
  </si>
  <si>
    <t>Bon produit RAS</t>
  </si>
  <si>
    <t>Belle présentation Bonjour,  Ces petit biberons à dragées sont superbe, ils ont une bonne contenance, ont une taille parfaite, et la petite déçu est plutôt solide, le tout est très bien emballé ;-)</t>
  </si>
  <si>
    <t>RAS CONFORME A LA DESCRIPTION</t>
  </si>
  <si>
    <t>Bouilloire en verre White and Brown Génial enfin adieu le plastique et agréable la transparence du verre De pouvoir programmer la température c'est un plus et nettement plus agréable pour le thé Je recommande cet achat Pourtant petit problème à la livraison les barres des leds n'étaient pas complets, appel avec un collaborateur de chez Amazon et le jour même échange programmé et effectué sous 48h. Parfait</t>
  </si>
  <si>
    <t>Sacoche Produit conforme à la description, je suis surpris de la bonne qualité pour le prix Très content de mon achat et design sympas Je recommande</t>
  </si>
  <si>
    <t>Je recommande Joli pull moumouteux, matière légère à porter et qui tient chaud, et qui est très agréable à porter. Il taille bien. Et correspond à la couleur. Prendre deux tailles au dessus piur un effet large. Je recommande.</t>
  </si>
  <si>
    <t>Très joli biberon Très joli biberon. Je me le suis acheté et je ne le regrette pas, la prise en main est agréable, les dessins Winnie sont adorables, le fait qu’il soit jaune est original par rapport aux autres bleus et roses, très simple à nettoyer. Je recommande vivement. Je suis juste déçue du livreur qui a posé le colis au dessus de toutes les boîtes au lettres dans le hall de mon immeuble</t>
  </si>
  <si>
    <t>Une bouilloire appréciée C'était un cadeau. J'avais déjà offert 2 autres différents modèles de la marque. J'ai donc du recul : tout le monde est content. Ici l'esthétique, sans être "top design" ( j'ai hésité entre 4 ou 5 étoiles juste pour cela ), est très chouette et on perçoit la qualité . Les différentes températures parfaites pour chaque type de thé, infusions, café, soupes...Très appréciée. Répond parfaitement à l'usage, pratique, a priori durable, jolie, cinq étoiles.</t>
  </si>
  <si>
    <t>Trop chère pour une durée de vie bien trop courte Chaussures confortable. Mais après deux mois et demi d'utilisation, la semelle est déjà éclatée sous le talon et les rends inutilisable. Pour le prix, franchement déçu</t>
  </si>
  <si>
    <t>Très bon produit Génial</t>
  </si>
  <si>
    <t>Baisse constante de la qualité depuis les années 2000 Je met des docs depuis une 30aine d'années.  Depuis la délocalisation de la production en Asie, la qualité à été en baisse constante et une paire de chaussures qui tenait auparavant longtemps résiste à peine une année.  La semelle, en plastique "low cost" s'use très rapidement, le cuir fait vraiment "cheap" et ne prend pas la patine des cuirs d'antan.  Il n'y a plus d'Anglais que le nom.  La marque Solovair, fabricant historique pour Dc Martens semble produire une véritable alternative qui a su garder l'éthique du produit d'origine</t>
  </si>
  <si>
    <t>Tres fragile Belle chaussure mais   tres fragile pied droit inmetable semelle détériorée au bout 1semaine</t>
  </si>
  <si>
    <t>Bon rapport qualité prix Pour mes maux de dos une fois que j'ai très mal je le fait et sa va mieux je dot pas que sa va marcher une fois et plus de douleur mais quand jai mal sa senva</t>
  </si>
  <si>
    <t>Très bon son La qualité du son est très bonne, le positionnement dans les oreilles parfait, le produit est esthétique. Les bémol : batterie faible et petite pince pour fixer sur le col d'un t-shirt facile à perdre.</t>
  </si>
  <si>
    <t>Prendre sa taille pas plus Marche de ville.</t>
  </si>
  <si>
    <t>C’est bien pour la vie au bureau avec du thé varié Ce café-théâtre on dirait cafétéria, on peut faire du thé,café grains,comme café américain, thé fleur etc, c’Est bien pour mon bureau de la vie travail quotidien,surtout en hiver ou automne! Mais quand il est réchauffé un peu bruit,Comme chaudière du l’eau chaud, niveau qualité prix est bien, c’est pour ça je donne 4 étoile.</t>
  </si>
  <si>
    <t>Il de graisse bien J'emploie ce produit pour les tâches de cuisson</t>
  </si>
  <si>
    <t>Très bien Une paire de chaussures correspondant exactement à la description pour un prix battant toute concurrence. Un très bon et bel achat</t>
  </si>
  <si>
    <t>Très satisfait Excellent rapport qualité / prix</t>
  </si>
  <si>
    <t>Top! Super produit, chauffage ultra rapide du biberon sur secteur. En revanche vraiment très long sur l’allume cigare en voiture... Je recommande, très bon rapport qualité prix!</t>
  </si>
  <si>
    <t>Montre idéale à ce prix Montre classe, sobre et sportive, pour moi quand ces 3 éléments sont réuni on obtient une très belle montre, ce qui est le cas ici, en plus de son prix accessible à tous.</t>
  </si>
  <si>
    <t>Lettres de l'alphabet Commandé pour l'apprentissage des lettres et l'écriture de son prénom. Très bon rapport qualité prix.</t>
  </si>
  <si>
    <t>C’est du papier. C’est du papier!</t>
  </si>
  <si>
    <t>LE TOP DU TOP La pointure est parfaite. Le confort est top et surtout elle sont légères et ne font pas chaussures de sécurité. Le prix est correct. Je recommande sans hésitation</t>
  </si>
  <si>
    <t>Utile Très utile pour une utilisation journalière . Efficace . je conseille l'achat.</t>
  </si>
  <si>
    <t>Excellent produit, réponds à mon besoin Excellent produit, réponds à mon besoin (éclairage d'appoint dans un coin du salon)... me le suis fait "piquer" par ma fille qui l'a également beaucoup apprécié et l'a ramené chez elle ! Le seul petit "hic" , c'est pour l'éteindre , il faut appuyer plusieurs fois sur le bouton qui permet de choisir le niveau d'éclairage (il y en a 4) et en dernier pour éteindre la lampe.  Il est vrai que souvent elle ne s'éteint pas il qu'il faille refaire le  tour (4 appuis) pour enfin l'éteindre...  Ceci dit mon épouse y arrive presque du premier coup à l'éteindre. je recommande.</t>
  </si>
  <si>
    <t>Bien Très propre</t>
  </si>
  <si>
    <t>Qualité irréprochable. Pour les hommes actifs.</t>
  </si>
  <si>
    <t>Bouilloire 1,7 litre efficace, légère et belle ! Première bouilloire en inox pour moi. Bien plus légère que mes anciennes en plastique. Bonne prise en main par la poignée. Chauffage rapide et lumière bleue ludique. Seule petite remarque, le socle est un peu trop léger à mon gout et peut manquer un peu de stabilité pour accrocher la bouilloire dessus (mais ça ne pose pas vraiment de problème)</t>
  </si>
  <si>
    <t>cartouche d encre très satisfaite envoi rapide</t>
  </si>
  <si>
    <t>Vraiment top, super produit elle se porte très bien j'avais un peur pour la taille très bien proportionnée. Vraiment top, super produit elle se porte très bien j'avais un peur pour la taille très bien proportionnée et n'est pas trop grosse.</t>
  </si>
  <si>
    <t>Fabrication précaire Bien mais comme c’est en plastique, les odeurs sont conservées et amplifiées. Pas moyen de les laver</t>
  </si>
  <si>
    <t>maillot de compression ce sweet n'a rien de compressif,il est juste moulant!!!!  je suis donc déçu par cet achat et je ne le recommande pas</t>
  </si>
  <si>
    <t>Belle montre mais J ai déjà acheté le même modèle en bleu et j'avais mis 5 étoiles.mon commentaire concerne mon deuxième achat en vert vente flash. Il manque l outil pour régler le bracelet et la couronne à l'air moins bien ajustée. C'est pas très sérieux j ai l impression que la montre à déjà était livré à quelqu'un d autre qu'il y a eu un soucis et qu'on m'a refilé le bébé. Dans l attente d'une explication du vendeur. A par ça très jolie montre pour l instant ça fonctionne. Je l'ai posé à côté de la bleue on verra après 24 h si ça dure.  D avance merci.</t>
  </si>
  <si>
    <t>avis mitigé Le gros défaut selon moi, c'est un taille basse, et j'ai beaucoup de mal avec les tailles basses. Je m'en sers pour la danse et je dois régulièrement le remonter dans le dos ……. sinon, le tissu est très agréable, le dessin est sympathique…… pas discret, mais sympathique……. a part ce défaut, je l'adore</t>
  </si>
  <si>
    <t>Très bon produit très satisfait  quand même Difficile à installer sans appareil  car la partie en plastique à l'intérieur sort de son logement  et pas possible de le remettre . A faire monter par un professionnel.</t>
  </si>
  <si>
    <t>Pratique et efficace Cet aspirateur est spécialisé dans le nettoyage des acariens. J'aime les niveaux lumineux qui mesurent la propreté: lumière verte quand c'est ok, orange quand c'est pas top et rouge quand c'est mauvais. C'est pratique et ça permet de savoir quand s'arrêter.  Il supprime les acariens, les allergènes et les bactéries. Il est facile à utiliser et à nettoyer. Mon fils est allergique aux acariens et j'avoue que c'est bien pratique!</t>
  </si>
  <si>
    <t>Bon produit Bon produit, mode aube de qualité Seul bémol, Les sonneries "natures" vagues/oiseaux sont très artificielles Je recommande tout de même.</t>
  </si>
  <si>
    <t>Ça va Ça va</t>
  </si>
  <si>
    <t>Collier idéal J'ai commandé cet collier comme un cadeau. qualité est superbe, couleur aussi. Elle est vraiment faim, jolie. Vous trouverez pas mieux ailleurs.</t>
  </si>
  <si>
    <t>Montre super sympa La marche, j'aime tout  surtout la couleur "melon" très originale.</t>
  </si>
  <si>
    <t>Tout fonctionne Marqueurs qui fonctionnent bien une fois qu'on a compris comment faire descendre l'encre dans la pointe. J'en suis très satisfaite.</t>
  </si>
  <si>
    <t>Satisfaction Superbe mon fils est très content</t>
  </si>
  <si>
    <t>Fonctionne bien Cartouche d'origine Canon XL, reçue rapidement  et bien emballée. Aucun soucis de fonctionnement. J'ai toujours préféré prendre les cartouches d'origine de la marque pour éviter que les têtes d'impression se bouchent.</t>
  </si>
  <si>
    <t>Joli coffret à offrir pour une naissance 👶 Très joli coffret à offrir lors d’une naissance il comporte le nécessaire pour les premiers jours et +! À savoir : - 1 petit biberon 150ml avec tétine S pour nouveau né ou liquides fluides. Capuchon plat pour obturer le biberon et capuchon du biberon avec encoche pour ouverture facile à une main 🖐🏻 Décors petits cœurs 💕 - 1 grand biberon de 300ml avec tétines M pour les plus grands bébés ou lait artificiel (lait AR par exemple). Capuchon plat et capuchon biberon à encoche. Décor lapin 🐰 et cœurs 💕.  Sans BPA et conforme aux normes EN 14350 pour les biberons. Made in Germany 🇩🇪 Fabriqués en polypropylène, ils passent au lave vaisselle. Ne pas excéder 100 degrés de traitement.  - 2 tétines 0-6 mois avec anneau accompagnées de leur capuchon de protection bien appréciable pour les ranger. Décor petits cœurs 💕 pour l’une et lapin 🐰 rose pour l’autre. Conforme à la norme EN 14000 sur les tétines.  - 1 hochet de préhension papillon 🦋 rose. En polyester et polypropylène. Petit tintement de clochette 🔔. Ma fille en est fan ! 😍  Pour le prix (20€ à la rédaction de ce commentaire) c’est une SUPER idée cadeau dont tous les parents ont besoin à la naissance d’un bébé.  Petit + : présence sur la boîte d’une étiquette cadeau pré imprimée dorée  (cf : photo) où l’on peut remplir le prénom de l’enfant et celui de la personne qui a offert le coffret, pour les baby shower, c’est sympa 👍  Tout bon ☺️  Merci de m’avoir lue 👋</t>
  </si>
  <si>
    <t>Fonctionne très bien Garde bien la température, je l'utilise pour l'eau de mes biberons en déplacement. Bouchon très pratique pour verser le contenu.</t>
  </si>
  <si>
    <t>Bien Fait le boulot pour son prix</t>
  </si>
  <si>
    <t>Produit top Livraison rapide top</t>
  </si>
  <si>
    <t>Mouchoirs solides Mouchoirs agréables lors du mouchage. Prix très correct. Surtout si on prend l abonnement.  Rien à redire je garde l’abonnement.</t>
  </si>
  <si>
    <t>Vraiment satisfait Très belle montre, couleur noir, avec bracelet en métal réglable selon le poignet, elle est arrivée dans le temps, très bien emballée, tient bien au poignet et très pratique. un très bon rapport qualité prix, je suis très content, je recommande fortement ce produit.</t>
  </si>
  <si>
    <t>superbes chaussures confortables Chaussures confortables adaptées répondant parfaitement à l'annonce faite. Je recommande ce produit</t>
  </si>
  <si>
    <t>Très bon rapport qualité / prix Très bon rapport qualité/prix. Le format correspond parfaitement pour y glisser sa carte grise. J'y ai egalement rajouté mon permis de conduire et mon assurance.</t>
  </si>
  <si>
    <t>Belle montre CASIO Montre qui donne un bel effet à votre poignet. Agréable à porter. Toutes les infos sont bien lisible et petit plus la sonnerie erst couplée avec un vibreur !!! Pour les dur de la feuille plus d'excuse pour rater son réveil. Mais ce n'est pas une G-SHOCK, mais c'est bien une CASIO. Superbe montre. Pas de soucis.</t>
  </si>
  <si>
    <t>Exactement ce que je recherchais Cette montre correspond tout à fait à ce que je recherchais : élégante, minimaliste, légère, petit cadran et pas trop chère. Le produit est d'un excellent rapport qualité/prix. En effet, les finitions sont soignées et les matériaux de bonne qualité. J'ai du mal a comprendre les quelques commentaires disant que la vitre est en plastique ou la maille ratée car ce n'est pas le cas. La vitre est bien en verre et la maille sans défaut. L'ajustement de la montre se fait rapidement et facilement sur l'un des 16 crans possibles. Convient aux petits poignets comme le mien (sur la photo je suis au cran le plus petit).</t>
  </si>
  <si>
    <t>Trop volumineux Écouteurs très grands. Sensation de chaleur quasi immédiate. Je ne les ai pas gardés. Finition correcte. N’ai pas testé le son, la taille et le poids ont été rédhibitoires.</t>
  </si>
  <si>
    <t>Chaussette trouée dès la premiere utilisation Les chaussettes Budermmy ne sont pas renforcées sur le devant et se trouent dès la premiere utilisation. Pourtant jolies mais la qualité est décevante.</t>
  </si>
  <si>
    <t>Très mauvaise qualité Le scotch est très fin, transparent, si vous tirer un peu il casse, aucune utilité pour scotcher des cartons, conviendra uniquement pour scotcher une lettre</t>
  </si>
  <si>
    <t>Sympa mais fragile des coutures Design sympa, sac léger, peu encombrant avec néanmoins de la place. Le passage pour le port USB n'a pas trouvé son utilité chez moi (il me faudrait 3 câbles pour relier le téléphone à la batterie de secours...). Mais le gros souci c'est que le 1er jour d'utilisation, une lanière a lâché (voir photo) : mal cousue je pense.</t>
  </si>
  <si>
    <t>Produit conforme et livraison mega express Ras</t>
  </si>
  <si>
    <t>Jolie Un peu serré au niveau des lacets, mais sinon très jolies baskets</t>
  </si>
  <si>
    <t>satisfaite j'ai donné ces boucles d oreilles à ma directrice à l occasion de son anniversaire elle était très contente elle les trouve discrètes et jolies</t>
  </si>
  <si>
    <t>Ravie de mon Jade roller Ce roller de jade est de très bonne qualité. Bel emballage et envoi très rapide. Je le laisse au congélateur en permanence et il ne bouge pas.</t>
  </si>
  <si>
    <t>Très sympa Histoire très mignonne que mes filles de 4 et 7 ans ont beaucoup aimé! Nous allons même acheter d’autre livres de la série pour découvrir d’autre histoire de la petite poule !</t>
  </si>
  <si>
    <t>Très bien! Article livré très rapidement, commandé la veille et reçu le lendemain. Les rouleaux sont de bonne qualité et conformes à la description du vendeur. Bon rapport quaité-prix, c 'est parfait!</t>
  </si>
  <si>
    <t>Légèreté et confortable Très légères. Très confortables.  J'adore!! Je les recommande</t>
  </si>
  <si>
    <t>Parfait Parfait comme toujours, Je ne prend plus QUE des cartouche grande capacité parce quelles dur bien plus longtemps. Je change de cartouche une fois que l’imprimante n’arrive plus à imprimer en couleurs et non quand elle me dit des la changer, sinon vous perdez une 100ène de copie.</t>
  </si>
  <si>
    <t>belle facture véritables pierres de très bonne qualité, le bracelet tient bien au poignet et ne se casse pas apres des mois d'utilisation quotidienne, je recommande ce fournisseur j'en ai de trois autres pierres elles sont toutes vraies</t>
  </si>
  <si>
    <t>Bouilloire à température réglable dès 70 degrés &lt;div id="video-block-R197IOQ49AHCQH" class="a-section a-spacing-small a-spacing-top-mini video-block"&gt;&lt;/div&gt;&lt;input type="hidden" name="" value="https://images-eu.ssl-images-amazon.com/images/I/91iBCXbCDuS.mp4" class="video-url"&gt;&lt;input type="hidden" name="" value="https://images-eu.ssl-images-amazon.com/images/I/91P9q5rkF4S.png" class="video-slate-img-url"&gt;&amp;nbsp;Cette bouilloire est géniale ! Le produit correspond bien les images et la description. Je suis trop satisfaite de cette bouilloire. Je l'ai acheté pour remplacer la mienne qui était en plastique pour n'utiliser que du verre ! Une petite peur quand on a vu que la couche extérieure est du plastique mais elle est là pour ne pas se bruler les doigts et effectivement à l'intérieur c'est bel et bien du verre ! Il y a 3 mode de chauffage : - On allume sur le bouton ON et ça chauffe l'eau à 100° puis s'arrête toute seule - On allume sur le bouton ON puis sur le bouton KEEP WARM -&amp;gt; Chauffe l'eau à 100° puis se maintient à 90, 80 ou 70 ° comme demandé - On allume directement en appuyant sur KEEP WARM et l'eau chauffe directement à la température souhaitée. La LED bleue est très jolie, elle s'allume uniquement quand l'eau est en train de chauffer. En plus c'est de bonne qualité aussi. J'ai entendu dire que la bouilloire en verre est mieux que celle en plastique, même si la dernière est moins cher. Par contre, j'adore la lumière bleue quand elle marche!!! En générale c'est un achat très satisfait.</t>
  </si>
  <si>
    <t>Très bon rapport qualité/Prix Imprimant des photos couleurs qui me servent de modèle par la suite, sur des papiers photos brillants format A4, la qualité des couleurs est bien respectée, par contre le volume d'encre dans la cartouche ne me permet pas de faire beaucoup d'impressions.</t>
  </si>
  <si>
    <t>bouilloire électrique je suis très satisfaite de cet article qui correspond à mon attente , reçue samedi 24 novembre 2018 dans son emballage d'origine tout neuf sans défaut merci à bientôt</t>
  </si>
  <si>
    <t>Prévoir une voir deux pointures au dessus de la votre . (Taille petit) Ces chaussures sont très confortables et la semelle bien épaisse pour ne pas sentir les cailloux. Idéal pour la randonnée .Je ne suis pas déçu de mon achat et les recommandes pour les amoureux de la marche.</t>
  </si>
  <si>
    <t>Bon rapport qualité prix Commande en taille 42, mes pieds nagent un peu. Je pense que cela est dû au fait que les chaussures soient coquees au bout. Sinon très bon maintiens du pied et de la cheville.  Amis motards, il sera sûrement nécessaire de relever votre sélecteur de vitesse. Le bout de la chaussure est assez haut et large.</t>
  </si>
  <si>
    <t>chaussures Ils sont légères et ils me vont bien. Ils sont top.</t>
  </si>
  <si>
    <t>très beau pour la soirée J'ai regardé ce  produit  depuis peu de temps mais je suis fasciné par ça!  Le bracelet est très beau etchaque cristal brille . parfaitement noble, le port du poignet est très haut de gamme. En coopérant avec le  même style de collier,  il  a  attiré beaucoup des attention pendant la soirée  . Je l'adore!</t>
  </si>
  <si>
    <t>Les meilleurs du marché Je suis une grande fidèle de ces feutres là car je trouve qu'ils sont vraiment bien adaptés pour les adeptes du coloriage. Le corps du feutre est assez fin et la pointe est moyenne. J'aime beaucoup le nouveau système de blocage de la pointe, car les plus jeunes ont une fâcheuse tendance à appuyer trop fort et donc à rentrer la pointe du feutre ce qui le rend inutilisable. Le gros point fort des feutres Bic en général c'est son encre lavable! Quelle belle évolution même si le rouge a toujours plus de mal à partir que les autres couleurs. Les couleurs sont jolies et la durée de vie est moins courte je trouve pour ces feutres ci.</t>
  </si>
  <si>
    <t>On recommande Livraison m'égare rapide. Le rouleau une fois vide se jette dans les toilettes on soulage notre poubelle même s il paraît qu on pollue plus en faisant ainsi.</t>
  </si>
  <si>
    <t>Pas contente de cette cartouche Installée au bon compartiment, cette encre sensée être couleur me sort du noir, je ne comprends pas.Pourtant 541 XL c'est bien pour la couleur, je ne pense pas m'être trompée.</t>
  </si>
  <si>
    <t>Aucun intérêt Aucun intérêt, rien à voir avec les vrais patch baume du Tigre. Le patch est très fin donc quasi pas de produit à diffusé à la différence des vrais patch qui dure 12 heures et ou on ressent dès la pose la sensation de chaud. La zéro un vulgaire pansement avec une petite odeur de camphre très loin de ce que l'on annonce dans le descriptif.</t>
  </si>
  <si>
    <t>Abîmées Les chaussures sont déjà très abîmées au bout de 5 mois d'utilisation...</t>
  </si>
  <si>
    <t>câble semble costaud et conforme en longueur Livraison rapide, câble semble costaud et conforme en longueur , bien cablé en second ecran et un pc portable tout va bien.</t>
  </si>
  <si>
    <t>Bien Très bien mais chausse un peu petit</t>
  </si>
  <si>
    <t>Excellent produit mais pas la bonne couleur Bon produit. J'avais commander  une sacoche couleur "midnight" mais elle est arrivée chez moi en noir. Les dimensions  du produit sont surévaluées : il faut compter  3.5 cm d'épaisseur, 15 cm de largeur et 20 cm de longueur. Le produit à l'air de bonne qualité donc je le conseille.</t>
  </si>
  <si>
    <t>CONFORTABLE Très agréable à porter, peut-être un peu longue.</t>
  </si>
  <si>
    <t>Prix Ras. Pratique et leger</t>
  </si>
  <si>
    <t>Très fun et très confortable Très confortables et totalement adaptée aux chaussures de rando</t>
  </si>
  <si>
    <t>Bon produit, utilisé en déco Utilisé pour création de vase en complément de dentelle</t>
  </si>
  <si>
    <t>Des écouteurs sans fil au bon rapport qualité prix Ces écouteurs sans fil de marque UMI (une marque d’Amazon) sont proposés au prix de 50 euros ce jour, ce qui est idéal pour permettre à son ado d’être branché… car c’est devenu un véritable « must have »… Mais, pour en avoir fait l’expérience, les ados peuvent les perdre assez facilement, donc autant ne pas acheter du haut de gamme. La qualité est tout à fait correcte pour le prix, le son au téléphone est bon, pour la musique il manque de profondeur et de rondeur mais franchement, si ce casque est destiné à quelqu’un qui n’est pas spécialement mélomane, il fait le job, le son est tout à fait correct.  Le boitier rouge a un design sympa, il est petit et semble solide. Le principe : on recharge le boitier (mini câble micro usb fourni, mais pas le chargeur USB) et quand on y range les écouteurs (emplacement aimanté), ceux-ci sont alors rechargés (jusqu’à 3 charges complètes). J’apprécie qu’il y ait une indication du niveau de charge, c’est bien pratique. Chaque oreillette une fois complètement chargée tient entre 4 et 6 heures. C’est pas mal du tout !  Il est important de placer la bonne taille d’embout (il y en a trois), de façon à ce que les écouteurs tiennent bien dans l’oreille. Ils sont remarquablement légers et se font oublier. Ne sont pas douloureux pour les petites oreilles contrairement à d’autres qui sont pourtant plus chers, et je trouve qu’ils tiennent vraiment bien (ils ne sont pas tombés même après avoir couru avec). A noter qu’ils résistant à la transpiration et à la pluie.  L’appairage bluetooth est simple, il faut savoir qu’on peut utiliser un écouteur seul (très pratique dans la rue, dans les magasins… car on garde contact avec le monde extérieur) ou les deux écouteurs (c’est le mode binaural). Donc bien lire le mode d’emploi.  C’est la prise en main des commandes sur les écouteurs qui est un peu compliquée je trouve. Mais permet plein de choses : prendre un appel téléphonique et raccrocher, augmenter ou baisser le son, passer d’une plage musicale à une autre, mettre sur pause. Il faut quelques heures de pratique pour vraiment les prendre en main.  Voilà, en tout cas ces oreillettes sans fil, au prix de 50 euros, sont vraiment intéressantes.</t>
  </si>
  <si>
    <t>je le recommande Je recommande se produit, pour lavé le linge des Bébé car il réduit les risque d'allergie sur la peau du Bébé.</t>
  </si>
  <si>
    <t>adidas Original spezial J'ai acheté ces baskets car j'en avais marre des baskets dure à l'arrière surtout dure pour les mettre et celles ci sont super confortable et très joli, sa change des nouveaux modèles hi tech, celles ci sont super on croirait qu'on marche avec des chaussons. Je les recommande vraiment et en plus la couleur vert foncé est super joli.</t>
  </si>
  <si>
    <t>Simple d'utilisation Papier arrière prédécoupé.  Les enfants apprécient particulièrement pour leurs dessins qu'ils transforment en auto-collants. Super!</t>
  </si>
  <si>
    <t>Diffuseur simple et efficace Très bon produit j’en ai déjà deux de cette marque, le style est sympa et tellement discret .</t>
  </si>
  <si>
    <t>Ravi Ravi par la facilité d’utilisation de ce produit par son système de diffusion et par son ergonomie. J’utilise ce produit pour la diffusion d’huiles essentielles dans mon bureau. Le faite que ce dernier puisse être programmé pour une heure ou 3 heures, Je suis vous laisse le choix de déterminer le temps et la durée de diffusion de vos huiles. Je vous le recommande donc faites en bonne usage</t>
  </si>
  <si>
    <t>lait épaissi tétines numéro 2 achetées pour bébé de 2 mois qui boit du lait épaissi. Alors que les numéro 1 se bouchaient, plus de problème avec celles ci.</t>
  </si>
  <si>
    <t>très bon rapport qualité prix rien a dire</t>
  </si>
  <si>
    <t>Bouilloire électrique sans BPA Super bouilloire électrique contenant 1,7 litres. Très simple d'utilisation et le rapport qualité prix et vraiment correcte. De plus, elles est sans BPA, ce qui n'est pas le cas de tous les produits commercialisé, notamment à ce prix. Je recommande.</t>
  </si>
  <si>
    <t>Salomon 3D Superbe et confortable.</t>
  </si>
  <si>
    <t>INTERRESSANT Livre permettant une approche agréable du ciel et de l'espace .Livre a feuilleter et à lire  avec ses enfants ,belles photos et articles intéressants  Acheté pour des enfants de 7 et 8 ans  pour aborder leurs premiers pas vers cet univers si mystérieux</t>
  </si>
  <si>
    <t>Parfait Pack de cartouches d'encre conforme à la description, rien à redire sur la qualité et l’emballage, parfaitement adapté à l’imprimante de la même marque.</t>
  </si>
  <si>
    <t>Excellent choix Ce produit est design, simple et efficace. Il peut s assortir avec tout les styles d'intérieur. Agréablement surpris de la diffusion</t>
  </si>
  <si>
    <t>Cartouche HP Cartouche HP produit conforme</t>
  </si>
  <si>
    <t>Taille du bracelet Tour de poignet Cadeau acheté pour Saint Valentin J'ai de gros doutes quand à la taille Je ne suis pas certain que ce bracelet soiut assez grand pour une femme . La taille ferait plutot penser à un cadeau pour adolescente Le bracelet sera offert pour la St Valentin, je me réserve le droit de le retourner si la taille ne correspondait pas. Dans la fiche technique il n'y a aucunes précisions de taille</t>
  </si>
  <si>
    <t>Veste trop grande et retirer deux fois 83,99 euros sur mon compte La veste elle est trop grande il me faudrait du s mais vous m'avais retirer deux fois 83,99 euros</t>
  </si>
  <si>
    <t>24 au lieu de 30 cordons Reçu 24 cordons au lieu de 30</t>
  </si>
  <si>
    <t>Correctes, mais peu résistante Ces chaussettes ne durent pas plus d'un an ou deux. Elles finissent par avoir des trous à l'arrière ou en-dessous. Elles ont cependant l'avantage d'être plutôt agréable à porter.</t>
  </si>
  <si>
    <t>Qualité très moyenne pour le prix Un peu déçu de la qualité par rapport au prix. Métal et cable de qualité très moyenne. Fonctionne bien, je ne peut pas me prononcer de sa durabilité, j’espère que je me trompe.</t>
  </si>
  <si>
    <t>Jolis baskets Jolis baskets pour mon fils. Joli design et bon amorti. À voir avec le temps. Satisfaite de mon achat.</t>
  </si>
  <si>
    <t>Pas mal Super très doux je ne m’attendais pas à une aussi petit taille  fermoir impeccable. je recommande quand même A voir si sa ne le sert pas trop</t>
  </si>
  <si>
    <t>Taille Taille petit</t>
  </si>
  <si>
    <t>Bon produit Bon produit dans l'ensemble. Pas super stable mais suffisant pour mon usage</t>
  </si>
  <si>
    <t>Bon pour son prix. Produit acheté pour les déplacements. La réduction du bruit active, bien qu'elle amène un léger bruit blanc, est fonctionnelle et efficace pour effacer le grondement d'une voiture ou les basses des enceintes d'un home cinéma. Casque qui appuie sur la tête mais confortable, les coussinets enferment bien l'oreille et sont moelleux. Niveau sonore bon. La spatialisation est pas mal réduite avec l'ANC (réduction de bruit active), mais acceptable. Bonne batterie mais pas 30h d'autonomie. Recharge rapidement.</t>
  </si>
  <si>
    <t>Parfait Nikel ! Bonne taille. Mon fils,est ravis.</t>
  </si>
  <si>
    <t>Merci J’aime bien je suis content de mon achat</t>
  </si>
  <si>
    <t>Tres bonne qualité Utiliser pour affiches associatives excellente qualite rien à redire</t>
  </si>
  <si>
    <t>Pratique et sans fuite Contenir le lait maternel tiré : produit respectant le descriptif de l'annonce. Très pratique et aucune fuite à signaler. Je transporte les bouteilles dans un petit sac isotherme posé dans la poussette.</t>
  </si>
  <si>
    <t>bracelet pour Garmin en 26mm aussi bien que un original, à ce demander ci ça ne sort pas de la même usine</t>
  </si>
  <si>
    <t>Convenable Achat pour album souvenirs.  Plutôt sympa la possibilité de mettre des commentaires souvenirs.  Le bémol serait la fragilité du plastique sur les feuilles pour insérer les photos mais pour le prix c'est très correct</t>
  </si>
  <si>
    <t>Diffuseur très agréable et fonctionnel Comme beaucoup de monde cette année, j'ai craqué pour un diffuseur d'huiles essentielles. Celui-ci est conforme à la description, d'une belle contenance et d'une ligne plutôt réussie. Le débit de vapeur est soutenu et les arômes bien diffusés. Les couleurs sont soit changeantes soit fixes mais toujours très sympas au travers du couvercle translucide. Un prix imbattable et une livraison le lendemain de la commande, Amazon, c'est vraiment top pour se faire plaisir rapidement et à moindre coût!</t>
  </si>
  <si>
    <t>Superbe design Une magnifique bouilloire et originale Fonctionne très bien jusqu'à présent Possibilité de chauffer une grande quantité d'eau Après j'espère que le détartrage sera facile</t>
  </si>
  <si>
    <t>Bon produit Jolie pull</t>
  </si>
  <si>
    <t>Pas déçu Montre pratique et solide. Fonctionnalités au top. Envoi rapide et sûr.</t>
  </si>
  <si>
    <t>Très confortable Avec la baisse de temperature mes pieds sont contents d’être eu chaud dans ces pantoufles. Très confortable grâce à une semelle épaisse qui se moule à notre pied. Prenez une taille au dessus je fais un 41 j’ai pris du 42-43 et c’est parfait. Je vous les recommande</t>
  </si>
  <si>
    <t>Une lampe nomade qui a tout d'une fixe ! La lampe HF3430/01 est annoncée comme nomade dans le tableau comparatif de la page produit. Effectivement, elle se transporte très facilement et marche aussi bien sur secteur que sur batterie. Elle est très intuitive d'utilisation : on trouve sur le côté un bouton marche arrêt qui permet de verrouiller la lampe en position arrêt quand on la transporte (appui prolongé, on déverrouille de la même façon). Le niveau de batterie est indiqué par un rétro-éclairage sur la face avant de la lampe. De même, le temps d'exposition à la lampe est matérialisé par un indicateur lumineux.également sur le devant de la lampe. La lampe a 5 niveaux de lumière... elle éclaire vraiment très fort ! Je comprends qu'on ne recommande pas de s'en servir le soir ! Heureusement, cette lampe est réglable. Les niveaux les plus doux sont très agréables car ils n'éblouissent pas. Les niveaux de lumières les plus forts correspondent aux trois niveaux d'éclairage du modèle HF 3420. Ce sont les plus utiles dans le cadre d'une luminothérapie. La lampe est aussi puissante quand elle fonctionne sur batterie que quand elle est branchée et aussi puissante que le modèle HF 3420.  TROIS SEMAINES après mon premier commentaire : je suis fan de ma lampe ! Plus de réveil le matin au réveil (toujours difficile) sans m'exposer une dizaine de minutes au moins. L'éblouissement est devenu moins pénible et surtout, je suis efficace au travail toute la journée !!!  La lampe est livrée avec une petite housse pour le transport, c'est très bien pensé. La notice est complète et commence par expliquer les bienfaits de la luminothérapie et les moments où il est préférable de s'exposer selon les types de personne. Je l'utilise le matin: je pense que c'est quelque chose de bien pour les réveils difficiles. Enfin, j'ai la sensation de me lever alors qu'il fait grand jour !  Après comparaison avec la lampe 3420, je dirais que ça vaut la peine d'investir les 50€ supplémentaires de ce modèle si on voyage souvent (pour combattre l'effet jetlag ) ou bien si on a, comme moi, l'habitude de promener sa lampe avec soi. Pour une utilisation traditionnelle à un endroit fixe, je trouve que le modèle HF3420 est amplement suffisant.</t>
  </si>
  <si>
    <t>Idéal pour running Ma femme avait besoin de chaussettes pour faire du Running. Elle chausse du 37. Impeccable. Tres contente de la texture . Pas d’odeur.</t>
  </si>
  <si>
    <t>Une bonne plastifieuse polyvalente Reçue rapidement ma nouvelle plastifieuse j'avais hate de lui faire faire ses premiers posters en A3 pour décorer un peu mes murs de façon économique et c'est une réussite. Elle se met en chauffe rapidement, silencieuse, rapide. le résultat est à la hauteur de mes attentes. Il faut savoir que par exemple pour certaines nouvelles imprimantes comme les nouvelles Eco Tank de Epson, l'encre utilisée est à base d'eau et donc s'altère relativement vite sur les papiers photo si on ne les "stabilise" pas justement en les plastifiant. De cette façon on garde tous nos souvenirs intacts pour de longues années. La plastifieuse est donc un incontournable pour moi. Pleins de petits accessoires livrés avec que j'essaierai au fil du temps et surtout des pochettes en bonus pour bien démarrer. Satisfait, je recommande.</t>
  </si>
  <si>
    <t>Belle veste Parfait ! mon fils est ravi.</t>
  </si>
  <si>
    <t>Quelle taille...? Pas facile d’acheter sans essayer... je ne le ferai plus...</t>
  </si>
  <si>
    <t>déçu je n'ai pas de chance sur les 4 bagues que j'ai acheté en 2 mois, 2 on déjà perdues une pierre, ce qui est le cas pour cette bague qui  perdu la pierre d'un cœur.</t>
  </si>
  <si>
    <t>Très bon rapport qualité/prix Pour écouter des concerts sur you tube ou mes cours d italien. Avec un casque ça évite d entendre çe qui se passe autour. Dommage Ca ne marche pas avec ma tele. Trop ancienne!!!!</t>
  </si>
  <si>
    <t>attention au contrefort douleur au niveau du talon (ampoule ) car le contrefort remonte vraiment beaucoup dommage car se sont de belles chaussures</t>
  </si>
  <si>
    <t>Boulloire Très belle bouilloire, du plus belle effet dans la cuisine! Le prix est correct. Par contre pas cinq étoiles car elle n'est pas toujours très fiable au niveau de la température alors que je l'ai acheté en parti pour cela.</t>
  </si>
  <si>
    <t>Satisfaite dans l’ensemble Extra pour mélanger les biberons de lait épaissit en quelques secondes ! Seul bémol on passe 2 piles toutes les deux semaines je ne sais pas si c’est normal ou si c’est le modèle que l’on a qui a un problème, mais ne gêne pas son utilisation (c’ Just que ça reviens cher en piles !) Sinon assez long pour les biberons Avent natural plastique et tout pile en longueur pour la version verre trop court pour les biberons gbb Raymond en verre (n’attein pas le fond pour dissoudre les grumeaux de lait épaissit)</t>
  </si>
  <si>
    <t>bonne brassière de sport loisirs Confortable mais pas beaucoup de maintien. Pris en L pour un 40 c un peu grand pour le soutien. Ma aurait peut être suffit</t>
  </si>
  <si>
    <t>LA RECEPTION  DU COLIS  MERCI UN ARTICLE DE BONNE QUALITE</t>
  </si>
  <si>
    <t>Collier Je le trouve pas mal ce collier et son prix est correct mais court à porter. plus long, il serait plus beau.</t>
  </si>
  <si>
    <t>Cadeau génial Acheté pour ma fille qui a 5 ans, j’ai fait une heureuse. Connecté en Bluetooth à l’un de nos téléphones, nous avons droit à de magnifique représentation de la reine des neiges ! Le mode échos lui plaît également beaucoup.</t>
  </si>
  <si>
    <t>Celles qu'il me fallait Elles sont légères, sobres et la semelle est bien épaisse ! Je suis très contente de cet achat !!!</t>
  </si>
  <si>
    <t>J'ai les poils Ca faisait longtemps que je n'en avais pas acheté. Les prix affichés en magasin étaient dissuasifs. Jusqu'à ce que je consulte Amazon. J'ai longtemps hésité avant de les acheter et mon départ en vacances a fini de me décider. Elles sont aujourd'hui à mes pieds et je me sens un autre. Les Gazelle de Adidas vous transforment un homme.</t>
  </si>
  <si>
    <t>Le top! Ne cherchez plus Cool, c'est du solide, et la boucle est top! C'est le mieux que j'ai trouvé</t>
  </si>
  <si>
    <t>très fonctionnelle très belle bouilloire et super fonctionnelle différentes températures à disposition, c'est génial beau design Contrairement à bcp de commentaires lus, les 2 touches avec inscription en noir ne bougent absolument pas</t>
  </si>
  <si>
    <t>Jolie Pour la solidité avoir avec le temps</t>
  </si>
  <si>
    <t>Livraison rapide L'envoi a été rapide, le prix est intéressant. Je n'ai pas encore eu l'occasion de tester le produit . Si je suis satisfait,je recommanderais ce produit.</t>
  </si>
  <si>
    <t>Bon rapport qualité / prix, une bonne técommande J’ai acheté cette télécommande pour présenter une soutenance dans le cadre de mon cursus d’ingénieur. Elle est très simple d’utilisation et facile à mettre en place. À la base ce que je devais montrer avec le doigt, je le montrer avec le pointeur laser et ça fait vraiment une différence, plus besoin de se déplacer c’est top. Il y a pas mal d’options, elle peut déclencher le défilement automatique du diaporama par exemple. On peut aussi changer les pages, mettre en plein écran ou revenir à l’affichage standard. Le contenu de la boite : la télécommande laser, un manuel et la clé USB pour brancher sur l’ordi. PS : Le fait d’avoir la clé USB qui s’intègre dans la télécommande, c’est plutôt pas mal ça évite de la perdre et c’est pratique. Je peux que vous la recommander.</t>
  </si>
  <si>
    <t>Super Très beau collier, les détails sont magnifiques. Il est très fin et élégant. Je le trouve tout simplement magnifique. Reçu dans un joli boîtier avec une petite lingette pour le nettoyer. Je n'ose pas cependant le porter constamment car étant très fin, j'ai peur qu'il se casse.</t>
  </si>
  <si>
    <t>Super Livraison rapide merci je suis très satisfaite</t>
  </si>
  <si>
    <t>vraiment un très bon casque Mes oreillettes ayant rendu l'âme j'avais envie d'essayer un autre modèle et comme je voyais beaucoup de mes amis avec un casque j'ai décidé d'opter pour ce modèle qui me paraissait assez design et pas trop chère. Niveau confort c'est très correct car même si les cousin sont en genre de plastic c'est un plastic de bonne qualité dans lequel on ne transpire pas, le dessus de l'arceaux est aussi agréable pas comme certain modèle avec des barre en plastique rigide qui vous font mal au dessus du crane, ce modèle est très agréable a porter et est règlable pour les petites et les grosses têtes. Niveau qualité sonore c'est également plus que satisfaisant, les basses sont bien présente et l'immersion est pas mal du tout. L'insonorisation est bonne et les voisins n'entendent pas ce que vous ecouter lorsque vous êtes dans les transports en commun par exemple .. Pour ce qui est de la place il se replie tres tres facilement et peut pratiquement se glisser dans une poche .. En résumé je dirais que ce casque a vraiment un très bon rapport qualité prix et que je le recommanderais a mes amis si ils veulent un bon casque qui ne ruinera pas leur porte monnaie.</t>
  </si>
  <si>
    <t>Parfait Cartouche d'encre Canon de qualité et performante. Elle dure longtemps dans le temps et elle ne sèche pas même avec le voyant d'encre allumer elles peuvent encore imprimer au minimum 50 pages encore</t>
  </si>
  <si>
    <t>Très bonne saccoche C'est la bonne taille (on peut mettre une tablette dedans) et elle n'est pas trop grosse. Parfait. Manque une toute petite poche facile d'accès pour mon oreillette bluetooth</t>
  </si>
  <si>
    <t>Super Il est tout simplement super confortable et esthétique franchement pour le prix j en rachète ... super satisfaite et livraison rapide dans un plis epais</t>
  </si>
  <si>
    <t>Ce n est pas le vrai papier d Arménie Ce n est pas le vrai papier d Arménie</t>
  </si>
  <si>
    <t>Insatisfait Il n est pas assez chaud et de plus il est moletenez à la capiche</t>
  </si>
  <si>
    <t>Catastrophique Malgré un "débit lent" annoncé, bébé boit son biberon de lait maternel en une minute et demie, s'étrangle, s'étouffe et régurgite. Ensuite il refuse de prendre le sein et devient hystérique. Une catastrophe! PS: la tétine Calma fait le même effet. Très déçue des produits Medela.</t>
  </si>
  <si>
    <t>BOF pour le prix il ne fallait pas s'attendre a une merveille... son quasi  inaudible , meme avec l'alim phantom et la carte  son. j'avais pourtant acheté un micro similaire qui lui  fonctionne a merveille pour mon autre fils ...mieux vaut acheter un peu plus cher mais avoir quelque chose qui fonctionne correctement</t>
  </si>
  <si>
    <t>L'alarme est soit en mode sonore soit en mode vibration Sauf si je n'ai pas compris comment elle fonctionne (ce dont je doute), pas moyen d'avoir a la fois les alertes en sonore et en vibration, c'est soit l'un soit l'autre. Dommage car quand on dort la vibration n'est pas assez forte pour se faire reveiller. Avoir le sonore en plus pourrait aider.</t>
  </si>
  <si>
    <t>Basket de skate Produit résistant</t>
  </si>
  <si>
    <t>Très bon son et bon rapport qualité/prix Excellent produit et un look rétro qui me satisfait pleinement. Bon rapport qualité/prix. Le son me convient pleinement et il tient parfaitement lorsque l'on se penche.</t>
  </si>
  <si>
    <t>Parfait prend très peu de place seul défaut le fil !!! constructeur qu'attendez vous pour mettre une base mes boulloires lidl ont cela pour moins cher!! mais celle la pour le thé en voyage est bien c'est la seule sur le marché en inox</t>
  </si>
  <si>
    <t>Je recommande Bonne qualité mais les paillettes tombent un peu</t>
  </si>
  <si>
    <t>Absorbeur humidité petites pièces 10m2 Produit reçu 4 jours après la commande, très bien protégé. Déjà mis en fonctionnement dans ma chambre,  j’ai déjà de l’eau dans le réservoir dès le lendemain .  Facile d’utilisation. État impeccable du réservoir, pas la moindre brèche, et prix baissé. Merci .</t>
  </si>
  <si>
    <t>Adorable montre des 70' Une refabriquation vraiment dans l'esprit des 70', c'est le coup de coeur assuré à un prix imbattable. Reste à voir la durabilité de la montre, mais bon pour ce prix... Je recommande.</t>
  </si>
  <si>
    <t>Très bien, le fils les a gardées au pied, garantie que ça lui convient Pratique ces demies tailles pour avoir vraiment quelque chose d'adapté et là la taille indiquée correspond parfaitement. Par rapport au visuel, le gris ressort un peu plus comme un bleu gris à l'avant. L'ensemble est très sobre et confortable et c'est ce que mon fils recherchait. Ce sont des chaussures très légères et confortables qui passeront assez bien en tenue de ville également.</t>
  </si>
  <si>
    <t>Parfait Montre arrivée en parfait état, dans boite et avec étiquette Casio et un certificat de garantie. Ma deuxième montre casio, en remplacement de la première (identique) en parfait état de marche au bout de 7 ans d'utilisation régulière. Je recommande cet article et ce vendeur!</t>
  </si>
  <si>
    <t>Super ! Bon rapport qualité/prix pour ce casque PHILIPS. La couleur est parfaite pour une fille, il est réglable et le son est impeccable. Très satisfaite de cet achat. je le recommande !!</t>
  </si>
  <si>
    <t>100%comme la photo C'est totalement ceux à quoi je m'attendais je suis donc ravie et ma fille aussi surtout qui est une grande fan d'Harry Potter</t>
  </si>
  <si>
    <t>belle decouverte bonjour j'ai acheté ce produit sans conviction ,j'ai lu les commentaires, ils m'ont convaincus , ayant  des douleur musculaire dans les épaules c'est le produits idéal pour moi, je le met le soir 20 minutes a puissance 3 il y en a assez pour me soulager</t>
  </si>
  <si>
    <t>bel article merci</t>
  </si>
  <si>
    <t>Nike pent. Super merci . Bonne taille chaud, très bien pour l’hiver où même quand t’i fais frais...</t>
  </si>
  <si>
    <t>Cartouche d'encre original Produit reçu dans les délais et emballage ok,  La cartouche d'encre reçu correspond bien à une cartouche d'origine, d'une capacité suffisante pour un bon moment, dans mon cas plus d'un an, le rapport durée de vie / prix est très compétitif !  Je suis satisfait de mon achat,  Si vous avez des questions , n’hésitez pas !!!</t>
  </si>
  <si>
    <t>eau bouillante C'est un appareil très pratique, rapide dans l'obtention de l'eau bouillante, précis dans les degrés ... très satisfaisant aussi dans le design;</t>
  </si>
  <si>
    <t>super , rien à dire pour mon fils</t>
  </si>
  <si>
    <t>super !!! très bon produit, pas du tout lourd, taille très bien, bien montante, ce compare à une basquette de ville  !!!</t>
  </si>
  <si>
    <t>Un vrai delice à là marche Whaou topissime</t>
  </si>
  <si>
    <t>Deçu Ce n'est pas du cuir mais du plastique. Ils sont pas très confortable, ne s'adaptant pas au pied. C'est vraiment dommage.</t>
  </si>
  <si>
    <t>En rien de temps, l'intérieur des talons fait du bruit. Plus jamais je n'achèterai de GLOBE. Ce modèle m'a à jamais dégoûté de cette marque. A peine 15 jours plus tard, l'intérieur du talon s'est mis à faire du bruit quand je marche, et devenir vraiment inconfortable. Je me retrouve avec des chaussures neuves que je ne peux plus utiliser. Je vous les déconseille fortement, choisissez autre chose que ça.</t>
  </si>
  <si>
    <t>Je regrette mon achat Mauvaise qualité</t>
  </si>
  <si>
    <t>Bon casque d'entrée de gamme Article conforme à la description du vendeur. Pour les smartphones puisqu'il y a 1 micro intégré. Bonnes basses, les médiums sont clairs mais les aigus sont assez neutres. Donc, ne vous attendez pas à un casque au son HiFi mais à bon produit d'entrée de gamme.</t>
  </si>
  <si>
    <t>Asser bien Taille limite</t>
  </si>
  <si>
    <t>Trop large même pour des pieds déjà larges Un peu large, bien qu’en j’ai moi même les pieds larges, sinon ça va vraiment bien. Prenez votre taille habituelle</t>
  </si>
  <si>
    <t>Sûr et le réglage du son top Pas de stress une ballade tranquille sans rappel pour la batterie super relax</t>
  </si>
  <si>
    <t>Commande rapide Je fais un 36 /38 et au vu des commentaires, j'ai choisi de commander le pantalon en 40 ! Effectivement, il faut bien cette taille pour que l'article ressemble à la photo et ne boudine pas trop. Il peut très rapidement tailler petit. Le pantalon est assez chaud et agréable à porter. Même si je l'ai commandé en 40 et que de ce fait, la longueur des jambes soit beaucoup trop grande, je ne regrette pas cet achat (ni cette taille !!).</t>
  </si>
  <si>
    <t>Jolie boucles Jolie boucle d'oreille, elle sont pas très grosse, idéal pour les personnes qui cherche des boucles d'oreilles discrète et pas trop pendante. Je recommande</t>
  </si>
  <si>
    <t>Les yeux fermés. Je porte cette montre au quotidien depuis plusieurs mois, je ne peux lui faire aucun reproche ! Classe, robuste, précise et avec une bonne réserve de marche. A acheter les yeux fermés.</t>
  </si>
  <si>
    <t>HP304XL pour l'instant toujours satisfaite mais je l'ai installée il y a très peu de temps</t>
  </si>
  <si>
    <t>trés bien trés bien c'est ça que je voulais, je suis contente, c'est comme étai écris dans la description de la page de amazon</t>
  </si>
  <si>
    <t>Top Super tennis, très confortable, très jolie. Taille normal.</t>
  </si>
  <si>
    <t>Magnifique comme toutes les converses Sommes des accros des converses. En avons de plusieurs modèles et couleurs différentes. Ses montantes blanches vont absolument avec tout.</t>
  </si>
  <si>
    <t>Acheté pour sonoriser une assemblée générale d'une association Acheté pour sonoriser une assemblée générale d'une association. L'installation est très simple et pratique. Les micros sont très jolies et solides, le récepteur et parfait avec réglage de son pour chaque micro.</t>
  </si>
  <si>
    <t>... Cadeau très apprécié</t>
  </si>
  <si>
    <t>Très bonne pochette Très bonne pochette, solide, plusieurs poches, garantie 30 ans selon l'étiquette.</t>
  </si>
  <si>
    <t>Super produit On utilise ses biberons de la naissance de notre fille. On m’a jamais était déçu.</t>
  </si>
  <si>
    <t>Bon produit ! Trés bon rapport qualité prix ! Je recommande :) La notice est en anglais, mais ce n’est pas dérangeant !</t>
  </si>
  <si>
    <t>carte ok</t>
  </si>
  <si>
    <t>Très bien pour moi... Commandé le 2 Août et reçu le 4 Août 2018, converse cuir blanche assez sympa, je chausse du 43 et malgré les recommandations pour ces baskets qui taillent large j'ai finalement pris ma taille de peur qu'elles ne soient trop petites, et elles sont parfaites...en espérant qu'elles ne tiennent pas qu'un seul été....voilà voilou</t>
  </si>
  <si>
    <t>Tres bon produit je recommande Acheter pour le repas de mon fils que j'amène chez la nounou , très utile et très solide, aujourd'hui n'ayant plus cette utilité je l'ai détourné pour en faire un sac de médicaments pour enfant très pratique son cote isotherme permet de conserver les médicaments en toutes températures....</t>
  </si>
  <si>
    <t>Ne tient pas bien en place! Certes les protèges mamelons permettent une tétée moins douloureuse en cas de crevasses, mais il est préférable de ne pas les garder trop longtemps pour ne pas mettre en danger l'allaitement. Les embouts sont peut-être un peu trop hauts par rapport aux bouts de seins. Manque adhérence sur la peau, les embouts ont tendance à tourner dans tous les sens</t>
  </si>
  <si>
    <t>Je suis très dessus de mon achat La qualité n’est pas bonne</t>
  </si>
  <si>
    <t>Un peut déçu dans l’ensemble Le casque a une qualité de son irréprochable, cependant le casque est très gros et grand, pour moi qui ai une petite tête, c'est tout juste. De plus la qualité du micro reste a revoir, le son est très étouffé et le micro capte facilement les bruits de soufflements. Cela dis, le logiciel de Control du casque est très bien et l’autonomie du casque est bien aussi environ 8/10 heures.</t>
  </si>
  <si>
    <t>Top J'ai reçu le produit. Je n'ai pas eu droit à la belle pochette mentionnée dans d'autres commentaires, mais le produit reste un très bon produit pour le prix. Franchement on prend zéro risque à essayer à ce prix. Je le recommande vivement aux petites bourses.</t>
  </si>
  <si>
    <t>Conforme Très belles baskets...mode, très confortable,  des vrais chaussons.  J'adore.</t>
  </si>
  <si>
    <t>Bonne qualité Super joli</t>
  </si>
  <si>
    <t>Bon rapport qualité prix Produit utilisé à chaque machine</t>
  </si>
  <si>
    <t>Facile d'utilisation et beau style Récemment acheter mais très satisfait pour le moment, c'est un très bon produit.</t>
  </si>
  <si>
    <t>Excellent sac - Attention cependant à prendre en compte ses dimensions Ce sac est d'excellente qualité et très solide. Son organisation globale - nombre de poches, agencement intérieur - est très fonctionnelle. Le fait de pouvoir le porter aussi bien à main, qu'en bandoulière ou encore en sac à dos (non essayé) renforce le côté pratique.  J'ai pu en faire un usage professionnel d'emblée (un salon/exposition de plusieurs jours) : il s'est révélé des plus pratique. Cependant il ne faut pas perdre de vue ses limites liées à ses dimensions. Donc : - ne pas le surcharger au risque que tout soit entassé et que le sac ne soit plus du tout fonctionnel (j'ai lu un commentaire sur une bouteille de champagne ; je pense qu'il n'y avait pas beaucoup de dossiers dans le sac) ; - ne pas transporter un ordinateur portable au-delà de 13.3 pouces (sachant que le mien mesure 37x25). Sinon l'ordinateur ne rentrera pas dans le compartiment réservé et envahira totalement l'un des deux grands compartiments du sac ; - à titre indicatif, convient parfaitement à une grande tablette et deux grands catalogues de 3 cm d'épaisseur (soit 2), ce qui représente plusieurs dossiers et cahiers.</t>
  </si>
  <si>
    <t>Écouteurs au top Super produit. J'ai acheté ces écouteurs pour remplacer mes écouteurs filaires. On ne les sent presque pas une fois bien mis. Ils tiennent très bien, pas besoin de les replacer toutes les 30sec. La prise en main est simple et intuitive. La taille de la boite de transport/recharge est parfaite. Le son est très bien clair sans grésillements, les bruits sont bien atténués. Bref je recommande</t>
  </si>
  <si>
    <t>bobines thermique bobine thermique bien fini longueur plus grande que d autres me convient parfaitement pour traiter mes factures de clients je le recommande</t>
  </si>
  <si>
    <t>Excellent zippo Zippo authentique. Fonctionne très bien.</t>
  </si>
  <si>
    <t>Bon achat Achetés pour leurs effets en lithothérapie, je les ai reçus depuis peu mais j'ai l'impression de me sentir plus libre... Je ne les quitte plus. Très légers, ils ne gênent pas du tout, sont jolis et assez grand (J'ai un poignet assez large). Ne font pas camelote du tout !</t>
  </si>
  <si>
    <t>Bon investissement. Ces chaussures font à la fois habillées et sport, très bien pour la ville aussi, mais il faut quand même qu'il y ait un peu de neige ou de pluie ou une météo adaptée. L'aspect de surface est magnifique.</t>
  </si>
  <si>
    <t>des tetines ... Ma fille n'utilise que ces tétines, j'ai été bien contente d'en trouver sur amazon</t>
  </si>
  <si>
    <t>Excellent Acheter pour mon copain pour son anniversaire parfait taille bien bon prix envoyer dans la boite converse rien a dire.</t>
  </si>
  <si>
    <t>PARFAIT pour liaison micro HF.</t>
  </si>
  <si>
    <t>Prendre une pointure au dessus pour les pieds larges Très bon produit correspondant à mes attentes. Apparemment très résistante et plutôt confortable dans l'ensemble. Nécessite un peu d'entretien selon l'environnement. Très satisfait.</t>
  </si>
  <si>
    <t>Parfait tres chic Tres joli effet</t>
  </si>
  <si>
    <t>Excellente bouilloire Bouilloire de qualité, d’utilisation aisée. Le maintien de la température est très agréable et offre un confort insoupçonné</t>
  </si>
  <si>
    <t>pratique Ce trieur est très pratique,  permet d'organiser son travail et de classer par catégorie.  Solide et peu encombrant,  c'est un excellent rapport qualité prix.</t>
  </si>
  <si>
    <t>parfait les cartouches sont sûres et la définition d'impression parfaite, j'ai tenté les compatibles mais sans succès. alors retour aux produits de la marque même si le prix est prohibitif.</t>
  </si>
  <si>
    <t>Excellente Je l'utilise avec un support Blue Radius II et un micro Blue Yeti Blackout USB et c'est l'association parfaite. Très bon maintient du micro malgré son poids important, très facile à installer soit en bordure d'un bureau soit en perçant le bureau, tout est fourni à part la perceuse et le foret ;)</t>
  </si>
  <si>
    <t>déçu de la qualité Quand j'ai vu sur l'image on voit que le sac est bien plat et tiens droit , mais quand il arrivé dans le colis totalement écrasé il ne tenais même pas debout de plus mon ordi ne rentre pas dans le compartiment je suis vraiment déçu je ne recommande pas vraiment</t>
  </si>
  <si>
    <t>Moyen . Mais pas pour la précision. Utiliser pour peinture sur figurine. Les pinceaux sont trop souple et les brins ne reste pas ensemble . Au bout d’une utilisation il ce tienne plus . Un peut déçu ☹️</t>
  </si>
  <si>
    <t>FAIRE ATTENTION d'AUTHENTIFICATION !!! FAKE !</t>
  </si>
  <si>
    <t>valable six semaines? cela revient cher! j'utilise ce lot Rubson 1940376 Minifresh Sachet d'Absorbeur d'humidité 2 pièces 50 g Neutre pour assainir un placard contenant des affaires hors saison. ce placard n'est ouvert que 2 ou trois fois dans l'année et il n'est pas aéré. les affairs sentent parfois un peu le renfermé, mais là, ce n'est plus le cas. il n'y a pas de parfum pour masquer une quelconque odeur, mais juste des cristaux bien efficaces. par contre, devoir en changer toutes les six semaines et au prix affiché, ça n'est pas donné!</t>
  </si>
  <si>
    <t>A faire a son pied Prendre 1/2 pointure.chaussure à faire à son pied. Un peu serré, chauffe la plantées pied. Préférence aux kayano 19 ou 21- tissus et confort.</t>
  </si>
  <si>
    <t>Élégant fin Joli collier fin , élégant. Emballage sérieux et minutieux. Prix très avantageux. Je recommande ! !!😊</t>
  </si>
  <si>
    <t>Pas mal pour le sport l'été quand il fait chaud Matière légère un peu fine mais joli legging</t>
  </si>
  <si>
    <t>Conforme à description faite par le vendeur Conforme à description faite par le vendeur et la taille Havaianas Brasil est adapté à EU</t>
  </si>
  <si>
    <t>Excellent Plus besoin de percer, tout peut être maintenu gràce à ces bandes.</t>
  </si>
  <si>
    <t>conforme a mes attentes Parfaites</t>
  </si>
  <si>
    <t>Super super</t>
  </si>
  <si>
    <t>Le look est top J'adore le desing de ce diffuseur, le timer est très pratique,  il manque juste une batterie indépendante pour eviter de le laisser brancher en continue.</t>
  </si>
  <si>
    <t>Basket montante Je les utilise tous les jours je recommande et j'en recommanderais sûrement</t>
  </si>
  <si>
    <t>Tres bien Très bien bonne qualité</t>
  </si>
  <si>
    <t>Toujours aussi bien Voila plus d'un an que j'utilise la première brosse que j'avais acheté, je pourrais encore m'en servir car il y a juste quelques poils qui se sont affaissé mais pour une meilleure utilisation je préfère renouvelé. Bref, nickel !</t>
  </si>
  <si>
    <t>Bracelet homme Toute occasion.a porter nuit et jour</t>
  </si>
  <si>
    <t>Parfaites J'adore le rendu de ces chaussures que l'on ne voit pas sur tout le monde. Elles font très classes. A porter avec un pantalon, une robe, une jupe… Elles ont complètement trouvé leur place dans mon dressing. Je les recommande à 100 %.</t>
  </si>
  <si>
    <t>Un classique très sympathique J'ai acquis ce livre pour ma fille de 3 ans. Et je ne le regrette pas. Il permet de passer du bon temps avec elle, à expliquer, papoter, décrire, tout en apportant de la connaissance et de l'intérêt, suscitant de nouvelle questions à partir des réponses données. Les illustrations sont attractives. Je recommande.</t>
  </si>
  <si>
    <t>Parfait Doc martens authentique de bonne qualite. Acheter cet article sur amazon m’a permis d’economiser par rapport au prix en boutique. Cependant attention lorsque vous les portez pour les premieres fois il faut le temps de les faire!</t>
  </si>
  <si>
    <t>Bon produit Par contre, trop peu de chanvre pour 100 étiquettes mais bon produit tout de même</t>
  </si>
  <si>
    <t>Bonnes chaussettes Je fais du 44, elles me vont niquel à voir si elles tiennent après de nombreux lavages mais pour l'instant elles sont très bien ! Cependant je les trouve légèrement épaisses.</t>
  </si>
  <si>
    <t>Ras Correspond au descriptif</t>
  </si>
  <si>
    <t>Taille petit Je mets 2 à cause de la taille, mon fils mets du 29 et le 29-30 était trop petit....Attention donc à la taille</t>
  </si>
  <si>
    <t>Nul Il serre pas de tout nul</t>
  </si>
  <si>
    <t>Bonne qualité mais un peu long. Pour tous les jours, bonne coupe.</t>
  </si>
  <si>
    <t>Dommage ! Les chaussures sont bien mais ont été livrés en 38 au lieu de36.. Dommage ! et le retour pour ce produit n'est pas possible ... Je suis déçue.</t>
  </si>
  <si>
    <t>Envoi rapide et soigné Sac en cuir noir de très bon qualité. J'ai reçu très rapidement le colis. De nombreuses poches. Un peu plus petit que je ce que je pensais sinon rien à dire. Je recommande son achat. Excellent rapport qualité/prix</t>
  </si>
  <si>
    <t>Bien Joli bijou fantaisie sans prétention.</t>
  </si>
  <si>
    <t>Casquette homme Très bonne qualité des matières et coutures 1 étoile en moins car beaucoup plus foncé (bleu marine foncé) que sur la photo, dommage</t>
  </si>
  <si>
    <t>Enfin un bon produit 3ème achat en 6 semaines le premier inutilisable le levier de mise en marche sous la poignée s'est cassé, le deuxième retourné à cause du goût. Le troisième impeccable production d'eau chaude inodore contrairement. Bruit normal modéré. Point positif la double enveloppe, la température extérieure est raisonnable. Le point à améliorer est la visibilité du niveau de l'eau pour le remplissage. Bon achat.</t>
  </si>
  <si>
    <t>Juste parfaite J’adore</t>
  </si>
  <si>
    <t>Une aubaine Collier acheté pour la fête des mères. Je l'ai acheté lors des promos Flash pour 20€ au lieu de 110€. Toutefois, il vaut vraiment son prix de base. Si vous voulez faire plaisir à une femme de votre entourage : foncez !</t>
  </si>
  <si>
    <t>Confortables et belles finitions Colis arrivé rapidement et bien emballé.  J'ai pris une paire de 43 pour mon mari, sa pointure habituelle, elles lui vont impeccable.&amp;nbsp; La semelle est souple. Elles sont confortables comme des chaussons.  Très belle qualité.  La couleur bleue est éclatante. Bonnes finitions.  Rapport qualité prix EXCELLENT 😍</t>
  </si>
  <si>
    <t>Sabots de bonne qualité Acheté pour remplacer des modeles d'une marque sans nom, quelle différence, bon mantien du pied et confortable à porter, je les utilise dès que je peux.</t>
  </si>
  <si>
    <t>je recommande, tres bien pour la maison, tient bien. prendre 2 tailles au dessus, sinon parfait, on peut se permettre un panache de couleurs, vu le prix c est interessant</t>
  </si>
  <si>
    <t>Très satisfait Bon feutre avec marquage qui tiens bien</t>
  </si>
  <si>
    <t>Un classique toujours efficace Une montre indémodable, très lisible et solide. Pour le "waveceptor" il faut bien lire la notice pour mettre la montre en synchro forcée la première fois sur la zone "PAR" (Paris). Aussi s'assurer de son orientation en face d'une fenêtre (il faut, de préférence, que l'icône du satellite en bas droite soit au max). Après quelques minutes la synchro s'est correctement déroulée et tout fonctionne à la seconde prêt !</t>
  </si>
  <si>
    <t>vraiment top pour le prix J'ai acheté ce diffuseur pour le salon et ça me va très bien. L'opération est très simple. Le temps peut être sélectionné entre 1, 2 ou 3 heures mais peut être désactivé à tout moment. La bande lumineuse est également commutable séparément et attire l’oeil dans le noir. La force de la nébulisation peut également être réglée. Si le niveau d'eau est trop bas, le diffuseur s'éteint, ce qui était très important pour moi. Avec une taille de pièce d’environ 28 mètres carrés, cela crée un parfum d’ambiance agréable qui n’est pas envahissant, mais qui sent clairement. Le diffuseur est comme je l'imaginais et le prix est correct. Pouvez-vous le recommander!</t>
  </si>
  <si>
    <t>Super Fonctionne très bien</t>
  </si>
  <si>
    <t>j’aime toujours en vie</t>
  </si>
  <si>
    <t>Boule le lavage Commande reçu et conforme à la description, je les est utilisés pour le moment une seule j’en suis satisfaite. Je recommande ses 6 boules de forme  originales pour laver et battre le linge .</t>
  </si>
  <si>
    <t>Produits au top Alors je ne peux pas trop décrire l'expérience avec ce produit puisque je l'ai acheté en cadeau de Noël pour ma fille mais de ce qu'elles m'a dit cet article et très bien surtout pour apaiser vos douleurs et l'hiver ça réchauffe bien installé devant la télé après une journée de travail ça détend</t>
  </si>
  <si>
    <t>Basket agréable La coupe est bien, choix de la couleur idéal. Agréable à porter avec un jeans.</t>
  </si>
  <si>
    <t>Mi-chaussettes de bonne qualité Conformes à mes attentes, ces mi-chaussettes sont agréables à porter et ne glissent pas dans les baskets.</t>
  </si>
  <si>
    <t>Jolie et très douce Ma fille apprécie beaucoup cette veste fourrée à la fois douce et d’une jolie couleur. Nous sommes très satisfaites  de cet achat..,</t>
  </si>
  <si>
    <t>Excelent son Casque de trés bonne qualité. Le son est super, et il ne faut pas souvent le recharger.  Je recommande ce produit.</t>
  </si>
  <si>
    <t>Très bof Trop lourd... trop bruyant... et certaines pièces sont très difficiles à enlevées lors des changements  de tête... on s’arrache les doigts..! Peu d’effet sur une cellulite très incrustée</t>
  </si>
  <si>
    <t>Aucun effet Aucun effet pour assouplir le linge.</t>
  </si>
  <si>
    <t>Faible qualité Ne vaut pas plus... après une séance de sport il y a déjà "une filante" comme dans les bas nylon! Dommage car original comme tenue.</t>
  </si>
  <si>
    <t>Moyen Le prodiot fonctionne très bien une fois que l'on a trouvé une notice en Français.</t>
  </si>
  <si>
    <t>Bandeau Joli couleur mais un peu large pour fillette</t>
  </si>
  <si>
    <t>Parfait sur mon bureau, un seul bémol Cet ensemble au design mesh est du costaud et surtout il y a de quoi ranger pas mal de choses même grandes.  La partie centrale basse permet de ranger des post-it et d'autres éléments en plus. C'est le seul bémol: cette partie n'est pas droite, elle est mal fabriquée. Pour le reste aucun souci. La partie haute permet de poser les petits éléments avec un support amovible. Ensuite on a des deux côtés l'équivalent de 4 pots à crayons.  L'ensemble prend peu de place et permet d'être bien organisé.</t>
  </si>
  <si>
    <t>Parfait ! Me convient très bien pour mes colliers  faits avec les capsules Nespresso. Mieux que ces chaines qui noircissent au cou...</t>
  </si>
  <si>
    <t>Revoir les caoutchouc Il n'est pas antidérapant sa glisse énormément</t>
  </si>
  <si>
    <t>Bien Conforme à la description mais dommage qu'il ne soit pas précisé qu'il n'est pas possible de choisir une température de l'eau de façon très  précise.</t>
  </si>
  <si>
    <t>A revoir? Je les utilise pour écouter de la musique principalement. Les basses sont présentes sans exagération ou de dénaturation du son. Écouteurs plutôt "classiques" pas de mauvaises surprises en terme de son pour le prix. Néanmoins, 2 (gros) bémols : - les commandes ne sont pas compatibles avec mon portable (Asus Zenfone) - Problème de micro sur la PS4 : la personne entend tous les bruits environnants sauf ... Ma voix. Autant dire inutile sur PS4.  Est-ce un problème avec mes écouteurs ? Un réglage? Je ne pense pas.. Peut être mais ça m'étonnerait que le vendeur m'en expédie et je n'ai pas fais de récla</t>
  </si>
  <si>
    <t>Parfait pour offrir ! Comme toujours avec Avent, on a le gage d'acheter un article de qualité. Ceci sera parfait pour un cadeau de naissance.  Les biberons sont très bien, il  faut juste trouver la bonne inclinaison. Avec ces 3 biberons et la tétine, c'est un kit complet. Excellent rapport qualité / prix.</t>
  </si>
  <si>
    <t>Attention à la La pointure La qualité est au rdv me basant sur les commentaires j ai commander la pointure 37,5 taille trop grand.  J’ai aussi essayé le 36,5 la c est trop petit. Je vais tenter le 37. Sinon les couleurs sont fidèles aux photos (marron et la verte foncée)</t>
  </si>
  <si>
    <t>Facile à monter, léger, roulant... Parfait ! Reçu très vite. Facile à monter (avec une visseuse c'est moins long). Suffisamment solide. Les protections plastiques rentrent juste.</t>
  </si>
  <si>
    <t>Masseur C'est&amp;nbsp;très&amp;nbsp;bien&amp;nbsp;pour&amp;nbsp;le&amp;nbsp;moment,&amp;nbsp;mais&amp;nbsp;je&amp;nbsp;n'ai&amp;nbsp;pas&amp;nbsp;encore&amp;nbsp;vu&amp;nbsp;de&amp;nbsp;résultats&amp;nbsp;évidents.Je&amp;nbsp;l’utilise&amp;nbsp;souvent,&amp;nbsp;il&amp;nbsp;faut&amp;nbsp;avoir&amp;nbsp;le&amp;nbsp;courage&amp;nbsp;de&amp;nbsp;le&amp;nbsp;faire&amp;nbsp;tous&amp;nbsp;les&amp;nbsp;soirs,&amp;nbsp;je&amp;nbsp;pense&amp;nbsp;avoir&amp;nbsp;un&amp;nbsp;résultat.Je&amp;nbsp;vous&amp;nbsp;le&amp;nbsp;recommandeBon&amp;nbsp;massage&amp;nbsp;pour&amp;nbsp;tout&amp;nbsp;le&amp;nbsp;monde</t>
  </si>
  <si>
    <t>Convaincant J'avais déjà acheté une enceinte Bluetooth Kilburn de la marque dont je suis resté enchanté. Cette fois c'est le casque Marshall Mid qui m'a conquis par sa facilité d'emploi, connexion aisée et rapide, et surtout par la qualité de sa sonorité tout au long de la courbe des fréquences. Excellente portée/réception du Bluetooth,confortable à utiliser durant de longs moments et autonomie largement supérieure à la moyenne. Acheté pour ma fille je vais vite en commander un deuxième pour moi après avoir subi une expérience sonore peu convaincante avec le casque Cowin E7 (manque de discrimination des fréquences, bas médium omniprésent, fatigue auditive) . Je rajouterai que ce Marshall Mid est très bien construit pour une finition et un poids parfaits.</t>
  </si>
  <si>
    <t>Faire la transition vers le minimalisme avant c du zéro drop après c le top Running route, super! Taille comme il faut la chaussure fait corps avec le pied on se sent léger et pied nu le principe du minimalisme.</t>
  </si>
  <si>
    <t>Bon produit Taille un peu grand mais bon produit. La matière est agréable mais attire beaucoup les peluches et poils d animaux. Mais agréable à porter.</t>
  </si>
  <si>
    <t>Reveil lumiere Reveil simple d'utilisation, la notice reçu est bien expliqué et comporte plusieurs langues dont le français, le toucher est doux et les touches fonctionnent bien, elle comporte 1 alarme réveil qui allume la lampe progressivement sur 30min et 1 alarme coucher qui fait l'inverse (j'aime bien cette fonction quand je regarde des séries), la lumières est assez puissante pour réveiller si vous êtes dans le noir.</t>
  </si>
  <si>
    <t>Belle qualité et très utile pour préparer les biberons à la maison ou à l'extérieur Cette doseuse à poudre de lait est vraiment utile au quotidien, elle permet d'anticiper les préparations de biberons avec la bonne quantité de poudre de lait et  de gagner du temps lors de la préparation. Indispensable également lors des sorties avec bébé. La qualité est excellente, le plastique est solide et les éléments se vissent solidement entre eux. le risque que la poudre de lait se vide dans le sac à langer est très faible. Pour le prix demandé, j'en suis entièrement satisfait.</t>
  </si>
  <si>
    <t>BIEN bien</t>
  </si>
  <si>
    <t>Rien a redire produit conforme Produit conforme</t>
  </si>
  <si>
    <t>Qualité et longue durée Cartouche de grande qualité et avec une durée de vie conséquente</t>
  </si>
  <si>
    <t>belle bouilloire bouilloire solide  ; le support rond très pratique l'eau bout assez vite pt bémol = la longueur du fil électrique qq cms de plus seraient idéales pour moi</t>
  </si>
  <si>
    <t>bracelet Reçu rapidement dans une jolie boîte.IL brille de 1000 feux et la couleur argent est jolie;ça ne fait pas trop "mauvaise qualité".La taille n'est pas réglable,ce qui peut poser problème pour les gros poignets(ce n'est pas mon cas).</t>
  </si>
  <si>
    <t>Livraison rapide Très bien</t>
  </si>
  <si>
    <t>Nul. Ne brûle pas plus de 2 secondes.  Le papier s’éteint  presque immédiatement. Une minable copie</t>
  </si>
  <si>
    <t>contrefaçon Ce bracelet est une contrefaçon!  J'ai payé le même prix qu'un vrai acheté sur le site Pandora. Je suis extrêmement déçue. Le sigle ALE n'apparaît nulle part et il commence à changer de couleur progressivement,  bizarre pour de l'argent. ... Je suis décidée a déclarer cette contrefaçon parce qu'il m'a été vendu pour un Pandora,  alors que c'est un faux. Il y a tromperie sur la marchandise! !!!!</t>
  </si>
  <si>
    <t>Très déçu ! Au premier regard en déballant j'étais ravi, puis en y regardant de plus près une aiguille se promenait librement dans le cadran, question solidité j'ai de gros doutes, je l'ai renvoyée et été remboursé le jour même, pour cela bravo !</t>
  </si>
  <si>
    <t>Fait son job Perd un peu ses poils mais bon produit je recommande</t>
  </si>
  <si>
    <t>🐏PAPIER TOILETTE TROP CHER : BON PAPIER TOILETTE , MAXI FEUILLES ?? ELLES FONT 1 CM DE PLUS QUE LES PAPIERS TOILETTES BASIQUES , MAIS LES ROULEAUX SONT PLUS PETITS ET DONC MOINS DE FEUILLES 😣 ...C'EST UN BON PAPIER TOILETTE , MAIS QUI NE VAUT PAS SONT PRIX , QUE JE TROUVE EXCESSIVEMENT CHER PAR APPORT A D'AUTRES .BOF , BIEN SANS PLUS ET SURTOUT TROP CHER A MON GOÛT 😉 !!!!</t>
  </si>
  <si>
    <t>Pour faire du thé Très bien</t>
  </si>
  <si>
    <t>Un rapport qualité exemplaire . A porter tout les jours ,elle ne passe pas inaperçue ,toutefois je ne l'ai pas acheté pour cela,juste pour mon propre plaisir. Elle est plus foncée que sur la page de démonstration, dommage mais cela ne fait rien,je la garde car elle est très quand même .</t>
  </si>
  <si>
    <t>Petite bouilloire fonctionne à la perfection Petite bouilloire (contenance 1 L) qui fonctionne à la perfection (réglage de température fonctionne bien, l'eau bout rapidement). Seul bémol qui vaut une étoile en moins : un bip bip bip vous prévient que vous avez atteint la température désirée. On ne peut pas l'enlever, c'est dommage.</t>
  </si>
  <si>
    <t>Bien Bien pour grand tableau. Le côté aimanté est bien pratique.</t>
  </si>
  <si>
    <t>Top Biberon parfait pour ma fille</t>
  </si>
  <si>
    <t>Qualité Impecc</t>
  </si>
  <si>
    <t>joli design ce casque audio bluetooth est design. Il se plie facilement lorsqu'on ne s'en sert pas, se range facilement dans un sac à main. Je l'ai acheté pour écouter de la musique dans le bus. La qualité d'écoute est vraiment bonne vu le prix et on entend très peu les bruits extérieurs. Très facile à raccorder à un iphone par bluetooth. Un chargeur USB est fourni. un cable avec prise jack est inclus pour des écoutes filiaires. je suis contente de cet achat</t>
  </si>
  <si>
    <t>excellent Bonne qualite pour un prix defiant toute concurence.</t>
  </si>
  <si>
    <t>Très bon profuit Ce biberon est vraiment très pratique . On peut l'ouvrir et le fermer d'une seule main et il ne coule pas! Je recommande vivement ce produit</t>
  </si>
  <si>
    <t>Tres pratique on recommande! Super super pratique . Acheté sur les conseils d'autres jeunes parents qui l'avaient. Un peu d'eau 2 min au micro onde et le tour est joué ! On n'y mets pas que des biberons Avent et ça marche très bien. Jusqu'a 4 biberons démontés à la fois.</t>
  </si>
  <si>
    <t>Merci Stylé, léger, parfait pour les loisirs et les sorties fun, je vous le recommande.</t>
  </si>
  <si>
    <t>Parfait Très joli modèle pour ma fille de 6 ans qui les supporte très bien. Petit modèle, convient plus aux enfants</t>
  </si>
  <si>
    <t>Très bonnes pantoufles ! Ces pantoufles sont très confortables et élégantes ! Il faut bien lire les commentaires clients et ne pas hésiter à «&amp;nbsp;surtailler&amp;nbsp;» ! Je chausse du 43 et j’ai commandé du 45, et il n’aurait pas fallu moins !!!</t>
  </si>
  <si>
    <t>Supers chaussures J'avais des chaussures qui me faisait mal aux pieds depuis un certain temps, j'ai donc décider d'acheter celle-ci.  J'en suis hyper satisfait, elle sont très confortables et la taille correspond parfaitement.</t>
  </si>
  <si>
    <t>bien J'ai bien reçu les deux parrures de stylos, telles quelles étaient décrites dans l'annonce.Ne pouvez vous vous contenter de ce que l'on a envie de dire ?</t>
  </si>
  <si>
    <t>Solide, efficace et pas cher, c'est LINA que je préfère 😋 Bien et très pratique. Ayant des jumeaux, le produit à beaucoup été utilisé et est toujours utilisé à ce jour. Contrairement à d'autres, il résiste et semble comme neuf !</t>
  </si>
  <si>
    <t>Du sport sur un nuage... Chaussures très confortables grâce aux semelles internes.</t>
  </si>
  <si>
    <t>Confortables et ils tiennent en place ! Écouteurs Bluetooth de très bonne qualité avec un rendu musical bien meilleur que mes anciens écouteurs Bluetooth (bien plus chers). Autre point très positif, est que son utilisation est très simple. Je n'aime pas du tout cette nouvelle tendance de faire une surface tactile qu'on touche une fois sur deux par mégarde. Ici, c'est un simple bouton qui fait parfaitement son boulot ! Le boitier est de bonne facture, et résistant. Il permet également de charger les écouteurs qui ont cependant une très bonne autonomie. Je test en ce moment plusieurs écouteurs car j'ai souvent le souci qu'ils 'e tiennent pas en place dans mes oreilles, et bien ceux-ci sont pour l'instant les meilleurs.</t>
  </si>
  <si>
    <t>bon pour courir Il est plus confortable que n'importe quel autre casque, car il s'adapte parfaitement à la forme de l'oreille, pas seulement à un insert circulaire. Normalement, vous devez vous assurer qu'il existe toujours, car il est aussi léger qu'une plume, non, il ne semble jamais apparaître seul. Le son suffit à gérer mon bruit de fond pendant la journée. Excellent casque. Je vous dis que la qualité sonore est très bonne et l’apparence parfaite.</t>
  </si>
  <si>
    <t>Trop chaud Je cherchais une chaussure qui ne ne chauffe pas les pieds, loupé ! La description laissait entendre une aération, je n'en constate pas les effets. Ceci pour ceux qui ne craignent pas la chaleur, c'est une bonne chaussure.</t>
  </si>
  <si>
    <t>decu bonjour cartouche 350/351 acheter le 24/10/2016 pour en avoir d'avance , impossible de la faire fonctionner la 350 noir la machine ne veut pas la connecte heureusement j'avais l'autre . je ne commanderez plus de cartouche chez amazonne</t>
  </si>
  <si>
    <t>Ne pas acheter ce produit Ce n’est pas la qualité Casio .....</t>
  </si>
  <si>
    <t>Ne pas nettoyer a grande temperature J'avais commandé ses crocs,les 1er arrive était vraiment trop petite pour moi malgré la bonne pointure,passage par le retour Amazon et c'est ok. 2eme livraison donc et parfait ,pointure parfaite et crocs nickel. Passage au nettoyage un jour et là,le drame ,elles ont rétrécie au lavage. Bien obliger de les jeter,dommage Trouvez vous cela utile  ?  Cliquez sur utile</t>
  </si>
  <si>
    <t>Bon produit Ras</t>
  </si>
  <si>
    <t>Robe Robe souple et agréable à porter</t>
  </si>
  <si>
    <t>SUPERBE du plus bel effet ! Génial  Belle, efficace  elle fait de l'effet  !  Franchement foncez les amis vous ne serez pas décus !</t>
  </si>
  <si>
    <t>Bon produit mais basses absentes ! Écouteurs acheté pour notre fils de 11 ans. La qualité globale est bonne. Les plastiques sont de bonnes qualité, l’apparairage se fait facilement. Le hic c’est les basses, certes à ce tarif je ne m’attendais pas à du Bose mais les basses sont absentes (je parle de basse normale, pas de boom boom) et c’est dommage, en passant par un equaliseur sur le téléphone c’est un peu mieux.</t>
  </si>
  <si>
    <t>Bonne prise en bouche Parfait bébé ouvre bien la bouche et la matière est super douce et souple</t>
  </si>
  <si>
    <t>papier wc j'ai acheté ce produit suite a des allergies aux autres papier toilette je le recommande mes allergies disparaisse tres bon produit</t>
  </si>
  <si>
    <t>PAJI J'ai aimé ce pantalon .Reçu comme prévu</t>
  </si>
  <si>
    <t>Super, tres content Je suis un homme et c'est tres adapter pour le travail. Je travail en usine et personne ne ma crue sur le fait que ce sont bien des chaussures de travail. Mais comme le bout est en fer ils n'avais pas d'autre choix. Comme le dit les autres commentaire mes collègue on été très jaloux car les chaussures de travail des magasin ne sont pas aussi tranquille. Merci! Jai juste un petit problème mais ca cest mes pieds qui ne sont pas de la meme taille lun de lautre xD</t>
  </si>
  <si>
    <t>écologique écologique : un produit pour la planète qui est tout aussi efficace qu'un assouplissant classique et en  plus, il a une SUPER bonne odeur de fruit !</t>
  </si>
  <si>
    <t>Nike ! Très belle casquette.  Visière bien arrondie et profondeur de tête impeccable.  Le signe Nike est bien fait , il ressort bien en couleur métallique ! Le prix n'est pas très chère en plus alors pourquoi ce privé. Encore félicitations aux livreurs Amazon Logistique qui assure toujours toujours toujours !</t>
  </si>
  <si>
    <t>Bon article Très bien pour compléter un déguisement</t>
  </si>
  <si>
    <t>Objet correspondant à mes attentes. Ecoute musique pendant étude.</t>
  </si>
  <si>
    <t>A recommandé Super produit 👍👍a recommander</t>
  </si>
  <si>
    <t>c'est bien taille basse donc stable bec verseur le top pas une goutte a coté contrairement a celle achetée avant de marque m.......ex je recommande</t>
  </si>
  <si>
    <t>thermopro TP55 Hygromètre numérique pour Surveillance de l'air et de l'humidité Alors je me suis laissé tenté par ce ThermoPro TP65S Thermo-hygromètre parmi le masse et je franchement j'en suis super comptent du coup j'ai commandé le thermopro TP55 Hygromètre numérique pour Surveillance de l'air et de l'humidité et je pensais pouvoir le branché sur le boitier du TP65S du coup un peut déçus pour ca mais j'espère que sera possible par la suite ou cela ce trouve il y a un autre model que je n'ai pas vu qui ce connecte bref du coup j'ai repris un autre boiter TP65S et on verra dans le temps j'essayerai de laissé un commentaire complémentaire d'ici 1 mois ou 2</t>
  </si>
  <si>
    <t>boulloir elect Bonjour, La première je l'ai tenue 3 ans, séparé pour une fuite au bas de la poignée. Autrement très content du produit.</t>
  </si>
  <si>
    <t>Ecouteur bluetooth Super ecouteur bluetooth au top !! Je ne regrette vraiment pas mon achat très pratique par son utilisation simple . Le son est au top mode volume et pause directement sur les écouteurs. Le boitier sert de batterie externe vraiment très pratique . Je recommande ...</t>
  </si>
  <si>
    <t>Très bien Je l'ai acheté pour son prix tres correct mais surtout pour son look. A voir sa durée de vie, mais il est simple d'utilisation et il repond parfaitement a nos attentes.</t>
  </si>
  <si>
    <t>Très bien Très chaud et pris une taille au dessus de ma taille au lieu d un M pris L et bon qualité prix</t>
  </si>
  <si>
    <t>La taille C est grand pour du 34</t>
  </si>
  <si>
    <t>Très déçue Je l'ai commandé en voyant tous les bons commentaires mais j'en suis vraiment déçue. Il ne nettoie pas bien du tout. Le lait s'étale et reste dans le biberon avec un dépôt gras. Il ira à la poubelle.</t>
  </si>
  <si>
    <t>Dommage mais qualité top Ils sont beaux et de belle qualité mais ne fonctionne pas sur moi trop dommage</t>
  </si>
  <si>
    <t>Bien Ces cartouches sont au meilleur prix que j'ai trouvé sur le marché Elles sont sans mauvaise surprise car ce sont des cartouches CANON d'origine. Après, on ne va pas refaire le procès du prix des cartouches d'encre pour imprimantes</t>
  </si>
  <si>
    <t>Chaud mais gros ! Même en 37 ces bottes sont massives. Ensuite elles remplissent leur rôle : ne pas avoir froid aux pied à cheval, et ça vraiment, j'achète !</t>
  </si>
  <si>
    <t>Simple et confortable Confortable. Légère. Facile à utiliser malgré une légère odeur au début qui était un peu désagréable.</t>
  </si>
  <si>
    <t>Pour un réveil en douceur C'est une lampe qui vous ravira de prime abord, car vraiment visuellement elle est très bien finie. Ronde, blanche, douce, discrète elle s’adaptera dans n’importe quel style de décoration.  Le réglage est finalement assez intuitif et facile et le manuel ne sert finalement pas à grand chose, peut être à vous embrouiller...  Moi qui je ne suis pas du tout du matin… et pire encore carrément photophobe au réveil je crains les lumières vives qui me filent une bonne migraine pour la journée.  Je déjeune généralement dans le salon tout fermé, avec juste une petite lampe d’appoint, le temps que mes yeux d’habituent à la lumière et que je finisse par me réveiller totalement ce qui prend environ 35 minutes.  Autre point positif, l’intensité de la lumière de l’affichage de l’heure et des fonctions se règle aussi, ce qui est très appréciable pour ne pas avoir un point lumineux  qui vous tiendra éveillé toute la nuit comme sur tous les autres réveils électroniques…  La luminosité de lampe aussi se règle, entre 1 et 10, ce qui est très appréciable, d’autant plus qu’elle vous servira de petite lampe d’appoint.  Une demi-heure avant l’heure définie pour votre réveil, la lampe va s’allumer et s’éclairer petit à petit (dans la limite de votre préréglage), pour atteindre donc l’éclairage maximum, et là en plus le son que vous avez choisi commence à retentir.  J’ai choisi pour réveil le doux des chants des oiseaux, plus agréable pour moi que la radio, que les amateurs de musique au réveil apprécieront, bien qu'il n'y ait qu'une seule station...  Après une semaine d’essai, je ne me réveille pas plus en forme c’est certain, par contre j’émerge beaucoup plus rapidement de mon sommeil. La lumière du jour me paraît moins agressive, et j’ai vraiment constaté que j’étais réveillée plus rapidement qu’avec mon réveil classique, dans la  mesure où je n’ai pas eu besoin de rester calfeutrée dans le sombre pendant une bonne demi heure comme à mon habitude. Je suis moins sensible à la lumière le matin, car grâce à la lampe et à son éclairage qui augmente en douceur, la transition est plus douce.  Pour éteindre la lumière(ou pour l’allumer), il suffit d’appuyer, d’effleurer même le dessus de la lampe. Par contre pour couper le son du réveil, il faut aller appuyer sur le bouton d’alarme ce que je trouve dommage. J’aurais aimé que l’on coupe l’alarme d’un simple geste de la main comme pour éteindre.  Dommage aussi qu’il n’ait pas été prévu une alimentation de secours avec une pile car en cas de coupure nocturne, ne comptez plus dessus pour vous réveiller.  En bref, une alternative très sympathique au réveil tonitruant de votre téléphone portable. Une lumière douce qui augmente doucement et finit par vous réveiller avec en prime des joyeux gazouillements d’oiseaux, c’est vraiment appréciable.  Le cadeau parfait à faire ou à se faire.</t>
  </si>
  <si>
    <t>Une immersion total un  casque au son excellent et à l'immersion total mais avec une autonomie moyen un un pois qui peut peser à la longue.</t>
  </si>
  <si>
    <t>Je dis J ACHETE Bon voilà, je vous fais le topo, j'ai une très grosse hernie en L4L5 (la plus commune) mais qui me fait souffrir à en pleurer, donc hôpital infiltration (ça fait du bien 2 jours :-(.  ) Anti douleur (donc dans le gaz) et un amu à moi me dit tu as essayé le tapis champ de fleurs (merci Patrick) et voilà ce soir j ai essayé. Oh purée les 5 premières minutes sont une torture surtout que je l ai fait dos nu. Et après c'est 5 minutes une sensation de bien-être m envahi limite endormissement. Je demande de l aide piyr me relever (peur de la douleur) et la oh miracle ma douleur qui était la depuis 3 semaines "pfioute" (onomatopée) disparue, attention cela ne soigne pas mais soulage. L hernie est toujours là mais ne fait plus mal à court terme. Merci pour ce tapis merci pour ce bien-être.</t>
  </si>
  <si>
    <t>Très bon produits Très contente de mon achats je le recommande 👍</t>
  </si>
  <si>
    <t>Mon fils les adore Mon fils de 15 mois, aime dessiner et adore ces crayons, et maman aussi, car les traces s'en vont très bien au savon.</t>
  </si>
  <si>
    <t>To Top</t>
  </si>
  <si>
    <t>Nikel Bien</t>
  </si>
  <si>
    <t>Super rapport qualité-prix Le produit est conforme a sa description. Facile d'utilisation On ne peut pas se tromper sur le coter a imprimer grâce aux marque sur arrière. Je recommande</t>
  </si>
  <si>
    <t>Jolie bouilloire. Rapide. Efficace (parfois trop) Facile d’utilisation. Plutôt jolie. En revanche verser lentement sans trop pencher sinon ça ne coule pas ou moins vite. Ne pas mettre trop d’eau car même avec le niveau maximum ça a tendance à ressortir en jet. En mettre moins si c’est pour porter à ébullition, le niveau Max est ok si c’est pour des degrés intermédiaires.</t>
  </si>
  <si>
    <t>Bonnes chaussures de running Très confortables, taille une pointure en dessous. Semelles gel, bon amorti.</t>
  </si>
  <si>
    <t>Tres bien Solide</t>
  </si>
  <si>
    <t>Génial Ce livre et la série dont il est issu sont super !</t>
  </si>
  <si>
    <t>Compatibles Cartouches reconnaissables par l'imprimante. Première utilisation de cette marque, pas de problème pour le moment. Un petit conseil : ne jamais attendre le remplacement d'une cartouche lors ce que l'imprimante le demande sous risque d'obstruction de la buse d'impression par de l'encre séchée (jet d'encre).</t>
  </si>
  <si>
    <t>Chaussure Chaussure acheter pour mon mari pour notre mari est elle lui allait très bien elles sont bien adapter pour le prix pas déçu</t>
  </si>
  <si>
    <t>silence Voilà , parfait, ma femme est aux anges à un age certain ou un certain age ....!!! on  l ouie qui de vient dure !!   j etais obligé de monter le son de la TV à 70 alors que ma femme ecoute à 15...  là c est parfait ..  une astuce si vous avez une TV qui n a pas de prise Jack pour casque, et que vous etes en HDMI alors branchez le casque sur la prise casque de votre Box.  Je recommande ce casque</t>
  </si>
  <si>
    <t>Top Stylé ;)</t>
  </si>
  <si>
    <t>Pull Adidas Impeccable</t>
  </si>
  <si>
    <t>Pas du tout solide pour chantier!!!! Trois mois sur chantier,couture déchiré, semelles idem et lacets pas adaptés du tout se déchire, Chaussures bonne pour jardinier ou  garagiste.....</t>
  </si>
  <si>
    <t>Nul Je n'ai vraiment pas aimé ni le son ni le maintient pas mieux qu'un casque avec fil pour le prix....</t>
  </si>
  <si>
    <t>Rien mis à part que c’est des arnaqueurs Pour un cadeau</t>
  </si>
  <si>
    <t>pas si mixte que çà Elles sont très belles mais elles ne sont pas si mixtes que ça. je les ai renvoyées malgré une très belle qualité</t>
  </si>
  <si>
    <t>Taille grand Prendre une taille en dessous.. Je prends en général du 40 41 selon les chaussures et la le 40 et vraiment trop grand..</t>
  </si>
  <si>
    <t>Bien Prix</t>
  </si>
  <si>
    <t>joli très joli au poignet. le système de fermeture est bien fiable.</t>
  </si>
  <si>
    <t>Chaussures confortables Un peu grand en taille, mais confortables. Les semelles sont assez dures par rapport à d'autes modèles, mais les chaussures me plaisent beaucoup. Ravie de mon achat.</t>
  </si>
  <si>
    <t>Une belle sacoche à petit prix J'ai acheté ce produit principalement parce que je le trouvais beau.  A l'arrivée, aucune déception,le produit est parfaitement emballé et protégé.  Au niveau des matériaux, c'est principalement du pvc qui imite très bien le cuir. Les lanières sont elles en cuir. Il est du coup très facilement lavable..  A l'intérieur on trouvera plusieurs compartiments, un ordinateur 13" rentre sans problème. Quatre petites poches à l'intérieur ainsi qu'une à l'extérieur avec une fermeture éclair.  La sacoche est chic et sobre.  Attention tout de même à la fermeture éclair qui au fur et à mesure du temps peut devenir fragile.. c'est le seul point négatif de ce produit.</t>
  </si>
  <si>
    <t>Très jolie paire de Vans Très jolie paire de Vans Adapté aux pieds larges c'est important de le mentionner et surtout très stylé. Je recommande fortement.</t>
  </si>
  <si>
    <t>parfait Super, très jolie en rouge, fiable, dommage qu'il ne soit pas plus isoler car il est brûlant surtout quand les enfants veulent prendre leur pain,</t>
  </si>
  <si>
    <t>Qualité Je deconseille fortement pour les bebes qui continuent de teter a coté (base de tetine large qui emepeche la langue et la levre du bas de se positionner naturellement ) mais pour les bebes qui sont au lait tiré ou lait en poudre exclusif cest parfait Attention ces biberons sont plus larges que les biberons normaux mais la gamme en verre est vraiment de bonne qualitée et plus facile a nettoyer que ceux en plastique je trouve sans compter que le lait n’est pas «&amp;nbsp;contaminé&amp;nbsp;» par du produit plastique Il y a deux tetines de biberon debit 2 (a partir de 3 mois) et 3 tetines debit 1 Ces biberons sont fait pour tenir plusieurs années et je doute que ça se casse facilement vu l’eppaisseur du verre Mon bebe c’est tout de suite habitué  sans probleme Ayant vu quelques commentaires je signal que comme pour tous les biberons il ne faut pas visser trop fort la tetine au biberon pour eviter que la tetine ne vrille quand bebe boit</t>
  </si>
  <si>
    <t>Ne correspond pas à mon besoin. J’ai retourné cet article car j’ai finalement décidé d’utiliser 2 supports séparés pour mes écrans.</t>
  </si>
  <si>
    <t>Contente Très beau biberon ma fille l'a bien accepté</t>
  </si>
  <si>
    <t>Petit sac bandoulière Acheter pour mon mari pour y mettre son agenda, ses lunettes, son portefeuille, ses clefs, bref tout son petit bazar. Il en est très content. Bonne taille, toile solide, poches pratiques et bien adaptées. Simple et pratique.  ...</t>
  </si>
  <si>
    <t>Je recommande Mon Colis a été reçu dans la délais prévu, au départ bonne sensation de confort , doux et moelleux, avec le temps d’hiver arrive besoin un pantoufle à la maison même y chauffage dans la chambre je sentais aussi l’air froid au pieds. La semelle est bien épaisse et le tissu semble résistant. Bref, c'est vraiment l'idéal. Je recommande.</t>
  </si>
  <si>
    <t>Chaussures Parfaites taille et qualité</t>
  </si>
  <si>
    <t>excellent semainier Sur une seule page, la semaine est résumée tous les quarts d'heures. Pour les professions libérales, c'est extra. L'envoi est effectué sous carton rigide et on reçoit l'article en excellent état. Pour ma part il coutait 10 euros de moins que dans une librairie spécialisée. Pourquoi se priver quand la qualité rime avec un très bon prix.</t>
  </si>
  <si>
    <t>Très bon écouteurs Super contente, j'ai même été courir avec parfait, bonne tenue dans les oreilles. Le système de pause en appuyant sur l'écouteur est vraiment idéale je ne connaissais pas. Aucun problème pour connecter en bluethoot tout se fait super rapidement. J'adore le packaging.</t>
  </si>
  <si>
    <t>Super produit Je l'ai pris pour mon utilisation personnelle et je n'en suis pas du tout déçue.  Très bonne bouilloire et surtout non bruyante ce qui est agréable et avec une couleur qui s'allume quand on la met en charge</t>
  </si>
  <si>
    <t>Sac de qualité Coli reçu très rapidement et très bien emballé Très joli sac en bandouliere Bien plus grand que les autres sacs bandoulières Il reste léger, tendance et de qualité. Beaucoup de rangement, matière du tissu bien imperméable et bien epais très bonne tenu du sac et bien solide Je suis ravie de mon achat Je recommande vivement</t>
  </si>
  <si>
    <t>Très bien Très bon écouteurs,le son est très bien, livraison rapide et emballage soigné je suis satisfait.je pense que j'en recommanderais à l'avenir</t>
  </si>
  <si>
    <t>Pratique Écouteurs pratique vraiment bien pour faire du sport bonne tenue pour le run et l’haltérophilie.design plutôt sympa également</t>
  </si>
  <si>
    <t>je l'ai utilisée deux fois je l'ai reçue ce bour le bouton ne marche plus lorsqu'il est en bas la lumière ne s'allume plus et ne chauffe plus..Un défaut ? quelle est la solution .?</t>
  </si>
  <si>
    <t>Chaussures falche Taille trop grand et c'est des fausses...</t>
  </si>
  <si>
    <t>J'aime La chaine est très fine mais pour l'instant à l'air solide et de bonne qualité, pour le prix on ne peut pas attendre mieux, je conseille.</t>
  </si>
  <si>
    <t>Assez joli RAS</t>
  </si>
  <si>
    <t>Diffuseur J adore depuis que je l'ai je men sers tt les jours. Qd on a envie de se détendre ou pour mieux respirer.  Il est tres beaux etes lumière s qui change de couleurs tte seule</t>
  </si>
  <si>
    <t>conforme a la description reçu dans une petite pochette en velours. Ni trop lourd ni trop léger parfait même pour les débutants. je recommande vivement</t>
  </si>
  <si>
    <t>La Peau demeure ce qu'il y a de plus profond dans l'homme ... Le seul embarras avec ce casque provient vraiment du revêtement de ses hauts parleurs, qui est peu confortable, car produisant de la sueur sur le long terme. En fait, un casque légèrement plus enveloppant l'oreille, accompagné d'un tissu moins plastic, pourrait éventuellement produire une écoute plus agréable dans le temps. Reste que pour ce prix-là ... On en peut demander la lune !</t>
  </si>
  <si>
    <t>correct ce produit semble être quasiment équivalent à d'autres beaucoup plus chers</t>
  </si>
  <si>
    <t>Huile essentielle... essentielle Excellent produit à avoir dans sa pharmacie et en voyage</t>
  </si>
  <si>
    <t>Ne pas hésiter!! Confortable pour les orteils, bon amorti du talon, bonne accroche sur sol glissant (graisse), étanche, bref je vous la recommande!!!</t>
  </si>
  <si>
    <t>Son très sympa et équilibré J'ai acheté ce casque pour remplacer mon beats qui n'était pas sans fil  J'ai été agréablement surpris par le son équilibré et la bonne finition du casque J'ai bien aimé: - Le design, solide et épuré - La qualité générale du son (j'ai pour ma part ajusté l'égaliseur sur Spotify) - Le reducteur de bruit - La durée de la batterie (+ de 40H) - La boite de rangement et les différents cables - possibilité de brancher en direct via un cable jack Je recommande donc ce produit, idéal pour les transports en commun</t>
  </si>
  <si>
    <t>J'adore Taille parfaite intérieur doux et léger la coupe est nickel franchement j'achèterai chez vous merci beaucoup</t>
  </si>
  <si>
    <t>ninusun belle vie argent 925 aurore boréale je suis hyper contente de mon collier ma chaine ne jaunit pas et j adore l éclat de la pierre vraiment contente de mon achat !!!!</t>
  </si>
  <si>
    <t>Sweat à capuche taille correcte Produit conforme à la description, bon rapport qualité prix, très chaud et moelleux. J'adore et recommande</t>
  </si>
  <si>
    <t>Super Sac qui remplie parfaitement sont office. Le format rond est très pratique pour les biberons et purées de bébé</t>
  </si>
  <si>
    <t>Très bon produit. Ce pantalon est super, que ce soit pour le sport ou la vie de tous les jours. Il est léger et agréable. Il dispose en outre de plusieurs poches permettant d'y glisser mes clés, téléphone et papiers. Je recommande !</t>
  </si>
  <si>
    <t>Belle montre Tres bonne montre qui a l'air vraiment solide, reglage rapide, satisfait par cet achat, je recommande ce modele sans hesiter</t>
  </si>
  <si>
    <t>Efficace Très efficace J'avais même de la buée sur mes fenêtres maintenant plus rien. J'en ai pris trois pour plusieurs pièces de la maison</t>
  </si>
  <si>
    <t>Parfait pour le prix Rien à redire. Parfait pour le prix, livraison ok et n'est pas factice contrairement aux montres de ce prix. Possibilité de l'arrêter facilement, idéal pour la durée de vie du produit</t>
  </si>
  <si>
    <t>Coton solide Belle qualité taille normale</t>
  </si>
  <si>
    <t>Un bonne achat Très sympa comme pull conforme à la commande</t>
  </si>
  <si>
    <t>Toujours au top Une gshock solaire radio pilotée c'est tout simplement une montre indestructible qui ne tombe jamais en panne de pile et qui est toujours à l'heure. C'est ma deuxième sachant que la première vielle de dix ans est toujours en parfait état de marche mais j'ai simplement changé de style.</t>
  </si>
  <si>
    <t>Peinture La peinture à eau est facile à enlever à la machine quand l'enfant se tache. Mais la peinture ne tient pas sur la pâte à sel donc les enfants ont etait déçu de l'activité</t>
  </si>
  <si>
    <t>Bof Je l’utilise depuis quelques semaines et rien a part ce côté douloureux des pics  , aucun interêt, on a le dos rouge et chaud a part ça nada  , très déçu.</t>
  </si>
  <si>
    <t>Pas content Très joli mais très fragile, se casse au bout de 2 jours d'utilisation.</t>
  </si>
  <si>
    <t>Dommage J'ai mis cette note car nous avons reçu cette montre casseé, le barillet était tordu et cassé. Heureusement que nous avons inspecté la montre avant de l'emballer et l'offrir à noel, nous avons pu la reperer avant sinon bonjour la deception..  Je suis un peu deçu, mais sinon le reste était impéccable, bien emballée, arrivée dans les temps, le rendu est le même que sur les photos. Cest une très jolie montre.  Je ne regrette pas mon achat, juste la sueur froide que j'ai eu en ouvrant et en decouvrant l'anomalie. Et bien sur le temps perdu chez l'horloger. Manque de chance pour moi peut-etre..</t>
  </si>
  <si>
    <t>Bien La lumière pour la nuit n’est vraiment pas très forte mais autrement, c’est bien...</t>
  </si>
  <si>
    <t>Bracelet fantaisie Cadeau pour ma femme, très élégant et lourd niveau poids, c de l'argent, bonne idée de cadeau</t>
  </si>
  <si>
    <t>38.5 Le taille c'est vraiment juste.</t>
  </si>
  <si>
    <t>Une traduction en français est indispensable Explications en anglais seulement</t>
  </si>
  <si>
    <t>C’est bien Je reviens sur mon commentaire conviens à un bébé à partir de deux mois Utiliser dès son arrivée ma petite qui a 8 Jours a tous vomis le débit est trop rapide dangereux quoi dommage que j’ai jeter la boîte sinon je l’aurais renvoyer direct très très mécontente !!!!!</t>
  </si>
  <si>
    <t>Très contente Très bien penser à bien agiter le stylo pour qu’il fonctionne très agréable écrit bien comme un stylo sur une feuille</t>
  </si>
  <si>
    <t>super très bonne couleur surtout le rose envoie correct  &amp;amp;soigné je recommande se produit</t>
  </si>
  <si>
    <t>Pour se coucher agréablement ! Très confortable, facile à installer et à utiliser. On ne le sent presque pas sous le drap. Les 3 niveaux de température, réglables pour chaque côté, sont suffisants pour obtenir la chaleur optimale souhaitée. Ce sur-matelas est idéal pour se coucher dans un lit douillet, même si la pièce est glaciale.</t>
  </si>
  <si>
    <t>Entretien facile Facile à nettoyer. On a trouvé une façon pratique de ranger nos biberons sans qu'ils ne se gênent les uns des autres. Nos biberons anti coliques sont entièrement démontables en 6 pièces, donc avec d'autres égouttoirs à biberons, on n'arrivait pas à les faire tenir tous ensemble. Et en plus je le trouve super joli. Je recommande.</t>
  </si>
  <si>
    <t>Baume du tigre Le Baume nous "sauvé la vie !" dès que nous souffrons de migraines, de cervicalgies ou douleurs dorsales... C'est juste fabuleux !</t>
  </si>
  <si>
    <t>Splendide Comme toujours, fossile n'a rien à envier à Festina ou autres montres dites de luxe! Je n'ai pas eu à changer la pile en 3 ans et est toujours intacte ! Le bracelet a tenu contre la mer et l'eau de piscine ! Et en plus elle est magnifique</t>
  </si>
  <si>
    <t>Ecouteur Écouteur au top qualité de son vraiment pas  mal</t>
  </si>
  <si>
    <t>Confort et solide Super confortable et il grip bien dessous.</t>
  </si>
  <si>
    <t>Satisfait Très bien, je la porte souvent. Cependant le bracelet supporte mal l’eau et peut faire de petites auréoles.</t>
  </si>
  <si>
    <t>excellent article j'en ai acheté deux. ils remplissent parfaitement leur fonction. ils sont simple , sans fioritures inutiles et coûteuses. que demander de plus ?</t>
  </si>
  <si>
    <t>Bien Produit répondant aux attentes</t>
  </si>
  <si>
    <t>Surmatelas Chauffant blanc Je l'ai acheté pour les personnes âgées à la maison. Je vais  toujours faire confiance à cette marque. Le tissu est très bon. Ce n'est pas très dur. La température est régulée, la température est toujours stable, l'interrupteur est facile à utiliser pour les utilisateurs. Il chauffe rapidement et peut être automatiquement désactivé, très sécurisé.</t>
  </si>
  <si>
    <t>Parfait! Boucles de bonne qualité! En temps normal je ne supporte pas le toc, et la aucune réaction. Je les porte tous les jours, elles plaisent beaucoup même aux personnes qui ne connaissent pas BTS</t>
  </si>
  <si>
    <t>Taille grand Commandé en 38... trop grand mais la marque taille grand</t>
  </si>
  <si>
    <t>sympa produit sympa, léger et discret. qualité audio correct et connection bluetooth plutôt bonne. bonne autonomie. idéal pour le sport.</t>
  </si>
  <si>
    <t>Pantoufle Pantoufle La toile s arrache au niveau des coutures</t>
  </si>
  <si>
    <t>Qualité mensongère Ne réponds pas à mes attentes loin de là je l ai donc renvoyé</t>
  </si>
  <si>
    <t>Trop trop long Trop long</t>
  </si>
  <si>
    <t>Ras Pas commateire</t>
  </si>
  <si>
    <t>Déçue par l'aspect Prévu pour un cadeau, le bracelet est décevant. Les pierres de lave ont des irrégularités, voire des trous qui leur donnent un côté authentique dont on se passerait. Les autres pierres semblent fausses ou en tout cas, teintées. Je ne le recommanderais pas, encore moins pour un cadeau.</t>
  </si>
  <si>
    <t>Produit de qualité Produit de qualité, rendu des couleurs fidèle. Volume XL indispensable. Encre un peu trop chère.</t>
  </si>
  <si>
    <t>Super Le son et super il et agréable à porter</t>
  </si>
  <si>
    <t>Waow ! Etonnant ce micro ! La qualité est au rendez-vous et pas besoin d'une carte son ultra moderne. Tu branches, tu parles ! A associer avec un bon programme d'enregistrement et prendre le temps de faire des essais car il faut bien l'avoir en main, pour s'habituer au rendu et trouver la position et la façon la plus optimal d'employer l'engin. Important aussi acheter un anti-pop, c'est tout bonnement INDISPENSABLE. Veuillez aussi a enregistrer dans un endroit calme, il est sensible et capte facilement les sources indésirable ( par exemple j'ai du enlever l'horloge du mur, le tic tac s'entendait très fort.) et positionner le PC plus loin pour le bruit du ventilo.</t>
  </si>
  <si>
    <t>Bon casque, bien fini mais le son manque légèrement de clarté Bon casque, bien fini, agréable à porter. La réduction du bruit est bien meilleure que sur mon taotronics BH22. Au niveau du son, je trouve que par défaut il n'y a pas assez d'aigus, il y a un léger manque de clarté. Il faut le régler avec un égaliseur.</t>
  </si>
  <si>
    <t>Parfait Vraiment parfait je recommande à fond ! J'ai pris un M pour 1m76 - 77 kilos pour un gabari sportif et c'est niquel</t>
  </si>
  <si>
    <t>Super petit sac masculin Très satisfait de ce petit sac pratique, esthétique et de bonne qualité. Je le recommande car pas encombrant et contenant plus que le minimum dans des poches astucieusement aménagée</t>
  </si>
  <si>
    <t>Fantastique Le produit est d'excellent qualite. Je vous remercie</t>
  </si>
  <si>
    <t>Biberons efficaces / Kit presque complet Nous avions commandé d’abord un biberon seul (voir autre commentaire d’achat) et on a tellement apprécié la diminution de coliques et la facilité de nettoyage que nous avons commandé ce kit complet. Je suis juste un peu déçue que les grands biberons soient sans tétines, il aurait été bien d’en prévoir 4 avec le débit un peu plus important (taille 2) pour avoir un kit vraiment complet, vu que là il n’y a que 4 tétine taille 1.</t>
  </si>
  <si>
    <t>et la qualité du son est également très bonne. J'aime le design de ce casque, il est facile à porter et à plier, la couleur est simple et généreuse, et la qualité du son est également très bonne.</t>
  </si>
  <si>
    <t>qualité Le produit correspond à la description ,facile d'utilisation ,solide et bon rapport qualité-prix  . Je l'ai déjà acheté plusieurs fois.</t>
  </si>
  <si>
    <t>bonne coupe Bonne coupe slim, bonne qualité de tissus épais, bonne dégaine. Et pour le prix, je vais en recommander un autre. Je taille 29/30 en jean, j'ai prix un S. Nickel.</t>
  </si>
  <si>
    <t>Mon avis Qualité prix au Rdv</t>
  </si>
  <si>
    <t>Très beau Très beau</t>
  </si>
  <si>
    <t>Livraison Adapté</t>
  </si>
  <si>
    <t>Très bon article Exactement ce que je voulais au top</t>
  </si>
  <si>
    <t>Très content de mon achat. J'ai acheté 2 pantalons de jogging et ce sweat,je n'ai pas encore effectué de lavage,mais tout correspond et semble excellent. Livraison rapide et très bon rapport qualité/prix.Je continuerai à acheter chez ce vendeur.</t>
  </si>
  <si>
    <t>Bien Offert pour porter furets, cela convient tout à fait.Ils adorent dormir dedans et jouer avec pompons  Attention pour taille bien prendre 1 voir 2 tailles au dessus car cela taille très petit Top pour petit animal</t>
  </si>
  <si>
    <t>Belles Baskets Superbe ! Basket super confortable. Taille adaptée et de bonne qualité. Très contente de mon achat!</t>
  </si>
  <si>
    <t>Bien ! Bien ! Mélange des plusieurs métaux à l’interieur apparemment.</t>
  </si>
  <si>
    <t>Belle saccoche Belle Sacoche noire de taille moyenne aux finitions soignées. Elle est vendue  avec une housse de protection utile pour l  offrir ou la ranger</t>
  </si>
  <si>
    <t>qualité dommage la qualité du papier est médiocre,  l'impression s'efface rapidement</t>
  </si>
  <si>
    <t>C’est un faux Under Armour S’il s’agit d’une copie d’un vrai Under Armour. L’article n’est pas un vrai. Ne surtout pas acheter cet article.</t>
  </si>
  <si>
    <t>C'est une horreur.... Trop grand, pas assez long, et en plus il a rétréci au lavage !  Je m'en sers lorsque je fais des travaux.... La couleur est une abomination</t>
  </si>
  <si>
    <t>Peu mieux faire Très bien mais plusieurs boites endommagées, dommage!</t>
  </si>
  <si>
    <t>Bof Pas si efficace que ça. Je pensais trouver un impermeabilisant haut de gamme mais il ne fait pas le poids face aux impermeabilisants présents dans les magasins spécialisés.</t>
  </si>
  <si>
    <t>sympa ! La forme est correcte et la couleur est conforme à celle vue sur le site. Article peu cher mais qui vaut le coup !</t>
  </si>
  <si>
    <t>Tres sympa Tres sympa, je suis sure que ca va plaire a mon compagnon. A la fois decontracté, sport et pratique au quotidien</t>
  </si>
  <si>
    <t>Bien Bon produit conforme à la description</t>
  </si>
  <si>
    <t>Livraison Rapide Ras conforme à la description</t>
  </si>
  <si>
    <t>super ce pull taille très bien j'ai pris du xl/xx/ et je fais habituellement du 46/48. La coupe est sympa, la différence derrière devant est originale, je vais surement commander le même pour ma fille. envoi rapide et sérieux</t>
  </si>
  <si>
    <t>Très belle montre Cette montre mérite 5 étoiles, navigation facile grâce à la molette, design superbe éclairage suffisant si réglé sur 3 secondes. Un achat non regretté, une G-SHOCK dans toute sa splendeur</t>
  </si>
  <si>
    <t>C'est sûre, c'est un shure ! Super ! Le micro est génial.</t>
  </si>
  <si>
    <t>Tip Top Qualité superbe ! Reçu 3 jours en avance, correspond tout à fait à la commande. L'élastique à la taille est peut être un tout petit peu large, mais bon c'est une taille unique et je fais du (S,36)</t>
  </si>
  <si>
    <t>photo qui correspond bien au produit. Bonjour , Je suis ravie, produit arrivé rapidement , pointure 36 parfaite, belles chaussures et très confortable, talon parfait et photo qui correspond bien au produit .</t>
  </si>
  <si>
    <t>C'est clairement ce que j'attendais Le casque n'est certes pas des plus confortable et ne ressemble pas au design des derniers casques sur le marché. Néanmoins, on s'y fait assez bien quand on voit comment c'est robuste, que le son est très correct et qu'on peut l'emmener partout on oublie tout ça. Je continue. On peut aisément le resserrer pour qu'il tienne. Oui, il reste toujours sur les oreilles et c'est un point très positif comme quelque peu négatif puisque le casque force un peu sur les oreilles si les anses sont trop serrés. Enfin, je dirais que l'adaptateur jack (le gros calibre) intégré m'a quelque peu surpris au début. Je n'ai peu être pas assez lu mais je n'ai pas su tout de suite que cela se retirait en le dévissant. Je le recommande fortement à ceux qui en ont assez des casques qui ne tiennent pas sur les oreilles, qui ne résistent pas aux sons bien puissants.</t>
  </si>
  <si>
    <t>Tres bon achat! Très chouette bouquin! Il a beaucoup plu à ma fille qui adore dessiner... Livre drôle, ludique et quelques stickers fournis</t>
  </si>
  <si>
    <t>Vendeur serieux Parfait et bon rapport qualite prix</t>
  </si>
  <si>
    <t>bonne montre assez pratique pour les vacances. ce qui est un peu plus complexe c'est le réglage de la montre sinon c'est un vrai plaisir</t>
  </si>
  <si>
    <t>J’ad Très jolie comme sur l’image, rend très bien au poignet.</t>
  </si>
  <si>
    <t>Facile utilisation ; bon prix ; bonne qualité Utilisation pour les petits pots et biberons Simple d'utilisation ; rapide Mais je me suis reprise à 3 fois environ pour que le petits pots qui sort su frigo soit à température tiède.. ne pas hésiter à mettre plus d'eau que indiquer sur la boîte.  Bonne qualité bon prix Je recommande vraiment.</t>
  </si>
  <si>
    <t>Ecouteur sa Pas beaucoup de recul pour l'instant mais correspond à mes attentes</t>
  </si>
  <si>
    <t>Excellent produit avec un bon son Au quotidien ,bonne qualités de son et de matériaux coloris originaux, Ce casque est parfait pour le sport, les écouteurs maintiennent parfaitement dans les oreilles et le son est de très bonne qualité.</t>
  </si>
  <si>
    <t>Superbe Parfait tel que décrit entièrement satisfait a recommander</t>
  </si>
  <si>
    <t>Bonne qualité et taille comme prévu Acheté pour moi il taille parfaitement et est de bonne qualité. Livraison rapide.</t>
  </si>
  <si>
    <t>Superstar adidas La partie avant de la chaussure se sépare des côtés, faisant un espace. Défaut?</t>
  </si>
  <si>
    <t>mauvais produit très mauvais produit. une des œillets des lacets a sauté au bout de deux jours. elles ne sont pas étanches  très déçu de ce produit</t>
  </si>
  <si>
    <t>Montre defectueuse La montre ne fonctionne plus après 1 mois d utilisation. Pas satisafaite du tout. Ce n est pas normal et de plus on ne sait pas où se diriger dans ce cas la pour renvoyer et avoir la même montre.</t>
  </si>
  <si>
    <t>Il est arrivé un peu en retard mais je l'ai bien reçu Très jolie bouilloire très bonne qualité il chauffe très bien et rapidement je fais chauffer de l'eau pour mon café</t>
  </si>
  <si>
    <t>belle chaussure heureusement que j'ai suivi les conseils de STEPHANE 76550,  je suis satisfait de ma commande, la pointure me convient parfaitement, très belle chaussure</t>
  </si>
  <si>
    <t>Bon casque mais... Écoute de musique en Bluetooth sur iPhone. Le moins : Son environnant trop audible. Le plus : niveau de batterie vocal + nom de l'appareil connecté. Excellente qualité du micro.</t>
  </si>
  <si>
    <t>Bien Convient très bien pour le prix, jolie cafetière qui vibre un peu en effet mais convient très bien pour une utilisation standard.</t>
  </si>
  <si>
    <t>Conforme Très bon qualité/prix mais pas facile de réaliser le détartrage en une seule fois, bon produit d entretien</t>
  </si>
  <si>
    <t>Mitigé musique ok, appel pas térrible Le son convient parfaitement en mode musique par contre pour prendre un appel c’est une horreur obligé de prendre le téléphone à la main car l’impression d’être dans une cave à l’autre bout du monde. J’ai contacté le service client, ils m’ont demandé mon numéro de commande depuis plus de nouvelle...je réévaluerai mon avis suivant leur réponse.  MAJ : Le service client est au top, ils m'ont renvoyé une paire neuve, j'ai encore quelques soucis en appel mais je n'exclus pas mon téléphone qui n'est pas bluetooth 5.0.</t>
  </si>
  <si>
    <t>Collier Très jolie collier rapport qualité prix sans regret ! Peut ce porter à toutes occasions !</t>
  </si>
  <si>
    <t>tres elegante j ai beaucoup aimé</t>
  </si>
  <si>
    <t>Conforme Bonne brassière rembourrée, exactement ce que j'attendais</t>
  </si>
  <si>
    <t>Bracelet cuir Très belle finition, agréable à porter</t>
  </si>
  <si>
    <t>Confortable Tres confortable et conforme a la description et la photo la taille est parfaite je fais 37 demi jai pris un 38 et ces parfais je conseille</t>
  </si>
  <si>
    <t>excellent Très beau cuir, je l'adore tout simplement,produit de qualité,un espace central suffisant pour contenir cahiers, dossier , un  ordinateur 13'' avec sa housse,la couleur est superbe.je recommande ce produit.</t>
  </si>
  <si>
    <t>belle casquette Je voulais une casquette new-york parce que je trouve que ce sont des casquettes assez classes. Mais je ne voulais pas le grand NY sur le front. Mon choix s'est porté sur cette casquette qui est belle et chic, le petit NY sur le coté  est discret . C'est une casquette homme mais pour moi elle est unisexe, elle va aussi bien aux hommes qu'aux femmes (je suis une femme).  Je suis contente de mon achat et je vous la conseille vivement, vous ne serez pas déçus !</t>
  </si>
  <si>
    <t>Le collier un peu court Très bonne qualité et super beau</t>
  </si>
  <si>
    <t>la fonctionne  je suis satisfaite je le recommande très bien  et très jolie</t>
  </si>
  <si>
    <t>Très bon produit Parfait pour le stockage des vinyles. Bonne réalisation. Bon, par contre 100 disques.... Oui s'ils sont simples et une couverture mince bien serrés. Par contre forte odeur chimique à l'ouverture (colle utilisée pour le revêtement interne ?) : les laisser ouvert quelques jours pour que l'odeur s'en aille. Le couvercle est amovible.</t>
  </si>
  <si>
    <t>Ideale pour le sport Produit a conseiller a toutes personnes utilisant un casque audio en faisant du vélo ou en courant. Avec ce casque vous entendez votre musique ainsi que les bruits exterieurs. Je l'utilise lors de mes sorties en vélo et maintenant j'entend lorsqu un vehicule se rapproche de moi et je peux toujours écouter ma musique. Les boutons de volume + et - se trouve facilementet le cable micro usb founi avec permet de le recharger sur un ordi.</t>
  </si>
  <si>
    <t>Magnifique Très belle boucle  d oreille</t>
  </si>
  <si>
    <t>Facilité et légèreté Après une opération de la colonne vertébrale le Swiffer est le plus léger et le plus utile à employer à la place d'un aspirateur trop encombrant et lourd.</t>
  </si>
  <si>
    <t>super merci super content</t>
  </si>
  <si>
    <t>Taille Taille super petit , le 34/38 ne convient pas à du 36</t>
  </si>
  <si>
    <t>Qualité du produit médiorc J'ai utilisé une fois ce produit pour une présentation, et depuis ça ne fonctionne plus, malgré le remplacement des pils, c'est un produit de très mauvais qualité, je ne le recommande pas.</t>
  </si>
  <si>
    <t>Taille petit J'ai pris u e taille de plus et ce n'est pas assez. J'ai les pieds plats donc j'ai l'habitude mais là je rentre très bien dedans. C'est vraiment une question de longueur. Prendre au moins une taille au dessus . Sinon elles sont bien</t>
  </si>
  <si>
    <t>Super produit mais.... L'accoustique est exceptionnelle, le rendu irréprochable, la conception au top (sauf la miniaturisation des commandes et une livraison sans notice, heureusement il y a internet...). Mais pour un coût de cet ordre, je ne comprends pas la raison de ne pas pouvoir l'appairé à mon PC et de son non fonctionnement en mode "filaire", phénomène récurent apparemment ; par ailleurs il semblerait, à l'usage, que sa portée en bluetooth ne soit pas digne d'un tel produit...Peut être suis-je tombé sur un mauvais "numéro"...A deux doigts de retouner...</t>
  </si>
  <si>
    <t>On m'entend pa quand je parle Pour téléphoner et on m'entend très mal quand je parle</t>
  </si>
  <si>
    <t>Petit sac fonctionnel La couleur est un peu plus claire que sur la photo. Pas trop gros pour y mettre un téléphone et un portefeuille. Semble solide après un mois d'utilisation la poche sur le devant est petite pour y mettre la main.</t>
  </si>
  <si>
    <t>tres bonne bouilloire; attention aux parois qui peuvent etres tres chaudes. temperature facil a regler. le design tout en aluminium est tres beau. il se nettoie tres facilement. attention cependant aux parois qui peuvent etres brulante... ne pas laisser des jeunes enfants manipuler la bouilloire.</t>
  </si>
  <si>
    <t>Très jolie Très bon rapport qualité prix. Bien solide et impressionnée par la tenue dans le temps. Ce qui est bien c'est que le bracelet homme est prévu plus long. L'inconvénient, le mot n'est pas gravé, mais pour le moment tient bien</t>
  </si>
  <si>
    <t>Très bon rapport qualité / prix Produit conforme aux photos de l'annonce, de taille parfaite, et de qualité très correcte. En bref une bonne paire de chaussures, bien aérées à un prix très raisonnable. Je vous les recommande !</t>
  </si>
  <si>
    <t>Beau cadeau pour sa femme Achat pour l'anniversaire de ma femme, qui a été comblée. Très bonne qualité de produit, réglable suivant le diamètre du poignet. Emballage interessant. Envoi rapide du vendeur qui est consciencieux.</t>
  </si>
  <si>
    <t>Conforme Rien à dire, article conforme.</t>
  </si>
  <si>
    <t>Chaussures à enfiler BLANCHES avec semelle BLANCHE Demandées pour l'atelier CUISINE du Lycée Technique, ces chaussures sont de la bonne couleur et en prime, elles sont DE SÉCURITÉ (c'est une bonne idée, vu qu'en cuisine, il y a des objets contendants… et dangereux qui peuvent tomber sur les pieds).  Je recommande ! elles sont assez faciles à enfiler, pour un cours de cuisine, ça ira très bien.</t>
  </si>
  <si>
    <t>Magnifique! Très beau collier. Je l'aime beaucoup. Simple et généreux L'emballage n'est pas mauvais.de l' Océan il est très beau .&amp;nbsp;</t>
  </si>
  <si>
    <t>Huile L'odeur est un peu légère à mon goût</t>
  </si>
  <si>
    <t>La qualité Avent au service de nos bébés Notre boudechou a été emballé par ce nouveau bib Très ergonomique il ressemble à s’y méprendre à mon sein d’où le succès On peut féliciter les équipes de recherche d’avent pour cette trouvaille Et un bib toujours aussi solide. Impeccable après une chute d’un mètre</t>
  </si>
  <si>
    <t>Nickel comme d'hab avec carter Tout les jours</t>
  </si>
  <si>
    <t>Bracelet Super</t>
  </si>
  <si>
    <t>parfait Après avoir utilisé les versionsa déboiter emboîter au bout, pas très hygiénique no facile à faire, cette version ci est vraiment idéale pour transporter et stocker le lait pour bébé.</t>
  </si>
  <si>
    <t>Super !! Chaussures pour mon fils, c'était la première fois pour lui des Dr.Martens ! Ravi des chez chaussures, taille normal. Je recommande !!</t>
  </si>
  <si>
    <t>Une immersion complète. L'immersion est juste complètement dingue, on peut carrément dire qu'on est dans une bulle tellement l'isolation est présente, pour ce qui est du sons qui déjà est excellent l'isolation renforce encore plus la qualité audio..c'est un 5/5 ! Pour ce qui est de la connexion BT, ils ce sont directement connecté a mon appareil donc c'est un sans faute de mon côtes. Inutile de débattre sur le rapport qualité-prix qui est plus que bien.</t>
  </si>
  <si>
    <t>Sans surprise, top ! Taille comme prévu, très confortable, bon maintien. La référence de la chaussette de sport chez Nike.</t>
  </si>
  <si>
    <t>A Qualité pas au top mais bien fini montre fonctionnel quelque souci avec l’ouverture du clapet bon article pour rajouter du cachet à une tenu</t>
  </si>
  <si>
    <t>Je ne les supporte pas Ces patchs collent bien, mais je dois les enlever après 5mn car je ressens uns brulure et irritation.</t>
  </si>
  <si>
    <t>Esthétique mais sans efficacité avérée Esthétique,  mais sans intérêt  et efficacité  avérés</t>
  </si>
  <si>
    <t>Mauvaise description Déçu!!aucune information décrivant le trou au milieu qui ne va pas du tout sur ce type de balai ..10€ de perdu ce n'est pas rien!! Et maintenant qu'il a été ouvert!!</t>
  </si>
  <si>
    <t>Elle est tres précise Agréablement surpris par sa précision. Coté esthétique et prise en main ce n'est pas une merveille, mais le prix est tres bon. Éventuellement il faut acheter un poids de 200g pour le calibrage.</t>
  </si>
  <si>
    <t>Taille petit Attention taille petit</t>
  </si>
  <si>
    <t>trés belle timberland mais conseil de prendre une taille en dessous 38 il faut prendre 37 très belle timberland mais conseil de prendre une taille en dessous 38 il faut prendre 37 mais très bon produit je vous conseil se vendeure</t>
  </si>
  <si>
    <t>Très bonne chaussure La couleur est top. C'est assez confortable, même si je pense que j'aurai du prendre une taille au dessus de ce que je prend habituellement pour être encore plus à l'aise.</t>
  </si>
  <si>
    <t>Très bon produit , pas déçu Très beau produit, mais au niveaux de la bandoulière il n’y a pas de protection pour mettre sur l épaule, dommage sinon très bi conrespont a mes attentes. Très bien</t>
  </si>
  <si>
    <t>Bien coupé La personne à qui je l'ai offert  est un homme qui n'est pas très grand, du coup, il a bien apprécié ce sweat qui ne descend pas exagérément sur les cuisses. Sobre, il est parfait pour la mi-saison.</t>
  </si>
  <si>
    <t>Qualité/prix et livraison parfaits. Tres bon rapport qualité/ prix.  Bonne autonomie. Livré en 24h au lieu des 3 jours annoncés. Service client top.</t>
  </si>
  <si>
    <t>Rapidité et conforme Commandé et livré le lendemain. Produit conforme. BRAVO</t>
  </si>
  <si>
    <t>solide Chaussettes de bonnes qualité, corresponde bien aux tailles décrite. mais attention, elles sont assez épaisse donc trop chaude pour la saison.</t>
  </si>
  <si>
    <t>Une très belle et excellente machine à thé Très belle machine a thé, je l'ai installé a côté de la machine a café, le design est simple, j'aime beaucoup. Très simple d'utilisation, entièrement automatique, elle réglera toute seule la température de l'eau ainsi que la quantité nécessaire a chaque capsule. J'ai goûté la casi totalité des capsules proposé, le choix est suffisant et le thé est très bon. La machine est faite pour les personnes comme moi qui ne veulent pas s'embêter a bouillir de l'eau, laisser infuser son sachet. Elle n'est pas indispensable mais c'est bien plus rapide et simple que la façon habituelle de boire du thé.</t>
  </si>
  <si>
    <t>Supers écouteurs Super produit! Ils ressemblent énormément à ceux d'Apple mais à un prix défiant toute concurrence.</t>
  </si>
  <si>
    <t>Très belle basket livraison rapide Très bonne qualité de basket sauf que en général je taille du 37.5 dans les basket nike et la j'ai pris du 38.5 mais unpeu serré j'aurais du prendre du 39</t>
  </si>
  <si>
    <t>Tres bien Super article ,prix valable ,juste il faut rester branché c'est un peu embétant, tres agréable pour les douleurs musculaire, la lumière bleue de la télécommande clignote au bout d'une heure car il faut l'éteindre, on peut le rebrancher au bout de 5mn .vraiment contente d'ailleurs je l'ai recommandé pour mon cousin ,ma tante,et il y aura 1 autre commande .</t>
  </si>
  <si>
    <t>Rapport qualité prix imbattable Rapport qualité prix imbattable sur Amazon</t>
  </si>
  <si>
    <t>J'adore J'adore, on es super bien dedans. Elles tailles super bien. Exactement comme la photo! Les couleurs sont les mêmes! Je recommande</t>
  </si>
  <si>
    <t>Très design Très beau grille pain, ni trop grand ni trop petit. Très sympa sur le plan de travail, semble de qualité, prix correct.</t>
  </si>
  <si>
    <t>Parfait Très bel article. je le recommande. Après plusieurs lavages, il ne se déforme pas</t>
  </si>
  <si>
    <t>s'adapte très facilement avec la sortie casque de la télévision. Je l'utilise pour regarder la télévision sans déranger mon voisinage.Je suis entièrement satisfait de ce produit qui me permet d'écouter la télévision sans aucune interférence externe .très bon produit.</t>
  </si>
  <si>
    <t>pratique taille adéquat, permet de ranger le nécessaire</t>
  </si>
  <si>
    <t>Connectez votre SmartLav/SmartLav+ partout Ayant fait l'acquisition du SmartLav+ de chez Rode, il me fallait cet adaptateur permettant de le brancher à mon appareil photo.  En effet, de base, celui ci est fait pour les smartphones, ces derniers étant équipés de prises TRRS, il faut donc cet adaptateur pour les brancher sur les prises micro des Appareils photos ou autres systèmes d'enregistrement (qui sont eux équipés de prises TRS)  Fait parfaitement son boulot!</t>
  </si>
  <si>
    <t>PACK HP 953 XL ORIGINAL HP Nous avons acheté ce pack original "genuine", en raison de l'absence de sur-emballage, de son prix, et de la difficulté de le trouver en France</t>
  </si>
  <si>
    <t>Déçu Ma femme est vraiment déçue de ce savon, il n'enlève pas les tâches (en suivant bien les instructions et même en laissant reposer plus longtemps) je regrette cet achat.</t>
  </si>
  <si>
    <t>Puanteur J'ai acheté cette bouilloire à un prix très compétitif il y a un an. Elle est sans plastique soit disant sans danger. Mais il s'en dégage une odeur nauséabonde. J'ai essayé le vinaigre, le thé,le café, le citron, le bicarbonate... rien n'y fait, elle sent mauvais, même après de nombreux mois d'utilisation ! M'est d'avis que vous devriez aller voir voir ailleurs !</t>
  </si>
  <si>
    <t>cartouche défectueuse ou problème d'imprimante ? Toujours satisfaite jusqu'à présent de mes achats de cartouche d'encre sauf pour cette dernière fois. Problème sur cette cartouche, quasi impossible d'imprimer, message d'erreur quasi permanent, c'est agaçant, j'hésite entre racheter une nouvelle cartouche ou changer l'imprimante !</t>
  </si>
  <si>
    <t>Idéal pour la marche pas pour courir Confortable</t>
  </si>
  <si>
    <t>JOLI Agréable à porter - ras</t>
  </si>
  <si>
    <t>bon produit bon produit de qualité</t>
  </si>
  <si>
    <t>Bon produit Beau stylo belle couleur pastel</t>
  </si>
  <si>
    <t>Article top confort Super qualité et agreable à porter couleur respectée  chaussures confortable lanière 2 positions très pratique pour retirer les chaussures rapdement sans se baisser</t>
  </si>
  <si>
    <t>Pochette pour papier Cadeau</t>
  </si>
  <si>
    <t>Super Tetines idéales, de même que les biberons Avent qui sont parfaits suite à l'allaitement.</t>
  </si>
  <si>
    <t>Super Parfait sac très solide adieu le sac qui craque trop lourd et plus de fuites et les liens de serrage ne font pas mal aux mains</t>
  </si>
  <si>
    <t>très bon produit, son clair et puissant, sans controle actif J'ai eu la chance de tester ce produit gratuitement. J'ai beaucoup de casques, je les utilise toute la journée et j'en use pas mal. Je voyage, je téléphone énormément, et j'écoute beaucoup de musique.  Ce casque n'est ***PAS*** un casque à contrôle actif. Il faut le savoir! Le controle actif est le système qui enregistre les bruits ambiants et crée un "anti-bruit" (ça marche bien pour les basses fréquences, pas du tout pour les sons aigus et pas non plus pour les vibrations qu'on ressent dans tout le corps).  Je le précise, car Bose s'est illustré ces dernières années avec son excellent QC30 (récemment remplacé par le QC35); alors évidemment certains vont se dire "c'est moins bien"; j'avoue que pour avoir eu un QC30 dans le passé (malheureusement usé, surtout la batterie), c'était vraiment bien... mais c'est également énorme. Pour avoir du contrôle actif de qualité, il faut soit un intra-auriculaire (casque qui rentre dans l'oreille), soit un gros casque. Ca marche moins bien sur les tailles intermédiaires.  Ce produit est donc un supra-aural (ie il "repose" sur les oreilles) et non un circum-aural (qui fait le tour complet du pavillon de l'oreille) et il est nettement plus petit, plus léger, plus pratique à transporter que le QC35. Il est montré plié sur une des photos. Ca va pour un voyage en avion, pour moi c'est la taille maxi; je viens de le tester sur un vol assez long et ce qui est remarquable c'est la puissance sonore max, très élevée. La qualité d'écoute n'est pas meilleure qu'avec mes vieux intra-auriculaires SHURE, mais le confort est nettement meilleur!  L'autonomie est excellente, effectivement. Je regrette que l'on ne puisse pas changer la batterie (qui durera sans doute 3 ou 4 ans quand même, donc pas si grave que ça). Il y a un cable fourni en cas de panne du bluetooth; là aussi un regret, le diamètre côté casque n'est pas standard (2.5mm) donc pas évident de changer le cable si on le perd. Le cable usb (sans prise) est très court, donc ça va si vous chargez sur un ordi, mais sur secteur ou en avion, c'est trop court.  L'appairage est facile, mon android me dit le niveau de batterie, tout est rapide et facile. Les commande de volume sont côté droit.  Côté qualité d'écoute et de micro, c'est très très bon, mais ce n'est quand même pas aussi bon que mon casque Sennheiser Game One, filaire, énorme et lourd, mais toujours leader pour mon utilisation sédentaire (l'écoute est meilleure, le retour également, le micro est largement supérieur). En nomade, le Bose gagne, haut la main, et m'accompagne maintenant partout! On est, évidemment, sur du haut de gamme de toute façon: si vous utilisez pour le moment un casque fourni gratuitement par votre marchand de téléphone, ou pire les trucs Apple sans fil, vous allez complètement halluciner de la qualité de ce produit.  Au final je mets la note max et je recommande ce produit car évidemment il n'est pas parfait, mais dans cette gamme de taille il est au top, et le prix est tout à fait raisonnable pour cette qualité.</t>
  </si>
  <si>
    <t>Basket souple Très jolie cette basket, arrivée avant la date prévue. Ma fille a été conquise.</t>
  </si>
  <si>
    <t>PARFAIT CARTOUCHE D ENCRE POUR IMPRIMANTE CANON MG2550- AUCUN PROBLÈME DE COMPATIBILITÉ</t>
  </si>
  <si>
    <t>Rapidité Merci</t>
  </si>
  <si>
    <t>Parfait !!! J'ai commandé ce produit pour être bien dans mes basket, et c'est le cas avec ce model tout particulièrement !!!</t>
  </si>
  <si>
    <t>Bicarbonate de soude Pratique et ayant des utilités multiples, c'est un produit dont on ne peut plus se passer même pour le linge.</t>
  </si>
  <si>
    <t>Trop mignons et pratiques Je suis fan des biberons dédiés.  Je trouve l'utilisation pratique et la forme en triangle magique (possible de le poser sur le canapé sans qu'il tombe c'est fort non ?) J'aime beaucoup les motifs du renard et hérisson</t>
  </si>
  <si>
    <t>Bracelet Beau bracelet les pierres ont une belle couleur et je pense que le bracelet est solide .je  le recommande. Merci.</t>
  </si>
  <si>
    <t>Très satifaite Super pack , ultra complet a recommander ++++</t>
  </si>
  <si>
    <t>Je ne suis pas déçu du tout. Achetées pour un diffuseur d'huiles essentielles, celles-ci remplissent bien leur fonction. Je les ai reçu rapidement et bien emballées dans du papier bulle. J'ai comparé la senteur de l'huile à l'orange avec une huile de la même senteur que j'avais acheté en pharmacie et la puissance de l'odeur était similaire. De bonne qualité donc et le prix est vraiment intéressant. Je recommande sans hésiter.</t>
  </si>
  <si>
    <t>Sweat à capuche Bonne taille et bien chaud j adore et je recommande</t>
  </si>
  <si>
    <t>excelente Excelente</t>
  </si>
  <si>
    <t>Bon achat. Agenda basique. Une semaine sur deux pages en type colonne. Parfait pour mon utilisation et pour avoir la semaine en un coup d'œil.</t>
  </si>
  <si>
    <t>Portée Bluetooth médiocre Ces écouteurs ont un son plutôt bon. Malheureusement, dès que l'on met son téléphone dans la poche de son pantalon et que l'on marche, il y a une perte de la connexion. Si on tient son téléphone à la main mais qu'on tourne la tête, le son saute. C'est dommage que la portée Bluetooth de ces écouteurs soit si médiocre. C'est le seul véritable défaut de ces écouteurs, mais c'est un défaut majeur pour un dispositif qui se veut nomade.</t>
  </si>
  <si>
    <t>Frais de port : horreur! Je suis très déçue de ce service. Les chaussures ne m'allaient pas, dommage. Elles sont de bonnes qualités.  Mais le gros problème c'est que j'ai perdu 14 euros en frais d'envoi et de retour. Il faut se méfier des sociétés qui vendent chez Amazon. Autant je suis ravie des services d'Amazon, autant je suis dégoûtée de ceux qui se servent dans les frais... Mais je reste cliente à Amazon seulement.</t>
  </si>
  <si>
    <t>très bonne transaction Le rapport qualité / prix est bon ,ce n'est évidemment pas un produit haut de gamme.Par contre, il taille beaucoup trop grand; choisissez sans hésiter une taille inférieure à votre taille usuelle.</t>
  </si>
  <si>
    <t>l'utilisation détartrant préconisé pour machine à café avec capsule , ce produit détartre comme nous l'espérons, mais un peu cher mais si cela peut allonger la vie de notre machine à café les comptes sont à faire.</t>
  </si>
  <si>
    <t>Montre de qualité Pour une trentaine d'euros, je suis surpris d'avoir une aussi bonne montre. La qualité Casio se fait sentir : pas un seul coup en plus d'un an, la résine ne rend pas un effet moite en été( comme avec du plastique), le bracelet ne s'abime pas et serre bien le poignet, ect.</t>
  </si>
  <si>
    <t>Pentalon d'entrainement agréable à porter doté d'une bonne coupe Satisfait pour le moment reste à voir sur la durée.</t>
  </si>
  <si>
    <t>Bien Très lourde</t>
  </si>
  <si>
    <t>Bon produit ! Conforme et contente</t>
  </si>
  <si>
    <t>Élégante et pratique Utilisation journalière pour le thé du petit déjeuner</t>
  </si>
  <si>
    <t>Très satisfait Ecouteurs confortables au prix intéressant, ils tiennent bien en place même pendant la course à pied (reçu hier, je me suis empresse de les essayer dans la foulée).  Reçu rapidement grace à Amazon Prime, les écouteurs étaient déjà chargé a la livraison, ce qui est appréciable.  Le boitier de recharge est bien pensé, et l'apparairage se fait facilement.  La qualité sonore est intéressante pour un appareil de ce prix</t>
  </si>
  <si>
    <t>cowin SE7 BON RIEN à DIRE de plus</t>
  </si>
  <si>
    <t>sac en tissu Tres beau sac ,pleins de poche ainsi pour transporter un ordinateur .Tres contente de mon achat</t>
  </si>
  <si>
    <t>Super achat Elles sont parfaites et de la bonne taille. Super achat</t>
  </si>
  <si>
    <t>Superbe! Produit de très bonne qualité, très content de mon achat!</t>
  </si>
  <si>
    <t>article conforme bien reçue avec une journée de retard , mes niveau son ces parfait s'installe facilement sur des synthétiseur pc tablette smartphone . je le recommande .</t>
  </si>
  <si>
    <t>Parfait Nickel Bien emballé</t>
  </si>
  <si>
    <t>Parfait ! Je l'utilise pour nettoyer les bijoux en argent dans ma boutique et cela fonctionne à merveille, je recommande !</t>
  </si>
  <si>
    <t>tout est ok ras</t>
  </si>
  <si>
    <t>Très fonctionnelle et légère. Très belle montre. Un peu grosse mais élégante. Se connecte facilement à un iPhone 7 plus. Légère. Pour une femme ça peu aller. Seul point négatif, elle ne calcul pas le rythme cardiaque ni le sommeil. Mais sinon on reçois les sms, les mails  et même son agenda. Elle fait aussi podomètre et plein d’autres fonctionnalités. A découvrir. Je recommande . Merci à Amazon car j’ai pu l’avoir moins cher grâce à une vente flash.</t>
  </si>
  <si>
    <t>Efficace --&amp;gt;&amp;gt;Mise à jour du commentaire &amp;lt;&amp;lt;-- Produits proposé aujourd'hui à plus de 12€, alors qu'il a toujours été accessible pour moins de 5€. N'hésitez pas à aller voir ailleurs  --&amp;gt;&amp;gt; Commentaire original&amp;lt;&amp;lt;--  Produit efficace, nous avons eu un début d'invasion auquel on a pas pris garde puisqu'on identifiait seulement un individu sporadiquement, jusqu'à un soir où on a appercu en allumant la lumière de la salle à manger une vingtaine de bêbêtes qui s’enfuyaient, dont des toutes petites.  On a acheté un premier pack de contaminateurs, on a effectivement retrouvé tantôt des cadavres près des contaminateurs, tantôt des cafards bien assommé et peu réactif, on a renouvelé il y a peu avant de partir en vacances, on a juste retrouvé un spécimen, j'imagine que la colonie à été bien infectée et exterminée.  Maintenant on va toujours utiliser ces contaminateurs à raison d'un changement par trimestre, histoire de ne plus jamais avoir de soucis!</t>
  </si>
  <si>
    <t>Véritable impression de qualité Le produit fait vraiment solide, professionnel  On garde un rouleau à l’intérieur, ce qui facilite grandement l'utilisation, toujours prêt à l'emplois! On peut facilement le ranger à la verticale pour qu'il prenne moins de place.  Un pot transparent est aussi fournit que l'ont peut évidemment utiliser avec la machine pour en vider l'air.  Un bouton à utiliser pour vider et sceller, très simple à utiliser! Emballage fait en moins d'une minute!  Déballé par une autre personne, je n'ai pas retrouvé de mode d'emplois, seule des schémas à l’intérieur ont suffit à deviner l'utilisation. Pas évident au début, mais faut juste reperer l'icone qui sert à sceller et l'autre qui aspire, et c'est enfantin.  Très bon produit, vaut son prix, je recommande</t>
  </si>
  <si>
    <t>Très bien On l'utilise à chaque lavage. On a pas de comparaison avec ou sans, mais la machine fonctionne depuis 10 ans déjà. le format est grand et économique.</t>
  </si>
  <si>
    <t>Tres bon rapport qualité prix. J’ai acheté cet appareil pour faire des gaufres avec mon petit fils. Il fonctionne très bien et sans probleme si l’on observe le temps de cuisson nécessaire. J’ai également fait de très bons croques monsieur. Très bon rapport qualité prix pour un appareil utilisé de temps en temps.</t>
  </si>
  <si>
    <t>Bola Chaine arrivée nouée la boule n a aucune fente comme nous pouvons le voir sur la photo ,elle est lisse et la chaine très fine déçu de mon achat</t>
  </si>
  <si>
    <t>Dommage Au début très contente niveau délai de la livraison et verdict , Ne tiens pas dans les oreilles , pas confortable déçue du produit mais après qualité du son au top juste les écouteurs ne sont pas pour moi ,</t>
  </si>
  <si>
    <t>Aucune diffusion d odeur Ne diffuse aucune odeur malgré des huiles essentielles odorante, très dommage</t>
  </si>
  <si>
    <t>Chaussettes agreables Produit plutot agreable a porter et de bonne facture apparemment a voir dans le temps et apres quelques lavage Le cote plus c’est la taille des chaussettes surtout quand vous avez plusieurs chaussettes qui se ressemble dans la famille. Je pense qu’un petit rabais sur le prix serait un plus car un peu chere tout de meme</t>
  </si>
  <si>
    <t>Le son est de très  mauvaise qualité Le son, par rapport à  un samsung, est de très  mauvaise qualité</t>
  </si>
  <si>
    <t>Efficacité et sobriété Bose Les écouteurs tiennent leur promesse, il sont fiables, confortables, ils restent accrochés à l'oreille même en faisant du sport intensif, tout ceci une fois que l'on a trouvé la bonne taille d'embouts. Le son, ben pas de surprise c'est le son bose, on aime ou on déteste, j'avoue être assez fan du retour des basses que l'on a avec ces écouteurs. Autonomie très correcte avec le boîtier permettant de  recharger plusieurs fois les écouteurs sans passer par la case cable. Seul bémol, par ce qu'il faut toujours en trouver un, c'est le son uniquement dans un écouteur lors de la réception d'un appel, choix délibéré de Bose mais j'avoue ne pas bien comprendre pourquoi? c'est un peu gênant de se retrouver d'un coup avec le son dans une seule oreille.</t>
  </si>
  <si>
    <t>OK !! Ok mais taille un peu grand !!!</t>
  </si>
  <si>
    <t>baskets Elles sont bien, mais un peu grandes. J'airais dû prendre ma taille exacte. Dans le doute j ai pris la taille au dessus, mais en fait elles taillent juste. A savoir pour la prochaine fois.</t>
  </si>
  <si>
    <t>bon produit Je n'ai pas essayé de jeter le rouleau dans les toilettes car je ne suis pas sûre que cela se dégrade bien et si c'est vraiment bien écologique. Le papier est doux au toucher et résistant.</t>
  </si>
  <si>
    <t>Parfait ! La protection correspond parfaitement au J3 dernière version (il y en a bien 2 dans le paquet). Facile à mettre en place, pas de bulles, il suffit de bien nettoyer l'écran avant la mise en place avec les lingettes fournies. Je recommande.</t>
  </si>
  <si>
    <t>bon achat Tissus très agréable à porter, pour moi à l'intérieur de la maison. Coupe sympa.</t>
  </si>
  <si>
    <t>Fonctionnel Je fais de la marche, confortable souple bien</t>
  </si>
  <si>
    <t>Diffuseur ulta son Super produit de qualité prix défiant toute concurrence... Très beau avec de chouettes fonctionnalités sachez ,car je ne le savais pas, vous avez 45 jours pour le retourner et en recevoir un neuf ou remboursement et 12 mois de garantie si j'ai bien compris... En tout cas c'est le meilleur service après-vente que j'ai pu connaître jusqu'à présent ils sont très soucieux pour que leurs clients soient satisfaits plus qu'à 100% N'hésitez VRAIMENT pas...</t>
  </si>
  <si>
    <t>J'adore Très belle paire</t>
  </si>
  <si>
    <t>Parfait Chauffe biberon que je recommande! Compact, compatible voiture, chauffe vite (90 s pour un biberon) et marque de qualité (Badabulle). Je précise que c'est le tout dernier modèle qu'ils on sortis... Attention le prix bouge sur Amazon...Je l'ai eu pour 29.90 Euros</t>
  </si>
  <si>
    <t>Très bien Je les aimes beaucoup ! Elles sont confortables, très jolie, bien taillé. Et le plus on a pas besoin de les laçer et ça c'est génial ;)</t>
  </si>
  <si>
    <t>Parfait ! Ce casque est parfait, il est d' une très jolie couleur, un joli design, agréable à porter pour le quotidien, le sport, la relaxation... Bon maintien, son de grande qualité.Possibilite de changer les plages musicales avec boutons sur le cote du casque. La pochette pour le ranger est très jolie et pratique avec système d accroche. Il se connecte très facilement au portable. On peut l utiliser en connexion prise jack. La livraison est rapide, merci ! Je recommande ce casque qui est super avec 5 étoiles sans hésitation.</t>
  </si>
  <si>
    <t>Confortable Pour le travail Très confortable.</t>
  </si>
  <si>
    <t>Reçu tres rapidement Tres bien</t>
  </si>
  <si>
    <t>bien reçu impec merci bonne taille propre merci</t>
  </si>
  <si>
    <t>Masseur électrique efficace Ayant testé deux jours, moi et ma famille trouve que ce masseur électrique est très bien pour soulager. Surtout mon père il adore trop, les 4 têtes je préfère l’un d’entre eux. Je recommande.</t>
  </si>
  <si>
    <t>très bien correspond aux attentes</t>
  </si>
  <si>
    <t>Super pour les initiations à la lecure Jai pris 2 livres de la meme collection pour un petit de 6 ans. 1eres lectures de cp Bonne methode. J'en prendrai pour mes enfants lorsqu'ils seront en age de lire.</t>
  </si>
  <si>
    <t>rikiki Heu, c'est quoi un sac pour schtroumpfs ??? 22X18cm , L'ouverture des poches sont petites. bon à coté de ça il y en a plein de poches  A mon avis c'est bien pour un ado</t>
  </si>
  <si>
    <t>ecouteurs les embouts en silicone ne sont pas livrés avec, je ne sais pas si c'est un oubli ????</t>
  </si>
  <si>
    <t>Horrible. Un mois seulement après avoir acheté ce chauffe biberon, il ne fonctionne pratiquement plus. Réglage pour chauffer les bib fait comme indiqué dans la notice et chauffe bib ce mets à bouillir, l'eau déborde donc, et biberon pas chaud. Je ne le recommande pas, peut être mettre un peu plus cher pour une meilleure qualité.</t>
  </si>
  <si>
    <t>Casque réducteur de bruit parfait mais bluetooth à revoir Je possède déjà des écouteurs réducteur de bruits intra de cette marque et souhaitais avoir également un casque pour les longs trajets (type avion ou train). Je ne suis pas déçu en terme de réduction de bruit, cela fonctionne parfaitement et l'autonomie est plus que satisfaisante. En revanche, en ce qui concerne le bluetooth c'est la même chose que certains commentaires c'est à dire qu'il ne fonctionne pas : ça saute toutes les 20 secondes alors que le téléphone est à 30 cm. C'est vraiment dommage car cela aurait été un produit rapport qualité/prix imbattable.</t>
  </si>
  <si>
    <t>Bon produit Super produit, elles sont belles, mais le bout s'abîme légèrement avec la marche dommage. Les paillettes tiennent bien. Je recommande tout de même.</t>
  </si>
  <si>
    <t>SUPER RIEN A DIRE pochette correspond parfaitement a la description très spacieuse très bonne qualité, bon matériaux pour le prix rien a dire merci</t>
  </si>
  <si>
    <t>Bien Un peu lourde mais protege bien</t>
  </si>
  <si>
    <t>belle basket une belle basket mais malheureusement le 42 que je chausse d'habitude est trop petit .</t>
  </si>
  <si>
    <t>bien bien et légèrement moins chere que dans le commerce</t>
  </si>
  <si>
    <t>Bon écouteur Livraison rapide, solide et le son est net, je le recommande vraiment, c'est idéal lorsqu'on fait du sport avec cet écouteur. Bonne qualité prix! Mon amie m'a recommende ca, il est pratique.</t>
  </si>
  <si>
    <t>produit conforme à la description produit conforme, facile à utiliser, très bon résultat après utilisation livraison rapide et soignée</t>
  </si>
  <si>
    <t>Bonne alimentation De bonne qualité, n'est pas en plastique mais en métal, les câbles sont fournis et de qualité</t>
  </si>
  <si>
    <t>Jamais déçu avec Cowin Ceci est mon 3eme casque avec réduction de bruit Cowin, et la qualité du son est toujours là, viire mieux, avec une durée de vie toujours aussi importante. Le SE7 est pliable ce qui est encore plus pratique pour le ranger au sac a dos</t>
  </si>
  <si>
    <t>Partait+++ Top top et top mon fils ce regale avec c'est biberon et tétine il n'en veux pas d'autre</t>
  </si>
  <si>
    <t>Petit mais efficace Très joli et très esthétique. Offert pour un cadeau et la personne en est très satisfaite. Il fonctionne bien et son utilisation est facile.</t>
  </si>
  <si>
    <t>Parfait Produit acheté en connaissance de la marque. Achat fait lors des prime day à un bon prix. Solide simple Produit garantie 2 ans Livré en avance sur prévision.</t>
  </si>
  <si>
    <t>Parfait Parfait ,contente de cet achat et prix raisonnable Livraison top</t>
  </si>
  <si>
    <t>Parfait Livraison ultra rapide dès le lendemain Conforme à la description</t>
  </si>
  <si>
    <t>Très confortable mais pied nue ça pue Vraiment très agréable mais attention mettez une paire de soquètes car à pied nue vous allez faire partager à votre l’odeur pestilentielle de vos pieds 😂</t>
  </si>
  <si>
    <t>Confort Très confortable et légère. Attention éviter de marcher sur des cailloux car la semelle est fine...</t>
  </si>
  <si>
    <t>Ecouteur satisfait livraison rapide, 2 jours avant la date prévue . cet écouteur bluetooth est comptatible avec mon téléphone , ça s'accroche très bien à mes oreilles grace aux deux tours de l'oreille, l'embout soupe, peut servir à écouter les musique, répondre aux appels, le son est très bon la boite de charge est pratique et bien esthétique</t>
  </si>
  <si>
    <t>taille tres tres petit attention au vu des commaentaires j ai commandé 1 taille en plus et c est encore trop petit prevoir 1 taille 1:2 au dessus</t>
  </si>
  <si>
    <t>Au top Elle est parfaite au niveau de la taille pour une personne, et pour 3 ou 4 mug aussi. L'intérieur est en plastique sur les côtés mais le fond où l'eau bout est en inox. Facile à nettoyer, un peu de vinaigre blanc dans un fond d'eau chaude et même pas besoin de frotter. Il y a un petit filtre qui peut s'enlever pour le nettoyage au niveau du bec verseur et un clapet pour que la poussière n'entre pas. Je m'en sers chaque jour depuis un an, pas de problème.</t>
  </si>
  <si>
    <t>Chaussures de bonne qualité Chaussure confortable et de bonne qualité. Ma femme en est ravie, elle ne les quitte plus Elle sont branché et tendance. Je recommande !!</t>
  </si>
  <si>
    <t>decontracté ,utile solide et elegant</t>
  </si>
  <si>
    <t>problème de qualité le prix n'est pas cher, mais la qualité n'est pas terrible non plus, les fils ont tendance et se décrocher du fermoir</t>
  </si>
  <si>
    <t>"Chapelet en bois" = plastique ! Soit disant un chapelet en bois et au final c'est du plastique de basse qualité. Vraiment déçue de cet achat qui ne tiendra pas sur la distance vu la qualité du plastique utilisé</t>
  </si>
  <si>
    <t>Tres très mauvaise qualité Je les ai mis une semaine la semelle des séparée de la chaussure je comprend pas comment Amazon peu metre en vente sur leur site dommage je peut pas vous envoyer des photos</t>
  </si>
  <si>
    <t>Bien Un peu trop grand mais pour le travaille ça va aussi</t>
  </si>
  <si>
    <t>Facile à mettre en place et à monter. Bon rapport qualité/prix Le produit correspond totalement à sa description. Le seul hic que j'ai rencontré vient de mon meuble PC et non du bras. Espace pas assez grand pour faire passer tout le bras comme il faut (et flemme de faire le trou). J'ai préféré forcer le meuble quitte à pas avoir la possibilité de bien visser. Résultat : le bras n'est pas correctement fixé et les écrans ne sont pas à hauteur égale. (Ce n'est pas la faute du bras...). Ce bras articulé ne permet pas de régler la hauteur des écrans de manière indépendante (ont monte/descend les deux bras à la fois). Un bon achat (pas parfaitement adapté à mes besoin mais fait bien l'affaire) en globalité !</t>
  </si>
  <si>
    <t>Noir taille 39EU/40CN Chaussures très confortables, on a l'impression de marcher sur de la mousse ! Malheureusement la paire que j'ai reçue est trop grande, elle fait 1,5 cm de plus que prévu, peut-être une erreur d'étiquetage.  Vendeur courtois et compréhensif.</t>
  </si>
  <si>
    <t>tres beau cuir si vous voulez mettre plusieurs livres dossiers, ça ne sera pas possible! peut contenir quelques livres seulement sinon ne ferme pas.</t>
  </si>
  <si>
    <t>Satisfaisant Dès réception du paquet j’ai sorti mes photos sur papier j’ai pu distribuer mes Photos à mes invités.</t>
  </si>
  <si>
    <t>dr martens elles sont très confortables, très belles et elancees. elles s'adaptent à toutes vos tenues (jupes, pantalons,  robes). les dr martens marron idéales au quotidien.</t>
  </si>
  <si>
    <t>Pratique Très pratique avec une grande capacité. Envoi rapide.</t>
  </si>
  <si>
    <t>Super Très beau bonne qualité envoi rapide</t>
  </si>
  <si>
    <t>casque sony Je l'ai recut en temps voulu,en parfait état,il fonctionne bien je recommande ce produit.</t>
  </si>
  <si>
    <t>Très bien Excellent rapport qualité prix ! Bonne longueur du fil, Maîtrise du volume sonore donc très bien pour les enfants, adapté à leur petite tête.</t>
  </si>
  <si>
    <t>Chaussures de sécurité - Homme - Noir ok</t>
  </si>
  <si>
    <t>super en S taille parfaitement. Beau et tissu nickel</t>
  </si>
  <si>
    <t>Confortable et compatible semelles orthopédiques la semelle d'origine est amovible</t>
  </si>
  <si>
    <t>Bijou Sympa Un petit Bijou qui fait son effet, discret et élégant c'est un cadeau idéal avec un bon rapport qualité prix</t>
  </si>
  <si>
    <t>Le nouveau jouet de ma copine Quand elle l'a reçu elle était extatique et voulait placer des étiquettes partout. Fonctionne très bien. Par contre, pas d'esperluette. La typo est esthétique.</t>
  </si>
  <si>
    <t>Super sweat Matière super. Un peu de retard pour la livraison mais finalement bien arrivé et correspond à mon souhait.</t>
  </si>
  <si>
    <t>Bon J en recommanderai elles sont tres agreables</t>
  </si>
  <si>
    <t>Doux et chaud Très doux et très chaud. À voir sur la durée. Pour l’instant aucun regret même après plusieurs lessives (et séchage à l’air libre).</t>
  </si>
  <si>
    <t>Très bien Parfait Esthétique et légère Confortable Je suis satisfaits de mon achat</t>
  </si>
  <si>
    <t>Magnifique Reçu en 24h.  J'ai acheté ce collier pour offrir. Et là franchement c'est le top. Il y a tous le bel étui, le ruban, une  pochette et même une chifonnette pour faire briller le coeur.  Je suis ravi de mon achat. La chaîne et le pendentif sont parfait. L'épaisseur de la chaine et la grandeur du coeur font un très bel ensemble.  Il y a un extenseur de chaîne d'environ 3cm. Ce qui donne le choix de la longueur souhaité. La chaîne mesure 45cm. Elle est très bien Il n'y a pas d'anneau qui tient le coeur. La chaîne rentre directement dedans.  Je recommande ce bijou qui est très beau</t>
  </si>
  <si>
    <t>belles chaussures mais trop petites Je chausse normalement du 41 sans soucis, et là pour le coup c'est trop petit... J'aurais du prendre une taille au dessus! Elles sont belles quand même, mais je vais avoir mal aux pieds hihi</t>
  </si>
  <si>
    <t>nul Appareil acheté pour mettre des noms sur une boîte aux lettres; une lettre de l'alphabet sur deux ne s'imprime pas, impossible de découper les étiquettes sans une paire de ciseaux  ; déçue ! Je ne le recommande pas.</t>
  </si>
  <si>
    <t>Bien Beau produit</t>
  </si>
  <si>
    <t>Standard Ma fille mâchait les tétines donc bien obligées d'en acheter souvent. Cela dit c'est dommage car après cet achat elle a abandonné le biberon. Pas grave ça servira au prochain!</t>
  </si>
  <si>
    <t>Biberon dodie Pour bébé</t>
  </si>
  <si>
    <t>Bon produit Bon produit dans l'ensemble pour le prix. Rapidité de chauffe. Seuls bémols:  se salit assez rapidement à l'intérieur et les doses d'eau indiquées ne sont pas toujours bonnes mais dès qu'on connaît la quantité adéquate, tout fonctionne bien.</t>
  </si>
  <si>
    <t>Conforme Livraison rapide J avais un doute sur la taille et la longueur des manches Taille nikel Les manches sont assez longues meme si j’aurai préféré un peu plus longue Bonne qualité tissu assez épais pour mettre la veste à mi saison ou pour le soir Sinon rien a redire Content de mon achat</t>
  </si>
  <si>
    <t>Validé, bien pour tous les jours Très beau bijoux, ne s'oxydent pas et bon retour qualité prix. Un seul bémol pour les plus gros, le système de fixations un peu voyant</t>
  </si>
  <si>
    <t>Génial Vraiment super quand on voit ce que coûte deux piles chez le buraliste pour changer celles du petit livre de bebe, la vendeuse nous disait autant racheter un livre neuf, trois piles coûtent plus cher que le livre Du coup avec ce pack nous avons pu changer’ toutes les piles de tous les jouets</t>
  </si>
  <si>
    <t>Au top Acheté pour ma fille, elle en est très contente. Elle est très dure à chausser car elle a le pied très étroit,le fait de pouvoir choisir la largeur est un véritable bonus. Les LED sont sympas et fonctionnent très bien.</t>
  </si>
  <si>
    <t>Très bien Très bonnes chaussures</t>
  </si>
  <si>
    <t>Trés jolie ! Bonjour à toutes et à tous ! Les + de ce produit : (1) Trés jolie montre (2) Qualité au rendez-vous (3) Prix convenable ! Les - de ce produit : Mon enfant n’en trouve pas... Conclusion : Rien à rajouter</t>
  </si>
  <si>
    <t>il est super il marche bien</t>
  </si>
  <si>
    <t>bonne qualité Excellent produit</t>
  </si>
  <si>
    <t>Très bien Calculatrice demandée au collège. Pour mon aîné, elle était proposée en rouge.Là, elle est bleue... Convient tout à fait pour collégien et même au delà (en complément d'une adaptée au lycée) car très facile d'utilisation. Bon rapport qualité-prix.</t>
  </si>
  <si>
    <t>Papier excellent Très bon produit; délai de livraison respecté; je le recommande !</t>
  </si>
  <si>
    <t>superbe couleur, look garanti Baskets très confortables, j'apprécie les semelles épaisses comme sur toutes les converses. La couleur est super jolie, sans être trop aguichante. Taille exacte. JE RECOMMANDE</t>
  </si>
  <si>
    <t>Super Très pratique</t>
  </si>
  <si>
    <t>Satisfaite Super ariver avant l'heure et malheureusement ma taille été trop grande prevoir une taille en dessous mes a été très vite échangé et rapide apaine posé a la poste jai deja eu les prochaines qui on été livré super produits les utilise en salle en étant serveuse Nikel apart sur le côté un peut serrer mes après surment vu cest neuf je les recommande</t>
  </si>
  <si>
    <t>bien bien.</t>
  </si>
  <si>
    <t>Chaussettes de qualité et très confortables Livraison dans les délais. Ces chaussettes taillent normalement elles sont très confortables et agréable à porter. Elles évitent vraiment de glisser ( système anti dérapant très efficace) .Je les utilise pour mes cours de Pilate et aeroboxe. Je recommande ce produit dont le prix est  vraiment très raisonnable vu la qualité du produit.</t>
  </si>
  <si>
    <t>Impeccable Voilà maintenant plusieurs mois que j’utilise ce goupillon et les poils n’ont pas bougés, ni écrasés (contrairement à beaucoup de goupillons utilisés avant). Les poils  restent blancs également , je suis ravie d’avoir trouver un goupillon qui ne se verra pas remplacer tous les deux mois ou presque à cause d’une déformation  ou du fait que les poils s’écrasent et devienne donc inutile. Je recommande vivement.</t>
  </si>
  <si>
    <t>TROP TROP BEAU !!! Magnifique !Encore plus a la réception !Je le recommande vivement !!!Maintenant a voir sur le long terme si toujours effet miroir MERCI</t>
  </si>
  <si>
    <t>Parfum agreable Parfum agréable</t>
  </si>
  <si>
    <t>pas adaptée à un débit lent!! La tétine laisse passer bien trop vite le lait alors qu'elle est sensée être appropriée pour un débit lent de lait épais!!</t>
  </si>
  <si>
    <t>erreur sur la paire je suis très déçu j’ai commandé les all star avec la ligne rouge et bleu et le je reçoit celle qui sont toute blanche la déception est grande</t>
  </si>
  <si>
    <t>Bon produit pour sont prix vraiment mini Comme le titre le dit, c'est un bon rapport qualité prix :/ mais pas un cadeau " pour un evenement " surtout pas vous risquerai d'etre deçu aucun envoi possible en "mode cadeau"en plus livrer avec la facture, alors que j'ai marqué sans :/</t>
  </si>
  <si>
    <t>Bien Ces tétines sont parfaites. Bien qu'un peu chères. Elles s'adaptent parfaitement aux biberons de la marque. Je recommande tout de même.</t>
  </si>
  <si>
    <t>pratique et nombreuses poches je ne regrette pas cet achat plutot pratique avec de nombreuses poches. Dommage qu'il soit arrivé avec une tache (modèle gris)</t>
  </si>
  <si>
    <t>On ne s'en lasse pas Utilisés sur des baskets depuis plusieurs jours (adulte et enfant), ces lacets sont très pratiques et très bien. Un peu cher par rapport à des lacets classiques. A voir dans le temps.</t>
  </si>
  <si>
    <t>Exactement ce que j'attendais ! Elle est tout à fait conforme à la photo. Petit bémol, en revanche, quant à son étanchéité car selon la notice, alors même qu'elle est notée "water resist" il semblerait qu'elle ne puisse résister qu'a des "éclaboussures"... Ca fait un peu léger du coup ! Je n'ai pas osé me doucher avec et je l'avais choisie justement parce qu'elle devait être étanche. Déçue sur ce point donc.</t>
  </si>
  <si>
    <t>Bon produit Ras produit conforme</t>
  </si>
  <si>
    <t>Chauffe rapide Utilisation pour mes déplacements.  Ne prend pas de place dans la valise. Rapide pour faire chauffer de l’eau.</t>
  </si>
  <si>
    <t>Il est simplement magnifique C était pour m'a fille elle ne le quitte plus</t>
  </si>
  <si>
    <t>Très satisfaite Cadeau très apprécié</t>
  </si>
  <si>
    <t>Conforme à la description Trop souvent la photo utilisée pour décrire le produit n'est pas conforme. Ce n'est pas le cas ici, c'est bien la photo du produit à savoir un Lot de 100 sachets à fermeture zip 60x80 mm 6x8 cm taille utile (le sachet entier et de 60x100) les pochettes sont de qualité 50 microns et perforée pour être suspendu.</t>
  </si>
  <si>
    <t>Très bon produit dégraissant Le produit est très dégraissant, idéal pour enlever les residus de lait sur les parois des biberons. Le capuchon est bon et permet de doser précisément la dose. Personnellement je mets quelques goutes du produit dans un biberon rempli d’eau très chaude et je laisse agir durant 10 minutes puis j’utilise une brosse afin de bien nettoyer le biberon. Très bonne marque très efficace !  Si vous avez trouvé mon commentaire utile n’hésitez pas à voter !  Merci et bon cocooning avec bébé ;)</t>
  </si>
  <si>
    <t>Très satisfait Très satisfait. S'est très bien "comporté" sur un devidoire contrairement a une autre marque acheté chez bricolex. J'achèterai a nouveau</t>
  </si>
  <si>
    <t>Top Très bonne qualité</t>
  </si>
  <si>
    <t>conformité conforme , livré bien protégé.</t>
  </si>
  <si>
    <t>Parfait Très Bon produit Conforme à la description du site Et les délais de livraisons ont été respectés Reçu dans les temps Je recommande</t>
  </si>
  <si>
    <t>film alimenatire alimentaire</t>
  </si>
  <si>
    <t>Footing J'aime beaucoup, les écouteurs tiennent bien dans l'oreille, je les ai achetés pour aller courir,et j'en suis vraiment ravi. Plus de fils le long du corps qui nous gêne quand on court. Ils se connectent très bien avec ma Garmin Fenix 5 plus. A voir dans le temps.</t>
  </si>
  <si>
    <t>Basket led Très belle paire de chaussure ma fille est très contente pointure correspond ,de bonne qualité à voir dans le temps</t>
  </si>
  <si>
    <t>Très bien Élégant et tout fonctionne comme prévu. J'avais quelques craintes sur les capacités de rechargement solaire, mais elles étaient infondées. Attention, l'affichage est en anglais.</t>
  </si>
  <si>
    <t>Parfait ! le meilleur rapport qualité prix que j'ai pu tester. Non seulement les écouteurs sont jolis et compacts, mais en plus ils ont une qualité vraiment au top, des aigus parfait ainsi que des basses bien présente.  L'autonomie est de plus de 5h et ont peut les recharger au moins 10x avec la base. Il est très agréable de lâcher les écouteurs dans la base sans qu'ils tombent car ils sont aimenté et se mettent tout seuls en charge.  Aussi aucun soucis pour les allumer et les éteindre ainsi que les appairer, ils font tout ça tout seul du moment que vous les sortez ou entrez de leur base.  Je recommande vraiment ce produit, je ne peut vraiment plus m'en passer.</t>
  </si>
  <si>
    <t>Style vintage Offerte à mon petit frère de 24 ans, qui ne l'a pas encore cassée, et il la porte toujours. C'est un exploit :) Style vintage, sympa.</t>
  </si>
  <si>
    <t>Nickel Bon rapport qualite/prix, par contre comme c'est un microhpone dynamique il a besoin d'un amp assez puissant: celui du lexicon alpha ne suffisait pas, j'ai donc achette un preamp (ART tube mp pour ~40 eur) et ca marche impec. Avec un bras pour fixer le micro il est parfait pour stream/podcast.</t>
  </si>
  <si>
    <t>Casque audio JBL T450 filaire Une chose qui est sûr c est que l on ne se cassera pas les oreilles avec ce casque audio, impossible de devenir sourd avec celui là! Aucun volume, on ne peut même pas apprécier la qualité de son car le volume reste beaucoup trop bas. JE NE LE CONSEILLE PAS DU TOUT aux personnes qui aime le bon son à volume élevé.</t>
  </si>
  <si>
    <t>Casquette pour enfant Casquette vraiment minable la casquette n'est pas assez résistante pour ce tenir debout elle tombe raide quand je la mais on dirait que mon crâne et enfoncer sous 3 mètre</t>
  </si>
  <si>
    <t>Nul S épluche au moindre contact avec du tissu.</t>
  </si>
  <si>
    <t>Belle et pratique mais fragile Réglage de température et ergonomie convaincantes. Seul bémol, la machine a lâché avant le terme d'un an. Retour et échange très rapide d'Amazone. J'espère que la nouvelle ne va pas me lâcher aussi vite.</t>
  </si>
  <si>
    <t>Bruyantes Assez déçu, ayant déjà eu des gazelles achetées sur le site Adidas je ne m’attendais pas à ce qu’elles couinent.</t>
  </si>
  <si>
    <t>Très bien M’a été très utile pour des temps assez mitigés. Pour l’avoir testé en rando, ça m’a très bien servi suivant la temperature qui variait assez souvent dans la journée</t>
  </si>
  <si>
    <t>Montre de tous les jours,  sympa Montre de tous les jours,  agréable à porter</t>
  </si>
  <si>
    <t>Bien J'était aller ésaillé la paire en magasin avent de l'acheter donc pour la taille pas de problèmes ! Par contre le noir c'est un peut délaver avec le temps dômmage je vais voir pour les recolorer à la machine</t>
  </si>
  <si>
    <t>Très doux, Pour jouer à la pétanque</t>
  </si>
  <si>
    <t>Parfait Appareil de très bonne qualité. Attention tout de même à la puissance de l'appareil, je règle entre 2 et 3 sur 6, au delà je commence à produire du charbon !</t>
  </si>
  <si>
    <t>super sympa et facile d'utilisation Ce produit a été un cadeau, il fonctionne à merveille et est très design. seule remarque il est super léger et peut nécessité sa mise hors de portée des enfants.</t>
  </si>
  <si>
    <t>Bouilloire C'est une bouilloire qui a du style, on peut choisir sa température,  ce qui évite d'avoir à attendre pour boire son thé ou son infusion.  Cadeau qui a fait plaisir. Seul bémol, elle bipe quand on la pose sur son socle.</t>
  </si>
  <si>
    <t>impeccable super produit de bonne facture Super produit! Je cherchais un petit sac pour mon iPad mini et c'est juste ce qu'il me faut avec suffisamment de compartiment</t>
  </si>
  <si>
    <t>Excellent produit à ce prix J’aime bien . Le rapport qualité/prix est quand même très bon. Les écouteurs isolent bien du monde extérieur mais la qualité du son n'égale Pas des écouteurs avec fil de bonne qualité. Cela fait bien un mois que j’ai reçu ces écouteurs avec 3 jours de retard: la batterie me tient environs 8 heures ce qui me fait 4 jours d’utilisation pour ma part. Elle se charge en 30 minutes.</t>
  </si>
  <si>
    <t>Bon produit pour combattre la cellulite Ce petit appareil de massage procure bien être et a déjà un impact sur la cellulite.</t>
  </si>
  <si>
    <t>toujours une bonne marque depuis l'achat de mon imprimante Canon je n'utilise que de cartouche Canon que je commande via Amazone</t>
  </si>
  <si>
    <t>préférence de mon fils Bon rapport qualité prix, mon fils préfère les biberons mam depuis sa naissance</t>
  </si>
  <si>
    <t>Super comptant 👍👍👍👍👍 J'avais déjà commandé un exemplaire et j'avais été épaté par la qualité de ces écouteurs. Je viens  d'offrir cet exemplaire à mon ado : le mega sourire ! Il a adoré le design. L'insertion dans l'oreille se fait bien (plusieurs ambouts) 1 semaine après, il est toujours aussi heureux et enchanté. 👍👍👍👍👍</t>
  </si>
  <si>
    <t>Simple et beau Simple et fait exact ce qu'on lui demande. J'y mets mon casque blutooth tous les soirs. Du coup il fait ranger et non plus en désordre.</t>
  </si>
  <si>
    <t>EXCELLENT Très confortables, solides, et me vont comme un gant. Je suis parti au VN avec pendant 1 mois, en revenant ils sont toujours solides. Du coup je les utilise pour la maison.</t>
  </si>
  <si>
    <t>Top Super nettoie bien ne raye pas les biberons. Je l'utilise avec le liquide special biberon de la meme marque et aucun résidus de lait ne résiste ;-)</t>
  </si>
  <si>
    <t>Cadeau idéale Ayant offert ce cadeau à ma mère pour son anniversaire, elle a été ravie. Nous n’avons jamais eu de problème avec. De plus, il possède différente fonctionnalité qui sont très utiles (massage chauffant comme massage sans chaleur).</t>
  </si>
  <si>
    <t>Qualité Dodie Coffret de biberons. Grande qualité Dodie, et en plus ils sont super jolis. Beau cadeau à faire.</t>
  </si>
  <si>
    <t>tres bien Tres bien tres pratique tous les ans je rachète  la même  recharge  et je suis jamais decue.  Cest complet et livré  rapidement</t>
  </si>
  <si>
    <t>Très decu Très déçu de la taille des pierres,très petites.</t>
  </si>
  <si>
    <t>appareil qui ne marche pas la fonction bulles ne marche meme pas , l'appareil a etait utiliser que 3 fois depuis 2 mois et deja lafonction bulles ne marche plus du tout , en plus il fait trop de bruit et la fonction chaleur reste la meme pour chaque temperature. je demande a etre romboursé</t>
  </si>
  <si>
    <t>Pas du tout waterproof, dangereux On a acheté ces chaussures pour un trek de plusieurs jours, car ils étaient "waterproof", cependant, le premier jour de pluie fine et meême avec des guêtres de qualité et un pantalon impermeable, l'eau est rentrée par l'avant du chaussure, causant des ampoules car les chaussures sechaient très lentement a l'interieur. Vraiment dangereux pour la randonnée. Deçue.</t>
  </si>
  <si>
    <t>Bien La semelle s'affine vite mais pour des chaussures secondaires ca fait l'affaire.</t>
  </si>
  <si>
    <t>Montre sympa La montre est jolie, pas trop grosse, elle est de bonne qualité, j'espère qu'elle vieillira bien.</t>
  </si>
  <si>
    <t>chaussettes de sport jolies et solides J'achète chaque année ces petites chaussettes de sport, elles sont en coton et absorbent bien la transpiration. Elles restent très blanches après de nombreux lavages et sont solides; elles peuvent durer toute la bonne saison, elles correspondent donc à que j'en attends, mais attention, elles taillent assez petit.</t>
  </si>
  <si>
    <t>PAS DE NOTICE EN FRANCAIS CAFETIERE QUI A L AIR PRATIQUE JE VIENS DE LA RECEVOIR SEUL GROS PROBLEME PAS DE NOTICE EN FRANCAIS</t>
  </si>
  <si>
    <t>Contente Nombre correspondant à la description. Contente de la commande</t>
  </si>
  <si>
    <t>Parfait. Bonne chaussure, fidèle à la description.</t>
  </si>
  <si>
    <t>Bluffant Ce scotch est tout simplement incroyable ! Cela faisait plusieurs mois que je cherchais à bloquer ma boîte aux lettres sans créer de trou supplémentaire et j'ai essayé ce scotch sans y croire réellement et depuis ça n'a pas bougé ! Pourtant les conditions sont rudes à l'extérieur : froid, pluie, soleil, etc. Et maintenant tout y passe : les plinthes récalcitrantes, les meubles à rafistoler, les objets à fixer sur un mur, etc. Rien ne lui résiste ! Attention tout de même : le revers de la médaille est qu'une fois collé, impossible de faire marche arrière comme un simple adhésif.</t>
  </si>
  <si>
    <t>Hilarant ! Cet article est un de mes meilleurs achats. Plus besoin d’allumer la télé et la sono pour les soirées Karaoke, le micro fait le travail ! L’enceinte intégrée donne un son aussi bon  que puissant. Possibilité de connecter son téléphone et, avec la fonction karaoke, de n’envoyer que la musique sur l’enceinte. Le micro propose de changer la voix de 4 manières différentes, ce qui rend la chose hilarante. Je recommande vivement cet achat.</t>
  </si>
  <si>
    <t>conforme conforme à la description, fonctionne parfaitement. Pratique pour le voyage lorsque l'on n'a pas de bouilloire dans une chambre d'hôtel.</t>
  </si>
  <si>
    <t>légère, agréable, belle Ces baskets sont pour ma femme. Elle a aimé son dégradé de couleur. Sa légèreté quand elle  les porte, elle a l'impression qu'elle n'a rien aux pieds. Bon rapport qualité prix.</t>
  </si>
  <si>
    <t>Super produit Très bon produit qui soulage parfaitement il m'évite à certain moment de prendre des anti douleurs. Au début pratiquer de petit temps de massage sinon vous aurez l'effet inverse se qui est dommage !!!! Emballage parfait une petite housse de transport aurait été appréciable pour le rangement et transport. Je suis tellement satisfaite que j'ai commandé le même mais pour la nuque.</t>
  </si>
  <si>
    <t>Pratique Lors d'un déplacement pour quelques jours, elle nous a rendu service pour faire chauffer l'eau pour le thé et café ! pratique, chauffe vite et bonus avec les tasses livrées avec !!!!</t>
  </si>
  <si>
    <t>Grand , élégant Grand , élégant le porte doucement à beaucoup de poche et de rangements meme une poche prévu pour tablette ou pc portable. Conforme à l’annonce, belle finition</t>
  </si>
  <si>
    <t>Excellent C'est pour moi un premier pas sur le micro indépendant. J'ai choisis celui-ci pour sa popularité. Ma voix est beaucoup plus nette, ça rajoute un petit coté semi-pro a votre bureau. Combiné avec un pied à micro ( à acheter a part ) cela permet de le placer comme on le souhaite. Ainsi même en chuchotant vous serez entendus. Je suis ravis.</t>
  </si>
  <si>
    <t>“Hyper doux et confortable comme dans les bras” C est cadeau surpris pour ma copine qui vient de partir au nord.  Elle est super touchée et contente! Elle m’a dit que c’est hyper doux et confortable bien chauffant juste comme dans mes bras haha! Très pratique avec ces 7 Niveaux de température. Je suis très content pour cette commande ! Je le recommande!</t>
  </si>
  <si>
    <t>Frôlent la perfection Les "+" : - oreillètes discrètes une fois positionnées - légères : une fois bien installées dans l'oreille, on finit pas ne plus trop y faire attention - les oreillettes se (dé)connectent automatiquement dès qu'on les met/ôte - la fonction qui permet de mettre en sourdine la musique pour écouter quelqu'un qui nous parle est vraiment très pratique - le boîtier de recharge est très utile et assez petit pour être mis dans un sac à main : il permet de ranger les oreillettes et de les recharger en même temps (aucune excuse pour perdre une oreillette !) - la fonction réduction du bruit est vraiment appréciable - rien à redire niveau autonomie - aucun problème de synchro gauche / droite - je peux m'éloigner de mon téléphone dans la maison, les oreillettes restent connectées Les "-" : - pas de commande du volume sur les oreillettes : ça me manque ... De vrais petits bijoux, ces écouteurs !</t>
  </si>
  <si>
    <t>Un classique à recommander J'avais acheté cette Seiko 5 pour ma première automatique, relativement accessible comparé à d'autres montres automatiques de la même entreprise, et je la porte en semaine puisqu'elle est passe-partout.  - Boîtier : Le boîtier est adapté au petit poignet. La montre est légèrement brossée, mate, très simple. Dans le noir, la technologie Lumibrite de Seiko est vraiment efficace, on peut lire l'heure assez facilement. - Bracelet : Le bracelet Nato est assez solide, même après un an d'utilisation, je ne vois pas de trace d'usures, et il est lavable. - Précision : La montre est assez précise avec un décalage d'environ -10sec/jour, ce qui est tout a fait correct, sachant que la réserve de marche est d'environ 40h, je la réajuste tous les débuts de semaine ce qui n'est pas contraignant.</t>
  </si>
  <si>
    <t>Chaussures magnifiques J'ajoute a mon commentaire le que même après 3 mois d'utilisation intense aucune perte de qualité est à constater, la semelle etc tout est toujours au top.La taille a me vas parfaitement, La livraison était très rapide, L'emballage était super bien.La taille habituelle convient très bien.Je recommande fortement cette article.Taille parfaite, conforme des , qualité chaussures confortables, choix de couleurs très large, très fun.C'est un très bon rapport qualité/prix.Je les recommande à toutes les femmes qui veulent être jolies sans avoir mal au jambes en fin de journée</t>
  </si>
  <si>
    <t>Excellent Excellente qualité, comme j'attendais de cette marque. Les chaussures sont robustes et sont très confortable. Seul petit bémol, elles tiennent chaud aux pieds. Je ne le traite pas vraiment comme argument négatif parce qu'en hiver on peut être très content de les avoir !</t>
  </si>
  <si>
    <t>bel objet de belles finitions, une bonne qualité, solide, se fixe sans problème et diffuse de façon agréable sans que ça soit entêtant, livré avec un joli sachet en velours, c'est parfait</t>
  </si>
  <si>
    <t>🙁 🙂</t>
  </si>
  <si>
    <t>ne colle pas Très déçu c'est simple, le scotch double-face ne colle que d'un coté. donc ce n'est pas du double-face. vraiment très déçu, surtout pour du scotch "Performance Extreme"</t>
  </si>
  <si>
    <t>Avis mitijer sur cet achat Chauffe biberon plutôt difficile à utiliser (surtout à 3h du matin) il faut doser la quantité d'eau suivant le type de biberon et la quantité de lait.</t>
  </si>
  <si>
    <t>utile mais rapport qualité prix facheux L'appareil chauffe l'eau rapidement mais contrairement à ce qu'on dit, on ne peut faire son bibi à une main... En outre, au bout d'un mois et demi d'utilisation à raison de 5 fois par jour, le robinet fuit.</t>
  </si>
  <si>
    <t>BEL ENSEMBLE RAS trèsbon</t>
  </si>
  <si>
    <t>Conforme taille parfaite Très confortable bon rapport qualité prix</t>
  </si>
  <si>
    <t>Pratique Casque très sympa au vu du prix. Juste le câble derrière la tête n est pas ajustable et donc il est inesthetique quand il est trop large</t>
  </si>
  <si>
    <t>Bon produit Tres bon produit, la tetine du biberon est vraiment bien, tres souple comparé a d'autre marque, si bien que mon fils de 5 mois joue surtout avec. Il l'a accepté sans souci. La prise en main est simple pour des mains d'adultes ou de bebe. Bon produit dans l'ensemble</t>
  </si>
  <si>
    <t>tres tres bonne qualité à recommandé bonjour pour toute les huiles de chez enaissance il faux les découvrir ,car elle sont de très très bonne qualité l'odeur est ce que l'ont attend d une huile ,parfume toute la maison ,pas uniquement la pièce! chaque huile a sa particularité et sont parfum et pour temps il sont tous parmi tous ceux que j ais essayé LES MEILLEURS,je vous avoue que je vous les recommandes et je l’inscrit pour chaque de ces huiles mercis</t>
  </si>
  <si>
    <t>Silencieux et efficace .... Massage du cou .... superbe !!! Très satisfait ..</t>
  </si>
  <si>
    <t>Très bien Produit totalement conforme au descriptif. C est très pratique d avoir autant de pinceaux de taille et forme différentes. Très sympa pour les activités des enfants</t>
  </si>
  <si>
    <t>Grande quantité Cartouche 3 couleurs qui fonctionne parfaitement sur mon HP Envy 7640. Les couleurs sont fidèles, la quantité restante est bien affichée par le logiciel comme par l'imprimante. L'avantage de la cartouche de marque par rapport à certaines "compatibles" parfois décevantes.</t>
  </si>
  <si>
    <t>Parfait !! Très bon rapport qualité prix pour du câble de belle facture. Allez y sans hésiter !!</t>
  </si>
  <si>
    <t>Rapport qualité/prix génial! Alors que je n'en attendais pas grand chose vu le prix, je suis agréablement surpris et très satisfait.  Je l'utilise avec un Bird UM1, et le bras ne bouge pas avec le poids du micro.</t>
  </si>
  <si>
    <t>Conforme Impeccable</t>
  </si>
  <si>
    <t>la qualité feutre faber caster avec plusieurs diam de pointe y en a pour tout les goût et puis le rapport qualité prix de faber castell j'adore</t>
  </si>
  <si>
    <t>Le goupillon parfait pour les biberons Je l'utilise pour nettoyer les bibs de mes filles et mon tire-lait. Le petit goupillon intégré est parfait pour atteindre les zones difficiles du tire-lait et pour les tétines de biberon.</t>
  </si>
  <si>
    <t>Excellent Ma fille ne jure que par Mam on a abandonné philipps avent, les produits mam son très bien adaptés pour notre bébé</t>
  </si>
  <si>
    <t>La meilleure des g shock Comme d habitude chez casio,c est solide,de qualité et d un rapport qualité prix imbattable !! Moi,l affichage inversé de ce modèle ne me gène absolument pas surtout quand il est pratiquement a moitié prix du modèle classique..... Achetez,vous ne trouverez pas mieux dans cette gamme de prix... Merci Amazon, acheté dimanche matin et livré lundi midi:):)</t>
  </si>
  <si>
    <t>Forme et couleur trop bien J’adore ces chaussures ! Les couleurs sont bien harmonieuse et elles ont une bonne forme. De base je suis plutôt chaussure de marque mais celle la me convienne parfaitement</t>
  </si>
  <si>
    <t>le nombre de copies bien pour l'impression moins bien pour les photos mais, cela provient peut être de l'impromante</t>
  </si>
  <si>
    <t>Super Reçu rapidement pantalon agréable à porter toucher soyeux et chaud Hestetique sympa taille bien Pour Moi 1,82m 82kg taille L impeccable Je vais m'en reccomander un autre</t>
  </si>
  <si>
    <t>Vêtements de qualité mais taille erronée Il taille très petit. J'ai commandé une taille XL qui devait correspondre à une taille M</t>
  </si>
  <si>
    <t>Une joyeuse catastrophe ! Un conseil : A utiliser sur des cadres purement décoratifs de faible valeur et ultra légers. Le risque, en tombant, est d'endommager soit vos tableaux, soit vos peintures ou revêtements et à minima de vous faire perdre votre argent. Pire, en renonçant finalement au produit, ce dernier peut s'immortaliser sur vos cadres. Autre soucis : La moitié des languettes sont défectueuses et n'adhèrent pas au mur ou à votre support. A fuir ! Je ne recommande pas ce produit !</t>
  </si>
  <si>
    <t>Défectueuse C est très fragile . J avais offert ca à ma mère.  Elle ai as porté 2 fois . Et elles se sont troué.  Donc la qualité n est pas top</t>
  </si>
  <si>
    <t>Semelle raide Fidèle à la photo mais la semelle est ultra raide et fine. Je me suis dit qu'avec le temps ça allait s'assouplir mais pas du tout. L'ensemble n'est pas très raffiné. Par contre il faut reconnaître qu'ils sont ultra résistants. Mais personnellement, pour rester chez moi, je préfère quelque chose de plus confortable</t>
  </si>
  <si>
    <t>bon article Bon article pour tous les lycéens auxquels cet article est demandé par les profs de géo. Petit bémol en revanche pour un prix un peu cher pour une règle en plastique perforée.</t>
  </si>
  <si>
    <t>Attention pour le BIRD UM1 La bonnette pour le BIRD est un peu petite faites attention a pas trop tirer dessus sous peine de l'arracher. Note Provisoire.</t>
  </si>
  <si>
    <t>Pour les hommes. Idéale pour un jeune homme. Les pochettes pour carte grise passent dedans mais pas plus grand que cela, un peu décevant, un peu plus grand serait un peu mieux mais je recommande car elle est pratique.</t>
  </si>
  <si>
    <t>Satisfait Satisfait du sac, le rangement a l'avant pourrais être mieux pensé, mais très bien au quotidien</t>
  </si>
  <si>
    <t>Joli Très joli et agréable à porter</t>
  </si>
  <si>
    <t>Exellent produit Il coûte 5 euros en super marché....</t>
  </si>
  <si>
    <t>Gratte-langue arista Très bien, je recommande. En effet le fait qu'ils soient en cuivre est un vrai plus, cela fera fuir les bactéries. Bon rapport qualité/prix.</t>
  </si>
  <si>
    <t>Écouteurs bluetooth Ces écouteurs sont parfaits pour réaliser une activité physique tout en écoutant de la musique. La qualité du son est très bien. Je suis satisfaite de cet achat</t>
  </si>
  <si>
    <t>Top Il s’agit d’un très bon produit j’étais assez sûr de moi quand je l’ai acheté c’est du Canterbury voilà je recommande</t>
  </si>
  <si>
    <t>bon vendeur rien à redire. Livraison extrêmement rapide et produit conforme à la description. La couverture fait un peu "plastique" (on n'est pas dans l'imitation cuir c'est sûr) mais franchement à l'intérieur c'est nickel. De grandes pages pour pouvoir tout noter, des espaces notes supplémentaires et un calendrier grand format. Je recommande</t>
  </si>
  <si>
    <t>Parfait produit &lt;div id="video-block-R1TBYGDRHDTMXM" class="a-section a-spacing-small a-spacing-top-mini video-block"&gt;&lt;/div&gt;&lt;input type="hidden" name="" value="https://images-eu.ssl-images-amazon.com/images/I/61ovvagf1qS.mp4" class="video-url"&gt;&lt;input type="hidden" name="" value="https://images-eu.ssl-images-amazon.com/images/I/912mHjwYeyS.png" class="video-slate-img-url"&gt;&amp;nbsp;Magnifique produit ; très belle finition ! Les Leds changent de couleur  ; superbe ambiance grâce à ça ! La machine fume directement et dégage une odeur très agréable ( testé avec huile essentielle eucalyptus ! Je recommande vivement ce produit</t>
  </si>
  <si>
    <t>Une bonne surprise Simples et efficaces. C’est vraiment les 1ers mots qui me viennent à l’esprit. Je les ai achetés pour pouvoir écouter tranquillement ma musique et mes films sans m’encombrer de fils et ils font bien l’affaire.  J’ai testé la liaison avec un iPhone, un iPad, un Samsung Galaxy et un MacBook Air. Elle est stable et se met en place rapidement. Il suffit d’activer le Bluetooth et de cliquer sur les écouteurs dans la liste des appareils détectés et le tour est joué. Vous aurez une petite voie qui vous indiquera que le jumelage c’est bien passé (dommage qu’elle soit exclusivement en anglais mais pas vraiment gênant).  A noté pour les adeptes des appareils Apple que ces écouteurs fonctionnent très bien avec SIRI. Il suffit de tapoter 3 fois sur l’une des deux oreillettes pour qu’il se réveille. Un autre grand plus que je leur trouve, c’est la possibilité de contrôler le volume d’écoute directement depuis les écouteurs sans passer par le téléphone (il suffit de faire un clic allongé sur l’oreillette droite ou gauche pour respectivement augmenter ou baisser le volume), très ingénieux.  Pour la tenue sur l’oreille, vue la taille du bloc principale, j’étais un peu sceptique mais ils tiennent bien finalement. Je n’ai pas non plus fait du sport avec mais ils tiennent suffisamment bien pour ne pas bouger. En plus, les embouts siliconés de différentes tailles permettent de bien les adapter à son oreille.  Le boitier quant à lui est très sympa. Le placement des écouteurs se fait facilement car aimanté ce qui fait que le boitier les aspire dès qu’on les approche. Le plus grand plus de ce boitier je trouve que c’est la prise USB permettant de recharger directement un téléphone si besoin. Coté charge, ça tiens la route, mais je ne suis pas encore arrivée au bout de la charge pour dire combien de temps ils tiennent en utilisation car a chaque fois que je les remets dans le boitier ils se rechargent directement et c'est repartit pour un tour.  En ce qui concerne les points négatifs, je trouve l’ouverture du boitier un brin résistante. Il faut un peux forcer dessus pour l’ouvrir (mesdames, attention aux ongles). Néanmoins, ils restent pour moi un bon compromis, aucun regret.</t>
  </si>
  <si>
    <t>Très joli bijoux J'ai offert ce bijoux à ma femme et elle est ravie! La qualité est au rendez vous surtout pour ce prix. Le bracelet est emballé dans une boite de très bonne facture aussi. Les images parlent d'elles même. Ce bracelet infini a totalement fait son effet. Je recommande à 100%.</t>
  </si>
  <si>
    <t>Excellent. Excellent.</t>
  </si>
  <si>
    <t>Je le recommande Je l ai acheté l année dernière pour sa rentrée en 6ème. Elle  l utilisera encore en 5ème.  Très bonne qualité</t>
  </si>
  <si>
    <t>Hydratante Hydratante</t>
  </si>
  <si>
    <t>Très bon produit! Très bon casque! réduction du bruit au top, et une très bonne qualité sonore!</t>
  </si>
  <si>
    <t>Parfait en tout point!!! Parfait en tout point!!!</t>
  </si>
  <si>
    <t>Très jolie. Superbe casquette. Bonne qualité belle couleur. Je recommande</t>
  </si>
  <si>
    <t>Parfait ! Livraison rapide et des produits qui m'ont permis de restaurer mes vieilles platines qui n'avaient pas tourné depuis plus de 30 ans.  Encore merci</t>
  </si>
  <si>
    <t>Excellente lampe pour un enfant! J'ai achete' cette lampe en 2 exemplaires pour mes enfants de 4 et 8 ans. Les articles sont arrives a temps. Le paquet est nikel! La lampe a LED a 3 modes d'intensite de lumiere blanche et la lumiere d'ambiance en different couleur qu'on peut changer et allumer separaement. Dommage qu'il n'y a pas de batterie rechargeable - on doit etre tout le temps connectr a prise courant. La lampe est de tres haute qualite et donne une super lumiere! A recommander!</t>
  </si>
  <si>
    <t>Très Moyennes et déçu je les ai commandées pour jouer au tennis , la tenu au pied est très moyenne ,elles sont trop souples le pied a tendance à glisser en rotation dedans, la sensation n'est pas très agréable au tennis on a besoin que le pied soit tenu, je pense que c'est du au type de textile utilisé. pour le prix faillait pas s'attendre à de la super qualité et ce malgré les nombreux commentaires positifs que j'ai pu lire avant d'acheter, c'est très moyen je les utiliserai en dépannage .</t>
  </si>
  <si>
    <t>Trop grand Arrivé avec deux tailles au dessus</t>
  </si>
  <si>
    <t>Cartouches non compatible. Bonjour je viens à vous suite à l'achat de plusieurs cartouches pour mon imprimante apparemment cette dernière n'étant pas valide avec mon imprimante d'où  l'envoie de cette dernière en réparation et suite à cela on m'informe que les cartouches utiliser était pas compatible avec mon imprimante malgré les mêmes références merci de prendre en compte ma revendication et la demande de remboursement Cordialement</t>
  </si>
  <si>
    <t>Traitement des tâches sur le cuir Les tâches n’ont pas été éliminées . De préférence recours au teinture couleur beige et par la suite utilisée un polish pour la brillance . Cordialement</t>
  </si>
  <si>
    <t>classique, mais de bonne qualité. Un peu trop sensible a l'arrachage des câbles. Mon fils en consomme au moins un par an, du a l'arrachage des câbles</t>
  </si>
  <si>
    <t>Super Très belle montre. Bonne idée pour l'étanchéité : visser la molette de remise à l'heure pour garantir la montre étanche. Ce n'est pas le cas pour d'autres grandes marques : il en résulte que l'axe du remontoir se casse. Mais pour cette montre Guess, ce ne sera certainement pas le cas. Juste un détail : pas de mode d'emploi pour la mise en service : changement de la date et du jour de la semaine. C'est pourquoi une étoile de moins.</t>
  </si>
  <si>
    <t>Efficace et sent bon, mais cher ! J'utilise ce produit avec le Bissell CrossWave, et il a une bonne odeur et nettoie parfaitement. Cependant le flacon est assez rapidement vidé (environ 6 sessions de nettoyage), et à presque 20_x0010_€ le flacon, cela revient nettement plus cher qu'un sac aspirateur ! Quand on voit le prix des nettoyants universel type arbre vert&amp;nbsp;&lt;a data-hook="product-link-linked" class="a-link-normal" href="/L-arbre-vert-Nettoyant-Multi-Surface-Citron-1-L-Lot-de-4/dp/B071CZJ17R/ref=cm_cr_getr_d_rvw_txt?ie=UTF8"&gt;L'arbre vert Nettoyant Multi-Surface Citron 1 L  - Lot de  4&lt;/a&gt;&amp;nbsp;qui coute 10x moins cher au litre, on se dit qu'ils doivent se faire une sacré marge !</t>
  </si>
  <si>
    <t>Bien Ces attaches me servent à la confection de bijoux personnalisé. Très pratique, peu cher et la qualité ne me semble pas mauvaise.</t>
  </si>
  <si>
    <t>Bien coupé Plutot fine. Ca n'est pas pour la Siberie mais l'entre saison, primtemps ou automne. Souvent ces choses ne couvrent pas le dos - ca remonte - là ca semble okay. Durera t il 10, 20, 50 lavages ? Qu'importe, pour 14 EUR, livré,  je considere ca comme du consomable. J'en ai commandé deux.</t>
  </si>
  <si>
    <t>Elle est malgré tout très bien. On a dû mal à voir sur le côté la graduation.</t>
  </si>
  <si>
    <t>Bel objet fonctionnel. Ce diffuseur d'huile essentielle par ultrasons est silencieux. Il produit une brume chargée de micro-gouttelettes d'huiles essentielles. Une quantité d'huile minimale, environ 20 gouttes, permet une diffusion pendant une heure. L'objet est assez silencieux pour être utilisé la nuit pendant le sommeil. Le nettoyage est facile.</t>
  </si>
  <si>
    <t>Bon produit Bien adaptées pour le Taï Chi. Correspond à mes attentes.Bon rapport qualité / prix.</t>
  </si>
  <si>
    <t>Top Conforme  a la description,  et surtout c est le seul endroit ou j arrive a m approvisionner car beaucoup de magasins de puériculture n en ont pas.</t>
  </si>
  <si>
    <t>Très fiable Agrafes standards. Fonctionnent très bien. Marque que l'on peut acheter comme d'habitude les yeux fermés.</t>
  </si>
  <si>
    <t>Super chaussure Super produit ma 3 ème paires que j achète en trois ans.. Je l ai portes tous les jours  .... Des chaussons et résistance...de plus sans odeur de pieds... Je recommande en plus pas chères..</t>
  </si>
  <si>
    <t>Bouilloire au top Très beau produit et très pratique d’utilisation</t>
  </si>
  <si>
    <t>Montre Casio Très bon rapport qualité/prix. Lecture de l'heure aisée en raison des inscriptions blanches sur le cadran. Étanchéité de 100 m...pratique pour se doucher ou pratiquer des sports nautiques avec sa montre. Montre livrée dans sa boîte en carton avec mode d'emploi en langue française.</t>
  </si>
  <si>
    <t>Taille bien Utilisation de tous les jours,, j’aime le style</t>
  </si>
  <si>
    <t>Pratique pour les filles fan de karaoké &lt;div id="video-block-R3MLAUH2YYYL2X" class="a-section a-spacing-small a-spacing-top-mini video-block"&gt;&lt;/div&gt;&lt;input type="hidden" name="" value="https://images-eu.ssl-images-amazon.com/images/I/A14Ruf57R6S.mp4" class="video-url"&gt;&lt;input type="hidden" name="" value="https://images-eu.ssl-images-amazon.com/images/I/818jQbWlkaS.png" class="video-slate-img-url"&gt;&amp;nbsp;Micro super sympa pour l anniversaire de ma nièce. Elle pourra jouer avec tranquillement en bluetooth avec son smartphone.bonne qualité de son réglable.</t>
  </si>
  <si>
    <t>Très agréable et soulage bien J'ai testé ce masque en mode chauffé au micro-ondes. C'est rapide et efficace pour soulager mes yeux secs et je pense aussi que cela peut aider pour s'endormir. La chaleur apaise. Ne pas oublier d'ôter l'élastique le temps du chauffage pour ne pas l'abîmer. Très contente de cet achat et de son prix. Livraison rapide.</t>
  </si>
  <si>
    <t>Sac très joli et pratique Ce sac est très sympa, va avec tout. Beaucoup de rangement à l'intérieur. Super contente</t>
  </si>
  <si>
    <t>nikel comforme au attende</t>
  </si>
  <si>
    <t>earpods excellent produit, je recommande ++++++++</t>
  </si>
  <si>
    <t>Déçu par l'affichage qui reste allumé en permanence J'ai re-acheté cette bouilloire que j'avais déjà possédé il y a quelques années et dont j'avais du me séparer, et je suis très déçu par cette nouvelle version de l'afficheur, qui bien que similaire au précédent, affiche "---" pour indiquer que la température de l'eau est inférieure à 50°C, même quand la bouilloire est vide est qu'elle n'a pas servi de toute une nuit... La précédente s'éteignait toute seule au bout d'un moment alors que celle-ci ne s'éteind jamais.</t>
  </si>
  <si>
    <t>Ne s'efface pas Utilisé sur un tableau noir en tôle, cela ne s'efface pas sauf avec de l'alcool à brûler et en frottant fort, mais vraiment très fort. A fuir d'urgence. 1 étoile parce que je ne peux pas mettre moins.</t>
  </si>
  <si>
    <t>manque une brosse je reçois ce jour le masseur mais je constate qu'il manque la brosse  numero 9 "dry brush" exfoliante que je comptais bien utiliser</t>
  </si>
  <si>
    <t>qualité correcte + : prix, bonne coupe, coton assez épais, taille normalement - : bas de jambe trop serré</t>
  </si>
  <si>
    <t>. Livraison et article conformes - Bien</t>
  </si>
  <si>
    <t>80 microns, c'est fin... Le produit est de très bonne qualité et d'un bon rapport qualité/prix. Il est idéal pour protéger des pages imprimées ou des photos. Par contre, il est trop léger pour les dessins d'enfant un peu en relief, pour une utilisation intensive comme un menu de restaurant ou pour faire un panneau laissé dehors...</t>
  </si>
  <si>
    <t>Bonne qualité Cable qui semble de bonne qualité. Reste a voir dans le temps apres plusieurs utilisations et manipulations. Pour le moment, ras</t>
  </si>
  <si>
    <t>Théière à filtre Très bien car le thé ne devient pas amer si on en reprend. Joli design et bonne capacité de la théière</t>
  </si>
  <si>
    <t>stylos de très bonne qualité ce sont des stylos que j'ai toujours dans mon cartable. La mine est de taille parfaite et le produit est de bonne qualité</t>
  </si>
  <si>
    <t>Paires Chaussettes Travail Lot Hommes Coton 39-45 eur Paires Chaussettes Travail Lot Hommes Coton ravie des chaussettes super solides enfin sa fait plaisir de trouver enfin des bonnes chaussettes</t>
  </si>
  <si>
    <t>Très bonnes sandales Pour l'intérieur ou l'extérieur. J'adore !!!</t>
  </si>
  <si>
    <t>L emballage est soigné Pour la fête des mères</t>
  </si>
  <si>
    <t>Je recommande Goupillon parfait pour nettoyer le biberon de bébé ! Seul hic c'est que je l ai reçu en rose et que j attend un petit homme ! Mais ce serait du chipotage de râler pour Ca 😊😊</t>
  </si>
  <si>
    <t>Parfait Belle paire de chaussures , livré cependant en retard , mis ne changeant en rien la qualité du produit , reste à voir si elles tiendront avec le temps .</t>
  </si>
  <si>
    <t>Impec! Reçu rapidement. Bon produit</t>
  </si>
  <si>
    <t>Super cadeau Très bonne qualité</t>
  </si>
  <si>
    <t>Super ! Super !</t>
  </si>
  <si>
    <t>Qualité et prix sont au rendez-vous - Toile à la fois épaisse et souple - Hauteur de talons, juste ce qu’il faut, la plante du pied est respectée - Très confortable pendant la marche - Oui, pour des lacets pour le côté fashion - Oui, pour des ZIP pour le côté pratique</t>
  </si>
  <si>
    <t>Cette bouilloire semble bien pensée La résistance n'est pas "en contact direct" avec l'eau dans la bouilloire. Cela signifie que pour détartrer il n'y aura pas de risque de "court circuit" ! Quand l'eau est bouillante elle s'arrête automatiquement : pas de risque de "surchauffe" et d'usure du thermostat. Un bon "investissement". Je recommande.</t>
  </si>
  <si>
    <t>Montre avec beaucoup de fonctionnalités pour le prix Cette montre remplace une montre quasi identique Casio (OCW-520Tdont j'ai été très satisfait. Mise à l'heure radio pilotée très rapide à Paris. Je n'ai pas encore eu l'occasion de tester au Canada/USA ni en Grande-Bretagne mais ce sera bientôt fait. Mixte analogique (Aiguilles) et digitale (Nombres). L'affichage digital Date et heure) est plus grand que sur la précédente et c'est appréciable. Rechargeable solaire. C'est la fonction qui a lâchée sur la précédente après 7 ans de fonctionnement mais, sans doute par crainte d'aller à la décharge, elle refonctionne sans que j'ai compris pourquoi! La contre-parie c'est que l'éclairage est faible et de très courte durée à chaque appui. Elle n'est pas full auto LED light (C'est à dire éclairage automatique lorsque l'on relève le bras pour lire l'heure. Étanchéité 5 bars. C'est limite pour nager ou prendre sa douche (La précédente était étanche 10 bars et je n'ai pas eu de problème mais je ne fais pas de plongée de plus de 3 à 4 mètres). Attention car 5 bars veut dire 50m seulement si elle est immobile dans une eau stable. Dès que vous nagez ou plongez, la pression sur la montre augmente et avec 5 bars il ne faut pas descendre beaucoup. Enfin, la précédente était en Titane et celle-là en acier mais peut-être plus résistante aux rayures.</t>
  </si>
  <si>
    <t>Génial Achetée pour ma fille qui avait 8 mois à l'époque et sur recommandation de sa pédiatre, cette grignoteuse est simplement géniale. Cela permet à ma fille de manger de la pastèque, du melon ou autre fruit juteux, sans s'en mettre partout et lâcher les bouts. Elle est très facile à nettoyer et est vendue avec une tétine de rechange. J'ai choisi ce modèle, plutôt que ceux que j'avais pu voir dans le commerce, à cause de sa forme. En effet, la anse permet une très bonne prise en main, et bébé peut tenir sa grignoteuse tout seul. Je recommande ce produit.</t>
  </si>
  <si>
    <t>Fan !! Superbe article qui répond parfaitement à mes attentes. Design élégant et passe partout, robuste et finalement une montre qui sait se faire remarquer. Envoi ultra rapide</t>
  </si>
  <si>
    <t>Bof Couleur sympa mais qualité un peu bof. Malgré la taille au dessus on est un peu serré. Je m'attendais à mieux. Jaunisse un peu au soleil.</t>
  </si>
  <si>
    <t>Horrible Très mauvais son qui donne mal a la tête  Mauvaise qualité en dirait un jouet franchement nul</t>
  </si>
  <si>
    <t>Problème son Son différent entre les oreillettes</t>
  </si>
  <si>
    <t>communications il n'y a aucune informations en français donc assez difficile pour utiliser dans de bonne condition meme les documents ne sont pas en françaisi</t>
  </si>
  <si>
    <t>Bonne tétine mais pas assez souple pour un jeune bébé Ma fille est habituée aux avent natural. J'ai voulu essayé les classic car elle n'arrive pas à boire avec des biberons à tétine universelle. La forme de la tétine est bien car assez large pour éviter que bébé ne se l'enfonce complètement dans la bouche, en revanche le silicone utilisé est super dur et ma fille de 4 mois a beaucoup de mal à boire  malgré que je mette le débit sur 3. Je vais donc poursuivre avec les avents natural pour le moment.</t>
  </si>
  <si>
    <t>Bof Bof mais pour le prix ça va</t>
  </si>
  <si>
    <t>Chaussette a son pied Chaussettes de bonne facture qui ne glissent pas. Bon rapport qualité prix</t>
  </si>
  <si>
    <t>cafetière simple a utiliser café chaud, un peu trop bruyante, rapide</t>
  </si>
  <si>
    <t>Super content Une très bonne finition, une bonne autonomie, mais l'application Fossil plante assez souvent... Sinon satisfait du produit. Je le recommande.</t>
  </si>
  <si>
    <t>Bonne qualité Bonne qualité, se monte facilement. Contrairement aux réponses données il est possible de retirer la boucle (personnellement ca m'a permis de reprendre ma boucle de mon ancien bracelet). Je conseille ce produit.</t>
  </si>
  <si>
    <t>Cadeau de Noël apprécié Sitôt déballée, sitôt essayée. Belle bouillotte qui fonctionne très bien. Ma soeur est ravie de son cadeau. Charge rapide, chaleur qui dure longtemps... C'est ce qu'elle voulait !</t>
  </si>
  <si>
    <t>Tres bien Je savais à quoi m'attendre ce sont les tétines habituelles  des biberons de mon fils j'en ai racheté car les anciennes était animée. Si elle ne convenait pas je ne les aurais pas racheté</t>
  </si>
  <si>
    <t>Tout est Conforme à la description Emballage nickel. Produit conforme mais pas encore testé. Le fil a l'air rigide et de bonne qualité.  BLA BLA BLA</t>
  </si>
  <si>
    <t>Très sympa Ma fille est ravie de cet achat. Qualité / prix (y compris les frais de livraison) imbattable. Très confortable et un motif très originel pour aller avec ses hoodies un peu gothiques. Elle mesure environ 1m72 pour environ 62 kg et a pris un taille XL qui lui va parfaitement. Nous n'avons pas encore lavé le leggings. Je reviendrai mettre une mise à jour en cas de problème après le lavage. Sinon, franchement, nous recommandons vivement ce leggings.</t>
  </si>
  <si>
    <t>nickel bonne marque de feutres , ne sèche pas , à condition de bien refermer les bouchons :: produit conseillé - en revanche à ne pas utiliser pour du coloriage = trop fin</t>
  </si>
  <si>
    <t>crayon de couleurs castle art supplies coloriste confirmé je peux vous dire que ses crayon sont vraiment top pour moi je les compare aux prismacolors .tres beau crayon avec une belle palette de couleur .</t>
  </si>
  <si>
    <t>je le recommande Magnifique produit mon amie était super contente fait don effet</t>
  </si>
  <si>
    <t>conformité du produit Boitier électronique mis à l'extérieur.</t>
  </si>
  <si>
    <t>Excellent rapport qualité prix Je l’utIlise en essuie-tout. Je suis satisfaite de ce produit, excellent rapport qualité prix. Bonne absorption. Je recommande.</t>
  </si>
  <si>
    <t>Magnifique, plein  de couleurs Ce que j'ai aimé c la rapidité de l'envoi, La boîte de crayons  à couleurs qui est protége sous blister transparent,, boîte pas abimé,  crayons neufs pas abîmé, de très belles couleurs, les 120 crayons pr seulement 34, 99 € alors qu'en magasin pr 24 crayons tu as le même prix La qualité est belle, crayons de qualité, belles couleurs, joli design,  du choix, Je suis très contente !! merci^-^</t>
  </si>
  <si>
    <t>Super rapport qualité/Prix Parfait pour mon imprimante canon et avec une belle économie. Je recommande</t>
  </si>
  <si>
    <t>Niquel Très bien bonne taille</t>
  </si>
  <si>
    <t>Idéale à offrir quand on est tonton ou tata Nous avons offert ce livre à notre nièce pour qu'elle puisse manipuler ses parents lol. Et qu'elle comprennent pour il lui dise certaines choses</t>
  </si>
  <si>
    <t>Pas top Je l'ai acheté pour ma femme, elle aime pas du tout, cela lui fait mal au dos, je ne parle pas des cervicales. Il a servi 3 fois, nous allons le revendre</t>
  </si>
  <si>
    <t>Pas bon Il manque un paquet plus un autre vide ,très déçu de mon achat sa ne vaut pas le coup plus chère</t>
  </si>
  <si>
    <t>CONTREFAÇON DE BASKET Bonjour, J’écris ce commentaire tout en étant déçu. J’ai reçu la paire de Nike et voilà que je m’aperçoit que c’est une arnaque. Je vous explique, premièrement la boîte que j’ai recu était abîmé. L’étiquette sur la boîte n’est pas d’origine c’est une copie. Le numéro de série de la basket ne correspond à aucune basket nike. Ensuite, quand j’ouvre la boîte sur le papier à l’intérieur le logo Nike n’est pas représenter et dans les 2 baskets il y a du papier de la marque Levis, aller comprendre 🤔 et pour terminer la basket est beaucoup trop vernis. Je suis déçu car j’ai payer pour recevoir une contrefaçon à la maison. J’attend mon remboursement. J’espère que mon commentaire servira pour les autres clients. Au revoir</t>
  </si>
  <si>
    <t>Bien pour démarrer C'est un bras assez fonctionnel, juste assez bien pour démarrer les enregistrements quand on ne veut pas investir trop d'argent. Il m'a bien servi pendant quelques mois, et a même fait illusion quand à sa qualité pendant son utilisation. Le pied de fixation maintient correctement l'ensemble, mais c'est là où ça devient plus compliqué c'est sur les autres intersections du bras. Les molettes sont assez fragiles et contrairement à ce qui avait été indiqué, utiliser ce bras pour fixer des micros aussi lourd qu'un Yeti Blue Pro est une très mauvaise idée. Enfin ayant investi dans un bras de chez Rode, je vois immédiatement la différence de qualité. Là où le Eastshining grince et récupère une partie des vibrations, le Rode gère cela beaucoup beaucoup mieux. Encore une fois pas mauvais et toujours à recommander si vous avez un micro-budget, mais vous en aurez pour votre argent.</t>
  </si>
  <si>
    <t>Blanc en poudre Il faut savoir savoir que le produit est en poudre et qu'il faut le préparer pour en faire un gesso.</t>
  </si>
  <si>
    <t>Plus belle que sur la photo du site , dommage que cette marque soit trop chère et rarement soldé!!!! J'ai plusieurs paires de Converse en toile haute et base que je porte en été sur un jeans ou un bermuda,"indémodable" c'est ma première paires en cuir et je lès adore je regrette de n'avoir pas pu commander les mêmes en couleur rouille "taille 43 épuisé" maintenant je peut également porté des Converse l'hiver.</t>
  </si>
  <si>
    <t>Légère et confortable Légère et confortable, agréable a porter .a voir la qualité dans le temps, sinon très content de lire achat</t>
  </si>
  <si>
    <t>Une bonne alternative aux bras articulés Trépied acheté pour accompagner mon Bird UM1 fraichement commandé et étant donné que ma configuration de bureau ne me permet pas de placer un support de micro avec bras articulé.  * Le packaging est plus que simple : le trépied est placé directement dans une enveloppe à bulles neutre. Personnellement je n'en demande pas plus. * Au niveau de la qualité de fabrication, je n'ai pas remarqué de défaut et l'ensemble a l'air plutôt solide. Le seul point que je surveillerai sera sans doute la vis de serrage qui me fait un peu peur, mais c'est un détail à mon avis. * Une fois l'ensemble installé, le pied n'est pas bancale et supporte bien le poids. Néanmoins, il en faudrait peu pour que le micro bascule, mais à part en lestant davantage un côté du pied, je vois difficilement comment les fabricants auraient pu éviter ça. En utilisation normale et en faisant un minimum attention ce n'est pas du tout un problème. Dans le pire des cas, si ça devient un problème, vous pouvez toujours équilibrer davantage la charge (en jouant avec le filtre si vous en avez un par exemple).  Pour conclure, je dirais que ce produit correspond à sa description et à ce que j'attendais de lui. Ce sera un 4/5 parce que je suis un peu perfectionniste mais vous pouvez le commander sans problème, il fait le job ;)  Si mon évaluation vous a été utile, merci d'avance de bien vouloir l'indiquer en cliquant sur le bouton prévu à cet effet =)</t>
  </si>
  <si>
    <t>Sympa Bonjour je les trouve très bien un peux grosse au pied mais apres quelque temps ça passe Et la matière est top</t>
  </si>
  <si>
    <t>rapidité et qualité Envoie rapide,le colis est arrivée assez vite a la maison . Le tissu est agréable au touché et est agréable à porter ma femme est très contente de cet achat.</t>
  </si>
  <si>
    <t>Remplit parfaitement ses objectifs J'ai utilisé pour faire du Team speak ou du discord. Ces modes de fonctionnement sont très bien fait. L enregistrement mode carotide est efficace. Pas de driver particulier du coup il fonctionne aussi bien sous Windows que sous Linux. Il est un peu gros mais il tout en métal ce qui est assez surprenant je m'attendais à du plastique. J'ai pris la version noire elle est plutôt esthétique et assez neutre. La prise casque est très utile pour savoir comment déterminer la position du micro par rapport au mode car dans les publicités on se rend pas compte de quel côté il faut forcément bien mettre le micro. Tous les boutons nécessaires sont sur le micro il n'y a rien pas grand chose à faire sous Windows.</t>
  </si>
  <si>
    <t>Bon goupillon Ce produit est parfait pour le netoyage des biberons Avent de mon fils. Très utile au quotidien !  Je n'ai jamais utilisé de goupillon d'une autre marque donc je ne peux pas faire de comparaison.</t>
  </si>
  <si>
    <t>Palladuim Us Véritable confort, cette paire de chaussure et idéal pour tout type d'activité montagne ville campagne facile à nettoyer un modèle unique.</t>
  </si>
  <si>
    <t>Comme un gant ! J'ai reçu les paires hier et des aujourd'hui je les essaye et j'en suis pas déçu, la taille est bonne, le tissu a l'air de bonne qualité et confortable. Je recommande</t>
  </si>
  <si>
    <t>Parfait Parfait correspond à mes attentes, rapport qualité prix top, payé dans les 11.00 euros, pris ma taille habituelle, je recommande.</t>
  </si>
  <si>
    <t>Bon produit Cette bouilloire fonctionne très bien (je l'ai depuis plusieurs mois). Sa couleur est toujours aussi jolie lorsqu'elle est allumée. Bon produit, et bon rapport qualité/prix.</t>
  </si>
  <si>
    <t>Soutien gorge pour le sport Un soutien gorge qui maintient bien pour le sport très confortable taille élastique permet de s'adapter au sport et ne sert pas Soutien gorge respirant pour éviter trop de sudation intérieur</t>
  </si>
  <si>
    <t>Bon produit Produit correspondant à sa description, très bon rapport qualité-prix !</t>
  </si>
  <si>
    <t>Grand confort. J'ai commandé ce pantalon de jogging pour le porter dans les moments de détente et lorsque je vais marcher à proximité de mon domicile. De bonne qualité il procure un excellent confort. Concernant les tailles, j'ai opté par rapport aux tailles des pantalons que je possède dans la même marque et je n'ai pas eu de mauvaise surprise. Je recommande cette article sans restriction.</t>
  </si>
  <si>
    <t>parfait correspond à l'annonce , bien emballé en forme de donuts , arrivée vite ,longueur suffisante pour deux haut parleur arièrre de 125 watt et assez épais pour ne pas perdre de qualité.</t>
  </si>
  <si>
    <t>Très bien Super, ça fonctionne vraiment, j'ai mis dans ma voiture et l'humidité à vraiment diminuer, de plus il est sans odeur, et d'une couleur peu voyant, je recommande</t>
  </si>
  <si>
    <t>Un must Pour moi, c'est la marque de lingettes anti couleur qui déborde. Ce gros paquet est avantageux. On a du mal à s'en passer quand on a commencé à les utiliser.  D'autant que ça évite de faire trois lessives différentes, si bien qu'au final c'est assez écologique.</t>
  </si>
  <si>
    <t>super très bien</t>
  </si>
  <si>
    <t>Excellent Produit de qualité. L'assortiment est bien agencé, la qualité est là. Je conseille ce produit pour le classement, idéal. Je commanderai à nouveau.</t>
  </si>
  <si>
    <t>Aïe mes oreilles Je voulais passer à du sans fil complet pour son coté pratique.  Je possède un Grado PS1000e pour la maison et un Grado GR10e pour le nomade (intras) filaire. A aucun moment je n'ai imaginé retrouver la qualité sonore de ces deux casques sur du sans fil et encore moins au tarif des Sennheiser TW, ils ne boxent pas dans la même catégorie. Mon but était d'avoir quelque chose de pratique dont la qualité du son soit quand même correcte pour profiter d'un peu de musique dans certaines conditions ou les fils sont pénibles.  Je m'attendais à devoir faire des concessions mais pas à ce point là.  J'ai commencé par penser que j'avais un niveau d’exigence trop élevé et c'est là que j'ai ressorti mes bon vieux Yamaha EPH-100 (des intras filaires à 100€) pour comparer. Les Yamaha qui coûtent 1/3 du prix son bien plus performants dans tous les domaines... Certes ils n'ont pas les fonctionnalités sans fil mais cela ne justifie pas une telle différence de prix.  Pour parler du son...  Les basses sont beaucoup trop présentes et couvrent tout le bas médium, j'ai l'impression d'écouter de la musique avec un énorme rhume. En pus d'être trop présentes elles ne sont pas précises et molles. Les Yamaha ont également le défaut d'avoir trop de basses mais elles ne couvrent pas le reste et sont précises.  Les médiums n'existent presque pas... ça peut être sympa une signature en V mais il ne faut pas exagérer non plus.  Les aigus sont bien trop agressifs et pire ils saturent sur une grande partie du spectre. Je parle ici d'une saturation audible. Par exemple, la moitié des sons de guitare sur l'album Stadium Arcadium des Red Hot grésillent fortement. Très désagréable !  Je suis partisan du Bit perfect (écouter le son en direct vers le casque sans le moindre équalizer). Malheureusement, avec ce casque j'ai du passer par certaines modifications (Merci USB Audio Player Pro pour un EQ précis). Cela corrige plutôt pas mal le tir sur les basses et le médium mais donne quelque chose d'artificiel. Reste les aigus : impossible d'avoir quelque chose de correct, ça sature beaucoup trop.  Donc pour le son, c'est à peine au niveau d'une paire de filaires à 30-40 €... Aucune musicalité.  Reste le bon coté de la chose... le sans fil... ah ben non, finalement ce n'est pas génial non plus. Pertes de signal, pariage laborieux et j'en passe... je suis obligé de faire un reset des écouteurs à chaque fois que je change de périphérique source (smartphone - pc portable - autre smartphone).  L'ergonomie est mauvaise également. Le système de pilotage est peu précis. On se retrouve souvent à appuyer sur les "boutons" une fois les écouteurs retirés et que l'on vient de les couper. Du coup la musique repart... frustrant. Un bon point, ils tiennent bien dans les oreilles, j'ai pu faire du vélo avec sans soucis. Par contre, après une heure d'écoute, ils font mal dans tout le lobe de l'oreille.  En résumé, si vous aimez l'électro "tatapoum" ça passera peut-être. Pour le reste... rien ne passe de mon coté, je ne les utilise que pour écouter des podcasts.  Cette paire d'écouteurs ne vaut pas ses 300€.</t>
  </si>
  <si>
    <t>Insatisfaite Au bout de 15j , elle ce décolle déjà. ... déçu vraiment.  J aurai du écouter les commentaire précédent.  Dommage</t>
  </si>
  <si>
    <t>Problème de coutures Sur le coup quand je l'ai essayé il me paraissait bien mais en fait il a un gros défaut au niveau des coutures le long de la jambe, elle ne reste pas droite, elle se retrouve devant sur la moitié du pantalon au lieu d'être à l'interieur tout le long du coté de la jambe...bref il tourne quand on marche. Après plusieurs lavage la couleur est passée et il bouloche. En somme bien pour traîner à la maison.</t>
  </si>
  <si>
    <t>très bon rapport qualité prix une montre très fonctionnelle,idéale pour travailler en extérieur,un seul bémol,le design un peu dépassé.Mais que demander de plus pour ce prix là.</t>
  </si>
  <si>
    <t>trop petit jai pris un 43 mais c'etait trop petit mais merci au vendeur qui m'as remboursé la totalité</t>
  </si>
  <si>
    <t>Elle semble pas trop fragile, Pour une utilisation tous les jours, authentique, et va très bien avec un style vestimentaire bien habillé.</t>
  </si>
  <si>
    <t>Pas mal Acheté pour mon conjoint, qui n'est pas déçu du rendu. Par contre la poche de devant est beaucoup plus petite que ce je pensais. Et une poche est déjà trouée, ce qui est dommage ! Pour le reste, rien à dire. A voir dans le temps si le sac tiens le coup où s'il est aussi solide que les poches...</t>
  </si>
  <si>
    <t>Recommander Pas convaincu sur la résistance à voir avec le temps.</t>
  </si>
  <si>
    <t>Grandes pantoufles Je les ai reçues comme cadeau pour mon gars et il les aime! Parfait pour ce temps froid et automnal. Plus assez solide pour porter à l'extérieur pour un voyage rapide pour obtenir le papier ou le courrier.</t>
  </si>
  <si>
    <t>satisfait Un jpli rendu en vrai comme sur l'image. mon apprécie beaucoup. Livraison très rapide. je suis satisfait.</t>
  </si>
  <si>
    <t>Feuilles a4 autocollantes stickers Produit reçu rapidement. Je l'utilise pour faire des stickers aux enfants</t>
  </si>
  <si>
    <t>Parfait Parfait. Juste ce que désirais</t>
  </si>
  <si>
    <t>Oh top Super produit rien à dire !</t>
  </si>
  <si>
    <t>rapport qualité prix idéal Nous nous en servons presque tous les jours pour faire notre café dans une cafetière à piston. Elle est joli et la contenance d'1.2 l est largememnt suffisante. Elle chauffe rapidemement</t>
  </si>
  <si>
    <t>Super Parfait pour le lait maternel je met mes pots de conservation de 150ml impeccable pour le transport entre chez moi et chez nounou je ne met pas de pain de glace car j ai que 10 min de trajet et ça garde bien frais</t>
  </si>
  <si>
    <t>Très bien pour une installation secondaire Pour qui ne cherche pas un câblage destiné à une installation audiophile, ce produit fera parfaitement l'affaire. Le gainage est suffisamment souple et discret. Le prix est abordable. Un bon produit qui correspond tout à fait à sa description.</t>
  </si>
  <si>
    <t>Beau sac, bonne contenance, style retro. Je cherchais un sac à offrir à un ami qui est fan de style retro/vintage, il ç été plus que content lorsque je lui ai offert ! Il dégage une bonne odeur de cuir sans être trop, heureusement car c'était un des critères important lors de mon achat.  Pour la taille, c'est parfait pour un sac en bandoulière, il est doté de poches interne à tirette comme vous pouvez le voir sur les photos que j'ai mis.  Je recommande pour les fans de retro, style cowboy/far west cest un must have ! J'espère vous avoir aidé !</t>
  </si>
  <si>
    <t>Super Sacoche Le sac est de très bonne facture. La taille est parfaite pour mettre un peu plus que des papier dans une sacoche traditionnel.</t>
  </si>
  <si>
    <t>Magique ! Waaawww !!!!!! Il est super ce produit !</t>
  </si>
  <si>
    <t>Produit conforme Parfait pour une liste de naissance</t>
  </si>
  <si>
    <t>NE SEMBLE PAS XXL UN PEU SERRE</t>
  </si>
  <si>
    <t>Très pratique Cette petite balance est super  :  petite, précise et le plateau inclus est très pratique cela evite d'utiliser un recipient supplementaire pour la pesée et permet de la protéger lorsqu'elle est rangée. Personnellement je l'utilise pour peser mon thé. Pour le prix il ne faut pas se priver</t>
  </si>
  <si>
    <t>BEAU DESIGN MAIS SI ON NE RAJOUTE PAS LE SACHET CHAUFFANT CA NE GARDE PAS BIEN LA CHALEUR BEAU DESIGN MAIS SI ON NE RAJOUTE PAS LE SACHET CHAUFFANT CA NE GARDE PAS BIEN LA CHALEUR JE NE RECOMMANDE PAS</t>
  </si>
  <si>
    <t>Ne vaut pas le prix payé Acheté pour enregistrer des podcasts, qualité de son très moyenne. La même qualité peut-être obtenu avec un micro classique de base (à 10 - 15€ maxi). Peut-être que ça apporte mieux pour une utilisation Omni ou Bi directionnelle, cependant, en Cardiod, ça n'apporte pas grand chose. Extrêmement déçu de payer 10 fois plus cher un tel produit et surtout le temps perdu à regarder des tuto pour voir comment ça se configure pour se rendre compte que c'est vraiment le produit qui n'est pas bon. Sur internet beaucoup font du post traitement. S'il faut faire du post traitement à quoi bon payer 130€ ?</t>
  </si>
  <si>
    <t>Mauvaise qualité de tissu à voir avec la qualité d'un Lévis acheté en boutique</t>
  </si>
  <si>
    <t>Un peu trop lourde La bouillotte me convient car elle paraît de bonne qualité. Toutefois elle est trop lourde pour moi, habituée à en avoir sur mon ventre ou tout de même bien contre mon corps la nuit mais le poids fait qu'elle descend à chaque fois. Si elle avait une forme carrée cela aurait été différent, le poids de l'eau à l'intérieur se repartirait mieux  Très forte odeur aussi. Je crains bien de m'y assoir dessus par erreur car je ne la vois un peu délicate  À part tout cela la bouillotte fonctionne bien, 8 minutes de charge et 5 heures de chaleur plus ou moins. Elle devient très très chaude, il faut y mettre son étui blanc absolument si on la met en contact avec la peau. On peut néanmoins retirer la prise lors du chargement un peu plus tôt</t>
  </si>
  <si>
    <t>Qualité Newbalance Livré rapidement, la taille de la chaussure correspond bien, la qualité Newbalance sur Amazon c'est top ! Je recommande ce produit !</t>
  </si>
  <si>
    <t>diffuseur et huiles essentielles diffuseur bien arrivé et fonctionne bien dommage que les explications ne soient pas en Français. MAIS quant aux huiles essentielles sur le lot, 3 sont arrivées CASSEES et le produit s'est donc échappé.</t>
  </si>
  <si>
    <t>Bien Cette fois ci c'est le bon modèle parfait, juste ce qu'il me fallait pour me servir de nouveau de mon wok</t>
  </si>
  <si>
    <t>Très bon rapport qualité prix C'est mon 3iem  casques sur 10 ans. Le moins cher mais celui qui m'apporte le plus de satisfaction. En cas d'éloignement trop important de sa base le son n'est pas brusquement coupé mais s’atténue prévenant que le signal s'amenuise. Son autonomie est parfaite et le son correct. Mes casques précédent était un Phillips et un  Sennheiser  RS120 II  bcp plus chère , le Phillips étant le plus décevant.avec peu d'autonomie et une usure très rapide.</t>
  </si>
  <si>
    <t>Parfait prix et qualité !! Acheté pour un transfert d'écran de PC à un écran caméra et Nickel l'image est parfaite. Le Câble est à la taille désiré et la la qualité pour le prix est correcte A recommander</t>
  </si>
  <si>
    <t>Utilité et discrétion Ce tapis de souris est parfait : il joue bien son rôle avec discrétion ; il est beau malgré sa simplicité et de plus il est bon marché . Bravọ</t>
  </si>
  <si>
    <t>Qualité au rendez-vous Très jolie produit, de bonne qualité</t>
  </si>
  <si>
    <t>Gel à adopter Atteinte de neuropathie, fibromyalgie et arthrose dorsale principalement, ce gel est efficace par sa composition et surtout son effet chauffant qui détend, chauffant même brûlant selon la quantité appliquée (habituée aux bouillottes très chaudes, ce côté très chauffant est un plus,  principalement sur la colonne) Je recommande bien sûr ce gel que vos douleurs apprécieront.</t>
  </si>
  <si>
    <t>Parfait pour écrire sur des bocaux Nous utilisons ces feutres craies pour identifier nos différents aliments que nous conservons dans des bocaux. Si nous voulons modifier l'inscription, celle-ci s'efface très facilement (peut être un peu trop). Nous sommes satisfait de la qualité du produit.</t>
  </si>
  <si>
    <t>Parfait Papier photo sympa et de bonne qualité pour l'imprimante HP sproket</t>
  </si>
  <si>
    <t>Trè bien Correspond à la description, très légère, agréable à porté, je n'ai pas vu de défaut en particulier, maintenant faudra voir avec le temps qu'elle dur. A ce prix là je m'attend pas qu'elle dur 2 ans, mais au moin une année.</t>
  </si>
  <si>
    <t>Parfait Stylo de marque Bic bien reçu dans un grand emballage.</t>
  </si>
  <si>
    <t>Bien, fait le job Fonctionne bien.</t>
  </si>
  <si>
    <t>Très confortable mais taille un chouia petit. Ravie de la paire de baskets comme prévisible. Ca taille un chouia petit, pris en 39,5 pour un 38/39 habituellement sur les autre marques.  Fait un joli petit pied!</t>
  </si>
  <si>
    <t>très beau fauteuil noir et gris très maniable avec des roulettes très souple, des accoudoirs qui se relèvent facilement d'un seul geste, assise large confortable . se soulève aisément avec une tirette dessous par contre pour le montage un peu de dextérité pour mettre les vis et installer les accoudoirs qui sont lourds. (2 pers. recommandées). je l'ai acheté pour mon mari qui a dû mal à se déplacer et travail sur bureau... il est ravi.</t>
  </si>
  <si>
    <t>Rien à dire Parfait</t>
  </si>
  <si>
    <t>Des écouteurs parfaits pour écouter de la musique en Bluetooth avec un son très bon. &lt;div id="video-block-R1C0S6L1DO3B2M" class="a-section a-spacing-small a-spacing-top-mini video-block"&gt;&lt;/div&gt;&lt;input type="hidden" name="" value="https://images-eu.ssl-images-amazon.com/images/I/71M-UTEugmS.mp4" class="video-url"&gt;&lt;input type="hidden" name="" value="https://images-eu.ssl-images-amazon.com/images/I/91R+5pAnU1S.png" class="video-slate-img-url"&gt;&amp;nbsp;J’ai commandé ces écouteurs car je cherchais des écouteurs sans fil pour mes trajets quotidiens. Ces écouteurs sont parfaits, le son est très bon, aucun grésillement même au maximum du volume et enfin la batterie de ces écouteurs est incroyable.</t>
  </si>
  <si>
    <t>Super produits Super produits je les pris pour ma fille elle en est très satisfaite 👍</t>
  </si>
  <si>
    <t>Son pas assez fort, Volume intégré inutile.... Casque bon, juste déçu son vraiment pas assez fort, pour une marque comme Philips c'est fort regrettable....</t>
  </si>
  <si>
    <t>Aucun service après vente Le produite acheté en mai a fonctionné parfaitement jusqu'à mis sept. Depuis il est en panne; j'ai essayé de contacter le vendeur à 2 reprises par le biais d'amazone. Aucune réponse !! Il était pourtant indiqué une garantie de 24 mois. je suis déçue du suivi, certes la bouilloire n'était pas chère mais pour fonctionner 4 mois elle le devient.</t>
  </si>
  <si>
    <t>Efficacité non au rendez vous Mauvaise qualité retourné aussi sec</t>
  </si>
  <si>
    <t>Brique!!! Mon produit est arrivé avec de l'avance ... Chouette ! Par contre nous avons terminé nous mémé le montage de l'outil et en prime une poigne tordue ! Mais bon , facile d'utilisation</t>
  </si>
  <si>
    <t>Écouteur intra Écouteur intra de qualité standard. Beau rendu en noir.</t>
  </si>
  <si>
    <t>Bonne petite montre ! Je voulais une petite montre pas cher et ne craignant rien pour aller bosser dans les vignes. Usage quotidien depuis de nombreux mois par tous les temps, elle remplit sa fonction idéalement avec un bon rapport qualité/prix.  Je suis content de mon achat.</t>
  </si>
  <si>
    <t>Bon produit Bonjour, j'ai acheté cette paire de chaussure qui est tres jolie et comme sur les photos. Un léger bémol, je fais habituellement du 36 ou 36,5, je les ais prise en 36 et elles sont légèrement grandes, un 35,5 aurait été parfait.</t>
  </si>
  <si>
    <t>Le coli reçu en avance La commande c'était prévu demain et je l'ai eu avant , j'ai pris la taille L mais je trouve un peu juste c'est dommage mais sinon j'adore</t>
  </si>
  <si>
    <t>bien je m'attendais à un amorti un peu plus souple que ça, sinon à voir avec le temps</t>
  </si>
  <si>
    <t>Tres beau pendentif Très beau pendentif qui a fait son effet au près de ma belle mère pour la fête des mères ! Cette arbre de vie à un symbole fort ! Arriver en temps et en heure !!</t>
  </si>
  <si>
    <t>Testé et aprouvé Fervente utilisatrice de la marque Tommee Tippee depuis la naissance de ma première fille, mon seul regret est que ce biberon en verre ne soit pas arrivé plus tôt sur le marché. Mes trois enfants ont adopté très facilement cette marque (ma première fille a commencé par bouder les anciens Avent et les Mam). La forme de la tétine rappelant la forme du sein. J'ai ainsi pu reprendre le travail sereinement et continuer à allaiter. Je suis ravie de ce biberon en verre, plus sûr que le plastique.</t>
  </si>
  <si>
    <t>ENCRE HP NOIRE 304XL Parfaite pour une utilisation quotidienne.</t>
  </si>
  <si>
    <t>Conformes Commandé en 43, il s'avère qu'elles taillent un peu grand. Hormis ce petit detail, elles sont conformes à la photo et description. Je recommande</t>
  </si>
  <si>
    <t>Excellent casque, rapport qualité / prix top Casque agréable a porter avec très bonne isolation.  Le son n'est pas du Bose mais ca reste profond, détaille et du bonne qualité. Il y a un bouton "physique" pour couper le courant de casque - je pense ca aide beaucoup pour avoir un si bonne autonomie.  J'ai l'utilise principalement avec mon Android - ca fonctionne très bien au niveau bluetooth et les appels passe aussi sans soucis. Il y a un fonction "actif" isolation sonore qui coupe le bruit autour de vous et ca marche bien. Au niveau isolation ca coupe 100 % tout le bruit autour de moi au travail (bureaux avec pas mal de bruahaha et clim) ainsi que dans les transport commun, donc pour mes besoin c'est top.  Il se plie bien dans sa petit boite qui le protege bien ce qui fait que ca se range facilement dans mon sac a dos (et pour ces petit cable c'est pas mal pour ne pas les perdre). Je suis très content de mon achat et je le recommend vivement.</t>
  </si>
  <si>
    <t>impeccable cafetière comme neuve avec la nouvelle soupape</t>
  </si>
  <si>
    <t>rapide et efficace un bon basic</t>
  </si>
  <si>
    <t>superbe il est super beau,je viens de le recevoir , je n'ai ps encore senti les bienfaits de la pierre mais il est magnifique .Il est élastique donc se met bien au poignet, belle trousse .</t>
  </si>
  <si>
    <t>la référence Le seul biberon que mon bébé a adopté immédiatement, les tétines ne semblent pas agréables à première vue mais bébé les adore. Le système d'aération par le bas est bien mieux que les tétines percées des autres marques, et pouvoir démonter le bas du biberon pour le nettoyage c'est parfait !!!</t>
  </si>
  <si>
    <t>Bien J’ai commandé ce produit sur Amazon car le produit était bien placé questions prix</t>
  </si>
  <si>
    <t>Casque bien antibruit Très bon casque antibruit qui réduit vraiment le bruit et le prix reste très intéressant. Je recommande ce produit qui en plus ne tient pas beaucoup de place.</t>
  </si>
  <si>
    <t>Sacoche de travail Sac de travail à l'intérieur tablette de chantier et plusieurs cahiers, bloc note et trousse. Très bon mariage tissus et cuire. A voir à l'usage</t>
  </si>
  <si>
    <t>SUPER BONNE QUALITE A RECOMMANDER</t>
  </si>
  <si>
    <t>Edition limitée 1500 ex. numérotés Amateur de montres et de sports mécaniques, j'ai aimé cette montre M-SPORT World Racing Team Ford. Pulsar solaire chrono, qualité et prix compétitif.</t>
  </si>
  <si>
    <t>: Merci</t>
  </si>
  <si>
    <t>Trompé sur la marchandise Article non conforme à la présentation</t>
  </si>
  <si>
    <t>Très déçue Malheureusement odeur ne dure pas du tout  l'absence de la qualité et en plus ce n'est pas à base naturel je suis déçue je ne rachèterai plus jamais chez  e naissance !</t>
  </si>
  <si>
    <t>Confortable, mais... Le casque en soit est pas mal parce que il a un câble très long qui parfois peut rendre la vie plus pratique (on peut par exemple regarder un grand écran plat en étant à distance sans gêner personne, ou on peut se déplacer dans une pièce sans perdre le son etc. En plus il est confortable, il couvre entièrement les oreilles ce qui fait que on ne peut avoir mal. Le seul moins de ce casque c'est le volume: il est trop bas. On est forcé pour écouter, de mettre le volume souvent à max, ou presque. Moi ça me gêne personnellement, sinon je suis content.</t>
  </si>
  <si>
    <t>A LIRE ABSOLUMENT La qualité et super mai j'ai ignoré les autres commantaire qui parlais de la taille trop petite et le M me va comme un s j'ai du le renvoyer donc prenez une taille au dessus si vous commander conseils 😊 Sinom le tres bonne qualité du produit en lui même  Dites moi si çe commentaire vous à été utile :)</t>
  </si>
  <si>
    <t>Chaque jour la date ! J'aime avoir un éphéméride e sur mon bureau</t>
  </si>
  <si>
    <t>Tres bon produit Des couleurs mates qui semblent de bonne qualite. Les pots se referment bien. Ne sentent pas trop fort et se nettoient bien tant sur la table que sur les doigts. Je recommande</t>
  </si>
  <si>
    <t>Satisfaisante pour le prix Le soit-disant prix d'origine, barré, est totalement fantaisiste. Jamais cette montre n'a pu coûter autant qu'une Casio Edifice ! 30€ semblent plus réalistes. Un peu moins en Vente Flash et ça devient intéressant. Les photos sont très flatteuses. En vrai cette montre est tout à fait correcte et fait illusion. Mais ne fera jamais aussi premium que sur les clichés du site. Elle s'avère fiable, donne l'heure juste sans dérive et le dateur fonctionne parfaitement, sans décalage visuel des chiffres (fréquent à ce niveau de prix). Le bracelet en cuir est satisfaisant ; pour une morphologie standard. Mais attention, il sera trop court pour les gros poignets. Tout dépend ce qu'on recherche. Une montre qui a de l'allure (si on n'y regarde pas de trop près) pour une somme modique, quitte à en changer dans 2 ans : check. Une belle montre qui pète la classe et tient dans le temps... je ne crois pas. Mais à moins de 30€ il n'y a pas de tromperie.</t>
  </si>
  <si>
    <t>... Une bonne montre ! ... De multiples fonctions, un écran lisible, étanche à 200 mètres, un prix raisonnable, une constance chez Casio : un bon rapport qualité/prix !</t>
  </si>
  <si>
    <t>Parfait Mr très satisfait  !!! Article Parfait, il avait peur qu' il soir trop franc, mais finalement non, il en est ravi franchement  !</t>
  </si>
  <si>
    <t>chapelet en bois Excellent, je le recommande</t>
  </si>
  <si>
    <t>Lave bien Quotidiennes</t>
  </si>
  <si>
    <t>cafetière Krups Très bon produit je le connais car j'en avais déjà une - Couleur anthracite et noir ok mais le seul reproche c'est le cordon alimentation rouge (sur mon ancienne il était noir ) et cela tranche trop avec la couleur de la machine</t>
  </si>
  <si>
    <t>Utilisé pour laver des murs Acheté pour récupérer une certaine blancheur sur mes murs après 6 ans de crasse accumulée sur de la peinture blanche, je suis très contente du résultat. Les murs sont redevenus plus blancs que jaunes, avec de la patience et de l'huile de coude évidemment, mais mon appartement a l'air beaucoup plus sain comme ça !</t>
  </si>
  <si>
    <t>Rien Uniquement pour imprimer des documents</t>
  </si>
  <si>
    <t>parfait bien taillées et conformes</t>
  </si>
  <si>
    <t>Pratique Très pratique. Style top.</t>
  </si>
  <si>
    <t>Tip top On adore 😁</t>
  </si>
  <si>
    <t>grande qualité de fabrication excellent produit procurant des résultats très bon pour le son d'une chaine hifi, a conseillez sans réserve , et surtout la qualité du résultat</t>
  </si>
  <si>
    <t>Top Enfin des bibs en verre ergonomique</t>
  </si>
  <si>
    <t>Pas decu Je ne me déplace qu'en moto et le sélecteur de vitesse marque ma chaussure gauche systématiquement. Déjà un mois et pas une éraflure. Tout à fait satisfait</t>
  </si>
  <si>
    <t>superbe parfait</t>
  </si>
  <si>
    <t>Pot réceptionné félé sur toute sa hauteur J'ai acheté le pot d'argile pour des soins personnels,  et non pour l'application sur et dans son carton d'emballage .Sur la photo sous la fléche rouge vous pouvez voir l'empreinte de la fissure verticale , ainsi que l'argile répandu ds le carton .J'ai ceinturé la fissure avec du scotch transparent</t>
  </si>
  <si>
    <t>Gracosy Bottes Hiver Fourrées Hommes Je n'ai pas pu les utiliser car trop petit.</t>
  </si>
  <si>
    <t>Trop imposant Produits achetés pour ma fille de trois ans beaucoup trop grand Pour elle</t>
  </si>
  <si>
    <t>bonne bouilloire pour le prix assez bruyante quand l'eau commence à chauffer.  semble assez fragile, surtout le couvercle( à voir à l'usage); assez rapide mais attention parois extérieures chaudes.  pas de petite fenêtre pour voir le niveau de l'eau.  Bon rapport qualité prix.</t>
  </si>
  <si>
    <t>Collier chat Très joli pendentif que j'ai offert et qui a beaucoup plu. Il est comme sur la photo.</t>
  </si>
  <si>
    <t>Parfait pour les début Ces tétines sont parfaites pour les débuts (pas trop dures, pas trop moles) elle sont résistantes et se lave facilement. hélas il faut acheter la taille au dessus rapidement car le débit est trop faible rapidement. Ne convient pas au lait epaissi</t>
  </si>
  <si>
    <t>très bien Très décu par la livraison mais pas par le produit</t>
  </si>
  <si>
    <t>Parfaite mais encombrante Dur dur la livraison, le premier colis était perdu, le second est arrivé mais une des deux led de la lampe était cassée, le troisième a été le bon. Les contacts avec le SAV ont été à la hauteur de mes attentes, même si ça a été au final un peu long avant d'avoir ENFIN cette lampe.  Elle est parfaite pour l'hiver et fait un bien de fou. Elle est super encombrante cependant mais super efficace. Plus de déprime hivernale, on reste boosté. Franchement c'est fou comme ça change la vie.</t>
  </si>
  <si>
    <t>Belle ligne et sont jolies Confotable par contre l odeur est forte et mets de temps à partir. La pointure39 correspond bien au 39</t>
  </si>
  <si>
    <t>Marqueurs luminaissant C est génial,  on a adoré !</t>
  </si>
  <si>
    <t>La qualité le confort En tenu détente je suis très satisfaite</t>
  </si>
  <si>
    <t>Qualité de son au top La qualité du son est top. Très pratique de chargement,niveau de recharge,boitier aimantée pour les écouteurs. Tiens bien au oreilles,discret.</t>
  </si>
  <si>
    <t>tres confortable très confortable</t>
  </si>
  <si>
    <t>Performantes Bon produit correspond à la description. Adaptée pour le running et fitness</t>
  </si>
  <si>
    <t>Crocs Baya Ces Crocs Baya de taille 46/47 sont bien finis et de taille correcte. L'épaisseur de la semelle protège assez bien des épines noires, ce qui n'est pas le cas de tous les sabots en "plastique".</t>
  </si>
  <si>
    <t>Bouilloire Très bel achat, pas trop cher, je suis très satisfaite</t>
  </si>
  <si>
    <t>excellent J'ai acheté ces écouteurs pour la pratique de la course à pieds. Je précise je fais entre 50 et 60 km par semaine route et surtout trail. La tenue aux oreilles est parfaite (c'était ma crainte). Le son, du pure Bose, basses très présentes et contrairement à certains avis, même avec du vent le son est très bon. Donc si vous achetez ce casque pour la course à pieds vous pouvez foncer il est géniale. Pour moi c'est de loin le mieux que j'ai eu. Je l'utilise avec un téléphone Android et uniquement pour le sport, pour le reste j'ai mon Bose qc35II</t>
  </si>
  <si>
    <t>AAAAAAH !!!!! DEPUIS LE TEMPS QU’ON LES ATTENDAIT, LES VOILÀ !!! LES SURLIGNEURS PASTELS !!! Ils sont pas très utiles. Mais ils sont beaux et fonctionnent bien. Donc, on les achète.</t>
  </si>
  <si>
    <t>Vans Ne regrette pas du tout mon achat c’est basket sont génial en plus moins chère quand boutique je recommande prendre ça pointure habituelle</t>
  </si>
  <si>
    <t>AU TOP ! Montre au top, toujours d'actualité en 2017 malgré son look rétro. Apres c'est une montre casio a 20€, elle donne l'heure et puis c'est tout. pratique de par la finesse, elle passe partout. Dommage elle se raye facilement.</t>
  </si>
  <si>
    <t>Chaussures timberland Très bon produit et excellent rapport qualité prix. Taille parfaitement et sont très confortables. La couleur est jolie et correspond à la photo</t>
  </si>
  <si>
    <t>Niquel Chaussettes conformes à la description. Très très bonne qualité, elles sont ni trop fine, ni trop épaisse et font la bonne taille :)</t>
  </si>
  <si>
    <t>Assouplissant au top du top Assouplissant au top je le recommande vivement il sens très bon</t>
  </si>
  <si>
    <t>Top! Chaussures décontractée, belle, basique, discrète! Elle sont bien confortable! Elle sont assez résistante, pas de mauvaise qualité! Des Vans U Old Skool :)</t>
  </si>
  <si>
    <t>Alimentation XLR requise Attention, contrairement à certains commentaires, le micro ne fonctionne pas avec un adaptateur USB. Le micro en lui même est clairement bas de gamme : le son est parasité, n'est pas claire et manque de profondeur. Le design est sympa.</t>
  </si>
  <si>
    <t>Erreur de pointure J'ai commandé ces chaussures en 28 mais j'ai reçu un 27. Sur la boîte, il est pourtant noté 28 mais à l'intérieur les chaussures sont des 27. Je suis déçue car mon fils voulait les porter pour une fête ce w.e mais le temps de passer une nouvelle commande et de la recevoir, il aurait été trop tard! Je les renvoie dès demain.</t>
  </si>
  <si>
    <t>A éviter Dessins horribles. Les histoires politiquement correctes. La propagande du "mariage pour tous" en plus (histoire d'un petit gars qui se degisait en fille!). Ça commence de plus en plus tot,le lavage du cerveau.</t>
  </si>
  <si>
    <t>Ok pour le prix Je ne voulais pas dépenser une fortune vu mon usage très léger, à savoir le jeu sur laptop quand ma compagne écoute la télé. A ce titre, il remplit son rôle. Le son est ok, pas génial, les aigus saturent, mais voila à ce prix je m'en contenterai. De prime abord, le casque semble confortable, mais au bout d'un moment je trouve qu'il serre assez fort tout de même. Enfin, attention au câble, très court, qui le réservera aux smartphones/tablettes ou, comme moi, à un laptop.</t>
  </si>
  <si>
    <t>Pour cours de danse exclusivement Produit destiné à la danse sur parquet: semelle extérieure en suédine</t>
  </si>
  <si>
    <t>De mieux en mieux J'utilisais déjà une théière de ce type depuis une dizaine années, je suis donc un convaincu. Je l'ai malheureusement brisée par maladresse, ce qui m'a conduit à commander ce modèle-ci. Je suis agréablement surpris de constater l'ajout d'un joint de silicone permettant d'éviter le contact direct de l'infuseur métallique avec le verre de la théière. Je me suis fait deux litres de thé ce week-end; je suis très content de mon achat.</t>
  </si>
  <si>
    <t>Sac pratique Sac pratique et pas encombrant</t>
  </si>
  <si>
    <t>Un peu petit La platine est compacte, et le logiciel DJuced réagit rapidement sur les scratchs. C'est un peu moins excellent sur les pads mais ca reste tolérable. Contrairement au plus haut de gamme, vous n'aurez ici que la sortie USB pour contrôler le logiciel. Pas de sortie directe vers les HP.  Il faut aussi utiliser la touche mode pour switcher entre les Loops/FX/Sample/Cue. Si ça n'est pas gênant pour du montage ou un mix maison, ça sera bien plus gênant pour du live.  Le logiciel DJuced 18 n'est pas forcément intuitif pour les néophyte. J'ai un peu galérer à trouver où paramétrer les loops et j'avoue que je tâtonne encore un peu. La documentation n'étant pas fournie ni facilement accessible, ça ajoute du challenge. La sortie son par exemple : Sur 2 installation (mon PC portable et mon PC fixe) et bien il a pris 2x la mauvaise. Il faut aller dans des menus cachés dans un petit coin pour la changer.  Pour le reste c'est pas mal. Surtout la finition de la platine. Le soft est à prendre en main mais il y a de quoi faire de jolies choses. En résumé : un peu minimaliste mais il y a de quoi s'amuser/débuter quand même.</t>
  </si>
  <si>
    <t>Bottines super jolie et confortable Bottines très jolie et très agréable a porter de belle qualité. Produit conforme à la description. Je recommande ce produit sans problème</t>
  </si>
  <si>
    <t>Ras Parfaites</t>
  </si>
  <si>
    <t>agréablement surprs Surpris par la qualité du son. Facile d'utilisation, aucun larsen. Peut être la réverbération un chouia en trop. Bah ne sais pas. On ne va pas chipoter. J’appréhendais l'enceinte intégré au micro. Mais non ça marche très bien. Du coup, je m'en sers aussi d'enceinte Bluetooth. Je recommande donc cet excellent produit, que du bonheur.</t>
  </si>
  <si>
    <t>Sonorité puissante pour le amateurs de basses Je l'ai racheté après avoir perdu mon ancien casque (même modèle en noir), à ce jour et en tant que fan de basses profondes le meilleur intra auriculaire que j'ai jamais eu. Je l'ai également en version arceau, l'extrabass de Sony est clairement depuis plusieurs années mon matériel de référence pour écouter ma musique.</t>
  </si>
  <si>
    <t>TRES JOLIE MONTRE POUR LE PRIX J'ai pris cette montre fantaisie pour les vacances, en espérant qu'elle soit étanche....(à voir) Pour 33€, c'est un bel article. Il faut rester les pieds sur terre. Certains voudraient la qualité d'une montre haute gamme, pour un tarif minimum...</t>
  </si>
  <si>
    <t>Parfait Très utile pour tous les coups ou même convalescence d'opération de dents de sagesse. Différentes tailles qui permettent de trouver celle qui convient ! Essayé uniquement en froid</t>
  </si>
  <si>
    <t>Ecouteurs de sport Assez déçu des airpods pour le sport j’ai décidé d’essayer ceux-ci : - Son de très bonne qualité, basses bien profondes, pas de déformation de voix. - Tiennent TRÈS bien aux oreilles ! c’est pour moi le grand plus de ces écouteurs, peut importe le mal que vous vous donnez ils ne tomberont pas - waterproof, charge et autonomie satisfaisante , boitier avec indication de pourcentage et connexion automatique avec le téléphone. Je vous conseille ces écouteurs si vous chercher a faire vos entraînement en musique sans vous prendre la tête !</t>
  </si>
  <si>
    <t>Excellent produit Un cadeau pour mon mari qui en est absolument enchanté, ses chaussures sont lustrées délicatement sans effort. Je ne regrette pas mon achat.</t>
  </si>
  <si>
    <t>Sonde Monté dans un camping car. Fixation magnétique. Sonde dans une trappe extérieure. Un seul regret, ne pas pouvoir arreter le défilement sonde extérieure, si une seule sonde employée.</t>
  </si>
  <si>
    <t>Achat répondant à mes attentes Trés satisfaite de cet achat! Rien à dire, bon achat et réception nickel commande livrée J+1 super!!! Je recommande cette paire de Converse</t>
  </si>
  <si>
    <t>Confortable, chaude et pratique Chaussette confortable, agréable et après plusieurs lavage elle sont toujours aussi douce. Le plus : Le coté gris qui est moins salissant quand on marche sans chausson.</t>
  </si>
  <si>
    <t>Très jolies Petites boucles magnifiques en argent. Faciles à mettre elles font tout leur effet. Discrètes elles sont parfaites. Moi qui avais du mal à sypp7 l'argent, elles ne me font pas mal. Je recommande</t>
  </si>
  <si>
    <t>Bonnes chaussures... Chaussures sport très confortables, avec un look suffisamment civilisé pour être portées au travail ou en ville par tous ceux qu'un style décontracté ne rebute pas. Bonne qualité générale.</t>
  </si>
  <si>
    <t>conforme à ma commande Réception du colis dans les temps, et produit conforme à mon attente. Très bon rapport qualité/prix. Je les conseille.</t>
  </si>
  <si>
    <t>Micro karaoké super &lt;div id="video-block-R219GXABEGN7GH"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src="https://images-eu.ssl-images-amazon.com/images/I/B1CRgt87KqS.mp4" style="position: absolute; left: 0px; top: 0px; overflow: hidden; height: 1px; width: 1px;"&gt;&lt;/video&gt;&lt;/div&gt;&lt;div id="airy-slate-preload" style="background-color: rgb(0, 0, 0); background-image: url(&amp;quot;https://images-eu.ssl-images-amazon.com/images/I/919mf527ayS.png&amp;quot;);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center;"&gt;0:46&lt;/div&gt;&lt;div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17.3428%;"&gt;&lt;/div&gt;&lt;div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value="https://images-eu.ssl-images-amazon.com/images/I/B1CRgt87KqS.mp4" class="video-url"&gt;&lt;input type="hidden" name="" value="https://images-eu.ssl-images-amazon.com/images/I/919mf527ayS.png" class="video-slate-img-url"&gt;&amp;nbsp;J'ai commandé ce micro karaoké pour l'anniversaire de ma fille qui adore chanté et au final je l'adore aussi. Je me crois à thevoice la voix en moins mais on ce prends au jeu. J'aime le côté tout en un. Sans fils avec le bluetooth intégré. Pour des soirées en famille c'est top. Je le recommande.</t>
  </si>
  <si>
    <t>Produit extra Apres avoir eu l'info par un client  que c’était  bien du cirage; je l*ai acheté . Pour une veste en cuir souple, le résultat  est parfait. Demande pas mal de  travail: le  cirage est un peu dur  mais  chauffé  au bain-marie  pas de pb . pour une  vieille  veste cela consomme  mais c'est reparti pour 20 ans!</t>
  </si>
  <si>
    <t>Boolavard ® TM Soutien-gorge de sport confort... Je me méfie un peu de la matière, mixture épaisse indéterminée, sinon la forme est bien et le prix vraiment bas, mais je serai plus exigeante la prochaine fois quitte à payer plus cher.</t>
  </si>
  <si>
    <t>Ok Taille ridicule, très petit !!</t>
  </si>
  <si>
    <t>Déçu Déçu la mousse à l'intérieur se met en boule au premier lavage</t>
  </si>
  <si>
    <t>Bien Conforme à ce qui est décrit, un poil moins cher que ceux que j'ai pu trouver en magasin</t>
  </si>
  <si>
    <t>Moyen Je achète très longtemps. Mais je n’ai plus besoin.  Donc j ai donné à ma copine. Mais elle dit que Il ne colle pas très bien.  Déçois ça tombe. Et il est assez grand. Dommage</t>
  </si>
  <si>
    <t>bon article Bouilloire utilisée quotidiennement , grande contenance , chauffe vite mais s'entartre rapidement .Le démontage et le remontage du filtre anti calcaire sont assez compliqués .</t>
  </si>
  <si>
    <t>Esthétique Je ne les ai pas achetés comme antidouleur, aussi ne puis-je m'exprimer sur ce point. C'est un joli objet, j'en ai également fait cadeau et cela a beaucoup plu.</t>
  </si>
  <si>
    <t>Conformes et confortables Conformes à la commande. Je me suis senti bien dedans dès l'essayage ce qui est TRÈS RARE pour moi. Ayant des pieds "de facteur" (donc larges et plats) ce n'était pas gagné.  Mais là je dois reconnaître être surpris pour le confort.</t>
  </si>
  <si>
    <t>Très bien légères, parfaites</t>
  </si>
  <si>
    <t>Très bon choix quand on cherche qualité et variété Pour ce prix, forcément pas du grand luxe mais le style est parfait.  De plus, le choix des 6 tailles est idéal.  Soit un seul clou à une oreille, soit en double.  Les papillons de maintien sont de très bonne qualité.</t>
  </si>
  <si>
    <t>Bonne chose pour soulager la fatigue &lt;div id="video-block-R32WI9ZEVFYCM2"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id="109" preload="auto" src="https://images-eu.ssl-images-amazon.com/images/I/C1J1TDQFDzS.mp4" style="position: absolute; left: 0px; top: 0px; overflow: hidden; height: 1px; width: 1px;"&gt;&lt;/video&gt;&lt;/div&gt;&lt;div id="airy-slate-preload" style="background-color: rgb(0, 0, 0); background-image: url(&amp;quot;https://images-eu.ssl-images-amazon.com/images/I/919sZ215RXS.png&amp;quot;);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value="https://images-eu.ssl-images-amazon.com/images/I/C1J1TDQFDzS.mp4" class="video-url"&gt;&lt;input type="hidden" name="" value="https://images-eu.ssl-images-amazon.com/images/I/919sZ215RXS.png" class="video-slate-img-url"&gt;&amp;nbsp;Après une journée de travail, les pieds sont vraiment fatigués et le bain de pieds la nuit est devenu un cours obligatoire.  Grâce au bain de pieds plus pratique, au thermostat très sensible, au massage très confortable et à son chauffage automatique à température constante, il est également possible de régler la température.  Cette fonctionnalité est complète, facile à utiliser et très épaisse.  Le bain de pieds est très pratique à utiliser, le massage est vraiment confortable, la fonction est très pratique, très satisfaite!  Il vaut vraiment la peine d'acheter.  Cela vaut la peine de recommander!</t>
  </si>
  <si>
    <t>Top Parfait, on devrait juste pouvoir avoir le choix de la taille des tétines à l’achat</t>
  </si>
  <si>
    <t>Super produit Je recommande ce casque audio Bluetooth il est top</t>
  </si>
  <si>
    <t>CLAIRALFA A4 ramettes de papier A4 80g Je l'utilise pour mon imprimante. Le papier me semble bon, plus fin que celui que j'utilisais mais cela me convient.</t>
  </si>
  <si>
    <t>Super Rien à signaler, ma chérie en est contente et c'est le principal pour moi. Je recommande s'en aucune hésitation Pandora.</t>
  </si>
  <si>
    <t>Super produit Biberons parfaits ! Je n'utilise que ceux la pour ma fille !</t>
  </si>
  <si>
    <t>survetement lacoste tres beau survet</t>
  </si>
  <si>
    <t>Très bon produit La livraison a  été très rapide.  Je voulais essayer  une autre  marque que celle prescrite pour mon imprimante un peu trop chère. La couleur des photos faites avec ces cartouches sont très belles .le rapport  qualité /prix est  là. J'attends de voir la longévité. Je recommande.</t>
  </si>
  <si>
    <t>Bonne qualité / prix Très bon petits scratchs que nous avons utilisé pour un atelier sapin. Nous avons découpé un sapin et des décorations dans de la feutrine, mon fils peut maintenant décorer son sapin à sa convenance. La taille est parfaite pour ce genre d'activité. La qualité des scratchs est plutôt bonne pour le prix meme s'ils ne se "scratch" pas toujours très bien ensemble, ca tient. Au niveau de la partie adhesive, sur la feutrine en tout cas, si il est destiné à etre "scratcher" et "descratche" souvent, il vaut mieux mettre un point de colle ca il a tendance a se decollé de temps en temps.  Mais vraiment pour des activités enfants ils sont largement suffisants.</t>
  </si>
  <si>
    <t>Super petit format Idéal quand il faut un petit peu de colle et pas un gros tube Pour réparer jouets ...</t>
  </si>
  <si>
    <t>Super Bonne qualité confortable taille bien</t>
  </si>
  <si>
    <t>Table très confortable Table arriver et d'un premier abord tout à l'air nickel. J'ai eu un peu peur lorsque je lai déplié et je me suis pensé que les pieds n'étaient pas solides. Mais une fois la table relevée impeccable. Tres confortable, franchement au top cette table. A voir dans le temps mais la je suis conquise.</t>
  </si>
  <si>
    <t>Parfait Parfaitement compatible. Mais ce que c'est chère pour la durée</t>
  </si>
  <si>
    <t>Petit et pratique C est bientôt l anniversaire de mon second lui qui prend le bus pour aller au boulot il en avait marre du casque hâte de lui offrir car  son frère l à tester et il en veut aussi 🤪</t>
  </si>
  <si>
    <t>Trop petit et qualité pas géniale et pad très épais. Trop petit et qualité pas géniale et pad très épais.</t>
  </si>
  <si>
    <t>Sans aucun interet Zéro pointé passer votre chemin</t>
  </si>
  <si>
    <t>Tout de passe toujours si bien chez tchoupi Je ne suis pas une grande fan de tchoupi à la base... comme mon fils de deux ans adore «&amp;nbsp;tchoupi et les transports&amp;nbsp;», je me suis lancée j’ai acheté plus de livres.... honnêtement, ce livre est nul. Je ne sais pas son Thierry Courtin, l’auteur, a des enfants... s’il en a , il ne s’est jamais occupé skin enfant qui doit aller sur le pot! C’est simple, tchoupi va sur le pot puis sur les toilettes. Voilà, c’est le livre. Pas de pleurs, pas de frayeur, pas d’en regression. C’est bien gentil tout ça mais ce n’est pas réaliste.</t>
  </si>
  <si>
    <t>Bien mais Utilisation depuis presque 1 an et des signes de faiblesse commencent à arriver, néanmoins le caoutchouc qui se fend au niveau du rebord métallique. Du coup le pressoir à du mal a s'insérer. Il est aussi regrettable que le panier ne soit pas percé plus bas pour laisser passer l'eau chaude quand on se fait des petites doses (1 tasse).</t>
  </si>
  <si>
    <t>Simplicité J'ai aimé son utilisation au quotidien</t>
  </si>
  <si>
    <t>BON PRODUIT EMBALLAGE POUR PROTEGER TOUS OBJETS DELICATS j'ai acheté ce produit pour emballer vaisselle, verres, toute choses délicates et fragiles et envelopper mes meubles les plus délicats, donc il me convient très bien, bon produit.</t>
  </si>
  <si>
    <t>6m de fil et Philips pour un bon casque filaire. Bon casque de base pas cher  dont je me sers pour écouter ma chaîne Hi-Fi sans embêter le voisinage. Qualité Philips avec une livraison rapide et un emballage discret.</t>
  </si>
  <si>
    <t>Drap d'examen 2 ème fois que je commande est tjrs satisfaite.</t>
  </si>
  <si>
    <t>super pour des lingettes De temps en temps un petit rafraîchissement ça fait du bien ou quand il y a des fuites urinaires ou des intestins touchés par une gastro cela évite les brûlures et les irritations. Avec de l'aloé vera, c'est le top du bien être et de l'hygiène. Je ne connaissais pas et là j'ai essayé et j'ai de suite adopté. Je recommande cet article ++++</t>
  </si>
  <si>
    <t>Très bon produit recommandé Des ecouteur parfait rien d'autre a dire</t>
  </si>
  <si>
    <t>trés bon papier de bonne qualité blancheur irréprochable collage impeccable rapport qualité prix imbattable je recommande sans souci malgré la grosse quantité cordialement</t>
  </si>
  <si>
    <t>cartouches d'encre origine Canon pour imprimante MG 5752, elles fonctionnent très bien L'emballage est effectivement surprenant, avec un flyer à l'intérieur qui explique (en allemand) que l'achat de ces cartouches est fait par très gros conditionnement, puis ces cartouches sont revendues et expédiées dans un emballage adapté aux clients. J'ai testé deux cartouches à ce jour (Jaune et noir), et mon imprimante Canon MG 5752 les accepte sans problème, les couleurs sont correctes.  Je rappelle pour info, la compatibilité de ces cartouches / imprimantes canon : MG 5700 5750 5751 5752 5753 6800 Serie 6850 6851 6852 6853 7700 7750 7751 7752 7753 Pixma MG5700 MG5750 MG5751 MG5752 MG5753 MG6800 MG6850 MG6851 MG6852 MG6853 MG7700 MG7750 MG7751 MG7752 MG7753 TS5050 TS6050 TS8050 TS9050 TS 5050 TS 6050 TS 8050 TS 9050  Bonne soirée</t>
  </si>
  <si>
    <t>cafetiere krups Produit commandé et livré en 5 jours bravo Reçu dans sa  boite d' origine et parfaitement conditionnée Fonctionne parfaitement C'est ma deuxieme , j'en suis satisfait pour l'usage occasionnel que j'en fait une ou deux tasses par jour la premiere a laché au bout de 3 ans , mais rien de très anormal à çà  Le prix du vendeur est  compétitif</t>
  </si>
  <si>
    <t>Réponse au produit acheté Bonjour, Pour répondre à votre question, Oui on a bien reçu le colis. Le produit nous convient.  Bien cordialement.</t>
  </si>
  <si>
    <t>Très utile Super achat Très satisfaite de ce chauffe biberon Très pratique et rapide Toujours à la bonne température Je recommande</t>
  </si>
  <si>
    <t>Top Cela change de mon ancienne bouilloire en plastique d'une marque connue !  Celle-ci est vraiment design et va pouvoir trôner fièrement dans ma cuisine avec son look vintage.  En plus d’être plus jolie, elle est aussi plus pratique à cause de son thermomètre qui permet d'avoir la meilleur température pour faire ces infusions.  La contenance est de 1,7 litre au max donc largement suffisant quand il y a du monde. La puissance est d'environ 2000w donc ça chauffe vite.  Pour ce prix, j'adore.</t>
  </si>
  <si>
    <t>Parfaites Parfaites, elles sont trop belles et la taille est nickel</t>
  </si>
  <si>
    <t>Prix très intéressant Montre très jolie, identique au descriptif, pour un prix très intéressant. C'est une 10 atm, je la testerai en piscine. Aspect qualitatif très bon. Éclairage de nuit efficace (voir photo)</t>
  </si>
  <si>
    <t>Puissant De puissante vibration, c'est tout ce que l'on demande et il remplis agréablement cette fonction. Simple d'utilisation et d'entretien, rechargeable en USB, et une matière agréable au touché. Le niveau sonore est à l'image de la puissance, mais ce n'est pas grave car le son sera couvert par d'autre de toutes manières.</t>
  </si>
  <si>
    <t>Super outil!!! Excellent pour mettre un anneau aux sucettes qui n'en ont pas!!! Ainsi on peut les accrocher pour éviter de tomber et se salir...s'enleve aussi pour la nettoyer..super.</t>
  </si>
  <si>
    <t>Pour une peau nette Super fine et homogène, je recommande pour les peau grasses ou mixtes. Utilisez avec du miel, citron et quelques gouttes d'huile essentielle d'arbre à thé pour une peau sans imperfections</t>
  </si>
  <si>
    <t>Elle sont juste trop bien, Je fais du bmx pro, et je prend que des Vans et quand j’ai vue ceux la j’ai direct pris, et franchement pas dessus, on ce sens alaise dedans et la matière et le modèle et vraiment bien ,  mais bon mis à part ça , même pour marcher et les porter tous les jours elle sont nickel,</t>
  </si>
  <si>
    <t>Ne pas acheter Super un SAV irréprochable je recommande +++</t>
  </si>
  <si>
    <t>Taille Taille très petit</t>
  </si>
  <si>
    <t>En panne!!! En panne après même pas 4 mois d’utilisation. 🤔🙄☹️</t>
  </si>
  <si>
    <t>bandeau bien arrive.il correspond avec la-nonce du cite.tissu très fin et doux sur la peau,comme une deuxième.sens couture ne se vois pas sous les vêtements</t>
  </si>
  <si>
    <t>un peu trop fin comme qualité joli, mais un peu trop fin comme qualité, donc pour la mi-saison,</t>
  </si>
  <si>
    <t>BEAU TEE SHIRT CONFORME A LA DESCRIPTION</t>
  </si>
  <si>
    <t>Pratique... Vraiment très pratique. Fonctionne sans problème et semble très résistant. Je regrette simplement la taille, un peu trop grand de mon point vue même pour une grande tasse mais j'aurais peut-être du vérifier les dimensions avant. :)</t>
  </si>
  <si>
    <t>soutien-gorge Zbra J'ai beaucoup de difficultés pour fermer le zip je trouve que ce n'est pas pratique</t>
  </si>
  <si>
    <t>Bonne qualité Produit de bonne qualité, solide qui a beaucoup séduit son propriétaire. Une bonne idée de cadeau qui a l'air de durer</t>
  </si>
  <si>
    <t>très agréable facile d'utilisation, sa housse est très douce au touché, elle garde la chaleur ,très longtemps. livraison rapide. je ne regrette pas mon achat</t>
  </si>
  <si>
    <t>Superbe Superbe</t>
  </si>
  <si>
    <t>Bon Produit Identique à la photo, tiens chaud, 1m73 68 kilos le S est niquel, taille bien, ce n'est pas un s qui taille petit . Merci au vendeur !</t>
  </si>
  <si>
    <t>Très joli Parfait</t>
  </si>
  <si>
    <t>Bon lot bon prix J aime bien les chaussettes de tennis blanche avec les tennis blanche qui ces dernières souvent ont la semelle intérieur blanche et de ce fait on voit pas de peluches de couleurs autres..inconvénient des chaussettes de couleurs...puis l été je les préfères aux chaussettes courtes qui absorbe moins bien puis ça donne un style même si pour certain ça peut faire ringard j assume</t>
  </si>
  <si>
    <t>Boucle oreille Belle boucle, comme sur la photo</t>
  </si>
  <si>
    <t>Très bonne marque Dommage qu’ils ne nous donne pas des recettes!</t>
  </si>
  <si>
    <t>parfait Confortables, chaudes et jolies</t>
  </si>
  <si>
    <t>👍 Ce tapis est conforme. Contrairement aux autres avis je ne trouve pas qu’il pique tellement mais il semble bien appuyer pour aider à la détente.</t>
  </si>
  <si>
    <t>Tres bien Pratiquant la marche j'apprécie la qualité de ce produit, autorisez moi à vous le conseiller, emballage soigné</t>
  </si>
  <si>
    <t>Qualité et conford &lt;div id="video-block-R1NOA9JUNDQQZL"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src="https://images-eu.ssl-images-amazon.com/images/I/A1Po7nJzg-S.mp4" style="position: absolute; left: 0px; top: 0px; overflow: hidden; height: 1px; width: 1px;"&gt;&lt;/video&gt;&lt;/div&gt;&lt;div id="airy-slate-preload" style="background-color: rgb(0, 0, 0); background-image: url(&amp;quot;https://images-eu.ssl-images-amazon.com/images/I/91alGIbu04S.png&amp;quot;);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value="https://images-eu.ssl-images-amazon.com/images/I/A1Po7nJzg-S.mp4" class="video-url"&gt;&lt;input type="hidden" name="" value="https://images-eu.ssl-images-amazon.com/images/I/91alGIbu04S.png" class="video-slate-img-url"&gt;&amp;nbsp;Bonjour c est le 2me casque que j achete de cette marque j en avais pris un pour mon conjoint puisse regarde la tv tranquil et la qualité m avais conquise .  Mon fils souhaite pour son anniversaire jouer au jeux video en ligne ..donc je suis reparti pour cette marque...le conford est bien. Le casque est ajustable et vous pouvez regler me micro et le volume...comme c est un kdo j ai testée pour ne pas avoir de mauvaise surprise et il est top j ai même pû passer un coup fil avec. Vous pouvez y aller les yeux fermés.  Je recommande a 100%</t>
  </si>
  <si>
    <t>Oui Très  bien</t>
  </si>
  <si>
    <t>Parfait ! St Marc est une marque qui n'a plus à faire ses preuves. C'est un peu la garantie qualité. Je ne m'attendais pas à avoir de mauvaises surprises et je n'en ai pas eu : Les lingettes sentent bon même si le parfum est un poil synthétique. Agrume, Soleil de Corses... Bon si on veut mais ça sent surtout le bon vieux parfum artificiel. Il ne faut pas se mentir. Mais ça ne sent pas mauvais. C'est surtout très efficace. Idéal pour nettoyer une surface en quelques secondes. Le petit hic de ses lingettes, c'est surtout qu'on finit par en utiliser pour tout et n'importe quoi . Du coup ça débite. Les acheter en lot ( ici  par 200) est donc intéressant...D'un point de vue économique et pratique. Je donne 5 étoiles !  J'ai aimé:  -La marque St Marc - Efficace - lot pratique et économique  J'ai pas aimé:  - Rien</t>
  </si>
  <si>
    <t>Parfait pour le prix mais perturbant au début Comme déjà dit dans d'autres commentaire les aigus sont assez étrange et ça m'a perturbé au début, on voit pas bien le R et L pour savoir les côtés du coup au debut je l'avait à l'envers puis sur call of je me suis rendu compte que les bruit venait de l'opposé ( le.bon sens est les boutons à droite ) appairage simple, je le recharge tout les 2 jours même en jouant beaucoup, la reduction de bruit fonctionne bien pour les voix mais je ne l'ai pas testé en extérieur juste avec ami / famille à côté de moi, si c'est votre premier casque avec une reduction de bruit comme ça, vous aurez peut-être l'impression d'avoir les oreilles dans le vide.</t>
  </si>
  <si>
    <t>jogging très bien cet article est très bien, la coupe le tissu super merci</t>
  </si>
  <si>
    <t>durée de vie très courte , donc artouches très chères pour le rapport. Ttut en imprimant de temps en temps la cartouche rouge / jaune / noir m'ont duré qu'1 semaine !!! C'est bien la 1 ère fois je soupçonne la quantité annoncée sur celles-ci !!!!</t>
  </si>
  <si>
    <t>sweats a capuche pas contente , tissu de mauvais qualité</t>
  </si>
  <si>
    <t>Pas satisfaite Ça fait la 2 eme fois j'ai recommandé. La 1 er fois j'ai commandé la taille M mais il était trop grand je la renvoyé et j'ai recommandé une 2 eme fois la taille S et c'est encore trop grand je suis pas satisfaite le jogging trop grand par vers le bas et c'est pas comme sa photo !</t>
  </si>
  <si>
    <t>Marche plutôt bien mais je déconseille quand même En effet, malgré les qualités intrinsèques du produit, je suis décu par deux aspects :  - la détection des changements de direction ou des arrêts est plutôt mauvaise et vous donnera une distance parcourue facilemement erronée  - et surtout la mésaventure du moment : progressivement j'ai perdu les oreillettes waterproof, ce qui arrive à force d'utilisation lorsque le casque se frotte à vos serviettes, sacoches, cables, votre poche bien sur, etc... Cela arrive bien plus facilement que l'on ne croit et progressivement on est amené à utiliser les oreillettes restantes de tailles diverses . Jusqu'au jour où vous devrez en racheter et là c'est le drame. Sony se défausse sur une société tiere pour la gestion des ses pièces détachées. Pour une (1) malheureuse oreillette, vous devrez payer 6 à 10 € PLUS 20 € de frais de port !! C'est tout simplement scandaleux. Donc pour moi Sony c'est fini. Je prefère acheter un modèle bien moins cher chez Décathlon par exemple et ne pas avoir l'impression de me faire saigner pendant la durée de vie du produit.</t>
  </si>
  <si>
    <t>Grosse rallonge pour petit microphone Salut à tous !  En déballant le produit la première chose qui frappe c'est la longueur de la rallonge, vous allez me dire c'est fait pour ça, en effet vous avez raison, mais vu la compacité du micro d'origine, ça fait bizarre.  Les - :   - A l'usage, il n'arrête pas de s’emmêler, la faute à un câble très fin (trop fin), la finesse du câble me fait douter sur sa durabilité.   - Le câble est cher et pour le prix on aurait pu avoir un étui de rangement...  Les + :  - Ça marche (et oui c'est quand même important :),  - le son du micro n'a pas l'air dégradé, bon point de ce côté,  - le câble est très long vous allez gagner en liberté de mouvement si vous aimez vous balader loin de votre APN/ Smartphone.  Pour conclure je n'avais pas forcément besoin de 6m de rallonge, et finalement ce n'est qu'une simple rallonge jack, du coup je conseil de faire jouer la concurrence, par exemple je trouve la rallonge suivante plus qualitative et nettement moins chère : &lt;a data-hook="product-link-linked" class="a-link-normal" href="/Kinps-3M-Câble-Audio-Rallonge-Stéréo-En-Nylon-Tressé-Jack-Stéréo-3-5mm-Mâle-Vers-Femelle-Pour-Téléphones-Ecouteurs-Haut-parleurs-Tablettes-PC-Lecteurs-MP3-et-plus-3M-Noir/dp/B01N4WZBZK/ref=cm_cr_arp_d_rvw_txt?ie=UTF8"&gt;Kinps 3M Câble Audio Rallonge Stéréo En Nylon Tressé - Jack Stéréo 3,5mm Mâle Vers Femelle Pour Téléphones, Ecouteurs, Haut-parleurs, Tablettes, PC, Lecteurs MP3 et plus (3M,Noir)&lt;/a&gt;  Si vous avez trouvé mon avis utile n'hésitez pas à me le dire ;)</t>
  </si>
  <si>
    <t>bien colle bien mais difficile à utiliser, tout petit et pas toujours simple à détacher</t>
  </si>
  <si>
    <t>Montre jolie mais pile CR2430 HS a la reception La montre est vraiment sympa pour le prix. Par contre la pile était hors service donc j'ai dû la remplacer pour pourvoir utiliser la montre, La procédure de mise en route ne fonctionnait pas, pourtant elle est simple. A la suite du changement de pile tout est rentré en ordre. Faut aller voir sur YouTube ou le site Fossil pour avoir les explications car la notice est succincte.</t>
  </si>
  <si>
    <t>bon produit Bon produit par rapport au prix, simple a utiliser. Boite avec notice en plusieurs langue. Je la recommande  pour quelqu'un qui cherche une montre pas cher et de qualité.</t>
  </si>
  <si>
    <t>Commentaire Un peu trop petit sinon nickel, pas de mauvaise surprise et bonne marque</t>
  </si>
  <si>
    <t>Très bon produit Excellent rapport qualité prix</t>
  </si>
  <si>
    <t>très chaud Livraison dans les bons délais et tout à fait conforme à l'attente: chausson très léger et très chaud</t>
  </si>
  <si>
    <t>le confort parfait pour la maison</t>
  </si>
  <si>
    <t>Ok Bon produit</t>
  </si>
  <si>
    <t>Original Tres original comme sweat et qualité synthétique mais bonne qualité</t>
  </si>
  <si>
    <t>Comme sur la photo! Pour personne fine et qui aime le romantisme</t>
  </si>
  <si>
    <t>Très mignon Les boucles d'oreilles sont jolies et brillent avec les petits ''diamants''. Je pensais quelles étaient plus grandes, mais tant pis, elles sont vraiment top! Je les recommandes</t>
  </si>
  <si>
    <t>Très bonne lampe Très bon produit! Je le recommande pour la période hivernale. Idéalement à utiliser le matin pendant 15 ou 20 minutes.</t>
  </si>
  <si>
    <t>Véritable pierre Très belle qualité</t>
  </si>
  <si>
    <t>top qualité fan de ces paires de chaussettes, confortable pour le sport comme pour tous les jours, produit fidèle aux descriptions, top.</t>
  </si>
  <si>
    <t>Un super son Un son incroyable (pour l'utilisateur non professionnel que je suis). La réduction du bruit est assez bluffante, même sans musique et casque éteint (l'activation est indépendante de l'alimentation, attention à ne pas oublier de la couper). Le couplage avec différents appareils se fait sans problème, le téléphone indiquant même une estimation de la batterie restante (par plage de 20%, plus de précision aurait été préférable, mais c'est mieux qu'aucune indication). Par temps chaud, retirer le casque permet de voir qu'on a un peu transpirer, mais en utilisation ce n'est pas du tout gênant. Et ça risque de tenir les oreilles au chaud pendant l'hiver ! :D Le tout, pour un prix vraiment bas !</t>
  </si>
  <si>
    <t>Support PC très pratique Excellente qualité ce support ! Mon ordinateur portable  ne chauffe plus,il y a  plusieurs positions possibles pour incliner la tablette grâce aux boutons poussoirs sur les côtés , les matériaux semblent solides ! Très satisfait de cet achat !</t>
  </si>
  <si>
    <t>Magnifique !! packaging : excellent produit : 1 collier en argent 925 ème chaine + pendentif   1 joli écrin  description du produit : Je suis très satisfaite de mon achat!! Il s agit de mon 3 ème achat dans cette boutique pour qui j ai une confiance absolu car jamais déçue !  J'ai reçu mon collier très rapidement et dans un emballage propre et soigné comme toujours !  Le collier est en argent 925 ème et  Zircone cubique, Diamenté pour le pendentif  , il fait environ 45 cm ce qui est une bonne taille ni trop long ni trop court! C'est un bijoux de qualité la chaîne est très solide je l'ai tester en tirant plus ou moins fort dessus elle n'as pas cédé !  Le tout est livré dans un joli écrin est peux donc être offert pour une occasion particulière sans problème .  conclusion : n hésiter pas pour votre achat le coup de coeur es assuré !!</t>
  </si>
  <si>
    <t>très bien Le système d'ouverture du couvercle est sympa, la transparence du verre et les leds à l'intérieur donnent un effet design. très facile à nettoyer, juste un peu de vinaigre et d'eau et la bouilloire est comme neuve!</t>
  </si>
  <si>
    <t>Cartouches encre Cartouches très bon rapport qualité /prix par rapport aux grandes surfaces !</t>
  </si>
  <si>
    <t>Ne marche plus après 8 mois d'utilisation occasionnelle J'étais au départ très satisfaite de ce produit pour mes contractures musculaires du dos. Je l'utilisais occasionnellement. A peine 8 mois après mon achat, le bouton on/off ne marche plus! L'appareil est cassé et pas de garantie. S'il marchait encore j'aurais mis 5 étoiles... car il est léger et facile d'utilisation.</t>
  </si>
  <si>
    <t>Trés décu par cette Caterpillar Dans un usage quasi urbain, ma paire de Caterpillar à commencée à montrer de sérieux signes de fatigue 2 mois seulement après l'achat : La semelle s’effrite par petits bout, la bande jaune de celle-ci a totalement disparue. De grosses fissures profondes se sont formées sur le cuir. Cuir qui se marque profondément par la moindre éraflure ou choc. Au 4éme mois d'un port quotidien c'est la couture du cuir qui à commencée à lâcher. Au 9éme mois d'usage des pièces métalliques sont sorties je ne sais d’où de la chaussure. Je précise que je cire et entretient mes Caterpillar par un brossage et passage de cirage hebdomadaire. Aprés 11 mois, je dois envisager de changer les chaussures que j'espérais pouvoir garder bien plus longtemps. Ma première réaction fut de penser à une malheureuse contrefaçon de cette célèbre Holton, mais non, après plusieurs lectures de forums et autres avis le constat est sans appel : Caterpillar par des choix sans doute économique à très sensiblement revu à la baisse sa production. C'est bien dommage car à l'heure de racheter une nouvelle paire de chaussure je me détourne définitivement de cette marque qui ne propose plus des produits de qualité. Mon choix se porte aujourd'hui vers TIMBERLAND, qui est certes 2 fois plus cher que Caterpillar sur le même segment de produit. A quand comprendra t'on qu'à trop vouloir tirer les prix au détriment nécessaire de qualité on se perd et on perd ses clients.  Je vous déconseille fortement l'achat d'une paire de Caterpillar.</t>
  </si>
  <si>
    <t>on ne veut meme pas me le rembourser trop petit et les bandes blanches deteignent</t>
  </si>
  <si>
    <t>bon produit c'est un bon produit qui est livré rapidement, vérifiez-bien la compatibilité des agrafes maped 26/6 avec votre agrafeuse avant d'effectuer votre achat</t>
  </si>
  <si>
    <t>il faut draie ralonger un petit plus de tissus a chaque jambe ralonger plus de tissus a chaque jambe</t>
  </si>
  <si>
    <t>Conforme mais attention à l'emballage L'article est conforme à mes attentes, mais attention si vs souhaitez faire un cadeau car le carton était dans un piteux état. Sinon les chaussures sont jolies, je recommande.</t>
  </si>
  <si>
    <t>Qualité...top Bonne qualité mais taille petit</t>
  </si>
  <si>
    <t>Parfait Très belle bouilloire, facile d utilisation, notice en français la lumière led fait son effet</t>
  </si>
  <si>
    <t>Trés bien Trés bien</t>
  </si>
  <si>
    <t>Conforme Très bon produit</t>
  </si>
  <si>
    <t>Fait le job Pratique. Pour l instant nous n utilisons le bib'expresso que pour faire rechauffer le lait maternel que l on a mis au frigo. On n utilise que la partie bain marie.</t>
  </si>
  <si>
    <t>Très satisfaite Mon père a été très content de recevoir cette sacoche pour noël</t>
  </si>
  <si>
    <t>Super J'écrit ce commentaire après plus de 3 ans d'usage ! Ce micro fonctionne toujours aussi bien et est de super bonne qualité fournie avec une petit trousse de rangement en faux cuirs et une araignée entièrement en métal Au top franchement le jour ou ce micro me lâchera je reprendrai le même :)</t>
  </si>
  <si>
    <t>Activite Beaucoup de gommettes de taille et de formes différentes ! Facile A attraper par l'enfant ! Beaucoup de couleur pour laisser a l'enfant de quoi s amuser</t>
  </si>
  <si>
    <t>Son design Bonjour La montée en température est très rapide Utilisation pour thé et tisanes</t>
  </si>
  <si>
    <t>PLUS QUE PARFAIT !! J’adore ce produit rend la peau très douce et sent bon je recommande fortement !</t>
  </si>
  <si>
    <t>Modèle canon, mais taille grand Attention à ce modèle, il taille grand voire très grand. Le 38 convient à un 39 ou un 38 grosses chaussettes. Elles semblent plus résistantes que les Superstar malgré qu'elles soient en toile. Je recommande ! (enfin pas trop évitons de finir tous avec ça aux pieds comme avec les superstar et stan smith !)</t>
  </si>
  <si>
    <t>Bon maintien dorsal. Sac acheté pour la rentrée de ma grande au lycée. Le sac est de bonne taille, les bretelles sont bien confortables et il y à un renfort dorsal bien rigide pour un meilleur maintien Les différentes poches sont assez bien agencé et suffisamment grande. Un poids super mouche.</t>
  </si>
  <si>
    <t>Rapport simplicité et prix validé Bois brut qui permet de customiser le produit. Prix très abordable.</t>
  </si>
  <si>
    <t>Notice incomplète Notice vraiment incomplète  et uniquement en anglais</t>
  </si>
  <si>
    <t>Fait le job Montre qui fait parfaitement le job. Je cherchais une montre simple avec l'heure et un chrono rien de plus. Elle est de grande taille sans être imposante, confortable au poignet, s'avère très pratique pour le sport.</t>
  </si>
  <si>
    <t>Efficace! Un peu surprise sur le coup de l'utiliser, habituée à un papier brun, celui-ci est blanc, l'odeur m'a aussi parru différente, j'ai quand même essayé, certes l'odeur n'est pas tout à fait la même que je connaissais, mais elle reste agréable et désodorise parfaitement, donc il fait le job, rien à dire là dessus, je recommande donc ce produit qui de plus a été livré très rapidement et avant la date prévue, PARFAIT!</t>
  </si>
  <si>
    <t>Beaucoup trop chères Reconnues instantanément par l'imprimante (qui vous félicite de votre achat), ces cartouches vendues au pire d'un Dom Perignon Grand cru classé  donne de bons résultats... mais pas mieux qu'un kit vendu 15€.</t>
  </si>
  <si>
    <t>Choc sur la vitre + problème chronomètre Emballage nickel, mais en ouvrant j'ai découvert que le verre de la montre avait reçu un coup avant d'être emballé. Quand je stoppe le chronomètre puis que je veux le remettre à zéro, il ne se remet pas à zéro mais recule seulement de quelques secondes. C'est dommage car la montre est légère et pas trop grosse.</t>
  </si>
  <si>
    <t>Tenue parfaite pour le sport Je suis contente de la tenue mais au bout de 30 minutes la matière gratte c est le seule inconvénients sinon il tient c'est promesse .</t>
  </si>
  <si>
    <t>Pas de surprise pour le prix J’ai commandé plusieurs paires de chaussures sur ce site, en général très satisfait, celles-ci ne sont pas les mieux</t>
  </si>
  <si>
    <t>Livraison rapide et bon confort pour le moment J'ai reçu la chaise le lendemain comme très souvent avec Prime. Le montage se fait assez facilement en dehors des deux dernières vis du dossier. Rien d'impossible, mais bloquer le pied pour ne pas que la chaise roule en tirant le dossier vers l’arrière pour aligner les trous des vis, seul ce n'est pas simple. Très confortable pour le moment, à confirmer après quelques heures d'utilisation.</t>
  </si>
  <si>
    <t>bien Articles  conformes à la description, cependant quelques crochets étaient mal finis ou abîmés. Mais ceux-ci représentenNT un chiffre infime eu égard le nombre  de crochets. Je recommande ce vendeur.</t>
  </si>
  <si>
    <t>Très bon produit pour le prix... Un microphone multi usages, car le récepteur permet de le brancher de 3 manières différentes à un système audio. Soit par l’intermédiaire du jack 6,5mm standard microphone, qui peut passer à 3,5mm standard écouteurs au moyen de l’adaptateur fournit. Ou avec un convertisseur jack vers cinchs (rca).  Soit via les ondes FM, car il peut également transmettre sur 3 fréquences différent, ou encore avec le Bluetooth. Le récepteur possède 10 bandes, ce qui permet de lui ajouter 10 microphones simultanément, ce qui est quand même conséquent.  En ce qui concerne l’alimentation, le micro nécessite 2 piles AA, tandis que le récepteur a besoin d’un accus 18650, trouvable facilement. A noter, que le récepteur peut également s’alimenter et recharger l’accus via le port micro usb.  Petit soucis au niveau du récepteur pour ma part, la partie positif ne ressort pas assez sur tous mes accus (différentes marques Eneloop, Samsung…), ce qui fait qu’il n’y a pas de contacte, je suis obligé d’ajouter un bout de métal…  La qualité en elle-même est bonne, le micro ainsi que le récepteur sont en plastique, mais ne fait pas du tout cheap, et donne une sensation de solidité dans les mains.  La qualité sonore, puisqu’elle est importante est excellente pour le prix, et franchement je ne m’y attendais pas du tout. En revanche, prévoyez un filtre anti pop, car il est assez sensible à ça. Il a également à tendance à saturer si vous le placer trop près de votre bouche.  Je ne lui mets cependant pas 5 étoiles, car le fait que l’accus 18650 ne s’adapte pas et ceux sur plusieurs marques, est assez embêter. J’ai pu remarquer également que l’amplification était assez faible, mais ça passe sans soucis sur un home cinéma ou une table de mixage faite pour.  Mise à part ses petits défauts mineurs, je recommande sans soucis pour le prix.</t>
  </si>
  <si>
    <t>Très bon rapport qualité/Prix Très jolie montre,  certe qu'elle paraît imposante au départ à son poignet moi qui en avait une assez fine et ayant un petit poignet mais avec le temps, ont s'y habitue et c'est la mode des montres plus expressifs. Pour la fonctionnalités,  rien à dire, assez simple avec le logiciel " Fossil Smartwatch" à installer sur son smartphone. Enfin une assez bonne qualité de matériel, pas "fragile" pour ma part, dû moins elle ne sert que pour le week-end.aucun regret.</t>
  </si>
  <si>
    <t>biberon magique! Le produit est bien emballé et livré dans les temps ... conforme a la photo même encore plus joli je dirais...  ce biberon est magique tt simplement pour sevré bebe ... merveilleux ... rien a dire, je ne suis pas déçue de mon achat, je recommande fortement ....</t>
  </si>
  <si>
    <t>A renouveler tous les 6/12 mois Débit parfait pour ma fille</t>
  </si>
  <si>
    <t>File de longueur idéal Ce que j'aime c'est la longueur du file Qui permet de faire des reportages vraiment top La longueur est d'environ 5 mètres Vraiment bien je peux installer le micro n'importe où Le son créé est de bonne qualité Attention au frottement Comme tous les micro cravate il faut le placer pour qu'il n'y ai pas de frottement. Bon rapport qualité prix</t>
  </si>
  <si>
    <t>Ma fille en est contente Très bien pour les enfants</t>
  </si>
  <si>
    <t>Wand masseur . extraordinaire . je l'ai également fixé sur le coté d'une pince à cheveux pour la queue de cheval des dames à l'aide d'un fort anneau de caoutchouc . Vous pouvez poser des questions .</t>
  </si>
  <si>
    <t>baskets van u authentic baskets mode et ma fille est trés contente de ses vans qui sont trés confortable dedans et la couleur bordeaux .</t>
  </si>
  <si>
    <t>Très beaux Les chaussons sont très beaux et bien faits, cependant je vous conseille de prendre une taille au dessus de votre pointure. Sinon conforme aux photos et arrivés dans les temps ! Ravi de ces petits chats :)</t>
  </si>
  <si>
    <t>Produit top Très bon produit, conforme à la photo. Envoi très rapide</t>
  </si>
  <si>
    <t>bouilloire Super jolie quand  elle est allumée</t>
  </si>
  <si>
    <t>Excellent maintient. Utilisés pour la danse classique. Bon maintient. Les coussinets amovibles très pratiques pour la lessive.</t>
  </si>
  <si>
    <t>Top Achèté 11€ je l'adore ! Confort total et il fait une belle silhouette</t>
  </si>
  <si>
    <t>Correct vu le prix Ma fille voulait ça pour elle et sa copine chaînes de longues médailles en métal bien finies elle est ravie !</t>
  </si>
  <si>
    <t>bon rapport qualité/prix design</t>
  </si>
  <si>
    <t>Ecouteurs de qualité Déjà tout est vraiment bien protégé, un peu trop peut-être. Pour moi c'est un plus. Le câble semble bien résistant et la taille est impeccable dans mon cas. Les embouts en mousse à mémoire de forme, c'est assez perturbant au début mais après on s'en lasse plus. Et merci d'avoir mis plusieurs tailles, car les moyens étaient trop gros pour moi. La qualité sonore est correct. Je les ai testé pendant une séance de vélo elliptique, ils tiennent bien. Pas testé le micro mais le controleur de volume est simple et opérationnel. Je recommande.</t>
  </si>
  <si>
    <t>Super son. Utilisation nomade. Le son est très bon. Jolie design.</t>
  </si>
  <si>
    <t>Marche bien Très bien</t>
  </si>
  <si>
    <t>taille Chaussure taille trop grand pour un 38, moi qui est l'habitude d'en acheter de cette marque c'est la première fois que les chaussures sont trop grande</t>
  </si>
  <si>
    <t>150€ avec des problèmes de connexion??? j'ai mis 2 étoiles parce que le son est assez sympa (suis pas un connaisseur), mais ce qui est vraiment rédhibitoire, c'est la connexion bluetooth entre les 2 oreillettes et avec l'appareil qui est très erratique. Il suffit par exemple que je tourne la tete pour que la connexion s'arrete une demi seconde. Ce n'est pas acceptable pour un tel prix.  EDIT: après usage plus intensif, je mets 1 étoile au lieu de 2. La connectivité est en effet CATASTROPHIQUE, tant à la connection via bluetooth au départ, qu'à l'usage (perte de son entre les 2 oreillettes, beaucoup de coupures, ...).</t>
  </si>
  <si>
    <t>Nul Trop et très grand , taille n'importe comment... Horrible... Renvoyé</t>
  </si>
  <si>
    <t>Pas doux du tout Bon taille mais se déchire facilement, et je les trouve trop reches</t>
  </si>
  <si>
    <t>Je recommande ses chaussettes pour le travail J'utilise ces chaussettes pour le travail rien à dire à part qu'elles ont tendance à s'user un peu rapidement mais vu le nombre de chaussettes qu'il y a dans seul au ça ne pose pas de problème</t>
  </si>
  <si>
    <t>Impeccable Taille bien, limite bien grand, mais sinon rien à redire. Envoi plus rapide qu'annoncé.</t>
  </si>
  <si>
    <t>Que du bonheur ! Mon épouse étant très frileuse, je lui ai offert ce sur-matelas chauffant pour son anniversaire. La mise en place est simplissime, sur le matelas et sous le drap housse, et le résultat est excellent. Très rapidement le lit est chaud, avec une température réglable, et par prudence nous arrêtons le chauffe-lit pour dormir. L'interrupteur (un de chaque côté) est facile à régler, mais à mon avis (très exigeant) il manque une télécommande et un temporisateur réglable pour que cet excellent produit devienne parfait !</t>
  </si>
  <si>
    <t>Logiciel Synapse, à quand la vrai version ? Produit de bonne qualité. Je lui reproche son prix, qui, malgré une belle finition, reste cher à mes yeux. Le logiciel Synapse pour paramétrer le casque est une vraie m*rde... Le logiciel ne fait que planter (j'ai vu que beaucoup de gens avait ce problème). Je trouve le casque relativement lourd. Je ne regrette pas vraiment mon choix car au delà des reproches que je viens de lui faire, la qualité de son est bonne, le micro pour l'instant marche toujours très bien. Le Sans fil est un vrai + de nos jours ( si vous voulez aller aux toilettes tt en continunant de parler à vos collèguez en mm temps, foncé !; perso je kiff :D). Et les LEDs fonctionne très bien malgré un reproche au niveau de l'instensité lumineuse, qui je trouve, est faiblarde ( même en l'ayant mise au max sur le logiciel )</t>
  </si>
  <si>
    <t>Efficace et pas cher! Taille un peu grand....</t>
  </si>
  <si>
    <t>Efficace, agréable à moindre coût Surprenant et résistant aux ronces et églantiers. Pas pu vérifier étanchéité mais vu l'épaisseur du cuir il suffit sans doute de bien graisser l'ensemble.</t>
  </si>
  <si>
    <t>basket compensées de loisir basket taillant parfaitement, un 36 pour mon cas, très très légères, aérées, parfaite pour le printemps et l'été, on marche super avec, et le compensé est bien fait. elles font bien en short ou bermuda pour l'été. reçues un peu en avance, génial.... je les recommande</t>
  </si>
  <si>
    <t>Au top Au top .. très chaudes , bien taillées étanches .. famille de 5 cavalières , dommage cependant que les tailles commencent au 31. La petite dernière devra se contenter de mettre des chaussettes de ski dans ses bottes.</t>
  </si>
  <si>
    <t>Superbe Très bon rapport qualité prix. Le diamètre du fil  est correct.. J'ai branché un home cinéma 5.1, le son est correct, sans distorsion .Je recommande vivement ce produit.</t>
  </si>
  <si>
    <t>Parfait pour le balai Express system + C'est une recharge microfibre qui convient parfaitement au balai Spontex Express System+ . Des clients ont été mécontents de constater un trou au milieu de la serpillère. Il faut donc faire attention à bien lire le descriptif car il est mentionné que c'est bien pour ce modèle et pas un autre. En cas d'erreur, il est préférable de renvoyer le produit et se faire rembourser en faisant appel au service client Amazon. Pour ma part, aucune mauvaise surprise, la serpillère est totalement conforme à ce que je souhaitais et je mets donc 5 étoiles amplement méritées.</t>
  </si>
  <si>
    <t>Charm's cœur decoupé Je complète mon bracelet, j'ai un faible pour ce style de charm's Il est très fin en argent et Pandora !!!</t>
  </si>
  <si>
    <t>Bonnes chaussures mais il faut un temps d’adaptation Au début, les chaussures me faisaient un peu mal aux pieds puis avec le temps elles se sont un peu élargies et depuis je me sens super bien dedans. La taille est correcte. Elles sont jolies. La dorure ne bouge pas. Les fermetures éclairs sont très pratiques.</t>
  </si>
  <si>
    <t>Pas de plastique au contact de l’eau L’avantage est indiqué sur le descriptif : pas de plastique en contact avec l’eau ! Pour le reste elle fonctionne superbement bien. À mon avis le meilleur achat de bouilloire du moment.</t>
  </si>
  <si>
    <t>Bon produit. J'ai une maison froide et ce chauffe matelas est parfait, il marche bien et le prix est très bon aussi.</t>
  </si>
  <si>
    <t>Brassière Produits de qualité et très confortable La taille correspond bien au standard</t>
  </si>
  <si>
    <t>Très beau Très bel egoutoire a biberon qui rempli très bien sa fonction. Couleur sympathique. Il va très bien dans notre cuisine.</t>
  </si>
  <si>
    <t>Super je recommande Super sympa je recommande</t>
  </si>
  <si>
    <t>Super mais prendre une pointure au dessus Ma mère ne porte que ses baskets !! Super pour le dos ! Par contre prendre une pointures au dessus.</t>
  </si>
  <si>
    <t>Super Produit conforme aux attentes.</t>
  </si>
  <si>
    <t>Belle paire de boucles Rapport qualité prix correct, livré dans les délais et identique à la description</t>
  </si>
  <si>
    <t>Top Très beau cuir</t>
  </si>
  <si>
    <t>Déçu Lorsque j'ai acheté ce produit j'ai fais très attention au descriptif car je n'aime pas acheter en ligne car on ne peut pas essayer et voir le produit juste en photo. Du coup on fait confiance à ce qu'on lit et il était mis qu'il fallait prendre une demi pointure de plus mais il s'avère qu'à la réception du colis surprise c'est trop grand cela fait des pieds immense pas très joli donc je les mets que très rarement. Prix correcte pour ceux à qui elles sont adaptées dans mon cas trop chère. J'avais des doutes sur l'achat en ligne cela confirme. Cela dit je conseillerai ce produit à mon entourage pour ceux qui on l'habitude de faire des achats en ligne sur ce genre de produit.</t>
  </si>
  <si>
    <t>Envoyer les bons articles comme sur les photos Ce n’est pas comme sur la photo c’est une sacoche différente que j’ai reçu</t>
  </si>
  <si>
    <t>Un peu petite fait une taille en moin La chaussure fait une taille de moin donc prendre une taille au dessus.</t>
  </si>
  <si>
    <t>Moyen Bon produit dans l ensemble mais à la découpe Des étiquettes produit qui laisse apparaître des fils</t>
  </si>
  <si>
    <t>Bof Goupillon un peu en toc. Ne nettoie pas aussi bien qu’un vrai goupilllon type AVENT. Dépanne bien le temps d’un voyage.</t>
  </si>
  <si>
    <t>Produit correspondant presque a mes attentes (efficacité) prix tres correct filtre pour aspirateur de cendre chaudes bon produit  a nettoyer souvent.(pratiquement après chaque usage)</t>
  </si>
  <si>
    <t>Sympas Les écouteurs sont sympas et pratiques. Pas une super tenue pour le sport. Pour les appels l'Interlocuteur s'entend en double. Si c'est pour écouter la musique ils font leur job.</t>
  </si>
  <si>
    <t>Quasi parfait D'apparence robuste, les roulettes sont de très bonne qualité et silencieuses même sur parquets et carrelage. Visseuse indispensable pour le montage. Un petit retour pour cacher les roulettes méritait la perfection</t>
  </si>
  <si>
    <t>Biberon Mickey !! Je l'ai pris pour mon petit-fils et il l'a tout de suite adopté, il le tient sans problème et sa sœur qui a 4 ans le voulait parce qu'il y avait Mickey malgré qu'elle ne prend bien sûr plus de biberon !!!</t>
  </si>
  <si>
    <t>Lot chaussettes très intéressant ! Chaussettes agréables à porter. La qualité est très bonne. À voir avec le temps. Rapport qualité prix au top</t>
  </si>
  <si>
    <t>Bonne qualité Cartouches idéales pour un nombre restreint d'impressions de bonne qualité. Celles de plus grande capacité risquent de sécher à la longue si peu utilisées et, par conséquent, perte d'argent. Conviennent tout à fait à mon usage.</t>
  </si>
  <si>
    <t>Très bon produit Parfait</t>
  </si>
  <si>
    <t>Quel beau bijou ! J'aime beaucoup ce collier. Pour le prix il est vraiment beau, originale et résistant. Je le porte tous les jours depuis réception. Et je reçois des compliments. Je suis vraiment ravie.</t>
  </si>
  <si>
    <t>impeccable pour une activité sportive pour faire du VTT essayé hier malgré le froid efficace et gère bien la transpiration taille Ok</t>
  </si>
  <si>
    <t>Conforme Bonne taille</t>
  </si>
  <si>
    <t>Yes yes Permet de ranger sans faire tomber les produits qui sort de la machine a stérilisé</t>
  </si>
  <si>
    <t>Joli objet Commande pour faire un cadeau de Noël; Pas déçue du tout: c'est un bel objet qui fait à la fois diffuseur et objet de décoration d'intérieur et avec  les lumières, ça crée une petite ambiance. Il ne fait pas toc. J'espère que la destinataire du cadeau sera aussi contente que moi et j'ai bien sûr vérifié qu'il fonctionnait bien avant de l'offrir, ce serait ballot d'offrir quelque chose de cassé mais là encore pas de soucis. Pas impossible que je le commande aussi pour moi !!!</t>
  </si>
  <si>
    <t>Pratique et robuste Sac utilisé au quotidien. Très pratique et robuste.</t>
  </si>
  <si>
    <t>Plus que ravie Super pantoufles. Très douillet et très comfortable. Taille très bien. Rien à redire. Je suis ravie. Je les recommandes fortement.</t>
  </si>
  <si>
    <t>Bon produit J’avoue  avoir  Souvent hésité à acheté en dehors des magasins mes cartouches d’encre.  J’ai tenté et je ne regrette pas super aucuns problèmes et le prix !!!!! Cela fera la deuxième fois que je commande</t>
  </si>
  <si>
    <t>Super ! J'adore cette montre, très jolie couleur, très bon fonctionnement et simple d'utilisation. Rien à redire. Je recommande vivement ce produit !</t>
  </si>
  <si>
    <t>Maison propre Parfait pour mon bissell crossware. Lave parfaitement mon sol sans mousser. Ravie et laisse une bonne odeur de propre.</t>
  </si>
  <si>
    <t>Magnifique Acheté pour ma fille qui les adorent ses chaussures. Couleur magnifique Confortable pour la marche et ou le sport ( sinon comme chaussure detente de tous  les jours) Délais de livraison rapide Je le recommande Taille si vous faite du 41 prenez le 42</t>
  </si>
  <si>
    <t>Très pratique &lt;div id="video-block-RDWBDT1TQF9AR" class="a-section a-spacing-small a-spacing-top-mini video-block"&gt;&lt;/div&gt;&lt;input type="hidden" name="" value="https://images-eu.ssl-images-amazon.com/images/I/A1Z-ztARqzS.mp4" class="video-url"&gt;&lt;input type="hidden" name="" value="https://images-eu.ssl-images-amazon.com/images/I/91JhhVUSErS.png" class="video-slate-img-url"&gt;&amp;nbsp;Très jolie bouilloire en inox, très légère à porter, très pratique son réglage de température ce qui permet d’avoir un thé ou une infusion idéalement parfumé. Très pratique pour les amateurs de thé. C’est vraiment un très bon produit. Je vous la recommande</t>
  </si>
  <si>
    <t>Trop fragile Le fil du bracelet s'est cassé au bout de 5 mois (nécessaire de l'enlever et remettre car ne peut passer sous l'eau) dommage...</t>
  </si>
  <si>
    <t>Mauvais article A la réception la pile était plate, j'ai dû la faire remplacer et le fermoir laisse beaucoup à désirer. Cet achat me déçoit.</t>
  </si>
  <si>
    <t>Nulle aucun intérêt La poudre se renverse un peu partout en dehors du biberon a cause de l ouverture latérale qu n est pas très au point . Je préfère largement les doseurs classiques avec un bec renverseur ... Pas du tout pratique . Sera mis au placard et je vais en acheter un autre ...</t>
  </si>
  <si>
    <t>Bof Adapté pour les nettoyeurs mais question odeur de citron, on la cherche...</t>
  </si>
  <si>
    <t>Super Je suis kinésithérapeute et je trouve que c'est Parfait pour la journée de travaille. Simple, confortable, légère, pratique, respirable, parfait.</t>
  </si>
  <si>
    <t>N'est jamais à l'heure mais tres jolie Tres jolie mais trop compliqué et en plus elle avance toujours réglage auto</t>
  </si>
  <si>
    <t>Tres bon rapport qualité prix Produit à un prix + que correct. On se croirait dans des chaussons. Très agréable à porter.</t>
  </si>
  <si>
    <t>Pompe Vide-Cave à Eau Chargée 1100 W Utilisé dans un vide sanitaire ou les eau de drainage de la maison arrive . Très bonne puissance . C'est MAKITA , jamais déçu avec cette marque .</t>
  </si>
  <si>
    <t>Impeccable Des vrais chaussons ! Les crampons s’abim Vite mais très bonne chaussure</t>
  </si>
  <si>
    <t>Très bon produit Bouilloire esthétique et très pratique : il est appréciable de pourvoir choisir la température de l'eau en fonction de ses besoins. Après environ deux semaines d'utilisation, pas de calcaire.</t>
  </si>
  <si>
    <t>Très bon produit Très bon produit, ce porte casque tien parfaitement droit, il ne tombe pas, il est bien équilibré. Il fin et le rend discret sur le bureau. Très bon produit je le recommande</t>
  </si>
  <si>
    <t>Excellent produit Depuis la naissance de mon fils j'utilise les biberons et les tétines Philips Avent, et je ne suis pas déçu. Je ne sais pas si il y a un lien, mais il n'a effectivement jamais eu de coliques, et j'ai appris par la suite que des amis dont le fils n'avait lui aussi jamais eu de coliques utilisaient les même biberons/tétines.</t>
  </si>
  <si>
    <t>Excellent Je vais détailler mon avis en deux parties :  une première, succincte, pour ceux qui ont la flemme de lire et une deuxième, plus longue, où je vais détailler un peu plus mon avis sur ce casque.  En résumé Qualités : - excellent rendu sonore - confort remarquable - très bonne autonomie - application réactive, facile d'utilisation et amplement suffisante. - L et R inscrits à l'intérieur des oreillettes.  Défauts : - son prix - le réglage de l’arceau, un peu déroutant au début  Pour info, je suis un particulier, j’ai acheté et payé ce casque avec mes propres deniers. Je ne suis absolument pas subventionné par Bose.  Je me suis d'abord procuré le casque Sony XM3. J’étais influencé par tous les tests et commentaires que j’ai lu ici et là. Mon oreille n’est plus toute jeune, j’ai 60 ans, mais je peux aisément comparer deux sources sonores. J’adore la musique, je suis musicien amateur et j’ai la chance de pouvoir posséder des équipements de haute qualité. J’ai renvoyé le Sony au bout de 10 jours tellement les aigus paraissent étouffés : j’avais l’impression d’avoir du coton dans les oreilles. Les basses sont extrêmement surchargées au point de faire mal aux oreilles sur certains morceaux...et pourtant je suis bassiste ! J’ai donc commandé ce casque Bose 700.  J’avais peur du résultat, compte-tenu que je possède deux petites enceintes Bluetooth Bose et que j’ai longtemps eu des Bose 901 qui n'étaient pas réputées pour leur fidélité au spectre sonore - Il était inconfortable d’écouter une sonate au piano avec ses enceintes, par contre, le rock et toutes les musiques qui me demandent des graves avaient un rendu extrêmement &amp;nbsp;«&amp;nbsp;flatteur&amp;nbsp;»  Mais là je dois dire que la qualité sonore m’a bluffé. Les aigus sont là, précis mais pas sibilants, les médiums chaleureux et très agréables pour écouter une voix humaine ou un saxophone et curieusement les basses seraient peut-être un petit peu en retrait mais je pense que c’est juste une comparaison avec le casque Sony. Nous l'avons essayé à plusieurs, dont mon fils qui a une oreille très affûtée (excellent musicien) et qui n’a que 30 ans ! Je lui ai donc fait comparer les deux casques avec la même musique, deux sources sonores comparables (iPad et iPhone X) Le résultat est sans appel, le casque américain l’emporte très largement sur le japonais.  Je me demande si les journalistes qui ont essayé ses casques ne sont pas tout simplement achetés par Sony : où ont-ils perçu des aigus brillants ? Ou alors le casque j’ai reçu avait un défaut au niveau de ses transducteurs… ! mais, même en réglant les aigus au maximum sur l’application et au niveau des iPhone / iPad, on ne retrouve absolument pas le confort sonore du Bose.  L’autonomie de 20 heures est amplement suffisante, je ne vois pas l’intérêt d’avoir beaucoup plus. L’application est simple et claire, elle suffit largement pour l’utilisation du casque, et ne nous encombre pas de réglages totalement inutile comme celle du Sony dont l'équaliseur n'a même pas réussi à compenser les défauts du XM3. Elle est surtout très rapide à l’ouverture, elle permet une connexion quasiment instantané avec le casque (ou avec d’autres produits de la même marque) quant au défaut de nécessité une inscription pour la faire fonctionner cela me paraît tout relatif… Si vous désirez un total anonymat, jetez votre smartphone ne vous connectez à plus rien du tout ! J’aime beaucoup le jingle d’allumage et d'extinction. De même la possibilité de se connecter simultanément à deux sources est tout simplement indispensable. Je passe régulièrement de l’iPhone à l’iPad sans devoir me reconnecter. Le Sony est beaucoup moins pratique sur ce plan. Par contre je ne vois pas du tout l’intérêt de Bose AR, Si encore le rendu était parfait, mais avoir un sont à 360° ou le piano est prépondérant quand on regarde dans sa direction est totalement inexistant quand il se trouve derrière me paraît assez peu réaliste.  La réduction de bruit active : et si on devait la noter je lui mettrai 19/20 : la perfection n’étant pas de ce monde. Elle est réglable sur 10 niveaux ce qui est presque trop pour moi, mais je dois avouer que son efficacité est absolument bluffante - au même niveau que celle du Sony. On est complètement isolé du monde extérieur, c’est totalement antisocial ! Je ne l’ai pas encore testée en avion ni en train, mais en me plaçant dans une pièce tout simplement avec une autre source sonore (radio, télé…) j’ai l’impression d’être tout seul. Fabuleux. J’aimerais pouvoir aller tondre la pelouse avec cet engin, mais j’ai vraiment trop peur de l’abîmer… Ce qui est le plus frappant c’est quand on appelle un correspondant au téléphone dans un endroit bruyant, certes notre voix est un petit peu déformé mais les conversations est tout à fait intelligible et ça c’est fabuleux. Que d’évolution depuis le Sennheiser PCX 450 qui a plus de 9 ans.  Au sujet du confort physique, je n’ai pas eu de casque Bose avant celui-là, mais il m’arrive de le porter 2 à 3 heures d’affilées avec des lunettes, je l’oublie totalement ! C'est pour moi est le plus important. Les coussinets sont faits de mousse à mémoire de forme (comme sur la plupart des autres casques de ce prix) et le revêtement et du pur plastique : ce qui va entraîner un échauffement quand on se promène, que l’on fait du sport pour que l’on se trouve au soleil. Idem pour le Sony. Pour cette raison je l’ai commandé en gris qui reflète beaucoup plus laisse la lumière, et j’espère limitera l’échauffement en extérieur. Je le trouve quand même moins élégant que le Sony que j’avais commandé en couleur champagne.  Les commandes tactiles sont très réactives, mais je trouve la commande "suivante / précédente" programmée à l’envers de ce que j’aurais fait. Mais je pense qu’avec un peu d’habitude cela ne me posera pas de problème.  Son coffret de rangement, tout noir, et beaucoup moins beau que celui du Sony couleur champagne qui avait une petite allure cérusée. Cependant il propose un petit coffre aimantée où l’on peut mettre les différents cables sans que ceci ne tombent parterre quand on ouvre le coffret à l’envers.  Son prix de 400 €, élevé, me paraît tout de même justifié au regard des prestations offertes. Que dire alors des casques de très haute fidélité qui se vendent 5000 voir 10 000 €… ! ? Rappelons-nous qu'en haute-fidélité, comme dans tout le reste, le prix croît de façon exponentielle par rapport à la qualité. C’est pourquoi les entreprises haut-de-gamme gagnent beaucoup d’argent (marques de voitures allemandes premium, Apple, Bose etc.)  Attention, ce casque n’est pas haute-fidélité, c’est un casque nomade, Bluetooth, qui offre un  excellent rendu sonore, sûrement un des meilleurs de cette catégorie, en tout cas qui surclasse très nettement le Sony.</t>
  </si>
  <si>
    <t>c'est du Lotus ! Que dire de plus , tout le monde connait !!!!!!!! Mais le prix sur site est nettement plus avantageux qu'en grande surface ! Donc , pas d'hésitation !</t>
  </si>
  <si>
    <t>C'est de la bombe! Elle a tout pour elle, beauté,  mais cela reste subjectif et personnel ,  tous les atouts ont été décrits dans les autres commentaires et j'ai pu les vérifier et ils sont justes. Reste à voir sa robustesse, mais venant d'Allemagne, cela devrait le faire.</t>
  </si>
  <si>
    <t>Parfait Au top</t>
  </si>
  <si>
    <t>Parfait Excellent paire de basket , les mêmes que sur la photo taille comme il faut , très agréable a porter je recommande d'autant plus quel sont " peu "Chère</t>
  </si>
  <si>
    <t>Belle bouilloire originale et fonctionnelle J'utilise cette bouilloire depuis 3 semaines et je l'apprécie de plus en plus. Elle est grosse (1,7L) mais classe dans les moindres détails.  La anse, le versoir, la forme boule sont inspirées des anciennes bouilloires communistes chinoises et joliment repensés avec doseur visible et sans fil. Elle chauffe vite et son sifflement est chaleureux. Son volume permet de passer une éponge sans soucis pour nettoyer l'intérieur. Elle est élégante dans une cuisine, quand on la fait briller de l'extérieur avec du vinaigre blanc. Elle change des autres modèles de bouilloire, avec un bon rapport qualité prix.</t>
  </si>
  <si>
    <t>Très confortable et légère Jolie confortable mais attention prendre une pointure de plus ce que j'ai fait</t>
  </si>
  <si>
    <t>Van’s Belle chaussures correspond à mes attentes</t>
  </si>
  <si>
    <t>crocs super crocs , très confortables, bonne semelle ,avec des petits picots à l'interieur mais qui ne sentent presque pas !!! et au contraire de certain commentaires je trouve la pointure idéale (je fais du 41 et j'ai pris du 41/42 ? Nickel !!) une seule petite chose me dérange ,comme je les portes au quotidien comme mes pantoufles ,je trouve dommage que la languette qui se rabat ne tienne pas bien sur le dessus et ça aurait tendance à me géner quand je les enfiles , sinon bon achat je les recommande vraiment ! faciles d'entretien , un petit tour en machine à laver à 30° et basta !!</t>
  </si>
  <si>
    <t>Jolie bouilloire avec réglage de température. Bon produit. Fait le job. Émet des bip à chaque manipulation ce qui peuvent être agaçant. Ceci est un avis à chaud et ne prévaut pas de la durabilité de bon fonctionnement dans la durée.</t>
  </si>
  <si>
    <t>top j'en avais déjà une boite qui m'a fait plusieurs années, elle m'avait été vdonnée par une très bon vendeur de chaussures, elle est top pour le cuir.</t>
  </si>
  <si>
    <t>Pas top J’ai profité d’une promo et j’ai eu ces écouteurs pour 16euros.. je les ai tout de même renvoyé car gros problème de balance en volume entre la gauche et la droite( tout allait plus fort à droite) et je les ai essayé en courant, ils bougent dans le conduit auditif et on entend trop les frottements, que ce soit avec les petits ou plus larges embouts .. le vent était aussi trop bruyant dans ces mouvements..</t>
  </si>
  <si>
    <t>A éviter . Produit pas cher mais bas de gamme. Cuir de mauvaise qualité et les fermetures éclairs ne fonctionnent  pas correctement.</t>
  </si>
  <si>
    <t>pull tres fin pull tres fin ne convient pas pour un hiver rude un peu juste mais bon c'est comme cela punto bingo</t>
  </si>
  <si>
    <t>Très beau produit Malheureusement trop large pour pieds fins. Egalement trop grand. Par contre, très belle qualité. Je recommande sans soucis pour les fans de Levis</t>
  </si>
  <si>
    <t>Simple et efficace. Parfait avec ses recharges.</t>
  </si>
  <si>
    <t>Noel Achat pour cadeau Noël, satisfaite de mon achat. Arrivé en bon état, conforme à la photo. Je recommande ce produit.</t>
  </si>
  <si>
    <t>Belle chausssure Belle chaussure ,par contre j'ai du mettre un paire de semelle car le volume chaussant est très grand et mon petit bougeait en hauteur mais avec une bonne semelle plus de problème .Les chaussures sont de bonne qualité</t>
  </si>
  <si>
    <t>Bien mais utilisation avec l'application à simplifier Les + : - la qualité du son est juste magique ! Et c'est quand même pour moi le critère le plus important, malgré quelques défauts par ailleurs - bonne autonomie et recharge rapide via le dock de chargement - bonne tenue et bon confort sur l'oreille Les - : - réduction du bruit active pas assez efficace ; mais avec les bons embouts la réduction de bruit passive est déjà pas mal donc je m'en contente - l'installation et l'utilisation de l'application pour tout et rien. C'est assez pénible et lourd ; pas du tout plug and play comme on l'attend d'une paire d'écouteurs classique.</t>
  </si>
  <si>
    <t>ITSHINY Sac à Dos Sac à dos ideal</t>
  </si>
  <si>
    <t>Cette montre est géniale montre précise, résistante et fonctionnelle avec toutes ses applications. Il n'y a rien que je déteste dans cette montre. Je la recommande à tous.</t>
  </si>
  <si>
    <t>Il est génial Un bon rapport qualité prix. Excellent produit, facile à utiliser. Je vous le recommande.</t>
  </si>
  <si>
    <t>Bon produit Bon produit, correspond à mes attentes et à la description.</t>
  </si>
  <si>
    <t>J'aime beaucoup C trop bien j'aime bien</t>
  </si>
  <si>
    <t>Belles et confortables. Je suis fan de la marque TBS et ce n'est pas ma première paire de tennis toile. La couleur de celles ci est vraimznr sympa et pas commune. Un très joli marron. Quant à la pointure c'est pile la bonne.</t>
  </si>
  <si>
    <t>bien pour ce petit prix Très belle montre pour le prix. Le cadran est grand sans qu'il soit trop grand comme il c'est la mode depuis quelques temps. La matière du bracelet est très agréable et la couleur exactement celle du descriptif et de la photo. L'heure est bien visible. Je recommande vivement ce produit.mais si le vendeur proposer un bracelet d'echange ,ca sera encore mieux,de preference bracelet en caoutchouc.</t>
  </si>
  <si>
    <t>Super Super brosse je m'en sers pour décrotter mes chaussures mais elle peut aussi servir à reluire ne perd pas ses poils je la conseille vivement surtout pour le prix</t>
  </si>
  <si>
    <t>Bon produit Conforme à mes attentes. Belle finition et simple d utilisation. Le bracelet est confortable a porter et reste bien fermer (fermoir). Je recommande sans problème.</t>
  </si>
  <si>
    <t>Très bon veste Très bon veste ! La veste est ni trop serré ni trop grosse. Je mesure 175 et pèse 75kg. Ca m'adapte très bien. Livration est rapide.</t>
  </si>
  <si>
    <t>Écouteurs de très bonne qualité! On reçoit le produit dans un beau packaging avec une lettre d’accueil, un manuel d’utilisation et les écouteurs bien fixés. Son excellent, basses profondes. Ils sont vraiment pratiques et confortables, particulièrement quand je fais du sport, ils ne tombent pas. Connexion Bluetooth stable, prix pas cher, rien de mécontent!</t>
  </si>
  <si>
    <t>bien fait j’emporte les partout où je vais, je n’ai aucun problème. Le microphone fonctionne très bien et les commandes de volume sont précises. Je suppose que davantage de travail pourrait être fait sur l’annulation du bruit; mais sinon, c’est tout ce que je pourrais demander et c’est assez proche de l’original fourni avec la plupart des téléphones. J'ai passé une commande pour une deuxième paire car je suis accro à mes écouteurs et j'ai besoin d'une solution de secours au travail et à la maison au cas où j'aurais égaré celui-ci. Excellent rapport qualité prix à mon avis !!!</t>
  </si>
  <si>
    <t>SUPERBE ET RESISTANTES Des chaussures confortables, jolies, qui résistent pour le moment à un ado pas soigneux et qui marche beaucoup. J'espère qu'elles seront encore en bon état quand elles seront devenues trop petites pour fiston. Je rêve de les lui piquer !</t>
  </si>
  <si>
    <t>Performant Je suis ravie de ce chauffe biberon, que j'ai acheté non pas pour chauffer des biberons car ma fille n'en prend pas, mais pour ses autres fonctions : en effet, il permet de chauffer facilement de la nourriture et même de la décongeler. Sa fonction stérilisateur vapeur est aussi très pratique, et sa taille appréciable. En résumé, un produit complet et performant.</t>
  </si>
  <si>
    <t>ramette papier blanc très satisfaite de mon achat ... hélàs la livraison des produits "en PRIME" devient catastrophique, les livraisons sans cesse retardées de plusieurs jours sans explication .. impossibilité de les joindre ....merci beaucoup</t>
  </si>
  <si>
    <t>utilisation Bonne qualité du textile. Néanmoins, difficulté à "enclencher" la fermeture éclair. Manque un crochet en haut pour faciliter la fermeture.</t>
  </si>
  <si>
    <t>Très joli mais décevant... Très joli pendentif à réception mais il n'est pas de qualité. Je l'ai offert à une amie et l'aspect rosé du petit cœur est parti au bout de 2-3 douches... Donc déjà, plus de rose sur le pendentif... Mais le plus embêtant c'est qu'au final, au bout de deux semaines, la soudure à la base de l'arbre a cassé... Donc au final elle s'est retrouvée avec un pendentif rond sans rien dedans et on voit bien qu'il manque un truc dedans puisqu'il y a un reste de soudure en bas. Je ne recommande pas du coup !</t>
  </si>
  <si>
    <t>achat Bonjour je souhaite acheter les deux minnie différen met comment faire car il les montres en foto met quand on l'ajoute o panier c me mm</t>
  </si>
  <si>
    <t>chaussures de sécurité le modèle correspond à mes attentes, pour mon travail de tout les jours, la chaussures est bien taillé pour la pointure, épaisseur du cuir dessus convenable après a voir pour combien de temps je vais les conservés, pour l'instant pas déçue de mon achat le prix est raisonnable</t>
  </si>
  <si>
    <t>Taille trop petit Il y avait des commentaires qui le disaient. Effectivement les Crocband taille plus petit. Ça fait bien longtemps que je taille du 44, mais là, 43-44, mes orteils touche et mon talon est vraiment au bord arrière. Pour une utilisation pantoufle à enfilé, c'est trop juste. Yann</t>
  </si>
  <si>
    <t>Ça va Ça va , qualité prix</t>
  </si>
  <si>
    <t>composition vertueuse mais odeur trop sucrée Si la composition vertueuse est au rende-vous et l'effet assouplissant également, c'est l'odeur par trop gourmande qui me déplaît. Pas d'étoile perdue à ce titre car c'est affaire de goût personnel.</t>
  </si>
  <si>
    <t>Ce qu'on attends. Chaussettes correctes, ce qu'on attends. Se salissent comme des chaussettes, se détériorent comme des chaussettes.  Bien vérifier la taille avant de commande, j'ai dû les retourner alors que j'étais certains d'avoir commandé la bonne taille, c'est vite fait.  Solides, efficace, chaussettes PUMA.</t>
  </si>
  <si>
    <t>Look sport et anticonformiste Cette montre est vraiment anticonformiste et extrêmement originale. tout d'abord , le fond noir et le bracelet rouge lui confère un look totalement high-tech.  la qualité diesel est vraiment au rendez-vous , finitions parfaites. grande visibilité des chiffres et sobriété. Cette montre respire la solidité.  et le rouge du bracelet saura attirer tous les regards, surtout au cours d'une période de vacances au soleil.  un très bel achat.</t>
  </si>
  <si>
    <t>Coup de Coeur Modèle pas cher, et très fiable... Boulots, loisirs, vacances, piscine... Pile increvable... Je recommande ce modèle... Qualité/Prix... Il n'y a pas mieux... 👍🏻😉 ... Testée de nouveau cette année... 10 jours de piscine, et pas une infiltration... Cette montre est un véritable petit bijou... Elle me suit partout, boulot, bricolages, loisirs... Totalement satisfait de ce produit...</t>
  </si>
  <si>
    <t>Banane très jolie et pratique Banane parfaite, mon fils en rêvait. Il paraît que c'est la mode actuelle. Il est ravi, c'est le principal. Il y a deux pochettes zippées très pratiques.</t>
  </si>
  <si>
    <t>Nickel! Livraison rapide. Conforme à la description. Bonne montre digitale qui ne coûte pas grand chose, très légère et agréable à porter. Un classique qui a toujours son petit effet grâce à l’esprit «vintage».</t>
  </si>
  <si>
    <t>Facile à utiliser C’est un cadeau pour mon amie, elle a un bébé pour le premier fois. Et elle aime beaucoup ce produit. C’est facile à utiliser, il peut contrôler le température par lui-même. Il est pas grand, facile à prendre.</t>
  </si>
  <si>
    <t>super produit je suis très satisfait de cet achat, je l’utilise tous les jours cette bouilloire est parfaite, elle permet de chauffer l'eau rapidement avec un choix de la température ce qui permet de gagner l'énergie, elle a d'autres options que je les ai bien aimé comme de garder l'eau au  chaud pendant 12 heures , également son design avec sa led bleu, en plus elle est facile à utiliser, je recommande ce produit</t>
  </si>
  <si>
    <t>Rien a dire Pas déçu, je recommande et je n’hesiterai pas à repasser par ce vendeur</t>
  </si>
  <si>
    <t>Magnifique Très bon rapport qualité prix. Les dessins sont magnifiques</t>
  </si>
  <si>
    <t>Ok tout est conforme</t>
  </si>
  <si>
    <t>Hyper agréable Je suis vraiment super satisfaite de cette tenue de sport. Taille M pour 164cm, ajustement parfait. La texture est super agréable, plutôt chaude pour l'hiver. Les deux poches latérales sont parfaites pour mettre des ravitaillement lors des sorties en Running. Rapport qualité prix top !</t>
  </si>
  <si>
    <t>Des crocs ! Des crocs confortables avec de très bonnes semelles à travers lesquelles on ne sent pas les cailloux comme dans ces sabots qui veulent leurs ressembler.</t>
  </si>
  <si>
    <t>Câble de bonne qualité J'ai acheté ce câble pour l'associer à mon micro dynamique couplé à un enregistreur vocal. La qualité d'enregistrement est très bonne. Le câble mesure 1,4m, une taille parfaite pour mon utilisation (micro plus ou moins proche de l'enregistreur).</t>
  </si>
  <si>
    <t>boucles d'oreille Très jolies avec un prix tout petit très sympa pour se faire un cadeau sans se ruiner!</t>
  </si>
  <si>
    <t>Bon kit pour la maternité Trousse de maternité très pratique set parfaitement pour les jours à l'hôpital (dans mon cas 2 jours je pense un peu juste pour plus ) me sert toujours et est toujours en très bon état</t>
  </si>
  <si>
    <t>Bien J'ai pris une taille au dessus de ma taille habituelle, il est super on voit des résultats rapides</t>
  </si>
  <si>
    <t>Belle qualité, et taille conforme Joli lot de chaussettes noires, de bonne qualité. Après l’arrivée du colis, passage à la machine avant de les porter. Après une journée dans ses chaussettes, je les trouve très confortable et la taille est bien adapté Le lot de six est un très bon rapport qualité prix</t>
  </si>
  <si>
    <t>Éponge magique Je l'ai achetée pour mon sol en lino, il a quelques taches dont je ne connais ni la nature ni la provenance mais ça n'a pas marché du tout. Sinon l'emballage est bon et il comprend 3 paquets de 2 éponges chacun.</t>
  </si>
  <si>
    <t>A eviter !!!!!! On ne peut même pas mettre le pied dedans et en plus la languette vous reste dans la main. Bref... Déçu et ce sera mon dernier achat de chaussures.</t>
  </si>
  <si>
    <t>Tissu fin et décousu à l'entrejambe Produit agréable à porter, mais tissu fin. Je l'ai reçu décousu à l'entrejambe.</t>
  </si>
  <si>
    <t>Fragile ! Très fragile... Première machine reçue (avec un défaut de fabrication ?) : la manette pour "enclencher" la mise sous-vide s'est cassée après la 2ème utilisation. Elle "forçait" déjà en sortant de l'emballage. Echange rapide par amazon (bon point !). La seconde machine reçue me parait (légèrement) différente : la manette est de conception plus ergonomique et ne "craque" pas. Toutefois, l'ensemble semble un peu fragile et doit être manipulé avec douceur. Par exemple, l'adaptateur pour la mise sous vide des boites Foodsaver à embout large (celles avec bords verts) s'est lui-aussi fendu lorsque j'ai introduit le petit connecteur livré avec la machine. Je n'ai pourtant pas forcé ! Bref, au niveau efficacité cela semble bon mais point de vue solidité, FS peut mieux faire ! A ce prix là on pouvait s'attendre à un peu plus "pro".</t>
  </si>
  <si>
    <t>Contente du produit. Confortable et taille bien. Tient au lavage à 30 en machine</t>
  </si>
  <si>
    <t>Mitigée Contrairement à une marque concurrente, on ne se retrouve pas avec des gros morceaux qui viennent d'un coup. Par contre, ils arrivent régulièrement qu'au séchage le papier collé se décolle et ce surtout quand celui-ci est un peu glacé. Je continue de l'utiliser car malgré tout le tube dure longtemps et comme dit précédemment la colle s'étale régulièrement.</t>
  </si>
  <si>
    <t>Efficace, le casque fait ce qu'on lui demande J'ai acheté ce casque afin de pouvoir regarder la TV sans avoir à déranger mes voisins, le casque est facile d'utilisation et s'est raccordé très facilement à ma box android. Seul bémol, bien que le confort pour les oreilles soit la, ce n'est pas vraiment le cas pour la tête, due a l'arceau du casque peu rembourrer. Bref je recommande.</t>
  </si>
  <si>
    <t>LACET TROP COURT La chaussure est très bien - rien à dire - petit bémol - au moment du laçage, j'ai constaté que je ne pouvais pas faire une "rosette" avec ma chaussure droite comme celle de la gauche - après vérification, le lacet était plus court que l'autre de 10cm ! j'ai donc eu recours à l'achat d'une paire de lacets !</t>
  </si>
  <si>
    <t>ouaw j'en n'est eu des casque , tout d'abord sur console , puis sur pc , un sacré nombre mais alors celui la ouaw , rien n'a dire tout est parfait la qualiter de son , le micro tout est impeccable !  je ressort d'une utilisation de pret de 2ans un casque pro series e-sport et pour rien au monde je le remettrais a la place de se hyperX vraiment je le conseille !  le son 3d et super bien , dans un jeux comme h1z1 ou cs go il ma sauver la vie a de multiple reprise , juste le casque en lui même augmente votre niveaux en jeux juste par sa qualiter de son , apres faut pas rêver le reste c'st a vous de la faire ;)</t>
  </si>
  <si>
    <t>super le renommer de cette marque n'est plus a faire fait son boulot.</t>
  </si>
  <si>
    <t>Confortable ! Pour rester à l'aise à la maison, ce pantalon taille un petit peu grand (avant les premiers lavages). Il est très agréable à porter, très doux.</t>
  </si>
  <si>
    <t>Le volume et couleur Très pratique et produit élégant, volume parfait pour mettre une tablette S3 Samsung</t>
  </si>
  <si>
    <t>Super produit Tout a fait comforme , très bonne qualité , pointure impéccable , super belle .. des Van quoi ! Je recomande cet article sans aucune hésitation .. par contre aucun suivi de la par de chronopost ...osez avec la poste</t>
  </si>
  <si>
    <t>CARTOUCHE DEFECTUEUSE Cartouche défectueuse, n'a jamais été détectée par l'imprimante ! 30 euros de perdu !!!!!</t>
  </si>
  <si>
    <t>La prochaine fois je prendrai le contenant avec pinceau intégré J'ai badigeonné les pattes de mes poules avec pour soigner la gale, très bon résultat.</t>
  </si>
  <si>
    <t>Créatif et original Un kit complet pour une boîte cadeau surprise DIY. Il y a tout ce qu'il faut pour la faire cm, ciseaux, scotch, stickers, cœurs en papier, ruban, crayons cartons... Pour un joli cadeau personnalisé c est sympa et original</t>
  </si>
  <si>
    <t>Mignon le collier est très mignon, de bonne qualité. Envoi rapide, à l'image on à l'impression qu'il est plus grand mais il est vraiment très chic et classe.</t>
  </si>
  <si>
    <t>Au top Je suis très satisfaite de ce produit. Je suis enseignante et je l'utilise Dans ma classe pour tous mes affichages. Adhérence au top. Merci</t>
  </si>
  <si>
    <t>Magnifique Super Puma</t>
  </si>
  <si>
    <t>joli disigne tres bien  ,util</t>
  </si>
  <si>
    <t>Super cable Je suis ravie, très bonne achat !</t>
  </si>
  <si>
    <t>palladium grise us baggy Impeccable, en plus moins chères que dans les magasins. En plus, ça me rappelle mon adolescence où je portais simultanément Kickers et patogas sauf que la forme a changé avec cette petite languette sur le dessus lui donnant belle allure.. je suis assez ravie. Merci</t>
  </si>
  <si>
    <t>Parfait Conforme a la description</t>
  </si>
  <si>
    <t>Tres bien Bon produit  mais cher</t>
  </si>
  <si>
    <t>R A S trop cher</t>
  </si>
  <si>
    <t>Presque parfaite Très belle qualité et finition. Le cuir est un peu raide et mérite d'être assoupli par une marche régulière, mais à aucun moment ne fait mal. Le maintien de la cheville est très bon. Manque juste une bonne semelle intérieure, là c'est un gros zéro pointé. J'ai dû acheter une nouvelle paire de semelle un peu plus épaisse et confortable!</t>
  </si>
  <si>
    <t>pratiques Je ne sais pas si c'est grâce à elles que bébé à les fesses au sec, mais dans le doute j'en met toujours une! Inutile d'en mettre 2 comme j'ai pu le faire, il n'y aura pas de différence. Bébé n'a jamais eu les fesses irritées, ni rouges, ni rien du tout! Mais elles ne servent que en cas de grosse commission, permet de recueillir le tout et hop, poubelle! Tout juste la bonne taille adaptées aux couches, peut-être le prix est un peu excessif.</t>
  </si>
  <si>
    <t>Montre disiel Bon produit mais vitre plutôt fragile déjà cassé en 2mois🤔😫</t>
  </si>
  <si>
    <t>Agréable mais  l’elasTique  À la taille mauvais Très beau, taille bien et agréable à porter. Seul bémol, l’elas À la taille sous la doublure est très fin et au fur et à mesure de l’effort il gêne à la taille et ne tiens pas forcément bien. Il faut le remonter de temps en temps pour être à l’ai Même s’il Taille bien.</t>
  </si>
  <si>
    <t>Machine efficace Fonctionne très bien, bouton de fermeture/ouverture semble un peu fragile, l’avenir me dira si il tient ou pas</t>
  </si>
  <si>
    <t>Allaitement mixte Parfait pour un allaitement mixte ( mon bébé à 4 mois ) Pas de confusion sein / tétine Meilleur compromis trouvé pour ma part</t>
  </si>
  <si>
    <t>très bon rapport qualité-prix ... ... on en a pour un bout de temps avec ces 100 feuilles, c'est parfait ! L'article est arrivé rapidement, et il était tout à fait conforme à ce qui était annoncé.</t>
  </si>
  <si>
    <t>Bouilloire électrique Faire juste attention au socle fait du bruit</t>
  </si>
  <si>
    <t>legerement surélève  au talon  mzis bien dedans Très bonne tenue joli  et léger</t>
  </si>
  <si>
    <t>Super ! Odeur forte mais agréable Produit au top !</t>
  </si>
  <si>
    <t>Satisfait Produit conforme à la description et comme d'habitude livré dans les delais, mais je n'ai pas encore eu le temps de le tester. Merci amazon</t>
  </si>
  <si>
    <t>Top Trop bien rien à dire mon fils se régale</t>
  </si>
  <si>
    <t>Au top Conforme à mes attentes juste pas trop pratique pour l’entretien un coup de main à prendre lol</t>
  </si>
  <si>
    <t>Parfait pour le sport Pratiquant beaucoup de sport j'étais a la recherche d'écouteurs sans fils pour être à l'aise et je voulais qu'ils restent bien dans les oreilles pendant mes mouvements Donc je suis pleinement satisfait du produit qui répond a mes attentes Je petit boîtier qui sert aussi de chargeur est très pratique Bonne autonomie du produit et la portée du bluetooth est excellente</t>
  </si>
  <si>
    <t>j'adore je la trouve belle bien chaude un bonheur pour les frileuses comme moi a recommander les yeux fermé</t>
  </si>
  <si>
    <t>Je recommande Bonne qualité tiennent parfaitement au pied</t>
  </si>
  <si>
    <t>Sweethome Nickel</t>
  </si>
  <si>
    <t>Botte parfaite Excellent produit j'en suis ravie je l'ai porte tous les jours. Elle sont chaude  et douce...je ne les quitte plus depuis...je recommande ce produit</t>
  </si>
  <si>
    <t>Une montre très jolie et conforme à la description ! J'ai offert cette montre pour l'anniversaire de mon père mais nous avons remarqué, lors du déballage, que le produit comprenait un défaut. Nous avons contacté le vendeur via Amazon, l'échange a été pris en compte très rapidement et, même pas une semaine après, nous avons reçu une autre montre totalement conforme ! Je recommande vivement ce produit, rien à dire malgré ce petit incident.</t>
  </si>
  <si>
    <t>Top Livre au top qui convient parfaitement aux lecreurs débutants</t>
  </si>
  <si>
    <t>Impeccable Bien</t>
  </si>
  <si>
    <t>Défaut de fabrication La bouilloire fuit au niveau du bas de l’anse au bout de 10 mois d’utilisation...</t>
  </si>
  <si>
    <t>Mauvaises couleurs de chaussures Je suis déçu de mon achat. J'avais commandé les chaussures en noir et elles sont arrivés en gris. Donc je renvoie les chaussures.</t>
  </si>
  <si>
    <t>Écouteurs qui ne fonctionnent pas On pense faire une bonne affaire et finalement pas du tout. L'un ne marche pas du tout, quant au 2e le micro nest pas fonctionnel. Au final la bonne affaire cest quand on y met le prix.</t>
  </si>
  <si>
    <t>Ça ira quand même Bonne longueur ,mais la largeur et la hauteur sont trop grandes.Car ces mules sont pour un jeune qui a de grand pieds mais tres fin.</t>
  </si>
  <si>
    <t>Crocs Classiques C'est très utile pour le jardin ou les travaux à l'extérieur. Peuvent se laver facilement. Ce n'est pas ma première paire.</t>
  </si>
  <si>
    <t>solide Bonne basket mais decorative</t>
  </si>
  <si>
    <t>Tres bien J'utilise ces chaussures au quotidien et le confort est au rendez-vous. Par temps de pluie elle marque rapidement. Peut etre faut il y apporter un imperméabilisant?? Malgré ce petit problème j'en suis tres content.</t>
  </si>
  <si>
    <t>Jolie mais petit Le sac fait la moitié de la taille de ceux vue en magasin! Je ne savais pas qu’il y avait plusieurs taille!</t>
  </si>
  <si>
    <t>Déçu Un peu déçu sur la photo le bracelet est bi color alors que je viens de la recevoir elle est toute doré</t>
  </si>
  <si>
    <t>Utile et pratique Utile et pratique. Se décolle et se recolle facilement sur toutes les surfaces sans les abîmés. Parfait</t>
  </si>
  <si>
    <t>Veste J'adore m'emmitoufler dans cette veste très douce et agréable. Je recommande.</t>
  </si>
  <si>
    <t>bonne  qualité nous utilisons régulièrement ce produit  et  avons opté pour la commande trimestrielle ,le produit  est  efficace</t>
  </si>
  <si>
    <t>Bonne montre, solide Toujours au poignet, fidèle au poste, cette montre me suite partout dans toutes les conditions ! Eau, chaleur, froid, elle ne bouge pas. Look sobre et agréable. Un vrai compagnon de route pour les personnes qui ont besoin de se reposer sur du matériel de qualité. Bon produit, très satisfaisant.</t>
  </si>
  <si>
    <t>conforme à la photo et au descriptif recu dans les temps, beau pull à voir si dans le temps l'impression ne se décolle pas,</t>
  </si>
  <si>
    <t>je l'adore merci je l'adore pas évident au début pour l(ouvrir aprés facile je vais acheter des charmes maintenant j'adore !il y a longtemps que je le voulais</t>
  </si>
  <si>
    <t>Sac bandoulière Sac bandoulière sympa , au départ je le trouvais un peu gros , mais en fait il correspond à mon besoin et s harmonie avec mon caban.  Je recommande .</t>
  </si>
  <si>
    <t>LE CONFORT DU PIED POUR LA MARCHE,LE JOGGING TRES CONFORTABLE ET ELEGANTE.</t>
  </si>
  <si>
    <t>Bonne rapport qualité prix. Comparatif version 2018  Très confortables (encore plus), isolement amélioré, son amélioré, réduction de bruit amélioré, connexion amélioré (c'est fini les problèmes de connexion multiple entre windows et android). Aucun grésillement sans/avec ANC. Bass profondes, encore meilleure qualité de sons avec ANC activé (je ne se pas pourquoi).  En définitive, un bone achat.</t>
  </si>
  <si>
    <t>Satisfaits ! Voilà qqes jours qu'on l'utilise tous les jours, même plusieurs fois par jour car c'est tellement facile d'avoir une surface propre ;) Pour le moment rien à redire, nous avons un gros chien et un chat et avons vidé le bac après 3 jours. Juste pour rentrer seul à sa base il n'est pas très doué pour la trouver !</t>
  </si>
  <si>
    <t>Super produit (rien à voir avec le double face que l’on trouve dans le commerce) Très satisfaite de ce produit. Je ne m’attendais pas à ce qu’il colle aussi bien et fort, top. J’étais sceptique quand au lavage à l’eau et à sa réutilisation mais ça fonctionne très bien.</t>
  </si>
  <si>
    <t>Excellents service rendu, rapport qualité-prix, et service après vente Après un problème malchanceux de connexion bluetooth avec un premier appareil, celui-ci a été efficacement remplacé par le fabricant et je suis maintenant parfaitement satisfait de ces écouteurs. Ils sont légers discrets et non-oppressants pour un usage sportif en tout confort sans vous couper du monde, car les interlocuteurs remarquent que vos oreilles sont "disponibles" et s'adressent à vous naturellement. En extérieur votre écoute se fait en toute sécurité car vous entendez les voitures autour de vous, c'est particulièrement important à vélo. Il est d'ailleurs interdit d'avoir des écouteurs occlusifs à vélo. Je m'en sers chaque jour en ville à vélo, et le week-end en mode sportif. Ces écouteurs ne gênent absolument pas le port du casque avec ou sans bonnet (c' est l'hiver !) ni le port de lunettes. Le son est très bon pour ces pratiques, qu' il s'agisse de musique ou de pod-casts d'émissions de radio. La batterie tient au moins 5 heures et n'a pas de problème avec les températures hivernales. Vous pouvez même appeler et recevoir des appels en roulant et en mains libres sans aucun problème d'entente pour votre interlocuteur !</t>
  </si>
  <si>
    <t>Aparcyl On fait la publicité d'ajouter un yaourt périmé dans les WC c'est plus écologique et tout aussi efficace que le produit Eparcyl. Malheureusement, cette méthode du yaourt n'est pas satisfaisante loin de là. Depuis, que je mets de nouveau Eparcyl je n'ai plus de problème d'engorgements. Produit très efficace.</t>
  </si>
  <si>
    <t>Excellente qualité Au début, je n'étais pas sûr de vouloir l'acheter car le prix était très bon marché. Je crains que la qualité ne soit pas très bonne, mais pour le moment je pense que ça vaut le coup, la qualité est très bonne et la qualité du son est très claire.</t>
  </si>
  <si>
    <t>IL EST VRAIMENT SUPER!!!!!!!!! Je recommande cet article, il est vraiment super!!! je colle tout les cadres les crochets de rideaux et il tient vraiment bien;; la livraison rapide, rien à dire. Je ne regrette pas mon achat merci</t>
  </si>
  <si>
    <t>Produit décoratif mais non désodorisant Les pastilles sont arrivées complètement sèches donc le produit est totalement inodore. Il sert juste d'ésthétique pour agrémenter la grille...</t>
  </si>
  <si>
    <t>"Pierres véritables" fausses L'annonce dit 3 bracelets, je n'en ai reçu qu'un seul. Pour des fausses pierres, onyx, Oeil de Tigre, Jade perse, Jéssper, Turquoise, Lapis lazuli, Améthyste. Ce bracelet ne vaut que 3€ pas plus.</t>
  </si>
  <si>
    <t>Trop parfumé J’ai essayé fleur de lotus, mais le parfum ne me plait pas du tout. On dirai que c’est un parfum d’homme.....chacun ses goûts mais pas pour moi ! L’odeur est vraiment trop forte je suis déçue par cet achat</t>
  </si>
  <si>
    <t>ça passe....mais je les ai commandées en 39, or c'est trop petit. Comme je chausse du 37, elles me vont , je les garde pour le jardin car à mon gout ce n'est pas un modèle féminin. Bref je dois acheter autre chose pour mon fils. Sachez aussi qu'il ne faut pas avoir un pied trop large.Donc prenez au moins 1 taille au dessus</t>
  </si>
  <si>
    <t>Pas très qualitatif La chaussure est correct, tout correspond mais la qualité semble un peu moindre, une impression de faux alors qu’elles sont vrai</t>
  </si>
  <si>
    <t>Silencieuse Bouilloire effectivement bien plus silencieuse que notre précédente. C'est ce que nous recherchions. Nous sommes satisfaits !</t>
  </si>
  <si>
    <t>Très bon produit malgré quelques bémols Elle propose de nombreuses fonctions très intéressantes (analyse du sommeil, calcul automatique de la VO2max avec une actualisation à chaque nouvel entrainement, gestion des fractionnés...) mais est limitée par un temps de réaction important de l'augmentation des pulsations cardiaques lors d'efforts brusques et ne distingue pas le sommeil profond du sommeil paradoxal, voire confond des cessions repos avec des phases de sommeil. Du côté du GPS et de la jauge d'effort le produit est extra.</t>
  </si>
  <si>
    <t>très bien pour le prix ! très bien pour le prix !</t>
  </si>
  <si>
    <t>Bon produit Bonne qualité mais taille une pointure en plus.</t>
  </si>
  <si>
    <t>Un confort exceptionnel Cette chaussure de tennis peut chausser tres large. Je fais du 41 c'est la seule marque et modèle où je ne suis pas obliger de prendre une pointure supérieure. Cela fait plus de 10 ans que j'achète ce produit sans problème particulier. La semelle s'use un peu trop facilement quand on joue au Tennis.</t>
  </si>
  <si>
    <t>Bon produit Produit conforme à la description</t>
  </si>
  <si>
    <t>Nickel Bonjour,  Tapis comme je le souhaitais. La souris est précise, aucun défaut, les dimensions sont bien adaptées, il est facile à nettoyer. Çà doit faire environ un an que je l'utilise tous les jours et il n'a pas bougé.</t>
  </si>
  <si>
    <t>montre cardio fréquencemètre Utilisé en salle de sport cette montre cardio  me donne satisfaction . Elle n est pas trop compliquée a utiliser.</t>
  </si>
  <si>
    <t>Très joli Très joli collier d ambre acheté pour offrir Il est beau...sécurisé par noeud entre perle et fermoir a visser Reçu avec une petite pochette et un certificat d'authenticité.... Pas déçu !</t>
  </si>
  <si>
    <t>Tres beau et confortable Parfait et très gracieux ! Peut de porter dans la vie de tous les jours ou pour le sport (Peut etre pas la course pour les grosses poitrines). J'aime beaucoup ! J'avais pris le L pour une poitrine de 95C et il convient bien.</t>
  </si>
  <si>
    <t>Chaussures correspondant a mes attentes Chaussures reçues rapidement avec une paires de lacets supplémentaire La pointure correspond est même avec la doublure. Les chaussures sont confortable. Très joli design et les finitions sont très propres</t>
  </si>
  <si>
    <t>Grande table complète Magnifique arrivée sans problèmes. Je ne regrette pas mon achat</t>
  </si>
  <si>
    <t>Top Écouteurs Bluetooth reçu avec étui de rechargement, le boîtier fournit avec les écouteurs permet de recharger les écouteur même sans avoir un accès à une prise.La qualité du son est très bonne, la réduction du bruit est efficace, et ils ne bougent pas pendant un exercice physique.Une vraie bonne surprise et un rapport qualité/prix imbattable!</t>
  </si>
  <si>
    <t>Chaussures de sécurité scrubbs Très bonne chaussures on y est vraiment bien comme des chaussures de ville c vraiment se que je recherchais G pris ma taille 42 et niquel pas besoin de prendre 41 ou 43 comme d'autres chaussures de sécurité</t>
  </si>
  <si>
    <t>Super produit Super produit ! Les couleurs sont assez claires pour faire ressortir ce qui est important sans pour autant qui l'encre soit pâteuse ou transperce le papier. L'idéal pour mettre un peu de couleur dans vos ecrits.</t>
  </si>
  <si>
    <t>Belles petites bottines Belles petites bottines que je chercher depuis un moment taille un peux plus grande , bien aéré peux salissant</t>
  </si>
  <si>
    <t>Simple et design moderne Réveil très simple d utilisation, très beau design,mon fils l adore</t>
  </si>
  <si>
    <t>La qualité Doc à un bon prix Très belles Doc que j'ai utilisées tout cet hiver sans qu'elles ne subissent aucun dommages ; bien sur il faut les entretenir et y mettre des formes pour qu'elles durent encore plus longtemps. Toujours aussi confortables et agréables.</t>
  </si>
  <si>
    <t>Bien Un bracelet que j’adore. Bonne qualité, bien fait</t>
  </si>
  <si>
    <t>Ce produit vendu pour 30m ne fait même pas 25m La qualité du produit est bonne mais quand on annonce 30m, que c'est marqué sur le produit mais que la bobine ne fait que 24.80m au mieux, c'est simplement du vol!!</t>
  </si>
  <si>
    <t>Déçu En voyant tous les avis positifs sur cette huile je me suis pressé de l'acheter .. Résultat ça fait plus d'un mois que je l'utilise et aucune évolution pour moi :-( J'ai toujours mes rougeurs et quelques boutons qui sortent de temps en temps voire tous en même temps .. Alors est ce qu'il faut attendre plus longtemps pour avoir un vrai résultat?</t>
  </si>
  <si>
    <t>Qualité très médiocre Très déçue de cet article, qualité très très médiocre pour un produit 'de marque'. J'ai annulé mon abonnement, le papier toilette marque distributeur est nettement de meilleure qualité.</t>
  </si>
  <si>
    <t>Correspond au descriptif J'ai retiré 2 étoiles car je l'es trouvé beaucoup moins cher ailleurs</t>
  </si>
  <si>
    <t>ah... les lacets !!!! super chaussures bien retro, tiennent bien la cheville avec le seul problème des enfants à savoir l'enfilage et le laçage.</t>
  </si>
  <si>
    <t>J'aime mais pas pour la pluie ou la neige Chaussure bien pour courir et confortable, aérer ou respirant car le tissu l'aise entrer l'aire sauf pour la pluie et la neige qui pourrait traverser le tissu.</t>
  </si>
  <si>
    <t>Moyen Reçu rapidement. Comme toutes autres, sèchent facilement. Pas plus mal que chez d’autres vendeurs.</t>
  </si>
  <si>
    <t>Fait son job ;-) Super agréable....moi qui ai souvent mal au niveau du cou, ce tour du cou le soulage.... Pas fan de l'odeur de lavande mais c'est léger donc pas dérangeant. Petit bémol : la matière de la housse....en sorte de polaire...pas vraiment agréable. Du coton aurait été top</t>
  </si>
  <si>
    <t>Article très Bonne qualité et mignon Mon petit l adore 🥰</t>
  </si>
  <si>
    <t>Bien pour le lycée. La calculatrice est idéale jusqu'au bac, elle est assez simple pour ne pas décourager l'élève (la TI89 précédemment achetée était horrible à manipuler) et contient toutes les fonctions pour maîtriser toutes les clefs du programme.</t>
  </si>
  <si>
    <t>Confortable Elles sont très confortable pour le prix .elles Taille grandes et de très bonne qualité. Je suis contente de mon achat</t>
  </si>
  <si>
    <t>Hyper confortables Comme d'habitude , un confort excellent. Pour ma part je m'en sert en chaussons (3° paires de Sketchers pour cette utilisation, durée de vie : 2-3 ans en général). J'ai pris un 37 (ma pointure habituelle étant un 38).</t>
  </si>
  <si>
    <t>Parfait pour une AWG-M100 1AER Produit parfaitement conforme au descriptif. Parfaitement compatible visuellement et techniquement avec une Casio AWG-M100-1AER. Bracelet de marque d'origine "Casio", mais fabriqué en Thailand (chine pour l'original) et très légèrement plus court que l'original. Vraiment pas gênant vu les nombreux trous de réglage</t>
  </si>
  <si>
    <t>Blanche Confortable se porte en toutes saisons. Je recommande.</t>
  </si>
  <si>
    <t>Très élégante Un excellent rapport qualité/prix puisque cette montre élégante est bien moins chère que ce qu'on peut trouver en boutique, mais est tout aussi qualitative. Je recommande et je suis satisfait de mon achat qui a été livré rapidement.</t>
  </si>
  <si>
    <t>Très bonne qualité, superbe présentation Détente dans la chambre</t>
  </si>
  <si>
    <t>Belle Chausseur football, adapté comme prévu. Solide, souple, Avec une belle couleur</t>
  </si>
  <si>
    <t>Très bonne qualité Très bon produit niveau rapport qualité prix, soundlink is the best forever</t>
  </si>
  <si>
    <t>Cartouches d'encre parfaites! Inutiles de dire plus de choses concernant ces cartouches d'encre elles sont parfaites!!! mise en place/prix/qualité 5/5 étoiles!</t>
  </si>
  <si>
    <t>très original à la fois très fonctionnelle et si jolie de par son originalité, le côté rétro de cette bouilloire est juste parfait! je vous la recommande vivement</t>
  </si>
  <si>
    <t>Superga Parfait</t>
  </si>
  <si>
    <t>Birkenstock Raide au début mais un excellent confort après quelques jours</t>
  </si>
  <si>
    <t>Super montre style militaire Montre militaire Colis arrivé super vite après commande. Livrée dans un super écrin avec petit carré en coton pour le nettoyage et une notice dans plusieurs langues dont le français non négligeable. Affichage de l’heure : excellent pour une montre ! Affichage du jour et de la date automatique. Possibilité de programmer une alarme. Rétro éclairage sympa. Le verre de cette montre résiste aux rayures. Est étanche donc inutile de l’enlever pour se laver les mains. Bracelet vert bien ajustable pour un look militaire. Mon ado est ravi et fier d’avoir cette montre à son poignet : super design. Garantie de 12 mois chez ce vendeur : j’adore ! Achat à faire sans risque.</t>
  </si>
  <si>
    <t>Tenue et charge décevantes Le son est bon mais les écouteurs ne tiennent vraiment pas bien ! Une vraie galère lors de seance de sport malgré les différents embouts essayés. La charge n'est pas satisfaisante du tout. À charger quasiment toutes les 2 utilisations... je ne recommande pas.</t>
  </si>
  <si>
    <t>Semelle très fragile Pour le boulot simplement marcher sur la route semelle trouée au bout d’un mois seulement</t>
  </si>
  <si>
    <t>Ne grille pas beaucoup Beau design, pas très encombrant. Manque de puissance. Test avec du pain de mie, de la baguette en tranche fine, au moins 4 passages à puissance maxi pour avoir croquant et un peu de brunissage. Dommage car grosse perte de temps.</t>
  </si>
  <si>
    <t>attention chaud au toucher bonne bouilloire mais très chaude au toucher. Attention donc à ne pas poser les mains sur l'inox quand c'est chaud car vous pouvez vous brûler. Mieux vaut tenir l'objet loin des enfants. A part cela, assez bon article mais un peu bruyant à la chauffe.</t>
  </si>
  <si>
    <t>BLOQUEURS PARFAITS Ce lot de 2 bloqueurs est parfait, compatible avec un bracelet SO CHARM. Diamètre un peu petit mais bon rapport qualité / prix. Je recommande le produit.</t>
  </si>
  <si>
    <t>Conforme Produit conforme , envoi rapide 👍</t>
  </si>
  <si>
    <t>Doux et confortables Mon fils adore ! Confortables, doux et chauds. Voici deux mois qu'il les utilise avec satisfaction. Seul bémol : je pense que ces chaussons vont vieillir rapidement.</t>
  </si>
  <si>
    <t>superbes je chausse du 40 et j'ai pris un 40 et ça va très bien. belles couleurs, confort super, je suis satisfaite</t>
  </si>
  <si>
    <t>produit impeccable chaussures parfaites, coloris, materiau , taille, tout est parfaitement conforme à ce que je souhaitais, la qualité est aua rendez-vous</t>
  </si>
  <si>
    <t>Aimez-vous votre le lave-linge ? Alors n'oubliez pas de le protéger avec ces tabs de Calgon. Cette protection anti- calcaire pour ce lave-linge qui vous rend tant de services et qui allège votre vie doit avoir sa place auprès de vos lessives !  Avec ce produit, vous allez prolonger "sa vie".  Dorothée-Jacqueline</t>
  </si>
  <si>
    <t>Satisfait Les modèles Word à télécharger aident beaucoup pour préparer son impression. Nous avons utilisé la boîte pour les adresses de faire part et avons été satisfaits.</t>
  </si>
  <si>
    <t>Exactement ce qu'il me fallait Parfait pour regarder des films ou des séries en toute discrétion le soir avec un BB difficile à côté.</t>
  </si>
  <si>
    <t>Génial...touches trops petites LA montre de retour vers le futur. Attention on a oublié mais les petites touches sont inexploitables...on est vraiment plus habitué! Sinon parfaite pour le look vintage</t>
  </si>
  <si>
    <t>genial cette veste est très bien elle est chaude et agréable et la couleur ne gene pas du tout et elle est arrive très vite avec Amazon premium</t>
  </si>
  <si>
    <t>Achat très utile. Je suis très satisfaite de cet achat. Une place pour chaque chose. Biberons, tétines et bouchons. Je le recommande vivement. De plus il est facile à nettoyer.</t>
  </si>
  <si>
    <t>6 rouleaux de ruban d'emballage transparent de 48 MM x 66 M Au premier abord j'ai pensé avoir reçu du scotch ordinaire qui n'allait pas tenir. Et bien je me suis trompée, ce scotch colle vraiment très bien, je dirai même il s'agrippe à tel point qu'après l'avoir collé sur la vitre de ma pharmacie dans la salle de bain pour la décrocher,  lorsque j'ai voulu l'enlever....j'ai fendu le verre. A bon entendeur, c'est du solide ;-) Je recommande ce produit !</t>
  </si>
  <si>
    <t>bonne qualité , confortable , ne gratte pas</t>
  </si>
  <si>
    <t>Jolis et de bonne qualité De jolis casques qui ont ravi nos filles. Très pratiques à utiliser avec la Luni pour que les enfants puissent suivre ensemble l’histoire créée. Adoptés immédiatement et résistants. Le qualité du son est là aussi.</t>
  </si>
  <si>
    <t>Bel article bon rapport qualité-prix Belle bouilloire. bon article. Pour la nettoyer: un peu de vinaigre banc dans deux verres d'eau. Faire bouillir. laisser agir 10 minutes. vider, rincer; c'est comme neuf!!!</t>
  </si>
  <si>
    <t>Ok Très facile  à lire</t>
  </si>
  <si>
    <t>Très belles! Très jolies, très brillantes! Cadeau d’anniversaire pour ma nièce de 8 ans qui a adoré! Bel achat pour cette marque eco responsable! Je recommande!</t>
  </si>
  <si>
    <t>Trop belle Montre identique à la photo superbe possibilité de régler facilement au poigne Fait pensé à une cluse J'adore je recommande</t>
  </si>
  <si>
    <t>Chaussures de sécurité Bonsoir il sont super bien les chaussures de sécurité je suis à l'aise ils sont pas très lourdes bien pour le travail dans le bâtiment merci Amazon</t>
  </si>
  <si>
    <t>Déçue Pas confortables et pas assez hautes à mon goût ce qui fait que le pantalon sort sans arrêt c'est assez énervant, je ne les met plus.</t>
  </si>
  <si>
    <t>defectueux au bout de 4 mois Pas de réponse du sav sunvalley-fr qui vend  le produit . A quoi bon acheté un produit peu cher si sa durée de vie est si basse</t>
  </si>
  <si>
    <t>Ne fonctionne pas, produit retourné, seul bon point, déjà remboursé. Pratique pour connaître l'heure, voir obligatoire, quand ça fonctionne. Mis 1 étoile, par obligation pour envoyé ce message.</t>
  </si>
  <si>
    <t>Juste un petit bémol. La montre est conforme à mes attentes, seule la lecture de l'heure de nuit avec l'éclairage est fastidieuse. Dommage que les aiguilles ne soient tout simplement pas phosphorescentes.</t>
  </si>
  <si>
    <t>un titre Chaussettes vraiment TRES confortables, en plus c'est vrai elles font bien respirées le pied. Mais la qualité n'est vraiment pas ! Utilisées une fois seulement elles font des petites boules de partout, et quand je les enlève j'ai l'impression que la moitié de la chaussette y est resté collée. Vraiment dommage donc, elles sont super douces et agréables, avec le fond plus épais, sans tenir trop chaud , mais leur durée de vie est proche de zero.</t>
  </si>
  <si>
    <t>Boite beurk! Je n’ai ouvert que le colis dans lequel se trouvait la boite de la montre, laquelle ne sera ouverte que par la personne pour qui elle est destinée. Je ne critiquerai donc pas cette Suunto Traverse mais sa boite qui a été manipulée sans attention. Râpée et grasse, des traces d’empreintes digitales, comme si celui ou celle qui l’avait eu en main dégustait une pizza en même temps. J’exagère à peine. Je me débrouillerai pour offrir l’objet dans la pénombre, même si l’emballage ne fait pas le cadeau, il en fait partie. 2ème avis après déballage et un mois d'utilisation. La montre fonctionne bien pour l'instant (montagne, kayak, running), son utilisateur est ravi. Il faut un temps d'adaptation pour la maîtriser et la notice livrée est un peu légère. Donc recours au site Suunto où la celle-ci au format .pdf est bien plus explicite. J'ai toujours un doute concernant la boite qui a sans doute été ouverte avant livraison. J'ai rajouté quand-même 2 étoiles p/r à mon précédent avis.</t>
  </si>
  <si>
    <t>Basket Jamron J’ai enfin reçu les baskets à talon compensé, mais la pointure est bien trop grande! J’ai commandé une pointure 36 et celles que j’ai reçu font au moins un 37  1/2. Je les ai essayé et c’est vrai qu’elles sont très confortables, mais je suis déçu! J’ai attendu 1 mois et les renvoyer + les échanger ça fait 2 mois. Dommage que les produits chinois ont toujours des problèmes au niveau des tailles et des pointures</t>
  </si>
  <si>
    <t>Bonne hydratation Je l'ai utilisé pendant une journée bronzette dans mon jardin (première fois que j'utilise un masque en tissu). L'effet glaçon est super, l'odeur formidable l'hydratation excellente. Ma peau était toute douce juste après. Un peu rouge mais ça ne m'a pas dérangé. Par contre niveau prix c'est juste. J'ai l'habitude de faire 2 masque/sem et ça ferait un peu cher à la fin du mois. Je préfère les masque "crème" que tissus. Je pense par racheter dans l'immédiat</t>
  </si>
  <si>
    <t>Casque de qualité Le casque dispose de plusieurs boutons : marche/arrêt, piste suivante, piste précédente, pause, augmenter le son, diminuer le son, activer/désactiver la réduction de bruit (activé ou pas, je ne vois aucune différence notable personnellement), décrocher le téléphone.  Lors du premier démarrage, le casque se met en mode appareillage par défaut. Cependant, une fois appareillé au premier appareil, il devient invisible pour les autres. Pour l'appareiller à d'autres appareils, il faut le mettre à nouveau en mode appareillage. Pour cela, lors de l'allumage, en appuyant longuement sur le bouton marche, vous entendrez "power on", ne lâchez pas le bouton, attendez encore 10 secondes jusqu'à entendre "Pairring on". C'est seulement à ce moment là, que vos autres appareils pourront détecter le casque, autrement il sera "invisible". Cela n'est malheureusement pas indiqué dans le mode d'emploi fourni, ce qui m'a fait peur car mon PC ne le voyait pas. C'est cependant indiqué sur le site de Sony. Une fois appareillé, le casque se connectera à votre matériel automatiquement à chaque démarrage.  C'est pas mal comme système, car cela évite que n'importe qui puisse se connecter à votre casque (j'ai ce soucis avec une paire d'enceintes chinoises, marque Edifier, dont je suis très satisfait mais que mes voisins sélectionnent parfois par erreur ^^).  Le bouton marche arrêt permet aussi de connaitre le niveau de batterie, via une pression rapide. Une voix indique le niveau de batterie (ex. "Battery level medium"), sans être très précis cela dit. Cependant, l'application Sony sur Android permet d'avoir le % exact, donc je préfère regarder l'application. D'ailleurs niveau autonomie, les 35h sont très agréables. Le casque se recharge via un port microUSB classique. Un câble microUSB vers USB est d'ailleurs fourni (pas le chargeur cela dit).  Il dispose aussi d'un port auxiliaire (jack 3.5), ce qui permet de l'utiliser en filière, notamment si plus de batterie ou si l'appareil utilisé ne dispose pas de bluetooth (baladeur MP3, PC fixe...). C'était pour moi un critère essentiel. Un jack jack mâle vers mâle est d'ailleurs fournis.  Au niveau qualité sonore, le son est correct sans être exceptionnel. A vrai dire, je ne le trouve pas forcément meilleur que mon Sony filaire à 30€ acheté il y a 6 ans (que je trouve déjà très bien cela dit !). Cependant, il est appréciable de pouvoir modifier l'équilibrage des fréquences (aiguës, médiums, basses) via l’application, à l'aide des réglages pré-définis ou personnalisables. Par exemple, augmenter les basses pour du rock, du RNB etc ou au contraire les abaisser pour certaines musiques classiques. Il est aussi possible d'utiliser des modes (salle de concert, discothèque etc), qui jouent sur la sensation d’éloignement, d'échos etc. Perso, je n'ai pas été particulièrement convaincu par ces modes je dois avouer.  J'utilise ce casque via mon smartphone sous Android 8.1 Oreo (Asus Zenfone Max Plus M1), ainsi que sur mes 4 PC via une clé Bluetooth USB à 10€, autant pour de la musique que pour regarder des films. Tout fonctionne parfaitement.  A noter que ce casque dispose aussi d'un micro pour passer des appels sans avoir à prendre son téléphone en main. Je l'ai testé, il fonctionne très bien (en intérieur en tout cas, pas essayé en extérieur pour le moment).  Pour ce qui est du confort. Il ne sert pas trop la tête. J'ai des lunettes, cela ne gène pas non plus. Les oreilles touchent un peu le fond cela dit (sans non plus reposer dessus), ça surprend au début mais on ne le remarque plus très rapidement. Par contre si il fait un peu chaud (par exemple au soleil), il dissipe mal la chaleur (coussinets synthétiques qui ne respirent pas tout autour des oreilles = transpiration). Donc en intérieur top, en extérieur, pas terrible si ensoleillé. Dans ce cas je préfère mon casque à 30€, qui se pose sur les oreilles et non autour.  Autrement, il semble plutôt de bonne facture. J'étais parti sur un Sony MDR-XB950B1 à la base, car moins cher (80€) mais, outre l'autonomie 2 fois moindre ce dernier avait de nombreux commentaires d'utilisateurs qui l'avaient cassé très rapidement. C'est ce qui m'a motivé à prendre ce modèle plus cher, mais avec bien moins de commentaires de ce type. Je préfère payer plus cher pour un casque qui dure plus longtemps !  Niveau encombrement, je le voyais plus gros. Il prend forcément plus de place que mon petit filiaire, mais pas beaucoup plus finalement. Il se range assez facilement dans une sacoche de taille moyenne, il ne pèse pas très lourd non plus malgré sa bonne autonomie. Cela dit, il est dommage, pour un casque à 120€, de ne pas avoir fourni une petit housse, même basique.  Bref, je recommande ce casque.  Si j'ai des soucis, je n'hésiterai pas à éditer ce commentaire donc temps qu'il reste inchangé, c'est qu'il est toujours valable. ;-)</t>
  </si>
  <si>
    <t>Parfum agréable et durable. La seule chose que je ne connaissais pas à propos de l'adoucissant en perles Lenor ici proposé, c'est ce parfum Souffle Précieux et je dois dire qu'il est très agréable dans son mix de vanille, de mimosa, de miel, de rose et de pêche. La senteur est durable sur le linge et dégage une vraie sensation de fraîcheur et de propreté.</t>
  </si>
  <si>
    <t>Très bon produit Fait ce pourquoi il est conçu a prix imbattable</t>
  </si>
  <si>
    <t>Cool Joli chaussure très content je fait du 40 et j ai pris du 40 1/2 donc un peu plus grand et sa va tout pile</t>
  </si>
  <si>
    <t>Tong bg lol Parfait et bonne taille je recommande confortable classique pas chers sympa et de bonne qualité en vrai elle son bien</t>
  </si>
  <si>
    <t>super pratique Des écouteurs de très bonne qualité et fonctionnent parfaitement, à voir sur le long terme Pour le son il est clair et équilibré Je les trouve pratique et léger surtout pendant un exercice physique Ils tiennent bien aux oreilles la boite de recharge est super pratique, elle sert de boite de rangement et d'une batterie externe pour recharger Un bon produit dans l'ensemble à voir avec le temps livraison rapide et soignée</t>
  </si>
  <si>
    <t>Très bien ! Comparé aux prix des Magasins, je ne regrette pas mes achats ! Le son est TOP !  j'y ai mis cependant de très bons équipements ! Livraison rapide</t>
  </si>
  <si>
    <t>Bien Très beau dans ma coiffure  pour un mariage.</t>
  </si>
  <si>
    <t>Top Au top j en avais besoin pour l'avion et prendre avec moi dans la cabine sachant que c est ultra compliqué niveau taille pour les bagages. La je suis satisfaite ni trop grand ni trop petit un livre de voyage de poche un téléphone portable des papiers une petite bouteille d eau y passent largement et on nous embête pas à l aéroport. De plus il a l air vraiment solide je pense que cette saccoche va me suivre partout. Je vous conseil cet achat..</t>
  </si>
  <si>
    <t>Adapté comme prévu Magnifique!!!</t>
  </si>
  <si>
    <t>Produit très bien Ce produit est très bien. Conforme à la description du produit.</t>
  </si>
  <si>
    <t>Qualité prix Génial</t>
  </si>
  <si>
    <t>Fort appréciable Objet compact (voir les dimensions à côté du stylo 4 couleurs), agréablement doux. Sa texture est agréable, la prise en main rapide. Niveau sonore il est plutôt discret sans pour autant compromettre sa puissance de vibration. La prise de recharge est parfaitement intégrée et discrète. La petite sacoche de transport est également très pratique. Madame est pleinement satisfaite. Je recommande clairement cet achat pour les personnes recherchant ce type de produit.</t>
  </si>
  <si>
    <t>Indispensable ! Excellent produit massant et chauffant  je l utilise pour le massage thérapeutique mais aussi pour la détente et la récupération après le sport. Ca calme aussi les fourmillements et ça délasse.</t>
  </si>
  <si>
    <t>beau et confortable Honnêtement c'est le meilleur legging de sport que j'ai acheté Il est super confortable, beau et la taille est parfaite !</t>
  </si>
  <si>
    <t>Identique à la photo Très contente de ce produit</t>
  </si>
  <si>
    <t>Je ne recommande pas, c'est juste mon avis. Avec les étoiles que j'ai mis, tout est dit. Le parfum ne reste à peine qu'une journée et encore, je suis gentille en disant cela. Meme après l'avoir passé au sèche linge, il est tout juste un peu plus doux que si je l'avais pendu. Il sent bon juste vraiment quand on ouvre la bouteille.</t>
  </si>
  <si>
    <t>Ne pas acheter Offert à Noel 2018 Très déçu, entourage cadran perdu il y a 15 jours et le bouton 5 jours.</t>
  </si>
  <si>
    <t>Fabrication chinoise de mauvaise qualité L'un des chaussons est nettement plus petit !! L'asymetrie se voit avant meme de les enfiler !</t>
  </si>
  <si>
    <t>satisfaite J adore et légère</t>
  </si>
  <si>
    <t>Parfait ! La couleur est juste magnifique, ni trop rose poudré ni trop beige ! Très élégantes ! Taille un peu grand par contre attention !</t>
  </si>
  <si>
    <t>Essentiel, et pratique Confortable et style</t>
  </si>
  <si>
    <t>parfait style design et contemporain, parfait; tout est parfait sauf l'accumulation en bas de chlore. il faut donc nettoyer souvent mais nettoyage facile donc pas de problème pour moi.</t>
  </si>
  <si>
    <t>Presque parfait, mais parfaitement adapté Ce brise vent est parfaitement adapté au VideMic GO. Ce n'est pas une simple chaussette. C'est une mousse entourée des poils nécessaires au brise vent. Elle vient en lieu et place de la mousse signée RODE. Elle protège relativement bien du vent mais pas assez à mon goût surtout pour un produit siglé RODE. Elle laisse cependant très bien circuler le son avoisinant sans étouffement. Je recommande pour de la video Amateur en extérieur. Vlogueurs d'extérieur &amp;amp; reporter en herbe, passez votre chemin si la qualité de son en plein air est sans compromis.</t>
  </si>
  <si>
    <t>Sweat shirt Levis impeccable Sweat shirt Levis d'un prix très agréable et de bonne qualité. Fidèle à la description. Reçu en temps et en heure. Il est juste un tout petit grand. Taille bien</t>
  </si>
  <si>
    <t>Eval Produit correspondant au descriptif,livraison rapide.</t>
  </si>
  <si>
    <t>Teeshirt à longues manches Très beau petit Haut à porter avec n’importe Quoi prenez une taille au dessus car taille petit très mignon avec les épaules dégagées</t>
  </si>
  <si>
    <t>Rien à dire Sac conforme à la photo. Il est très pratique. J'ai pu y ranger et transporter mon mini Ipad et d'autres bricoles. On peut mettre un maximum de chose dans cette sacoche d'un encombrement réduit. Il est seyant et relativement beau. Il est beau, mais le cuir des zips n'est pas d'une très grande qualité. L'emplacement des cartes de crédit est judicieux,mais je n'ai pas trouvé vraiment un endroit dédié aux smartphone sauf à côté des cartes de crédits. Il présente un très bon rapport qualité/prix et je le conseille pour ceux qui veulent avoir du rangement</t>
  </si>
  <si>
    <t>Jolies sandales de plage sexy Sandales très agréables et très jolies! Tiennent bien aux pieds!</t>
  </si>
  <si>
    <t>Livraison rapide Très sastisfaite</t>
  </si>
  <si>
    <t>Très bonne qualité Ces écouteurs font parfaitement leur boulot. Ils sont très ergonomiques. Ils tiennent bien aux oreilles. La qualité du son est très satisfaisante, ils sont simples à connecter en bluetooth et sont compatibles avec toutes les marques de téléphones.</t>
  </si>
  <si>
    <t>Tatie adore Achète pour offrir,  à beaucoup plue. Donc ravis</t>
  </si>
  <si>
    <t>Casio G Shock au poignet Agréable au poignet, facile à porter, très légère. Parfaite</t>
  </si>
  <si>
    <t>Efficace , léger Utilisé pour la tv se connecte très facilement sur la sortie AUDIO et prise USB le son est net on peut se déplacer la connexion passe a travers les murs je recommande ce casque hyper léger</t>
  </si>
  <si>
    <t>Le fait de les recevoir rapidement Pour les vacances !!!</t>
  </si>
  <si>
    <t>Casque Bluetooth 5.0 Livrer dans une belle boîte classe ,avec tous ces accessoires et pochettes couleur noir, c est un bon casque Bluetooth,un son vraiment de bonne qualité et un confort optimale même après plusieurs heures sur les oreilles .il tient bien la charges rien a redire .</t>
  </si>
  <si>
    <t>Impéccable Ce matelas est conforme à la description. C'est exactement ça qui me fallait</t>
  </si>
  <si>
    <t>Super fun! Ces baskets sont très confortables avec leur semelle à mémoire de forme. Elles sont féminines avec leurs petites paillettes et super tendance dans le style. J'adore!</t>
  </si>
  <si>
    <t>Produit de qualité visiblement arrivé dans les temps J'ai reçu le produit rapidement et le pantalon reçu est de bonne qualité, agréable à porter et à la bonne taille. Merci.</t>
  </si>
  <si>
    <t>Micro ne fonctionne pas Utilisateur de la première génération qui a lâché au bout de 3 ans pour un problème de connectique serti sur le casque, je me suis laissé tenté par la seconde génération qui possède un Jack à cet emplacement. Cependant il s'avère qu'un nouveau défaut est fait son apparition, celui du micro qui ne fonctionne pas. Je n’achèterais plus jamais un produit BEYER car je pense qu'en tant qu'utilisateur, on est en droit d'attendre mieux d'un produit élitiste made in Germany. Dommage car le son que ces casques procure est juste exemplaire...</t>
  </si>
  <si>
    <t>dysfonctionnement du produit Bonjour, Produit défectueux  au bout de quelques utilisations j'ai du l utiliser une 10 de fois. Ensuite le produit s est arrête de fonctionner.  au regard du prix je ne vous conseille pas de l'acheter essayer une autre marque, c est l'arnaque 59 euros jeté par la fenêtre  Cordialement</t>
  </si>
  <si>
    <t>Très bien mais. .... Tres bien mais ....  Tres pratique car peu encombrant mais le fait qu'il soit carré et non arrondi au niveau des séparation et du couvercle fait qu'il reste tjr un meu de poudre ds la boîte.  Dommage.  Msbje le recommande comme même car il est peu volumineux ds le sac à langer.</t>
  </si>
  <si>
    <t>Pas mal Les chaussettes sont douces et agréables à porter. Par contre je trouve qu'elles ne '' serrent'' pas assez la cheville. Peut être parce que je suis une fille ?</t>
  </si>
  <si>
    <t>Bon produit Pour le prix et comparé à de nombreux autres ce sac est de bonne qualité et de plus esthétique. Je recommande</t>
  </si>
  <si>
    <t>Ok Merci</t>
  </si>
  <si>
    <t>Bouilloire Melitta Bouilloire au design moderne. Chauffe très vite, est conforme au descriptif, bonne prise en mains. Bon produit que je recommande.</t>
  </si>
  <si>
    <t>Très bon produits Belle surprise que ce petit projecteur, je n'y connais pas grand chose en vidéo projecteur. J'ai craquer sur ce model à cause du  prix attractif.   Simple d'utilisation. Toute la connectique est fourni.  Je l'ai tester avec mon rasberry quel plaisir de pourvoir jouer avec mes shoot's em up sur grand écran.  Je m'en sers avec ma ps4 pour regarder des vidéos en streaming et jouer.  Pour l'instant un drap blanc me sert d’écran. une fois la luminosité configure l'image est de bonne qualité. Une pièce sombre est conseille, cependant ma petite lampe ne gène en rien.  Le ventilateur m'a surpris au début mais des que le son est lance on ne l'entend plus. il m'est revenu moins cher qu'une tv. Grace a la promotion.   Sa petite taille est appréciable.  La promesse de longévité de la lampe 55000 heures est correcte je pense. C'est ce qui me freinait au début sur l'achat d'un vidéo projecteur et le prix élevé.   Une belle surprise je le recommande. Il ne me reste plus qu'a investir dans un écran. Et ce sera parfait. Pour ce qui est de la livraison, rien a dire reçu 48h après la  commande. Livré par les bourrins de la poste qui maltraite nos colis. Ça va que l'emballage du produit est bien fait.</t>
  </si>
  <si>
    <t>C'est magnifique Merci</t>
  </si>
  <si>
    <t>Doux Ça change des bouillottes caoutchoucs. Avec son pull ça lui donne un look plis chaleureux et puis au toucher ça change tout. Dans l’internat, impossible de faire chauffer ses bouillottes modernes. En voilà une qui me permet de me cocooner...</t>
  </si>
  <si>
    <t>trés bien produit qui convient à mes attentes très bon produit à recommandé merci pour la rapidité. convient très bien à ce que j'attendais</t>
  </si>
  <si>
    <t>Au top Au top ce micro marche super bien</t>
  </si>
  <si>
    <t>Pas mal Paire de baskets légères et design sympa, je les ai choisi en noir, elle rendent bien. Très confortables (comme dans des chaussons). A voir dans la durée</t>
  </si>
  <si>
    <t>Très pratique pour nettoyer les biberons de bébé ! Essayer c'est l'adopter !</t>
  </si>
  <si>
    <t>Mes enfants ont adoré Je l ai pris pour mes enfants de 4 et 5 ans ils ont adoré, ils ont fait tous les modèles de suite. L enclenchement du feutre est un peu dur au début mais ils comprennent vite et aiment beaucoup</t>
  </si>
  <si>
    <t>Belle sacoche Elle possède plusieurs poches et elle est de belle qualité. Mon compagnon en est très content. Envoi très rapide.</t>
  </si>
  <si>
    <t>Très satisfait Très confortable et esthétique, je suis très satisfait de mon achat</t>
  </si>
  <si>
    <t>Idéal à nos attentes Livraison rapide Confortable Je me sens en sécurité tout en restant classé avec ces backet</t>
  </si>
  <si>
    <t>Très bien avec une taille réduite Très bon produite avec un encombrement réduit pour ceux qui n'ont pas trop de place. Convient pour deux voir trois biberons mais pas plus. Utilisé avec la Fleur de la même marque https://www.amazon.fr/dp/B005PRQC3C/</t>
  </si>
  <si>
    <t>BIEN Mon fils en est très content</t>
  </si>
  <si>
    <t>Parfait Se collier d'Ambres correspond a la description ,ma petite la adopter de suite je sais pas si cela marche vraiment car première fois que l'utilise mais en tout cas depuis qu'elle la autour du coup elle pleure plus pour ses dents. Très bon produit. Je recommande</t>
  </si>
  <si>
    <t>Grande qualite Jamais déçue avec Tommee Tippee. Goupillon de grande qualité. Il dispose d'une partie pour bien nettoyer les tetines. Je recommande</t>
  </si>
  <si>
    <t>belle montre la montre est de qualité et correspond à la description, réception rapide</t>
  </si>
  <si>
    <t>Forme inadaptée Déçue car n'a aucune forme, j'ai eu l'impression d'avoir une bande dur la poitrine.</t>
  </si>
  <si>
    <t>C'est une contrefaçon! Pour la 1ère fois je n'ai pas acheté mon Eastpak sur le site officiel car il était beaucoup moins cher ici et malheureusement c'est une très belle contrefaçon.... Je n'y ai vu que du feu jusqu'à ce que les 2 bretelles du sac cassent!!!! En moins d'un an pour un Eastpak c'est juste impossible. Mon neveu l'a eu au collège et a toujours le même maintenant qu'il est à la fac!!!! J'ai contacté le vendeur pour lui faire du problème mais évidemment pas de réponse....</t>
  </si>
  <si>
    <t>Montre qui ne fonctionne pas. Acheté pour un cadeau, la montre ne fonctionne pas... Le mécanisme fonctionne mais les aiguilles ne bougent pas. Amazon devait m'en envoyer une autre.. Après 2 semaines d'attentes ils vont me remboursés car la montre se serait perdue en route... Super.</t>
  </si>
  <si>
    <t>Toujours compliqué de trouver la bonne taille dans cette marque qui passe des normes européennes à celles d'autres pays sans trop de précisions. Mais pour ce qui est de la qualité et du confort c'est clair qu'il n'y a pas a hésiter. Nous sommes tous équipés dans la famille et on adore.</t>
  </si>
  <si>
    <t>Trop petite Le cadran de la montre est trop petite pour mon poignet, cette montre doit mieux convenir pour des ados ou des enfants.</t>
  </si>
  <si>
    <t>Ca va chauffer Toujours aussi content de cette marque et de sa qualité. Le modèle précédent utilisé est finalement tombé en panne quelques moins après mais d'un seul côté. Mais il était bourré d'options. Je suis donc revenu à un modèle plus basique mais qui conserve l'option de séparation des côtés au niveau température et il fonctionne toujours parfaitement plusieurs année après.</t>
  </si>
  <si>
    <t>Achat satisfaisant Toutes les options fonctionnent, le radio pilotage pour le calibrage de l'horloge atomique ne fonctionne pas. L'antenne la plus proche se trouve en Allemagne. Alors, ou cette option ne fonctionne pas ou la marque arnaque les français. Dans l'ensemble, cela reste un très bon produits pour les personnes dynamiques et sportives.</t>
  </si>
  <si>
    <t>Sweatshirt de bonne qualité Sweatshirt de bonne qualité, plutôt chaud mais qui taillera un peut grand pour les plus fin d'entre vous. Moi qui taille entre le S et le M, il me va parfaitement.</t>
  </si>
  <si>
    <t>Achat utile et rapidement rentabilisé Le linge ressort souple de la machine, il est doux et plus facile à repasser. Je recommande ce tout petit investissement</t>
  </si>
  <si>
    <t>Top Contente de mon achat</t>
  </si>
  <si>
    <t>cristaux soude bien bon produit</t>
  </si>
  <si>
    <t>PARFAIT ! Diffuseur d'huiles essentielles, bonne contenance, longue durée d'utilisation et très agréable avec les couleurs changeantes. Forme moderne , s'adapte parfaitement dans tous les intérieurs. je suis satisfaite.</t>
  </si>
  <si>
    <t>Bon rapport qualité prix Très bon rapport qualité prix Tres directionnelle Bon rendu sonore, lourd et performant N’hesitez Pas pour cet achat, pas besoin d’alimentation fantôme sur ce produit</t>
  </si>
  <si>
    <t>La qualité Utilisation Professionnel</t>
  </si>
  <si>
    <t>la forme de la coupe personnel</t>
  </si>
  <si>
    <t>Sensationnel Pratique et fait de l'excellent thé . Je la recommande</t>
  </si>
  <si>
    <t>Bonne qualité et très pratique J'en ai acheté 2 lots.  Ils sont d'excellente qualité et peuvent servir pour de nombreux usages.  Personnellement je m'en sert pour trier un peu tout : - Composants électroniques - Médicaments pour les voyages - Graines pour le jardin - Visserie - Piles - ...  De plus cela permet de gagner de la place en virant les boites inutiles, parfois à moitié vides.  Avec un petit autocollant pour indiquer les références de ce qu'il y a dedans, c'est ultra pratique ! Je ne peux que recommander.</t>
  </si>
  <si>
    <t>Efficace et multifonction Le produit répond parfaitement à mes attentes. Il est "multifonction" : mise sous vide de bocaux, réalisation de marinades expresses, mise sous vide de sac prédécoupés ou création de sacs à la taille désirée à partir d'un rouleau... Tout est possible. Le package livré est complet : en plus de l'appareil, des sacs prédécoupés, un rouleau, un bocal... Les sacs sont solides et réutilisables. Le rangement est aisé en le mettant à la verticale. L'emballage est solide et n'a pas été abîmé lors de la livraison. La date de livraison a été parfaitement respectée. Vraiment rien à dire...</t>
  </si>
  <si>
    <t>Excellent Elle ne me quitte plus, j'ai une maladie rhumatismales et je suis toujours sur ma bouillotte dans le canapé dans le lit, 3 niveaux de chauffe et il envoie je ne met jamais a 3 généralement à 1 voir 2 mais il est chauffe vraiment bien il s'éteint seul au bout d'une heure si ma mémoire et bonne, cela fait plusieurs mois que je l'utilise des heures tout les jours ras il marche toujours aussi bien et ma matière et très agréable, je peut que recommander +++</t>
  </si>
  <si>
    <t>très bien Ce sweat est vraiment agréable, il est léger et assure un confort douillet. Les finitions ne sont pas exceptionnelles, mais ce pull a le mérite d'exister ! Je le recommande pour aller se promener, pour être à la maison, pour se sentir bien le soir mais il n'est pas très chaud donc ce n'est pas un sweat que l'on peut porter sans veste s'il fait très froid. Pour moi, c'est un pull d'intérieur que j'adore. Je vais le commander dans d'autres coloris d'ailleurs mais en taille au dessus pour parfaire le côté décontracté qu'il offre. Je suis contente de cet achat et pour le prix, rien à dire.</t>
  </si>
  <si>
    <t>Des geox ... Tout est dit dans le titre . Chaussures confortables . Taille parfaite ( correspond à votre taille habituelle) . Finition parfaite</t>
  </si>
  <si>
    <t>tb ras</t>
  </si>
  <si>
    <t>Bon produit Bon rapport qualité-prix. Achat fait pour un déguisement mais qui se remet facilement. Il tient chaud et il est confortable.</t>
  </si>
  <si>
    <t>Agréable à porter Basket très léger, respirante. Agréable à porter. Le système de coussin d’air  amorti bien les chocs.</t>
  </si>
  <si>
    <t>piètre qualité mécanique si l'aspect audio est correcte pou le prix, la qualité mécanique laisse à désirer, tout en étant soigneux, j'en suis à ma troisième paire hs en 6 mois, cette fois c'est l embase plastique noir qui a cassé (contenant l'écouteur proprement parlé) le fait que j'achète ce produit c'est en cas de perte, j'ai déjà perdu une paire d'écouteurs à 200 € remarque cela équivant à 8 paires de ces écouteurs là</t>
  </si>
  <si>
    <t>Beaucou beaucoup trop grand Vous vous rappelez quand vous étiez ados et que vous aviez des chaussettes sans forme et trop grande ? Je vais peut être pouvoir en faire des moufles ...</t>
  </si>
  <si>
    <t>imparfait Taille 36 trop grand on dirait du 40</t>
  </si>
  <si>
    <t>Avis veste Jolie veste taille bien mais après un passage en machine la veste fait des bouloches et dommage que les manches ne sont pas doublés comme le reste.</t>
  </si>
  <si>
    <t>Déçu Très joli design mais le bracelet se raye très facilement...</t>
  </si>
  <si>
    <t>Bonne qualité J'ai acheté ce câble pour brancher ma table de mixage a mon enceinte. Je suis très contente, câble de qualité</t>
  </si>
  <si>
    <t>UTILITE RAS</t>
  </si>
  <si>
    <t>chaussure de très bonne qualité Belle finition et très confortable</t>
  </si>
  <si>
    <t>Produit conforme Produit conforme à ce que je recherchais. Un peu serrée mais se détendent facilement. La boîte est différente d'une autre paire de converse que j'ai ce qui a été perturbant à la réception (écritures blanches au lieu d'être beiges).</t>
  </si>
  <si>
    <t>cool cool</t>
  </si>
  <si>
    <t>Une merveille Pour 50 euros cette montre étanche a 100m est d'une perfection étonnante. Un boitier solide et un verre minéral de grande qualité. Des fonctions étonnantes en plus de celles de bases date heure, multi chronos, timer, 1 autre fuseaux horaire, 5 alarmes, le schedule (planning) de 30 alarmes programmable dans l'année avec messages, mais aussi la possibilité de paramétré la couleur de l'éclairage (rouge ou bleu) la densité contraste de l'affichage, la programmation de la fonction éco (pile), 3 son d'alarmes au choix... Le tout est clair, intuitif et très lisible (taille d'affichage des caractères). Le bracelet 'soft touch' est bien, mais perso je lui est préféré mon bracelet nato pour la sécurité (je suis motard) et la perdre pour une barrette qui lâche m’ennuierais, je lui ajouterais aussi une protection d'écran 36mm.</t>
  </si>
  <si>
    <t>Excellent pour le Yoga Superbe mais légèrement transparent tout de même en blanc. Qualité du tissu super agréable. Je le recommande vivement.</t>
  </si>
  <si>
    <t>Pratiques pour lait épaissi Mon bébé boit du lait Nutrilon AR depuis qu'elle a un mois. Le lait avait beaucoup de mal à passer dans les tétines 0+. Je suis donc passée à celles-ci et tout se passe bien. Bébé ne s'étouffe pas :)</t>
  </si>
  <si>
    <t>Bon produit Les couleurs sont super gaies, comme j'aime. Je les utilise à la place des soutien-gorges que je ne supporte plus. Ces brassières sont parfaites au quotidien, et pour le sport type gym. En revanche pour des sports à impact (fitness, footing, etc...) le maintien est un peu limite (cela dépend de la taille de poitrine aussi!!!).</t>
  </si>
  <si>
    <t>Excellent écouteurs! Après les avoir testé, le son est vraiment de bonne qualité. Les embouts sont de tailles L, ce qui explique la raison pour laquelle j'avais du mal à mettre les écouteurs. Concernant le sport et la batterie, j'ai pu faire ma séance de sport tranquillement, après 3 heures d'utilisation non-stop les écouteurs se sont déconnectés par manque de batterie, ce qui est normal. 2 semaines d'utilisation après, la batterie est bien présente ! Je les charge toutes les semaines et la batterie n'est même pas épuisée, on peut donc supposer que les 40 heures d'autonomie sont bien présentes. Vous pouvez donc tenir toute une semaine avec. La plupart des écouteurs, une fois dehors, ont des interférences qui ont tendance à couper la musique. Concernant ces écouteurs, j'en ai jamais eu ! Et c'est surprenant. Pour les appels, on m'entend légèrement. Mais une fois que je rapproche le téléphone de ma bouche, il n'y a plus de problème.  J'aime donc beaucoup ces écouteurs ! La qualité globale est grandement présente, pour ce prix là, vous trouverez pas mieux ailleurs</t>
  </si>
  <si>
    <t>Parfaite Tout à fait génial ,un super effet surprise pour un cadeau à un amoureux des montres et de retour vers le futur .Elle est mignonne et ne fait absolument pas too much juste un petit côté rétro élégant .</t>
  </si>
  <si>
    <t>Super ! Reçu rapidement ! Parfait</t>
  </si>
  <si>
    <t>papier de qualité très bon papier de qualité, rien à redire il correspond à ce que je cherchais pour mon imprimante lazer couleur</t>
  </si>
  <si>
    <t>Bonne affaires Coucou les Loulou je voulais vous faire mon retour après avoir reçu et tester les écouteur hier soir pour mon sport Bonne qualité de son Facile à installer à apairer Il tienne très bien dans les oreilles Pour le coup je doit avoué que j'ai été surpris de la qualité pour le prix C vraiment une bonne à faire</t>
  </si>
  <si>
    <t>Le son Très joli design et couleur scintillante, le son est vraiment excellent, un bouton multifonction permet de régler les graves, les aigus, très léger. La lecture en continu est d'à peu près 8h.</t>
  </si>
  <si>
    <t>Parfait et à ce prix c'est à acheter les yeux fermés Commandé 2 fois car le premier n'a jamais été mis en livraison... La première commande remboursée par Amazon, la seconde arrivée en 3 jours ! Je vais répéter un peu ce que tout le monde en dit : ce produit est super : il semble robuste, facile à installer, très polyvalent.Tous les outils d'assemblage sont fournis; vous avez la possibilité de le fixer soit au bord d'un bureau, soit au travers de la planche de celui-ci s'il est équipé d'un passe-câble (ou si vous le percez ;-)) Le réglage précis en hauteur de chaque écran permet de les ajuster à la perfection. Seul bémol mais qui n'enlève rien à la qualité du produit : si vous y installez des écrans de 24', ceux-ci sont relativement avancés par rapport au pied.</t>
  </si>
  <si>
    <t>Basket compensé Basket très confortable matière bien adapté à la chaleur prendre une pointure au dessus</t>
  </si>
  <si>
    <t>Parfait Bonne qualité prix. Merci.</t>
  </si>
  <si>
    <t>Prix Produit conforme à la description, a voir dans le temps</t>
  </si>
  <si>
    <t>matière trop fine Il y a un an je l'ai commandé en blanc, très épais, qualité impeccable. Cette fois je l'ai acheté en bleu, il est très très fin. Déçue de l'épaisseur.</t>
  </si>
  <si>
    <t>revetement anti adherent! Les moules sont recouverts d'anti adhérent.. Bof pour la santé, je renvoie</t>
  </si>
  <si>
    <t>Mauvaise qualité Très déçus du produit ce décolle alors que j'ai reçu  le produit il y a 6 jours. Tres Mauvaise qualité</t>
  </si>
  <si>
    <t>Une catastrophe Porté 2 heures et semelle décolée impossible de transmettre la photo par mail au vendeur pour obtenir un remboursement tres en colère</t>
  </si>
  <si>
    <t>Crochet arrière trop faible Jolie paire de Boucles d’oreilles assorties au collier. Dommage que les crochets  à l’arrière de la boucke d’ oreille ne soit pas assez fort car il tombe et je risque de perdre les boucles d’oreilles</t>
  </si>
  <si>
    <t>Bonne montre L'envoi comme d'habitude ne pose pas de problème.  La réception est même en avance d'un jour. Le réglage de la montre est très simple sauf qu'il vaut mieux consulter la notice sur internet car celle fournie est trop petite. Le seul problème provient du réglage du bracelet qui n'est pas du tout expliqué dans la notice. Je conseille d'aller dans une bijouterie pour le faire car il faut un outillage adapté pour ne pas endommager les goupilles qui sont très très fines et fragiles. Ensuite, pour la montre il n'y a rien à redire sur la qualité.</t>
  </si>
  <si>
    <t>Bon produit J'ai commandé ce produit dans le but de peser des ingrédients pour faire des cosmétiques. La balance est petite, le plateau tient bien. Le seul gros inconvénient, c'est que la balance est livrée sans aucun poids et qu'il en faut pour faire la mise en place de la balance (un de 100 gr et un de 200gr) Sans cela, la balance n'est pas précise. Une fois que c'est fait (cela prends à peine 1 minute), la balance fonctionne très bien !</t>
  </si>
  <si>
    <t>complet mais pas cadeau de naissance J'aime : - la valve "airfree" qui maintient la tétine pleine de lait et limite les problèmes de reflux et coliques - le fait que le coffret soit complet, nombre de bib, goupillon, tétine - la qualité des tétines et bib - la facilité de nettoyage - la prise en main, adaptée à l'adulte comme à l'enfant  J'aime moins : - l'esthétique : franchement ils ne font pas du tout cadeau de naissance. Les bib sont hyper basiques, en plastique … - le goupillon : je préfère acheter un goupillon plus adapté  =&amp;gt; un coffret complet, mais pas forcément un cadeau de naissance. D'ailleurs les bib sont parfaits pour les enfants qui commencent à tenir le bib seuls</t>
  </si>
  <si>
    <t>Contente Très bien</t>
  </si>
  <si>
    <t>Qualité Sony - prix mini Certes ce n'est pas un casque pour mélomane averti mais vous avez la qualité et le sérieux de Sony pour un petit prix. Un son tout a fait correct pour ce casque malin qui se plie et se range facilement dans votre sac. Chez nous, nous sommes 3 à les utiliser tous les jours depuis + d'un an.</t>
  </si>
  <si>
    <t>Achat Super produit. Je vous remercie envoie rapide</t>
  </si>
  <si>
    <t>Un papier doux et résistant J’ai commandé ce produit afin d’avoir une grande réserve de papiers toilette. Je suis très satisfait de ce produit. Le papier est épais et doux. Il n’est pas rêche au toucher. L’expérience est très agréable. Je recommande ce produit à ceux qui recherchent de la qualité tout en souhaitant privilégier l’aspect pratique (une seule commande effectuée pour plusieurs mois d’utilisation).</t>
  </si>
  <si>
    <t>Pompe puissante D'aspect robuste, elle est silencieuse et possède un bon débit de pompage( 250l/mn). Le raccord coudé de refoulement est en plastique d'un diamètre intérieur de 40 mm et extérieur de 47 mm. il faut prévoir un tuyau de diamètre 50 mm. granulométrie 35 mm  Le Silverline 675246 Tuyau de refoulement 10 m x 50 mm fait l'affaire mais je pense que pour une utilisation soutenue il ne résistera pas longtemps, petit prix petite qualité.</t>
  </si>
  <si>
    <t>Qualité et rapport qualité prix Parfaite pour une utilisation à domicile ou en cabinet, une des plus légère à transporter parmi de nombreux modèles, mousse épaisse, texture agréable et facile d'entretien. Les dimensions sont idéales ainsi que le réglage en hauteur important (je suis grande). Dommage qu'elle ne soit qu'en noir ou écru, d'autres couleurs seraient sympa. Je recommande cette table à très bon rapport qualité prix.</t>
  </si>
  <si>
    <t>Bijoux Je les offert hier pour lanniversaire de mariage a ma soeur. Elle cest marier sur le theme la belle et la bete. Sa a fait son effet</t>
  </si>
  <si>
    <t>Parfait La taille correspond,le confort est là.Je les utilise pour la marche plusieurs fois par semaine .</t>
  </si>
  <si>
    <t>Taille impeccablement J’ai commandé cet ensemble pour faire du crossfit, je ne suis vraiment pas déçue , il taille parfaitement, chaque élément est utile. La matière est très agréable et réagit très bien à la transpiration. Si vous cherchez un bel ensemble pas cher pour faire du sport, foncez !</t>
  </si>
  <si>
    <t>Bonnettes/mousses de micro Bonnettes/mousses de micro, micro-casque utilisé sur des intercoms moto</t>
  </si>
  <si>
    <t>Écouteurs avec une bonne autonomie Bonjour, j'ai acheté cet article pour remplacer mes écouteurs filaires. Ils se connectent assez facilement en bluetooth et ils ont une bonne autonomie ( je ne les ai pas encore déchargés complètement en une seule fois). Le câble de rechargement de la boîte qui fait aussi batterie de secours est fourni avec et est un ancien compatible. Il y a aussi une sortie USB pour charger son téléphone avec son propre câble ce qui est plutôt pratique.</t>
  </si>
  <si>
    <t>; remplacement</t>
  </si>
  <si>
    <t>prend pas beaucoup de place très pratique avec la souris</t>
  </si>
  <si>
    <t>Bonjour Pour ma fille ça lui va bien</t>
  </si>
  <si>
    <t>C'est super conformable Pour le cotidient, j'en otilise depuis 6 ans, car souffrant un peut des pieds, je me sens bien dedans .</t>
  </si>
  <si>
    <t>Bien, pratique en théorie MAIS &lt;div id="video-block-R3K0SYBG98D6Y7"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src="https://images-eu.ssl-images-amazon.com/images/I/B1+gb7Cu+kS.mp4" style="position: absolute; left: 0px; top: 0px; overflow: hidden; height: 1px; width: 1px;"&gt;&lt;/video&gt;&lt;/div&gt;&lt;div id="airy-slate-preload" style="background-color: rgb(0, 0, 0); background-image: url(&amp;quot;https://images-eu.ssl-images-amazon.com/images/I/81Jb0PV+4MS.png&amp;quot;);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value="https://images-eu.ssl-images-amazon.com/images/I/B1+gb7Cu+kS.mp4" class="video-url"&gt;&lt;input type="hidden" name="" value="https://images-eu.ssl-images-amazon.com/images/I/81Jb0PV+4MS.png" class="video-slate-img-url"&gt;&amp;nbsp;Bonjour, Ces écouteurs ont un bon son, les oreillettes sont pratiques, tiennent bien, isolent à moitié, mais... sont inutilisables sur mon Honor Play à cause du jeu du connecteur.  Par contre, fonctionne bien sur Nintendo Switch et je dirais même : très très bien ! Plus pratique qu'un gros casque, sans pour autant être gêné par l'environnement sonore. La prise Jack semble légèrement de biais (ce qui ne devrait pas être un problème tant que le corps est droit) et peut-être un diamètre légèrement inférieur  à mes autres écouteurs (deux autres paires ont un bon contact dans ce téléphone). J'hésite à les renvoyer... je ne sais pas trop quoi faire.</t>
  </si>
  <si>
    <t>Papiers photos Très bien</t>
  </si>
  <si>
    <t>Un peu fragile Bon produit mais bien fragile</t>
  </si>
  <si>
    <t>Bien mais un peu transparents En soit le leggings est sympa... Mais très transparents sur les fesses, après C'est peut être du au fait que J'ai des formes genereuses</t>
  </si>
  <si>
    <t>Super Super mon fils a l'impression de courir plus vite</t>
  </si>
  <si>
    <t>Bon produit Très bien</t>
  </si>
  <si>
    <t>Top Elles sont géniale j'adore les dr martens et ce modèle m'avais vraiment plu. J'ai surtout craquer pour la double semelle et la fermeture éclair qui sont top. Pour la taille il faut prendre sa taille normal car il y a de la place d'apres mon avis personnel. Le seul inconvénients que je trouve a redire c'est le frottement de la fermeture éclair au mollet qui est parfois gênant</t>
  </si>
  <si>
    <t>Collier Pour un cadeau à ma femme</t>
  </si>
  <si>
    <t>Écouteurs bluetooth de qualité Les écouteurs sont livrés avec un boîtier de rangement qui fait aussi office de batterie (6000 mAh), un câble micro USB, une pochette de rangement et des embouts supplémentaires (différentes tailles). Ils tiennent bien en place dans les oreilles (que l'on fasse du sport ou pas), les commandes tactiles réagissent et fonctionnent très bien aucun soucis à ce niveau là. Les écouteurs se connectent facilement au téléphone et la qualité du son est très agréable. Le design des écouteurs comme du boitier est très jolie, on peut voir que c'est un produit de bonne qualité. Il y a également un indicateur de pourcentage de batterie sur le boitier qui s’avère être très utile. Boitier qui peut aussi être utilisé comme batterie de secours. Je suis très satisfait de ce produit</t>
  </si>
  <si>
    <t>joli modèle. Très bon produit, chaussure très confortable, rien à dire ! Excellent confort du pied. Ces chaussures sont magnifiques ! Bien que je ne connaisse pas encore la durabilité des matériaux sur le long terme.</t>
  </si>
  <si>
    <t>Pendentif collier sympa 💖💖💖 Commande bien reçue service rapide et courtois 😉 pendentif collier rond et coloré idée cadeau sympa 👍</t>
  </si>
  <si>
    <t>Bon rapport Qualité/prix Je voulais acheter un microphone pour remplacer celui de mon casque et je suis tombé sur ce produit. Je pense que pour ce prix vous ne trouverez pas mieux. Le son capté est très bon, attention à la directivité cardioïde, donc assez large, peut prendre assez facilement les bruits aux alentours. Le support est bien, même si clairement, il y a mieux, mais pour le prix je suis très satisfait.</t>
  </si>
  <si>
    <t>Conseillé Très bon produit</t>
  </si>
  <si>
    <t>Du classique Des bensimon classiques comme on les aime, colorie neutre qui s'accorde avec tout</t>
  </si>
  <si>
    <t>Super lampe de chevet Très heureuse d'avoir acheté cette lampe de chevet qui fait bien sur office de réveil. il y a plusieurs degré de lumière et c'est vraiment un plus pour ne pas dérangé son voisin :) Possibilité d'avoir plusieurs réveil et egalement possibilité d'avoir la radio, vraiment top On peut meme le coupler à google Home !</t>
  </si>
  <si>
    <t>Je recommande le J'aime bien tiens chaud</t>
  </si>
  <si>
    <t>Très Satisfait du produit Perso j'ai pris une taille au-dessus et c'est impec. Le produit n'est pas qu'une qualité exceptionnelle mais franchement pour trainer et au vu du prix cela me convient très bien. Dès réception , je m'en suis recommandé 2 en supplément c'est tout dire. Cordialement</t>
  </si>
  <si>
    <t>Trop belle montre J'ai était livrée très vite, c'est une très jolie montre fidèle a l'image, je ne regrette pas mon achat par contre attention aux petits poignets :-)</t>
  </si>
  <si>
    <t>Parfait pour un lowbudget Tre bon calite pour un produit tre petite, il est parfait pour les petite poject, je prefer travaille avec parce que il est petite plus que je peux adapte un micro shotgun.</t>
  </si>
  <si>
    <t>Très bien pour fitness et voyage Étant professeur de fitness et voyageant beaucoup c'est à ce jour les écouteurs les plus solides et la meilleure qualité + durée d'utilisation que j'ai eu . Très bon produit, inutile de mettre des millions vous avez ici la Qualité à bon prix.</t>
  </si>
  <si>
    <t>Joli bijou!!!! Bijou très beau et éclatant.</t>
  </si>
  <si>
    <t>Très bien pour une robe de princesse- Rose beaucoup plus clair que sur la photo J'ai acheté cette jupe/jupon en rose, pour faire un déguisement d'Aurore à ma fille de 8 ans (grande pour certains déguisements d'enfants). Mise à part le fait que la couleur du tissu interne, est quand même diminué par les 2 niveaux de volants (rose très très clair), ça donne un effet robe de princesse comme je le souhaitais (très bouffant). Même si les frais de livraison, font monter le prix de la jupe, je pense que je vais en commander en d'autres couleurs, pour d'autres princesses. Et détail important, l'article est venu bien avant sa date de livraison, c'est top ça. J'ai déjà lavé la jupe en programme délicat (dans un filet), et elle est ressortie en très bonne état.</t>
  </si>
  <si>
    <t>Super qualité Pour la marche. J'ai aimé la semelle à mémoire de forme.</t>
  </si>
  <si>
    <t>Montre fossil La batterie tient un jour !!!</t>
  </si>
  <si>
    <t>Très mauvais micro J'entends plutôt bien la musique sauf que les personnes que j'appelle ne m'entendent pas du tout !!!!!</t>
  </si>
  <si>
    <t>ne fonctionne plus ne fonctionne déjà plus au bout de 15 jours, les lumières ne fonctionnent plus dommage car c'était un cadeau sympa, et j'hésite à reprendre le même</t>
  </si>
  <si>
    <t>Très belle cafetiere , simple d utilisation, café savoureux, mais pb de rejet de mare de café Très beau design , grosse capacité,  possibilité de régler la force du café,  très bonne saveur grave ça un système de jets multiples, bémol, le mare de café déborde du filtre indiqué  par la marque et pollue le café . Je suis à la recherche de filtre plus grands en espérant que ça évitera ce désagrément.</t>
  </si>
  <si>
    <t>Bon casque pour enfant. Je l'ai acheté pour mon fils de 10 ans. le design est sympa. Le matériel est robuste. Le réglage est très basique mais efficace. Le son est correcte pour les enfants.</t>
  </si>
  <si>
    <t>Bonne nouveauté mais pas plus anti fuite qu'un autre biberon Ce nouveau biberon bébé confort propose un nouveau système de fermeture : au lieu de visser la tetine sur le biberon on la clipse, ce qui a l'avantage de pouvoir se faire d'une seule main. Ne soyez pas trompé, ce n'est pas plus anti fuite qu'un autre biberon (sans le couvercle si vous penchez le biberon il fuit par la tetine bien sûr). Il propose une grande contenance (parfait pour les biberons des plus grands avec céréales). Col assez large pour passer un goupillon. En Polypropylène sans bisphénol A. Les biberons bébé confort et ces tetines en particulier sont celles qui ont fonctionné avec mes enfants. Attention le bleu ne correspond pas à celui de la photo plutôt à un bleu vert clair.</t>
  </si>
  <si>
    <t>Confort Très bon produit</t>
  </si>
  <si>
    <t>longevite du produit livraison très rapide mais impossible d'évaluer la longévité ,car elles sont neuves</t>
  </si>
  <si>
    <t>L'essayer c'est l'adopter ! Offert à mon papa. Il adore...ça le detend et le soulage apres une longue journée !</t>
  </si>
  <si>
    <t>Pâte à fixer Pratique</t>
  </si>
  <si>
    <t>Joli pull oversize de bonne qualité bien tailler jolie couleur Joli pull oversize jolie couleur bien tailler jolie qualité matière pas trop épaisse pas trop fine non plus j'ai pris du XL comme je mesure 1.m 78 ça m'arrive au bas des fesses parfait.</t>
  </si>
  <si>
    <t>Tenue parfaite sur tous type d’oreilles Ces écouteurs tiennent super bien. Je ne fais pas de sport mais j’ai pris ces écouteurs pour leur patte de maintien ainsi ils ne tombent pas, sinon je ne sais pas pourquoi mais les écouteurs classiques tombent de mes oreilles tout le temps sans même bouger. Là je peux même bricoler sans souci.  Le son est bon, et les boutons intégrés permettent de changer de musique (avancer). Câble usb C fourni pour la charge. Notice en français pratique pour voir les différentes fonctions associées aux boutons. Se synchronisent bien avec iPhone 7 Plus sous iOS 13.</t>
  </si>
  <si>
    <t>Parfait Parfait. Tissu très léger et agréable. Bonne coupe.</t>
  </si>
  <si>
    <t>Bon produit Produit conforme à la description. Bonne qualité bonne prise en main pour bébé et la tétine est très bien, l’embout plat permet à bébé de manger même en allaitement mixte</t>
  </si>
  <si>
    <t>Promo superbe Le meilleur produit de détartrage, à mon avis..  je l'utilise pour une SAECO Intelia, depuis son achat en 2013, tous les trois mois environ.  et jamais eu de problème.  résultat garantie.</t>
  </si>
  <si>
    <t>Excellent Excellent rapport qualité prix</t>
  </si>
  <si>
    <t>Perso Perso et pour moi pas encore porté mais tous vas bien et je pense que les commentaires c’est trop long</t>
  </si>
  <si>
    <t>Good Très bien</t>
  </si>
  <si>
    <t>Parfait Montre de très bonne facture bon design et excellent rapport qualité prix</t>
  </si>
  <si>
    <t>montre classe et classique ! montre au joli design classique ...assez fine donc idéale à porter sobre mais classe ! mon mari qui en porte rarement dit qu'elle ne le gêne aucunement alors que d'autres oui !</t>
  </si>
  <si>
    <t>baskets "passe partout" Très bonne paire de basket , légères , confortables , conservent les pieds gracieux , encaissent parfaitement les défauts des terrains caillouteux a recommander.</t>
  </si>
  <si>
    <t>Super rapport qualité prix Micro pour streamer, musiciens et chanteurs. Juste au top, un super son en ressort, solide. Un produit au top, que je recommande.</t>
  </si>
  <si>
    <t>Légéreté. J ai mis ces baskets toute une après-midi pour essayer et voir si je n aurais pas mal aux pieds et bien non elles sont légére, donc pas de jambes lourdes.</t>
  </si>
  <si>
    <t>Au top Génial</t>
  </si>
  <si>
    <t>nickel Bon produit pas cher livraison rapide je recommande</t>
  </si>
  <si>
    <t>bof j aurais du écouter les commentaire. elles ont trop un aspect plastique, et "mastoc"</t>
  </si>
  <si>
    <t>Montre parlante  pour non voyants  nul nul  nul nul nul null Déçu  je suis non voyant  trop  faible on comprend à penne nul nul écrit part ma femme  vraiment déçu  très</t>
  </si>
  <si>
    <t>Fermeture déjà cassée Fermeture éclair cassée au bout de deux utilisations.</t>
  </si>
  <si>
    <t>Se rallume tout seul ! J'allais mettre 5 étoiles en commentaire, jusqu'à ce que je découvre que l'arrêt automatique qui se met en place quand l'eau boue, il ne remet pas l'interrupteur à sa place, et du coup, une fois refroidit ça se rallume (même s'il y a plus d'eau à l'intérieur) jusqu'à ce que ça redevienne chaud de nouveau.. et ainsi de suite. vous pouvez imaginer la consommation Electricité que cela pause !</t>
  </si>
  <si>
    <t>Bien mais pas tip top Bonjour, J'ai testé ce produit suite à tous les avis positifs postés sur Amazon. Le casque délivre un bon son quoique un brin de grave trop présent. L'ergonomie est vraiment pas mal et le confort l'est également. Toutefois, je l'ai retourné pour les raisons suivantes. Vous avez deux boutons sur le casque pour le rendre fonctionnel. Un premier pour l'allumer et un autre pour appairer le téléphone et activer la réduction de bruit. Pourquoi avoir fait ce choix ? Surtout que vous pouvez avoir votre casque éteint et la réduction de bruit encore active sans pouvoir écouter de musique. Pas mal me direz vous si vous voulez juste vous isoler. Toutefois, deuxième point négatif, vous entendez un souffle permanent lorsque la réduction est active. C'est camouflé plus ou moins bien quand vous écoutez de la musique mais c'est omniprésent. Enfin, la réduction camoufle assez bien les sonds graves autour de vous mais beaucoup moins les aigus (les voix des personnes vous entourant en faisant partie). Bref, à ce prix là c'est un casque plutôt pas mal pour les clients pas trop exigeants côté son et réduction. Pour les puristes et les oreilles fines, je vous le déconseille.</t>
  </si>
  <si>
    <t>Correct Casque correct pour le prix</t>
  </si>
  <si>
    <t>A voir Pour le moment pas besoin de changer les cartouches, mais pour avoir déjà acheté ce type de produit d'origine sur amazon, rien à redire.</t>
  </si>
  <si>
    <t>Top Livraison rapide  bon casque,je viens de l essayer sur ma chaîne stéréo, piles pré chargées, c est agréable !bon son,je peux le mettre très fort  pour écouter mes musiques comme j aime, à voir dans le temps, pour l instant conforme à mes attentes, seulement4 étoiles car je n ai pas encore essayé sur la tv et autres mais très bien pour la chaîne</t>
  </si>
  <si>
    <t>J'en suis contente Oui il répondue à mes attentes de côté de la pointure de la forme de la couleur de la qualité le produit ils est très bien</t>
  </si>
  <si>
    <t>C'est très bien！ J'ai commandé cette montre pour faire un cadeau, Je ne la porte donc pas. Mais la personne à qui je l'ai offerte est enchantée. Cette personne est d'un naturel exigeant et est pointilleux sur les détails techniques du produit (aspect, matières, mouvement, précision des assemblages...) Il est très satisfait sur ces principaux critères. Il faut maintenant l'utiliser au quotidien pour se faire une opinion au niveau de la fiabilité mais l'aspect irréprochable de l'ensemble est de bonne augure, je pense que nous ne devrions pas être déçus. De toute manière le rapport qualité/prix de ce produit reste exceptionnel et suis convaincu avoir fait une très bonne affaire. Détail qui a toute son importance, le coffret de présentation est à l'image du reste, c'est à dire au top et est de nature à sublimer ce produit déjà très désirable.</t>
  </si>
  <si>
    <t>Très confortable Très confortable jolie j’ai l’impression de marcher dans de la ouate et la livraison au top merci au livreur</t>
  </si>
  <si>
    <t>Belle qualité Beau cuir et assez souple.Bonne isolation</t>
  </si>
  <si>
    <t>Qualité/prix imbattable Fait parfaitement le job! Aussi bien que le philips!</t>
  </si>
  <si>
    <t>Très bonne qualité de son Excellent écouteurs Bluetooth je n’ait  pas de port jack sur mon téléphone donc j’ai acheté ces écouteurs sans fils le sont est de excellente qualité Les écouteurs sont légers ils tiennent bien dans les oreilles il sont ni trop grand ni trop petite il son parfait L’autonomie de la batterie est très bonne les écouteurs se recharge très rapidement  l utilisation des écouteurs est très facile il sont arrivé très rapidement je suis très satisfait de mon achat qualité prix je vous le recommande</t>
  </si>
  <si>
    <t>Joli Bracelet Très joli bracelet. Excellente idée de cadeau.</t>
  </si>
  <si>
    <t>Tommee Tippee Tétine Débit Variable X2 Tétines variables que bébé supporte bien. Même s'il ne boit que du lait pour le moment, il gère bien le débit. L'embout est plus gros, il a eu un peu de mal les 2-3 premiers biberons mais il boit bien maintenant.</t>
  </si>
  <si>
    <t>satisfait l'ensemble paraît très solide et ne prend pas beaucoup de place. Les écouteurs se chargent vite et se relient très facilement à l'appareil qui va envoyer les signaux sonores. Le son est très bon et l'ergonomie des écouteurs parfaite. EN conclusion je suis content. Je recommande</t>
  </si>
  <si>
    <t>Je le voulais ils l'ont fait! Petit prix mais grands services. Même pour un 17 pouces, ce qui est mon cas, il est parfait. Je le recommande.</t>
  </si>
  <si>
    <t>conforme à la description du produit Il nous sert depuis maintenant plus d'1an et il n'est pas cassé ou autre. On peut mettre de bonne quantité dans chaque compartiment, à l'heure actuelle nous sommes à 9 cuillères à café par secteur, et je pense qu'on pourra allez max à 12-13, mais les biberons seront finit d'ici là ;)  Je recommande</t>
  </si>
  <si>
    <t>Bracelet original Super bracelet original. Maintenant plusieurs mois que je le possède et il se s est toujours pas déformé et il ne s'abîme pas !  J'ai un tout petit poignet et enfin pour une fois ce bracelet me va ! On peut me resserrer.</t>
  </si>
  <si>
    <t>Prix abordable et bonne qualité du matériel Connecter à notre téléviseur doté d'un home le son et génial</t>
  </si>
  <si>
    <t>Solide Aucun soucis</t>
  </si>
  <si>
    <t>toile fragile ! Après avoir utilisé deux paires de ces chaussures;  -la toile au dessus des orteils a commencé à lâcher presque instantanément  (70km environ) -accroche excellente, semelles relativement résistantes -l'eau s'évacue facilement en terrain humide -pas adaptées au bitume -taille petit (je chausse du 45; ici du 45 1/3 est très limite)  après 200km avec; elles sont dans un état pitoyable.</t>
  </si>
  <si>
    <t>Trop petit Trop petit pourtant pris en xxl...amazon devrait précisé attention taille chinoise....</t>
  </si>
  <si>
    <t>Déçue Déçue ! Pas pratique d’utilisation</t>
  </si>
  <si>
    <t>Très moyen Des écouteurs pas exceptionnel, on reçois une boîte noter Tw40 comme la majorité des copies dairpods, après le design ne s'en rapproche pas trop ce sont des Intra-auriculaires, il font assez cheap, le son est médiocre mais audible, autonomie de 3h20 pour ma part ce qui est correct, certifié son HD à activé dans le Bluetooth suivant le smartphones pour le prix on trouve mieux de plus les photos promo donne des infos différentes des infos trouver sur la boîte !!</t>
  </si>
  <si>
    <t>Fonctionne bien connection parfaite son pas extra</t>
  </si>
  <si>
    <t>Très bien Très belles baskets. Cependant, aux premières marches, les anneaux des lacets laissent des traces noires assez difficiles à enlever. Malgré tout, elles sont plus faciles à nettoyer que des converses en tissu !</t>
  </si>
  <si>
    <t>Conforme adapté Très jolie on verra Avec le temps  . Une vraie pantoufle  . En noir en rouge superbe</t>
  </si>
  <si>
    <t>Un bon produit J’ai acheté ce réveil pour remplacer mon actuel réveil. Le son est très bon et le réveil «&amp;nbsp;luminosité&amp;nbsp;» est vraiment intéressant.</t>
  </si>
  <si>
    <t>Super bébé Offert a ma fille qui attend un bébé</t>
  </si>
  <si>
    <t>Tres bien Très sympa, confortable</t>
  </si>
  <si>
    <t>élégant produit Pour le traitement de l'acné des ados.</t>
  </si>
  <si>
    <t>CARTOUCHE POUR EPSON Bonjour, je possède une epson XP-315. Je suis hyper satisfaite de ces cartouches. Impression super (meilleure qu'avec les cartouches ""compatibles" achetées dans le commerce et qui coûtent beaucoup plus cher. Comme certaines personnes l'ont précisé il faut effectivement valider le fait que ce ne sont pas des cartouches EPSON (une gentille carte pour nous remercier de notre achat et nous en informer est jointe dans le colis), il faut également nettoyer les buses et aligner les têtes (peu de chose à faire lorsque l'on voit le résultat). Impression nette, propre. Que du bonheur. Je RECOMMANDE VIVEMENT CE PRODUIT  qui en plus est livré à la date prévue. TOUT EST PARFAIT. MERCI</t>
  </si>
  <si>
    <t>Bon rapport qualité prix Parfait pour le sport</t>
  </si>
  <si>
    <t>un tee-shirt basique comme toutes les ados, mes filles sont dans la tendance "LEVIS", donc je leur ai acheté ce tee-shirt basique, et ells en sont très satisfaites. La taille indiquée est correcte.</t>
  </si>
  <si>
    <t>Génial Enfin je pense avoir trouvé un vraie gommage fin délicatement parfumé et qui laisse la peau vraiment douce je le recommande  très bon rapport qualité prix</t>
  </si>
  <si>
    <t>Une idée cadeau facile Un cadeau facile à faire, la boite étant aussi assez élégante. Après, personnellement, je trouve le design un peu vieillot mais chacun ses gouts. Bref, le bijoux est sympathique, mais ça reste du toc. A conseiller, pour le prix !</t>
  </si>
  <si>
    <t>Colle très bien Colle très bien, superglue quoi ...</t>
  </si>
  <si>
    <t>Très jolies et originales Satisfaite</t>
  </si>
  <si>
    <t>rapidité papier excellent à l'impression, Nickel!</t>
  </si>
  <si>
    <t>Taille idéale pour un enfant / collégien Acheté pour un enfant de 11ans cette sacoche eastpak est de bonne taille. Bon produit rien à redire</t>
  </si>
  <si>
    <t>Très bien Très pratique. Ne s’abime Pas aussi vite que les autres marques La ventouse est un plus</t>
  </si>
  <si>
    <t>chaussettes Très bon produit agréables à porter. Quand on à rien à reprocher au produit, on a pas grand chose à dire. Merci.</t>
  </si>
  <si>
    <t>Mauvaise Qualité Au départ, j'étais très content. Très belle présentation, de bonne facture, taille nickel. Mais voilà, très rapidement, la chaussure ((partie en cuir) se coupe au niveau de la jointure avec la semelle, sur le côté. Donc mauvaise qualité. Je suis déçu.</t>
  </si>
  <si>
    <t>Très mauvaise qualité J'utilise quotidiennement &amp;amp; depuis des années ce type de baskets en toile, toujours payées aux alentours de 20€, elles durent en général 4/5 mois. Première fois que je choisi ce modèle &amp;amp; au bout d'à peine 1 mois &amp;amp; demi, semelle percée, toile déchirée au niveau du talon, bref, très mauvaise qualité, ces baskets ne valent pas le prix demandé.</t>
  </si>
  <si>
    <t>Il s'usent très repidement Il s'usent très repidement</t>
  </si>
  <si>
    <t>Pas terrible Dommage ne correspond pas réellement à la taille</t>
  </si>
  <si>
    <t>top article bien adapté. conforme à la photo. J"ai pris taille habituelle et parfait. Je l'ai testé en salle de sport et parfait maintien et qui plus ai très joli et original article. Je pense en acheter un second de couleur différentes</t>
  </si>
  <si>
    <t>Amusant à défaut d'autre chose Ce masque noir se pose facilement sur le visage, avec des trous prévus pour le nez, la bouche et les yeux. Effet garanti ! Il est agréable à porter, pendant les 15 minutes recommandées. On l'enlève facilement et il ne reste plus qu'à essuyer son visage. Seul bémol, de taille, ma peau tiraillait terriblement après et j'ai dû me badigeonner de crème hydratante. Mais peut-être que c'est normal.</t>
  </si>
  <si>
    <t>Câble de bonne qualité Je me sers de ce câble pour relier ma carte son au ampli des casques. C est très bien du bon son, pas de problème.</t>
  </si>
  <si>
    <t>pas mal Montre sympa  eut égard à son prix modeste. Néanmoins les fonctions boussole et thermomètre me semblent un peu aléatoire. Ca reste une bonne montre</t>
  </si>
  <si>
    <t>Top Tip top</t>
  </si>
  <si>
    <t>5/5 Superbe!!! Superbe élégant raffiné... c’était un cadeau, franchement il a fait son effet. Je l’aurais même bien gardé pour moi 😉 Rapport qualité prix au top. Les filles foncé!!!!</t>
  </si>
  <si>
    <t>Très joli Joli bracelet je le recommande fortement surtout pour les poignées fin</t>
  </si>
  <si>
    <t>Les écouteurs sont bien Ils s'adaptent parfaitement à l'oreille et la qualité du son est très bonne, presque aucune perte de qualité. Il a un bouton avec lequel vous pouvez utiliser votre téléphone portable, recevoir des appels. Qualité sonore et ajustement au pair, s'adapte à l'oreille et ne se détache pas facilement. Bien sûr, pour le prix, vous ne pouvez vraiment pas vous tromper.</t>
  </si>
  <si>
    <t>quel douceur tres satisfaite,encore etonnee par le prix j'en recommanderai tres bon produit</t>
  </si>
  <si>
    <t>Très bien Très bon produit. Excellente communication avec le vendeur . Je n'ai pas encore utilisé toutes les huiles achetées , mais très prometteur car celles utilisées donnent de bon résultats. Merci</t>
  </si>
  <si>
    <t>Très beau produit Pour offrir Bracelet conforme produit très bien fini livré dans une très belle boîte</t>
  </si>
  <si>
    <t>très bon rapport qualité prix Je suis entièrement satisfaite de cet achat.</t>
  </si>
  <si>
    <t>Très grande autonomie Facile d’utilisation très grande autonomie Design et étanche à la pluie</t>
  </si>
  <si>
    <t>Bon rapport qualité/ prix Je suis déçue de l'impression en couleur de photo. Pour autant cest un excellent produit je le recommande</t>
  </si>
  <si>
    <t>Très,bon rapport qualité prix ,satisfait Très satisfait ,prix très raisonnable Bonne qualité,facile d utilisation Je le recommanderais Virement à une autre personne Et la conseillèrais</t>
  </si>
  <si>
    <t>Rien Je acheté pour mon fils ces pratiques pour mettre son et sa carte  de  collège</t>
  </si>
  <si>
    <t>Chouettes Converse Converse... quoi</t>
  </si>
  <si>
    <t>tout a été bien j'ai acheté cet article pour faire un cadeau - timing impeccable - la personne a été très heureuse de ce cadeau</t>
  </si>
  <si>
    <t>Top Aucun risque. Elles sont très jolies comme sur les photos</t>
  </si>
  <si>
    <t>Cher Peu épais</t>
  </si>
  <si>
    <t>Nul ! J'ai commander une paire en 39/40 j'ai reçu une premier paire en 37/38 !!! Donc le temps que le remboursement de la premier se fasse j'ai recommander une taille 39 et j'ai une deuxième fois reçu une taille 37/38 !!!! Je suis très très déçu !!!!!!</t>
  </si>
  <si>
    <t>Pas conforme à la photo. Hyper déçue ! marqué mélange de coton?et bien non !coton et polyester,pas du tout conforme je ne recommande pas</t>
  </si>
  <si>
    <t>Beaucoup d'ingrédients, mais assez "propre" et efficace Je me méfie toujours des produits avec une liste d'ingrédients assez importante et vérifie les éléments constitutifs sur la toile. Ici nous avons certes beaucoup d'ingrédients, mais je n'en ai pas trouvé un seul qui puisse m'alarmer.  C'est un tissus où les yeux la bouche, le nez sont découpés (a ajuster donc selon votre morphologie). Il est totalement imprégné de la solution au charbon végétal (un conseil, lors de l"ouverture du l"emballage, faites le proprement et vous pourrez l'utiliser une deuxième foi le lendemain, tellement il y a de produit dans l'emballage) La pose n'est pas évidente, mais une foi posé le linge tiens très bien en place, vous pouvez vaquer à vos occupations habituelles. Pour le retirer c'est assez simple, il suffit de tirer dessus pour le "décoller" de votre visage.  Le résultat est une peau bien hydratée, pas tendue et les résidus de produit peuvent être éliminés en se lavant à l'eau. La peau est très douce mais rien d'exceptionnel.  Pour son apparente "propreté" du coté des ingrédients, je valide ce produit tout de même assez onéreux.</t>
  </si>
  <si>
    <t>Bien illustré mais mauvais emballage Cette encyclopédie est très bien illustrée pour les petits curieux. Elle apprend beaucoup aux enfants et même aux parents sur divers sujets. Cependant j'ai été déçue par son emballage car il n' y avait pas de film protecteur pour éviter d'abîmer ce livre.</t>
  </si>
  <si>
    <t>Peu corrosif et très économique Un produit qui semble assez assez peu corrosif, et économique si on respecte les doses prescrites. Plutôt impressionné par son fonctionnement en préventif</t>
  </si>
  <si>
    <t>Sweater Impeccable</t>
  </si>
  <si>
    <t>l'heure bien evidemment positif dans l'ensemble mais j'aurai préféré une montre plus légère au poignet</t>
  </si>
  <si>
    <t>Super TRES JOLIES ces boucles ,</t>
  </si>
  <si>
    <t>Pull chat Pull à la bonne taille (déjà rencontrer des problèmes niveau taille en vêtement sur Amazon) dessin conforme tissu au toucher vraiment très doux, c est un cadeau pour ma mère qui adore les chats et elle en est vraiment très ravie</t>
  </si>
  <si>
    <t>J adore Ce produit est top. Il est confortable et joli. C est ma deuxieme commande car un seul ne me suffit pas. J en ai commandé 3 autres 😁. Pour info j ai suivi les conseils taille poids. J ai pris taille L, habituellement je prend du M. Parfait, je recommande</t>
  </si>
  <si>
    <t>problème de pages blanches résolu!! il y a quelques minutes j'ai écrit un commentaire décevant. Mais j'avais lu un commentaire ou une proposition pour quelqu'un qui avait presque le même problème que le mien: après changement de cartouches, pages blanches sortaient. Quelqu'un avait dit qu'il avait réussi à résoudre ce problème en trempant la tête des cartouches dans de l'eau chaude, puis essuyer, puis réinstaller les cartouches. Je me méfiais de cette proposition, mais en dernier recours, j'ai essayé cela aussi, d'abord, pour plusieurs fois l'imprimante ne reconnaissait plus les cartouches (celles-ci sur amazon), j'ai essuyé bien les têtes, j'ai ébranlais les cartouches plusieurs fois, et laissé pour quelques minutes, cette fois, j'ai vu que l'imprimante reconnaissaient les cartouches sauf la rose, j'ai essuyé bien celle-ci, quand je l'ai réinstallé, sur l'écran son image est apparue, cela veut dire que l'imprimante l'a reconnue. Ensuite, j'ai envoyé une page à l'impression, elle est sortie avec un texte dessus, surpris, déjà c'est bien que le syndrome de pages blanches est résolu, il reste les barres blanches dans le texte!! le tout premier problème que j'avais, et que je n'ai pas pu le résoudre, malgré une vingtaine de fois de nettoyage, suivre les instructions. En tout cas, je suis déçu pour Epson, plus tard, si j'ai un budget suffisant, j'essayerais ma chance avec HP Laser Pro.</t>
  </si>
  <si>
    <t>Parfait J'ai commencé à utilisé l'huile anti-vergeture de Weleda à partir du 4ème mois de grossesse, en alternant avec de l'huile d'argan bio. A quelques jours du terme, je confirme: je n'ai eu aucune vergeture ! Elle sent très bon, laisse la peau douce et est compatible avec les échographies. Je conseille et j'en rachèterai pour une future grossesse !</t>
  </si>
  <si>
    <t>Très bonne qualité. Très bonnes tongs,confortables,tiennent bien aux pieds,de très bonne qualité avec des semelles bien épaisses. Super.</t>
  </si>
  <si>
    <t>Super écouteur true wireless je pux que les recommandés J'ai acheté ces écouteurs pour remplacer toutes les M****es chinoises que j'ai achetées qui tiennent pas la charges ou qui lâches en peu de temps. Ces Jabra Elite 65t que j'ai acheté reconditionné sont top, autonomie de 5h a 5h30 environ. Très bon confort dans l'oreille malgré quelques commentaires que j'ai lu ne font pas mal. Ils sont léger par contre mettre le bon embout adapté a votre oreille pour un meilleur maintiens et un meilleur confort.  Le son est au top peut être il manque un peu d'aigus mais cela ne me pose aucun problème. Si vous cherché des écouteurs true wireless prenez cela en promo ou reconditionné si vous le pouvez car le prix est un peu cher.</t>
  </si>
  <si>
    <t>Très efficace Très bon produit. J'avais le cuir chevelu et les cheveux qui regraissaient très vite et de fortes démangeaisons au crâne qui revenaient tous les deux jours. Après la première utilisation de cette brosse on une sensation de propreté du cuir chevelu. Celui-ci ne regraisse plus aussi vite et disparition des démangeaisons. Excellent produit pour ceux qui ont un cuir chevelu très sensible !!</t>
  </si>
  <si>
    <t>Correct. Rapport q/p très intéressant Câble utilisé pour ajouter 4 enceintes Atmos donc pas sur des enceintes principales et pas sollicité en permanence. Qualité très correcte pour le prix.</t>
  </si>
  <si>
    <t>Casque bluetooth sans fil Je suis content de cet achat, casque très confortable, joli et facile d'utilisation. Une fois qu'on l'a connecté à un appariel à la prochaine utilisation il s'y reconnecte automatiquement. Excellent casque, belle finition matériaux de qualité il est léger à porter et confortable le son et top. Je recommande ce produit</t>
  </si>
  <si>
    <t>Incroyable! J'avais besoin d'un casque Bluetooth, mais je ne voulais pas dépenser beaucoup d'argent, j'ai eu une agréable surprise, bien construit, un beau design, ils s'intègrent parfaitement et ne bougent pas, avec une bonne autonomie.</t>
  </si>
  <si>
    <t>🆗 C'est bien</t>
  </si>
  <si>
    <t>Bonne qualité Biberons appréciés par mon bébé, au niveau maniement ainsi que pour l'effet anti-colique. Design sympa Prix abordable Pour le nettoyage, pensez à dévisser toutes les parties</t>
  </si>
  <si>
    <t>Léger &amp;amp; performant. Produit tien bien à l oreille, le son est de bonne qualité</t>
  </si>
  <si>
    <t>Classiques et intemporelles J'adore ces chaussures. Belles, confortables et livrées avec 2 couleurs de lacets au choix. Au top.</t>
  </si>
  <si>
    <t>Parfait Il fallait des chaussettes à mon mari pour aller au travail (chaussures de sécurité), ce lot est parfait, tient bien aux pieds et confprtable, tout à fait ce que je voulais</t>
  </si>
  <si>
    <t>Bon rapport qualité prix C'est la deuxième fois que j'achète ce produit. Confortable et robuste,  je les portes régulièrement en ville. Je recommande ces chaussures.</t>
  </si>
  <si>
    <t>2 tailles au dessus de là vôtre ça devrait aller Le produit est sympa.mais problème avec la pointure.prevoir 2 tailles au dessus</t>
  </si>
  <si>
    <t>A fuir Mon père a fini à l hôpital car ces chaussures sont très glissantes...</t>
  </si>
  <si>
    <t>Mauvais, fragile et mal pensé Déçu par cet achat. Casques fragiles, trop fragile. Mise sur socle de rechargement complètement mal conçu. En un mot c est de la camelote !! A éviter</t>
  </si>
  <si>
    <t>Bien regarder l emplacement des lacets E n ai pas aime les lacets sur la tranche du chaussant... Tres inconfortable et inesthetique a mon gout. Regardez bien avant de commander.</t>
  </si>
  <si>
    <t>j'ai connu mieux comme qualité la pochette cartonnée était abimée ;une feuille s'est pliée au passage à la plastifieuse parce que trop souple;en bref ,j'ai connu mieux !</t>
  </si>
  <si>
    <t>Bien, mais avec un petit bemol Très bonne oreillette avec une énorme autonomie une ergonomie satisfaisante, j'en suis satisfait malgré  le grand défaut : il faut bien choisir l'embout car quand on choisit le bon embout l'oreille est vraiment isolé et on peut profiter de toute la qualité sonore. Le bémol c'est que avec le bon embout on entend plus les sons extérieurs et même si cette oreillette est fourni d'une fonction qui permet d'écouter les sons extérieur à travers des micro, mais c'est plutôt gênant plus que utile ! donc j'ai choisi un embout de taille inférieure pour pouvoir entendre les sons extérieur mais la tenue dans l'oreille et moins bonne et pour faire du sport ce n'est pas l'idéal car elle peut tomber.</t>
  </si>
  <si>
    <t>Satisfaisant Produit qui rempli ses fonctions de chauffe biberons et de stérilisation (je n’ai jamais stérilisé des biberons mais ma pompe à lait maternel)</t>
  </si>
  <si>
    <t>Sublime montre Magnifique montre quasi tout fonction. Je l'ai acheté car elle se met à l'heure toute seule et qu'elle est solaire. Elle est autonome, ce qui change des autres montres "ordinaires".4  Je mets uniquement 4 étoiles car je la trouve petite. Je m'attendais à avoir une montre plus grande en l'achetant</t>
  </si>
  <si>
    <t>Au top J’adore la couverture ! Elle chauffe super vite et il y a plusieurs réglages de température... Elle est très douce et très agréable au toucher . Je recommande pour les soirées hivernales ....</t>
  </si>
  <si>
    <t>Taille très grande super sweat, tiens très chaud malheureusement je l'ai renvoyé car attention "taille américaine" donc renvoyer, j'ai commander la taille en dessous, L (US)=XL( FR)</t>
  </si>
  <si>
    <t>génial cadeau pour ma fille ,arrivé avant la date prévue j'ai eu des clous d'oreilles en supplément j'en suis ravie, la parure est  très jolie et conforme à la description bon rapport qualité prix</t>
  </si>
  <si>
    <t>Satisfait Très bon fauteuil de massage Cadeau pour les parents Peut être placé sur une chaise ou sur un canapé en plus 1 adaptateur fourni pour  voiture . Massage épaules+ masse tout le dos .massage chauffantes&amp;nbsp; ，par vibrations de 3 vitesses  . La partie de la dos  il  monter et descendre très confortable Toute la personne est beaucoup plus à l'aise, les parents l'aiment beaucoup. Fonction arrêt automatique au bout de 15 minutes La livraison est également rapide, emballé Merci</t>
  </si>
  <si>
    <t>Bon produit Le produit correspond aux attentes et a été livré dans les délais. Je l'ai utilisé sur des bottes d'hiver et ça fait plutôt bien son travail, de plus la qualité semble être au rendez-vous... Je recommande !</t>
  </si>
  <si>
    <t>Belle qualité  coton bio Bon produit belle couleurs confortable  le recommande vivement</t>
  </si>
  <si>
    <t>très bien Calculatrice facile d'utilisation, solide. Elle a des piles et en plus est solaire. Ma fille qui est en 3ème l'a préféré à d'autres modèles qui sont pourtant dans la gamme "collège". Je recommande.</t>
  </si>
  <si>
    <t>Superbes !! les écouteurs son de bonne qualité , le son est bon , agréable a l oreille, Ils s'adaptent très bien à mes oreilles. en environnement bruyant le son est assez puissant.</t>
  </si>
  <si>
    <t>Elegant Fidèle à la photo. Élégant raffiné et simple à la fois. Collier et pendentif en argent. Conforme à la description du vendeur. Reçu dans sa boîte de rangement avec le chiffon nécessaire au nettoyage du pendentif.</t>
  </si>
  <si>
    <t>très bon produit Très bon produit bonne qualité emballage parfait,les critères correspond bien a ceux du site. très bien taillé.Lavage facile.Tissu de bonne qualité</t>
  </si>
  <si>
    <t>Confortables, valent largement leur prix Adaptées aux basses températures, elles sont très confortables, semblent bien évacuer la transpiration, et même en ayant eu un peu de neige dans mes chaussures, je n'ai pas senti mes pieds mouiller. Pour des températures extrêmes de -20°C à -30°C, j'avais cependant quand même froid.</t>
  </si>
  <si>
    <t>Au top.... Finition parfaite et hyper confortable....</t>
  </si>
  <si>
    <t>Parfait Le seul biberon dont mon bébé à voulu. Facile à nettoyer</t>
  </si>
  <si>
    <t>Le micro que je chercher !! C'est le meilleur micro que je cherchais Je suis extrêmement épaté dû micro Pour son prix , cela le mérite Attention si vous acheter le micro sans bras cela ne fais pas de mal mais... vous avez un trépied avec et si vous le mettez sur votre et que vous mettez des coups dans votres micro ou autres cela va faire beaucoup de bruit dans le micro etc Moi je suis gamer en tout genre , je stream et fais des vidéos , bref, ces pour sa que j'ai pris ce micro , Il est cocu aussi pour chanter mais je vous recommande t'acheter Le Bras (rode PSA1) Le micro comporte: le micro (bien sur), un trépied et un filtre anti pop</t>
  </si>
  <si>
    <t>Cartouche HP noire parfaite Parfaite pour mon imprimante hp 2630. Elle va parfaitement dedans. Et pour les gens qui se demandent ces cartouches sont bien des cartouches normales qui ne font pas partie du programme hp instant ink vous pouvez donc imprimer vos pages sans que les ela soit décompté dans votre forfait instant ink.</t>
  </si>
  <si>
    <t>Déçue Les chaussures avaient l'air déjà portées par quelqu'un. Je pars en vacances à partir de demain sinon je les aurais retourner car la qualitée était vraiment pas à la hauteur</t>
  </si>
  <si>
    <t>L’encre est déjà sèche au bout de moins d’un mois... Je ne rachèterai jamais, la couleur ne fonctionne déjà plus au bout de moins d’un mois après avoir imprimé moins de 10 pages, du f... de gueule ... je devrais la retourner C’est toujours le problème avec les cartouches jet d’encre, mais là on dépasse les limites</t>
  </si>
  <si>
    <t>Diesel tu paies la marque Belle montre pour les bling bling man</t>
  </si>
  <si>
    <t>bonne chaussures mais... Confortable comme souvent avec cette marque. rien à redire mis à part les lacets. ils se défont tout seul même en serrant comme un malade et trop courts pour faire un double nœud donc je changerais les lacets très rapidement</t>
  </si>
  <si>
    <t>très efficace dans les placards, pour ce qui est stocké à la cave... plus d'eau à vider (comme chez Rubson), pas de fuites, pas d'odeurs et une bonne efficacité... ces petits sachets sont parfaits pour lutter contre l'humidité! Seul bémol: leur faible contenance.</t>
  </si>
  <si>
    <t>le massage très bon produit . je viens de l'essayer.la télécommande me parait un peu fragile. livraison en retard pais ca valait le coup d'attendre</t>
  </si>
  <si>
    <t>Exellent Bonne article</t>
  </si>
  <si>
    <t>pour les bébés actifs ces biberons costauds, de bonne contenance, DODIE biberons anti colique Sensation+ 330ml FUSHIA CYGNES +6 mois tétine plate débit 3 - lot de 2, prennent le relais des biberons nouveau-nés et peuvent déjà être utilisés pas les bébés les plus alertes et ceux qui tiennent déjà leur biberon en main! à dix mois, j'en connais qui tiennent bien en main leur biberon et à qui on ne le leur reprend pas facilement! ces biberons ont l'avantage d'être solides aussi en cas de chute depuis la chaise haute!</t>
  </si>
  <si>
    <t>problème de taille j avais commander du 38 mais c'est trop petit il faut une taille de plus sinon qualité correct</t>
  </si>
  <si>
    <t>Repose poignet/tapis de souris Ce modèle est parfait : l'enveloppe du gel faite d'une sorte de tissu est infiniment plus agréable au toucher que le plastique que j'avais auparavant.</t>
  </si>
  <si>
    <t>Excellent Très vivement conseillé pour les professionnels, on arrive bien à distinguer chaque son, chaque canal (gauche, droite, centre), etc. Bref, tout ça pour dire qu'il est génial.</t>
  </si>
  <si>
    <t>excellent produit bonne lisibilité , réception signal mise à l'heure sans soucis , légère</t>
  </si>
  <si>
    <t>Super produit pas cher je suis contente de mon achat Super produit bonne qualité prix arrive à temps je le recommande</t>
  </si>
  <si>
    <t>GENIAL Belle design, cuir bracelet parfait, taille normale...par conséquent, je recommande!</t>
  </si>
  <si>
    <t>Super article Parfait</t>
  </si>
  <si>
    <t>Choquer .. dans le bon sens Etant en location et ne voulant pas m'aventurer a percer le mur pour ensuite le reboucher lorsque je quitte l'appartement, j'ai décider, après lecture de la plupart des avis et test sur internet, d'opter pour ce scotch surpuissant.  Ma compagne n'était pas très emballer car c'était pour fixer un grand miroir, de mon côté j'étais un peu plus confiant.  Finalement, le miroir fut fixé en 5 minutes chrono,j'ai pris les mesures du miroir puis coller le scotch sur le mur, et ensuite positionner le miroir, et voila le résultat ( voir photos, sur la photo 2 on voit que le miroir est quasi à fleur du mur ) . Satisfait du résultat, en espérant que ça tienne, je mettrai à jour mon commentaire pour tenir au courant :)</t>
  </si>
  <si>
    <t>Top Vraiment de très bonne qualité génial cool sport brancher à la fois pour 57 € une très bonne affaire</t>
  </si>
  <si>
    <t>Idéal !!! Idéal pour les week-ends dans la famille, se range facilement et ne prend pas beaucoup de place</t>
  </si>
  <si>
    <t>L huile Très bien mais pas encore essayé</t>
  </si>
  <si>
    <t>Parfait!! Produit conforme au descriptif, livré très rapidement. Je suis satisfaite</t>
  </si>
  <si>
    <t>Entre histoire et aventure La série est passionnante ! C'est le 2nd que je commande et c'est un succès. J'ai également commandé le feuilleton d'Ulysse.... La série est à découvrir !  Pour petits et grands !</t>
  </si>
  <si>
    <t>Bien Cet écouteur est claire et c’est confortable pour utiliser.</t>
  </si>
  <si>
    <t>Dommage Belle chaussures confortable et bien faites , helas chausse trop grand , retour amazon le modele en 40 etant de 30% plus cher , ca n'est plus une affaire .</t>
  </si>
  <si>
    <t>Cartouche imprimante photo Très bon produit. Conforme à la photo et à mon attente. Tres heureuse de pouvoir imprimer mes photos. Préférés depuis mon imprimante. Envoie très rapide et soigner</t>
  </si>
  <si>
    <t>bof déçue de ces tshirts, ils ne sont pas assez cintrés à mon goût et ils taillent grand je trouve, je fais un 44, j'ai pris du L et je flotte dedans (j'ai une taille marquée ceci dit). De puis, après un premier lavage à 30 en machine, ils ont déjà bougé, des fils qui pendent et une forme plus tout à fait symétrique</t>
  </si>
  <si>
    <t>R. A. S Très mauvaise coupe</t>
  </si>
  <si>
    <t>Mauvaise qualité Très bonne copie du modèle original. A première vue rien à dire, à l'usage c'est autre chose. Le micro n'a marché qu'une fois et les boutons pour régler le son ne marchent plus au bout de une semaine d'utilisation. Le son est néanmoins correct mais je reste très déçue de mon achat.</t>
  </si>
  <si>
    <t>Appareil massant confortable Appareil massant confortable et fonction chauffante incluse. Soulage les douleurs lombaires ainsi musculaires au niveau des épaules cependant a ne pas utiliser sur des longues periodes car il devient inconfortable.</t>
  </si>
  <si>
    <t>Trop petit Taille petit</t>
  </si>
  <si>
    <t>LA converse basse J'aurais pu mettre toutes les étoiles tellement j'aime ce modèle depuis 3 décennies, mais il y a un bémol : pas de demi pointure et la taille parfaite pour moi serait 38 et demi... mais la couleur bordeaux est magnifique pour cet automne !</t>
  </si>
  <si>
    <t>masseur ikeepi contente d avoir recu mon masseur. il fonctionne bien  lourd en main mais bon !  je regrette qu il n y ai pas d explication sur "quel embout pour quel utilisation ... j ai chercher sur you tube mais pas grand chose juste des gens qui déballent le produit ! a utiliser regulièrement</t>
  </si>
  <si>
    <t>Bon produit Bonne dimension, relativement solide (même si c'est le deuxième que j'achète, le précédent a duré 3 ans, à cause d'une fissure sur les pliures). Le seul reproche (d'où les 4 étoiles) : je trouve que la carte grise n’est pas facile à mettre (il y a 3 volets, et seulement deux fentes d'ouverture pour l'insérer, croyez-moi, c'est pas évident une fois arrivé à l'étape "insérer le 3e volet").</t>
  </si>
  <si>
    <t>Bon produit Très bien. Utiliser pendant les 6 premiers mois de les jumeaux. Aucune panne, fonctionne encore mais nous ne l'utilisons plus. Une fois que  bébé  met les mains à la bouche ça ne sert plus à grand chose. On peut mettre 6 grands biberons (les MAM 320ml rentrent). Pris en remplacement d'un stérisateur micro-onde qui d'une ne rentrait pas dans mon micro-onde (c'est balo lol) et de deux les grands biberons ne rentraient pas dedans. Avec un stérisateur indépendant on évite ce genre de déconvenue même si j'aurais dû vérifier les dimensions avant... Niveau entretien il faut détartrer de temps en temps le réceptacle où on mets l'eau : vinaigre blanc toute une nuit et on nettoie avec une éponge grattante. Ça part plutôt bien et si jamais il reste encore un peu de tartre une deuxième nuit et le produit est comme neuf. Stérilisation rapide (moins de 10 minutes) mais faut laisser refroidir pour éviter de se brûler. Même si la stérilisation n'est plus précaunisée personnellement ça me rassurait. Évitez de mettre les doseurs Doliprane nourrissons dedans par contre ça n'apprécie pas d'être stérilisé ces choses là !</t>
  </si>
  <si>
    <t>Au top ! Je ne suis pas un grand marcheur mais je fais régulièrement trajets entre 8 et 15kms. J'avais souvent des douleurs sur les côtés ou sous la plante des pieds dès que je dépassais les 6 ou 7 kms avec des chaussettes basiques. J'ai acheté une première paire de Danish Endurance que j'ai testé le we dernier sur 10kms, résultat aucune douleurs. J'ai commandé dans la foulée un lot de 3 paires supplémentaires car je pars en mars pour un voyage qui doit me faire enchainer des petites randos chaque jour. Je pense que je serai dans les meilleures conditions avec ces chaussettes  :o)</t>
  </si>
  <si>
    <t>yves65 RAS</t>
  </si>
  <si>
    <t>Très bon matériel, bon son et ne tombe pas au sport Notice en français donc prise en main facile. Écouteurs tiennent bien, le son est très satisfaisant et le mode tactile pour utiliser le son j’adore... la boîte est compacte et solide et les écouteurs rapides à la charge.. en faisant mon footing ils ne tombent pas.</t>
  </si>
  <si>
    <t>câble 2.5 mm super produit de très bonne facture et quelle différence hallucinant bravo!!!!! ne pas avoir la moindre hésitation vos oreille vous remercierons</t>
  </si>
  <si>
    <t>Grande capacité de rangement Ce sac à une très grande capacité de rangement avec ces nombreuses poches. L'ipad y rentre facilement, livre, papiers. Sac conforme à la photo, couleur kaki très sympa.</t>
  </si>
  <si>
    <t>Fonctionne parfaitement Fonctionne parfaitement</t>
  </si>
  <si>
    <t>Top Produit conforme, beau rendu</t>
  </si>
  <si>
    <t>Très bon double face A conseiller, le meilleur double face que j'ai pu avoir. Très résistant, colle sur tous support et se décolle avec une peu de chaleur.</t>
  </si>
  <si>
    <t>Cartouche 301 HP noir et couleur Produit conforme à la description et à la photo. Cartouches d'encre d'origines reconnus par mon imprimante tel qu'elles. Environs 170 impressions chacune ce qu'ils disent souvent. petit emballage vert à l'intérieur si vous avez l'esprit environnemental pour le renvoie de la vielle cartouche et gratuitement déjà affranchie.  Le prix est correct par rapport à d'autre vendeur dans d'autre enseignes.</t>
  </si>
  <si>
    <t>Bonne qualité Massage parfait, decoince les points durs, on se sent bien après seulement 15 minutes de massage, à recommander</t>
  </si>
  <si>
    <t>Bonjour je conseille cette achat Super achat il est très agréable léger franchement j’adore je conseille cette article</t>
  </si>
  <si>
    <t>niquel cette pochette est très solide, pratique, petit, transportable, passe partout. On peut la mettre sous un pull elle est discrète.</t>
  </si>
  <si>
    <t>Salut excellents écouteurs 🎧 Pour une fois je suis clairement fier de mon achat et c’est pas des fleurs que je balance sur ce produit car il mérite toute ce que je dis sur lui. Il est super bien fonctionnel et facile à utiliser, confortable aux oreilles, il ne décroche pas quand je fais du sport 🏋️‍♂️ le son est très net et rend la music encore plus belle , utilise pour répondre aux appels, esthétique bien réfléchi. Bref c’est mon coups de cœur de ce mois 💓</t>
  </si>
  <si>
    <t>Pratique le gros réservoir Je conseille pour une pièce assez grande, avec son gros réservoir il y a de quoi faire et avec la lumière qu'il propage ça fait joli</t>
  </si>
  <si>
    <t>nul très mauvais il faut hurlé pour que cela marche même avec l'alimentation fantôme</t>
  </si>
  <si>
    <t>Déçu les bouts des chaussures sont abîmés Produit abimé</t>
  </si>
  <si>
    <t>ce n'est pas solide il est tenu 2 mois</t>
  </si>
  <si>
    <t>Peu mieux faire Pas super intéressant mais bonne fabrication</t>
  </si>
  <si>
    <t>Durée de vie trop réduite Parfaites pour mon pied (pointure 46), j'ai eu la désagréable surprise qu'elles se trouent très rapidement. Je ne sais pas d'où ça vient. Un lot défectueux, une pointure un peu trop petite ? Un trou se fait à la couture au niveau de la cheville.</t>
  </si>
  <si>
    <t>Ecouteurs intra-auriculaires Samsung Franchement, pour le prix, pourquoi se priver !!</t>
  </si>
  <si>
    <t>moyen ce qui m'a attirer sur ce produit c'est qu'il est sans BA, et ça fait 7mois que je l'utilise est je l'a trouve très solide car ses poil tienne bien le choc. Bref, je recommande ce produit, en plus pour la qualité le prix reste raisonnable.</t>
  </si>
  <si>
    <t>Produit Conforme Produit conforme à la demande. J’ai pris la taille S, je dirais que c’est l’équivalent d’un grand S ou un M, mais ce n’est pas non plus très gênant.</t>
  </si>
  <si>
    <t>T Sa taille très bien chaussures très légères je recommande</t>
  </si>
  <si>
    <t>Le retour des Buffalo ! Ayant connu la mode des buffalo, j'ai voulu racheter la paire de mon adolescence, grande surprise en ouvrant la boite j'avais toujours 38 ans et les chaussures n'ont pas pris une ride ! Toujours agréable à porter quoi qu'un peu lourde vous ne pourrez toujours pas faire de randonnée avec. Bref, en noir elles sont classiques et passent partout, vous pouvez mesdames gagner en cm en les portant.</t>
  </si>
  <si>
    <t>Taille bien super confortable J'adore elle sont superbes ! Super confortable prend rapidement la poussière mais rien de méchant j'en suis fan !</t>
  </si>
  <si>
    <t>Carte amazon Conforme à la demande</t>
  </si>
  <si>
    <t>Magnifique bijoux de qualité à petit prix. Le collier a été livré rapidement dans un belle étui bleu et il correspond complètement à sa description photos.Il est magnifique.Il a fait son effet auprès de mes amies quand je l'ai mis .Je recommande grandement cet article.Le rapport qualité/prix est plus qu'atteint.J'en ai offert un à ma soeur,elle était au ange.C'est bientôt les fêtes.Alors à ce prix là,plus d'hésitation!!!</t>
  </si>
  <si>
    <t>complète et très jolie je l’avais achetée pour ma compagne mais elle est plus grande que je pensais donc je l’ai finalement gardée pour moi. Et je suis bien content ! Non seulement elle est vraiment belle (je préfère les carrées), mais en plus super complète. je ne pensais pas qu’on pouvait retrouver autant de fonction sur une montre. le gros avantage en comparant avec celle d’un ami c’est son bouton sur le côté. Ça permet plus de facilité d’utilisation que sur les montres qui n’ont que l’ecran tactile. Côté fonctions elle a tout ce qui est indiqué : podomètre, analyse du sommeil, ... on peut même appeler et envoyer des sms directement avec la montre en insérant une carte sim. Vraiment le top. Par contre à éviter pour ceux qui ont un iPhone : pas compatible. Je la recommande pour tous les autres.</t>
  </si>
  <si>
    <t>J'adore J'adore!!!! Je ne connaissais pas ce systeme Solidité à voir dans le temps</t>
  </si>
  <si>
    <t>Montre connectée J'ai acheté cette montre pour l offrir. Elle ressemble beaucoup à la montre connecté d'une marque très connue. Elle est vraiment de belle qualité. Se connecte facilement au téléphone (tester sur un iPhone X et un honor 8x).  La personne qui l'a reçu en cadeau en est vraiment très satisfaite. L'utilisation est très simple et s apaire facilement Avec son honor 10. Son grand écran permet de répondre aux appel et SMS sans problème. Ce qu'elle apprécié fortement c est l option Podometre (étant une grande marcheuse) Un cadeau plus que satisfaisant.</t>
  </si>
  <si>
    <t>Oublie Et mon cadeau.</t>
  </si>
  <si>
    <t>TOP Superbes tétines superbe qualité superbes résistantes</t>
  </si>
  <si>
    <t>Parfait Chaussures au top!!</t>
  </si>
  <si>
    <t>Qualité/prix Bien utile pour ne jamais tomber en rade de pierres</t>
  </si>
  <si>
    <t>Écouteurs Bluetooth Écouteur Bluetooth Ces écouteurs sont vraiment pratique et simple d’utilisation. En 2 seconde, vous les appareillez à votre téléphone ou tablette, pour les arrêter, il suffit de les remettre dans la boîte qui les chargent. Et maintenant, dès que vous les utilisez, elles se connectent automatiquement. Rien de plus simple à utiliser. Sans parler de l’autonomie, qui comme indiqué fonctionne plus de 25h sans recharger. Vraiment satisfait de cet achat.</t>
  </si>
  <si>
    <t>Excellent rapport qualité/prix Quelle agréable surprise!! Arrivée avec 3 semaines d'avance, c'est une magnifique bague, très belle pierre et monture très soignée. Je commanderai à nouveau chez ce vendeur pour la qualité de ces bijoux</t>
  </si>
  <si>
    <t>beau livre formidable pour apprendre à lire</t>
  </si>
  <si>
    <t>Pour petites filles Il faut vraiment avoir des poignets de gamine</t>
  </si>
  <si>
    <t>Ce n est pas la marque fruit of the loom Attention ce produit n est pas de la marque fruit of the loom. La marque est JHK SWULKNG. Donc déçue de ce côté. Produit qui est assez petit à la taille. Je ne recommande pas.</t>
  </si>
  <si>
    <t>Ca sert à quelque chose ??? vraiment ??? Ce produit ne sert à rien. J'ai pourtant l'odorat sensible, mais même en imbibant le petit morceau d'éponge d'huile essentielle, en l'accrochant à la grille d'aération de la voiture, l'habitacle ne récupère aucune odeur. Même avec la clim. Bref des sous foutus en l'air. Je ne recommande définitivement pas</t>
  </si>
  <si>
    <t>Generic - Sweat Femme Fille Uni Décontracté Manche... (Bordeau) Bon article quoi que meilleur dans la couleur grise. Le sweat bordeau doit être lavé a part même après (5/6 lavage) car il déteint a chaque lavage. je ne reprendrais plus cette couleur.</t>
  </si>
  <si>
    <t>Taille et couleur conforme Très jolies mix de couleurs - coupe cintrée - taille normal - un peu étroit en bas au niveau des hanches - tissu un peu fin pour les couleurs en gris.... mais très joli et tombe bien. J'en recommande un une taille au dessus pour l'avoir aussi en plus loose.</t>
  </si>
  <si>
    <t>Bonne qualité Bonne montre d'appoint que j'utilise en semaine ou pour faire du sport. Convient pour les personnes ayant un gros poignet. ( ce qui est mon cas, je l'attache au deuxième trou.) Après 6 mois d'utilisation régulière, bracelet et cadran sont comme neufs.</t>
  </si>
  <si>
    <t>El comme dans les photos c'est magnifique Cette procédure île comme dans les photos El  très magnifique</t>
  </si>
  <si>
    <t>Bon prix qualité Juste l’emballage ils auraient dû bien le faire et avoir eu la possibilité de choix de couleurs, mais c’est pas une grande chose. Autrement j’aimw bien la marque Mam!</t>
  </si>
  <si>
    <t>Très bon micro Mon commentaire sera en deux temps, histoire d'éclaircir un minimum la confusion dans certains commentaires : - le micro en lui-même est vendu avec le support qui sert de cage exactement comme sur la photo. La photo ne présente pas le câble permettant de le relier au PC, lequel se met à la base du micro (en dessous, donc). Bien entendu, une fois le micro branché, il ne tient pas debout tout seul, il faudra un pied de micro. Le micro en lui-même offre un son plus que correct, on est dans une gamme de prix assez faible, cependant on a quasiment aucun son parasite et il restitue la voix avec très peu de modification. C'est simple, c'est la première fois qu'en écoutant mon enregistrement j'ai eu la sensation d'entendre une voix équivalente à celle que j'ai ressenti lors de la production. Un micro qui fait le taff, donc, et qui peut satisfaire ceux qui ne veulent pas investir énormément d'argent dans ce matériel.  - deuxième temps, comment utiliser ce micro correctement pour éviter les déconvenues que j'ai pu voir. J'ai commandé ce Bird avec un trépied pour bureau&amp;nbsp;&lt;a data-hook="product-link-linked" class="a-link-normal" href="/ammoon-MS-12-Mini-Pliable/dp/B013U48ZZ4/ref=cm_cr_arp_d_rvw_txt?ie=UTF8"&gt;ammoon MS-12 Mini Pliable&lt;/a&gt;&amp;nbsp;et&amp;nbsp;&lt;a data-hook="product-link-linked" class="a-link-normal" href="/un-filtre-anti-pop-Crenova/dp/B019FB52FW/ref=cm_cr_arp_d_rvw_txt?ie=UTF8"&gt;un filtre anti-pop Crenova&lt;/a&gt;, ce qui a rendu l'ensemble à 80€ (extrêmement correct pour un ensemble micro / pied / filtre). Une fois posé sur le pied, le micro étant un peu lourd, il suffisait d'une légère pression sur le pied pour qu'il bascule. Le filtre anti-pop, en plus de permettre d'enregistrer sa voix avec encore moins de sons parasites, permet d'équilibrer le pied pour peu qu'on le place de l'autre côté pour équilibrer. On a alors un micro efficace, bien placé, sans risque d'accident. Voyez sur la photo histoire d'avoir une idée de la place que ça prend etd'illustrer ce que j'ai expliqué.  En définitive, un produit qui répond à mes attentes (enregistrement pour récitations), qui propose une qualité d'enregistrement plus que convenable, mais qu'il faut, évidemment, accompagner d'accessoires pour un premier achat, afin de profiter pleinement du produit. On peut faire l'économie du filtre (mais à 7€, c'est bon d'en prendre un), mais il faut impérativement un pied de micro (ce qui est normal pour ce produit qui est, à la base, envisagé pour le studio à domicile).</t>
  </si>
  <si>
    <t>Très beau Très beau bracelet</t>
  </si>
  <si>
    <t>Top Fonctionne très bien , pas cher</t>
  </si>
  <si>
    <t>Une bonne qualité de son pour un prix raisonnable Je les utilise depuis plus d'un an maintenant et je ne peux que recommander le produit qui délivre une qualité de son plus que bonne pour le prix affiché qui a encore baissé depuis.  Ils sont particulièrement bons dans les basses comme précisé par Sony. Je n'ai jamais été autant satisfait à l'écoute avec d'autres écouteurs.  Les écouteurs, qui sont toujours dans ma poche et pas toujours très bien traités (2 passages à la lessiveuse par exemple), résistent encore et toujours alors que mes précédentes paires ne duraient jamais plus de 6 mois dans la même gamme de prix. Visuellement j'ai juste la couleur rouge des écouteurs qui commence à s'user et partir depuis 2-3 mois.  Le jour où ils lâchent je rachète une nouvelle paire identique, c'est pas compliqué</t>
  </si>
  <si>
    <t>Alors la je suis bluffée !! Je viens de recevoir le casque JVC, après m'être débattue avec l'emballage ( bien protégé ) direction l'ordi pour un essai son, j'enclenche Talking To Myself de Linkin Park et là ouf !!! quel son !!! avant de l'acheter j'ai lu les différents coms tous positifs ce qui m'a fait dire allez zou je le prends et bien je remercie tout le monde et franchement je recommande ce casque, léger, bonne prise aux oreilles et surtout la qualité du son !!</t>
  </si>
  <si>
    <t>Excellent rapport qualité prix! Montre excellente, beau packaging à l'arrivée, franchement satisfait pour pas cher.</t>
  </si>
  <si>
    <t>On peut mettre plus de 5 étoiles ?! J'en suis à quelques semaines d'utilisation, avant ces 1000XM3 j'utilisais essentiellement un casque Bose le quiet confort en grande partie pour sa capacité à réduction de bruit, la qualité de sa connection Bluetooth et évidemment du son. Le défaut de ce casque c'est la vue qui baisse... Très difficile de chausser un casque avec des lunettes mises pour la lecture.. Et oui avec l'âge outre mes exigences en qualité sonore je suis devenue sévèrement presbyte... Donc trouver un équivalent en terme de qualité, mais en oreillettes, pour pouvoir chausser et retirer mes lunettes en toute liberté à été un petit parcours du combattant... Je pense que c'est chose faite... Pour ne pas patauger et risquer d'être déçu par ces écouteurs, attardez vous de suite sur l'application dédiée Sony headphones connecté. En effet, sans passer par elle vous serez nécessairement déçus, toutes les fonctionnalités et le paramétrage passent par l'application... En particulier elle permet de régler et d'affecter les fonctionnalités des surfaces tactiles de chacun des écouteurs. Elle permet surtout de régler l'equaliseur pour la sortie son et le niveau de réduction de bruit... Une fois maîtrisé les réglages, comme moi, vous vous régalerez ! Ces écouteurs surprennent par leur confort d'utilisation ! En prenant soin de bien choisir vos adaptateurs (il y a 3 tailles et deux types de matières proposées avec vos écouteurs, mousse ou silicone...) n'hésitez pas à utiliser pour chacune de vos oreilles une taille d'adaptateur différent, il est fréquent que votre canal auditif gauche soit plus grand ou plus petit que le droit et inversement... C'est important pour bien profiter du réducteur de bruit... La surprise c'est qu'ils tiennent remarquablement à l'oreille, une fois chaussé ! Avec le bon choix d'adaptateur on oublie presque qu'ils sont sur nos oreilles ! Le son est particulièrement bon ! L'equaliseur performant et personnalisable ! Juste un top... J'ai apprécié les petits plus du type, arrêt lorsque je retire une oreillette... Ou pas en fonction du choix de paramétrage dans l'application... Au niveau autonomie un régal. Avec leur boîte de rangement et  munie d'un connecteur usb C à charge rapide vous êtes tranquille pour un petit bout de temps... Le boîtier est d'autant plus pratique que vous pouvez le poser sur une table à proximité en utilisant sa partie plate... En terme de rapport qualité-prix ce n'est pas le moins cher des dispositifs, mais c'est aussi loin d'être le plus cher... La qualité est vraiment présente avec de belles fonctionnalités. Pour moi le rapport qualité prix est très bon au regard de la qualité du produit. Franchement je suis ravie et je suis rarement aussi enthousiaste sur un produit. J'aurais même voulu pouvoir mettre plus de 5 étoiles si cela avait été possible...</t>
  </si>
  <si>
    <t>Magnifique et brillant bracelet ! Bien emballé je l ai bien reçu, le bracelet est léger, brillant comme la photo, il est superbe en 3 ors,,, en tout cas comme cadeau d anniversaire, ça jette un plaisir perso,,, je recommande !</t>
  </si>
  <si>
    <t>meilleur allume gaz electrique le meilleur système essayé. Recharge sur USB et c'est tout. a voir sur la durée</t>
  </si>
  <si>
    <t>Bonne facture 100 pochettes A4, 80µ (j'ai pas vérifié mais je fais confiance ^^). Elles sont de bonne facture: pas de plis, pas de bulles, pas de décollage, rendu lisse, brillant (du moins sur celles que j'ai utilisées, faudra voir avec le temps mais bon). C'est certifié ImageLast (le logo disparaît à la plastification. Ca convient pour des documents et des photos.  Pour les peintures, dessins ils conseillent du 100µ, pour les certificats/diplomes du 125µ, pour les recettes du 175µ et du 250µ pour la signalisation et autres trucs qu'on va mettre dehors. Pour être honnête, je pense qu'il vaut mieux prendre en compte l'épaisseur de la feuille à plastifier que son utilisation. Plus la feuille sera épaisse plus on prendra gros. J'imprime avec du papier 80g/m² à 120g/m², les feuilles 80µ suffisent.</t>
  </si>
  <si>
    <t>Montre avec des fonctions en plus Sympathique montre qui sert aussi de suivi d activité et qui a toutes les fonctionnalités d une grande : cardio, podomètre, calories, sport,.... Notification pour réception de sms, appel, ... Top quand on ne veut pas quelque chose de trop cher. Elle fonctionne avec une pile, donc pas besoin de la recharger pendant 12 mois environ. Fonctionne comme une vraie montre avec des fonctionnalités en plus. A utiliser avec l application spécifiée dans la notice en français qui permet de suivre son activité et toutes les données collectées par la montre. Elle est par contre très masculine et assez grande, donc particulièrement pour les hommes qui n'ont pas de poignets trop fins.</t>
  </si>
  <si>
    <t>Super Très beau bonne qualité taille bien</t>
  </si>
  <si>
    <t>Très bonne qualité et petit prix J’ai utilisé ce marqueur blanc pour noter le nom de mes sur des petites pancartes acheter sur Amazon, et il est parfait, ça pointe et fine est permet d’écrire parfaitement. Pour l’utiliser il faut appuyer plusieurs fois sur la mine (le faire sur une feuille) jusqu’à ce que l’encre descende. L’encre tient parfaitement en extérieur après qq pluies (testé) , je recommande ce marqueur.</t>
  </si>
  <si>
    <t>Bon produit meme si durée de vie très limitée pour ma part Aux premiers abords, ce casque est génial. Mais il m'a lâché sans raison au bout de 10 mois, pourtant je ne sors jamais de chez moi avec.. je pense que je n'ai pas eu de chance.. Le service après vente très efficace a pu rembourser mon achat ! Très bon service client !</t>
  </si>
  <si>
    <t>Dimensions parfaites ! Je conseille à toutes les mamans d'acheter ce format de biberons dès la naissance de votre enfant ! Car on passe très vite à de grandes doses de lait pour nos petits gloutons ! Ce modèle est super joli pour les petites princesses :) J'adooore et je recommande bien évidemment !</t>
  </si>
  <si>
    <t>Décu Chere pour la qualité du produit... Il y a des marques sur le plastique en plus. Je recommande de passer votre chemin.</t>
  </si>
  <si>
    <t>trop petit taille trop petite a ce qui été commandé</t>
  </si>
  <si>
    <t>Belle montre classique Montre présentant un bon rapport qualité prix. Correspond à la description sur le site. C'est son design sobre et classique qui à provoqué mon achat. Cette montre est précise et dérive très peu, depuis 3 mois je n'ai pas eu à  régler l'heure. Seul défaut qui justifie seulement 3 étoiles: Le cadran d'affichage de la date est beaucoup trop petit!</t>
  </si>
  <si>
    <t>micro très peu puissant, on s'entend très mal, d'autant qu'il y a du soufle...mais envoi très rapide on s'entend très mal, d'autant qu'il y a du soufle...mais envoi très rapide</t>
  </si>
  <si>
    <t>Bon diffuseur Très discret que cela soit en taille ou en bruit. Je ne suis pas très sure que cela soit assez humidifiant pour ma chambre (11m carré) car le niveau d’humidite ne dépasse pas 50% même après deux heures de diffusion. Sinon pour diffusion d’huile essentielle c’est assez efficace. J’utilise de l’huile d’eucalyptus avec, ça sent hyper bon après Je recommande!;)</t>
  </si>
  <si>
    <t>Rapport qualité/prix : très ok ! Contrairement à beaucoup de personne, je n'ai pas eu de mines cassées lors du transport mais la boîte a reçu des chocs. Il y a une légère odeur mais il suffit de laisser la boite ouverte pour qu'elle s'aère. Les couleurs sont grasses voire crémeuses pour certaines teintes, ce qui est bien agréable pour les dégradés. Bien sûr, un nuancier est essentiel car les couleurs ne correspondent pas forcément aux mines-bouts colorés.</t>
  </si>
  <si>
    <t>ça l'air pas mal Reçu 1 jour avant.. Je n'ai pas encore utiliser j'attend le gant kassa pour bien faire le gommage.. mais sinon ça l'air pas mal</t>
  </si>
  <si>
    <t>Basket blanche Conformes à la description mais peu résistante à mon avis elles vont tenir 6 mois. Tout de même satisfaite.</t>
  </si>
  <si>
    <t>Trèsbien Très joli objet. Pratique car il s'arrête quand il n'y a plus d'eau, pas besoin de surveiller.  Je l'utilise pour humidifier l'air pour des plantes. Pas assez de recul pour savoir si elles sont satisfaites, mais moi je le suis.</t>
  </si>
  <si>
    <t>👍🏽 Yoga</t>
  </si>
  <si>
    <t>Très beau micro est très bon sons Ce micro est vraiment génial un super son très beau dising je le recommande</t>
  </si>
  <si>
    <t>le son très bon casque, moi qui suis un peu sourd, j’entends très bien!</t>
  </si>
  <si>
    <t>Excellent Bon prix</t>
  </si>
  <si>
    <t>PARFAITES Belles, originales et des chaussons Satisfaite et enchante. Jolie super originale. Mais surtout des chaussons et ca c est important de nos jours. J ai donne le site Amazon a tout le monde car elles ont eu du succes. Je suis aux anges. Pour la taille prenez la votre elle taille parfaitement</t>
  </si>
  <si>
    <t>Bonne qualité ! Je l'utilise depuis environ 2 semaines et j'en suis très heureux jusqu'à présent. J'en suis très satisfaite ! Je le recommande !</t>
  </si>
  <si>
    <t>EXCELLENT 👍🏼 MES IMPRESSIONS 🗒  〰〰〰〰〰〰〰〰〰〰 📦Contenu Du Colis 🔎 : ➡️1x écouteur Bluetooth ➡️1x boite de rangement ➡️1x câble micro USB 〰〰〰〰〰〰〰〰〰〰〰〰 🗣️ Résumé : J’ai acheté ce produit car je cours régulièrement et mes anciens écouteurs tombait. Ces écouteurs sont livré avec une petite boite très pratique pour les transporter en toute sécurité,l e son est bon. L’appairage est très facile et instantané. La notice en anglais livrée avec est claire et explique bien les fonctions des boutons et des LEDs. La petite "anse" à passer par dessus l'oreille permet aux écouteurs d'être parfaitement maintenus pendant que l'on court et une fois en place, ils ne bouge plus. Aucun risque de les perdre. Je recommande !  📷 Je joins quelques photos afin de vous guider dans l’aperçu réelle du produit en question  ✔️Il s ’agit d’un très bon rapport Qualité prix, dans ce sens Je ne peux que vous le conseiller ! ✅  ✔️Si vous avez aimé ou trouvé mon commentaire utile, indiquez-le-moi en cliquant sur le bouton ci-dessous❗️</t>
  </si>
  <si>
    <t>Super Trop bien la couleur</t>
  </si>
  <si>
    <t>Livraison rapide Arrivée très rapide (1 jour) en très bon état.  Parfaite pour les lycées et les étudiants.</t>
  </si>
  <si>
    <t>Impeccable Superbes baskets que j'ai offertes pour ma cousine pour son anniversaire, elle était ravie, correspond à la photo, conforme :)</t>
  </si>
  <si>
    <t>TRÈS BEAU SAC Cadeau pour mon fils qui avait besoin d'un petit sac pour partir en voyage à l'étranger avec sa classe. Sac résistant, de qualité Eastpak, très pratique pour mettre un porte-feuille, un livre de poche et ses petits achats et le porter en bandoulière sans risquer de le perdre ou se le faire arracher ! Petit compartiment devant pour y mettre les petits objets qu'on ne veut pas égarer (montre, monnaie...). Le modèle bleu denim est "cool" et a fait son effet. Je recommande donc, le prix chez Amazon étant plus intéressant qu'en magasin.</t>
  </si>
  <si>
    <t>Assez grand Chaussons chaussettes confortables. J'ai pris un peu grand par contre, de peur que ça taille petit. Mais ils taillent bien au final. Pas de soucis. Très confortable et agréable. Bien chaud.</t>
  </si>
  <si>
    <t>Conquise Tres bonne qualité du produit Efficacité garantie sans efforts grace à son manche qui tourne à la façon d'un rouleau de station de lavage de voiture En plus c'est rigolo</t>
  </si>
  <si>
    <t>Super ! Ce legging de sport est top ! J'ai pris une taille S et je mesure 1m67 pour 56kg, je fais habituellement du 36 en pantalon (38 si je recherche plus de confort au niveau de la taille), j'ai des jambes assez longues et il me convient parfaitement ! Avant de le recevoir j'étais inquiète au niveau de la "ceinture gainante" car j'ai des douleurs pelviennes et abdominales chroniques, et bien c'est parfait, l'appui au niveau du ventre est "constant", bien reparti et pas trop fort (pas comme un legging à élastique qui appuie beaucoup sur une petite zone). Le tissu est bien élastique, même si c'est très moulant je peux faire absolument tous les mouvements que je veux, le tissu ne souffre absolument pas. Le tissu est bien épais, (et en plus j'ai pris double épaisseur) même très tendu on ne voit pas au travers, on ne devine pas la culotte ou la cellulite dessous (avec certains modeles pas chers très fins on voit tout au travers, même les poils ^^) Je l'ai pris dans 2 couleurs, je suis super contente de ce produit, je le porte pour du Pilates mais il conviendra à n'importe quel sport pour moi. Je recommande à 100%, prenez votre taille habituelle et je vous conseille la double épaisseur.</t>
  </si>
  <si>
    <t>Déçu Le dessus des chaussures se craquellent, donc usure prématurée . Pour le prix c décevant.</t>
  </si>
  <si>
    <t>Attention !!!! Article arrivé cassé qui coule partout !</t>
  </si>
  <si>
    <t>Mauvaise qualitée Mauvaise qualité elle s’est cassé des la premiere fois que je l’ai mise</t>
  </si>
  <si>
    <t>Converse taillent bien mais arrivées avec un défaut Ravie de la livraison plus que rapide et des informations sur le suivi. Par contre au niveau de l'arrière l' inscription est partiellement effacée. Je pars en vacances pour 1 mois je ne pourrais donc pas effectuer un retour c'est vraiment dommage. Vous pouvez constater sur la photo le logo</t>
  </si>
  <si>
    <t>Coffret métallique inadapté Belle montre mais le coffret métallique est inadapté (pour femme) donc à éviter pour un cadeau</t>
  </si>
  <si>
    <t>correct  niveau prix . pas de date de péremption donc a avoir d'avance . c'est un peu comme les rouleaux de papier WC ,c'est quand il y en a plus qu'on s’aperçoit que l'on  doit  en acheter . ne pas hésiter a en acheter , ce sera toujours utile . solide , mais faut pas trop forcer avec les litière des chats , ça reste du plastique . pour les litières des chats je prends des 30 litres  , et met la poubelle dans la coure .</t>
  </si>
  <si>
    <t>montre Casio des montres solides celle-ci c'est pas le cas au niveau de l’éclairage pas le top,pour le réglage j'ai du demander de l'aide car impossible de la régler trop compliquer ,je regrette mon ancien Casio W-735H acheter chez vous j'ai un nouveau bracelet avec compas mais le support est abimé impossible à remettre dommage.</t>
  </si>
  <si>
    <t>Ouais pas mal C'est pratique pour transporter peu de chose sans être pour autant encombré. La sacoche a bonne allure, parfait pour un "baise en ville".  Non sincèrement bien pratique pour modifier son placement, sur le dos lors de la marche, sur le devant dans les transports en commun bondés pour éviter les vols. Pour ma part je pense que c'est un bon produit.</t>
  </si>
  <si>
    <t>Qualité de l article parfait on peux faire mieux</t>
  </si>
  <si>
    <t>Super diffuseur Ma commande est arrivée très rapidement, toute juste reçue l'appareil était déjà en marche, la qualité de fabrication me semble très bien, avec des détails et une finition de bonne facture.  La possibilité de changer les modes de diffusion sont utiles et me permette de gérer comme bon me semble mon appareil, il ne fait pas trop de bruit et on peut facilement changer la couleur de la led, l'imitation bois est bien retranscrite ce qui lui donne un aspect de détente et se fond facilement dans le décor de la pièce.  J'ai des crises d'angoisses et je pense que cela peut m'aider à me relaxer d'avantage.</t>
  </si>
  <si>
    <t>juste au top pour le prix c'est vraiment un beau bracelet!</t>
  </si>
  <si>
    <t>Boucles d'oreilles en argent Ces boucles d oreilles sont très belles.  Elles sont arrivées bien protégées dans leur boite .</t>
  </si>
  <si>
    <t>La matière du tapis Ce tapis est très bien pour travailler sur mon ordinateur, la souris y glisse bien. Si vous en avez encore j'en recommanderai pour en avoir en réserve. Je le conseille</t>
  </si>
  <si>
    <t>très bien lave bien</t>
  </si>
  <si>
    <t>Le produit soit conforme Pour mon imprimante et c'est la deuxième fois que j'achète ces cartouches qui sont très correcte !</t>
  </si>
  <si>
    <t>PARFAIT Bonjour J'ai commandé ce modèle pour remplacer un précédent produit dont la commande avait cédé après plusieurs hivers de service. Celui-ci est encore mieux à tous points de vue, je recommande cet achat. Le prix est justifié.</t>
  </si>
  <si>
    <t>Conformité et rapidité Produit conforme et livraison très rapide</t>
  </si>
  <si>
    <t>Lampe Produit comme sur la description pas de surprise.</t>
  </si>
  <si>
    <t>Top Très bonne boot a prix canon</t>
  </si>
  <si>
    <t>Nickel Bien reçu à temps.Bien emballé et protéger. Même format qu'une cartouche originale.Plus qu'à tester le temps que ma cartouche qui est actuellement dans mon imprimante se vide(Une 10aine de copie de restante à faire).Je reviendrai dans une dizaines de jours pour vous dire ce que j'en pense .  Edit:apres 2 semaines d'utilisation ,elles sont aussi bien que les originaux(j'ai fait une 40 aine de copie pour le moment).Pour le prix au format XL n'hesitez plus et foncez les prendre.</t>
  </si>
  <si>
    <t>Nickel Très bon papier photo</t>
  </si>
  <si>
    <t>Magnifiques Livraison avant la date prévue. Très  jolie paire . Je recommande.</t>
  </si>
  <si>
    <t>Grain fin mais efficace !! Bon gommage! Odeurs hyper agréable! Efficace, Je recommande . Excellent rapport/qualité/prix!!!</t>
  </si>
  <si>
    <t>Parfait Très belle montre, belle valeur pour le prix, mouvement automatique de très haute qualité, les secondes "filent" parfaitement. RAS, je recommande ++</t>
  </si>
  <si>
    <t>Commande NON conforme !!! Lorsque j'ai reçu ma commande, j'ai cru que tout était parfait. Malheureusement quand j'ai voulu changer ma cartouche de noir, je me suis rendu-compte que les deux cartouches qui étaient dans le colis étaient de couleur et donc pas de noir ! Je me suis retrouvée sans possibilité d'utiliser mon imprimante à un moment où j'en avais le plus besoin ! J'ai du faire 25 kms aller et 25 kms retour le lendemain pour me dépanner à Auchan en achetant une cartouche de noir... Le tout m'est revenu très cher !!!!!</t>
  </si>
  <si>
    <t>Chaussure trouée Au bout de 3 semaines déjà trouée au dessus , ce n'est pas normal qu'au bout de 3 semaines elles se craquent deja ,Je voudrais un renvoie de cette paire et une nouvelle paire</t>
  </si>
  <si>
    <t>Dymo... C'était mieux avant... Produit Dymo original... Étiquettes adhésives extrêmement résistantes... Mais l'espace entre 2 caractères est si grand qu'au final l'étiquette est 30 % plus longue qu'avec mon ancienne dymo... Moche et gaspillage de consommable !</t>
  </si>
  <si>
    <t>Jolies baskets Jolies baskets que je connaissais déjà. La semelle intérieure pourrait être juste un peu plus épaisse pour éviter la surchauffe de la plante des pieds...mais petit prix... Taille 41</t>
  </si>
  <si>
    <t>Top mais petit Blouson confortable. Mais prévoir 2 tailles au dessus car j'ai pris une taille au dessus et il est juste juste... Sinon il est super et on y est bien</t>
  </si>
  <si>
    <t>👍👍👍 ✌️✌️✌️</t>
  </si>
  <si>
    <t>Très efficace Après l'avoir reçu, j'ai sortie tout les biberons de mon fils pour tester l'égouttoire à biberon et il s'avère que c'était efficace. ..Ça fesait son boulot, du coup je recommande ce produit et j'aimes beaucoup la couleur, seul petit bémol, ce que c'est un peu petit..merci</t>
  </si>
  <si>
    <t>Dommage que ce soit du faux cuir A part ce détail important, l'objet est bien conçu pratique et fonctionnel.  Faites le même en(vrai) cuir noir  et ça sera parfait.</t>
  </si>
  <si>
    <t>Bonne sonorité Bon rapport qualité prix Ne reconnaît pas mon téléphone androïde par contre il reconnaît mon iPad</t>
  </si>
  <si>
    <t>Très Belle paire de chaussures Qualité de l'article à la hauteur de la marque, finition parfaite, confort des pieds, je suis vraiment enchanté du produit.</t>
  </si>
  <si>
    <t>Satisfait Correspond à la photo et à mes attentes. Livraison en 1 jour.</t>
  </si>
  <si>
    <t>Excellebt Pour avoir eu pour ma première fille un stérilisateur, micro onde, pour moi celui la c'est la révolution! Pratique, très facile d'utilisation, solide, ont peut y mettre beaucoup de biberon, tétine etc, encombrant certe mais au moins on est sur qu'il stérilise bien, il ne fait cheap.</t>
  </si>
  <si>
    <t>Super!!!! Super ma fille VA etre contente quand Elle VA l ouvrir a Noel :)</t>
  </si>
  <si>
    <t>Puma Belle baskets.</t>
  </si>
  <si>
    <t>Conforme à la présentation J'ai commandé cette chaine pour remplacer une ancienne en acier de ma petite-amie qui avait rouillée. Elle est conforme à la description du produit et elle semble solide. Dans tous les cas, la chaine est de bonne facture et le poinçon est présent !  Je recommande !</t>
  </si>
  <si>
    <t>Bon rapport qualité prix Super design et bon rapport qualité prix . J’ai été surpris de la qualité du produit vue son prix</t>
  </si>
  <si>
    <t>Très bon rapport qualité/prix Fonctionne bien, pas de soucis particulier</t>
  </si>
  <si>
    <t>Parfait Une belle collection pour les débutants en lecture. Les textes sont courts pour ne pas décourager les jeunes lecteurs et les belles illustrations donnent envie de connaître la suite.</t>
  </si>
  <si>
    <t>Solution et gain de temps, aux papiers personnels et confidentiels dont on veut se débarasser Comment résoudre au plus vite un problème qui nous concerne tous, le vol d'information personnel confidentiel récupéré dans nos poubelles. Avant c'était, je stocke, je déchire, je brule, je laisse trempé dans l'eau, je jette. Maintenant, c'est destructeur à coupe croisée, je jette. Le gain de temps est phénoménale et en plus c'est marrant. Trois positionnement pour la mise en marche. off, auto et reverse. A sa première utilisation, j'ai rempli le conteneur sans m'en rendre compte. A ce moment là j'ai cru que l'appareil ne fonctionnait plus mais c'était la protection bourrage de papier car trop plein. Après avoir soulevé le mécanisme très simplement, c'était une évidence.  Je conseille cet appareil à tout le monde pour une utilisation à la maison pour utilisation occasionnelle. J’insère les feuilles entre 4 à 5 feuilles en même temps. Détruit les cartes bleus... excellent.  L'appareil occupe un espace très réduit: hauteur du conteneur est une page A4, 20cm d'épaisseur, le destructeur de se positionne et s'encastre juste dessus. Un câble électrique d'un 1m50.</t>
  </si>
  <si>
    <t>tout doux article conforme à la description, très joli bleu, lumineux, acheté en taille 38 pour une personne s'habillant habituellement en 38 : il est parfait. et d'une douceur...</t>
  </si>
  <si>
    <t>Satisfait Ce ne sont pas les premiers casques Bluetooth que j'ai achetés, mais étonnamment, ils sont très bons. Pour passer un appel, nous pouvons laisser le téléphone sur le bureau pour poursuivre les activités. Lorsque la batterie est utilisée, le boîtier de charge peut fournir une très longue durée de vie de la batterie. Très bonne performance, c'est impeccable, parfois j'oublie que j'ai un casque. Je les recommande beaucoup et je les ai personnellement adoptées!</t>
  </si>
  <si>
    <t>Casque Tv sans fil Ce casque correspond bien à sa description. Je porte des lunettes et cela devient inconfortable au bout d'un certain temps. J'entend toujours le son même quand je change de pièce, ça c'est super.</t>
  </si>
  <si>
    <t>Mal taillé La largeur est là longueur son taillé trop petit</t>
  </si>
  <si>
    <t>Sacoche cuir Cuir trop brillant et fragile et ouverture fermeture trop compliquee. L'usage de cette sacoche va très vite user le cuir vu l'ouverture par sangles a manipuler plusieurs fois par jour</t>
  </si>
  <si>
    <t>RIEN A DIRE QUESTION RAPPORT QUALITE PRIX il ne faudrait QU IL RETRECISSE SINON SATISFAIT</t>
  </si>
  <si>
    <t>Goupillon Tommee Tippee A poils doux qui n'agressent pas le plastique des bibis. La tête dure dans le temps sans trop s'abimer. Par contre, la partie pour les tétines, pas très pratique selon moi, quasiment jamais utilisée.En plus, elle a tendance à moisir et à la longue, la fermeture ne tient plus.</t>
  </si>
  <si>
    <t>ce que je voulais ce que je voulais pour mettre dans mon sac. Je ne sais pas quoi dire de plus pour arriver au nombre de mots requis !</t>
  </si>
  <si>
    <t>Si vous avez loupé l'appairage initial entre les 2 oreillettes Lors de la mise en route les 2 oreillettes ne se sont pas connectées entre elles probablement parce que j'ai activé trop vite la connexion au téléphone, du coup, même en connectant chaque oreillette au téléphone, on ne reçoit le son que sur l'oreillette gauche !  Pour repartir à 0 ... il n' y a pas de site Yobola, donc système D pour faire un reset : eteindre les 2 oreillettes, puis dissocier sur le téléphone les/la  connexion(s) T2 blutooth, puis rallumer chaque oreillette en appuyant trés longuement sur les boutons (10 à 20 secondes) et en écoutant les messages , il y a un message qui doit indiquer que les 2 oreillettes se sont connectées entre elles, ensuite seulement faire une recherche bluetooth depuis le téléphone et associer , il y a un seul T2 qui doit s'afficher ( c'est la liaison de l'oreillette gauche) ... s'il y a 2 T2 qui apparaissent c'est que l'association des oreillettes entre elles a loupé... donc recommencez !  Pour éviter tout ça , ne surtout pas connecter au téléphone avant que les 2 oreillettes ne se soient associées entre elles.</t>
  </si>
  <si>
    <t>Sac Fabrication de bonne qualité, un très bon rapport qualité prix.</t>
  </si>
  <si>
    <t>INDISPENSABLE! J'ai acheté ce produit pour mon compagnon, j'ai reçu le colis en 3 jours et je suis ravie de mon achat et mon compagnon aussi! Il rempli parfaitement sa tâche! très efficace et très relaxant!  et très simple d'emploi! Je recommande vivement! En plus de son prix super attractif il devient vite indispensable! D'ailleurs, après l'avoir testé.. je m'en suis acheté un autre pour moi !</t>
  </si>
  <si>
    <t>Indémodable Petit grincement mais vu le plastique utilisé, ce n'est pas étonnant. Jolies</t>
  </si>
  <si>
    <t>basquets tres bonne qualité,elles sont magnifiques,je vous les recommande,prochains clients ne seront pas décus,la marque adidas est une bonne marque réputée</t>
  </si>
  <si>
    <t>Une bonne idée cadeau Convient tout à fait, beau bracelet !</t>
  </si>
  <si>
    <t>Montre casio Parfait</t>
  </si>
  <si>
    <t>Très agréable à porter Tous les jours</t>
  </si>
  <si>
    <t>Top Love love love bien reçu c juste magnifique elle habille le poignet moi je suis fan loin d'être fragile et surtout de bonne qualité merci au  vendeur</t>
  </si>
  <si>
    <t>Claquette Trop confortable est solide</t>
  </si>
  <si>
    <t>Jeans pas cher et authentique Jeans Lévis, rien à dire de plus. Conforme</t>
  </si>
  <si>
    <t>Parfait Pull fin ou tee-shirt a manches longue . Il est super jolie très doux . C'est un pull long avec des poches . Facile a nettoyer . Envoyé dans les délais</t>
  </si>
  <si>
    <t>Bon produit. Coffret de 2 biberons de 340 ml au joli design. De plus, leur forme ergonomique permet une bonne prise en main, tant par les parents que par bébé, et un nettoyage plus facile. Les tétines en silicone sont souples et ne s'abîment par à l'usage. Bon produit.</t>
  </si>
  <si>
    <t>Efficace Dégonfle les poches et yeux. N’irrite pas. Agit sur les cernes. Beau regard reposé</t>
  </si>
  <si>
    <t>Bonne qualité Satisfait de mon achat. Pas trop de plastique. Contrairement a d'autres commentaires on ne risque pas trop de se bruler non plus meme si les paroies peuvent etre tres chaudes. Le réglage de température est très pratique.</t>
  </si>
  <si>
    <t>MAGNIFIQUE ! Taille correctement  ,semelles un peu + dures que des Converses, mais ne fait pas mal aux pieds ! C'est mon premier achat de Superga et je suis très satisfaite . Couleur extra pour les beaux jours !!!!</t>
  </si>
  <si>
    <t>La robustesse et la marque Rapide a mettre problème de couture</t>
  </si>
  <si>
    <t>pas étanche pour le prix pas super car elle n'est surtout pas étanche même sous le robinet pour se laver les mains et le manuel d'utilisation n'en parlons pas</t>
  </si>
  <si>
    <t>A eviter Impossible d'installer le logiciel sur le smartphone ou pc. Plusieurs renvois vers des sites de e-commerce.  A eviter</t>
  </si>
  <si>
    <t>Trop chère et nul Immetable il me glisse des pieds j'ai une paralysie des pieds dû à une compression du nerf sciatique Cdt Mr LEONETTI</t>
  </si>
  <si>
    <t>Bauf Jolie mais taille grand et je voyais pas les attaches aussi mediocre</t>
  </si>
  <si>
    <t>Bien mais Très jolie boîte avec de très beaux dégradés de couleurs. Hélas 'a mienne est arrivée avec un coin complètement enfoncé, j' ai pu la redresser tant bien que mal et les crayons n'ont pas été abîmés mais pour off3c'est loupé...</t>
  </si>
  <si>
    <t>Au top Très agréable à porter. Je l'utilise lorsque je fais du tennis et c'est bluffant. Transpiration +++ absorbée par le corsaire ce qui permet de ne pas "dégouliner" pendant le sport. Je recommande. Niveau taille,  prendre sa taille habituelle</t>
  </si>
  <si>
    <t>Très bonne idée Je ne l'ai pas encore fait essayer à mon fils mais l'idée est très bonne et le produit semble de qualité, sans odeur chimique</t>
  </si>
  <si>
    <t>Pratique. Egouttoir simple à nettoyer, stériliser et assembler. Design sobre, "passe partout" dans une cuisine, d'aspect moins enfantin que ses concurrents. Il permet bel et bien d'accueillir 8 biberons (de marque Mam pour ma part). Seul bémol: la stabilité de l'égouttoir. La partie avec les "branches" repose simplement sur le bac de récupération d'eau, il ne s'enclenche pas, résultat cette partie se balance un peu d'un coté puis de l'autre sans jamais tomber certes mais un système de fixation avec un simple clic aurait été judicieux.  Je confirme les dires des précédents acheteurs, il est plus grand qu'il n'y parait sur les photos, bien que logique pour sa capacité à accueillir 8 biberons. Cependant sa forme rectangulaire permet de le glisser aisément dans un coin de la cuisine.  EDIT: j’ai constaté que l’instabilité était temporaire. Elle survient directement et uniquement après la stérilisation de l’égouttoir. Je suppose que la chaleur dilate le plastique, une fois évacuée et le plastique redevenu froid, la stabilité est de retour.</t>
  </si>
  <si>
    <t>Bon Kit Bonne présentation des produits dans ce kit et qualité globale des différents éléments, bien pour un cadeau ou même pour soi.</t>
  </si>
  <si>
    <t>que demander de plus? rien a redire extrêmement bien protégé dans son emballage,la couleur et la pointure exact pourquoi est ce que je découvre amazone seulement depuis quelque mois? bravo et merci vivement les achats de noel</t>
  </si>
  <si>
    <t>Parfait Je ne suis pas déçu , c'est comme je voyais la qualité de la paire , pas de regret !</t>
  </si>
  <si>
    <t>Bon achat ! Conforme à la photo, ce marché pied a très vite été adopté par mon fils. Il ne glisse pas sur le carrelage. Sécurité testée et validée !</t>
  </si>
  <si>
    <t>Bracelet Très beau et bonne qualité</t>
  </si>
  <si>
    <t>Très bien Conforme à la description, il fait très son job, écran de protection qui s'adapte très bien au téléphone... je recommande</t>
  </si>
  <si>
    <t>La mythologie à la portée des enfants Lecture du texte à mes filles jumelles âgées de 7 ans. Un épisode tous les soirs. Elles adorent.</t>
  </si>
  <si>
    <t>Bien 👍🏻 Résistant et super. Je recommande 👍🏻</t>
  </si>
  <si>
    <t>Bon égouttoir Un bon égouttoir à biberon après presque 2 mois d'utilisation il est toujours debout. Pratique car plusieurs ranger de haut en bas</t>
  </si>
  <si>
    <t>Adidas Originals superstar Je suis beaucoup satisfait de cet achat. Le produit commandé est bien celui qui m'a été livré. Et, l'acheteur a été très gentil et rapide dans sa livraison. Ce qui m"a touché un peu c'est le fait que pour un achat de plus 89 euros, la livraison n'est pas gratuite.</t>
  </si>
  <si>
    <t>Grands écouteurs*/**￥%#%￥ Je les ai achetés pour remplacer une paire volée. J'ai débattu sur les marques et les types, et ceux-ci se sont démarqués. J'aime le boîtier car il ne s'ouvre pas facilement dans mon sac et me laisse chercher les oreillettes au fond de mon sac à main. La vie de la batterie est grande et le son est phénoménal! Ils étaient simples à installer avec mon iPhone et j'écoutais en un rien de temps! J'achèterai une autre paire pour un échange de cadeaux...！！</t>
  </si>
  <si>
    <t>HE Huile essentielle que j'utilise en complément avec l'huile de rose de musquée. Parfaite pour les cicatrices chéloïde. Très bien. A essayer</t>
  </si>
  <si>
    <t>Timberland noire Elles sont trop biens, confortables, elles font un look très sympa. On a l impression d'être dans des chaussons. Super</t>
  </si>
  <si>
    <t>Tip Top La qualité puma le prix Amazon. Ne chercher pas plus loin. J'ai tenté la version Low cost ca sert a rien, prenez celle la..</t>
  </si>
  <si>
    <t>Excellent affaire Un jolie produit, bien adapté pour ma taille, j'ai commandé du 34, je vais tester en lavage, en espérant qu'il reste le même. La livraison était rapide, très contente.</t>
  </si>
  <si>
    <t>probleme de transport le produit est arriver a moitie vide</t>
  </si>
  <si>
    <t>DECEPTION J'ai acheté cette montre le 13.11.2012 pour l'offrir pour Noël à Mon Gendre, Aujourd'h ui, j'apprends que cette montre ne fonctionne plus..... Ce dernier me l'a dit..... J'ai tout de suite, réagi en regardant ma commande = garantie 2 ans ?..... Pourquoi ne pas spécifier que cette montre n'a comme qualité : une durée de vie; 2 ans et 2 mois ? jE SUIS TRES MECONTENTE et je me sens "flouée" Madame Juliette Dupuy, En visualisant mes commandes antérieures, il est facile de constater que dans mes achats, je ne cible pas "le bas de gamme" Merci d'en tenir compte,</t>
  </si>
  <si>
    <t>10 mois et elle marche plus... Facile d'utiliser et de nettoyer, mais qu'elle marche plus après 10 mois, ce n'est pas acceptable!</t>
  </si>
  <si>
    <t>super mais fragile Très pratique mais malheureusement  reste un appareil assez fragile les lettres ont tendance à se dérégler et donc à ne plus embosser correctement le ruban il faut donc veiller a ce que les petites nervures soit bien alignées avec les lettres...</t>
  </si>
  <si>
    <t>Taille grand et large Produit correct mais taille mal à mon goût.</t>
  </si>
  <si>
    <t>Huile nourrissante sans parfum Cette huile nourrit très bien la peau. Elle est sans parfum. Elle pénètre relativement rapidement dans la peau (il ne faut pas en mettre trop si vous êtes pressé pour vous habiller). Son bouchon permet de doser assez facilement la quantité. Je suis plutôt contente de mon achat.</t>
  </si>
  <si>
    <t>TOP ! Très satisfaite. Les coutures ne sont pas superbement finie, mais rien de grave et cela ne se voit pas. La couleur est comme le modèle !! Je conseille</t>
  </si>
  <si>
    <t>Joli et discret Joli et élégant Plus petit que je le pensais (entre la pièce de 50 cent et la pièce de 1€</t>
  </si>
  <si>
    <t>bemme qualité j'ai commandé cette sacoche pour l'offrir à mon mari à Noël. Elle est parfaite, présentée dans unes jolie pochette cadeau et j'ai trouvé sympa de pouvoir personnaliser le message accompagnant le cadeau. Quant à la sacoche, elle est super sympa. Beau cuir, jolie forme. elle a l'air très fonctionnelle et la couleur correspond à mon attente  et je suis sûr que mon mari va adoré !</t>
  </si>
  <si>
    <t>Très beau Bracelet femme Bonjour, J’ai acheté ce bracelet pour offrir pendant les fêtes de fin d'année. Il est très beau, très féminin par sa délicatesse et c’est agréable de le porter . Je suis sure que mon achat va faire beaucoup plaisir. Je suis ravie</t>
  </si>
  <si>
    <t>Je recommande vivement Magnifique livre luxueux que j offre à noël à mon petit fils de 7 ans et demi Dessins et commentaires super Je recommanderai pour d autres animaux ou titres</t>
  </si>
  <si>
    <t>Satisfait :-) Ayant perdu mes écouteurs d'origine pour mon portable, je décidais d'en commander des nouveaux, et là par pur hasard je tombe sur la fiche des écouteurs KLIM FUSION. Je connaissais pas le produit mais la couleur verte du produit à attiré ma curiosité. Je lis la fiche complète du produit et je me dit "ouais bon c'est bizarre"  en plus avec 20 euros de moins ça cache quelque chose. Je lit les commentaires et avec surprise ur m'aperçois que le 3/4 des clients qui les ont acheté son satisfait, surtout quand on remonte à l'historique des premiers avis ça remonte comme même à mi 2016 si c'est pas plus. Du coup au final, je me lance, je les commandes et je fini par les recevoir le lendemain. Une jolie boite de métal,  avec à l'intérieur les écouteurs, des embouts de rechange,  un adaptateur pour l'ordinateur et une petit sacoche de rangement. Je suis surpris de tout ça wooow Je branche les écouteurs sur mon téléphone et woooow un son impeccable,  de bonnes basses, et les mousses sont super confortable,  je teste sur ma PS4 et ma Ps Vita mais encore woooow Le son est digne d'un casque Gamer, je suis époustouflé, il va devenir mon casque par défaut pour tout les appareils. De plus le micro est d'une très bonne qualité car il réceptionne bien les sons ( testé sur une application mobile de karaoké) Franchement je ne regrette pas mon achat et franchement allez y les yeux fermés. Je peux ranger mes autres casque encombrants dans le placard,  celui là va être mon chouchou pendant longtemps. Merci KLIM pour ce fabuleux produit.</t>
  </si>
  <si>
    <t>Très satisfaite de ce produit Belle coupe avec une longueur derrière. Joli grus foncé  idéal pour le sport ou sur un leggings iu jean slim. Se lave, se reporte sans repassage! Le top!</t>
  </si>
  <si>
    <t>Un oubli du constructeur Le micro fonctionne très bien et fait «&amp;nbsp;le taff&amp;nbsp;» pour 29€ ... par contre je suis déçue de ne pas avoir reçu dans la boîte le cordon d’alim USB ! Dommage !</t>
  </si>
  <si>
    <t>parfait commander pour un cadeau d'anniversaire pour un ami qui commande beaucoup sur Amazon donc cadeau idéal et reçu avec une boite cadeau super  qui est adapté pour la situation</t>
  </si>
  <si>
    <t>Belle maroquinerie pour usage quotidien Un  beau rapport qualité prix : de belles finitions, esthétique et attaches robustes. Mon fils est ravi de son cadeau. Je recommande ce sac pour homme.</t>
  </si>
  <si>
    <t>Très bon Très bonne chaussure et très souple</t>
  </si>
  <si>
    <t>Vans ! :3 La taille est bonne, ni trop grand ni trop petit, je vous conseille de prendre votre taille habituelle :) &amp;lt;3  Je recommande ~</t>
  </si>
  <si>
    <t>BIEN j ai reçu très rapide  bien emballer  les baskette sont parfaite avec leur couleur vif bleu nickel sur mes pied</t>
  </si>
  <si>
    <t>Excellent rapport qualité prix Utilisé pour écouter la télé sans déranger mon entourage, son très correct, bonne portée très bonne connectivité...seuls bémols...  L'axe n'est pas rembourré et manque de confort.  Radio inaudible mais peut être dû à ma location</t>
  </si>
  <si>
    <t>Top Bonnes chaussures pour mon ado. Bonne qualité et style au rdv.</t>
  </si>
  <si>
    <t>Une idée cadeau à laquelle on devrait penser!! Notre petit bonhomme vient d’arriver et on sait déjà qu’il est intolérant aux protéines de lait de vache, heureusement , le lait à base de riz fonctionne admirablement ...  Avec ce kit en test, on a pu surtout tester le système « anti-air&amp;nbsp;» de Tommee Tippee, L’embout Easi-vent permet de ne pas accumuler le lait et facilite la digestion. Résultat ... une bonne digestion, plus de gaz, moins de coliques !!  Le verre est certes plus lourd mais nous le préférons au plastique .  L’ensemble se compose: 1 biberons 150 ml avec tétine débit lent 2 biberons 260 ml avec tétine à débit lent 2 tétines à débit moyen 1 goupillon (pour biberon et tétine) Une sucette 0-6 mois  La notice indique sur tout passe au lave-vaisselle et au micro-onde sauf le sytème anti colique des biberons .  Personnellement nous adorons la marque et surtout l’efficacité de son système, notre bébé dort sereinement entre les biberons... ce n’eteit Pas le cas avant!!  Nous recommandons pour que les nuits douloureuses et les pleurs ne soient plus qu’un mauvais souvenir !!  Si cette évaluation a pu vous aider, likez, cela fait toujours plaisir et si vous aviez des questions, n’hésitez pas à les poser, merci.</t>
  </si>
  <si>
    <t>Facile à nettoyer Tetine utilise par mes 2 enfants . Facile à nettoyer. Service efficace et rapide. Comme d'habitude. 👍👍</t>
  </si>
  <si>
    <t>Maintien zéro Brassière de sport qui ne maintien rien alors que le produit est pour les grandes tailles. Je fais un 105F et le tissu est trop fin pour tenir les poitrines généreuses !</t>
  </si>
  <si>
    <t>Pour un produit hygiénique ça laisse pas mal de traces ... Ce produit est composé de 4 mini boules qui sont emprisonnées dans un réceptacle en plastique, on place le nettoyant entre la cuvette et abattant et lorsque l'on tire la chasse cela doit désinfecter et donner une couleur bleutée à l'eau.  Dans la réalité, peu importe comment je place le produit, cela laisse des traces du colorant et des paillettes dans la cuvette, bien sur cela part dès qu'il y a de l'eau, mais au final ce n'est pas vraiment propre ... (la photo a été prise plusieurs minutes après la fin de la chasse...).</t>
  </si>
  <si>
    <t>Très déçu Il ne fonctionne plus au bout de deux utilisation l appareille s'arrête dès qu'il touche le peau je suis très déçu</t>
  </si>
  <si>
    <t>Chausson escrime Bonne qualité mais taille petit</t>
  </si>
  <si>
    <t>Veste de pluie bleu  marine zippé  avec capuche T. M Je suis très contente de ce produit agréable a porté et il  taille bien en plus la doublure est doux, et ne colle pas a la peau  Un bon achat....j ai commander  un autre  pour une amie.</t>
  </si>
  <si>
    <t>Impecable, à voir dans le temps Colis reçu rapidement et bien emballé !  Au déballage, j'ai trouvé que ça faisait un peu chip ! Mais une fois installée ça tient assez bien, j'espère que ça restera comme ça longtemps !  En tout cas c'est super pratique pour poser un pc sur le canapé ou le lit sans devoir supporter le poids.  Par contre, j'ai trouvé la tablette pour la souris inutile, en tout cas elle n'est pas ergonomique. Je ne l'ai pas testé du coup parce qu'elle est male positionnée pour moi, mais je pense que c'est uniquement pour une utilisation ponctuelle.</t>
  </si>
  <si>
    <t>ne supprime pas le bruit du vent. La longueur du câble permet de s'éloigner du smartphone pour commenter ce qu'on enregistre mais il n'y a pas une grosse différence avec ce que la smartphone enregistre seul.</t>
  </si>
  <si>
    <t>Je recommande cet objet Cet aspjrateur est très pratique Du coup je l'utilise plusieurs fois par jour ayant des animaux à la maison ça évite de sortir le gros aspirateur. Il est très efficace car il aspire absolument tout.Ravie de cet achat</t>
  </si>
  <si>
    <t>Original et confortable Très agréable à porter, la semelle est souple mais pas trop fine</t>
  </si>
  <si>
    <t>Bon produit Cette bouilloire fonctionne très bien, très solide, pratique, prix très raisonnable, esthétique, peu encombrante, la meilleur que nous avons trouvé en petite capacité (0,5 litre). C'est la deuxième que nous achetons, l'autre nous l'avions depuis plus de 7 ans, elle fonctionne toujours, mais après plusieurs chutes sur le carrelage !..., la poignée a du être réparée, (réparation maison peu esthétique...) nous en avons été très contents, alors pourquoi changer... nous rachetons exactement la même elle se fabrique toujours, preuve de sa bonne qualité. S'il existait exactement la même sans fil, ce serait "la cerise sur le gâteau"...</t>
  </si>
  <si>
    <t>Parfaite Parfaite, s'utilise facilement.</t>
  </si>
  <si>
    <t>achat Tres bien pour les personnes handicaper  facile a metre et bien chaud a leur pieds que sa soi eux ou qu elle qu un qi leur met</t>
  </si>
  <si>
    <t>Super "Ces écouteurs me servent principalement dans les transports. Tiennent parfaitement en marche rapide.  Confort très bon. Pour le son ils sont vraiment bons et étonnants pour le prix.. Niveau commande après quelques tatonnements tout va bien aussi. C?té téléphone en écoute Ras par contre l'interlocuteur se plaint souvent d'une voix faiblarde. Autonomie 3h30/4h00 avant de recharger dans la boite qui fait batterie. Pour résumer pour 39€ pas décu， même seduit et pas encore trouvé mieux (à  ce prix) Je recommande."</t>
  </si>
  <si>
    <t>piles Vraiment rien a dire</t>
  </si>
  <si>
    <t>Confortable Confortable</t>
  </si>
  <si>
    <t>Top Toujours moins cher qu'en grandes surfaces. Parfait pour fermer mes colis. Bien adhésif. Rien à dire de plus , rempli bien sa fonction.</t>
  </si>
  <si>
    <t>Beau produit Ma nièce de 4 ans s’est beaucoup amusé avec. Tout était niquel dans la boîte. Parfait pr les enfants qui aime les activités manuelles et artistiques</t>
  </si>
  <si>
    <t>Nickel Très bon rapport qualité/prix, très confortable mais je conseille une taille en dessous car cette marque taille grand</t>
  </si>
  <si>
    <t>TOP Une simple bouilloire qui fait correctement ce pourquoi elle est destinée. Utilisée quotidiennement depuis 6 mois. N'a pas montré de faiblesse.  Simple, sobre. Passe partout. Pas de gadget. Grande contenance.  Parfait, je recommande</t>
  </si>
  <si>
    <t>Bien merci Ma fille adore Bien</t>
  </si>
  <si>
    <t>Parfait Parfait en XXL pour une taille 50 Très agréable à porter</t>
  </si>
  <si>
    <t>tb tb</t>
  </si>
  <si>
    <t>C’est franchement trop petit. Le jour où j’aurais besoin de chaussettes pour mes enfants je penserai à vous... je les ai données à ma femme...</t>
  </si>
  <si>
    <t>Taille erronée J'avais commandé 85E en vu de mon augmentation mammaire. Je fais actuellement du 90B impossible de respirer.  Taille à revoir car ne correspond pas du tout aux tailles UE ni FR.  PS : point positif, le vendeur est réactif.</t>
  </si>
  <si>
    <t>Design sympa et facilité d’utilisation Achetée pour me chronométrer lors de diverses activités sportives : montre assez simple d’utilisation. Attention à l’étanchéité : de la buée s’est formée sur la vitre après avoir nagé en pleine mer ( sans faire de plongée)</t>
  </si>
  <si>
    <t>Un peu déçue Le design est vraiment chouette, très joli modèle un peu rétro. Un petit bémol cependant, elle chauffe moins rapidement qu'une bouilloire en plastique ou en allu et elle ne s'arrête pas automatiquement. J'ai laissé l'eau boiillir un moment pour tester, elle ne s'est pas arrêtée. Peut être une anomalie sur le modèle que j'ai reçu</t>
  </si>
  <si>
    <t>Joli mais petit J'ai dû le retourner car mon ami l'a trouvé trop petit. Dommage, il était sympa. Belle qualité et belles finitions.</t>
  </si>
  <si>
    <t>Parfait Simple et fonctionnelle, cette montre est précise et sans trop de fioritures. Qui plus est elle est très belle !</t>
  </si>
  <si>
    <t>Parfait Pas forcément très esthétiques, ces chaussures sont confortables et impermeables. Et c'est le principal. Elles taillent comme prévu et s'entretiennent facilement</t>
  </si>
  <si>
    <t>Au top Super pratique pour les bébés qui font leurs dents. Moi je lui met des boudoirs ou du pain sec à l'intérieur et elle frotte sur sa gencive tout en grignotant!Elle adore! Seul hic: facile à nettoyer mais c'est un filet donc pas evident de voir si c'est vraiment bien propre à la base de l'anneau.</t>
  </si>
  <si>
    <t>Super masseur Livré dans les temps et en bon état. Le produit correspond en tout point à la description et a l'air de bonne facture. L'utilisation est simple et le massage efficace. Attention toutefois, le contact est dur et puissant si l'on met tout son poids. Il faut donc vraiment positionner correctement l'appareil, varier les positions et au besoin mettre un linge genre serviette de toilette pour atténuer le contact. Très bon produit pour un prix raisonnable.</t>
  </si>
  <si>
    <t>bien être une légère pression en tension sur la nuque pendant que l'appareil fonctionne et c'est le top ! Vraiment la sensation de doigt qui masse, puis selon si l'on remonte ou l'on descend le long de la nuque, les bienfaits sont différents.</t>
  </si>
  <si>
    <t>très bien les chaussures pour randonnee j'ai acheté 2chaussures, 42 pour moi;39 pour ma femme.  liveraison très rapide. marche tres bien  les chaussures bien solide, talons 4cm haut. les surpiqûres court et sans arret. doublure à séchage  rapide pour les sueur pandent les soir. languette est demi ouvert pour le domaine de l'eau,et 4 boutons metals sur l'aile de quartier,quand je marche dans l'eau,j'ai pas peur de mouiller mes chausettes.evidament, c'est dissiné comme les bottes.  colour foncé est facille à nettoyer.</t>
  </si>
  <si>
    <t>Essuie tout parfait J'utilise pour le bricolage comme chiffon jetable et je suis très satisfait Le fait de commander en grands quantité est une bonne option pour moi</t>
  </si>
  <si>
    <t>Très jolie et solide La couleur est super jolie. L'envoi a été rapide et très soigné j'adore la petite boîte et le chiffon pour les nettoyer elles sont à la fois discrète et très classe j'aime beaucoup. Par contre si il n'y avait pas eu la vente flash pour les avoir a 6,99€ d'Amazon je ne les aurais pas pris parce que 21,99€ € ça fait un peu cher.</t>
  </si>
  <si>
    <t>plutôt contente comme toutes les peaux noires , je suis sujette aux comédons qui sont difficile à enlever. j ai essayé les gommages des marques classiques (garnier,...) sans succès. ce gommage est extrêmement efficace. ouvre bien les pores, facilite l'extraction des comédons. en plus c'est naturel. Je recommande.</t>
  </si>
  <si>
    <t>tres belle qualité très belle qualité doux et agréable a porter bien taillé ce qui permet de cacher les rondeurs rapport qualité prix parfait j ai commandé dans d autres coloris du coup dans la même marque</t>
  </si>
  <si>
    <t>Satisfaite Mon fils nous boit du 210ml la journée et du 240 ml le soir au coucher. Donc il nous faut des plus grand biberon.</t>
  </si>
  <si>
    <t>Excellent Excellent rapport qualité/prix ! Très bon achat</t>
  </si>
  <si>
    <t>Merci beaucoup Très bien</t>
  </si>
  <si>
    <t>Parfait Super contente,  recommandée par une amie, ma fille débute le cp donc la lecture, et ses petites histoires de disney que les enfants aiment tant sont parfait , elle prend un plaisir à lire même si elle connaît l histoire . Certains mots qu elle n a pas encore appris je lui dis et petit a petit elle reconnait ... génial</t>
  </si>
  <si>
    <t>Top. Super. Merci</t>
  </si>
  <si>
    <t>Bien fait Ce sac est très pratique pour moi. Je peux y mettre mon porte-feuilles, 1 téléphone, 1 porte-monnaie, les clés de voiture avec télécommande et mon trousseau de clés. Les petites poches pour y glisser une lettre ou autre. Il reste néanmoins de petite taille et la bandoulière réglable est suffisamment grande, pour le porter en travers sur l’épaule. De plus il beau et bien fait.</t>
  </si>
  <si>
    <t>Conforme Belle paire de Nike air, solide, confortable, prix abordable, belle entrée de gamme pour de la randonnée ou de la marche en général</t>
  </si>
  <si>
    <t>Un peut bon Jogging était grand</t>
  </si>
  <si>
    <t>grande déception! Très,très déçue! Bouilloire défectueuse. À chaque fois que je la mets en marche, elle s éteint et cela depuis sa première utilisation.il faut appuyer 3ou4fois de suite pour que le bouton "marche" puisse rester enclenché et qu'elle daigne fonctionner. J'ai fait la bêtise de jeter la boîte, sinon, je l'aurais retournée.</t>
  </si>
  <si>
    <t>Inutile Inutile</t>
  </si>
  <si>
    <t>Notice Acheter pour faire un cadeau à ma  belle sœur Qui attend des jumeaux très pratique le système deux biberons. malheureusement tous est en anglais même la notice a l'intérieur il faudrai penser à remédier à cela</t>
  </si>
  <si>
    <t>Pas mal mais bof... J'avoue être un peu déçue.  Après avoir testé plusieurs modèles, celui ci ne vaut vraiment pas plus de 150. assez peu de bénéfices de toutes les options supplémentaires par rapport aux modèles inférieurs. Ne descend vraiment pas assez bas dans le dos (manque une zone de 15cm)</t>
  </si>
  <si>
    <t>Efficace et odeur agréable. J'aime son parfum, je l'utilise pour les sols et pour le lave glace de ma voiture.</t>
  </si>
  <si>
    <t>Bien et bon rapport qualité prix Bon rapport qualité prix Son nickel</t>
  </si>
  <si>
    <t>bonne qualité bonne qualité</t>
  </si>
  <si>
    <t>correspond à mes attentes Ces disques fond le travail demandé, aucune fuite n'a été constatée depuis que je les utilise. Je recommande ce produit.</t>
  </si>
  <si>
    <t>Bon produit Bons feutres pour colorier et dessiner mais adapté a des grands enfants. Sinon durée de vie limitée car fragiles mais je recommande quand meme</t>
  </si>
  <si>
    <t>Top Produit top, on utilise très peu de produit et le résultat est bluffant</t>
  </si>
  <si>
    <t>Très bien Peu encombrant,il fonctionne très bien. Pratique pour les voyages, pour plusieurs tasses, chauffe en 2 oú 3 mn Je suis très satisfaite Je vous le conseille</t>
  </si>
  <si>
    <t>J adore Très contente mes chaussures de rêves à un prix tout petit vendeur très rapide et produit reçu en très bon etat</t>
  </si>
  <si>
    <t>Très bon produit. Très bonne chaussure. Confortable. Résistant. Un très bonne achat.  Merci.</t>
  </si>
  <si>
    <t>Super Super top j'adore le son est excellent il est léger je peux courir avec ou écouter dans le lit. Et est très stylé</t>
  </si>
  <si>
    <t>Excellent produit de qualité &lt;div id="video-block-R11F2U057PCXZ4" class="a-section a-spacing-small a-spacing-top-mini video-block"&gt;&lt;/div&gt;&lt;input type="hidden" name="" value="https://images-eu.ssl-images-amazon.com/images/I/B1bUJPqKUCS.mp4" class="video-url"&gt;&lt;input type="hidden" name="" value="https://images-eu.ssl-images-amazon.com/images/I/61MlYtokG9S.png" class="video-slate-img-url"&gt;&amp;nbsp;Je suis enchantée de mon achat. Livraison très rapide. Le design du produit est soigné et recherché. La boîte de rangement est très pratique et fonctionnelle en effet la charge se fait directement par celle ci oet surtout ne prend pas trop de place donc très facile à emporter partout. Les écouteurs sans fils sont très facile à utiliser. Le son est de très bonne qualité autant pour le téléphone que pour écouter de la musique. Ils ont une très bonne tenue à l’oreille. De plus ils sont fournis avec des embouts de rechanges ce qui est un plus non négligeable. Je recommande ce produit d’un excellent rapport qualité prix.</t>
  </si>
  <si>
    <t>confortable , antiglisse Satisfait. Livraison rapide, les chausson conforme à photo, très douce et agréable à porte et les pieds ne transpire pas! Très bonne achat! Je recommande pour tenir ses pied à conforte!</t>
  </si>
  <si>
    <t>Super blouson sans manche Très bonne qualité, confortable ! Je recommande !</t>
  </si>
  <si>
    <t>Puissant et avec une grosse capacité J'ai choisi ce modèle pour sa grosse capacité. On peut choisir la puissance de diffusion et la durée. En puissance max, on le sent dans toute la maison de deux étages.  A utiliser avec de l'eau demineraliser si vous voulez qu'il dure dans le temps.</t>
  </si>
  <si>
    <t>Un classique Un classique, ce sac a dos est resistant et beau. Mon dernier datait d'il y a 5 ou 6 ans. Donc ça va niveau durée de vie, j'espère garder celui ci aussi longtemps :)</t>
  </si>
  <si>
    <t>Chaussette de bonne qualité J'avais besoin de socquettes pour l'été elles sont arrivé rapidement et n'on pas coûter cher donc parfait</t>
  </si>
  <si>
    <t>bien tres bien</t>
  </si>
  <si>
    <t>Confortable Confortable, légère,  jolie.  La taille correspond bien. Conforme á la description.</t>
  </si>
  <si>
    <t>Boucles Bel assortiment de taille sympa portée</t>
  </si>
  <si>
    <t>Ok mais cher On connait le produit mais trop cher pour ce que c'est.</t>
  </si>
  <si>
    <t>gel de massage aucune efficacité je l'ai mis à la poubelle.</t>
  </si>
  <si>
    <t>Très déçue à tous les niveaux Ne recommande pas le produit. Déçue</t>
  </si>
  <si>
    <t>lampe à lumière du jour Il n'est pas mentionné, avant l'achat, que l'appareil ne convient pas en cas de cataracte. Je ne l'ai su que trop tard par mon ophtalmo. Je ne peux donc plus l'utiliser.</t>
  </si>
  <si>
    <t>beau sweat Beau sweet, mais le tissu est un peu fin. La taille est correct. Il est beau malgré que j'aurai préféré qu'il soit plus épais pour l'hivers.</t>
  </si>
  <si>
    <t>Pas adapté pour moi Je pense que c'est un bon produit mais il n'est pas adapté pour moi.</t>
  </si>
  <si>
    <t>Produit au top Si vous avez vous aussi des petits gloutons pour qui 4 minutes de chauffe leurs paraît une éternité, prenez ce Thermos. En 2m5 vos biberons seront chaud et prêt à l'emploi.  Le seul bémol c'est la taille du Thermos, il ne peux chauffer qu'un biberon de 260 ml. Donc pour un long trajet pas forcément idéal</t>
  </si>
  <si>
    <t>Cool Joli dommage qu il ne parle qu en anglais. Simple d’utilisation</t>
  </si>
  <si>
    <t>Bon produit Très bon produit très léger très bien ça me convient très confortable</t>
  </si>
  <si>
    <t>Survêtement très  confortable Matière très agréable .pas très cher et pourtant solide bien coupé et confortable commandé en violet je vais en recommandé un en bleu marine</t>
  </si>
  <si>
    <t>Petit mais puissant Ces écouteurs sont bien, le son est bon, il y a de la basse et le micro fonctionne très bien. Il y a une sorte de "couche" de plastique autour des fils sûrement pour le rendre plus "water résistant", un petit plus intéressant. Il y a bien évidemment des "embouts" pour adapter à vos oreilles et une petite sacoche pour transporter le tout. Bon rapport/qualité</t>
  </si>
  <si>
    <t>Super produits confortable Je suis super contente.de mon achats on se sent comme dans des chaussons. Mémoire de forme .je conseille vivement ce produit.</t>
  </si>
  <si>
    <t>chaussure Tres confortable et souples  pour la taille près bonne  aucun Soussi tres contant de cette paire de chaussure.recommende  contant arriver au date prévue</t>
  </si>
  <si>
    <t>parfait Pour le moment je n'ai utiliser que les couleurs,sur une HP 5510.Je trouve les rendu de couleur très bien,je ne voie pas de différence avec les HP. Pour tester la capacité j'ai fait une vingtaine d' impressions 10x15 . Tout fonctionne,les couleurs n'ont pas changé. Donc on verra plus tard pour le nombre de tirage total. L'imprimante me donne un avertissement sur la cartouche,il suffit de cliquer sur la croix et ça démarre. J'en recommanderai.</t>
  </si>
  <si>
    <t>produit entretien produit entretien</t>
  </si>
  <si>
    <t>Me va parfaitement bien. Soutien gorge adapté même aux grosses poitrines ce qui n'est pas évident à trouver. Agréable à porter. Bon maintien des seins. Lavé en machine sans aucun problème.</t>
  </si>
  <si>
    <t>Superbe basket Superbe basket très confortable sa fait deux mois que je les ais elle sont toujours nickel</t>
  </si>
  <si>
    <t>Très confortable Prendre une taille  en dessous de sa pointure habituelle.la marque chausse bien mais grand.</t>
  </si>
  <si>
    <t>Zippo Métal Pour un cadeau pour un adolescent vraiment sympa Le Zippo est vraiment magnifique de marque Zippo Je l'aurais bien gardé pour moi</t>
  </si>
  <si>
    <t>Moi Sport</t>
  </si>
  <si>
    <t>la qualité le produit  très bien, je le recommande</t>
  </si>
  <si>
    <t>Super. Magnifique bouilloire. Bip d allumage, et bib de faim de chauffe. Led qui augmente au fur et à mesure de la température choisie.. Et s éteint automatiquement. Je recommande !!!</t>
  </si>
  <si>
    <t>Tres beaux bracelets Bracelets achetés en petit cadeau, et bien il n'y a rien à dire sur le rapport qualité prix il est excellent parfait pour des jeunes filles je recommande</t>
  </si>
  <si>
    <t>Super Chaussures Chaussures pratiques pour marcher sur les galets ou sur les cailloux au fond de l'eau. Très jolie par leurs couleurs flashy, je les ai achetés pour faire du jet ski . Elles sont très confortable. Seul bémol , le lacet qui sert a rien compte tenu qu'elle tienne au pied sans. La famille entière en est équipé. Je recommande sans pb.</t>
  </si>
  <si>
    <t>Pas grand interet Plus petit que ce que je pensais. Branches pas assez longues pour faire tenir des biberons. Le produit n'est finalement pas très utile mais plus décoratif.</t>
  </si>
  <si>
    <t>produit nul ce produit est une grosse arnaque : 1/la qualité du son est mono ce n’est pas du stéréo et encore moins du son HD....c’est du son étouffé qui fait pensait aux sons qu’on est au fond de la piscine.. 2/ le vendeur dans l’annonce nous parle de connexion exclusive pour les ios :cette connexion permet comme les vrais airpods d’avoir les fenêtre pop-up de la connexion , l’état des écouteurs et le niveau de la batterie..tout ça c’est mensongères... le produit et certes pas cher ,mais  moi je n’aime pas les publicités mensongères..surtout que sur le store vous avez une tonne de meilleurs produit pour le même prix!! donc , je déconseille fortement cet achat</t>
  </si>
  <si>
    <t>Je ne regrette pas mon achat il est bien. Je les commande il est bien mais: Fair attention à la pression elle est trop forte!! Ne pas l’utiliser trop fréquemment!!</t>
  </si>
  <si>
    <t>UHU très bonne manière pour fixer poster ou photos et pouvoir les changer de place,a ne mettre que sur un plan lisse</t>
  </si>
  <si>
    <t>russel trop top designe super jolie la classe dans ma cuisine car j'ai acheter l'ensemble</t>
  </si>
  <si>
    <t>Les baskets sont abordables. Baskets de tous les jours.</t>
  </si>
  <si>
    <t>Casio Vintage sympa pour les nostalgiques Petite Casio Vintage sympa que je possède depuis deux ans mais que je remplace car le chrome du boitier s'écaille. Avis définitif à réception.</t>
  </si>
  <si>
    <t>Délai Délai OK, en cours de découverte, , permet d'aborder différents sujets qui ne viendraient pas automatiquement à l'esprit</t>
  </si>
  <si>
    <t>Casio intemporel La montre est un bon compromis entre le modèle standard et sport. Pour les petits poignet c'est acceptable. - Positif : Heure automatique (12/24), Solaire, 4 alarmes et le mode bip horaire (son faible comme toutes les casio), Chronomètre,  Éclairage automatique (gadget), Facilité remplacement pile accu, Résistance à l'eau 20 BAR - Negatif : Éclairage vert (moins lumineux que le bleu que l'on trouve sur d'autre modèles) - Trop chargé en écriture sur l’écran (pas terrible) - L’accès aux boutons est particulièrement difficile (si vous faites du sport passez votre chemin)</t>
  </si>
  <si>
    <t>joli ouvrage très vite adopté par les enfants Les chapitres sont courts et le concept du feuilleton incite les enfants à un rituel quotidien ... aussi addictif qu'une série télévisée. Le langage est assez simple pour permettre une compréhension facile et une excellente mémorisation. Les illustrations modernes et magnifiques. Nous avons réitéré avec le Feuilleton de Thésée, tout aussi réussi.</t>
  </si>
  <si>
    <t>Pantoufles parfaite rien à dire Pantoufles parfaite rien à dire</t>
  </si>
  <si>
    <t>Parfait confort et robustesse Que dire,j'adore mes chaussettes..bien dedans, c'est tout ce qui compte..robuste et à la bonne taille rien a redire..je les aient depuis quelques mois d'ou le retard de mon com..parfois on ne se rend  compte de la qualité de certains produits,qu'après un certain temps d'utilisation.</t>
  </si>
  <si>
    <t>Parfait Idéal pour noël, reviens moins cher que d'acheter 10 rouleaux</t>
  </si>
  <si>
    <t>Biberon enfin accepté Premier biberon qu'il accepte sans rechigner, sans s'etrangler, et aucune confusion au sein ensuite comme il a pu le faire avec d'autres tétines. C'est une petite victoire!</t>
  </si>
  <si>
    <t>Comment ne plus avoir les pieds gelés Excellent. On rentre dans un lit chaud et la bouillotte tiens toute la nuit. Génial quand on aime dormir dans une piece fraiche avec des draps chauds (et sans chaussettes)</t>
  </si>
  <si>
    <t>lampe discrète bien utile livraison très vite. L'emballage double et énorme. Designe simple et moderne. La douille est adaptée aux ampoules.Très bonne qualité</t>
  </si>
  <si>
    <t>tres jolie conforme a la photo</t>
  </si>
  <si>
    <t>Les écouteurs sont de bonne qualité. Un très bon, les petits sacs de stockage pour couper le calme, malgré l’absence de bonnes français l’autonomie du pouvoir judiciaire, en particulier en raison de très bonnes, les oreilles et la voix pour, du nickel, aussi, et une petite boîte de transport de la rigidité des réservations, ce sont les écouteurs en tout état de cause, elle est très bien!</t>
  </si>
  <si>
    <t>très bon achat sacoche pour homme de bonne taille, répondant exactement à mon attente et conforme au descriptif. Plusieurs poches bien pratiques et fonctionnelles. A l'air solide à première vue.</t>
  </si>
  <si>
    <t>coussin massant super bon produit nous en sommes très content je le recommande masse même les pieds,les cuisses,la tête, et même les genoux</t>
  </si>
  <si>
    <t>Bijoux Léger et classe à la fois</t>
  </si>
  <si>
    <t>Super conforme à la description !</t>
  </si>
  <si>
    <t>Tres bon produit Ras</t>
  </si>
  <si>
    <t>Acheté le 20 juin 2016 Après bientôt 2 ans que j'ai acheté ce sac à bandoulière.........toujours satisfait Aucune trace de déchirure ou autre de mal formation. Donc pour ceux qui dise que c'est de la m....  passer votre chemin. Vous trouverez pas mieux sur "Amazon" et surtout à ce prix la, et avec une telle contenance (sauf .  JE M'EN SERT TOUT LES JOURS ÉTÉ COMME HIVER, elle passe vraiment partout cette sacoche.  MeCool est une très bonne marque.  2 photos pour vous montrer.  Je recommande, A acheter sans hésiter</t>
  </si>
  <si>
    <t>Pourquoi ces coloris aléatoires?? Je ne mets que 2 étoiles car je ne trouve pas normal cette politique du coloris aléatoire. Évidemment, j'ai un garçon et j'ai reçu le produit en blanc et rose; donc je l'ai renvoyé. A savoir: on vous enlève 1 euro de votre remboursement pour le renvoi.</t>
  </si>
  <si>
    <t>Nul Produit nul reçu ds les temps mais ne fonctionne pas !</t>
  </si>
  <si>
    <t>Qualité moyenne La troteuse c’est décrochée au bout de 3 jours</t>
  </si>
  <si>
    <t>bien mais juste 1 sousi ses puma sont superbe magnifique mais aubout de 2 semaine ou moin les puma s efrite est il faut aussi acheter une bonbe pour leau car sous la pluie elle tiene pas</t>
  </si>
  <si>
    <t>Baskets Légères. Jolies. Souples. Mais qualité bas de gamme. Elles ne dureront pas longtemps.</t>
  </si>
  <si>
    <t>très bonne qualité - mais taille très grand et assez lourd très bonne qualité - mais taille très grand et assez lourd</t>
  </si>
  <si>
    <t>chaussette de sport multi usage chaussettes de sport utilisées pour sa résistance au travail.</t>
  </si>
  <si>
    <t>Pare brise pour micro, conforme mais ne filtre pas tout REçu dans les temps. L'installation sur le micro est assez facile et semble bien tenir. Par contre, après plusieurs tests, le filtre anti-vente fonctionne bien par brise légère mais ne filtre pas tout par grand vent. Ceci dit, je m'y attendais pour le prix et à l'usage, c'est ok</t>
  </si>
  <si>
    <t>bijou cadeau un bracelet de très bonne qualité de  plus on peut choisir la dimension pour être porté au plus juste du poignée est agréable à porter</t>
  </si>
  <si>
    <t>Superbe montre digitale Je me permets de laisser un commentaire sur cette montre,j'étais sceptique quant à la qualité du produit vu le prix,mais dès que j'ai ouvert la boite et ai essayé ,j'étais étonné et content ! Elle est vraiment belle et facile à régler.Je ne pensais pas qu'elle allait être si imposante mais c'est une bonne surprise. Je recommande vivement ce produit.</t>
  </si>
  <si>
    <t>satisfait satisfait</t>
  </si>
  <si>
    <t>Tic tac Pas mal</t>
  </si>
  <si>
    <t>Qualité moins bonne Moins bien que les précédents</t>
  </si>
  <si>
    <t>Bon design et pratique Utilisation pour enfants ou pour le travail, grande dimension, léger, très pratique. On va le mettre sur une porte de placard dans la chambre de notre fille Comme sur la photo, produit livré avec magnets, 2 feutres et porte feutre Pour le prix, aucun regret par rapport à d'autres produits équivalents Design simple et moderne, contient une petite tablette porte feutre grise à ajouter ou non</t>
  </si>
  <si>
    <t>Excellente affaire Le bracelet est un peu court et on ne peut pas changer la pile mais le rapport qualité/prix est imbattable.</t>
  </si>
  <si>
    <t>Parfait en toute occasion Parfait pour tirer le lait à la maison ou en déplacement. J'ai même rendu mon tire-lait électrique car celui-ci me convient mieux. Par contre mon bébé n'a jamais voulu prendre le biberon avec la tétine fournie dans le kit alors qu'avec d'autres tétines il le prend.</t>
  </si>
  <si>
    <t>bouilloire Reçu rapidement, très belle, silencieuse, très peu de matière plastique: poignée, et  couvercle exterieur, l'interieur  est en inox. consomme moins en électricité, bon produit.</t>
  </si>
  <si>
    <t>Très bon son et qualité Le design des écouteurs et assez joli et pour ce petit prix on a un très bon son. De plus, il y a un microphone avec un bouton pour changer la musique ou répondre à l'appel. Le colis est arrivé au temps et produit correspond parfaitement à la description. Je recommande!</t>
  </si>
  <si>
    <t>très joli produit joli bracelet a beaucoup plu a la personne a qui je l'ai offert. A voir sur la durée pour la qualité du produit</t>
  </si>
  <si>
    <t>eclat tres jolie  la mets en valeur  ma femme  elle aime</t>
  </si>
  <si>
    <t>Bonne Taille,  Confortable et Jolie en plus.. Taille correcte. Je fais du 43, j'ai commandé du 43 et c'est Parfait.. Très confortable, agréable à porter. Assez jolie en plus.. Je ne me prononce pas sur la durée pour le moment.. Mais,  vu le Prix proposé, je suis très Satisfait..</t>
  </si>
  <si>
    <t>Bon produit Rien à redire. Parfait pour le prix, livraison ok et n'est pas factice contrairement aux montres de ce prix. Possibilité de l'arrêter facilement, idéal pour la durée de vie du produit</t>
  </si>
  <si>
    <t>Super Au top acheté pour mon homme il en est super content, taille légèrement petit mais c’est la marque qui veut ça j’avais eu le soucis en magasin</t>
  </si>
  <si>
    <t>Bonne qualité Agréable à porter</t>
  </si>
  <si>
    <t>Déçu Idéal pour les grosses poitrines, il ne tient pas assez, je passais mon temps à le remonter. C'est bien dommage.</t>
  </si>
  <si>
    <t>2,10 euros la copie !!! Cartouche installée le 3 octobre 2017, 13 jours plus tard après avoir fait 8 copies, la cartouche ne fonctionne plus. Mon imprimante HP Photosmart 7520 ne détecte aucun défaut cartouche... En copie directe ou via le PC pas d'impression d'encre noire, seules les couleurs apparaissent sur les impressions donc cela provient bien de cette cartouche. Très déçu, les 8 copies m'ont coûtées très très chères !!!!!!!!!!!!!!!!!!!!</t>
  </si>
  <si>
    <t>Tailles fantaisistes Gros problème avec la taille.</t>
  </si>
  <si>
    <t>Un peu trop dur ! Un peu trop dur ! Fonction très facilement mais les boulles sont un peu trop dur ! Je pense pas je vais m'en servir beaucoup . Si j'avais pas déjà jeter la boite je pense je l'aurais rendu.</t>
  </si>
  <si>
    <t>Bon Bonne qualité mais un peu trop souple alors il est facile de déborder, pour des chois sûres à cuire délicate</t>
  </si>
  <si>
    <t>contente Joli effet, taille un tantinet plus grande que ce qui est prévu (j'ai pris du xxl et ça ressemble plus à du xxxl), mais ça peut le faire, c'est pour un cadeau. Matière synthétique, comme citée, donc pas de surprise, pas trop pour l'hiver mais plus pour le printemps ou l'automne quand il fait frais. Les loups sont magnifiques</t>
  </si>
  <si>
    <t>Conforme Fait de l'effet</t>
  </si>
  <si>
    <t>bon produit balance assez précise</t>
  </si>
  <si>
    <t>Achat pour un long trajet routier Nous avons utilisé acheté ces deux casques pour nos petites jumelles pour compléter l’achat de lecteurs dvd portables, prévus pour un long trajet en voiture . Elles ont été satisfaites et nous parents également. Les couleurs sont celles des photos Les câbles suffisamment long.</t>
  </si>
  <si>
    <t>Tres satifaite du produit Tetine tres bonne qualité produit conforme a l'annonce super contente j'ai pu changer les tetines des biberon de ma fille de 2mois</t>
  </si>
  <si>
    <t>une montre agréable à regarder, qui inspire confiance. Au départ, choisie pour servir d'appoint ou de secours, elle devient votre montre préférée au quotidien.</t>
  </si>
  <si>
    <t>Parfait Super leggings,j’aime bcp je le recommande très bonne qualité</t>
  </si>
  <si>
    <t>Parfait J'ai reçu mon colis rapidement, c'est un tres bon rapport qualité prix, je recommande vivement ces chaussettes, enfin trouvé une bonne taille pour mon mari</t>
  </si>
  <si>
    <t>super chaussure ceux sont  des chaussures confortables et stylées. il y une très bonne protection coqué a la pointe de la chaussure; a recommander</t>
  </si>
  <si>
    <t>Plus gros que sur la photo Plus gros que sur la photo mais très joli. Ma femme en est très satisfaite</t>
  </si>
  <si>
    <t>Magnifique Je l ai commander pour mon cheri pour noel mais elle est magnifique un tres beau modele livrer dans un un ecrin noir je le conseille</t>
  </si>
  <si>
    <t>parfait exactement se que je chercher, avec ces tétines bébé bois beaucoup mieux c'est bibi. correspond à la description. très bonne marque</t>
  </si>
  <si>
    <t>Havaianas Tongs femme Chaussures de bonne qualité, jamais déçue par la marque Havaianas La taille est parfaite, elle correspond à ma pointure habituelle.</t>
  </si>
  <si>
    <t>Baskets très confortabe Baskets facile à enfiler ,très légères. On est très bien dedans . La pointure est parfaite .idéal pour les promenades, les courses à pieds ou pour porter tous les jours.je recommande vivement cet article.</t>
  </si>
  <si>
    <t>Merci pour le prix et la rapidité Très beau pull belle couleur bien chaud pour l'hiver</t>
  </si>
  <si>
    <t>Timberland Super pompe. Taille grand</t>
  </si>
  <si>
    <t>Bon produit Produit qui a répondu à mes attentes !!! Très jolie couleur</t>
  </si>
  <si>
    <t>sweet un peu déçu car un peu trop petit...</t>
  </si>
  <si>
    <t>pas de mode d'emploi pas de mode d'emploi, juste quelques mots sur un vieil embalage en anglais disant de ne pas l'approcher des appareils sensibles (ordi, portables, etc...</t>
  </si>
  <si>
    <t>Poduit non conforme à la photo j 'ai reçu les converse mais sauf que le produit ne correspond pas à la photo car elle sont en toile, malgré tout je les garde car on en à toujours besoin des converse toile si non rien à dire, mais drolement déçu !!!!!</t>
  </si>
  <si>
    <t>Déçu Après une seule lavage le logo champion se décolle</t>
  </si>
  <si>
    <t>converse bleu marine mixte un peu plus grandes que les même achetées il y a qq années.... pourtant pointure identique...le modèle mixte est-il plus grand que le modèle femme ?</t>
  </si>
  <si>
    <t>Prévoir une taille de plus J'avais lu les commentaires heureusement car j'ai commandé une pointure de plus que d'habitude. Elles sont jolies mais sans plus je trouve, légère.</t>
  </si>
  <si>
    <t>Super pratique et abordable J'adore ces biberons qui se stérilisent tous seuls et qui évitent d'avoir à stocker et à sortir un grso stérilisateur. Bonne qualité. Les graduations s'arrêtent à 60ml à cause du culot et de la valve démontables ce qui oblige à verser le reste du biberon dans le bouchon pour avoir la mesure du restant mais franchement je suis ravie de ce produit</t>
  </si>
  <si>
    <t>satisfaite très confortable taille un peu grand j ai pris du 38,5 pour 38/ 39 mais avec des semelles ça va</t>
  </si>
  <si>
    <t>Bon produit Avec sa marque dont le nom fait penser à Rabbi Jacob, Salomon a réussi une bonne synthèse de ce que doit être une chaussure sportive.</t>
  </si>
  <si>
    <t>Pratique, discret, efficace Pour tout fixer solidement... adhésif très efficace.</t>
  </si>
  <si>
    <t>Super casque, très fonctionnel avec un son excellent Déjà 5 mois d'utilisation, et c'est toujours un plaisir. Je recommande vivement.  Les plus :  - le son, équilibré et excellent - les commandes très pratiques sur le casque : volume, pause, plage suivante, plage précédente - la bonne isolation pour les autres : le son filtre très peu - l'autonomie excellente, avec en plus l'indicateur de charge qui apparaît sur votre smartphone, et la jolie voix qui vous indique l'état de la batterie à chaque mise en marche du casque - le confort - le réducteur de bruit, pas impressionnant, mais suffisant  Les moins, ou les fausses bonnes idées :  - l'arrêt automatique quand vous enlevez le casque. Quand ça marche, c'est sympa. Malheureusement, ça crée parfois des coupures intempestives : le son s'arrête alors que vous n'avez rien demandé. Ca m'arrivait presque systématiquement à la station Châtelet-les-Halles entre deux RER, allez savoir pourquoi... Heureusement, cette fonction est déconnectable. Depuis que je l'ai enlevée, le casque est redevenu super stable. Et on prend très vite le réflexe de le mettre en pause d'une simple pression sur l'écouteur gauche avant de retirer le casque, et de le rallumer à nouveau d'une simple pression. Bref, c'est beaucoup mieux sans ! - les commandes depuis le casque qui parfois ne marchent plus. Là encore, rien de grave, un éteindre-allumer suffit en général à régler le souci.  Esthétiquement, c'est plutôt réussi et bien fini. C'est gros, alors forcément, avec ce casque sur les oreilles, vous aurez sans doute l'air d'un geek attardé. Mais vous serez tellement content de ce casque que vous vous moquerez bien de ce que les autres pensent de vous. Et vous aurez raison.</t>
  </si>
  <si>
    <t>nickel rapide et efficace produit correspondant</t>
  </si>
  <si>
    <t>Bon Anti-pop Parfait, bien accroché au micro, j'ai même eu droit à un élastique de rechange au cas ou, se fixe très facilement et ne dépasse pas.</t>
  </si>
  <si>
    <t>Je suis ravie de cette commande Je le porte tous les jours c ' est très agréable à  regarder et à porter très joli bijou pour un prix dérisoire.</t>
  </si>
  <si>
    <t>Bon micro Très bon micro, superbe rapport qualité prix, permets d'être bien entendu lors de sessions de jeux vidéos ou lors de discussions sur discord, teamspeak ou Skype. Le câble est assez long pour se connecter a un pc fixe, et le petit plus qui fait plaisir, le micro est livré dans sa petite housse de rangement d'assez bonne qualité qui lui permettra de ne pas prendre la poussière !</t>
  </si>
  <si>
    <t>Je recommande Produit efficace.</t>
  </si>
  <si>
    <t>parfait Produit parfaitement conforme à la description,  couleur très jolie identique aux photos.  Converses est à la hauteur de nos attentes.  Livraison très rapide</t>
  </si>
  <si>
    <t>Très Petit et super son Cet appareil;de recharge avec ses écouteurs bluetooth est plus que compact et de plus ça ne nuit aucunement à la qualité du son, les basses sont réellement présentes. L'appairement est facile avec les appareils audio . Très bien pour l'avoir dans sa sacoche étant donné la place qu'il prend. Je suis agréablement surpris</t>
  </si>
  <si>
    <t>conforme cartouches d'origine</t>
  </si>
  <si>
    <t>tres bonne bouilloire Tres esthetique et a usage simple en plus entretien facile meme contre le calcaire.Tres bon Vendeur   Le seul probléme c'est le transit mon colis part du 62 pour arriver dans le 55 (100km) de mon domicile alors que le centre de tri le plus proche 54310 Homécourt et a moins de 5km de mon domicile</t>
  </si>
  <si>
    <t>Très bien Rien à redire</t>
  </si>
  <si>
    <t>Génie Géniale trop beau j'aime bien je kiffe j'ai rien a dire de plus mashallah trop beaugosse vasy allez merci derieb</t>
  </si>
  <si>
    <t>Stupéfait ! J'ai acheté cette paire d'écouteur car j'en avais besoin dans un but scolaire pour écouter des vidéos dans certaines matière. Je les ai donc testé avec de la musique pour avoir mon propre opinion de la qualité de ces écouteurs. Franchement j'ai été surpris de la qualité de son pour seulement 17,90 euros !  Je les recommande à tous ceux qui veulent une paire d'écouteur de bonne qualité sans y mettre des prix extravagant (pour moins de 20 euros).</t>
  </si>
  <si>
    <t>Très bon café (grains) Elle fait vraiment un très bon café. Jai testé avec du arabica en grain et la machine possède beaucoup d'options. On peut régler le niveau de l'eau, la force du café, l'épaisseur des grains. On peut également régler le nombre de tasses ainsi que l'heure où le café coule.  Le design est vraiment pas mal et la machine ne prends pas beaucoup d'espace ce qui est plutôt pratique. Le manuel est très bien détaillé pour les novices comme moi qui ne boivent que très peu de café.  Il y a également 2 carafes à disposition.  Vous pouvez faire le café comme vous l'aimez, sans aucun problème.  Je recommande, même au novice du café ! :)</t>
  </si>
  <si>
    <t>Petites, utiliser avec l'aide d'un adulte. Malgré un petit prix, les 'gomettes' sont très petites et difficile pour un enfant de les utiliser sans l'aide d'un adulte.</t>
  </si>
  <si>
    <t>Le produit reçu je comprends pas au produit commandé Le produit reçu je comprends pas au produit commandé</t>
  </si>
  <si>
    <t>Bien Un peu serrée au bout mais au bout de quelques jours ideale mon epoux les utilise pour le travail (marche toute la journee)</t>
  </si>
  <si>
    <t>Dommage Matière douce, agrafes devant pratique. Malheureusement trop court sous les seins, je n’ai pas réussi à l’agrafer et pourtant c’était ma taille. Dommage, je l’ai donné à ma mère qui fait un 85A</t>
  </si>
  <si>
    <t>OK pour moi Belle finition, chaude.  Originale On si sent bien à l’intérieur</t>
  </si>
  <si>
    <t>Nickel Correspond à ce qu on souhaitait</t>
  </si>
  <si>
    <t>Chaussures de bonne qualité et jolies Chaussures confortables, légères. Elles sont sobres et vont avec tout type de vêtements, décontractés tout en étant classe. Seul soucis, c'est le tissu intérieur qui s'enlève a cause du frottement au niveau du talon.</t>
  </si>
  <si>
    <t>Vh Ce n était pas cela que je voulais C était un pantalon long</t>
  </si>
  <si>
    <t>Magnifique Cette montre est superbe, offerte pour un cadeau d'anniversaire elle a fait un heureux (: (Le bracelet ayant l'effet "rustique" donne vraiment du cachet a cette montre !)</t>
  </si>
  <si>
    <t>Pied douillet au travaille Chaussure impeccable, j'ai pris ma taille38 et c'est très bien. Je suis pas serré dedans. Après 1 journée de travaille avec RAS. tres légère. Je recommande</t>
  </si>
  <si>
    <t>Super Super biberons entièrement démontables. Ils nous ont éviter les régurgitations à gogo. Par contre pour l'effet anti coliques ça les amoindrit peut être mais ne les fait pas disparaître</t>
  </si>
  <si>
    <t>Un son d’exception à petit prix Je viens d'acheter ces écouteurs Intra-auriculaires Bluetooth afin de remplacer mon vieux casque filaire et honnêtement, je ne m'attendais pas à une telle qualité pour 40€. Envoi rapide et soigné, Le casque est vraiment de très bonne facture, la qualité des plastiques est remarquable aussi bien les écouteurs que le boitier. Une fois dans l'oreille, elles sont très confortables, légères, adhèrent convenablement et isolent plutôt bien du bruit environnant. J'ai fait un test en kit main libre sur mon S8, mon interlocuteur et moi n'avons rencontrés aucun problème de compréhension et un test en musique, le rendu est assez bluffant avec des aigus clairs et des basses bien présentes. Je peu changer de piste et mettre sur pause en tapotant la partie centrale et la led verte est plutôt jolie. Enfin 4000 mAh d'autonomie c'est assez considérable pour ce type de produit et le boitier fait également office de chargeur ce qui est plutôt utile, il permet même de recharger les smartphones. Je recommande vivement.</t>
  </si>
  <si>
    <t>Bon sac de poitrine Je cherchais un sac qui soit un intermédiaire entre mon sac à dos (que j'utilise pour les randonnées d'une journée) et ma petite sacoche qui ne peut contenir que mes papiers et mon téléphone pour emmener mes petites affaires lors de conventions ou quand je vais en ville. le sac est très pratique et je suis agréablement surpris par tout ce qu'il est possible d'y mettre. Il permet de ranger tout ce qu'on peut avoir besoin pour survivre une journée dans la jungle urbaine. Au quotidien, j'emmène mon déjeuner de midi, ma sacoche avec mes papiers, un cahier, mes clés, ma batterie portable, des câbles USB, un gourde, un parapluie pliable et mes lunettes de soleil. sac de poitrine multifonctionnel, d'une capacité de 12 L, peut accueillir tout le nécessaire pour une utilisation quotidienne ou pour voyager.</t>
  </si>
  <si>
    <t>Remarquable Facile d'utilisation, rapide en monté en température, précise dans les températures cette bouilloire donne toute satisfaction. A recommander aux clients cherchant un produit sérieux.</t>
  </si>
  <si>
    <t>Parfait je recommande vivement ce réveil Je suis très satisfaite de mon achat Ce réveil est très facile d’utilisation. Les couleurs et la lumière sont très douces et les musiques sont aussi très bien. Le son est de bonne qualité ainsi que l’intensité de la lumière . Il sert également de lampe de chevet. J’en suis très contente et je vous le recommande. Je pense même en acheter un autre pour mes enfants</t>
  </si>
  <si>
    <t>Je me sens fraîche dans ce legging ! La matiere est top et de qualité, il taille bien en mettant les formes en valeur :) le motif est beau aussi : rien à redire, cest vraiment un produit que je recommande !</t>
  </si>
  <si>
    <t>Très confortable Je les ai offerts à mon père qui depuis ne les quitte plus à la maison ! C'est très bien.</t>
  </si>
  <si>
    <t>Facille d'utilisation, bon son et confortable J'ai acheté ces écouteurs pour les utiliser en vélo. Il suffit de les ôter de l'étui pour qu'ils s'allument automatiquement, c'est vraiment pratique. Ils tiennent très bien la charge et le son est vraiment bon pour le prix. Les deux écouteurs sont également tactile, ce qui permet de décrocher, faire pause ou suivant juste ne tapoter dessus. Pour le prix, je les recommande.</t>
  </si>
  <si>
    <t>très bon casque Bonjour Être malentendant est un handicap, pas une punition ! Et cela n'interdit pas d'aimer la musique! Il me fallait un casque qui me permette de garder mes aides auditives, tout en m'apportant un confort d'écoute (et une grande qualité de rendu sonore). C'est le cas avec ce casque AKG K240 MKII, qui est agréable à porter et ne fatigue pas, ne serre pas trop, ne me coupe pas complètement de mon voisinage (semi-ouvert). Il me permet aussi de remplacer les écouteurs habituels de l'iPod classique dans lequel j'ai stocké mes CDs, écouteurs que je ne peux pas utiliser, vu le port obligatoire de mes aides auditives. Compliqué d'être malentendant ! Heureusement, il y a la technologie pour nous aider un peu ...beaucoup! Cordialement</t>
  </si>
  <si>
    <t>Qualité, taille, prix, parfait Impeccable</t>
  </si>
  <si>
    <t>Bon produit Nice</t>
  </si>
  <si>
    <t>excellent!!! Achat à ne pas regretter.</t>
  </si>
  <si>
    <t>Joli mais pas véritablement baskets minceur Jolie couleur Mais en fait ce sont de fausses baskets de minceur par leur forme Honnêtement elles valent 15 euros pas plus Je me tâte pour les retourner je les pensais plus solide</t>
  </si>
  <si>
    <t>Rapport qualité / prix : pas terrible Cet essuie tout de la marque presto est d'une qualité suffisante mais si on regarde son prix, c'est beaucoup trop cher. Je dis ça en comparant aux essuie tout de la marque Okay qui n'est plus vendu par Amazon.  Le produit Okay équivalent est d'un prix inférieur au 21 euros de ce produit et d'une qualité supérieure.  Le rapport qualité/prix n'est pas la, un prix de 15-16 euros serait plus adéquat pour ce produit par rapport à la concurrence</t>
  </si>
  <si>
    <t>manteau ou veste pour moi c est pas un manteau plus pour le mois d avril car en ce moment pour le porté pas éfficace</t>
  </si>
  <si>
    <t>Sans plus Esthetiquement très jolie. Par contre la qualité est à revoir, au bout d'un mois d'utilisation le couvercle ne voulait plus fermé, dommage.</t>
  </si>
  <si>
    <t>Un joli simulateur d'aube, mais quelques petits défauts ! Ayant testé auparavant le simulateur d'aube "Philips Eveil Lumière - HF3506/30 - Simulateur d'aube avec lampe LED (10 réglages) et interface tactile - Rouge" qui est parti dans la chambre des enfants, nous avons décidé d'opter pour celui-ci.  Ce simulateur d'aube est en plastique mat, assez solide sans être à l'abri de la casse s'il chute de votre table de chevet. Il est par ailleurs assez léger, ce qui peut faire penser qu'il serait fragile. Je le manipule tout de même avec précaution, car il reste assez cher. L’éclairage de l’affichage de l’heure est assez forte, mais elle est réglable. Il y’a 4 niveaux de contraste. Ce n’est pas tant la lumière des chiffres qui gêne, mais le rétro-éclairage qui donne un effet de halo orange, et qui peut être gênant dans l’obscurité. Les boutons en haut sont bien pensés, mais j’aurais aimé qu’ils apparaissent également au niveau de l’affichage de l’heure, ce qui serait plus facile à manipuler dans le noir.  La mise en route a été facile, tout est intuitif, et nul n'aura besoin d'un bac + 5 pour le régler. Les notices ne sont pas des plus aisées à lire; un paragraphe sera rédigé en 5 langues différentes, ce qui assez déconcertant. J'en ai juste eu besoin pour régler le son du réveil.  Le réveil justement, parlons-en. Nous ne pouvons pas régler la durée de l'aube, elle sera donc de 30 minutes. La lumière (réglable de 1 à 20 – 20 étant le maximum donc 300 lux) est très progressive et sera à l'intensité maximale réglée à l'heure du réveil.  Couplé à la lumière, vous avez le choix entre 3 sons qui se déclencheront à l’heure du réveil : - des petits gazouillis d'oiseaux - un coucou en forêt/jungle - un morceau court de piano qui tourne en boucle  Vous pouvez également utiliser la radio FM pour votre réveil si, comme moi, le piano vous endort plus qu'il ne vous réveille, ou si les gazouillis d'oiseaux vous donnent envie de dégainer votre fusil au gros sel (non mais les piafs, ça va 5 minutes hein)  Le son de la radio FM est en mono, pareil aux radios-réveils que l’on peut trouver dans le commerce. Il est néanmoins largement suffisant et assez audible pour ce que l’on en fait.  Petit bémol toutefois, il vous faudra jouer avec le cordon qui sert d'antenne pour entendre correctement certaines stations. Pour éteindre le réveil, rien de plus simple. Il vous suffira d’appuyer sur le petit bouton « cloche » au dessus de l’appareil, puis de le réactiver pour le lendemain. Vous pouvez également couper la radio et garder la lumière et vice versa.  Ce simulateur d'aube fait également simulateur de crépuscule, qui est paramétrable de 25 à 40 minutes. On ne peut néanmoins pas y coupler la musique ou la radio FM, vous n’aurez que la lumière.  Le regret que j’ai est que l’ampoule LED n’est pas remplaçable, et c’est un gros défaut. Elle a beau être prévue pour durer 7 ans, ça m’embête quand même de penser qu’un appareil complet partira en déchetterie pour une simple ampoule ! De même, un port USB aurait été le bienvenu afin d’y ajouter un de nos morceaux de musique pour le réveil.  Concrètement, ça reste un bon produit que je ne regrette pas d’avoir acheté. Je n’ai plus envie de balancer mon petit radio réveil à travers la pièce, et je ne me réveille plus en sursaut le matin.</t>
  </si>
  <si>
    <t>FOSSIL CONNECTEE montre connectée beau design style " vintage " seul regret date vraiment illisible et application demanderait à être plus travaillée</t>
  </si>
  <si>
    <t>Ravie ! Un super rapport qualité prix sachant qu'elle tombe très bien malgré la matière dont je ne suis pas spécialement fan (je préfère le coton) mais elle a de la gueule : convient aussi bien pour la plage que pour le bureau.</t>
  </si>
  <si>
    <t>RAS RAS un produit simple</t>
  </si>
  <si>
    <t>Impression parfaite Fonctionne parfaitement bien avec Epson WF 2750. Le noir est peut être légèrement moins profond que les cartouches origine mais a peine notable. L'imprimante remarque direct au changement de cartouche qu'elles ne sont pas Epson et demande si vous voulez continuer. Il suffit de dire oui. Ca fait un mois que tout fonctionne bien et j'imprime environ une dizaine de feuilles par jour.</t>
  </si>
  <si>
    <t>conforme acheté pour l'offrir à ma mère qui a souvent froid et des raideurs dans le cou, la nuque, les épaules, donc je ne peux pas trop juger personnellement mais elle en est visiblement ravie</t>
  </si>
  <si>
    <t>si bon un masseur C'est la deuxième fois que j'achète ce produit. Après l’avoir acheté et utilisé, j’ai trouvé l’effet très bon. Il peut masser toutes les parties de mes pieds. Après avoir utilisé un masseur, j'ai amélioré mon sommeil et renforcé mes jambes. Son traitement et ses effets sur les soins de santé sont de première classe.</t>
  </si>
  <si>
    <t>bravo qualité remarquable utilisé tous les jours en bandouliere :formidable!!</t>
  </si>
  <si>
    <t>Parfait Pendentif offert pour les 13 ans d'une jeune fille. Style très adapté pour une jeune, conforme à la photo. A la fois romantique et moderne.</t>
  </si>
  <si>
    <t>Très bien Produit recommandé rien à dire sur ce produit pratique emporter pratique à utiliser pratique à nettoyer pratique tout court Mais ce qui est dommage c’est qu’on a que trois j’aurais aimé avoir un peu plus mais bon on ne peut pas être content surtout</t>
  </si>
  <si>
    <t>Ravie Produit conforme au descriptif. Se référer au guide des tailles. Matière agréable et qui maintient bien.</t>
  </si>
  <si>
    <t>Casque Bluetooth noir Casque acheté en cadeau d'anniversaire pour un ado. Il est ravi ! Très bon son, activé en bluetooth sur sa tablette. Livré dans une boîte avec notice, accessoires (câbles...) et pochette de rangement. Je recommande ++</t>
  </si>
  <si>
    <t>superbe montre conforme à l'image ! Tres belle montre au design haute gamme, jolie bracelet en cuir (pour ceux qui prennent ce model) reste a voir la durabilité dans le temps ! Pour 37 euros c'est tout à fait correcte !</t>
  </si>
  <si>
    <t>Bottines jolies et imperméables Ces bottes sont vraiment très confortables, j'ai choisi une taille de plus ce que je conseille, elle me vont parfaitement sont sympathiques à porter et pratiques par temps de pluie et de neige. Choisie en bleues pour ma part j'adore.</t>
  </si>
  <si>
    <t>Pour les audiophiles Le monde se divise en deux catégories ; Ceux qui écoutent la musique et ceux qui... l'apprécient. Habitué des casque haute gamme (B&amp;amp;O, Bose, Sehneizer, Sony) surtout les derniers comme le WH 1000X M3 ou le QC 35 à réduction de bruit, c'est mon premier casque ouvert. Surprenant et bluffant! Prenez un verre, quelques glaçons et installez confortablement et écoutez Edvard Grieg - Peer Gynt Suite No. 1 Op. 46. Fermer les yeux et.....Play Maestro!  Belle ouverture sonore Equilibré et mesuré Basse : juste ce qu'il faut EVITEZ SVP LE MP3  Habitués des Beats ou skullcandy.......passer votre chemin</t>
  </si>
  <si>
    <t>Super Top qualité. Déjà de nombreux produits de cette marque. 👍👍</t>
  </si>
  <si>
    <t>Ras J en recommande</t>
  </si>
  <si>
    <t>Super Très jolie robe. Bonne matière !! La couleur est parfaite. Merci 😊 Je suis satisfait!!</t>
  </si>
  <si>
    <t>Pour un thé parfait, Krups nous propose ici une machine spéciale thé. Elle est très facile a utiliser et fonctionne comme une machine à café : mettre de l’eau pour qu’elle chauffe puis insérer votre thé et gros plus cette machine reconnait chaque capsule de thé afin de permettre une infusion au degré et à la seconde près. La machine arrive avec 10 capsules à tester. Comme toujours avec Krupps il faudra vous fournir des capsules uniquement auprès du fabricant qui restent chers.</t>
  </si>
  <si>
    <t>Bof... Pas hermétique du tout, au début on dirait que ça fonctionne bien mais si vous attendez quelques jours l'air pénètre à l'intèrieur!</t>
  </si>
  <si>
    <t>Nul Très chère car met un temps infini à chauffer</t>
  </si>
  <si>
    <t>Annonce ne correspond pas au produit Je viens de recevoir la pompe donner pour un fonctionnement à 9 mètres de profondeur dans l'annonce. hor il est bien stipulé sur la notice ainsi que l'emballage profondeur max 5 metres. Forcément je ne suis pas satisfait et le colis repars à l'envoyeur sans même être sorti de sa boîte....</t>
  </si>
  <si>
    <t>français-français montre trés jolie livraison impex rien a dire comme d'habitude Mais le bracelet de la montre s'ouvre assez souvent tout seul ( il ne tient pas comme il faut )</t>
  </si>
  <si>
    <t>Très bonne qualité Le produit est de très bonne facture, épais et réutilisable. La fabrication française est un plus.</t>
  </si>
  <si>
    <t>baskets livrer avant date estimé ravie de cette article pas besoin de mettre 200€ dans une vrais paires ! pointure niquel</t>
  </si>
  <si>
    <t>Très bien Ce n'est pas de la haute couture, mais ils sont très bien, j'adore la poche au milieu ! Je les utilise très souvent !</t>
  </si>
  <si>
    <t>top ras</t>
  </si>
  <si>
    <t>Chausson Agréable à porter</t>
  </si>
  <si>
    <t>Super. Comme toujours avec Xiaomi, on n'est pas déçu.  Simple à utiliser, léger, parfait pour le sport.</t>
  </si>
  <si>
    <t>Survetement . RAS Parfait</t>
  </si>
  <si>
    <t>Très joli Très joli</t>
  </si>
  <si>
    <t>Super produit Tres belle basket confortables</t>
  </si>
  <si>
    <t>Très bien Bonne qualité, bonne adhérence.</t>
  </si>
  <si>
    <t>chaussure basket runing pas decu du materiel tres bonne chaussure au pied ,legere et de bonne qualité avantage incroyable on ne transpire pas dedans super je recommande vivement</t>
  </si>
  <si>
    <t>Bon prix et bonnes finitions Pour le prix, foncez les yeux fermés. On le sent plus solide que mon précédent dans la même gamme de prix. Seul défaut, les poches frontales sous le rabat aurait mérité une fermeture, et le zip frontal est un peu petit. J'ai décousu le logo pour le rendre encore plus casual</t>
  </si>
  <si>
    <t>Album photos. Album, pour photos 15X10, de bonne qualité. Les pochettes sont solides. Possibilité de commenter chaque photo. A recommander sans modération.</t>
  </si>
  <si>
    <t>Elegant et efficace ! Que dire de plus ? J'en suis ravi et il ne me quitte jamais.</t>
  </si>
  <si>
    <t>belle montre de qualité et prix abordable. jolie montre et de bonne qualité, je ne regrette pas mon achat.</t>
  </si>
  <si>
    <t>En avant l'impression Je suis très satisfaite par ces cartouches, elles ont une durée nettement supérieure à celles que j'utilisais avant (marque HP), à moi les impressions à tout va!  Si je chipotais je dirais que les couleurs ne sont pas aussi "nettes/foncées" mais ça me va tout de même.  Je recommande et j'en rachèterai c'est certain.</t>
  </si>
  <si>
    <t>Correct Qualite pas super mais bon rendu</t>
  </si>
  <si>
    <t>Magnifique produit !!! Super et taille correctement !!!!</t>
  </si>
  <si>
    <t>Cool Très belle chaussure souple et très confortable</t>
  </si>
  <si>
    <t>trop cher pour ce que c'est.... quelques bouts de plastique ! un peu cher pour ce que c'est  !!!!</t>
  </si>
  <si>
    <t>montre casio 58U J'ai acheté cette montre chez Amazon  elle devait se remettre à l'heure automatiquement aux changements d'heure, mais j'ai vite déchanté: au début de mon achat, tout allait pour le mieux, mais au bout de 2 ans environ, elle a commencé a se remettre systématiquement au 1/1/ 2005 une à deux fois par mois et maintenant, je ne peux plus la porter, elle se dérègle une à deux fois par jour. Compte tenu qu'il faut refaire le cycle complet pour la remettre à l'heure, à la date, etc... on en a vite marre, on a envie que d'une chose, c'est de la claquer par terre. Cette montre n'est pas une bonne affaire  c'est plutôt une calamité; en tout cas, la mienne. J'avais porté mon choix sur la marque Casio en pensant que c'était une marque sérieuse et super ?</t>
  </si>
  <si>
    <t>Bof J'avais déjà des écouteurs comme ceux là mais je pensais qu'eux étaient meilleurs. Or je suis extrêmement déçu. Le son est assez aiguë (j'ai un faible pour les bass, mais il n'y en a pas), ils ne réduisent pas le bruit. Ils ont tenu 4h en écoute continu, 30 minutes de plus que mes écouteurs précédents. Ce que j'aime bien en revanche, c'est le fait que le boîtier soit une batterie de secours, c'est un bon plus. Mais je vais les renvoyer.</t>
  </si>
  <si>
    <t>Ne grille pas que le pain ..... Je suis un peu déçu de ce produit, car lorsque l'on grille du pain et que l'on veut le récupérer il faut faire très attention à la partie métallique au dessus de l'appareil ... car il est très facile de s'y brûler ....... !</t>
  </si>
  <si>
    <t>Bonne sacoche Pratique, fonctionnelle, assez jolie. Dommage qu'il n'y ait pas de poche dans le rabat du devant et que la poche arrière soit un peu petite. On ne peut y glisser qu'un petit portefeuille.</t>
  </si>
  <si>
    <t>parfait Très bon produit, photo identique au produit, je recommande vivement, les couleurs sont vives et chatoyante, a acheter et profiter</t>
  </si>
  <si>
    <t>Produit très intéressant pour sa capacité et son coût. Utilisation personnelle, ce que j'aime dans ce produit : la facilité de positionner la cartouche. Ce que j'aime moins c'est d'avoir une seule cartouche pour toutes les couleurs.</t>
  </si>
  <si>
    <t>Tres pratique mais gourmand en piles Je l'utilisais pour melanger les biberons de ma fille , tres puissant , convient parfaitement à plusieurs utilisations vu qu'il y'a 2 embouts mais tres gourmand en piles malheureusement , il en faut 2 à chaque fois donc à voir . Sinon le produit est tres correct malgre ca .</t>
  </si>
  <si>
    <t>Tout petit Bon produit ,pas contre c est vraiment tout tout petit Il ne faut pas avoir des gros trous d oreille . Mais bon rapport qualité prix.</t>
  </si>
  <si>
    <t>bonne qualité , tres confortable look original confort et chaleur</t>
  </si>
  <si>
    <t>Très bien Lessive en paillettes qui se dilue très bien, j'ai déjà confectionné ma mixture maison avec très peu de paillettes, ce qui n'était pas le cas avec d'autres marques.. Sans odeur, emballage en assez bon état, et prix très avantageux. Je conseille et ferai d'autres commandes de ce produit.</t>
  </si>
  <si>
    <t>Balance o top La balance est bien fini. L'étalonnage est correct. En plus elle est livré avec les piles donc c'est vraiment cool.</t>
  </si>
  <si>
    <t>super produit Pour camping car, c'est top</t>
  </si>
  <si>
    <t>Pour les pieds fins Très contante des baskets. Ma fille de 12 ans a des pieds longs mais très fins. La seule modèle trouvée jusqu’ici maintenant qui tient bien sur ses pieds.</t>
  </si>
  <si>
    <t>Très bon produit Très joli sac,finitions impeccables, très bon rapport qualité prix, acheter ce produit les yeux fermés, j'en suis ravi, s'il vous plait n'hésitez pas,de plus livraison hyper rapide et présentation soignée,aucune remarques négatives.</t>
  </si>
  <si>
    <t>Pantoufle de louxe Très confortable comme esperé</t>
  </si>
  <si>
    <t>Rie à ajouter nikel Super beau cadeau pour Noël très beau produit</t>
  </si>
  <si>
    <t>super pratique ! Ce sac correspond exactement à ce que je recherchais .  Pour les voyages lointains  , ce Multi-poches est pratique pour ranger aussi bien le passeport , que les pansements pour les ampoules ! De plus avec sa conception des trois façons à le porter, ça c'est super génial, j'adore . Bien pour les baroudeurs !</t>
  </si>
  <si>
    <t>Top et tout en cuir ! Elles sont superbe, le bout et le rond avec le logo sont en cuir. ELles sont marron fonçé, même si il s'agit d'un vieux modèle, elles sont plus jolies que celles qui mixent cuir et plastique.</t>
  </si>
  <si>
    <t>Très mignon Cadeau pour ma fille et il est très contente</t>
  </si>
  <si>
    <t>super montre pour les nostalgique de la casio numérique. Super produit, léger, très agréable à porter, bien finit. Vu le prix ça vaut le coup.</t>
  </si>
  <si>
    <t>MA-GNI-FI-QUE !!!!! Léger, agréable à porter, bref, tout pour plaire. Cependant, les petits coeur peuvent gêner un peu, surtout à table. Mais on s'habitue très vite, il suffit de faire attention. Je ne le quitte plus.</t>
  </si>
  <si>
    <t>Qualité du produit Il faut tatonner au début pour trouver le temps de cuisson de chaque type de toasts. Par exemple une tranche de pain brioché et une tranche de pain de mie classique ont des temps de cuisson très différents. C'est un bon produit, mais avec le retour d'expérience, je regrette de ne pas avoir choisi un modèle pour quatre tranches (nous sommes deux à l'utiliser). Je recommande.</t>
  </si>
  <si>
    <t>bon article , conforme a mon attente . bon article , conforme a mon attente .</t>
  </si>
  <si>
    <t>Au top ! Au top !</t>
  </si>
  <si>
    <t>Dangereuse, fragile et bruyante.. produit à éviter ! J'ai choisi cette bouilloire au vu des bons commentaires généraux plutôt positifs. Toutefois, après l'avoir essayée, elle a de très nombreux défauts.  Avant tout c'est une bouilloire dangereuse : après la chauffe, la paroi extérieure est brûlante (et le reste longtemps), gare aux enfants à proximité ou même à un adulte qui doit faire attention lorsqu'il la prend en main.  Le filtre à calcaire est clairement trop fragile et ne tiendra pas 3 mois. Idem pour le connecteur de la bouilloire, qui se clipse sur le socle, qui est très fin (la bouilloire n'est d'ailleurs pas parfaitement stable).  En plus d'être bruyante, elle met un temps très long pour chauffer une petite quantité d'eau.  Un très mauvais produit que j'ai donc renvoyé. Je mets 2 étoiles pour le design qui est réussi..</t>
  </si>
  <si>
    <t>Jolie montre mais qui s'arrête sans raison apparente J'ai acheté cette montre au mois de janvier et voici que nous sommes au mois de mars et il n'y a pas moyen, semble-t-il de la retourner.  Quand j'ai ouvert la boîte ça ne marchait pas, donc j'ai consulté la notice pour savoir la démarrer.  La notice couvre toutes les sortes de montres produites par Lige, y compris une qui est perpétuelle. J'ai donc agité la montre et enfin elle a commencé à marché.  Mais elle s'arrête de temps en temps, et cela est venu au point où je voudrais la retourner comme défectueuse. Peut-être le fabricant pourrait-il me contacter pour m'indiquer comment le faire. Ma femme a acheté la version "dames de cette montre, et elle en est bien contente. Le seul bémol autre que cette habitude de s'être arrêtée quand on veut le consulter, est la fermeture.  J'ai 73 ans et je ne suis plus si habile que j'étais dans le temps, et je trouve vraiment très difficile chaque matin de manipuler la fermeture qui en fait me semble beaucoup trop petite.</t>
  </si>
  <si>
    <t>Décue Très décue de mon achat, dès le premier lavage à l'eau chaude les pots se sont complètements déformès, et l'utilisation au micro onde n'a rien arrangè. Je ne sais pas vers qui me tourné pour résoudre le problème. Le prix est très élevé pour une qualité médiocre.</t>
  </si>
  <si>
    <t>Résistance à l'eau ou pas? J'ai ma montre depuis le dimanche 7 juillet et un mois après elle est HS: je faisais du sport avec donc beaucoup de transpiration. Tout d'abord l'écran n'affichait plus correctement puis la montre s'est éteinte. N'est elle pas censé résister à la transpiration vu les options sport qu'elle possède?</t>
  </si>
  <si>
    <t>Tenue sport Un ensemble bien fais niveau finition mai cher pour la qualité de tissu</t>
  </si>
  <si>
    <t>Un article simple d'utilisation et très complet La diversité des figurés est vraiment très utile pour réaliser un croquis. De plus les multiples dimensions permettent d'adapter facilement les marques au fond de carte.</t>
  </si>
  <si>
    <t>Bon rapport qualité/prix Super chaussettes, par contre la couleur commandé ne correspond pas à la couleur reçu... Sinon très bon rapport qualité prix.</t>
  </si>
  <si>
    <t>chaussettes de course les chaussettes par elle-même sont d'un bon confort  mais attention à la taille trop petite !! je fais du 42 en fait il faut commander du 43/46 et ce ne n'est trop grand croyez -moi c'est juste la taille souhaitable.. une chose aussi pour ceux qui sont comme- moi d' une cheville bien charpentée  c' est relativement serré !! une très forte de marque de serrage est prononcée très cordialement</t>
  </si>
  <si>
    <t>Son Je ne regrette pas très bon article</t>
  </si>
  <si>
    <t>Dynamic ... c ' est le mot .. Un grand bonheur que de retrouver toutes les subtilités et le punch de sa collection de cd...Les basses sont surprenantes sans etre envahissantes et les aigus détaillés sans être agressifs ....A condition , je pense , de posséder un ampli à la hauteur ...Ce n ' est pas pour rien que ce casque Beyer est omniprésent dans les studios d ' enregistrement et les studios radios .....</t>
  </si>
  <si>
    <t>Chauffe bib beaba Très pratique et rapide pour chauffer du lait maternel et petit pot. inconvénient: vérifier à chaque fois le niveau d’eau, et lorsqu’on chauffe de grande quantité (par exple 240ml de lait) il est parfois difficile de devisser le couvercle qui est très chaud.</t>
  </si>
  <si>
    <t>Conforme aux attentes Tout à fait ce que j'espérais. Le produit fonctionne bien et m'a permis de brancher un micro externe sur ma tablette. Bon rapport qualité/prix.</t>
  </si>
  <si>
    <t>Bague argent Je viens de recevoir cette jolie bague magnifique mais dommage trop petite il faut vraiment avoir des doigts très fin je suis déçu du coup je les mis a mon tout petit doigt dommage</t>
  </si>
  <si>
    <t>Joli survêtement Ce survêtement est vraiment agréable à porter. À savoir que le tissu n'est pas très épais et que le survêtement me semble davantage fait pour l'intérieur. Mais c'est tout à fait ce que je voulais et je suis ravie de mon achat.</t>
  </si>
  <si>
    <t>RAPPORT QUALITE PRIX PARFAIT Pour le prix, une bouillotte robuste, et qui durera dans le temps.</t>
  </si>
  <si>
    <t>Toujours besoin du plus petit que soit Offert à noël à un ami il l a trouver très rigolo ét original sur son bureau tout à porter de main</t>
  </si>
  <si>
    <t>Très bien Coffret d'huile essentielle au top. Peut servir de cadeau car très belle boîte... 6 parfums différents. Sans super bon. J'ai une préférence pour le citron. Prix très correct.</t>
  </si>
  <si>
    <t>Très bien Conforme à l'original !!!</t>
  </si>
  <si>
    <t>Il sont trop beau Tout à fait ce que j' attendaid</t>
  </si>
  <si>
    <t>Toujours parfait Livraison rapide !  Le prix très intéressant et les mam sont inconditionnellement les meilleurs biberons ! Ma fille ne jure que par cette marque !</t>
  </si>
  <si>
    <t>J'adore J'adorais trop malheureusement je l'ai perdu lors d'un voyage</t>
  </si>
  <si>
    <t>Parfait Parfait en taille, je porte su 38 et ça tombe très bien.</t>
  </si>
  <si>
    <t>Parfait pour des sports en salle Ces chaussettes taillent parfaitement bien, je les utilise en général pour des sports en salle type badminton ou foot salle. Elles sont même eu l'occasion de faire quelques sorties en course a pied, et je n'ai eu aucune ampoule. Bon rapport qualité/prix, je recommande !</t>
  </si>
  <si>
    <t>Mauvaise qualité J'achète habituellement les BVC de chez aspire pour ma vaporette, résistance pour une durée de vie d'environ 2 semaines chez les sites spécialisés. J'ai essayé sur amazon mais le résultat n'est pas bon.C'est bien le même emballage, la bonne marque, les Bobine sont visuellement comme celle que j'achète habituellement.... Mais 3 des résistances sur 5 fuient.... effet de "glouglou" permanent.... donc poubelle Les 2 autres n'ont tenu qu'une semaine, soit la moitié de mes habitudes. Peut être un manque de bol ou une mauvaise série ? Je ne rachèterais pas ce produit.</t>
  </si>
  <si>
    <t>A EVITER surtout cette montre ne correspond pas à la photo, je l'ai retourné à éviter , c'est grossier , et assez vilain en réalité seule la boîte d'emballage est sympa</t>
  </si>
  <si>
    <t>Non conforme Ne fonctionne pas avec le bose soundlink malgré ce qui est annoncé. Je déconseille fortement ce produit. Non conforme v</t>
  </si>
  <si>
    <t>Reçu rayé Reçu pour offrir en cadeau ... Même pas ouvert ... Honte devant ma femme, rayé et malheureusement on ne pouvait pas le renvoyer</t>
  </si>
  <si>
    <t>Jolie mais pas top Jolie boîte mais pas toujours facile à visser, j’ai choisis une autre marque Nuk pour pas la citée car le vissage est beaucoup mieux et les boîtes sont transparentes. C’est donc plus facile de savoir où on en est ...</t>
  </si>
  <si>
    <t>La classe et élégance Cadeau à mon petit fils pour une cérémonie</t>
  </si>
  <si>
    <t>Produit satisfaisant J'ai acheté ce casque car mes écouteurs étaient en fin de vie et c'est un produit plutôt satisfaisant pour son prix. Il est bon au niveau du son. Cependant il ne couvre pas énormément les bruits extérieurs et il est très peu 'isolé'. Les autres peuvent entendre un peu votre musique .</t>
  </si>
  <si>
    <t>Observation Cela me fait du bien au niveau des cervicales. Jai fait beaucoup de motos et de parachute et cela se paie un jour Bien à vous.</t>
  </si>
  <si>
    <t>Conforme a la description Puma est une tres bonne marque de chaussettes. Confortable et pas trop cher ! Je m'en sers pour le sport.</t>
  </si>
  <si>
    <t>Linge désinfecté Employé tous les jours pour le linge. Très bonne odeur et sentiment d'un linge propre</t>
  </si>
  <si>
    <t>satisfaite Bon rapport qualité/prix</t>
  </si>
  <si>
    <t>inquiète, mais satisfaite. J'ai acheté ces cartouches avec inquiétude, mais vu le prix des cartouches Epson, j'ai eu envie d'essayer. J'ai installé la cartouche noire, l'imprimante m'a dit que je ne devais pas, j'ai continué, l'imprimante a bien écrit que je prenais de gros risques, j'ai continué. Au final, j'ai imprimé avec beaucoup de netteté mon dossier, j'avais environ 170 pages à faire, et il reste pour le moment de l'encre dans la cartouche. Je suis satisfaite et pour le moment je ne regrette pas d'avoir essayé. Je recommande.</t>
  </si>
  <si>
    <t>Bonne qualité sonore et commandes tactiles sur les écouteurs. Super produit. Bonne qualité sonore. Commandes par simple pression, pression prolongée ou double pression sur les écouteurs. La batterie de la boite  des écouteurs peut aussi servir à recharger votre téléphone. Et il y a une affichage du  niveau de charge de la batterie.</t>
  </si>
  <si>
    <t>Parfait Ces surligneurs sont parfait et le côté pastel apporte de l’originalité je vous les conseille</t>
  </si>
  <si>
    <t>Merci👍🏻 Bien dedans😃</t>
  </si>
  <si>
    <t>Idée cadeau utile Excellent produit pour un ado</t>
  </si>
  <si>
    <t>Pratique Acheté pour mon mari qui adore ce style de pochette. Elle a l’air solide mais le temps nous le dira, sa tablette rentre dedans, ça peut faire un joli cadeau.</t>
  </si>
  <si>
    <t>Égouttoir de voyage Super égouttoir de voyage. Je le recommande car il est très pratique pour nettoyer les biberons quand on part en vacances, on peut y faire sécher 2 biberons Mam (c’est ce que j’ai).</t>
  </si>
  <si>
    <t>Très bon casque bluetooth Le blanc pur est très élégant et la connexion est très pratique. J'aime beaucoup l'aspect de l'emballage et il n'est pas endommagé.</t>
  </si>
  <si>
    <t>Très bon produit Sac poubelle parfait</t>
  </si>
  <si>
    <t>Bon produit Pied réglable facilement, bonne finition, emballage correcte. Je l'utilise avec un BIRD UM1, entièrement compatible. Prévoir tout de même de la place sur le bureau car une fois positionné, le pied peut être "imposant" si vous disposez d'un espace assez restreint.</t>
  </si>
  <si>
    <t>Très bon rapport qualité prix. Très bonne paire de bottes, qui tiennent bien chaud et totalement imperméable. Je recommande.</t>
  </si>
  <si>
    <t>Carte cadeau sympa Ce produit a été choisit grâce à sa jolie boîte ballon. Une carte cadeau fait toujours plaisir.</t>
  </si>
  <si>
    <t>bien plus large que sur la photo Attention, car contrairement a ce que la photo pourrait laisser croire....cet article est plutôt du genre sac a patates, ce n'est pas une coupe droite.. Et même si la taille de la ceinture correspond a la taille réelle, c'est les jambes qui sont beaucoup trop larges...dommage car bonne qualité de tissu et de fabrication..</t>
  </si>
  <si>
    <t>non conforme !!!! Grrrr, un seul short reçu au lieu des 2 de la description donc déçue !!! Et comme je n'ai pas pris le temps de le renvoyer, tant pis pour moi...mais Tres énervée quand même !!</t>
  </si>
  <si>
    <t>Produit retourné, très mauvaise qualité. Produit retourné, très mauvaise qualité.</t>
  </si>
  <si>
    <t>Jolie mais a voir le long therme Bracelet assez large pour le poignet d'une femme. Il se ressert facilement mais à voir si il ne casse pas à force... Sinon très jolie à la lumière.</t>
  </si>
  <si>
    <t>Fastidieux Compliqué a utiliser au départ. Il y a beaucoup de boutons. Sinon pas trop mal.</t>
  </si>
  <si>
    <t>Très bien Ce pied de micro fonctionne très bien. Il est réglable de partout et suffit amplement. Il manque quand même de solidité car même serrées à fond, les vis ont tendance à bouger un peu.</t>
  </si>
  <si>
    <t>Prix Bretelle très grande mais maintien correcte et suffisant même pour les poitrines tombante</t>
  </si>
  <si>
    <t>merci casio comme sur la photo . pratique ,elle fait aussi la date , chrono .il ne lui manque plus , que d'être connectée.</t>
  </si>
  <si>
    <t>Superbe ! Très confortable, tout doux un vrai plaisir ! Bonne qualité et taille bien, parfait !</t>
  </si>
  <si>
    <t>parfait ces biberons sont top. résistant, tiennent parfaitement dans les mains de bébé. ils passent et résiste aux multiple passage au lave vaisselle</t>
  </si>
  <si>
    <t>Un peu léger Très bon produit</t>
  </si>
  <si>
    <t>Impeccable Facile à porter avec tous très facile à nettoyer également et très léger à porter</t>
  </si>
  <si>
    <t>Super produit ! Cette combinaison est parfaite pour le sport, légère et pratique ! on se sent à l'aise pour courir , c'est super.</t>
  </si>
  <si>
    <t>Le confort de la chaussure Bonjour , chaussure légère et confortable à voir dans le temps ..... Cordialement</t>
  </si>
  <si>
    <t>La valite Content de cette achat</t>
  </si>
  <si>
    <t>converse Très bien bonne pointure bonne couleur Très bonne qualité prix très intéressant livraison parfaite je recommande ce produit bon maintien</t>
  </si>
  <si>
    <t>parfait leger, rapide, esthétique, je recommande.</t>
  </si>
  <si>
    <t>bon produit superbe finition</t>
  </si>
  <si>
    <t>Magnifique Elles donnent de la Beauté au visage Très faciles à mettre</t>
  </si>
  <si>
    <t>Je suis d'accord avec beaucoup de personne, les recharges d'encre sont très vite épuisées et mêmes celles des couleurs Je suis d'accord comme beaucoup de personnes qui reprochent aux cartouches d'encre Canon d'être  très vite épuisées,même les cartouches de couleurs qui se vident alors que  quant l' on utilise uniquement les noires ? De plus l'imprimante ne cesse de faire des va- et -vient entre chaque imprimes ce qui rajoute encore l'épuisement des cartouches. Aussi c'est la dernière fois que j'achète une Canon.</t>
  </si>
  <si>
    <t>Super Mini Micro Super micro, très discret, léger, il se connecte facilement sur le smartphone, livré avec son étui. Excellent rapport qualité prix Je le recommande</t>
  </si>
  <si>
    <t>diffuseur huiles trés jolie et trés simple a utilisé diffuseur huiles essentielles  trés jolie beau design plusieurs modes de fonctionnement de plus simple a l utilisation plusieurs modes de couleurs lumiéres douce vraiment produit trés bien pour toutes les saisons diffuseur éfficace je le recommande</t>
  </si>
  <si>
    <t>La sacoche qu' il me faut. Après plusieurs essais, j' ai enfin trouvé avec cette sacoche satisfaction. Mes affaires de premières nécessitées sont à portée de main (smartphone, cartes de paiement) de manière très directe, et sinon la sacoche à une capacité de stockage plutôt importante, sans être trop imposante.</t>
  </si>
  <si>
    <t>Un peu déçu Un peu déçu, le produit taille petit j'ai pris un 45 mais il fait plus 44.5 produit reçu en poche donc les chaussures avais des plis. Bref pour le prix reste correct mais une boîte serait la bienvenue</t>
  </si>
  <si>
    <t>Pas satisfait Ne rentre pas sur le bracelet Maubousin rigide!?</t>
  </si>
  <si>
    <t>Correcte. Confortable, sans plus. Produit conforme à la photo. Pas trop sexy par contre. Bien noter que la brassièrr comporte des rembourrages, peut-être pas si esthétiques que cela.</t>
  </si>
  <si>
    <t>Déçu Déçu au bout de quelques mois elle ont craqué au niveau du plastique</t>
  </si>
  <si>
    <t>Bon produit Un peu trop large</t>
  </si>
  <si>
    <t>Problème de taille Je chausse en général chez Converse du 37, à la réception c'était trop petit,  j'ai recommandé du 38,  c'était trop grand,  pas de chance pour moi le 37, 5 était en rupture .</t>
  </si>
  <si>
    <t>Tout ce dont tu as besoin Tout ce dont j'ai besoin est mis ensemble. Beaux sacs de qualité, durables et saisissent parfaitement. Mais je pense qu'ils auraient pu être moins cher.</t>
  </si>
  <si>
    <t>souple Dommage que les semelles ne soient pas protégée</t>
  </si>
  <si>
    <t>Je recommande ! Zéro colique. Ce biberon est top et complète bien l'allaitement maternel. Il reproduit le sein et permet à bébé de boire tranquillement.</t>
  </si>
  <si>
    <t>Bonne affaire Je suis très content de ce produit. Il a des pochettes à l’intérieur ce qui est très pratique. Les anses sont très solides. Parfait pour mon boulot.</t>
  </si>
  <si>
    <t>Satisfaite Très contente de mon achat, j'ai d'autres biberons de la marque MAM mais il n'y a pas de dessins dessus contrairement à ceux là. De plus j'avais une préférence pour la couleur rose, j'ai pris le pack 2 biberons rose et 1 vert mais au final j'ai reçu 3 biberons rose et 0 vert. Erreur ou pas, tant mieux pour moi!</t>
  </si>
  <si>
    <t>Casque enfant Ma fille l utilise sur sa kidicom et sur sa tablette. Fonctionne parfaitement bien et très confortable !</t>
  </si>
  <si>
    <t>RAS Comme sur la photo; très sympa. Je fais du 43 de base mais comme avec chaque marque de chaussure elle me font un poil plus grand (vaut mieux cela que l'inverse) mais je peux tous de même les porter sans soucis et elle sont confortable</t>
  </si>
  <si>
    <t>Super baskets Très belles chaussures, légères et agréables à porter</t>
  </si>
  <si>
    <t>bonne qualité J'adore ce bracelet. les bracelets sont très bien et les élastique tienne! super produit.</t>
  </si>
  <si>
    <t>sans problèmes particuliers j ai acheté ces rallonges de 3 mètres car les câbles fournis de bases étaient un peu courts vu la disposition de ma configuration, outre leur longueur ils sont tout à fait standards et fonctionnent parfaitement.</t>
  </si>
  <si>
    <t>cable vga, correct et pas cher utilisé pour un projecteur, 1m80 permet d'avoir le projecteur pas trop près du PC. rien à signaler, le câble est correct.</t>
  </si>
  <si>
    <t>Très jolie et sécurisé pour les enfants Produit conforme à la description, chaque perle a un noeud avant/après pour la sécurité en cas de casse et le fermoire (vis en plastique) semble assez solide sans l’être trop pour pouvoir céder en cas de tension (certainement pour éviter les étranglement si celui-ci se retrouve aggripé fort ou accroché à quelque chose). Je trouve la taille super pour ma fille de 8 mois. Acheté pour soulager ses pousser dentaire. Depuis que je lui ai mis elle ne semble plus avoir mal aux dents, mais c’est certainement parce que la poussé est fini. On verra dans le temps si l’ambre la soulage un peu Je recommande ce collier</t>
  </si>
  <si>
    <t>Très performant, plus qu'un simple jouet J'ai offert ce micro à ma fille pour ses 4 ans et j'avoue avoir été très agréablement surprise par sa qualité et ses fonctions. Même ses grands frères le trouve plus performant que leurs enceintes Bluetooth ! La couleur rose métal a été très apprécié ! Bien plus qu'un jouet même suffisamment résistant pour être utilisé par des petits.</t>
  </si>
  <si>
    <t>beauty jewelry Les gens apprecient alors qu est ce qu on demande de plus Livraison a temps , il faudra aller chez fossil ou un autre retailer de montre pour reduire le bracelet</t>
  </si>
  <si>
    <t>Très bon produit et très bon service, je recommande cet article. Le produit correspond parfaitement à la description, il est de très bonne qualité, vraiment rie à dire. De plus il a été livré en 24h. Très bon produit et très bon service. Je recommande l'enxemble</t>
  </si>
  <si>
    <t>bon pantalon j'ai choisi ce pantalon qui m'as paru très bien pour moi et pratique . jolie couleur et à la mode . et confortable et chaud et  sans problème .</t>
  </si>
  <si>
    <t>Produit conforme à mes attentes Très bon produit. Cuir de qualité. Je peux emporter tous mes dossiers qui sont nombreux. Très pratique.</t>
  </si>
  <si>
    <t>Qualité au rdv et elles sont vraiment fines ! Confort, pas de soucis de frottement et qualité au rdv. Elles sont vrmt fines, idéal que pour l'été !  EDIT : Après quelques temps, elles commencent à craquer au niveau du talon.</t>
  </si>
  <si>
    <t>Vous ne pouvez pas vendre de telles chaussure c est honteux de votre part C est honteux de vendre de telles chaussures. C'est une infection une odeur chimique impossible à atténuer.  J'ai été obligé de jeter ces chaussures car l'odeur envahissait tout mon appartement. Donc je vous demande le rembourssement de cet achat sans pouvoir vous retourner ces chaussures car elles sont allées directement à la déchèterie afin de ne pas infecter ma poubelle. Je vous remer iede regarder ce problème de près. Cordialement</t>
  </si>
  <si>
    <t>Désagréable J'ai été déçue par les "picots" de la semelle qui sont désagréables car trop prononcés. Ainsi lorsque je marchais je sentais ces picots sous ma voûte plantaire et je n'ai pas adhéré. Ma fille aînée qui a des Crocs Crocband les a essayé et a eu la même sensation désagréable. Je conseille donc plutôt les crocs crocband.</t>
  </si>
  <si>
    <t>premières impressions Dodie -Tétine Sensation+ plate col large 0-6 mois silicone débit 1 acheté 3.97e par amazon, livrée sous 48h. Il a deux tétines dans le paquet. le plastique d'emballage est abîmé mais ne semble pas troué ni avoir endommagé la tétine. Je le reçois aujourd'hui donc que 3 étoiles car "j'aime", le produit étant conforme a ce que j'ai commandé, à voir à l'usage. Sur conseil de la vendeuse orchestra j'ai acheté que le débit 1 et 2, les débit 3 et 4 étant vraiment quand on passe a du très consistant.</t>
  </si>
  <si>
    <t>Le produit n'était pas parfait Un des lacets n'était pas propre. J'ai failli renvoyer le produit à cause de cela.</t>
  </si>
  <si>
    <t>Reçu légèrement après le délais Très sympa</t>
  </si>
  <si>
    <t>Gros goupillon Nettoie parfaitement les biberons mais un peu gros et à donc du mal à rentrer dedans. Cependant il possède 2 sortes de poils plus où moins dur et d'une éponge. Pas besoin de frotter longtemps pour voir le résultat. Je recommande</t>
  </si>
  <si>
    <t>Bon produit dans l'ensemble Bon produit pas cher et de bonne qualité pour le prix Franchement allez y sans problème !!!  Je met 4 étoiles car il manque un peu de dynamique je trouve même avec alimentation 0,48 volt de la table de mixage.  Attention le micro larsen très vite des que l'ont pousse un peu trop de gain.  Je préconise un preampli externe du genre dbx 286s pour obtenir un son de bonne qualité et mettre la bonnette</t>
  </si>
  <si>
    <t>Moderne Belle bouilloire avec lumière bleue quand elle est en marche.</t>
  </si>
  <si>
    <t>Tres utile &lt;div id="video-block-R11IBDQ6EZSYC2"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src="https://images-eu.ssl-images-amazon.com/images/I/810zxmrevjS.mp4" style="position: absolute; left: 0px; top: 0px; overflow: hidden; height: 1px; width: 1px;"&gt;&lt;/video&gt;&lt;/div&gt;&lt;div id="airy-slate-preload" style="background-color: rgb(0, 0, 0); background-image: url(&amp;quot;https://images-eu.ssl-images-amazon.com/images/I/91f9y98HSqS.png&amp;quot;);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center;"&gt;0:04&lt;/div&gt;&lt;div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value="https://images-eu.ssl-images-amazon.com/images/I/810zxmrevjS.mp4" class="video-url"&gt;&lt;input type="hidden" name="" value="https://images-eu.ssl-images-amazon.com/images/I/91f9y98HSqS.png" class="video-slate-img-url"&gt;&amp;nbsp;Il me sert bien pour la principale fonction du porte micro, j'aime bien le son et c'est tout bon</t>
  </si>
  <si>
    <t>Bon achat Livraison très rapide, reçu le lendemain de la commande. Le bracelet est livré avec une sorte de clés permettant de détacher le bracelet d'origine et de faciliter la placement du nouveau. Le système d'attache est bien pensé, il facilite le placement ou le retrait du bracelet grace à un petit mécanisme sur l'intérieur du bracelet. La qualité semble bonne.</t>
  </si>
  <si>
    <t>Super produit, top qualité Mon fils les adore ! Je recommande vraiment ! Produit top qualité.</t>
  </si>
  <si>
    <t>UNE QUALITE DE SON EXCEPTIONNELLE Ce que j'aime : un son en stéréophonie réglable au niveau des graves et des aigus, pour chacune des oreilles et, le top du top, la possibilité d'enclencher l'intelligibilité de la voix qui, par un simple appui sur un petit bouton, prend le pas sur la musique de fond et l'ambiance sonore environnementale. Autre avantage : la transmission par ondes radio (et non par infrarouge), ce qui permet de se déplacer en en continuant à écouter. Ce que j'apprécie moins : les écouteurs qui, à la longue, font mal au cartilage de l'entrée de l'oreille. Il faut sans doute s'y habituer, mais aucun des trois embouts disponible n'est insensible.</t>
  </si>
  <si>
    <t>super Acheter il y a un an pour noel a un ado de 16 ans et elle fonctionnement encore parfaitement et on n'a pas encore changer de pile. je recommande</t>
  </si>
  <si>
    <t>Excellent produit Neewer nous donne ici un très très bon rapport qualité prix, ne pas oublié cependant l'acquisition d'une alimentation phantom pour faire fonctionner le tous, je recommande vraiment</t>
  </si>
  <si>
    <t>Excellent, c'est du Songmics Livré dans les temps. Le montage, contrairement à ce que je peux lire, est simple et m'a prit 15 minutes tout seul. La hauteur du dossier est parfaite, le maintien des reins aussi. La hauteur maximale est suffisante par contre, s'il avait pu descendre un tout petit peu encore cela aurait été mieux. Mais ce n'est pas la priorité. Les accoudoirs repliables sont confortable et solide (je voulais ce modèle car je suis toujours assis en "tailleur" sur les fauteuil, jamais normalement). Je mesure 1m69 aussi, je me sens bien à l'aise dans ce "grand fauteuil". J'ai déjà quelques meubles de la marque songmics et pour le moment, c'est une marque que j'apprécie beaucoup.</t>
  </si>
  <si>
    <t>Parafait Ces écouteurs sont de qualités, rien à dire, bonnes basses, bon équilibre et jolie, très bon rapport qualité prix. Je recommande.</t>
  </si>
  <si>
    <t>produit de bonne qualité Bien emballé. Le kit d'outils fourni remplit très bien son rôle. J'ai un poignet fin et j'ai retiré quelques segments et c'est bien adapté. Semble solide. À voir à l'usage.</t>
  </si>
  <si>
    <t>trieur Le trieur est idéal pour classer toutes les feuilles de cours. Avant mon fils, les laissait traîner au fond de son sac puis les jetait... A présent avec ce trieur, il les classe au fur et à mesure et ne les perd plus. Il est robuste,rentre bien dans un sac d'école et avec tous les onglets, il y a possibilité de faire un bon classement</t>
  </si>
  <si>
    <t>Super écouteur bon son bonne qualité Écouteurs de très bonne qualité bon son et agréable à porter à l’oreille longue autonomie et pratique pour emporter partout avec sa boîte de charge</t>
  </si>
  <si>
    <t>Tout s'est bien déroulé. Rien à redire Envoi rapide. Conforme à l'attente</t>
  </si>
  <si>
    <t>Joli sweat J'ai acheté ce sweat pour le porter au travail, j'en suis très contente, du coup j'en ai pris un autre avec d'autres motifs. Prévoir une taille au-dessus de la sienne.</t>
  </si>
  <si>
    <t>Très bon rapport qualité/prix Très bon tissu , certes je me suis trompé sur les coloris mais produits identique à la description , la taille est parfaite aussi .</t>
  </si>
  <si>
    <t>Magnifique collier. J'ai mis excellent car ce pendentif est magnifique. De très belle qualité et original. Ce cadeau a fait énormément plaisir. A recommander.</t>
  </si>
  <si>
    <t>CASIO peut mieux faire Les vis bougent et il est probable que j'en perdrai un bientôt (je parles des 4 vis décoratifs autour du cadran). Les fonctions de marée et lune sont inexactes. Des ailes sous la montre piègent le calcaire, enfin un bracelet en patoche qui hérite la peau</t>
  </si>
  <si>
    <t>Belle montre mais aiguille hs dommage !!!! &lt;div id="video-block-R3MOGA2P2CLWS4"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src="https://images-eu.ssl-images-amazon.com/images/I/A1ggK2hOinS.mp4" style="position: absolute; left: 0px; top: 0px; overflow: hidden; height: 1px; width: 1px;"&gt;&lt;/video&gt;&lt;/div&gt;&lt;div id="airy-slate-preload" style="background-color: rgb(0, 0, 0); background-image: url(&amp;quot;https://images-eu.ssl-images-amazon.com/images/I/919HnWnu0mS.png&amp;quot;);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value="https://images-eu.ssl-images-amazon.com/images/I/A1ggK2hOinS.mp4" class="video-url"&gt;&lt;input type="hidden" name="" value="https://images-eu.ssl-images-amazon.com/images/I/919HnWnu0mS.png" class="video-slate-img-url"&gt;&amp;nbsp;Montre à peine achetée et déjà l aiguille des secondes qui se bloque ..... pas top!!!  Obligé d 'appuyer sur le bouton du haut pour la décoincer  .  Jamais à l heure elle ne fait que retardé ...  Je fais un retour  car sinon  à cause de cette montre je vais me faire renvoyer de mon travail  pour n'y être jamais à l heure  :)</t>
  </si>
  <si>
    <t>Non reconnu par mon imprimente Même si la référence de mon imprimante apparaît dans la lsite dans la description, les cartouches ne sont pas reconnus par l 'imprimante, produit nul que je ne recommande pas du tout je met un étoile parce que je ne peux pas mettre 0</t>
  </si>
  <si>
    <t>Bien ! mais quand même un peu déçu Rentre bien dans l'oreille mais un peu gros par rapport à d'autres marques. Le son est ok, sans plus pour la marque Bose.</t>
  </si>
  <si>
    <t>bien bon produit confortable au maximum point de vue chaleur c'est niquel plus froid aux pied je reproche juste l'impermeabilitée prévue pour marché dans une tt petite flac d'eau si ca depasse le niveau du lasé c'est plus etanche mais sinon tres confortable</t>
  </si>
  <si>
    <t>Bien Bien mais qualité minime</t>
  </si>
  <si>
    <t>Bon produit Achetés pour une liaison midi DIN entre un synthé et ma carte son harware.  Diamètre du câble : 5 mm. Produit livré rapidement et conforme à la description.  Très bon rapport qualité prix.</t>
  </si>
  <si>
    <t>produiy conforme à mes attentes le son est correct vu le prix pratiqué.</t>
  </si>
  <si>
    <t>Bon produit Maman très contente Produit conforme</t>
  </si>
  <si>
    <t>Solide Pour prolonger la vie d'une montre à bracelet de cuir. Produit durable de qualité</t>
  </si>
  <si>
    <t>Bose what else ? Un son propre à Bose (il faut aimer) une réduction de bruit très efficace, le casque est très léger et très agréable à porter. Il semblerait qu’il soit équivalent au concurrent Sony je me demande si les critiques ont vraiment essayé le Sony car pour avoir testé les deux le Bose est loin devant en termes de port, légèreté, autonomie plus faible que 22h et comme je ne compte pas porter mon casque 22h... le Sony aurait lui 30h.</t>
  </si>
  <si>
    <t>Casio g shock La réputation de la g shock n est plus à faire très bon produit.</t>
  </si>
  <si>
    <t>Bien mais . . CHER !</t>
  </si>
  <si>
    <t>très bien et comme je m'étais trompé dans la taille il y en a un pour moi et un pour mon fils commandé deux fois tellement il est bien un pour le fils un pour le père</t>
  </si>
  <si>
    <t>Très joli collier Cadeau offert à Noël. Livre dans une boîte a bijoux rigide et estampillé de la marque du collier. Très jolie présentation pour un cadeau.  Très jolies couleurs, conformes à photo et qui attire l'attention du regard. Joli métal même s'il ne s'agit pas d'or blanc, vu le prix. Porté tous les jours sans problème.</t>
  </si>
  <si>
    <t>Impeccable Fonctionne très bien avec la selphy cp1300. Photos de très bonnes qualités.</t>
  </si>
  <si>
    <t>Bon produit Acheté pour fabriquer des bijoux, super!!</t>
  </si>
  <si>
    <t>Très agréable De superbes senteurs, très agréables... Le coffret est joliment présenté ! Le petit livret avec des idées de comment utiliser les différentes huiles est vraiment pratique !</t>
  </si>
  <si>
    <t>Bon rapport qualité-prix Article conforme, rend l'éclat aux chaussures blanches</t>
  </si>
  <si>
    <t>parfait Un Câble VGA tout ce qu'il y a de plus normal, il fait parfaitement son travail, aucuns soucis constaté à ce niveau là</t>
  </si>
  <si>
    <t>Pour l'aquabike J'ai acheté ces chaussures pour pratiquer l'aquabike. Elles taillent comme il faut et sont discrètes car transparentes. Elles sont légèrement difficiles à enfiler mais au moins après elles ne bougent plus. Je recommande.</t>
  </si>
  <si>
    <t>Mon son me dit merci ! Mon ampli et mes enceintes mon dit merci ! plus aucun effort de puissance avec mon ampli. le son gagne en énergie et retranscription.</t>
  </si>
  <si>
    <t>Ras Mon neveu fait du mau top</t>
  </si>
  <si>
    <t>Juste ce qu'il me fallait Je fais mes produits maison moi même :liquide vaisselle, nettoyant ménager, lessive, assouplissant, nettoyant sol.... Bref, j'utilise beaucoup d'huiles essentielles. Ce pack couvre les principaux parfum dont je me sers sans oublier l'eucalyptus que l'on va bientôt utiliser pour les rhumes. Et en plus j'aime bien les flacons qui ont un look sympa.</t>
  </si>
  <si>
    <t>pas le bon produit livé il ne s'agit pas de malheureusement depointe moyenne mais tres fine!! il faudrait le preciser car nous etions a la recherche d emoyenne et impossible de faire reclamation via amazon</t>
  </si>
  <si>
    <t>cartouche seche! achetee en mars 2019,et gardé en stock pour l'ouvrir il y a 15 jours...et déjà en panne sur le noir alors que je n'ai pas imprimé plus de 20 pages . Trop tard je suppose pour un remboursement.</t>
  </si>
  <si>
    <t>Achat intéressant Casque tres correct pour son prix.</t>
  </si>
  <si>
    <t>Beau cadeau Trop mignon. Satisfaite pour cadeau futur maman</t>
  </si>
  <si>
    <t>Légère et confortable Colis reçu très rapidement ! Conforme à la description. J’ai travaillé avec 9h elles sont confortable, j’ai eu cependant des petites douleurs au pieds à la fin mais je ne met pas la faut que sur la chaussure :) J’ai pris du 41 et elle était assez grande, merci de m’avoir fourni les chaussettes avec</t>
  </si>
  <si>
    <t>Très bien détente</t>
  </si>
  <si>
    <t>brassiere nike très bonne qualité vous ne serez pas déçus idéale pour les sportives confortable et élégante à la fois facilité d'entretien</t>
  </si>
  <si>
    <t>Pas pour n'importe qui. J'ai longuement hésité à mettre autant d'argent dans un casque mais au vu des jeux récents, le confort de l'audio est devenu nécessaire. Mais pour faire simple, ce casque ne peut pas convenir à n'importe qui, pour une raison très simple : sa taille. Franchement, c'est un mastodonte, d'une légèreté impressionnante mais pourtant, il tient à peine sur ma tête, et pourtant, j'ai la tête large. Le sans fil est appréciable mais dès que je me penche, le casque part souvent avec, ce qui peut parfois, en plus de risquer de le faire tomber, modifier les molettes de controles de son ... c'est un peu pénible. Rien de dramatique en soit, mais pour les ado ou les filles, c'est un casque à proscrire pour moi. Au delà du reste, un classique + / - : Les + : esthétique irréprochable, qualité de son impressionnante, réglage à même le casque agréable même s'il faut un temps d'adaptation avant de pouvoir bien le gérer, personnalisation des sons via Synapse (logiciel Razer), l'autonomie impressionnante ... Les - : la taille qui ne peut pas convenir à tout public, et un léger - pour la qualité du microphone dont on pourrait attendre quelque chose de plus "réel", la qualité n'est pas mauvaise en soit mais le rendu n'est à priori pas parfait. Somme toute pour 150€, c'est un bon investissement et je fais confiance à Razer pour la longévité.  Un dernier petit coup de gueule sympathique à Razer : pitié, finissez en avec votre logiciel "Synapse" qui est en beta depuis deux ans et qui continue de planter tout seul régulièrement ...</t>
  </si>
  <si>
    <t>Fan de la première heure Premier Disney du genre que j'avais déjà adoré au cinéma !!!! J'avais déjà la version collector en DVD mais je voulais voir ce que donnait la 3D : pas déçu du tout ! La 3D en Blu-ray sublime le dessin animé. Je pense quand même qu'il faut le réserver aux fans ou à ceux qui ne l'ont pas encore en Blu-ray ou DVD. A avoir absolument dans une vidéothèque Disney.</t>
  </si>
  <si>
    <t>Qualité Superbes chaussures à tous points de vue. Très confortables mais également assez rigides pour bien maintenir le pied. Je les ai testées pendant 3 matchs. (Presque) Rien à redire. Je recommande vivement. Seul léger inconvénient (pour certains). Leur poids. Et encore, je chipote un peu...</t>
  </si>
  <si>
    <t>Cartouche pratique Cartouche reçue. Facile d'utilisation, peut se conserver longtemps.</t>
  </si>
  <si>
    <t>Ravie Acheter pour faire un cadeau à mon gendre, montre légère, classe, vraiment ravie.</t>
  </si>
  <si>
    <t>Très jolie Très jolie</t>
  </si>
  <si>
    <t>Super article Super masseur a epaule et cou, marge avec une prise ou allume cigare pour la voiture, plusieurs modes differents, emplacement pour les mains pour tenir l’appareil, de super qualite et pas cher pour un massage de la sorte, vraiment super.</t>
  </si>
  <si>
    <t>Jolie montre, design et facilité d'utilisation J'en avais déjà une, qui fonctionne toujours bien après une bonne douzaine d'années !, je m'en suis commandée une seconde suite au fermoir du bracelet qui a cédé, je l'a recommande !, et la livraison rapide comme toujours.</t>
  </si>
  <si>
    <t>La taille du produit et la nature du textile. Cadeau Noël très apprécié</t>
  </si>
  <si>
    <t>ma fille est ravie!!! correspond à nos attentes, taille parfaitement (38) juste leur laisser le temps de se faire car le cuir est assez dur</t>
  </si>
  <si>
    <t>Jolie Parfait</t>
  </si>
  <si>
    <t>Original et pratique J'avais déjà un chat, me voici avec un renard brun. Toujours aussi agréable pour soulager mes maux de cervicales... jamais utilisé en mode froid</t>
  </si>
  <si>
    <t>Très bonne qualité et aussi jolie que sur la photo Elles sont juste top. Très belles baskets conforme à la photo. Je recommande</t>
  </si>
  <si>
    <t>Très bonne qualité Très bonne qualité, parfait pour ce que je souhaitais en faire: pyrograver le nom de mes enfants sur les ronds, et les vernir.</t>
  </si>
  <si>
    <t>Résultats Réception impeccable sans difficulté particulière pour la mise en route en suivant bien la notice. Je conseille pour les températures OUT et IN. Le prix est correct</t>
  </si>
  <si>
    <t>Ravi c’est top pour chasser l’humidité Je suis ravi de ce produit, pour ma salle de bain qui était très humide avec des moisissures il marche très bien on sent la différence !</t>
  </si>
  <si>
    <t>Écouteurs parfaits pour la course Moi qui était embêtée avec les fil de mes anciens écouteurs quand je courrais, ces écouteurs sont justes parfaits! L’ ergonomie est parfaite pour le maintien de l’oreille Le son est top, l’impression de vivre le concert en direct! De plus ils sont intuitifs, un simple tape pour changer de musique de mettre en en pause! Enfin son étui de recharge est vraiment pratique !</t>
  </si>
  <si>
    <t>Mauvaise qualité Cet article ne correspond pas aux standards de la marque Canon. Plutôt bas de gamme, les modèles adaptables sont supérieurs.</t>
  </si>
  <si>
    <t>Touches ne fonctionne pas Bonjour, j'ai reçu la montre et les touches du 7 - 8 - 9 ne fonctionnent pas, comment pourrait je faire pour que les 3 touches fonctionnent. merci</t>
  </si>
  <si>
    <t>Taille beaucouip trop grand Je fais habituellement un 34 mais la taille S est beaucoup trop grande et ne maintient pas du tout la poitrine dans mon cas. C'est dommage car le prix était très attractif.</t>
  </si>
  <si>
    <t>bien après imperméabilisation de la chaussure, l'utilisation est satisfaisante, par contre elles glissent, la semelle en plastique est dure donc attention en randonnée et sur les roches humides. C'est dommage la marque AIGLE est pourtant renommée.</t>
  </si>
  <si>
    <t>Bon produit Je débute dans le mix et cette platine a l'air de donner un bon nombre de possibilités. Toutefois, elle est livrée sans cordon de raccordement au PC USB/type-B, sans adaptateur Jack 6.3mm/3.5mm, et sans notice papier que ce soit pour le logiciel ou la platine...</t>
  </si>
  <si>
    <t>Commande rapide et très confortable Commande reçu rapidement, taille correctement, la semelle intèrieur est très confortable, pas trop lourde, je travaille dans un entrepôt je marche beaucoup et aucune douleur de pieds en fin de journée, a voir dans le temps maintenant</t>
  </si>
  <si>
    <t>Utilisation simple - moyennement esthétique Mise en tension / hors tension immédiats. La puissance semble respectée. Assez volumineux et peu / moyennement esthétique. Correspond à ce qui est annoncé dans la fiche technique.</t>
  </si>
  <si>
    <t>Fait tout ce qu'on attend de lui... viens de le recevoir donc pas un grand recule sur expérience mais très bonne facture.. belle qualité et belles couleurs (marron noir).. se couple très facilement au téléphone (galaxy S7 pour moi) une application est dédiée aussi sur Google store afin de faire des réglages. sinon la réduction de bruit a l'air intéressante.. la puissance aussi..très confortable également. fera très bien son taf sans dépenser 380e comme sur bose ou Sony.. qui pour moi même s'ils ont fait leurs preuves sont plutôt des achats d'orgueil.. les 3/4 en parlent comme des ingénieurs du son.. 😂  je conseil le casque</t>
  </si>
  <si>
    <t>BIEN Ce casque est presque parfait, il lui manque un réglage du son plus important, la différence de puissance entre le minimum et le maximum est trop faible. La longueur du câble est idéale, les 6 m sont très pratique pour regarder la télévision loin du poste et bénéficier du son. En synthèse bien mais Philips aurait pu mieux faire sur la qualité du son.</t>
  </si>
  <si>
    <t>Excelent sweat Excelent , j’ai pris la taille xxs elle correspond tout à fait à là taille de ma fille de 12 ans, correspond tout à fait à mes attentes, assez épais, j’ai Pris là couler grise, exactement comme dans la foto, je suis ravie</t>
  </si>
  <si>
    <t>Génial Chaussures conforme à la photo et à la description. La pointure est parfaite (37), et c'est toujours un plaisir de se chausser même après une longue journée de travail tellement elles sont légères et confortables. Produit à recommander sans hésitation.</t>
  </si>
  <si>
    <t>Super son Je l’utilise pour le jogging ou pour mes promenades en forêt. Le son est meilleur que je n’aurais pensé. Je suis plus que satisfait.</t>
  </si>
  <si>
    <t>Parfait Chauffe biberon/pot bien pratique. Ne tient pas trop de place et chauffe super vite. Petit plus et pas des moindre, il s'arrête tout seul lorsque la vapeur a fait son boulot !</t>
  </si>
  <si>
    <t>incontournable timberland Très satisfaite de ma commande, correspond exactement a ma commande, j'avais les même avant et la qualité n'a pas changé</t>
  </si>
  <si>
    <t>Je recommande Très belle chaussure de plage. Taille parfaite, très à l'aise dedans.</t>
  </si>
  <si>
    <t>Super Génial ! Pratique à coller ( je repasse même sans chiffon). Les étiquettes sont belles . Ça fait très propre et ça tient très bien</t>
  </si>
  <si>
    <t>Très bon produit Cadeau</t>
  </si>
  <si>
    <t>Cool Très a l'aise dedans pour la maison bonne taille42 malgré les commentaires que j'ai lu</t>
  </si>
  <si>
    <t>Très pratique L'intérieur est très sec, très utile lors de fortes pluies ou en hiver, nous n'avons pas à remettre les chaussures trempées! Facile à transporter. L'un des deux n'est pas toujours léger, mais il fait chaud.</t>
  </si>
  <si>
    <t>Parfait Très pratique fonctionne très bien Je conseille ce produit</t>
  </si>
  <si>
    <t>Très bien Cette marque et la gamme "natural" sont de très bonne qualité, Plus onéreux que ce qu'on trouve en supermarché, ces produits ont une durée de vie supérieure et offrent un bon confort d'utilisation pour bébé et pas de souci de fuite.</t>
  </si>
  <si>
    <t>très bien et pratique et économique et écologique ;-)</t>
  </si>
  <si>
    <t>Superrr Très bon produits</t>
  </si>
  <si>
    <t>belle collection mon petit fils, à la frontière de l'adolescence, adore cette collection, drôle et néanmoins explicative</t>
  </si>
  <si>
    <t>Soutien gorge douloureux J'ai acheté ce produit en plusieurs tailles (bonnet D et E). Ils étaient douloureux au niveau des épaules et m'écrasaient la poitrine. Pourtant, j'avais pris les bonnes mensurations. Mal taillé pour le prix qu'il coûte.</t>
  </si>
  <si>
    <t>ce n'est plus parfait on n'entend rien dedans !!!!!! bien au début ; maintenant que les retours ne sont plus possibles ça ne fonctionne pas 74.99 € de PERDUS  AMAZON POUVEZ VOUS FAIRE UNE INTERVENTION AUPRES DU VENDEUR  JE NE SAIS MEME PAS SI C EST GARANTI ??????  MERCI REPONSE</t>
  </si>
  <si>
    <t>2è erreur.. Je suis furieuse : par 2 fois Amazon s'est trompé (pour 1 kdo en plus !). Les chaussures sont marrons au lieu de bleu. J'essaie une dernière fois, mais avec livraison chez moi (au lieu du domicile de ma fille). Je demande le remboursement des frais d'envoi si par hasard les chaussures (3è achat..) sont de la bonne couleur.</t>
  </si>
  <si>
    <t>Courte durée de vie Très jolie finition, collier fin, discret et petit pendentif très beau. Porté seulement quelques heures par jour, le fermoir a déjà cassé sans raison, il s'est ouvert en 2 morceaux donc pas réparable...</t>
  </si>
  <si>
    <t>inutilisable apres 3 mois MAJ du 18 septembre: Suite a mon avis signalant les disfonctionnements dûs aux interrupteurs defaillants, le SAV du fabriquant m'a envoyé un article en remplacement. Je teste sa tenue sur la durée maintenant.  Qualité du son: OK Système de réduction du bruit ambiant: OK  Qualité de fabrication: les interrupteurs sont tellement de mauvaise qualité que après 2 mois et demi je ne peux plus éteindre le boitier qui vide donc la batterie pendant qu'il est rangé dans son tiroir. A force de le manœuvrer quelquefois j'arrive tout de même a l’éteindre...Ensuite c'est quasiment impossible de le rallumer! C'est amusant...ce genre de boucle. en clair: la qualité de fabrication est horrible.  J'avais acheté 2 casques, un pour moi et l'autre pour mon fils...tous les 2 avec le même problème. Signalé au vendeur, celui ci m'a renvoyé UN SEUL casque! Ils pratiquent la garantie comme ils veulent...  Les embout d'oreilles ne demandent qu'a tomber: si par mégarde vous tirez sur le câble avec les écouteurs dans les oreilles, vous perdrez comme moi les embouts caoutchouc car ils vont "sauter" ou ils veulent. Dans les transports c'est la perte assurée!  Je ne suis donc pas satisfait ET JE NE RECOMMANDE PAS ces écouteurs pour tout ces problèmes de qualité. Dommage le son était bon, mais mes 2 casques devenus inutilisables sont partis a la poubelle après 3 mois!</t>
  </si>
  <si>
    <t>Taille petit Attention taille très petit, M trop petit pour un 40 Prendre une taille au dessus Sinon sympa ce blanc avec écriture parme</t>
  </si>
  <si>
    <t>Confortable Je porte ces baskets au quotidien, elles sont très confortables</t>
  </si>
  <si>
    <t>plutot assez solide et pratique je recommande à ce prix là.  bon rapport qualité prix assez pratique à ouvrir, fermer, transporter assez esthétique même si les finitions restent passables</t>
  </si>
  <si>
    <t>bon produit. Très bon rapport qualité , prix. La montre est toujours a mon poignet , sous la douche et même en plongée (apnée et bouteille)</t>
  </si>
  <si>
    <t>Qualité extra Formation de cariste.</t>
  </si>
  <si>
    <t>ce produit m'a plu très bon produit sent le cuir ce qui ne m'est pas désagréable</t>
  </si>
  <si>
    <t>La vrai charentaise française fait-main ! La maison Rondinaud Chablis est spécialisée dans les charentaires et autres chaussons depuis des générations, et tout y est fait à la main, garantie de grande qualité. Donc vous n'avez aucune raison de ne pas offrir ces merveilles à vos petits petons ! D'autant qu'avec tous les styles proposés vous trouverez votre look ! Attention, la pointure est un peu juste, si vos pieds ont tendance à gonfler ou sont entre deux pointures, optez pour la supérieure</t>
  </si>
  <si>
    <t>Bonne huile pour hydrater la peau. Je la recommande fortement. Hydrate bien la peau, vite absorbée et ne laisse pas de trace de gras. Très satisfaite. Je recommande fortement cet achat, auparavant, j'utilisais de l'huile d,argan.</t>
  </si>
  <si>
    <t>Tres bien Impeccable. Livré avec un jour d'avance. Je trouve que les tétines 6+ se déforment plus facilement sous l'effet de la succion mais bébé gère bien pour 5 mois et demi donc super. Tétine souple et de qualité. Je suis surprise quand je vois certain commentaire mais bon, a voir dans le temps.</t>
  </si>
  <si>
    <t>Bien Bien. Sauf le couvercle qui je trouve devrais tenir un peu mieux.</t>
  </si>
  <si>
    <t>Bracelet cheville Très jolie solide et peux cher</t>
  </si>
  <si>
    <t>Chaussette puma Top du top. Moi j’hadere complètement , je recommande même ce produit. Un peu cher pour la quantité de chaussettes mais très confortable et jolie</t>
  </si>
  <si>
    <t>Tres bon produit Ca fait plusieurs mois que j ai reçu ma table de massage et je n en suis pas du tout déçu. Je l ai utilisée  une cinquantaine de fois et elle est toujours comme au premier jour.</t>
  </si>
  <si>
    <t>Produit de qualité Pas de surprise avec ce vêtement technique de la marque Odlo.  Viens en remplacement de celui que j'utilise depuis plus de 10 ans (besoin de changer de taille).  Je ne peux que recommander ce produit (préférence pour celui avec un zip au col pour réguler la temperature).</t>
  </si>
  <si>
    <t>Trop belle Le verre change de couleurs selon l'angle belle qualité la couleur bleu des chiffres sublime</t>
  </si>
  <si>
    <t>Top Moi qui ne supporte plus les boucles. Je les met que pour les repas en famille, et aucune démangeaison. Je recommande, a voir dans le temps pour la qualité. Mais sinon le petit écrin fait bien plaisir :)</t>
  </si>
  <si>
    <t>Top Mignon et pratique. Les billes sentent mais l'odeur n'est pas désagréable (sauf pour les gens vivant sous verre avec du harpic wc comme déo), ça sent donc la bille de lin, il faut enlever le petit sac pour le mettre dans le four microonde (suivre la notice )et remettre ensuite dans sa house, très sûre il dégage une chaleur sympathique pendant une heure. Idéale aussi pour les douleurs lombaires (il existe la version épaule ). Un bon produit qui peut s'offrir.</t>
  </si>
  <si>
    <t>Se porte avec tout! Tres classe se porte avec tout vetement de sport, legging, une petite robe, un jean. Seul point négatif pour moi c'est que si vous avez le pied plus large devant attention aux ampoules obliger de mettre des pansement a chaque fois er ne pas faire de trop longue distance aussi. Mais cela reste personnel. Sinon je les mets tous les jours!</t>
  </si>
  <si>
    <t>Bon produit Même si c'est un peu cher , c'est très bien pour le cirage des chaussures, ça donne un beau brillant et ça nourrit bien le cuir</t>
  </si>
  <si>
    <t>Non adapté à la conduite Produit pas du tout adapté à un véhicule. Il es dangereux de l’installer sur un siège. Massage hyper musclé qui fais mal plus qu’au chose ! J’ai renvoyer aussi tôt ! C’est dommage</t>
  </si>
  <si>
    <t>Distendu Après plusieurs lavages, le tissu se détend rapidement, car n'ayant plus d'élasticité la chaussette descend au niveau du talon et c'est très désagréable de la remonté à chaque fois.</t>
  </si>
  <si>
    <t>dommage oblige de le renvoyer ne correspond pas a des personnes ayant des glaucomes, ce qui est mon cas pas essaye donc ne peut pas donner d avis</t>
  </si>
  <si>
    <t>Correct Un peu petit attention sympa pour l été</t>
  </si>
  <si>
    <t>Bon rapport qualité prix Agréablement surprise de la qualité du son pour ce prix là. Très bon rapport qualité prix. Seul bémol, le temps un peu long de livraison surtout quand on ne peut plus profiter de sa musique dans les transports en commun et qu'on veut juste les recevoir au plus vite...</t>
  </si>
  <si>
    <t>Vraiiment bie Un incontournable lorsque bébé arrive. Vraiment bien. Le seul hic, cest la hauteur.  Certe, la stérilisation n'est plus recommandées aujourd'hui mais lorsque mon fils est malade, j'aime bien steriliser ses tétines et biberons une fois qu'il n'est plus enrhumé mais forcément les biberons de 330 ml ne rentrent pas.  Ce n'est pas le seul modèle.  Les 330 ml ne rentrent dans aucun stérilisateur. ..</t>
  </si>
  <si>
    <t>Ecoute correcte mais pas d'enregistrement vocal possible. Pour écouter de la musique ou un autre média (radio), c'est correct. Par contre je n'arrive pas à utiliser le micro de l'oreillette pour enregistrer un message vocal alors que j'y arrive avec les oreillettes filaires qui sont elles aussi munies d'un micro.  Je n'ai pas encore eu l'occasion d'utiliser l'oreillette en conversation téléphonique.</t>
  </si>
  <si>
    <t>sobre montre sobre mais esthétique pas de souci jusqu'a maintenant malgré plusieurs passage sous l'eau. pour le prix convient parfaitement petit bémol les aiguilles ne sont pas phosphorescente.</t>
  </si>
  <si>
    <t>Très bien Très bon rapport qualité prix. Connexion facile, très bonne tenue de charge.</t>
  </si>
  <si>
    <t>Très bien Cadeaux anniversaire enfant de 8ans. Il adore. Parfait pour découvrir les organes et les os. Toit se défait. On ouvre et on peut sortir les os et les organes. Et tout remettre en place.La matière des organes est super c est mou. Et un joli livre avec. Merci pour les petits amateurs de découverte.</t>
  </si>
  <si>
    <t>Solide pratique et  beau design Elle a tout ! pratique et indémodable,  compartiments suffisamment grands pour y loger les indispensables, papiers etc . Je recommande</t>
  </si>
  <si>
    <t>Montre conforme à l'original, arrivée dans une joli boite, vraiment très belle Cadeau qui a plu énormément Montre tres belle et originale</t>
  </si>
  <si>
    <t>Parfait. Parfait en tout point. Testé et approuvé par une grande stressée. Je recommande fortement.</t>
  </si>
  <si>
    <t>Pour pieds plutôt larges,confortables,très doux Très joli,coloris très doux,bien adaptés à la morphologie de mes pieds,confortables Je suis emballée par mes pantoufles !</t>
  </si>
  <si>
    <t>Ravie! Bracelet qui semble de qualité, les perles sont superbes et on sent qu'elles font un certain poids! Envoi dans un étui en velours, le tout dans une petite boîte à bijoux avec une perle et du fil de rechange. A voir la résistance dans le temps, s'il n'est pas trop fragile car je compte le mettre tous les jours.</t>
  </si>
  <si>
    <t>Super chaussures Cadeau de noël super qualité</t>
  </si>
  <si>
    <t>Rapport qualité prix imbattable Taille bien, chaussures extrêmement confortables. Etanches, solides, pas trop lourdes à la marche. Achetées pour maintenir ma cheville, elles lui ont sauvé la mise plusieurs fois. La qualité Salomon est au rdv.</t>
  </si>
  <si>
    <t>Produit qualitatif Pour mon fils, ce que j’ai aimé le look, le côté vintage, la qualité du cuir.</t>
  </si>
  <si>
    <t>Micro karaoké Offert à une petite fille de 6 ans... celà a été le bonheur</t>
  </si>
  <si>
    <t>très bon rapport qualité prix mon mari cherchait des chaussures de sécurité mais les prix sont très élévés en magasins.  Nous avons pensé à Amazon, et il est très satisfait de son choix. très bonne qualité et confort pour un tarif attrayant.. un retard d une journée.. ce qui n est pas important : mais ce que je veux souligner; c est que nous avons été prévenu. Le livreur a été très sympa et professionnel.</t>
  </si>
  <si>
    <t>Sympa mais les instructions sont très sommaires L’appareillement n'est pas toujours des plus facile, quand les pods ne sont pas synchronisés il faut les sortir de la boite, ils seront automatiquement allumés, puis appuyer en même temps sur leur deux boutons jusqu'à ce qu'ils s'éteignent (maintenir un près près 5/6 secondes), puis relâcher et re-appuyer et maintenir pendant 6/7 secondes jusqu'à ce que les deux lumières clignotent de la même couleur (bleu/rouge très rapidement), après votre téléphone les reconnait comme un seul appareil et non deux.</t>
  </si>
  <si>
    <t>Boucles d'oreilles poisson rouge Génial..trop marrant..j'adore..</t>
  </si>
  <si>
    <t>Livraison rapide et bon produit ! Bon produit, semble être résistant, très facile à mettre en place avec l'outil inclus, arrivé dans les bons délais. Bien recommandé !</t>
  </si>
  <si>
    <t>Déçue ! J'ai rencontré un soucis avec ma bouilloire achetée au mois de Juillet. Celle-ci a subitement cessé de fonctionner alors qu'elle est en très bon état extérieur. Le bouton marche/arrêt ne semble plus fonctionner. Après quelques mois d'utilisation (peu fréquente qui plus est) cela me semble plutôt anormal. Je suis déçue. J'ai contacté le vendeur qui m'a renvoyé vers Amazon (alors que la bouilloire est sensée être garantie 2 ans). Cependant, impossible de prendre contact avec Amazon... Je me retrouve donc avec une bouilloire qui ne fonctionne plus et aucun moyen de la faire échanger/rembourser...</t>
  </si>
  <si>
    <t>À fuir ! Suite à de nombreux avis positif j'ai décidé d'acheter vos cartouches d'encre ... prix attractifs ou mais .... Ça m'a coûté mon imprimante !  Vos cartouches ont bousillé mon imprimante, de l'encre noir partout ...  Alors conseils, achetez les cartouches de la marque de vos imprimantes, si non c'est vos imprimantes que vous bousillé.  Je suis dégouté d'avoir acheté chez vous.</t>
  </si>
  <si>
    <t>Attention au taille. Rien de spécial à dire sauf que je l'ai commandé pour rien vu qu'il ne me va pas et c'est mon cousin qui l'a du coup.</t>
  </si>
  <si>
    <t>Qualite moindre Pas assez épais.  Se déchire facilement ce qui est très ennuyeux et sale</t>
  </si>
  <si>
    <t>Dans mon travail le plus «&amp;nbsp; les couleurs «&amp;nbsp; Produit correspond bien avec mon travail éducatrice travaux interactifs Couleurs reproductives comme l’original. Je conseille d utiliser les cartouches de la marque HP Pour un rendu optimal.</t>
  </si>
  <si>
    <t>curieux mais efficace le système est assez curieux puisqu'il s'agit de petites pastilles... mais il s'avère également assez efficace si j'en crois les premières lessives. Le parfum est très "classique" et un peu chimique, mais il y a là une idée à développer. En tout cas, il apporte pour moi un vrai plus...</t>
  </si>
  <si>
    <t>Content. Très bien, chauffe bien et longtemps le seul hic, une odeur de pop corne</t>
  </si>
  <si>
    <t>bonne qualité pochettes avec beau rendu</t>
  </si>
  <si>
    <t>Converse toujours Chaussures converses couleur bordeau que je viens de recevoir. Je les ai reçue en avance sur la date estimée et en provenance de la grande bretagne. Les chaussures taillent un peu grande peut être, j'ai pris du 39EU, ma taille normale et j'ai presque une demi pointure de trop. Néanmoins attention aux pieds qui gonflent car la "hauteur" est celle des converses et pas plus grande même si on peut varier un peu avec les lacets. Je suis satisfaite pour l'instant, je ne peux rien dire sur le long terme. Colis arrivé contre signature par DHL (ce n'était pas précisé quand j'ai passé la commande).</t>
  </si>
  <si>
    <t>Bien confortables Acheté pour ma fils de 10 ans. Elle est ravi,elle les trouve aussi très confortables,belles finitions soignées. Le seul petit - que je trouverai ces livre  sans la boîte .</t>
  </si>
  <si>
    <t>Très beau pull affreux Pull affreusement beau qui a permis de gagner le concours du pull le plus laid à Noël !</t>
  </si>
  <si>
    <t>Parfait Produit, délai de livraison et emballage. Impeccable !</t>
  </si>
  <si>
    <t>Super produit Je cherchais un casque de ce type pour écouter la musique et regarder la tv le soir sans déranger les enfants qui dorment. Je suis vraiment satisfait du son avec des basses comme il se doit. On est vraiment isolé quand on le porte. Il se règle facilement et ne gêne pas du tout sur du long terme. De plus, son étui est vraiment pratique lorsqu’on ne l’utilise pas, il est en sécurité. Recommande ce produit sans problème</t>
  </si>
  <si>
    <t>Pratique et belle Je l'emmène partout dès que je me déplace avec bébé, je peux mettre un bib, deux petits pots, les doses de lait et un bloc de glace, tout reste frais, c’est parfait. Et en plus elle est très belle!</t>
  </si>
  <si>
    <t>Très bien Reçu certes en retard mais surtout reçu Un vendeur qui répond cela se fait rare Juste très bien Quand au produit c'est bien conforme à la description je suis tout à fait satisfaite</t>
  </si>
  <si>
    <t>très bonne tour de boites doseuses Enfin, une tour équipé de 4 godets transparent et non opaque comme des autres marques. Acheté 6,90€ un tarif très correct. Ils peuvent contenir plus de 18 cuillères de 30 ml de lait en poudre chacun. Donc assez grande capacité, on peut faire 4 biberons de 330ml. Tour équipé de bec verseur, donc facile à utiliser, mais fragile au niveau de la patte qui maintient ce bouchon, on verra dans le temps. Ils s'emboitent les uns dans les autres et se ferment par effet de vis.</t>
  </si>
  <si>
    <t>bonne lessive, je recommande J'avoue être assez surprise par l'utilisation de cette lessive. Je privilégier la lessive en poudre car généralement je fais des réactions allergiques aux lessives liquide. Après avoir utiliser entière cette recharge, je n'ai pas constater de démangeaisons ni  de plaques de rougeurs.  Au niveau de l'odeur, elle est fraiche et c'est plutot agréable. Le linge semble correctement laver. J'aime beaucoup le conditionnement et le fait que ça prenne mois de place qu'un bidon.  Il est fortement probable que j'en rachète.</t>
  </si>
  <si>
    <t>Bon produit avant j'achetai des cartouches d'origine, depuis que j'ai découvert cette marque  JIMIGO , je suis très satisfait de la longévité et de la qualité, quand je change une cartouche mon imprimante ne reconnait pas ce model , je persiste un peu, et tout rentre dans l'ordre. ça fait la deuxième fois que je commande cette marque.</t>
  </si>
  <si>
    <t>Adapter au lait + épais Mon fils prends du lait 1er age plus épais afin de mieux digérer et éviter les coliques, ces tétines sont parfaites puisqu'elles laissent passer le lait sans devoir l'ouvrir plus.</t>
  </si>
  <si>
    <t>J'adore !! J'adore , je le porte tout les jours , au quotidien et il maintient comme il faut. Juste les bretelles un peu trop grande mais sinon nickel !!</t>
  </si>
  <si>
    <t>Sympa Taille 1 peu petit pour 1 xl. Je dirais que c'est 1 42/44. J'adore sa couleur la même que la photo. Je mets mon portable dans la poche.</t>
  </si>
  <si>
    <t>Super Super produit qui laisse une peau parfaitement lisse et douce. Ayant une peau très sèche c'est le 1er produit dont je suis satisfaite.</t>
  </si>
  <si>
    <t>bien être Cet oreiller de massage est très confortable. Après une journée de travail, je suis rentré à la maison pour m'allonger sur cet oreiller et ouvrir l'interrupteur, ce qui m'a procuré une sensation merveilleuse, ce qui m'a permis d'éliminer la fatigue de la journée. J'ai constaté que cet oreiller massait non seulement le cou, mais aussi d'autres parties du corps, telles que les cuisses, les bras, etc.</t>
  </si>
  <si>
    <t>Mauvaise qualité Très fin, ne mérite pas de porter le nom de Nike !</t>
  </si>
  <si>
    <t>Vraiment très bien !!!......mais...mais...mais 5 étoiles pour bel montre dans une belle boite. Qualité/prix imbattable !!! Retour après quelques semaines d'utilisation: - 4 étoiles car elle ne marche pas correctement, malgré le changement de la pile en joaillerie !!! La trotteuse fonctionne et s'arrête sans explication et les cadrans chronos sont dans les choux !!!!</t>
  </si>
  <si>
    <t>Omg Qualité médiocre</t>
  </si>
  <si>
    <t>Bof Comme un commentaire l'a précisé, le passage de la tete et les bras est assez compliqué, le pull n est pas du tout stretch ou souple. Le col a l intérieur ne sert pas à grand chose et est assez inesthetique. La couleur est Bcp plus flashy et tend vers le turquoise. Un peu déçu du produit.</t>
  </si>
  <si>
    <t>Pas si mal pour le prix ! Massage un peu rude et raide 😩. Mais comme je l'utilise dans mon lit, j'appuie peut-être trop dessus ?!... je vais essayer sur un fauteuil. Mais en tous cas pour la nuque et le cou, c'est vraiment agréable car en plus ça chauffe. Souvent je m'endors 😴😴😴</t>
  </si>
  <si>
    <t>Choix plus responsable que d'autres marques plus connues Le lot est économique, les mouchoirs sont doux et résistants comme annoncé. Ils sont certifiés contenir 100% de fibres vierges issues de "sources responsables" (logo FSC). Le format des paquets est standard (ce n'est pas le mini format). Ils sont de couleur grisonnante du fait de leur matière première et de -semble t'il- l'absence de traitement chimique blanchissant. Bref, pas mal du tout.</t>
  </si>
  <si>
    <t>Just wow j'ai adoré et livraison à temps</t>
  </si>
  <si>
    <t>La qualité NB Je suis fan de NB. Par contre en passant ma commande je me suis trompé de modèle. Tant pis. Je ne les aime pas trop mais ça reste bien-sûr confortable.</t>
  </si>
  <si>
    <t>tres bon marché. Bien.</t>
  </si>
  <si>
    <t>Trés bon produit J'utilise ce produit en remplacement des pastilles pour le lave vaisselle , le résultat est parfait. Le produit était parfaitement emballé et livré très rapidement .</t>
  </si>
  <si>
    <t>très bien Très bien, assez épais conforme à la description, il me va très bien. Seul bémol c'est le charm acheter de la même marque qui ne rentre pas?</t>
  </si>
  <si>
    <t>Bon rapport qualité prix Papier toilette très doux Bon rapport qualité prix</t>
  </si>
  <si>
    <t>Indispensable... ...pour les aquarellistes qui veulent éviter l'usage fastidieux du drawing gum qu'on a souvent du mal à retirer lorsqu'on a du attendre trop longtemps</t>
  </si>
  <si>
    <t>Très belles tongs Super achat. Livraison rapide. J’ai lu les conseils laissés dans les commentaires pour la pointure (j’ai pris un 39 pour un 37-38) et nickel. Très jolie modèle. Rien à redire. Je suis ravie de ma commande.</t>
  </si>
  <si>
    <t>Excellente collection pour apprendre à lire Notre fils apprend à lire en ce moment et cette collection est réellement bien, c'est la première fois que mon fils arrive à lire de lui même et c'est grâce à cette même collection de livres qu'il a vraiment progressé et qu'il commence à lire ses premiers livres tout seul. Je n'y croyais pas et pourtant ils ont été le déclic pour lui. Je recommande à tous les parents désirant voir leur enfant évoluer dans le monde magique de la lecture. Ils sont vraiment très peu couteux, ce n'est pas un investissement à risque mais vous pourrez constater un réel changement et une progression rapide ! Je recommande ces livres et remercie le vendeur pour la livraison rapide. J'ai reçu un article rapidement et lorsque j'ai ouvert le colis j'ai trouvé des articles de qualité et surtout d'une grande utilité ! Merci pour ça !</t>
  </si>
  <si>
    <t>sac à bandouillère très heureux de mon achat , à ce prix là j' avais un peux peur de la qualité , mais rien a dire très bon produit que je conseil d' acheter si il vous faut une sacoche pour homme 20/20</t>
  </si>
  <si>
    <t>très beau Ma compagne a appécié :)))</t>
  </si>
  <si>
    <t>Souplesse Chaussures très agréables,souples . On ne les quitterait pas, on se croirait dans des chaussons. Correspond à mon attente . Je chausse du 34 et le 35 me va très bien avec des chaussettes de tennis.</t>
  </si>
  <si>
    <t>super tout à fait adapter à mes besoin : plage et jardin merc</t>
  </si>
  <si>
    <t>Très bonne surprise Voyant que les casques à réduction de bruit réputés coutaient au moins un aller-retour États-Unis et que les produits de conception chinoises en électronique étaient assez souvent très performant j'ai pris le risque de commander ce casque pour 70€. A première vue la différence avec et sans RBA ne semblait  couper que les graves, mais enfin les vacances et une situation réelle (4&amp;nbsp;h de 737-800). Très grand confort,  facile à connecter à un iPhone et son agréable  sur media type cinéma. Porté sur une terrasse en bord de mer par très fort vent silence parfait. Connexion à TV Samsung (option son&amp;nbsp;:  hauts parleurs Bluetooth) "pairing" quasi immédiat.  Il se reconnecte automatiquement en un clic. Il ne reste plus qu'à tester sa longévité. Il sera beaucoup plus sollicité que je ne pensais.</t>
  </si>
  <si>
    <t>Rien à redire Parfaite en taille, ni trop grande, ni trop petite, taille comme il faut. Achetées sur AMAZON car beaucoup moins cher qu'en boutique ou site DocMarteens, ce qui les rendent abordables avec un bon rapport qualité-prix Bon coloris, produit parfaitement conforme au descriptif, je recommande sans hésiter.</t>
  </si>
  <si>
    <t>Correspond à la description Livraison et description du legging correct</t>
  </si>
  <si>
    <t>Confortables C'est vraiment très confortable. Que ce soit la qualité de son qui est excellent ou bien la tenue dans les oreilles, un régal. Le boîtier est aussi très élégant et permets de recharger les écouteurs. Vraiment cool.</t>
  </si>
  <si>
    <t>Super pratique et fiable Super pratique et fiable, nous en avons eu d'autres avant et celui-ci est de meilleur qualité. Je recommande ce produit.</t>
  </si>
  <si>
    <t>Magnifique Parfaite</t>
  </si>
  <si>
    <t>Défaut sur les coutures intérieur LA couture des poches à l'intérieur ne tient pas</t>
  </si>
  <si>
    <t>Produit défectueux Le coussin ne fonctionnait plus au bout de 2 mois à peine</t>
  </si>
  <si>
    <t>Matière du pull La matière du pull n’est pas du tout en laine c’est la même matière qu’un maillot de sport pas agréable du tout</t>
  </si>
  <si>
    <t>Sympa J'aime beaucoup l'ergonomie de ce biberon qui se prend facilement en main. J'aime aussi le fait qu'il soit en verre, cela passe mieux selon les chauffe-biberons comme le bip seconde. Il a une bonne contenance et se nettoie facilement.</t>
  </si>
  <si>
    <t>Chouette mais très long Très chouette pour dehors comme intérieur léger bonne matière mais très très long pour 1m65</t>
  </si>
  <si>
    <t>Diffuseur A du mal a s'éteindre quand plus rien dedans</t>
  </si>
  <si>
    <t>Bon Bon produit. Juste un peu trop rigide au début mais au bout de quelques jours très bien. Rapport qualité prix bien</t>
  </si>
  <si>
    <t>👌👌👌 Super beau plus fin que ce que je croyais</t>
  </si>
  <si>
    <t>Bouilloire simple et utile Pratique et joli. Rien à signaler après une semaine d’utilisation.</t>
  </si>
  <si>
    <t>cartouches d'encre livrees en 2 jours rien a redire Fonctionne tres bien sur ma PIXMA MP240 il y a une cartouche couleur et une noire dans la boite</t>
  </si>
  <si>
    <t>solide et facile à couper les plus : - facile à couper - solide - transparent et donc pratique pour coller une étiquette sur un carton par exemple ou pour ne pas dissimuler une inscription sur un emballage  Les moins : - néant</t>
  </si>
  <si>
    <t>produit neuf produit neuf</t>
  </si>
  <si>
    <t>Puissant J’adore! Ça sent trop bon, j’adore, j’en met aussi pour éloigner les moustiques, ça marche bien, j’en met aussi dans le diffuseur. Mon naturopathe m’a conseillé d’en acheter pour mon eczéma, c’est très efficace je dilue dans un 30ml d’huile de jojoba et j’applique sur la peau directement.</t>
  </si>
  <si>
    <t>La qualité Très belles pierres bien taillees et de belle qualité.tres bon idée ,pochette qui accompagne. Parfait .</t>
  </si>
  <si>
    <t>Bon legging Je recommande ce legging, il est bien opaque et la taille est bonne également pour moi (je fais un 38 habituellement et j'ai pris un M). Le petit plus est ces poches sur les cotés qui permettent d'y glisser son téléphone !</t>
  </si>
  <si>
    <t>Bon produit Utilisé depuis une semaine. Conforme à la description et avis identique à celui des autres utilisateurs. Acheté en remplacement du chauffe biberon beaba qui chauffait de manière trop aléatoire. Contente de l’achat.</t>
  </si>
  <si>
    <t>pas de soucis nickel</t>
  </si>
  <si>
    <t>Très facile à utiliser Bonne qualité. Facile à mettre. Discret. J'ai tellement aimé que j'ai repassé commande. Je recommande.</t>
  </si>
  <si>
    <t>Confortable Moi qui ai des gros problèmes d'arthroses déformants au pieds, je ne souffre pas en les portant.</t>
  </si>
  <si>
    <t>Génial : je recommande Excellent produit : chauffe en quelques secondes. Les parois sont chaudes mais on l'utilise avec la anse donc pas gênant (juste faire attention si des enfants sont à proximité). Pas très bruyant. Facile à ranger : ne prend pas trop de place</t>
  </si>
  <si>
    <t>Qualité/prix imbattable Franchement, A ce prix, super montre, la finition est vraiment bien. Le coffret est vraiment parfait pour un cadeau. L'ensemble est très bien présenté, carye de garantie, petit livret, chiffon de nettoyage. La montre a un bracelet marron aspect "pea de pêche, qui donne un rendu plutôt chic.  Seul bemol, j'ai trouvé le cadran un peu trop epais, moi qui habituellement préfère les montres très fines. Mais tout cela n'est qu'histoire de goût.  Foncez, pour le prix, vous ne serez pas déçu.</t>
  </si>
  <si>
    <t>Le Roi Lion Ma petite fille s'est régalée en le regardant. Je le recommande et en plus reçu un peu en avance :)</t>
  </si>
  <si>
    <t>Très beau diffuseur Acheté pour installer dans la chambre parentale, je cherchais un diffuseur avec une finition bois ou aspect bois. =&amp;gt; Premier critère validé. D'expérience, je sais qu'il faut régulièrement remplir un diffuseur à cause de sa faible capacité de remplissage du réservoir : Avec les 450 ml du réservoir, ça fait parti des diffuseur ayant le plus gros réservoir. =&amp;gt; 2eme critère validé.  Enfin, le minuteur intégré, et les 8 couleurs de lumières des LED et variateurs d'intensité en fond LE diffuseur qui répond à nos critères... Quand c'est comme ça, pas besoin d'hésiter plus longtemps. Je vous fournis quelques photos des couleurs (malheureusement pas les 8 par manque de temps) et sans les huiles essentielles (nous ne sommes pas encore d'accord sur l'huile à diffuser....  Je recommande ce diffuseur de par la grande capacité du réservoir, et les fonctions lumineuses et de minuterie, alliées au design "scandinave".</t>
  </si>
  <si>
    <t>Bandoulière homme Super bandouliere homme, jolie et practique. Beaucoup de Zip et zones pour cacher les affaires. Désolé mon français nous sommes originaire de la Suisse.</t>
  </si>
  <si>
    <t>Trop lourdes Les chaussures sont beaucoup trop lourdes (1,5kg) et donc pas très souple malgré une bonne finition. Pas du tout adapté pour un agent de quai qui fait plusieurs km au travail.</t>
  </si>
  <si>
    <t>Chaussures déjà porté à la réception ?? Pas satisfaite ! C'était pour offrir et je reçois une paire de baskets sur lesquelles les semelles étaient noirs (saleté) et à l'intérieur des bouloches de tissus noir ... sympa pour un cadeau !!!!</t>
  </si>
  <si>
    <t>Ne fonctionne pas sur induction Non conforme à la description parce que ne fonctionne pas sur plaque induction</t>
  </si>
  <si>
    <t>Qualité et belles finitions Livraison rapide et belle qualité pour le prix. Je pense que ce style de chaussures ne convient pas pour un usage intensif mais pour une petite marche journalière. Chaussures confortables</t>
  </si>
  <si>
    <t>simple Une montre juste ce qu'il faut pour bien gérer son temps sa taille adéquate permet une utilisation très discrète en un coup d'oeil</t>
  </si>
  <si>
    <t>ninasun belle vie Très bon produit je vous le recommande vivement a tous pour moi c'est un bijoux en accord avec nos attentions. G.L</t>
  </si>
  <si>
    <t>Bon papier hygiènique Lorsqu'il a fallut revenir à une autre marque temporairement car les Lotus Confort étaient en rupture, ça a été la catastrophe à la maison ! Il faut croire que cette partie de notre corps est plus douillette que ce qu'on pourrait imaginer... ;)</t>
  </si>
  <si>
    <t>Conforme Le câble est de bonne qualité, mais pas entièrement en cuivre, une partie est en métal, fonctionne quand même pour mon Home cinéma</t>
  </si>
  <si>
    <t>Maxi agenda pour un prix mini Super agenda extrêmement complet à petit prix : Les 2 pages font 1 page A3. Voici les avantages : La couverture est souple, les pages sont solides et épaisses (cela évite que le stylo traverse), on peut y mettre des annotations en bas de page et sur la droite, les RDV vont de 8h à 21j, il y a un petit répertoire et même toutes les vacances scolaires et jours fériés (comme il indique plusieurs langue en même temps, la lettre du pays se fait sur le jour même pour son jour férié et les vacances scolaires sont indiquées au début de l'agend</t>
  </si>
  <si>
    <t>Parfait Parfait, du scotch qui colle et pas cher .</t>
  </si>
  <si>
    <t>TB Comme d'habitude Voici plusieurs fois que je prend ce produit pour entretenir ma fosse septique, ce produit fait ce que l'on attend de lui et surtout est Bio</t>
  </si>
  <si>
    <t>Toujours aussi bien Chaque année je rachète ce même modèle d'agenda qui contient l'essentiel en prenant un minimum de place dans le sac. La couverture résiste toute l'année et les pages ne s'abiment pas si on gomme.</t>
  </si>
  <si>
    <t>Le plaisir du parfum &lt;div id="video-block-R29T0HI3PXNCNS"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id="30" preload="auto" src="https://images-eu.ssl-images-amazon.com/images/I/A1uDWIhkNLS.mp4" style="position: absolute; left: 0px; top: 0px; overflow: hidden; height: 1px; width: 1px;"&gt;&lt;/video&gt;&lt;/div&gt;&lt;div id="airy-slate-preload" style="background-color: rgb(0, 0, 0); background-image: url(&amp;quot;https://images-eu.ssl-images-amazon.com/images/I/91DcKLF9YRS.png&amp;quot;);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value="https://images-eu.ssl-images-amazon.com/images/I/A1uDWIhkNLS.mp4" class="video-url"&gt;&lt;input type="hidden" name="" value="https://images-eu.ssl-images-amazon.com/images/I/91DcKLF9YRS.png" class="video-slate-img-url"&gt;&amp;nbsp;C’est très agréable de distiller un parfum au senteur exotique grâce à ce diffuseur d’huiles essentielles. Sa compacité n’a d’égale que sa qualité. Il est petit juste pour se faire oublier. La capacité de 120ml est très suffisante pour un fonctionnement de plusieurs heures. Et puis aucun problème quand il n’y a plus d’eau il s’arrête automatiquement. La zen attitude tout simplement.</t>
  </si>
  <si>
    <t>Parfait Reçu très rapidement, je recommande</t>
  </si>
  <si>
    <t>identique à la photo très joli</t>
  </si>
  <si>
    <t>TOP la classe ce grille pain, tout a été dit précédemment , un bel appareil avec 2 fentes, il grille toutes sortes de pains, il a une fonction pour décongeler  très efficace au niveau réglage, en plus il a la classe ( très design)  il a un mode réchauffage, etc etc, je recommande vraiment, un plaisir de le voir  griller nos toasts ou nos tartines SUPER !</t>
  </si>
  <si>
    <t>hp 301 vraiment genial prix tres abordable</t>
  </si>
  <si>
    <t>Merci génial comme d'habitude Rien à dire je suis toujours contente de cette marque</t>
  </si>
  <si>
    <t>Bonne montre Cette montre répond à toutes mes attentes, pas seulement en termes de prix mais également en termes de qualité. La lanière en cuir n'a besoin que d'ajouter un peu plus pour que vous vous sentiez bien lorsque vous la portez. Pour ceux qui aiment parfois se gâter, je pense que c'est un cadeau formidable.</t>
  </si>
  <si>
    <t>Jolie bracelet Très jolie bracelet brillant bien comme il faut jolie effet mais pour une poignée assez large</t>
  </si>
  <si>
    <t>Recommandé pourcentage liquide épais Effectivement vivement recommandé pour les liquides épais. J'ai voulu acheter ces tétines pour donner des céréales au chocolat le matin et de la soupe le soir. Mais mon fils finalement préfère les tétines 6 mois + car celles ci coulent trop vite. Finalement ça m'oblige à bien regarder quelles tétines je prends selon le biberon que je fais donc moins pratique pour moi.  C'est votre BB qui vous dira ce qu'il préfère mais elles sont de très bonne qualité. Je recommande cet achat.</t>
  </si>
  <si>
    <t>Cool Jolie, cool</t>
  </si>
  <si>
    <t>Super produit Comme d'habitude étant un fidèle de la marque je ne suis pas déçu , le cardio n'est pas très précis au début mais s'affine au fur et à mesure des sorties surement une sorte d'étalonnage. J’apprécie sa taille moi qui n'st pas un gros poignée assez discrète on peut la porter tous les jours. La connexion Bluetooth est un vrai plus. Je recommande</t>
  </si>
  <si>
    <t>Produit pratique mais pas de bonne qualité. Produit pratique qui se caractérise par une manivelle qui permet de faire tourner la brosse a l'intérieur des biberons. Cependant s'use très vite et au bout de deux mois pour ma part les bosses se sont dessoudées de leurs manches. Dommage car les couleurs sont sympas et la livraison rapide....</t>
  </si>
  <si>
    <t>Pas bien du tout ! Qualité médiocre et produit prévu moins bien que prévu ! Inconfortables !</t>
  </si>
  <si>
    <t>Pas contente Taille trop grande .couleur non conforme à  la photo on ne vois pas les couleurs militaires. Mais bien chaude dommage</t>
  </si>
  <si>
    <t>OK sauf la réduction de bruit les + : plusieurs tailles qui doivent convenir à à peu près toutes les oreilles les écouteurs tiennent bien en place,  pas de soucis pour faire du sport avec par exemple accessoire léger et pas cher fonctionnent normalement en passif quand il n'y a plus de batterie  les - : le gros soucis c'est l'efficacité de la réduction de bruit active (testée en train, bus, avion etc), une blague (par rapport à des Bose par exemple. a ne pas acheter pour ça. oreillettes un peu difficiles/douloureuses à insérer en ce qui me concerne, ou alors je suis vraiment pas doué</t>
  </si>
  <si>
    <t>À conseiller Prix très intéressant</t>
  </si>
  <si>
    <t>Qualité , delai livraison produit conforme , taille un peu grand</t>
  </si>
  <si>
    <t>Attention à la taille Bien faire attention à prendre 1 taille au dessus j'ai du commander un autre plus grand pour une taille idéal</t>
  </si>
  <si>
    <t>Excellent micro Matériaux qui donne un profond sentiment de bonne qualité. Très fonctionnel qui donne une écoute nette et précise. Testé et approuvé sur 1 an. Envoi propre et rapide</t>
  </si>
  <si>
    <t>Je recommande Produit conforme à la description. Veste chaude et douce. Couleur rouge vin choisie juste sublime.</t>
  </si>
  <si>
    <t>Très bien Chauffe vite et correctement, par la vapeur. La quantité d'eau à mettre, indiquée sur l'appareil est parfaite. Rien à ajouter. Très bon produit, je recommande vivement.</t>
  </si>
  <si>
    <t>Correspond à la description Bonjour produit correspondant à la description très légère bonne qualité j'en suis très content  je l'ai recommande et j'ai racheté une autre paire pour mon frère il en ai content en plus il offre une paire de chaussettes c'est sympa de leur part merci</t>
  </si>
  <si>
    <t>Parfaitement parfait Très beau bijoux , après 1 mois d utilisation au quotidien ( même dans la douche ) la parure de ma fille n a pas bougé toujours dorée et brillante . Les boucles d oreille sont parfaites , la tige est longue ( j ai eu des pb avec des boucles enfants car tige trop courte souvent ) Ma fille est heureuse . Pour le prix je trouve ça formidable !!!!!</t>
  </si>
  <si>
    <t>Confortable et de qualité Très content de mon achat. Soyons honnête, la qualité n'est pas aussi bonne que sur mes anciens écouteurs a 160€, mais le rapport qualité prix est bien meilleur, je m'attendais pas a avoir un son de si bonne qualité. Les écouteurs sont également très confortables, même sur un usage prolongé Tiens bien aux oreilles, ne tombe pas quand je court ou quand je suis à vélo Je recommande !</t>
  </si>
  <si>
    <t>bien mais un peu gros cadeau a un ancien SNCF</t>
  </si>
  <si>
    <t>au top cela fait maintenant plusieurs mois que je la porte, et elle est vraiment plus belle que sur la photo. aucun soucis, je ne regrette pas ce choix.</t>
  </si>
  <si>
    <t>tres bon produit tres confortable  tres bo,nne qualite</t>
  </si>
  <si>
    <t>Joli Bon qualité et très joli excellent pour papi. La classe</t>
  </si>
  <si>
    <t>Parfait Très efficaces pour la gale des poules pâtes et plumes</t>
  </si>
  <si>
    <t>Micro haute qualité Seulement 5dBa de bruit (extrêmement bas) vraiment top, n’oubliez pas l’alim Phantom 48v ;) Je l’utilise avec ma chanteuse et le son est très clair rien a redire.  Je recommande</t>
  </si>
  <si>
    <t>bien coupé matière et coupe confortables</t>
  </si>
  <si>
    <t>Poétique Une belle histoire pour préparer Noël</t>
  </si>
  <si>
    <t>Excellent! Le produit correspond exactement à ce à quoi je m'attendais, à savoir des chaussures de danse latine d'intérieur. Elles sont confortables, taillent relativement bien, sont adaptées aux pieds un peu larges (un peu lâches pour des pieds fins de ce fait). Une fois qu'on a compris le fonctionnement de la boucle d'attache, on la trouve vraiment pratique. J'ai passé commande pour tout un groupe de danseuses, il ne me manque qu'une paire, livrée plus tard que les autres, ce que je ne comprends pas; pour celles qui m'ont déjà été livrées, elles sont arrivées même avant la date! Je n'ai juste pas compris la tarification des frais de port, mais comme ils ne sont pas très chers comparé à d'autres sites, ce n'est pas très grave. Je recommande!</t>
  </si>
  <si>
    <t>Parfait Commande passé le 6 Décembre et reçu aujourd'hui le 8 Décembre donc expédition très rapide. Le jogging est juste parfait. J'ai pris un taille S et il taille très très bien. Mon chéri va être content de son cadeau de Noël. Je recommande sans hésitation.</t>
  </si>
  <si>
    <t>Excellente bouilloire. Je cherchais une bouilloire pour ma mère, qui voulait un modèle à la fois pratique, design et durable. Ce modèle Tefal a aussi été préféré à d’autres marques, car le réservoir de 1,2 litres offre un compromis idéal entre poids et capacité. J’ai choisi Tefal pour le souvenir d’un produit similaire qui a fait son office pendant très longtemps. A l’usage, aucun défaut a constater. Donc une bouilloire sur laquelle on peut compter.</t>
  </si>
  <si>
    <t>Cher mais conforme Pas le choix car ça été demandé à la dernière minute mais 15 euros ouille ça fait mal pour du papier</t>
  </si>
  <si>
    <t>Pas efficace et odeur chimique Il faut vraiment vider tout ke flacon pour avoir un peu d'odeur à part le citron.  Très déçue pour cet achat</t>
  </si>
  <si>
    <t>Excellent liquide mais pas le bon bouchon ! Le liquide vaisselle est genial mais par contre il faut l'acheter avec le capuchon qui fait mousser (aussi en vente sur Amazon quasiment au même prix). Avec l'ouverture simple on vide le liquide en a peine une semaine et ça ne lave vraiment pas bien !</t>
  </si>
  <si>
    <t>Solidité des fermetures éclair Une des fermeture éclair à laché En la faisant coulisser plusieurs fois on arrive à la remettre mais c'est pas solide Dommage</t>
  </si>
  <si>
    <t>Vrai cuir Je viens d'installer ce bracelet a ma montre facilement avec l'outil fourni .Le cuir et pas trop épais mai bon il et bien fini et a l'air solide</t>
  </si>
  <si>
    <t>Correct parfum peu présent Assouplissant particulier. Pas de parfum notoire. Assouplit le linge (oui) correct</t>
  </si>
  <si>
    <t>Très bon achat Très pratique, idéal pour nettoyer les tétines et les téterelle de tire lait. A voir dans le temps mais je recommande cet article</t>
  </si>
  <si>
    <t>oui la taille est très important la livraison est plus rapide mais le au niveau des tailles merci</t>
  </si>
  <si>
    <t>Très Bien Chaussures reçues en 2 jours grâce à Amazon Prime, une forte odeur de neuf a eu lieu lors de l'ouverture mais elle n'est pas restée longtemps, j'ai vu des commentaires annonçant un couinement sur les chaussures, en effet il est présent, assez fort au début quand on les essaye dans notre chambre vide, puis ils disparaissent rapidement, dehors on entend rien, ou alors il ne faut pas de bruit et tendre l'oreille. Très satisfait.  Bémol, la boite est arrivée avec un coin abîmé, vraiment pas grand chose mais ça prouve bien le non respect de la part des transporteurs qui balancent les colis dans les camions ou ailleurs. (Chaussures sans dégâts)</t>
  </si>
  <si>
    <t>Cartouches HP Commandé en urgence comme d'habitude, lorsque l'on tombe en panne de cartouche. Livraison rapide (2 jours) pour un produit de qualité.</t>
  </si>
  <si>
    <t>Tres  bon produit J etais très  sceptique  sur ce produit et en ai commandé  2 pour le coup. 1 pour chaque voiture.Livraison 8 jour avant la date. Nickel. J avais peur que ce soit un gadget et puis en fait non , cet aimant est super puissant et tiens tres  tres bien mon telephone. Je recommande fortement .</t>
  </si>
  <si>
    <t>Une excellent marque Ma soeur a trouvé  ce biberon parfait pour son bébé de 8 mois Nous avons coutume d'utiliser cette marque L'ergonomie de ce biberon est vraiment un  point essentiel car il s'adapte dans n'importe quelle position. Tétine imitant la forme du seins pour le passage ou l'alternance de l'allaitement. Plus de coliques - mais les biberons précédents avaient aussi cette qualité. Facile à nettoyer grâce à so large goulot. Bref beaucoup de qualités pour un biberon sain et pratique.</t>
  </si>
  <si>
    <t>Produit authentique J'avais acheter le modèle couleur camel chez daky mais il avait pas le modèle noir donc je l'ai commandé sur Amazon le produit est exactement le même aussi bien la taille que la qualité.</t>
  </si>
  <si>
    <t>A pars les bors du haut super jadore Super jolie par contre les bord intérieur du haut son pas facile à nettoyer sinon j'adore</t>
  </si>
  <si>
    <t>Solidité Enfin des chaussons qui vont durer bien plus d'un an. Une semelle épaisse, une fabrication solide et un grand confort. J'ai pris ma taille et elle me convenait. Très bon article.</t>
  </si>
  <si>
    <t>Parfait Produit parfaitement conforme et arrivé en parfait état, c'est super ! (le papier est mat, très ressemblant à une feuille de papier machine, on peut écrire ou dessiner dessus sans problème)</t>
  </si>
  <si>
    <t>SUPER LEGGING RECU TRES RAPIDEMENT  1 LEGGING CONFORME A  LA DESCRIPTION DU PRODUIT BIEN OPAQUE BONNE COUPE ET JOLI DESIGN TAILLE CONFORME SUPER EFFET SUR SOI J EN SUIS TRES CONTENTE JE PENSE MEME EN RECOMMANDER UN 2EME</t>
  </si>
  <si>
    <t>petite serie de livres sympa Livre petit et facile a lire pour des enfants apprenant à lire, méthode efficace, je recommande et les histoire sont diverses</t>
  </si>
  <si>
    <t>Top Très bon rapport qualité prix le seul hic c est que c est très salissant.</t>
  </si>
  <si>
    <t>Très esthétique Fin, joli</t>
  </si>
  <si>
    <t>Excellente qualité Très bonne qualité et esthétique parfaite contient les documents A4 sans problème donc parfaite pour les documents de travail. Un cadeau qui a été très apprécié.</t>
  </si>
  <si>
    <t>Simplement élégante Excellent ! Une sacoche qui se glisse entre le pull et la veste qui ne se voit pas... très fine et la poche à zip permet une fois ouverte de ne pas faire tomber les objets</t>
  </si>
  <si>
    <t>Jolie J’aim</t>
  </si>
  <si>
    <t>Beau design Très contente de mon achat. Le design imitation bois est très sympa dans mon salon Plusieurs programme possible : 1h/3h/6h ou jusqu’à épuisement de la réserve d’eau Il est fourni avec un verre doseur pour facilité le remplissage. Je l’ai utilisé avec un arôme lavande (4 gouttes seulement) et parfumé bien le salon d’environ 30m2</t>
  </si>
  <si>
    <t>Odeur infecte Inutilisable tellement qu il sent fort les produits chimiques.  Relégué à la cave...</t>
  </si>
  <si>
    <t>Que bien sur il n'y a pas  de garantie...achat pas chere. Sa destination de montre etait le poignet.......elle a durè 3 semaines puis plus d'analogique..article a retirer de la vente...le mien au rebut..dommage</t>
  </si>
  <si>
    <t>Qualité pas top Fonctionnel sur le début mais le bouton marche arrêt défectueux et mauvais contacte je vais la renvoyé</t>
  </si>
  <si>
    <t>Mouiai Un cordon a casse Le Lendemain Tj rien gagne pas de chance lol</t>
  </si>
  <si>
    <t>Qualité Audio</t>
  </si>
  <si>
    <t>Excellent rapport qualité / prix Excellent produit pour l’hiver, chaud et confortable , seul petit bémol : un des lacets était abîmé à réception mais rien de grave comme le pantalon le recouvre</t>
  </si>
  <si>
    <t>Taille juste mais.... Alors oui les tailles sont respectées la j’ai commandé du M la taille est juste mais mais au niveau des manches ca sert ca sert vraiment</t>
  </si>
  <si>
    <t>la qualité rien a dire... je fait partie des personnes très mince,vos chaussettes sont parfaites mais ne tiennes pas le mollet ,......merci</t>
  </si>
  <si>
    <t>Agréablement surpris par la qualité de finition A l'air bien solide avec un verre qui semble résistant aux griffes? On verra à l'usage. Ceci dit le prix est imbattable pour une telle finition. Une montre classique, un bracelet metallique... Seiko. Pour 30 euros... pour racourcir le bracelet, le système est différent. Mais il y des tutoriels sur you tube qui vous montrerons comment le faire vous même, sans outillage spécial.</t>
  </si>
  <si>
    <t>Impeccable Super</t>
  </si>
  <si>
    <t>Do it Conforme à l attente et confortable.</t>
  </si>
  <si>
    <t>Bracelet de montre Bon bracelet, a l'air de bonne qualité et parfait en remplacement de mon bracelet d'origine !</t>
  </si>
  <si>
    <t>Très bien Chaussure très confortable et légère. Regrette pas mon achat.</t>
  </si>
  <si>
    <t>Fonctions et efficacité Le lit lit lit les lumières, les feux d 'orientation et de focalisation  Un mois sans interruption, c 'est très efficace.  Les deux lampes étaient parfaitement conformes à la description du vendeur.Malgré sa longueur, le tuyau métallique ondulé ne pose pas de problème pour maintenir la lampe en place.LED produit une lumière très claire et non froide, le faisceau fournit une éclairage uniforme, l 'emballage du produit est impeccable, le temps de livraison est respecté pour acheter!</t>
  </si>
  <si>
    <t>un cadeau pour noël chaudes, légère, pointure parfaite, couleur attendue, ce modèle est superbe et ma belle fille a été ravi de son cadeau...</t>
  </si>
  <si>
    <t>Basket confortable Acheté pour mon fils, celle-ci est satisfait de sa paire de basket. La taille correspond exactement à sa pointure. Elle sont parfaitement taillé, légère, stylé et confortable Satisfaite de mon achat.</t>
  </si>
  <si>
    <t>Parfait Rien à redire, le produit livré dans les temps et fonctionne très bien</t>
  </si>
  <si>
    <t>Comfortable. Pour ma fille , elle a aimé ce produit car il est comfortable , durable avec un bon design.</t>
  </si>
  <si>
    <t>Très bien! Taille parfaite, très joli et agréable à porter.</t>
  </si>
  <si>
    <t>Joliement pensé ! 😊 cette fossil ! C'est un super model !  Élégance et simple d'utilisation.  Je recommande vivement !  😁 Le design est bien pensé, c'est la classe !</t>
  </si>
  <si>
    <t>TRES BON PRODUIT UTILISATION TRES FACILE EXCELLENTE QUALITE CONFORME</t>
  </si>
  <si>
    <t>Super Super casque gaming. Le mode super human est top Le casque est comfortable bonne autonomie de la batterie</t>
  </si>
  <si>
    <t>Super Bouilloire Cette bouilloire de 1,7L est parfaite, l'eau bout rapidement, son design est très joli avec ses LED bleu. Elle se nettoie facilement et est anti-calcaire. A avoir chez soi !</t>
  </si>
  <si>
    <t>Déçu La chaussure est rigide, inconfortable et l'aspect fait plus plastique que cuir, rien à voir avec les Tarmac basses achetées, précédemment, de la même marque. Déçu!...</t>
  </si>
  <si>
    <t>Goût de produit chimique Comme dit par un autre client : la bouilloire donne une odeur et un goût chimique aux boissons (tout particulièrement sur les cafés et chocolats chauds). Malgré plusieurs nettoyages, les boissons sont imbuvables, et je m'étonne de ne pas voir plus de clients s'en plaindre ! Je suis revenue à ma bonne vieille casserole et là, plus aucun problème. Peut-être cela vient-il du fait que l'eau qui chauffe est en contact avec des pièces qui semblent être en plastique (?)</t>
  </si>
  <si>
    <t>satisfaction modérée Achetée parce qu'elle a un bracelet métallique qui ne me lâchera pas dans 18 mois comme les bracelets plastiques, mais le bouton du basculement 12 ou 24 h est trop sensible et je la retrouve fréquemment en mode 12h.</t>
  </si>
  <si>
    <t>Bluffant Conforme à la description.  Effectivement le design est bluffant pour reprendre la forme du sein. J'ai lu dans un commentaire que ça s'adaptait sur les biberons avent, D'où mon achat. Je suis très déçue car oui elle passe, c'est le même diamètre, mais l'air ne passe pas (supplice pour bébé). Il faut les biberons de la même marque .</t>
  </si>
  <si>
    <t>Tong Nike Bon produit de bonne qualité et à prix raisonnable pour le confort et l'esthétique de l'article. Je recommande.</t>
  </si>
  <si>
    <t>3 cartouches pour 108 photos Par rapport à la référence "RP" ( à la place de KP) : KP a 3 cartouches mais se ne sont pas les mêmes, elle ne peuvent faire que 36 photos. Dans les 2 cas les cartouches permettent de faire 108 photos au total (avec kp on la change plus souvent). Il n y a pas d emplacement pour coller un timbre à l arrière des papiers. Je ne trouve donc aucune différence par rapport à RP (si ce n est que le fait de changer moins souvent la cartouche est plus pratique avec RP... et RP est moins chere).</t>
  </si>
  <si>
    <t>Très mignon Beau coussin, conforme à la photo. Il est en effet pas très grand mais suffisamment pour faire le tour du cou (à moins d'avoir un cou de camionneur). Ne vous attendez pas toutefois à ce qu'il fasse le tour complet comme une écharpe. Arrive dans une belle boîte, ce qui en fait un objet idéal à offrir.</t>
  </si>
  <si>
    <t>Super modèle Bonne chaussure, qualité au rdv</t>
  </si>
  <si>
    <t>Bon produit Un petit bémol au niveau de la couleur : reflet un peu vert .</t>
  </si>
  <si>
    <t>Un peu lourde Joli design mais un peu lourde. Sinon elle me convient !!</t>
  </si>
  <si>
    <t>Très beau livre Très beau livre, qui fourmille d'informations. Parfait pour apprendre en s'amusant.</t>
  </si>
  <si>
    <t>Confortables et légères Baskets légères et confortables. Agréable à porter toute la journée et permettent un petit footing le midi sur le temps de la pause déjeuner sans oublier la course du soir pour attraper le bus !</t>
  </si>
  <si>
    <t>La classe Il est vrai qu'elle convient aux petits poignets. Mais quel style! Facile d'acces pour les habitués, elle peut derouter pour les habitués des montres a aiguilles. Legere, bonnes finitions, lisible. Par contre jai cru au debut que les touches ne marchaient pas, mais c'etait dû au format 12/24h a modifier soi-meme (car programmé en GB).</t>
  </si>
  <si>
    <t>chaussure très bien</t>
  </si>
  <si>
    <t>Haut de gamme vraiment parfait, une qualité de texture bien supérieur à la moyenne, des fermetures éclaires haut de gamme, de nombreuses poches, j'en suis ravi et certain qu'il enchantera également beaucoup d'autres acheteurs.</t>
  </si>
  <si>
    <t>La solidité Pour la randonnée</t>
  </si>
  <si>
    <t>Très pratique Sauve vos traces de murs</t>
  </si>
  <si>
    <t>Le meilleur rapport qualité/prix sur le marché Je suis ravis de ce produit, je l'ai commandé car je voulais tester l'utilité d'un montre connectée. Je trouve que c'est la meilleure montre connectée pour son prix c'est fou toute les fonctionnalités qu'elle possède pour moins de 25 euros. Le guide d'utilisation fourni en français ma permit de vite paramétré la montre qui se couple automatique au bluetooth de mon smartphone. Le son est très bon, il y a même une camera  !  J'utilise un carte sd pour mes musique comme ça je n'ai pas besoin de mon smartphone. J'imagine le potentiel qu'elle doit avoir avec une carte sim. Je la conseille à tout ceux qui aiment la technologie et découvrir les montre connectées a bas prix et à tout les sportifs car elle vous sera d'un grande aide pour contrôler vos objectifs  !</t>
  </si>
  <si>
    <t>Très beaux  Mais...... Ces brassières ne sont faites que pour des petites femmes ou minces et sans poitrine; moi je l'ai ai acheté  pour moi XL je les ai donné à ma petite fille de  14 ans elles lui vont parfaitement . Moi avec une poitrine de  100 Ne pas acheter.</t>
  </si>
  <si>
    <t>bon compromis Ces chaussettes sont très agréables sans être trop chères. Je m'en sers pour le squash/tennis et c'est parfait. Elles sont très douces tout en étant renforcées au talon.</t>
  </si>
  <si>
    <t>Je suis le même La dame garantit que le produit est excellent. Seul petit matériel plat et bruyant. Je suis pareil Très très pratique je conseille de passer c'est un très bon rapport qualité prix.</t>
  </si>
  <si>
    <t>Taille grand Prendre une pointure en dessous . La marque converse taille asser grande en général . Mais sinon basket intemporelle. Toujours à la mode et passe avec tout .</t>
  </si>
  <si>
    <t>Top Nickel</t>
  </si>
  <si>
    <t>Il fonctionne, mais vraiment rien de plus Tout d'abord, pour pouvoir l'utiliser sur ma camera à la place du micro externe normal, j'ai dû bricoler un petit adaptateur car le niveau de sortie est à peu près 20 fois plus haut qu'un micro. Sans cet adaptateur, il y a saturation totale. J'ai mesuré la portée qui est de quatre à cinq mètres, est insuffisant pour mes besoins. La qualité audio aussi laisse à désirer.</t>
  </si>
  <si>
    <t>A évité Ça ne tiens pas du tout même sans sac. Pas solide du tout bancale vraiment a évité</t>
  </si>
  <si>
    <t>Lamentable Ne tiens pas chaud du tout Aussi fin qu'une chemise, Je déconseille vivement</t>
  </si>
  <si>
    <t>Prévoir une taille et demi en plus facilement pour 42.......43 1/3  après deux achats ratés trouvé la bonne taille. sinon accroche bien,confort des pieds,maintenant dans le temps.......??? COMFORME DESCRIPTION.</t>
  </si>
  <si>
    <t>Bon produit, mais avec des choses (essentielles) à revoir... Rien à dire avec le vendeur : le produit est conforme à ma demande... Concernant la livraison (via DPD), c'est une vraie catastrophe !! Le livreur totalement attardé m'a notifié (via le suivi de colis sur Internet) n'avoir jamais trouvé mon adresse, mais a quand même trouvé ma boîte aux lettres pour y déposer l'avis de passage, afin de récupérer mon colis en point relais. Cherchez l'erreur !!...  Calculette (scientifique très basique) pas trop compliquée d'utilisation. Le mode d'emploi n'est pas (vraiment) utile. Le reproche que j'y ferai est que la sérigraphie de la façade à été franchement mal pensée... Quelle idée d'avoir réalisé le marquage des touches (deuxième fonction) en orange, alors que la calculette est verte ?! Résultat : à peine lisible ! Là encore, cherchez l'erreur !!...</t>
  </si>
  <si>
    <t>recharge annuelle Nouvelle année. Pour le bloc humoristique, je n'en voulais plus mais mon message a été relayé au fournisseur après son envoi... Je l'ai gardé car trop de démarches pour le retour, par rapport au coût de l'objet.</t>
  </si>
  <si>
    <t>Dommage.. mais bien ;) Dommage car la qualité est là, le sac en lui-même est sympa et de bonne facture. Dommage pour quoi alors ? Un peu déçu par la taille, je l'imaginais un poil plus grand, l'emplacement prévu pour ranger un PC portable sur la taille L ne permet pas d'y mettre un PC de 15,6" dans l'emplacement prévu à cet effet. Ça rentre quand même dans le sac en lui-même mais le PC ne bénéficiera pas de la "protection mousse". Malgré tout, je me répète, la qualité semble être au rdv et le produit de bonne facture, je n'estime pas avoir été lésé. Un poil plus large et c'était juste parfait :)</t>
  </si>
  <si>
    <t>humidificateur conforme a la description du produit facile d'utilisation juste un regret qu'il ne soit pas en bois mais juste une imitation en plastique ... dommage</t>
  </si>
  <si>
    <t>Parfait RAS, délai de livraison et fonctionnement nickel. Idéal pour les mamans actives l'appareil permet une meilleure gestion du temps. A recommander malgré un tarif assez élevé.</t>
  </si>
  <si>
    <t>Super Je suis passée à la vitesse 2 quand mon fils à eu 1 mois car il est passé au lait epaissie . Super tétine . Mam est vraiment une marque au top</t>
  </si>
  <si>
    <t>Top Pour le prix je m'attendais a des chaussures inconfortable et qui ne tiendrait pas longtemps, mais finalement après 2 mois de travail elle sont toujours intacte, malgré que je pose énormément de choses lourde dessus lorsque je fatigue. Le confort aussi est très bon peut être porté toute une journée sans aucun problème, et je fais des journées de 13h en moyenne.</t>
  </si>
  <si>
    <t>Joindre l'utile à l'agréable c'est le principal Diffuseur d'huiles essentielles et lampe d'ambiance c'est très très agréable</t>
  </si>
  <si>
    <t>Conforme comme expliqué il est possible d'attacher ces lacets de différentes façon, et j'en ai 3 sur mes chaussures :) je valide. Je vais surement m'en commander d'autres</t>
  </si>
  <si>
    <t>Solide et maniable Un peu cher pour ce que c'est mais la qualité est au rendez vous, je n'ai pas peur d'y attacher un micro onéreux, on peut compter dessus.</t>
  </si>
  <si>
    <t>Super casque !!!! Personnellement très satisfaite de ce casque.. que ce soit le prix.. le son.. pour le porter... la longueur du fil... tout est parfait..</t>
  </si>
  <si>
    <t>puma viz runner je viens de les recevoir en taille 43 , bien conforme a ce que je voulais en petite ou grosse  chaussettes je suis super bien a l'aise rien a dire on verra avec le temps sinnon nickel ,,,</t>
  </si>
  <si>
    <t>houah! confort bluffant et c'est un baroudeur qui vous le dit, les randonnées avec ça c'est de la balade en pantoufle! Pour enlever la latérite par contre, ça craint! mais bon, ce serait le cas de la plupart des chaussures.</t>
  </si>
  <si>
    <t>Pas de soucis Article recu rapidement, meme plus vite que prevu. La taille correspond tres bien. Commander pour faire un peu de sport et etre a l'aise a la maison.</t>
  </si>
  <si>
    <t>Qualité J'ai l habitude d utiliser l huile de Chanvre et j en suis ravie. Celle ci est de qualité ++++ . Je la conseille vraiment</t>
  </si>
  <si>
    <t>Bon produit Répond au besoin.</t>
  </si>
  <si>
    <t>bon produit pour la premiere fois j ai commande l encre noire et la couleur séparément et c est assez satisfaisant cela permet de mieux suivre sa consommation parfait</t>
  </si>
  <si>
    <t>Parfaite Enfin une oreillette qui a une bonne  tenue à l oreille, un son parfait et qui tient bien la charge.Apres trois achats je recommande fortement ce modèle</t>
  </si>
  <si>
    <t>Swet Bonjour, je trouve que le swit est chaud mais de mauvaise qualité quand je l'ai reçu il était un peu abîmé je assez triste car il est beau</t>
  </si>
  <si>
    <t>Vilain Vilain à fuir</t>
  </si>
  <si>
    <t>LE RESULTAT TERRIBLES DOULEURS COXARTHROSE GAUCHE AUCUN RESULTAT AUCUNE  DIMINUTION DES DOULEURS? JE CONTINUE/  IDEM POUR PAINGONE XL//  non hélàs ce produit ne m'apporte aucun soulagement désolée</t>
  </si>
  <si>
    <t>Bien mais peut mieux... Beau design, qui m a fait choisir le produit. La ou cela se complique, c est au niveau sonore, la bouilloire est super bruyante...le couvercle accroche un peu, sinon' dans l ensemble pour le prix ca va.</t>
  </si>
  <si>
    <t>Simple Un peu cheap par rapport au modèle de chez Philips !</t>
  </si>
  <si>
    <t>Rapport qualité/prix excellent Pour le prix rien à redire, réception du produit très rapide, emballage correct, notice en français. Le look de la montre est sympa mais j'aurais du choisir les chiffres verts. Un seul reproche les aiguilles ne sont pas luminescentes, dommage sinon 5 étoiles. Je testerai l'étanchéité et s,il y a un problème je le rajouterai au commentaire.</t>
  </si>
  <si>
    <t>Legging épais Legging plutôt épais et surtout pas transparent. Moi qui suis toujours craintive d'acheter du textile sur Amazon la cest niquel.</t>
  </si>
  <si>
    <t>Demi taille trop grand ? En achetant le produit je n'avais pas vu que ça taillait une demi taille trop grand, sauf que quand je les ai essayé ce serait plutôt une taille trop grand je dirais.</t>
  </si>
  <si>
    <t>Bien coupé Parfait pour une tenue de soirée décontractée. Très confortable et la taille XL me convient parfaitement. Reçu en temps prévu. Rien à critiquer sur ce produit, je le conseille bien qu'il serait bon d'avoir le choix de plusieurs coloris. Si je n'ai mis que 4 étoiles c'est que malheureusement encore un produit fabriqué en Chine.</t>
  </si>
  <si>
    <t>Super produit Produit conforme à la description et convient parfaitement à la gear S2 Classic. Facile à mettre en place. Maintenant juste à tester la qualité sur la durée mais pour le moment rien à redire.</t>
  </si>
  <si>
    <t>Belle montre Tres bonne idée cadeau</t>
  </si>
  <si>
    <t>Tres bien Pratique pour les briquets usés</t>
  </si>
  <si>
    <t>RAS Pour le moment pas de souci .Relativement intuitif donc facile à utiliser. Pour la photo je ne conseille pas mais je suis photographe donc à part l'argentique......... Niveau bureautique nickel .La consommation d'encre je ne peux rien dire de significatif. Ce qui est certain pour mon activité professionnel elle convient bien (édition facture, coupon de vente.......... Pour le reste à voir dans le temps</t>
  </si>
  <si>
    <t>super cadeau Très beau collier ; encore plus joli réel qu'en photo. Je le recommande !!!</t>
  </si>
  <si>
    <t>Whaou ! Je les adore 😍</t>
  </si>
  <si>
    <t>Impeccable Elles taillent bien, sont un peu rigides et difficiles à enfiler pour les petits les premières fois mais elles s’assouplissent après 2 ou 3 passages en machine.</t>
  </si>
  <si>
    <t>shoes Produit est conforme aux descriptions et super confortable quand il fait chaud</t>
  </si>
  <si>
    <t>cher mais Produit cher mais de qualité, je ne regrette pas mon achat. Même après plusieurs années c'est très bon ça tient dans le temps</t>
  </si>
  <si>
    <t>Invicta 8926OB Objet conforme à la description, belle finition, et robuste (verre trempé et boitier inox), le mouvement automatique à l'air précis, et pas de problème côté étanchéité, c'est un très bon rapport qualité/prix, en comparaison par exemple avec la marque de montres suisses jetables...</t>
  </si>
  <si>
    <t>bracelet beau bijoux</t>
  </si>
  <si>
    <t>gommettes un peu tous les genres  et toutes tailles ; tres bien , j'aurais aimé que des gros ronds rouges  pour coller sur les affiches des élections et transformer nos candidats avec un nez de  clown !</t>
  </si>
  <si>
    <t>huile essentielle lavande vraie Un flacon d'huiles essentielles bien pratique pour ceux qui font leurs produits ménagers ou d'hygiène eux-mêmes. Comme je me sers particulièrement de l'HE de lavande dans mes produits. Pour le prix j'avais un peu peur de la qualité, mais non c'est parfait, on sent bien l'HE dans les cosmétiques, et du coup j'en utilise aussi dans le shampoing des enfants pour éviter les poux etc... Ma fille a les cheveux très longs et bouclés, et pour le moment pas de poux à l'horizon malgré des infestions régulières à l'école (je croise les doigts). Du coup je recommande!</t>
  </si>
  <si>
    <t>Reçu rapidement C pour un cadeau</t>
  </si>
  <si>
    <t>Prix imbattable 👍👍👍 Performance 👍👍👍 Tout simplement génial. Facile d'utilisation. Tout en un et le rendu est magique : j'ai teint du bleu ciel en un noir corbeau !!! De plus le prix étant imbattable j'en ai acheté 2 et j'ai pu faire revivre des vêtements noirs délavés en noir ébène 👍</t>
  </si>
  <si>
    <t>Un doute sur la réduction de bruit Les écouteurs sont trop petits en n'englobent pas bien les oreilles, j'ai donc un gros doute sur la réduction du bruit. Bref, c'est un modele bas de gamme (pour du bose), preférez si possible le quietconfort 35 sans hésitation et de loin !</t>
  </si>
  <si>
    <t>Attention de ne pas trop remplir !!! Bouilloir qui déborde facilement. J'ai mis un peu de vinaigre d'alcool ça a débordé et résultat la bouilloire ne fonctionne plus.</t>
  </si>
  <si>
    <t>Ne maintient pas au chaud. Regrette de l'avoir acheté Acheté pour maintenir au chaud des biberons. Ne fait absolument pas sont boulot</t>
  </si>
  <si>
    <t>Souple Un peu fin mais pour le prix on s'y attendait, sinon fait le job</t>
  </si>
  <si>
    <t>Bien ,mais... Le son est joli et clair,mais il manque de basses à mon goût. Les écouteurs sont legers mais de part leur grosseur,ils finissent par devenir rapidement inconfortables, malgré l'essai des différents embouts fournis.</t>
  </si>
  <si>
    <t>Le design Parfait au top les chaussures et classe</t>
  </si>
  <si>
    <t>Conforma à l'image Je suis satisfait de cette montre sur le plan estétique et général,Cependant la description technique manque de renseignements par exemple boitier? et étanchéitée?. L'image, bien que conforme au produit ne permet pas une idée précise des dimensions qui sont plus petites en réalité. ( montre pour "petit" homme).</t>
  </si>
  <si>
    <t>Bien Je les ai achetés pour le travail la paire de baskets est conforme à la photo, légère, bonne finition et la qualité à voir avec le temps.  De toute façon à ce prix là on peut pas avoir le top du top.</t>
  </si>
  <si>
    <t>Parfait ! Super rapport qualité prix !</t>
  </si>
  <si>
    <t>Confortable Je suis tout à fait satisfaite de ces chaussures elles sont très confortables, comme dans des chaussons. On s'y sent très bien, elles sont faciles à enfiler et plutôt jolies pour des chaussures de marche. Attention elles taillent assez grands, on m'avait conseillé de prendre une pointure au-dessus pour la marche et heureusement que je n'ai pas suivi ce conseil parce qu'elles sont déjà bien grandes. L'avantages est qu'on n'est pas serré avec de grosses chaussettes. Je recommande !</t>
  </si>
  <si>
    <t>Très bon casque Acheter principalement pour un aller retour en avion de 13H par vol, il s'est rendu très bon au niveau de la réduction du bruit (étant près des moteurs de l'avion), au niveau son que ce soit pour écouter de la musique ou regarder des films le son est superbe. les accessoires fournis avec sont les bien venus. Je recommande.</t>
  </si>
  <si>
    <t>Belle qualité Chaussettes de qualité, bien finie et agréables à porter... Suite à leur utilisation depuis qq mois: ne se déforment pas et restent bien ajustées: je recommande totalement!</t>
  </si>
  <si>
    <t>le reve de gosse a pas cher excellente montre qui raméne en enfance et malgré ce que dira votre femme elle est pratique en voyage avec les fuseaux horaires</t>
  </si>
  <si>
    <t>Achat à conseiller Très agréable et confortable surtout pour des personnes au pied plutôt large ; je conseille donc une pointure en moins</t>
  </si>
  <si>
    <t>beaume tres  efficace</t>
  </si>
  <si>
    <t>Très bien Ils sont très bien. En brut mais fini.Reçut rapidement.  Parfait.  Merci</t>
  </si>
  <si>
    <t>BELLE CHAUSSURE BELLE CHAUSSURE , BELLE COULEUR ET CONFORTABLE ET LÉGÈRE</t>
  </si>
  <si>
    <t>qualité Très bonne qualité, je conseille</t>
  </si>
  <si>
    <t>Vraiment belle, fonctionnelle et large contenance Parfaite! Belle contenance! S'arrête automatiquement (y compris lorsqu'on la vide avant l'arrêt automatique !) Stable avec un câble qui ne gêne pas!</t>
  </si>
  <si>
    <t>PHOTO + DESCRIPTION = PRODUIT Casques pratiques, et couleurs ludique. mes enfants peuvent suivre un film ou écouter leur musique en même temps et sans que nous les entendions. le son n'est pas trop fort meme au maximum. et les cerf tetes sont réglables. Conviennent à mes enfants de 2ans et 5 ans par exemple.</t>
  </si>
  <si>
    <t>Très bel anneaux La taille est bien respecté à la commande. La partie bleu est un peu moins claire, moins criarde et c'est bien mieux.  Attention par contre, il s'agit d'un alliage très dur et si vous donnez un coup sur une table en verre meme par inadvertance, le verre de la table aura un pet !</t>
  </si>
  <si>
    <t>Bonne sacoche Je les affaire à mon grand père pour son anniversaire, il en est très comptant. La sacoche est de bonne qualité.  Ps les photo on était prise avant de lui offrir.</t>
  </si>
  <si>
    <t>Basket de sécurité Très bonne qualité, les lacets torsadés sont étranges au début mais une fois l’habitude pris ils sont très bien.</t>
  </si>
  <si>
    <t>Bon ressenti, mauvaise durée de vie. Comme on pouvait s'en douter, à ce prix, le produit n'est pas de grande qualité, le cuir est très rigide et après quelques semaines d'utilisation quotidienne, il décolore sur les points de contact et commence à se déformer au niveau du fermoir. On en a pour son argent, si vous changez régulièrement de bracelet alors il vous conviendra parfaitement.</t>
  </si>
  <si>
    <t>Pas satisfait Je n'aime pas du tout, pas agréable à porter, il serre .. taille petit</t>
  </si>
  <si>
    <t>L'antidérapant fait le job ! J'ai acheté ces chaussettes dans l'idée d'avoir les pieds aux chaud sans me casser la figure sur mon parquet. Seulement, on ressent trop le caoutchouc, le tissu est trop fin pour moi : elles me font mal après un moment.</t>
  </si>
  <si>
    <t>Pour connecté à un smartphone le microphone rode Câble qui aurais pu être inclus avec le microphone</t>
  </si>
  <si>
    <t>top et top</t>
  </si>
  <si>
    <t>jean pierre belle chaussure bien reçu</t>
  </si>
  <si>
    <t>Style très bon mais sensible à l'usure Très bon bas, style fidèle aux photos et très sympas, somme toute confortable et à la bonne taille pour ma part. Assez sensible à l'usure toutefois, les coutures s'étirent assez vite si vous le portez régulièrement comme pyjama ou jogging pour chill le dimanche :)</t>
  </si>
  <si>
    <t>Vive tchoupi J'ai acheté ce livre pour ma fille de 2 ans qui commence le pot. Elle est fan de tchoupi! Il a une solution pour tous les problèmes de la vie. Sans compter qu'il est plastifié donc solide</t>
  </si>
  <si>
    <t>Très bon produit Excellent produit, j ai même réussi à enlever des taches qui avaient plusieurs années sur mes sièges ! N hésitez pas à '' mouiller'' l ensemble du tissu du siège et de frotter avec une brosse douce à vêtements, ça augmente l efficacité du résultat !. Beaucoup plus efficace que la concurrence, même si c est un peu plus chère .</t>
  </si>
  <si>
    <t>J'adore Vraiment génial à utiliser les LED donnent un côté fun à la bouilloire et il y a un filtre intégré au bec verseur ce qui permet de mettre directement les feuilles de thé à l'intérieur .top</t>
  </si>
  <si>
    <t>Satisfaite Très bien</t>
  </si>
  <si>
    <t>Adaptateur 6 pins vers 8 pins Je l'ai acheté pour alimenter une carte graphique dotée d'une prise 8 pins, alors que mon alimentation n'avait qu'un connecteur 6 pins. Cela fonctionne parfaitement avec cet adaptateur. Rien de luxueux, mais cela fait le job.</t>
  </si>
  <si>
    <t>Super design Enfin un produit sympa pour les biberons et autres materiels pour bébé! Jolie couleur et super design! Je l'utilise aussi pour egoutter les verres ou la petite vaisselle (des adultes!)</t>
  </si>
  <si>
    <t>Montre Homme Casio Edifice EFR-539D-1A2VUEF ... TRES BELLE MONTRE MAIS ATTENTION NE CORRESPOND PAS POUR LES PETITS POIGNETS SINON TRES BEAU DESIGN  ET TRES BELLE COULEURS</t>
  </si>
  <si>
    <t>Très très bien Très bon produit.  Il est très bien, il a un bon maintien.  Je fais du sport dans une salle de fitness et vraiment génial. Au début c'est un peu difficile à le mettre et l'enlever mais on prend le coup de main rapidement. Je l'ai immédiatement recommandé dans une autre couleur,tellement suis ravie de cet article.</t>
  </si>
  <si>
    <t>Montre Une montre avec une finition parfaite, elle est très élégante et la couleur est parfaite. Je l'ai reçue très vite, avec une petite boîte en métal jolie.</t>
  </si>
  <si>
    <t>Un petit kit parfait pour débuter Comme je réalise des vidéos je voulais un microphones un petit peu plus performant que celui de ma webcam mais sans  non plus devoir y investir des fortunes j'ai donc comparé et finalement décidé d'acheter ce kit qui m'avait l'air bien par rapport au prix et au avis que j'avais pu trouver. Je l'ai reçu très rapidement et j'ai fais pas mal de test pour trouvé les limites de ce microphone et très sincèrement il fait le job comme on dit ... le kit est vraiment complet avec le microphone le cable xlr via jack le support arraigné et même le bras pour le fixé a mon bureau. Je ne regrette vraiment pas cet achat et vous le conseil si vous voulez pouvoir obtenir une bonne qualité sonore a moindre frais.</t>
  </si>
  <si>
    <t>Bon appareil 3 en 1 Bien reçu appareil de bonne qualité pas de bouton on et off pour éteindre il faut simplement débranché donc pour une première utilisation en mode gaufrier pour le moment pas déçu.</t>
  </si>
  <si>
    <t>belle montre produit correspondant totalement à la description, beau produit expédition rapide et un peu cher pour le poids du produit car les frais de port sont souvent gratuit desormais</t>
  </si>
  <si>
    <t>Parfait Grande largeur et bonne résistance au déchirement.</t>
  </si>
  <si>
    <t>plaisir retrouvé Cette cellule correspond à ce que j'attendais, un son nettement amélioré par rapport à une cellule de base (1er prix), qui donne un sacré coup de jeune à ma vieille, mais ô combien fidèle !, platine vinyle (Pioneer PL20D) . Je ne suis pas un spécialiste, mais j'apprécie la précision des instruments, la restitution de l'ambiance musicale (jazz et musique classique), et donc beaucoup de plaisir... puisque c'est le but recherché !</t>
  </si>
  <si>
    <t>Ecouteurs umi Très bien me convient parfaitement vendeur conseillé</t>
  </si>
  <si>
    <t>Nike air Max 90 essential Le produit correspond à mes attentes, livraison dans les temps et correspond à l annonce et prix dans la fourchette des autres sites. Je recommande sans problème</t>
  </si>
  <si>
    <t>Déçu de mon coli Taille trop grand la semelle avant ce décolle elle s’errafle très rapidement et donne l’impression d’avoir des grands pieds en revanche très jolie esthétiquement parlant</t>
  </si>
  <si>
    <t>Article non reçu Article non reçu</t>
  </si>
  <si>
    <t>Attention livré sans zip cut Deuxième fois que je commande ce produit et la boîte arrive sans le zip cut , autant dire que du coup le produit est sans intérêt ! Je dois encore renvoyer l’article!</t>
  </si>
  <si>
    <t>Pas trop mal Étant ancien propriétaire d'un étui tombant en lambeaux, j'ai franchi le pas pour ce modèle. Il présente bien lors des contrôles et permet de conserver mes papiers en bon état. J'aurais cependant aimé que les deux volets exterieurs soient fermés et non un seul. J'ai un petit doute quant à la durée qu'il va faire mais pour ce prix là ça vaut le coup.</t>
  </si>
  <si>
    <t>Bonne chaussure La marche</t>
  </si>
  <si>
    <t>Bon article, vendeur au top Acheté pour ma soeur car elle souffre des maux de dos depuis très longtemps. L’article je l’ai reçu rapidement et en bon état, j’ai même reçu un message de la part du vendeur, lequel m’a envoyé un pdf avec des exercices pour soulager le mal de dos. Par rapport au tapis, la sensation est très bizarre au début, on sent une chaleur intense mais agréable, on s’habitue assez rapidement.</t>
  </si>
  <si>
    <t>Cartoyche Cartouche avec un prix imbattable comparé aux grandes surfaces. Tout est indiqué dans le descriptif ce qui permets d'acheter les bonnes cartouches. Car au magasin on est souvent perdu si on n'y connaît rien</t>
  </si>
  <si>
    <t>jolie confortable legere Jolie paire de baskets, confortable, légère au pied. Par contre salissante</t>
  </si>
  <si>
    <t>Juste génial ! Très bonne lampe, efficace, je m'en sert tous les matins...</t>
  </si>
  <si>
    <t>Très agréable Super produit.  Léger,  confortable,  pratique et parfait pour soigner le cou. Le recommande vivement.</t>
  </si>
  <si>
    <t>Très beau papier Parfait pour de l'impression couleur recto/verso. Un peu rigide, ça fait plutôt pro. Un peu cher aussi, mais on a rien sans rien...</t>
  </si>
  <si>
    <t>beau produit délai de livraison respecté produit conforme à l'oririne</t>
  </si>
  <si>
    <t>Correspond à la Description Correspond à la Description</t>
  </si>
  <si>
    <t>Papier photo KP 108 Commande et expédition rapide. C'est le seul papier 10x15 avec les 3 cartouches pour l'impression ( transfert thermique) qui conviennent à l'imprimante Selphy CP 800 avec un prix très intéressant.</t>
  </si>
  <si>
    <t>Bon appareil! Très bon son. Par contre me sers un peu... pourtant je n’ai pas une si grosse tête! La sensation disparaît. Je l’aime bcp quand même. Et j’le conseillerais!</t>
  </si>
  <si>
    <t>Cartouche d'encre Produit de qualité car origine constructeur avec comme avantage pour quelques euros la possibilité de pouvoir imprimer plus de feuilles qu'une cartouche ordinaire.</t>
  </si>
  <si>
    <t>Très original Mignonne mais déjà cassé au bout de d un jour. La tige ne tient pas. Un peu de colle est ça sera reparti</t>
  </si>
  <si>
    <t>Très bonne qualité Bonne qualité. Je l’utilise dans un bac de 180 litres. La taille est parfaite, bien que un peu grande. S'adapterait à un bac de plus de 200 litres sans problème. Le plastique est assez épais.</t>
  </si>
  <si>
    <t>bonne taille Veste de bonne taille. Intérieure Tout doux. Livre rapidement. Couleur vive.</t>
  </si>
  <si>
    <t>Excellent produit ! Ce pied est de très bonne qualité. Je possède le modèle pour deux écrans, il reste très stable meme sur un bureau avec un plateau en verre. Les bras sont solides, le réglage est certes compliqué si l'on veut être très précis mais une fois en place, il ne bouge plus. Si vous possédez deux écran 24 pouces, les bras seront très repliés derrières les écrans pour que tout deux soit cote à cote en face de vous. Il est toujours possible de fixer le pied sur la droite du bureau et d'avoir un écran en face et l'autre de côté.  Si cette avis est utile, n'hésitez à cliquer le bouton ci-dessous,  Merci : )</t>
  </si>
  <si>
    <t>Sandales homme Très jolies sandales simples, sans chichis, bleu marine. Achetée pour mon mari qui les porte chaque soir en rentrant du boulot et le week-end. Se lave très simplement sous le jet de la douche. Je recommande !</t>
  </si>
  <si>
    <t>Très bien C’est ce que je recherchais, je pensais que c’était des feuilles pour autocollant donc brillante mais du coup elles sont mat mais ça ne me dérange pas finalement</t>
  </si>
  <si>
    <t>Vraiment très léger j'utilise le casque pour sortir le son du piano en toute discrétion et je suis très satisfait du produit. Je le recommande vivement.</t>
  </si>
  <si>
    <t>trop léger Ne tient pas bien l'équilibre avec un micro lourd du genre Rode NT1 les pieds auraient pu être plus lourds pour mieux stabiliser la perche.  le système de verrouillage de position de la perche, ne tient pas bien en place, il faut serrer vraiment à fond.  Je ne conseille qu'avec un micro léger.</t>
  </si>
  <si>
    <t>Autant prendre une quantité moindre  pour les particuliers ! J'ai acheté une cartouche 62XL couleur il y a 1 mois et demi et pensais en avoir pour un petit moment mais voilà qu'à 70% de remplissage actuellement (environ) celle-ci ne veut plus imprimer en magenta (les autres couleurs sont ok). Tous les nettoyages n'y change rien. L'impression de la page de diagnostic de qualité n'imprime toujours pas le carré de couleur magenta... Adieu la couleur rouge et vive le jaune illisible à la place sur les documents :-( Un conseil n'acheté pas les cartouches XL si vous n'avez pas un débit d'impression professionnel : prenez les cartouches 62 classiques car vous n'arriverez pas au bout. Ca donne l'impression que l'encre sèche au bout d'un certains temps... J'avais déjà eu cette impression par le passé mas sur une durée beaucoup plus longue. Je ne prendrais plus que le lot à tarif intéressant noir plus couleur en 62 classique (qui m'allait trsè bien avant de réessayer les XL... https://www.amazon.fr/HP-N9J71AE-Cartouches-Authentiques-Couleurs/dp/B01ARRTHUE/ref=sr_1_5?s=computers&amp;amp;ie=UTF8&amp;amp;qid=1553286255&amp;amp;sr=1-5</t>
  </si>
  <si>
    <t>Ne s efface pas bien Offert hier à ma fille. Elle adore Par contre le feutre ne s efface pas correctement sous l eau. C'est vraiment dommagr</t>
  </si>
  <si>
    <t>Pinceaux Pinceaux agréables à utiliser. Bien pour des débutants.</t>
  </si>
  <si>
    <t>Bein reçu J’aime</t>
  </si>
  <si>
    <t>Parfait pour mon ado... Pour mon fils qui a des pieds de grande taille (49-50), ce modèle est très adapté et lui plait beaucoup.</t>
  </si>
  <si>
    <t>tres bien belle qualite</t>
  </si>
  <si>
    <t>Economic Efficace</t>
  </si>
  <si>
    <t>Super pratique Pour moi-même</t>
  </si>
  <si>
    <t>Basket Mon fils est RAVI</t>
  </si>
  <si>
    <t>Karaoké micro sans fil!!@ "difficile d'évaluer ce micro car impossible de l'utiliser vu que la notice est dans plusieurs langues sauf le français si quelqu'un peut me fournir cette notice en français je le remercie d'avance à part ce reproche la livraison a été parfaite!@...</t>
  </si>
  <si>
    <t>aucun problème du tout C'est le scotch le moins cher que vous puissiez trouver. Mais il satisfait la demande de base pour la boîte en papier. Je ne comprends pas dans la plupart des cas pourquoi je vais acheter le scotch cher</t>
  </si>
  <si>
    <t>Super écouteurs sans fil. C’était très bien emballé, le son est parfaite. Les écouteurs ça maintient très bien, et y avait plusieurs embout pour changer, et aussi fourni une housse pour la boîte. Reçu produit jusqu’à maintenant, pas encore chargé, toujours en mode plein piles. La boîte d’écouteurs est légèrement, pas lourd, et  peut chargé notre phone aussi. C’est vraiment très bon écouteur sans fil.</t>
  </si>
  <si>
    <t>Cartouche Cartouche imprimante</t>
  </si>
  <si>
    <t>Chaussures Une très belle chaussure  la taille et parfaite</t>
  </si>
  <si>
    <t>EXCELLENT C I facile à insérer,tres utile quand plusieurs conducteurs utilisent le véhicule celà protège le CI, je recommande cet article</t>
  </si>
  <si>
    <t>Super Simple beau solide et bon marché, le tout à un prix modique, j'en redemande ! Et en plus aucune marque visible :-)</t>
  </si>
  <si>
    <t>Parfait &lt;div id="video-block-RJ3XTAQC8GLYM" class="a-section a-spacing-small a-spacing-top-mini video-block"&gt;&lt;/div&gt;&lt;input type="hidden" name="" value="https://images-eu.ssl-images-amazon.com/images/I/81eNJbGUE7S.mp4" class="video-url"&gt;&lt;input type="hidden" name="" value="https://images-eu.ssl-images-amazon.com/images/I/B1AJ6gV4MKS.png" class="video-slate-img-url"&gt;&amp;nbsp;Ce microphone karaoké est parfait. Il est très facile de connecter son smartphone en bluetooth afin de pouvoir écouter sa musique grâce au haut parleur du microphone. Il possède également un jeu de lumière afin de mettre un petit peu plus d'ambiance. Il y a également plusieurs boutons afin de régler le volume et aussi de créer un écho lorsque l'on chante dans le microphone. Ma fille de 7 ans l'adore.</t>
  </si>
  <si>
    <t>Sacoche homme Malgré sa taille un peu réduite, cette sacoche pour homme me convient parfaitement, car il est bourré de poches très utiles et pratique. Encore merci. Cordialement YD</t>
  </si>
  <si>
    <t>Bonne achat Superbe et confort je connais la marque depuis des années mais ici le prix dépasse toute mes espérances , profité en</t>
  </si>
  <si>
    <t>Bonne durée d'utilisation Imprimer bien sur</t>
  </si>
  <si>
    <t>Très bonne produit. Facile à connecter les appareils tablettes téléphones, et avec la chargeur très satisfait je vais racheter un autre^.^</t>
  </si>
  <si>
    <t>Super appareils J’utilise pour me masser le cuire chevelu , il est parfait je le recommande ! Il se charge très vite et fais le bonheur de tous!</t>
  </si>
  <si>
    <t>Pas pour la nuit... Ce réveil n’est pas rétro éclairé la nuit, donc on ne voit pas l’heure... ce qui est très gênant. De plus si on le manipule il se met à bêler ou faire le coucou, amusant la journée seulement... et les lumières tournantes, oui pour le jour où avec l’alarme... Dommage, il me plaisait beaucoup sinon.</t>
  </si>
  <si>
    <t>Simple, mais très inconfortable Semelle très dure. Impossible de marcher longtemps avec. Pas du tout comfortable. Je ne recommande pas ces baskets. D'ailleurs je ne les mets jamais car elles sont vraiment désagréable à porter, comme si la semelle était faite de bois.</t>
  </si>
  <si>
    <t>trop Petit Je n'est pas contrôlé la taille, il m'en fallait un grand mais tampis c'est moi qui est fait l'erreur j'assume emballage</t>
  </si>
  <si>
    <t>Bonne qualité Un peu lourde et quid de la solidité ?</t>
  </si>
  <si>
    <t>Cartouches de qualité parfaite et de longue durée Ces cartouches sont décidément les meilleures pour ma HP Pro 8600. Et heureusement d'ailleurs vu leur prix exorbitant (80 euros le jeu complet, ça ne me fait pas rire, ou alors JAUNE!!) seul point NOIR mais de taille. J'ai testé des cartouches produit BLANC "compatibles". Une catastrophe: couleurs approximatives, lignes et nombreuses taches. J'ai vu ROUGE et je me suis donc résolu à assassiner mon portefeuille pour conserver la qualité d'impression. Les mêmes cartouches mais bien moins chères me permettraient de revoir la vie d'imprimeur en BLEU.</t>
  </si>
  <si>
    <t>Massage efficace mais douloureux Ce n'est pas une douce thailandaise, mais une brute de sumo japonais qui vous mastique le dos et le cou. Il faut reconnaître que c'est efficace, mais pas sensuel .....</t>
  </si>
  <si>
    <t>Bon produit Produit très bien , tiens bien dans l'oreille ,livré très vite</t>
  </si>
  <si>
    <t>rapport qualité prix correct casque très correct dans  l ensemble bon son; pour le confort  moyen fait un peut mal au oreille si on le porte trot longtemps ,je trouve le file pour recharger le casque un peut court: autonomie correct ,pour le prix je trouve se casque très bien.</t>
  </si>
  <si>
    <t>Casque esthétiquement discret mais performant Zone tactile très facile à prendre en main et très pratique à l’usage. Très bonne autonomie.  Moins compact que son prédécesseur une fois replié, le casque reste tout de même transportable en voyage. Très bonne réduction de bruit en ville (Paris) et en avion.  Possibilité d’appairer en Bluetooth  le casque avec le décodeur-box internet pour écouter la télé directement dans le casque san gêner les personnes autour.  Je recommande ce produit sans hésitation.</t>
  </si>
  <si>
    <t>Parfait pour assainir Honnêtement à la réception je me suis dit : oulala ca sent pas bon ! Et finalement en brûlant ça sent plutôt bon , ca m'a parfume toutes les pièces de ma maison , je recommande ce produit !</t>
  </si>
  <si>
    <t>Excellent rapport qualité-prix Parfaites pour des classements de papiers en quantité, bonne résistance (carton assez épais), couleurs vives. J'aurais aimé un grammage encore supérieur, mais c'est déjà très bien.</t>
  </si>
  <si>
    <t>Super Super satisfaite</t>
  </si>
  <si>
    <t>Pas mal pour les cernes Plutot revigorant quand on les met sous les yeux, ça a pas mal apaisé mes cernes ! C'est pas le mieux pour réveiller le regard (rien ne vaut les masques gel) mais pour les cernes c'est plutôt efficace</t>
  </si>
  <si>
    <t>Très bien Super confortables, adaptées, contente de mon achat</t>
  </si>
  <si>
    <t>Sweat Levis Taille très bien.</t>
  </si>
  <si>
    <t>Ok Tetines ok conforme à celle du commerce</t>
  </si>
  <si>
    <t>très bonne qualité la qualité est trop bonne, il colle très bien.</t>
  </si>
  <si>
    <t>Tres bel effet Tres joli pull tres doux</t>
  </si>
  <si>
    <t>Juste Parfait Le produit est d'excellente facture. Très beau, finition soignée. Vraiment pas déçu de l'achat. Je recommande sans hésiter surtout à ce prix. Merci</t>
  </si>
  <si>
    <t>Excellent produit Parfait ! Excellente qualité (les oreillettes sont aimantées pour tenir autours du cou. Le son est de bonne qualité. Franchement a recommander !</t>
  </si>
  <si>
    <t>Très bien, je recommande En cadeau c'est parfait, très belle présentation et bonne qualité du grain à l'usage. Merci</t>
  </si>
  <si>
    <t>performant Le produit correspond à la description. Le son est correct pour moi, très fluide, de bonne qualité,  et les bass sont puissants, il se connecte très bien aussi, rien à dire.</t>
  </si>
  <si>
    <t>Une G-Shock particulièrement bien équipée! Magnifique g-shock, la couleur blanche et boîtier noir contraste bien. Et la technologie multi band 6 ainsi que le rechargement solaire sont des plus non négligeables. Pour un peu plus de 100 euros, un must have!</t>
  </si>
  <si>
    <t>super taille grand en daim noir bon achat</t>
  </si>
  <si>
    <t>Originales couleur gris Si vous cherchez des vraies, n'achetez pas celles-ci à 14€. Soit fausses soit défectueuses (pas de numéro de série à l'intérieur), lacets trop petits par rapport aux vraies, intérieur non fini (traces) et je ne parle pas de l'extérieur.</t>
  </si>
  <si>
    <t>très fragile La montre a tenue 2 jours : j'ai juste éraflé un mur : le bouton de réglage s'est cassé et les aiguilles ne tiennent plus (tournent toutes seules)  : 26 euros a la poubelle. A fuir !!</t>
  </si>
  <si>
    <t>le produit reçu n'est pas le produit commandé bon produit, mais ce n'est pas le produit que j'ai commandé : reçu un sweat-shirt à la place d'un gilet</t>
  </si>
  <si>
    <t>Tout juste pour traînaller chez soi !!! La taille est adaptée comme prévue, pratique pour rester à la maison. Quand à la qualité n'y comptez pas à ce prix la.</t>
  </si>
  <si>
    <t>Très bon gadget Je l’ai acheté pour continuer la diversification alimentaire chez ma fille. Je l’ai acheté pour commencer à ses 5 mois faits. Super prise en main de sa part, elle a de suite compris le concept et adore. Seul bémol, la tétine se colore avec certains fruits, comme la pastèque. Même si on lave directement.</t>
  </si>
  <si>
    <t>Problème Important... Bonsoir, J'ai reçu le casque Sony samedi. -Un grand confort d'utilisation pour des écoutes jusqu'à 5h max (pour ma part après douleurs aux oreilles) -Un son proche du H9i, meilleure que le beyer Custom, que le MSR7 de très loin -la meilleure réduction de bruit du marché  MAIS Le casque GRINCE ATROCEMENT !!! J'ai eu beau mettre de la graisse de silicone pour plastique etc Il grince c'est très très désagréable.  Amazon ne veut pas me l'échanger donc me voilà avec presque 400€ mis par la fenêtre ! Bravo belle réputation... Je suis extrêmement déçu En tous les cas sil est inutilisable à l'heure actuelle, chaque mouvement de tête devient insupportable... On a l'impression que l'arceau va se briser avec tous ces craquement !  J'espère que Sony va pouvoir faire quelque chose dans les plus brefs délais...  Merci de votre lecture  Amazon m'a recontacté, j'ai reçu le produit le lendemain et tout va bien. C'est dans ce genre de moment que je suis content de passer par amazon. Je mets 4 étoiles à cause du désagrément quand même ;)</t>
  </si>
  <si>
    <t>Achat trop récent A voir dans le temps !!! Bonne première impression...</t>
  </si>
  <si>
    <t>Très joli cadeau Mon mari a bcp apprécié ce collier</t>
  </si>
  <si>
    <t>Bon rapport qualité/prix Produit conforme au descriptif à prix très raisonnable. Les plus : Bel aspect, étanchéité, autonomie de la pile, fonctions principales. Les moins : Pas de notice en français mais ça se trouve facilement sur internet. Alarme tellement discrète qu'elle en est presque inutilisable.</t>
  </si>
  <si>
    <t>Bluffant Je mettais depuis 1 an la poussette sur la banquette arrière faute de coffre assez grand + du vomi de bébé nettoyé  à l’eau bref ... il était temps de nettoyer tout ça !! Le avant après est bluffant . Produit au top</t>
  </si>
  <si>
    <t>A recommande Parfait. Magnifique. Identique à la photo.</t>
  </si>
  <si>
    <t>Très bons écouteurs Ces écouteurs sont de bonne qualité, c'est un super rapport qualité/prix. Ils sont agréables à porter, ils épousent bien la forme de l'oreille ce qui leur permet de bien tenir même lors d'un exercice physique (je les met pour courir). Le son est très propre, de bonne qualité, même lorsque le volume est élevé. Je trouve ça super pratique la petite boite fournie pour le chargement des écouteurs, ça permet le rechargement automatique après utilisation, et ça permet de ranger ses écouteurs sans risquer de les perdre ! L'autonomie de la batterie est semble très bonne, pas obligé de recharger à chaque fois. La connexion en bluethoos avec son téléphone et facile à faire.</t>
  </si>
  <si>
    <t>Ne pas hésiter! Baskets achetées pour ma fille de 13 ans qui souhaite customiser ses chaussures avec des feutres posca.Un seul mot super, le vendeur vous envoie une pointure au dessus de celle commandée. Car taille petit donc ne vous inquiétez pas si vous ne recevez pas la bonne taille.indiquée moi si mon commentaire vous a été utile.</t>
  </si>
  <si>
    <t>Parfait Très confortable</t>
  </si>
  <si>
    <t>très bien Bon produit, belle qualité</t>
  </si>
  <si>
    <t>Bonne Qualité et produit excellent Mon ancienne paire d’écouteurs m’aillant lâché, il me fallait une nouvelle paire qui tiendrait la route!  Ces écouteurs sont sympas colorés et vendus avec un sachet assorti pour les ranger et avec un assortiment d'embouts suivant votre conduit auditif, dans un très joli coffret rond.  La qulité du produit est excellente. Bien emballé, avec des mousses de rechange. une petite sacoche de transport etc. Mais ce qui est vraiment bien, c'est la qualité sonore de ces écouteurs. Le son est vraiment bon par rapport aux écouteurs fournis avec mon téléphone.</t>
  </si>
  <si>
    <t>Parfait ! La bouilloire chauffe vite, le maintien de la température est bien pratique et le fait de pouvoir sélectionner la température de cette dernière est un vrai plus. Qui plus est, j'ai l'impression que le calcaire s'y dépose moins vite que sur d'autres bouilloires inox que j'ai pu avoir. Je l'utilise 6 à 10 fois par jour, et je ne la nettoie qu'une fois tous les 15 jours au vinaigre blanc. Elle n'est pas spécialement silencieuse, mais ce n'était pas un dealbreaker pour moi. L'enveloppe est tiède lorsque l'eau bout à l'intérieur, aucun danger pour les mains maladroites.</t>
  </si>
  <si>
    <t>Excellent rapport prix Excellent produit rapport qualité-prix agréable à porter Pour les petits poignées Parfait fonctionnement</t>
  </si>
  <si>
    <t>Superbe qualité Honnêtement ce papier est vraiment très bien niveau qualité, par contre ce qui me pose soucis c'est que le lot soit passé de 14,88€ à 20,39€ en très peu de temps. C'est vraiment dommage car de très bonne qualité.</t>
  </si>
  <si>
    <t>Parfait Vraiment contente, à merveille</t>
  </si>
  <si>
    <t>Très&amp;nbsp;intéressant&amp;nbsp;d'acheter La&amp;nbsp;table&amp;nbsp;est&amp;nbsp;très&amp;nbsp;belle,&amp;nbsp;environ&amp;nbsp;15&amp;nbsp;kg&amp;nbsp;avec&amp;nbsp;accessoires.&amp;nbsp;La&amp;nbsp;mousse&amp;nbsp;est&amp;nbsp;épaisse&amp;nbsp;et&amp;nbsp;confortable.&amp;nbsp;Supporte&amp;nbsp;facilement&amp;nbsp;nos&amp;nbsp;deux&amp;nbsp;160kg,&amp;nbsp;le&amp;nbsp;lit&amp;nbsp;de&amp;nbsp;massage&amp;nbsp;est&amp;nbsp;super&amp;nbsp;confortable,&amp;nbsp;très&amp;nbsp;léger,&amp;nbsp;de&amp;nbsp;très&amp;nbsp;bonne&amp;nbsp;qualité,&amp;nbsp;le&amp;nbsp;produit&amp;nbsp;vaut&amp;nbsp;son&amp;nbsp;prix,&amp;nbsp;le&amp;nbsp;top&amp;nbsp;prix&amp;nbsp;du&amp;nbsp;top&amp;nbsp;top&amp;nbsp;est&amp;nbsp;vraiment&amp;nbsp;facile&amp;nbsp;à&amp;nbsp;monter&amp;nbsp;en&amp;nbsp;5&amp;nbsp;minutes,&amp;nbsp;très&amp;nbsp;confortable&amp;nbsp;et&amp;nbsp;de&amp;nbsp;très&amp;nbsp;bonne&amp;nbsp;qualité&amp;nbsp;Je&amp;nbsp;ne&amp;nbsp;suis&amp;nbsp;pas&amp;nbsp;déçu&amp;nbsp;que&amp;nbsp;cela&amp;nbsp;m'aide!&amp;nbsp;Très&amp;nbsp;intéressant&amp;nbsp;d'acheter</t>
  </si>
  <si>
    <t>Top Je l'ai depuis peu de temps, mais je confirme que le son est vraiment bon (pas au niveau d'un enregistreur externe type zoom H4N) Pour de l'enregistrement type "reportage", c'est tout ce qu'il faut. Gardez juste en tête qu'il capture les son dans quasiment toutes les direction, on est pas sur micro directionnel qui ne captera que la personne qui parle devant la caméra, mais qui captera beaucoup les sons ambiants. L'autonomie est tellement énorme que je le laisse allumé en permanence la journée où je film (ça m'évite d'oublier de l'allumer quand je remet en marche ma caméra)</t>
  </si>
  <si>
    <t>Excellent petit prix (promotion) Bon rapport qualité prix</t>
  </si>
  <si>
    <t>Prix qualité Une fois n'est pas coutume déçus la qualité n'y étais pas</t>
  </si>
  <si>
    <t>Déception pour cet article. Bonjour, je vais renvoyer mon achat, bague très joly à la base mais arrivé en movais état, l'emballage plastique comme déchiré, et la bague à l'intérieur le métal qui doit être de bonne qualité mais complètement tordu. L'emballage carton de l'extérieur en bon état.</t>
  </si>
  <si>
    <t>Pas adapté au pied Pas adapté au pied , modèle à déconseiller surtout pour un pied fin , le pied se balade et n est pas stable sur la mule .. mauvais choix</t>
  </si>
  <si>
    <t>Efficacité Moyennement efficace</t>
  </si>
  <si>
    <t>montre de poche montre arrivé en avance. elle est arrivé avec la sauteuse cassé et ne marche pas je ne recommande pas</t>
  </si>
  <si>
    <t>Bon produit Masse bien le cuir chevelu</t>
  </si>
  <si>
    <t>Bon rapport qualité prix. Très belle bottine. Agréable sur la moto par temps froid ✌️ Je chausse du 42 et je les ai pris en 42, elle vont très bien assez de place pour porter une grosse chaussette avec.</t>
  </si>
  <si>
    <t>Masque argile pure Le colis était pas top, un peu cassé. J'avais un peu peur en l'ouvrant. Mais, le produit en lui-même n'était pas cassé. Je l'utilise 2 fois par semaines et depuis ma peau est toute douce et de moins en moins de perfection.</t>
  </si>
  <si>
    <t>Belle montre même en bleu J'ai commandé cette article car mon mari avait une montre semblable qui était défectueuse au niveau des remontoirs. Je lui ai donc offert une nouvelle montre, surprise en ouvrant le paquet la montre à un cadran bleu et non noir comme je voulais .... Mais c'est sympa aussi je n'ai pas fais de retour.</t>
  </si>
  <si>
    <t>Belle pochette Pochette très sympa et pratique. J'aime bien le design et la matière. Elle assez large pour mettre porte monnaie porte carte et papier voiture.</t>
  </si>
  <si>
    <t>excellent produit Convient parfaitement pour ce quoi il était destiné, à savoir : alimenter une caméra de surveillance à partir d'un Raspberry, l'alimentation en 12 V étant à faire sur près de 15m et en final alimente un convertisseur 12V vers 5V</t>
  </si>
  <si>
    <t>pas de soucis fonctionne parfaitement avec l'appareil acheté. Rien à redire. Répond aux attentes et à la description qui a été faite sur le site</t>
  </si>
  <si>
    <t>sweats à capuche Rien à dire Article qui correspond à la description taille normalement chaud pour l'hiver et confortable livraison rapide Prix intéressant</t>
  </si>
  <si>
    <t>Bottes confortables. Bonnes bottes très confortables et assez hautes.</t>
  </si>
  <si>
    <t>Bonne puissance Existe des lustreuses plus jolie pour mettre dans une entrée mais moins résistante à l’usage celle ci je l’ai offerte pour Noël car j’ai la même depuis 3 ans qui marche très bien alors qu’une plus jolie à très vite rendue l’ame.... Seul défaut le distributeur de cirage liquide pas pratique et cirage bof  ...mieux vaux mettre son cirage puis se servir de la lustreuse.</t>
  </si>
  <si>
    <t>Très bonne qualité Très bon produit. Je connais la marque Aukey depuis un certain temps. Jai vu sur des tests que la marque avait lancé des écouteurs sans fils de très bonne qualité et après m'avoir fait mon avis c'est vrai qu'ils sont très bon. Des basses très présentes. Un système ingénieux pour la charge donc une autonomie très bonne. La charge sans fil du dock pour les écouteurs est aussi un plus</t>
  </si>
  <si>
    <t>Super article, envoi très rapide, très satisfait Pour barre de son</t>
  </si>
  <si>
    <t>Très bien Très bonne qualité pour ce rouleau toile de jute. Très contente de mon achat.</t>
  </si>
  <si>
    <t>chaussettes homme Falke reçu Lundi 31 0ctobre,chaussettes très chaude,très agréable aux pieds,j'en recommande une paire,c'est pour mettre dans des sabots de bois que j'ai acheté à un sabotier;++++++++</t>
  </si>
  <si>
    <t>Son fort et claire Les casques bluetooth sans fil etait la chose que j’ai vraiment eu besoin.  Je fais la musculation 5 fois par semaine et je les utilise chaque fois, surtout quand je fais du cardio.  Le son est fort et claire. La batterie est resistante.  Tu peux facilement ecouter de la musique ou regarder un film.  Rien a reprocher.  5 etoiles</t>
  </si>
  <si>
    <t>Top Très bon rapport qualité-prix!! Massages efficaces, chauffe juste CommE il faut. Si je dois donner un point négatif, ce serait le fzit qu il n'y a pas de batterie donc il doit rester branché. MaiS le fils est suffisamment long pour l'utiliser librement. Petit +; le chargeur allume cigare, pour l'utiliser en voiture.</t>
  </si>
  <si>
    <t>Pas besoin d'être infirmière... ... pour arborer des Crocs ! "Les essayer, c'est les adopter" comme disait un slogan un peu galvaudé mais très adapté dans leur cas.  /!\ Attention toutefois car elles très grand.</t>
  </si>
  <si>
    <t>Bon produit Le top rien a dire</t>
  </si>
  <si>
    <t>anniiversaire trés beau cadeau</t>
  </si>
  <si>
    <t>Produit non conforme au descriptif du fichier sur Amazone Le produit reçu ne présente qu'un seul branchement pour un microphone en façade alors que sur le descriptif il y en a deux . Donc deux microphones portables dont un présentait un mauvais contact au départ au niveau de la pile, et un seul branchement en façade pour microphone filaire, soit trois microphones maximum en tout alors que sur le descriptif il y avait deux portables et deux en façade soit quatre possibilités ce qui était pour moi le facteur principal de la décision d'achat. La qualité sonore est très moyenne. Donc en final, éviter de mettre ce genre de produit sur votre catalogue car le client est moyennement content de son achat. Je garde le produit quand même pour un autre service et retourne chez mon fournisseur habituel pour la fourniture des matériels de sonorisation. Produit soldé en apparence cela ne m'étonne pas du fait de la faible qualité sonore du système bien que la présentation du produit soit bonne et qu'il semble solide mécaniquement. Dommage il ne manque pas grand chose pour que le produit soit bon. Cordiales salutations.</t>
  </si>
  <si>
    <t>Les fermetures cassent facilement Très déçu, au bout de 15 jours d'utilisation toutes les fermetures ont cassé ! Dégoûté !</t>
  </si>
  <si>
    <t>produit non fonctionnel malheureusement il s'éteint au bout de 1min automatiquement, le bouton "changer de sens" ne fonctionne pas, le bouton "réglage de vitesse" non plus, c'est vraiment dommage! sinon le produit était très bien emballé avec une belle finition (conforme a l'image)</t>
  </si>
  <si>
    <t>Conforme à la description J'ai eu un soucis de colis perdu concernant ce produit mais Amazon toujours là et à régler très vite le problème. Concernant le produit en lui même : Bien mais c'est dommage qu'on puisse pas le régler parfaitement comme un " bras ergotron " et qu'il faut bien réfléchir où le mettre sans que ça soit gênant devant l'écran. Après pour sa gamme de prix il conviens très bien.</t>
  </si>
  <si>
    <t>Jolie basket Jolie basket. Acheté pour mon fils de 9 ans il adore. L'odeur de la chaussure me dérange "chimique" 🤢 made in china</t>
  </si>
  <si>
    <t>Bon achat Tres facile d'utilisation, grande capacité, précise dans ses températures et la finition est jolie.</t>
  </si>
  <si>
    <t>solide Offert à noêl il ya déjà un an et demi , ce sac est toujours impeccable et comme il est très pratique mon neveu l'utilise souvent. Contente de mon achat.</t>
  </si>
  <si>
    <t>Bon produit Bon rapport qualité prix Simple à utiliser, facile à manier, plusieurs têtes  de massage, reste à voir a l’usage du temps si le produit tient le coup</t>
  </si>
  <si>
    <t>Très bon produit Ces cristaux de soude sont bien emballés, il y en a bien trois dans le lot, et ils me servent bien pour mes produits ménagers faits maison. La qualité est bonne, et le rapport qualité/prix également, donc je recommande sans problème!</t>
  </si>
  <si>
    <t>satisfaite de cet article satisfaite</t>
  </si>
  <si>
    <t>Stérilisateur Conforme à mes attentes super stérilisateur beaucoup de place pour mettre plusieurs bibi rapide facile d’ utilisation o top</t>
  </si>
  <si>
    <t>Bonne affaire Fidèle à la marque ce lot est top</t>
  </si>
  <si>
    <t>Très bonne qualité dans la durée Très bonnes chaussures d’été fermées. Utiles pour mes semelles orthopédiques meme si elles manquent d’un peu de talon.</t>
  </si>
  <si>
    <t>Merci Très contente de mon achat très jolie et chauffe rapide et ne prend pas beaucoup de place</t>
  </si>
  <si>
    <t>Ideal pour apprendre a prendre son biberon seule Nikel fidèle à la photo et ma petite prend déjà son biberon toute seule au bout d'une semaine. Je le ré rcommmande vivement comme cette marque d'ailleurs.</t>
  </si>
  <si>
    <t>Très jolies couleurs Une super offre. Je suis très contente de mon achat. Les couleurs sont très jolies et de très bonne qualité.</t>
  </si>
  <si>
    <t>Nickel Utilisé pour home cinéma 5.1, produit conforme RAS , je recommande</t>
  </si>
  <si>
    <t>Bracelet très élégant Ce bracelet très féminin à fait un cadeau super pour ma soeur, cela faisait longtemps qu'elle cherchait un bracelet discret, qui lui correspondait, avec celui ci elle a été comblé. Bracelet de très bonne qualité et avec une belle pochette. Symbole tres jolie. Livraison raide, je recommande.</t>
  </si>
  <si>
    <t>Tres bien mais pas dicret Je dois dire au debut j'étais plutot agreable surpris. Ils fonctionnent bien, rapidement detecté en bluetooth, le son est bon et ca semble de qualité. Le fait il y a pas de bouton, mais des zones tactile est sympa. Toutefois l'un de mes premiers criteres étaient la discretion. Là je suis plutot deçu, la tige est bcp plus grosse que les air pods, ce qui donne une effet boucles d'oreilles. cest sans moi.</t>
  </si>
  <si>
    <t>Très bonne qualité et un son pur et propre Les micros sont de très bonne qualité et passent à 40 / 50 mètres sans problèmes.  utilisé avec un vidéo projecteur pour un karaoké, aucun problèmes.  ils se branchent directement en Jack sur mon enceinte amplifié et le réglage du gain se fait sur le récepteur  j'ai poussé l'expérience un peu plus loin en les connectants sur la table de mixage en XLR et là on peut gérer les 2 micros séparément.  j'ai ensuite essayé de les brancher sur les micros singstar de ma console qui ont des sorties XLE et là aussi ça fonctionne parfaitement et ça évite d'avoir les cables qui trainent par terre ou de faire des noeuds etc ...  je recommande ++</t>
  </si>
  <si>
    <t>impaccable Écouteur de qualité. Le son est parfait et réglable au niveau volume directement sur le casque. L'option anti-bruit fonctionne très bien et réduit agréable bien le bruit extérieur. Nickel quand on prend les transport ! Agréable à porté sans faire mal aux oreilles. Connexion Bluetooth simple.</t>
  </si>
  <si>
    <t>Hygiénique et redoutablement efficace Acheté pour nettoyer les biberons de la même marque, il est parfaitement adapté et lave très bien. Leger, compact et solide, la matière en «&amp;nbsp;gomme&amp;nbsp;» en fait un goupillon très hygiénique.</t>
  </si>
  <si>
    <t>Parfait. Produit conforme. Produit de très bonne qualité avec une bonne lisibilité de la semaine. TB format. Couverture noire solide.  Renseignements additionnels bien faits.</t>
  </si>
  <si>
    <t>Beau mais pas solide Les pierres sont vite tombées</t>
  </si>
  <si>
    <t>Minable qualité Produit de pietre qualité, revêtement qui s' abime au moidre choc, semelle qui glisse énormément lorsque le sol est humide ce qui est vraiment dangereux. Tres inconfortable en plus , je ne les ai mise que 2jours et puis direction le placard terminé pour elles! Tres mauvais achat je le regrette. Je vous déconseille fortement d' acheté ce produit.</t>
  </si>
  <si>
    <t>BIEN MAIS Installation moyenne pas très précis dans les résultats. Bien pour avoir une approximation des températures mais sans plus.</t>
  </si>
  <si>
    <t>Bon rapport qualité prix Taille petite. Ne tient pas trop chaud et protège bien.</t>
  </si>
  <si>
    <t>Bague Bague assortie au bracelet cela fait un bel ensemble Livraison comme convenue</t>
  </si>
  <si>
    <t>cartouche hp envoies rapide l'impriment reconnais une cartouche original voir la durée .</t>
  </si>
  <si>
    <t>Moyennement satisfait La couleur n'est pas très conforme à celui représenté mais est tout aussi jolie, par contre laisse une marque au moindre choc.</t>
  </si>
  <si>
    <t>Chaussons snugrugs Les chaussons qont tout à fait ressemblant a la photo,  ils font un peu chausson chaussures et sont jolis et cnfortables</t>
  </si>
  <si>
    <t>Le micro est tres sensible et le son est top. Pas besokn de vérifier l'autonomie car avec câble Soirée karaoké entre amis</t>
  </si>
  <si>
    <t>Bouillotte résistante Une bouillotte bonheur, j’utilise la bouillotte chaque jour toute l’après-midi Et la nuit elle résiste bien, ce n’est qu’au bout d’un an qu’elle tient un peu moins la chaleur. Mais avec une fréquence d’utilisation très soutenue.</t>
  </si>
  <si>
    <t>Chaussures Chaussures confortables à la hauteur de mes attentes, parfaitement adaptée au pied. Pas de surprise sur la couleur, le gris est bien représenté.</t>
  </si>
  <si>
    <t>Bon rapport qualité-prix chaussures très confortable et très légère permet un bon maintien du pied attester sur la durée</t>
  </si>
  <si>
    <t>Bon produit Bon produit,dans un belle étui ,je recommande</t>
  </si>
  <si>
    <t>Super! Article fidèle à la description, adapté au jogging, léger et pratique, me convient bien, je recommande!</t>
  </si>
  <si>
    <t>Très jolies boucles pour une petite fille Très jolies boucles d’oreilles qui vont très bien à ma fille de 7 ans. Attention cependant car les anneaux sont vraiment petits donc plutôt pour une petite fille. A voir leur durée dans le temps...</t>
  </si>
  <si>
    <t>bon rapport qualité-prix pour  le partit mix jais acheter se contrôleur pour avoir une sensation  de mix non virtuel contrôleur obligé un bon produit ons reconnaît la haut de gamme marque Numark  très bons en playeurs aussi pour seraito litte il passe que sous du ,Windows en 64 bits  donc virtuel du version 8 passe en 32 bits 1mois a lëssai et pour plus de virtual c'est payant .</t>
  </si>
  <si>
    <t>BRACELET AU TOP !!! Effet garanti ! Le bracelet est magnifique ! À la réception de la commande, le bracelet était trop petit pour moi. J'ai contacté directement le vendeur et ce dernier m'a proposé de lui retourner l'article pour pouvoir l'agrandir à la taille désirée. Opération réalisée rapidement sans aucun frais supplémentaire.  Très satisfait du résultat final. Excellent rapport qualité/prix. Livraison rapide. Je recommande le produit et son vendeur, très réceptif aux besoins du client. Échanges très positifs. Merci ARMONY... J'ai fait l'acquisition de 2 autres bracelets chez ARMONY.</t>
  </si>
  <si>
    <t>Parfait Très correcte</t>
  </si>
  <si>
    <t>Parfaitement adapté pour le running - Très bonne autonomie - Qualité irreprochable J'utilise ces oreillettes pour écouter de la musique pendant mes séances de running. Je suis tout à fait satisfait : les écouteurs tiennent parfaitement, quelque soit la nature du sol ou l'amplitude des foulées. Je cours régulièrement sous la pluie et le vent, sans impact négatif sur les oreillettes. L'étui de recharge est vraiment petit : il se glisse partout, et on a les oreillettes vraiment partout avec soi ! Pour le son, je suis habitué à écouter de la musique avec des règlages "droits" à la maison, et sur du matériel très neutre. Là on reconnaît tout de suite la signature Bose, avec des graves très marqués et une décomposition très marquée des canaux, mais dans le cadre du sport, cela ne me dérange pas du tout ! Je recommande l'achat de ce produit !</t>
  </si>
  <si>
    <t>Super Juste parfait, je fait habituellement du L, mais j'adore avoir les manches trop longues pour ce genre de pull</t>
  </si>
  <si>
    <t>pour pieds fins claquettes ultra sympa, pour la longueur c'est impec j'ai pris la taille de mon pied normal : 39 - cela dit pour des pieds un peu plus charnus, potelés, elles risquent de serrer un peu - j'ai un pied très mince et elles me tiennent super bien, donc à voir pour des pieds plus renflés...</t>
  </si>
  <si>
    <t>Montre basique J'ai reçu ce produit, après le premier réglage j'ai constaté que celui-ci ne propose pas le 12/24h j'ai donc renvoyé immédiatement.</t>
  </si>
  <si>
    <t>DE LA MERDE Ces écouteurs sont nuls ! On ne peut en connecter qu’un à la fois ! Et niveau qualité c’est très bof surtout en appel !! Que des parasites !</t>
  </si>
  <si>
    <t>Nul N'a jamais fonctionné ....</t>
  </si>
  <si>
    <t>Faites attention à la justesse des pointures. Pour le travail en industrie J'ai pris une pointure en plus et c'est encore juste (47 au lieu de 46).</t>
  </si>
  <si>
    <t>Très belles couleurs Les couleurs sont magnifiques mais je me suis trompé j’avais pas vu que c’était pour des 2 ans et + du coup ils sont trop gros pour mon fils de 6ans ( car je les ai achetés pour l’école)</t>
  </si>
  <si>
    <t>globe sabre belles chaussures j espère solide car c est de moins en moins ça dans les  chaussures de skates j en porte depuis 25 ans et la qualitée est de moins en moins bonnes j espere que la bulle va tenir!ça vault pas des bonnes axion shoes (karim kambel)</t>
  </si>
  <si>
    <t>satisfaite Super biberon de transition pour apprendre à boire.  Bébé âge de 7 mois l à adopte même si pour le moment Il joue plus avec qu'il ne boit car pour le moment Il mordille la tétine au lieu de teter. Le seul petit bémol je trouve que les anse aurai pu être de forme ovale pour une meilleure prise en main</t>
  </si>
  <si>
    <t>Très bien !!! Très bonne qualité, c'est du Levi's</t>
  </si>
  <si>
    <t>SUper Super. Produit bien utile</t>
  </si>
  <si>
    <t>Pantalon de sport Super agréable à porter, assez fin pour l'été qui arrive. Correspond à la description, bonne taille</t>
  </si>
  <si>
    <t>Blanc pur Quand je les ai pris, je pensais qu'ils étaient bien conçus et que les couleurs étaient très bonnes. Lorsque j'ai transpiré pendant l'exercice, c'était blanc pur, je ne suis ni tombé ni stabilisé.</t>
  </si>
  <si>
    <t>Cartouches d'origine j'utilise ces cartouches depuis plusieurs années sans aucun problème. Elles sont parfaitement adaptées et reconnues par l'imprimante contrairement aux cartouches qui ne sont pas d'origine. A privilégier.</t>
  </si>
  <si>
    <t>Conforme Sandales qui ont l'air solides et assez esthétiques</t>
  </si>
  <si>
    <t>RAS Rien à signaler. Produit de qualité. Profitez en pour avoir les pieds à l'air cet été =)</t>
  </si>
  <si>
    <t>Beaucoup Gommettes en nombre important, ca devrait tenir longtemps. Facilement detachable et large choix</t>
  </si>
  <si>
    <t>Produit solide Pour laver le linge en machine : efficace et se complète bien au lavage classique avec lessive</t>
  </si>
  <si>
    <t>Enfin une lampe de chevet intelligente Enfin j’ai trouvé une lampe de chevet très pratique, je l’ai placé sur une barre murale, elle tient parfaitement, lumière jaune ou  blanche les deux sont parfaites et le model est neutre il va pour tout styles Je recommande cette lampe de chevet</t>
  </si>
  <si>
    <t>Converse T.39 Produit conforme à ce que l'on trouve en magasin, taille correcte. Agréable à porter e tous types de tenues. Parfait !</t>
  </si>
  <si>
    <t>Une très bonne chaussure. Une bonne chaussure polyvalente et confortable  Son design est sobre et passe-partout je l’ai prise couleur noir.  Je les ai porté presque tous les jours aucun défaut à noter elles m’ont l’air très résistantes. Testée sous la pluie elles sont réellement étanches j’avais les chaussettes sèches.  J’ai beaucoup de plaisir à marcher avec.</t>
  </si>
  <si>
    <t>belle montre très satisfait de cette très belle montre  élégante au poignet  et aussi grosse j'adore tt simplement elle marche super bien</t>
  </si>
  <si>
    <t>Nickel pour pédalboard Pratique sur un pédalboard avec des mini pédales.</t>
  </si>
  <si>
    <t>Ravi Élever un bébé est plus facile quand on a les outils adéquats, le premier truc qui m'a séduit c'est la sécurité qu'on assure à notre bébé en lui donnant des aliments à la bonne température avec des accessoires stérilisés grâce à cet outil, fini les réveil à tout heure pour préparer des biberons, on anticipe en préparant des biberons et ils sont maintenu à bonne température toute la nuit, en prime, il est fournie avec d'autres accessoires, je suis conquis</t>
  </si>
  <si>
    <t>découverte de l'infiniment petit microscope numérique tout petit par sa taille mais surprenant dans son efficacité. formidable découverte de l'infiniment petit simple d'utilisation. mes petits enfants ont été impressionné par le grossissement. les adultes s'amusent tout autant. voilà un cadeau à offrir qui sera apprécier par les petits comme par les grands A conseiller</t>
  </si>
  <si>
    <t>Microphone sans fil de basse qualité Malheureusement je suis très déçue par ce produit. En effet, n'ayant pas vraiment de point de comparatif, j'ai décidé d'acheter le TOSING 008 pour l'offrir à ma mère mais résultat après 2 minutes d’essai elle m'a demandé de le renvoyer car il y avait un bip incessant et très désagréable à la sortie du son. J'ai essayé de faire des réglages dessus afin de réduire le problème mais impossible de trouver une solution correct.  J'ai bien eu la bonne méthode et pendant une demi heure le bip était la. Je l'ai tournoyé dans tous les sens, je l'ai mis en l'air, éloigné et rapproché tel un téléphone en manque de réseaux. Pendant le réglage, à certain moment je l'entendais moins mais il était encore présent et se faisait encore plus entendre lorsque ma mère mettait sa musique cambodgienne ( son relativement lourd et puissant)</t>
  </si>
  <si>
    <t>Se déforme au 1er lavage Très déçu, le pantalon de détend au fur et à mesure. Il était parfait à l'achat mais maintenant, il poche.</t>
  </si>
  <si>
    <t>Sympa... Sympa pour un style décontracté, il peut s'associer à toutes nos tenues estivales. Seul bémol, les différentes lanières qui "s'entortillent"</t>
  </si>
  <si>
    <t>avis mitigé l'étiquette est conforme à mon attente par contre le cordon n'est pas aussi généreux que sur la photo, seulement 1m50 de cordon pour 100 étiquettes, je vais être obligée d'en racheter.</t>
  </si>
  <si>
    <t>Bijoux En Perles nous parai de bonne qualité , vraiment pas déçu</t>
  </si>
  <si>
    <t>Ravie Envoie rapide! J'ai juste enlever une étoile en attendant de voir si ca fonctionne car je viens juste de lui mettre! Longueur juste parfaite aucun risque! J'avais un peu peur en commandant vu certains commentaires mais je ne suis pas déçu!</t>
  </si>
  <si>
    <t>Bon rapport qualité /prix Offert pour un cadeau d’anniversaire bon rapport qualité /prix.</t>
  </si>
  <si>
    <t>Micro sans fil C'est un micro qui fonctionne très bien et très facile à utiliser. Il faut néanmoins acheter une mousse réducteur de bruit pour avoir un son de meilleur qualité. On peut se déplacer jusqu'à 100m sans problème ! Très bon produit pour des soirées karaoke et dj entre amis.</t>
  </si>
  <si>
    <t>Parfait ! Collier au top du top ! Le diamant se pose bien sur le coup , ne «&amp;nbsp; se tourne pas «&amp;nbsp; comme certains diamants avec le fil . Il est de tres bonne taille , on le voit bien en plus j’adore !</t>
  </si>
  <si>
    <t>chaîne argent jolie chaîne très fine, qui semble assez solide. Elle est très bien assortie à mon pendentif. Je la recommande.</t>
  </si>
  <si>
    <t>Le rétro Come on l'aime Superbe montre au look bien rétro, rapport qualité prix imbattable.</t>
  </si>
  <si>
    <t>Taille petit J ai pris ma pointure 38 c est un peu juste dommage.</t>
  </si>
  <si>
    <t>Parfait Parfait ! Silencieux, facile d’utilisation, Esthétique</t>
  </si>
  <si>
    <t>bon produit et bon marché Je vous recommande.  C'est un bon produit qui n'est vraiment pas cher!!!</t>
  </si>
  <si>
    <t>Bon achat Je suis satisfaite de cet article car je l'ai commandé pour la 2 ème fois : chaussons douillets et chauds pour l'hiver , de belle fabrication</t>
  </si>
  <si>
    <t>On verra Bien</t>
  </si>
  <si>
    <t>bonne qualité c'était pour offrir, la personne était très contente</t>
  </si>
  <si>
    <t>Simple &amp;amp; efficasse Rien à redire, parfaitement ajustée, semble suffisamment solide. Idéal pour remplacer ma vielle pochette qui avait 15 ans.  Pour ce prix, vraiment rien à y redire</t>
  </si>
  <si>
    <t>Parfait Le débit 1 est assez rapide pour un bebe allaité</t>
  </si>
  <si>
    <t>Bon produit Très bien pour donner un coup d'eclat à mes dessins</t>
  </si>
  <si>
    <t>belle bête !!! Quelle jolie montre ! Je connais cette marque depuis quelques années, et ce sont toujours des bijoux de grande qualité !  Pas de mauvaise surprise avec Fossil. Et ci on en a encore l'illustration ! C'est une magnifique montre dans les tons café / bronze.  Elle est assez grande, et se fixe grâce à un bracelet métal ( on peut ajuster en enlevant des maillons, n'importe quel bijoutier le fera...Ca prend quelques minutes...) Le fermoir est pratique, il faut simplement enclencher avec un bouton.  Le cadran est massif, très masculin, mais très raffiné en même temps. Du coup, la montre peut se révéler un peu lourde...  Autre point positif : le boitier, Fossil en propose toujours de splendides ! La boîte est originale, en métal, surprenante !  Un sans-faute pour ce "petit" bijou...</t>
  </si>
  <si>
    <t>On aime bien Pas mal comme produit surtout niveau bruit mais je suis sûre qu’on peut encore mieux faire. Lumière led jolie même si je ne vois pas trop l’utilité. Un peu tôt pour parler de longévité.</t>
  </si>
  <si>
    <t>bijou je l'ai acheté parce qu'il est magnétique donc supposé enlever les douleurs, en fait il est très joli et je le porte continuellement</t>
  </si>
  <si>
    <t>Ravie Pas déçue de cet achat. Pointure convenable</t>
  </si>
  <si>
    <t>plus jolie en photo qu'en realité sac petit, le système de fermeture ne me convient pas, parfait pour les pickpockets, mais pas pratique a l'usage vu la taille du sac. dans l'ensemble  le sac est bien fini l'envoi est soigné, dommage vraiment mini</t>
  </si>
  <si>
    <t>ouverture automatique défectueuse après deux mois L'ouverture automatique a cessé de fonctionner après 2 mois (la bouilloire reste donc fermée!). Inacceptable pour un produit de ce prix</t>
  </si>
  <si>
    <t>EN PANNE au bout de 3 mois Facile d'utilisation mais rapport qualité prix à revoir. tombe en panne au bout de 3 mois d'utilisation.... Vraiment déçu de certes marque</t>
  </si>
  <si>
    <t>Conforme à la photo livraison rapide Le sac est un peu plus grand que ce que je pensais cependant il est identique à la photo. Je suis contente de mon achat.</t>
  </si>
  <si>
    <t>Solide Pratique</t>
  </si>
  <si>
    <t>Très bon produit! Ce controlleur dj est très bien il fonctionne parfaitement. Pour ce qui  ne trouve pas la licence de virtual dj, il faut se créer un compte ou se connecter sur le site de numark, puis activer le controlleur et la clé de virtual dj LE sera fournie. Le LE de virtual dj signifie LMIITED EDITION= edition limitée.</t>
  </si>
  <si>
    <t>Chaud et bien fini Fourré en polaire, Il est très chaud, protège du vent de la plui et bien fini. Le bout des manches à tendance à sortir mais ça va on peut les remettre facilement. Correspond à mes attentes.</t>
  </si>
  <si>
    <t>Bonne qualité du pendentif Superbe finition, je suis très content de mon achat, bonne qualité. Ma copine le porte depuis environ 1an et le pendentif n'a pas bougé.</t>
  </si>
  <si>
    <t>BON PRODUIT Il correspond exactement à ma demande.</t>
  </si>
  <si>
    <t>Très joli Belle robe beau tissus mais trop grande pour moi ...</t>
  </si>
  <si>
    <t>Toujours en activité La série de différents parfums est variée et très agréable à utiliser. Je m'en sert journellement et j'en suis entièrement satisfait !</t>
  </si>
  <si>
    <t>Sac Rave de ma commande conta pour mon achat</t>
  </si>
  <si>
    <t>Parfait Cartouche officielle HP, qualité top et parfaitement compatible avec mon imprimante. Installation rapide, je conseille.</t>
  </si>
  <si>
    <t>je recommande Bonjour, pile acheté pour ma balance c'est parfait, ça fonctionne</t>
  </si>
  <si>
    <t>bien utile Voici le type d'article dont on a souvent besoin... J'ai déjà remarqué des traces d'humidité dans mes armoires ( voir même derrière...) Et je n'ai pas l'utilité d'un absorbeur classique.  Avec ces sachets, c'est un bon compromis... Un peu grand, je trouve plus judicieux de les mettre dans le fond de l'armoire, car sinon on les voit tout de même beaucoup.  Pour le moment pas de soucis ( pas d'odeur non plus...) A voir dans le temps si ils remplissent leur rôle.  Pour le moment c'est très bien. ( pour le prix en tous cas )</t>
  </si>
  <si>
    <t>Chaussures Tout à fait ce type de sabot que j’avais besoin pour l’extérieur et pour l’entretien du jardin. Le colis est arrivé à la date prévu. Je recommande ce produit.</t>
  </si>
  <si>
    <t>Magnifique Le bracelet personnalisé est très beau vraiment . la gravure est très bien réussi . je l'ai commande couleur or rose et il est magnifique. Reçu avant la date</t>
  </si>
  <si>
    <t>Parfait rien a dire sur ce produit, je l'utilise en Jujuitsu Brésilien, il ne bouge pas depuis des mois., je suis ravi de mon achat. De plus, le prix est très bien placé !</t>
  </si>
  <si>
    <t>Chaussures noires J'ai pris ma pointure. Pointure nickelle. Très confortables.  Jolies. Satisfaite</t>
  </si>
  <si>
    <t>Oui et non Rien à dire sur le rapport qualité/prix. Pour 12 euros, top, le son est bon en stéréo et se règle facilement. En revanche, comme le fil est très long, il s'entortille et est ch... à désentortiller justement. Mais à acheter les yeux fermés.</t>
  </si>
  <si>
    <t>Mon indispensable au quotidien Je connais le papier toilette humide de Lotus depuis peu mais je l'ai adopté très rapidement et il est devenu mon indispensable au quotidien. Il est facile à utiliser, l'odeur est agréable, il est doux pour la peau et ne se déchire pas. Depuis le début de ma grossesse je l'utilise et je ne peux plus m'en passer.</t>
  </si>
  <si>
    <t>J'adore Superbe pochette</t>
  </si>
  <si>
    <t>Satisfaite Très bonne chaussure, taille correctement.</t>
  </si>
  <si>
    <t>Au top Paires de chaussures classiques, qui ont fait leur preuve depuis les années !  Je vous les recommande pour aller avec quasiment tout vos vêtements pour les après-midi détente, balade dans un parc, etc.</t>
  </si>
  <si>
    <t>Identique en qualite avec l'original, Acheté pour ma Canon Pixma TS8050, je ne vois aucune différence en qualité et en quantité, par rapport aux cartouches d'origine, sauf le prix bien sûr !! Testé en impression bureau et en photos sur papier glacé, vraiment super,  très satisfait. j'ai déjà refait une autre commande.</t>
  </si>
  <si>
    <t>Bof Bof...</t>
  </si>
  <si>
    <t>NUL TAILLE TROP TROP PETIT MADE IN CHINA</t>
  </si>
  <si>
    <t>Dommage ne fonctionne plus au bout de trois mois A bien fonctionné au départ, puis au bois de 3 mois une des oreillettes ne se charge déjà plus, donc impossible de continuer à l'utiliser le produit. C'est bien dommage et en plus impossible d'avoir un remboursement où un échange.</t>
  </si>
  <si>
    <t>La sensation que font les picots de la semelle interne Confortable mais l’effet des picots sous les pieds pas trop pour moi A ne pas mettre à tous les pieds je pense</t>
  </si>
  <si>
    <t>Pas assez d’anti-dérapants Je l’ai acheté pour mes cours de fitness, dommage que les anti-dérapants n’aillent pas jusqu’au doigts de pieds</t>
  </si>
  <si>
    <t>Conforme à la description Conforme à la description. Il est très agréable. Possible de prévoir le massage avec ou sans que cela ne chauffe. Un peu de bruit mais c est très raisonnable. Le seul bémol est de l installer correctement pour le massage des cervicales.</t>
  </si>
  <si>
    <t>Aspi de table Maintenant les enfants nettoient leurs tables.</t>
  </si>
  <si>
    <t>Trés bien Correspond bien au modèle que je souhaité et très agréable à porter. qualité prix très compétitif. j'en recommanderais mais d'un autre couleur</t>
  </si>
  <si>
    <t>Pantalon indispensable et agréable ⚠️ Avis après utilisation ⚠️  Je fais de la rétention d'eau au niveau des membres inférieurs et je me remet au sport depuis peu. J'ai donc décidé d'acheter ce patanlon et je ne suis pas déçue bien au contraire ! Pantalon taille haute.  ➡️ Les points positifs :  - Le pantalon est agréable à porter et s'enfile facilement - La matière est particulière mais procure un excellent maintien - On transpire du bas du ventre aux membres inférieurs sans faire beaucoup d'efforts - Il est tellement confortable que je l'utilise dès que je suis a la maison pour faire le ménage ou même dans le canapé. L'utilise également pour le vélo et la marche ! - Je fais du 38-40 et j'ai du acheter du XL. Je vous conseil de vous rapporter au guide des tailles de la marque dans les photos ! ⚠️ - La poche sur le pantalon taille haute est top pour mettre son téléphone pour ma part - La matière est très solide et va durer dans le temps - Reçue un sac et des exemples d'entraînement par mail suite à l'achat 🙂 - Ceinture de resserage  ➡️ Points à améliorer :  - Le style du pantalon est basique mais rien de fou - L'odeur à la sortie du carton est surprenante surment dû à sa matière mais qui rassurez vous disparaît  ➡️ Je recommande vivement ce pantalon de sudation à toute les filles ( femmes ) qui font de la rétention d'eau je vois au jours le jours des améliorations ! J'en suis ravie, il vaut vraiment le coup  En espérant que cela vous soit utile, si c'est le cas faite le moi savoir s'il vous plait 😊⤵️🙏  Coordialement  Anne</t>
  </si>
  <si>
    <t>Excellent rapport qualité prix Acheter pour la conduite, elles sont parfaites.</t>
  </si>
  <si>
    <t>Bonne qualité d’image Je suis très content de ce projecteur dont là rapport qualité prix est tres correct. Je m’en sers aussi bien à la maison qu’au travail. Les enfants sont ravis de pouvoir faire des séances de cinéma à la maison. La qualité de l’image est bonne. Idéalement il faut limiter la luminosité ambiante pour bien profiter des détails et du contraste mais rien de particulier à signaler à ce niveau la. L’encombrement est limite ce qui permet de transporter l’appareil facilement. Le produit est arrivé rapidement et dans un emballage soigné. Je recommande ce produit qui présente les fonctionnalités attendues pour un projecteur de ce niveau de gamme. Les accessoires fournis sont suffisants. Pensez également à vous équiper d’une toile pour projeter même si un mur blanc et lisse peut suffire si besoin.</t>
  </si>
  <si>
    <t>Pratique, bonne contenance, très contente J ai utilisé cette cire pour faire des wraps. Elle est parfaite. Les petites billes fondent très bien à 85 degrés. Avec la moitié du sachet j ai pu faire une quiz zaine de wraps de taille moyenne plus quelques plus petits ronds.</t>
  </si>
  <si>
    <t>Excellent produit! Excellent produit! Conforme à la description! Fonctionne parfaitement ! Rien à dire! Merci!</t>
  </si>
  <si>
    <t>Super Bonjour, je trouve ce micro très pratique et facile à utiliser! De plus il a un aspect très agréable à regarder, j’adore le fait qu’il peut y avoir une connexion Bluetooth.</t>
  </si>
  <si>
    <t>Très bon achat Excellen rapport qualité-prix.</t>
  </si>
  <si>
    <t>Très bien! Je suis très contente de ces converses. Elles sont confortable, jolie..... Je suis aussi très contente du site qui est certain, je le recommande.</t>
  </si>
  <si>
    <t>Pour les hopitaux Parfait pour moi. Le couleur il est vraiment comme un poivron rouge. J'ai commandé un 38/39 mais je trouve un petit peu grande la taille (Je dirai que 39 c'est plutôt 40) du coup ça sort comme 39/40. Sinon sont très bien.</t>
  </si>
  <si>
    <t>Précision! Parfait pour ma fille qui dessine avec des traits précis et fins. Plusieurs pointes, donc très intéressant!</t>
  </si>
  <si>
    <t>Juste un mot : MAGIQUE. J'étais septique au début car j'ai déjà acheté et testé de nombreuses crèmes (ou gel) pour le mal de dos de mon conjoint qui se sont révélées assez inefficaces.  Mais... Ce gel est MAGIQUE. Il pénètre rapidement dans la peau, sent bon et surtout est très efficace pour les douleurs musculaires. J'en met 2 fois par jour sur le dos de mon conjoint et ses douleurs ont vraiment diminuées. J'ai hâte de voir les améliorations sur le long terme !  Bref, je recommande vraiment ce gel.</t>
  </si>
  <si>
    <t>Papier Arménie Ras, conforme</t>
  </si>
  <si>
    <t>Très bon micro Un rapport qualité/prix excellent. Entre utiliser le micro de son appareil photo et ce micro, il y a un monde. C'est parfait pour commencer la vidéo à petit prix.</t>
  </si>
  <si>
    <t>Parfait Parfait produit car son but est d etre utile au maintient du micro Bonne qualité s’installe facilement pas besoin d etre un genis du bricolage Je conseil fortement pourquoi depenser plus</t>
  </si>
  <si>
    <t>Super Mon fils de 6 mois ne la lache plus , surtout qu'il fait les dents, il n arrête pas de la mâchouiller</t>
  </si>
  <si>
    <t>Ce n'est pas du coton J'ai commandé l'article, car c'est indiqué dans la description que le legging contient 87% de coton. Mais, une fois l'article reçu, c'est marqué 87% nylon. Je suis déçue. De plus l'élastique au niveau de la taille n'est pas de bonne qualité. Donc, lorsqu'on bouge le legging ne tient pas trop.</t>
  </si>
  <si>
    <t>Déçu Je suis déçue j'avais eu un savon similaire détachant il fonctionnait très bien sur toute les tâches celui ci ne détaché rien......</t>
  </si>
  <si>
    <t>Résistant ? Tous les sacs se sont craqués avec une facilité déconcertante quand je les sortais de ma poubelle. Ces sacs ne valent pas plus que des sacs premier prix, inutile de mettre un prix pareil !</t>
  </si>
  <si>
    <t>Sa reste à voir Cool rien à dire</t>
  </si>
  <si>
    <t>La couleur et la conception Pratique</t>
  </si>
  <si>
    <t>Chaussures securite Bien reçu et bien emballe plus qua essaye</t>
  </si>
  <si>
    <t>Bon rapport qualité-prix Bon rapport qualité-prix surtout quand il y a des promos. C'est la qualité Lotus a un prix très doux. Je commanderai de nouveau.</t>
  </si>
  <si>
    <t>bottines esthétiques et particulièrement confortables bottines esthétiques et particulièrement confortables le dispositif anti fatigue d'amortissement de la semelle fonctionne bien, le prix est plutôt raisonnable.</t>
  </si>
  <si>
    <t>Très bien Super..confortable !!!!</t>
  </si>
  <si>
    <t>satisfait parfait</t>
  </si>
  <si>
    <t>Génial Ma maison sent bon le diffuseur et beau j aime trop</t>
  </si>
  <si>
    <t>Ras Bien</t>
  </si>
  <si>
    <t>Conforme à la description Reçu et conforme à la desrcitpiton. En revanche j'ai pris une demi taille en dessous car les commentaires disaient qu'elles étaient trop grandes . Je fais un 39 jai pris un 38.5. Ça me va mais un 39 aurait été très bien aussi.. pour moi elle taille correctement.</t>
  </si>
  <si>
    <t>Très belle perle de 7mm, beau packaging Bonjour, C'était la première fois que j'achète un collier par internet. J'ai craqué pour ce modèle en vente flash : vu la promotion, je craignais d'être dans le cas d'avis négatifs. Certes il y a eu un problème lors du premier envoi (non arrivé, remboursé), mais j'ai fini par le recevoir. Je l'ai même recommandé (plus cher cette fois) pour l'anniversaire d'une amie : pour mes deux achats, la perle est de belle taille, fait environ 7 mm, et je la trouve très belle. Le collier est livré dans un boite, et il y a un chiffon et une petit pochette pour protéger le collier. Seul bémol : la boite est devenue plus petite entre mon premier et deuxième achat ... Au bout d'un mois, porté tous les jours, les colliers n'ont pas bougé. Et le mien, je le porte avec deux noeuds dans la chaine pour la raccourcir (raz de cou) : la chaine est toujours intacte (elle n'a pas cassée). J'ai également acheté des boucles d'oreilles et un autre collier chez J. Rosée, dont je suis également contente. Donc je recommande sans réserve ce collier.</t>
  </si>
  <si>
    <t>Écouteur bluetooth au top Acheté pour ma femme que je viens de tester sur une sortie running. Rien à dire tienne parfaitement dans mes oreilles avec l'embout mis par défaut. Fourni avec 3 autres grosseurs d'embout. Tiennent mieux dans mes oreilles en courant que d'autres d'une grande marque... Le son est très bon rien à redire. Il faut prendre en main le jonglage avec ses écouteurs tactiles afin d'augmenter ou baisser le son, changer sa musique ect... Tout est bien expliqué dans la notice. Les leds vertes/bleues sur les écouteurs sont du plus belle effet. La boîte affiche le pourcentage restant de batterie des écouteurs. D'une grande capacité elle peut recharger plusieurs fois les écouteurs sans problème. Très content de cet achat</t>
  </si>
  <si>
    <t>Bon produit R.A.S.</t>
  </si>
  <si>
    <t>genial je sais que c'est vendu rayon femme mais moi je l'ai prise pour mon ado et il en est ravi!!! Bonne qualité, reception rapide. j'ai pris volontairement plus grand, ça va durer et comme il adore les combis.... Elle est stylée</t>
  </si>
  <si>
    <t>Top Rapport qualité / prix imbattable. Surement d'autres achats du même modèle dans le futur. Résistant et ne décolore pas au premier lavage.</t>
  </si>
  <si>
    <t>Un produit au top C'est un très bon produit, compatible avec un bose soundlike. Je l'ai reçu très rapidement. Très satisfaite, il est aussi bien que le chargeur bose  !!</t>
  </si>
  <si>
    <t>parfait vendeur rapide tres bien emballé bon produit bien stable qui se regle en hauteur tres facilement et  qui fait le bonheur de toute la famille</t>
  </si>
  <si>
    <t>tétine Je connais déjà cette marque que j'ai acheté dans le passé dans un magasin spécialisé bébé. Rien à dire. Ce sont les mêmes. parfait, et le prix est nettement moins cher</t>
  </si>
  <si>
    <t>Avis Pantalon de jogging noir tres à l'aise ayant un tres beau design et très classe.  Il permettra notamment de faire du sport !</t>
  </si>
  <si>
    <t>Simple et pratique Super pratique pour le rangement du bureau</t>
  </si>
  <si>
    <t>Grâce à ce casque, je peux partager ma musique avec mes collègues ! Casque de qualité plutôt médiocre. On ne peux pas trop en demander non plus vu le prix, mais quand même.  A son même minime (20% environ), vos collègues à côté de vous (bureau en face de vous et à côté) entendent aussi bien que vous votre musique. C'est vraiment très intéressant pour partage ma musique, mais à ce moment là, autant mettre des haut-parleurs sur le bureau, cela reviens au même.  La qualité du son, quant à elle, est étouffée, alors que le casque est ouvert. L'écoute n'est donc pas très agréable.  La seule qualité que j'ai trouvé, c'est la mobilité. Le casque est très maniable.  Je ne recommande pas ce casque. Je peux plutôt  vous conseiller de mettre 20€ de plus, et vous aurez un casque de bien meilleure qualité et avec une meilleure isolation interne et externe.</t>
  </si>
  <si>
    <t>De très mauvaise qualité ! Dommage que l'on ne puisse pas mettre aucune étoile ! Acheté un paire pour chacun de mes 2 ados qui les trouvaient sympa et qui ont été super déçus quand on s'est rendu compte qu'en à peine 4 semaines les semelles étaient trouées au niveau de la voute plantaire. Retour au service client Amazon qui m' a remboursé une des deux paires, car l'autre ne pouvait plus l'être ....</t>
  </si>
  <si>
    <t>Beau sac et léger mais trop de rembourrage Ce sac est très agréable à porter mais je trouve qu'il y trop de rembourrage car les différents compartiments de rangement sont trop juste pour ranger nos affaires.</t>
  </si>
  <si>
    <t>Mr. Propre "Gomme Magique" ou l'éponge des 'contre-indications' ... Suite à la diffusion du 'Spot de Pub' de "Mr. Propre Gomme Magique", je n'avais qu'une hâte, en acheter une dans mon Supermarché :) Pas de bol, il n'en avait pas encore reçu :( Ouf, Amazon me propose d'en TESTER un paquet ;p  Je connais bien la marque Mr. Propre, marque en laquelle j'avais plutôt une BONNE OPINION. C'est dire que je partais avec un 'a priori très positif' du produit.  Cependant, comme l'on indiqué mes collègues Testeurs, les contre-indications sont vraiment 'Ouf' !  Pas ceci, pas ceci, risque des problèmes allergiques... Sérieusement, cher Mr. Propre on se débarrasse de toutes éventuelles poursuites judiciaire !  Prenant mon 'courage à deux mains', je me saisis d'une éponge "Mr. Propre Gomme Magique" (sans&amp;nbsp;&lt;a data-hook="product-link-linked" class="a-link-normal" href="/gants/dp/B007VWKF64/ref=cm_cr_getr_d_rvw_txt?ie=UTF8"&gt;gants&lt;/a&gt;) &amp;amp; partis frotter mon lavabo en émaille d'il y a 50 ans (qui ne risque pas grand chose à part les encombrants). lol  Il y a des traces de calcaire, des traces vertes (de ma&amp;nbsp;&lt;a data-hook="product-link-linked" class="a-link-normal" href="/Listerine/dp/B0052EBFGC/ref=cm_cr_getr_d_rvw_txt?ie=UTF8"&gt;Listerine&lt;/a&gt;) &amp;amp; d'autres traces... Je mouille l'éponge à l'eau chaude et la, je frotte, je frotte comme une malade pendant 10 bonnes minutes ! Et je dois admettre que j'ai très bien récupéré le BLANC IMMACULÉ de mon vieux lavabo. Mon robinet en INOX a également retrouvé son lustre d'antan. Après avoir rincé la "Gomme Magique" entre 2 frictions, j'ai simplement essuyé le tout.  En seulement 10 minutes, la gomme est déjà TOUTE CRAQUELÉE !!!  Trop généreuse, j'offre ma "Gomme Magique" à ma Mère pour la suite... lol²  Dubitative, elle se force à faire sa Salle de Bain. 15 minutes plus tard, elle a tenue à faire toutes les SDB de la maison ! UN EXPLOIT !!! Une fois fini, la Gomme ne ressemble déjà plus a rien &amp;amp; rejoint directement LA POUBELLE ! J'informe ensuite ma Mère des 'contre-indications' du produit. Elle m'indique alors que ses mains la démangent... Ouaih...  Je n'ai pas eu personnellement de problème sur mes mains. Et je dois bien avouer avoir eu un excellent résultat avec cette "Gomme Magique".  Mais n'aurais-je pas eu le même avec une goutte de&amp;nbsp;&lt;a data-hook="product-link-linked" class="a-link-normal" href="/Cif/dp/B00763A64E/ref=cm_cr_getr_d_rvw_txt?ie=UTF8"&gt;Cif&lt;/a&gt;&amp;nbsp;&amp;amp; mon&amp;nbsp;&lt;a data-hook="product-link-linked" class="a-link-normal" href="/éponge-habituelle/dp/B007VL5X2Q/ref=cm_cr_getr_d_rvw_txt?ie=UTF8"&gt;éponge habituelle&lt;/a&gt;&amp;nbsp;? Je n'ai pas eu moins de travail avec cette "Gomme Magique", j'ai du y mettre autant d'huile de coude, mais avec la crainte de réaction sur notre Santé &amp;amp; je sais que je n'oserai l'utiliser son mon évier Noir, mon plan de Travail Cuisine, etc.  En Conclusion, Malgré un résultat indéniable sur les Traces &amp;amp; aussi le Calcaire, je préfère rester sur des VALEURS SURES et SAINES qui ont fait leurs preuves depuis des décennies !</t>
  </si>
  <si>
    <t>Produit conforme aux attentes Produit conforme aux attentes</t>
  </si>
  <si>
    <t>Bracelet G-Shock Ce bracelet G Shock convient très bien en dépannage d une vieille montre que j ai retrouvé au fond d un tiroir.</t>
  </si>
  <si>
    <t>La couleur des pierres peut varier...Labradorite/Sodalite La livraison a été plus longue que prévue, en revanche le bracelet aux pierres semi précieuses, labradorite/Sodalite est joli. Sa couleur peut varier, concernant la labradorite elle peut être transparente, une tendance au vert gris ou plus bleuté. Pour ce qui concerne mon achat, le bracelet est gris transparent.</t>
  </si>
  <si>
    <t>Très jolie et fine Super confortable et agréable à porter</t>
  </si>
  <si>
    <t>Cartouche d'encre HP C'est une cartouche HP qui fonctionne très bien avec mon imprimante HP tout en un, bon rapport qualité prix, je les recommande</t>
  </si>
  <si>
    <t>Article au top Ravie de ma commande,  taille super bien et hyper confortable</t>
  </si>
  <si>
    <t>Très pratique ce produit est vraiment pratique et permet largement de couvrir une journée de voyage. rien à redire sur le niveau de qualité qui est au rdv. Je recommande les yeux fermés.</t>
  </si>
  <si>
    <t>Aucun défaut Aucun défaut à signaler sur les 2 câbles de 10 mètres que j ai achetés. Les connecteurs semblent solides, malgré des manipulations fréquentes.</t>
  </si>
  <si>
    <t>tres bien malheureusement j'ai commandé 4 sweat en pensant que c'était la même qualité mais non rien à voir les sweat recu sont trop petits mal taillé et la matière horrible commande qui me reste sur les bras car fournisseurs chinois donc les frais de retout sont plus chers que l'article</t>
  </si>
  <si>
    <t>J’adore cette marque Toujours aussi satisfaite de cette marque Je recommande</t>
  </si>
  <si>
    <t>Merci Au top....et merci pour le petit mot!!! Très appréciable et navré de ne commenter que maintenant mais le boulot fait que..... Merci à vous aussi Pascal et Margaret</t>
  </si>
  <si>
    <t>Superbes Baskets Belle paire de baskets mais beaucoup trop grande ! Prenez une demi taille voir une taille en dessous sinon beau produit !</t>
  </si>
  <si>
    <t>Parfaites et stylées Je les adore. Très 90's 00's. Donne un style. Elles sont solides et confortable tout au long de la journée. J'ai marché avec tous les jours en vacances. Parfaites</t>
  </si>
  <si>
    <t>Bien choisir sa tétine Idéale la taille L pour les laits avec céréales ou pour les soupes de bébé....mon fils met largement moins de temps à boire son biberon car la tétine est bien adaptée à ce que je lui sers.</t>
  </si>
  <si>
    <t>très bien, rapide et conforme rapport qualité prix au top. Il y avait un grand choix de couleur et de longueur. et la livraison rapide a été vraiment rapide. Parfait</t>
  </si>
  <si>
    <t>Top Super produit reçu très rapidement.  Beaucoup moins chers qu en magasin</t>
  </si>
  <si>
    <t>Génial!!! Je suis professeur des écoles ET je pratique l'école à la maison. Cette éponge est réellement magique. Je m'en sers pour nettoyer tous les tableaux blancs et ardoises pour Velleda. Souvent il reste des traces sur les tableaux, tout part avec cette gomme!!!</t>
  </si>
  <si>
    <t>Très bonne qualité très confortable..la pointure est bonne Botte pour le jardin....très robuste très confortable excellent prix je conseille.</t>
  </si>
  <si>
    <t>a/s pompe d'aspiration manque de précisions Pourquoi cet article ne mentionne t-il pas le nombre de litre d'aspiration ??  C'est cependant une précision indispensable pour ce type de matériel !!</t>
  </si>
  <si>
    <t>TRES DECUE CHAUSSE PETIT 40 TROP PETIT DOMMAGE DE PLUS LORSQUE L'ON VEUT LA TAILLE AU DESSUS LE PRIX N'EST PLUS DU TOUT LE MEME DU COUP JE N'AI PAS CHANGE LA CHAUSSURE</t>
  </si>
  <si>
    <t>N'achetez pas ce produit !! Je ne les conseille pas du tout. Dès la première utilisation, après 5 minutes d'écoute, l'écouteur droit ne donnait plus de son. C'est de l'arnaque. N'achetez pas ce produit !!</t>
  </si>
  <si>
    <t>Bon et beau sac Sac de bonne facture. J'aime la fermeture par aimant et le coloris, même si celui-ci prend vite un aspect usagé. Une poignée sur le dessus aurait été pratique. Additif: tendance à se découdre avec le temps, et fermeture éclair défectueuse depuis quelques semaines. En final beau sac mais qui ne tiens pas la route dans le cas d'un usage quotidien, surtout qu'il n'est pas donné.</t>
  </si>
  <si>
    <t>Commande incomplète.... J'ai commandé le 02/01/2014 un agenda Civil Italnote noir 8,8x17cm.. C'est un produit que j'utilise depuis plus de 10 ans à la livraison je m'aperçois qu'il est incomplet ,il manque le répertoire alphabétique..qui m'est pour moi très important pour mes mises à jour. Est-ce une erreur de votre part...? En l'attente de celui çi,je vous en remerçie à l'avance. Cdlt.</t>
  </si>
  <si>
    <t>Pas de surprise avec les Converse Je suis un adepte des Converse depuis longtemps. Pas de (mauvaise) surprise sur la qualité. Après avoir usé des taupe, kaki, etc.. j'ai choisi un modèle classique noir/blanc. Le produit est conforme à la photo!</t>
  </si>
  <si>
    <t>Bien Chaussures en cuir pas très chères.</t>
  </si>
  <si>
    <t>Très jolis bracelet Les bracelets correspondent bien à la photo, ils sont beaux et j'apprécie de les porter. Je retire une étoile car bien que j'ai des poignets plutôt fins les bracelets sont très serrés et me laissent des marques sur le piognet. C"est vraiment la seule chose que je puisse leur reprocher.</t>
  </si>
  <si>
    <t>Chaud et confortable La qualité apparaît au RDV (pour le confirmer pour il faudra attendre plusieurs lavages) Attention j ai l impression que ça taille un peu grand mais. E n est pas un réel souci pour c type de vêtement</t>
  </si>
  <si>
    <t>Géniales Ma fille les adore et le prix est vraiment intéressant</t>
  </si>
  <si>
    <t>Tiens le froid Je m'en sert pour amener mes biberons de lait maternel frais a ma nounou. Parfait</t>
  </si>
  <si>
    <t>Parfaite J'aime</t>
  </si>
  <si>
    <t>La vrais Crocs historique Pas de surprise avec ce produit Remplace mon ancienne paire qui avait 5 ou 6 ans, usée jusqu'au bout La vrais Crocs dans laquelle on ne transpire pas, confortable et avec laquelle on passe les mois d'été</t>
  </si>
  <si>
    <t>Ravie Super contente ! J’ai pu accrocher mes 4 cadres Ribba de chez IKEA dont deux grands formats que je redoutais beaucoup ! Finalement l’adherance Est rapide et parfaite . Très contente pour le moment mais à voir avec le temps si ça tiens bien ! Un rouleau de 5m j’ai put faire les 4 cadres . Après j’y ai mit la dose !! Je recommande et je repasserai commande si ça perdure .</t>
  </si>
  <si>
    <t>Bon produit Bon produit fonctionne correctement et est agréable</t>
  </si>
  <si>
    <t>Du très bon Très septique au moment de ma commande mais finalement assez surpris ! Le tout semble de qualité, niveau sonore c'est très correct pour le prix, franchement rien à redire!</t>
  </si>
  <si>
    <t>Parfaite Franchement pour le prix rien à dire. Idéal pour mon boulot.</t>
  </si>
  <si>
    <t>Très bonne théière Rien à dire de négatif sur ce produit, possibilités variées de thé qui se diffusent très bien dans cette théière. La capacité est suffisamment grande.</t>
  </si>
  <si>
    <t>Parfait Très beau blouson à capuche. Matière très agréable. La taille est parfaite. Je le recommande pour les fans de Naruto.</t>
  </si>
  <si>
    <t>très bien ! Excellent rapport qualité prix. Des tétines qui durent, se lavent bien , ne se décolore pas . Bref une grande marque de confiance. Je recommande !</t>
  </si>
  <si>
    <t>Attention aux tailles Ce soutien gorge est très confortable. Avis à toutes les femmes enceinte qui ont mal aux seins, ce produit est un miracle ! En plus, sans armature, il peut se porter la nuit.  Par contre, attention aux tailles ! Mon petit gabarit avec ma forte poitrine 90D (pas enceinte) ne correspond pas aux tailles décrites. J'ai adopté la taille M qui me convient très bien.</t>
  </si>
  <si>
    <t>Satisfait Conforme à la description, très bon rapport qualité prix, je suis très satisfait</t>
  </si>
  <si>
    <t>SUPERBE Bonne qualité,  pareil à la photo</t>
  </si>
  <si>
    <t>Efficace Ok</t>
  </si>
  <si>
    <t>Pourquoi baume est orange ET PAS ROUGE Bien reçu mais je suis déçue car le  baume est orange et  nettement moins efficace que le rouge.  Pourtant il est noté baume du Tigre ROUGE</t>
  </si>
  <si>
    <t>De (très) gros défauts Produit très décevant. Plusieurs critères avaient guidé mon choix : bol en verre (matériau inerte) et température programmable. Tout le reste (les petites leds) est superflu !  De gros défauts : -En fait, le programmateur ne marche pas : quelle que soit la température choisie, l'eau finit par bouillir ...! Donc ne marche pas. -En plus l'appareil ne s'éteint que si on le met sur "off". C'est piégeux : quand on a fait chauffer de l'eau et que l'on repose le bol sur sa base, il se remet à chauffer. Or, s'il est vide, il va casser !!! -la mise en veille automatique de l'appareil (sur "off" il ne chauffe plus mais reste allumé bleu) s'effectue d'elle même au bout d'une heure peut-être en émettant 3 bips très sonores. On se demande bien pourquoi !???  Ne mérite pas un zéro pointé puisqu'il chauffe l'eau. Mais j'attends d'en trouver un autre. Je ne recommande évidemment pas ...</t>
  </si>
  <si>
    <t>Nul Après un moins, produit HS et vendeur injoignable. Dommage qu'il ne soit plus temps de les renvoyer. A fuir.</t>
  </si>
  <si>
    <t>Fait le job, mais... Fait le job, mais...  ... Bracelet trop court si poignet fort et pas de maillon en +. Mais relativement légère et de bonne facture. Casio correcte et le fond bleu est très beau.</t>
  </si>
  <si>
    <t>Achat bouilloire Riviera et Bar Livraison rapide. Je suis pleinement satisfaite de mon achat, la montée en température est très rapide et fait gagner beaucoup de temps. Tellement que je m'en sers pour préparer l'ébullition de mon eau pour cuisiner. Super, je vous la recommande dans une petite cuisine en plus elle s'adapte parfaitement.</t>
  </si>
  <si>
    <t>casque sony noir (sans micro) La musique étant indispensable pour moi lors de mes longs trajets en bus et tram et mes écouteurs ayant décidé de ne plus coopérer avec mon téléphone, j'ai décidé d'acheter un casque. Celui-ci convient parfaitement à mes attentes : ni trop gros, ni trop petit, couvrant bien le bruit extérieur, très bonne qualité de son pour le prix, pliable qui plus est, un cordon assez long mais pas trop et qui ne s’emmêle pas, une couleur sobre et une livraison extrêmement rapide. Je ne met pas les 5 étoiles cependant pour l'aspect un peu cheap dû au plastique et l'impression qu'en le repliant, il va tout simplement se casser... Je recommande complètement ce casque.</t>
  </si>
  <si>
    <t>Bonne qualité La marque est fidèle à elle-même depuis de nombreuses années. Les biberons dodie sont toujours d'excellente qualité pour un prix abordable</t>
  </si>
  <si>
    <t>Pour découvrir mais un peu léger Activité sympa à faire avec les enfants. A surveiller surtout si ils sont petits afin d'éviter que ça dérape ...  Boîte sympathique, pourquoi pas pour découvrir. Mais j'ai trouvé le contenu bien maigre. A la rigueur un poil plus chère mais avec plus de matière et d'accessoires ce serait parfait. Pour les habitués c'est toujours aussi attractif pour les enfants.</t>
  </si>
  <si>
    <t>Trop bon pour être vrai ... Sauf que c'est vrai Très très bon son pour le prix ( beaucoup trop bon ) Avec la réduction de 15€ j'ai eu les pods pour 14€.  Livré en une journée, emballage propre, boîtier presque luxueux, on regrettera seulement que le chargeur ne s'enfonce pas totalement dans l'embout mais ça n'enlève en rien la qualité du produit.  Un 5 étoiles pour moi.</t>
  </si>
  <si>
    <t>beaucoup de charme avec cette bouilloire style retro Notre bouilloire etant morte, nous avons choisi ce nouveau modele a cause du style retro, pour aller avec notre cafetiere et grille pain noirs Evidemment, ce n'etait pas le seul critère, elle est jolie, rapide, efficace</t>
  </si>
  <si>
    <t>top!! j'adore. pratique tres satisfaite. tout simplement top!!! j'étais septique vu certains commentaires et en faite très contente ! je vais commander des gourdes en plus.merci amazon !!</t>
  </si>
  <si>
    <t>Bonne qualité et très confortable Je sens vraiment la différence entre les chaussettes landa et celles-ci. Je les utilise en toutes occasions, course à pied, promenades, et quotidiennement. J'ai également acheté pour mon fils qui souffre quotidiennement de douleurs aux jambes et depuis qu'il a utilisé ces chaussettes, il est entièrement satisfait. Je vous le recommande.</t>
  </si>
  <si>
    <t>Très belle chaussures Chaussure très jolies en plus d'être hyper confortable. S'adapte très bien à une tenue classique comme à une tenue plus décontractée. Hyper respirant pour ceux qui ont les pieds qui transpire facilement. Je l'ai recommandé un à amis proche qui en est tout autant satisfait.</t>
  </si>
  <si>
    <t>parfait parfait!</t>
  </si>
  <si>
    <t>super je recommande l'achat de cette bouilloire très jolie dans ma cuisine et efficace</t>
  </si>
  <si>
    <t>Utile et complet Je l’utilise pour la chambre de mon fils. Il est super heureux d’avoir un réveil, l’heure, la radio et même une veilleuse sur le même objet.</t>
  </si>
  <si>
    <t>Tres tres bien Téterelles de très bonne qualité. J'en ai acheté plusieurs lots, car je ne réutilise pas, si possible,  deux fois la même pour des tétées consécutives. Et je lave le tout en rentrant le soir. Ma fille s'y est très bien habitué dès le 3ème jours car j'avais des crevasses. Et je ne les ai plus quittées, même si on conseille de revenir au sein. C'est beaucoup plus facile pour bébé d'attraper la Téterelle que le téton glissant.</t>
  </si>
  <si>
    <t>Sa Joli</t>
  </si>
  <si>
    <t>Chaussettes de bonne qualité. Chaussettes de bonne qualité et très confortable. Le tissus est résistant. De plus , elles sont élégantes .</t>
  </si>
  <si>
    <t>Top! Super!!! Mon fils ne le lache plus ! Il a 13 ans! Pour une fois, j’ai bien choisi son cadeau d’ann !</t>
  </si>
  <si>
    <t>Je recommande. Très jolies. Très confortables. J'adore.</t>
  </si>
  <si>
    <t>Bien chaud pour l’hiver Super content de mon achat !! Je voulais une chaussure avec un rembourrage à l’intérieur pour faire les petits travaux à l’extérieur. Je viens de les porter pendant 1 semaine avec une température d'environ 1-2 degrés et sérieusement j’ai pas eu une seul fois froid au pied ! J’en suis ravi</t>
  </si>
  <si>
    <t>Satisfaite Il s agit dun tres joli set de brosses a chaussures..bon rapport qualitè prix de prime abord...je n ai pas ttes essayèes mais plutot pas mal</t>
  </si>
  <si>
    <t>Pas mal Ça marche pas trop mal. Gros soucis, le volume démarre a fond a la mise en service. C'est pas le top.</t>
  </si>
  <si>
    <t>tres mauvaise qualité , complètement ouverte sur tous les côtés aptes 4 mois d utilisation normale en tant que chaussures de ville , les chaussures se sont ouvertes sur tous les côtés,  et le vendeur me dit qu il ne peut rien faire !</t>
  </si>
  <si>
    <t>Erreur de taille : c'était un 37/38 EU (et non brésilien) Dans le libellé du descriptif produit commandé, il est bien spécifié "39/40 EU (37/38 Brazillian)". Faisant du 39 français, donc 39 EU, normal que je commande ce modèle. A réception, c'est bien un 37 (très petit 38)... EU. Vraiment trop petite pour moi, j'ai offert la paire à une amie qui fait du 37 français. Logiquement, la bonne pointure aurait du être, gravée sur la tong (erreur de fabrication ?), et inscrite dans le descriptif Amazon : "37/38 EU (35/36 Brazillian)". Pour preuve, référez-vous aux divers tableaux de correspondances officiels (consultés trop tard pour ma part !)</t>
  </si>
  <si>
    <t>Non conforme à se que j attendais Pas à mon gout</t>
  </si>
  <si>
    <t>Bon produit, mauvaise logistique d'envoi. Envoi effectué par Coli Privé d'après Amazon. Je ne pense n'avoir rien à redire sur la qualité du produit, mais ce qui est, d'après mon cas, désastreux, c'est la date d'expédition qui ne cesse de changer en se décalant à chaque fois de plusieurs jours. En l'attente du colis, je viendrais modifier par la suite ma note si le-dit colis arrive en bon état et à la date prévue cette fois.</t>
  </si>
  <si>
    <t>tres bien rien a dire conforme</t>
  </si>
  <si>
    <t>super roller 2ème commande de roller jade pour moi, le 1er s'est cassé assez vite et du coup j'en ai commandé un autre un peu plus cher. J'ai choisi celui-ci car j'aime le fait d'avoir 1 seul rouleau dessus, pour le changer il suffit de le dévisser et de mettre le 2ème rouleau fournit. Je le garde au frigo la nuit et je m'en sers le matin. C'est un vrai plaisir, c'est frais et ça fait du bien. Par contre, pas sûre de l'efficacité sur les rides, mais impeccable pour bien décongestionner les poches sous les yeux. A voir sur la durée mais ce roller m'a l'air solide :)</t>
  </si>
  <si>
    <t>Vraiment bien Superbe</t>
  </si>
  <si>
    <t>sac bonjour , le sac est bien mais il est trop petit par rapport  à  l 'image sur le site .</t>
  </si>
  <si>
    <t>Parfait R.a.s</t>
  </si>
  <si>
    <t>Super sweat Super sweat.  Très beau et bien taillé . Taille sélectionnée selon la grille de la marque. Je recommande cet article.</t>
  </si>
  <si>
    <t>j'adore on est trop bien dedans et j'adore le style, petit conseil prenez juste votre taille, elles taillent grand.</t>
  </si>
  <si>
    <t>très bon produit Bon produit rapport qualité prix imbattable Très belle qualité, très chic. très léger et confortable je suis satisfait de cet achat</t>
  </si>
  <si>
    <t>Parfait Parfait et en bon état, il fonctionne très bien, la qualité est au rendez-vous, satisfait.</t>
  </si>
  <si>
    <t>Très bien ajusté bonne tenue matière agréable à porter Super chaussure de running je les recommande à ceux qui veulent se faire plaisir, sans se faire mal.</t>
  </si>
  <si>
    <t>Bien chaud.. mais pas tres bien taillée Produit trés chaud. Exactement ce que je voulais.  Mais la coupe est  vieillotte.  Très cintrée.  Parfaute pour aller à la campagne.</t>
  </si>
  <si>
    <t>PARFAIT Bonnes chaussures pour la neige. Nous habitons à la montagne, et aucun soucis. J'ai juste rajouter une semelle à l'intérieur pour la transpiration.</t>
  </si>
  <si>
    <t>Parfait pour Blue Yeti ! Je l'ai acheter pour mon micro Blue Yeti et la perche tient très bien le micro malgré qu'il soit lourd je suis très satisfaite ! Je m'attendais à une perche plus grande, elle est plus petite que ce que je croyais mais c'est justement ce qu'il me fallait elle est pile à la bonne taille, je recommande !</t>
  </si>
  <si>
    <t>Parfait Après un achat en juillet, et une forte utilisation depuis, je peux dire que ce legging est juste parfait ! A acheter les yeux fermés.</t>
  </si>
  <si>
    <t>article conforme a la description ras</t>
  </si>
  <si>
    <t>Scotch double face J'ai collé des plaques sur des murs et pour le moment ça resiste très bien.</t>
  </si>
  <si>
    <t>Bon produit Pratique ,dès la naissance . Par contre se nettoie avec de l'eau chaude .</t>
  </si>
  <si>
    <t>Livraison rapide produit de grande qualité répondant tout à fait à mon attente. Livraison rapide pour un produit de très bonne qualité qui s'intègre facilement dans n'importe quel intérieur,  la diffusion des huiles essentielles se fait avec une petite lumière diffuse et changeante très sympa, j'adore</t>
  </si>
  <si>
    <t>très bien En ce qui me concerne et compte tenu de la place dont je disposait, cet article me convient. Je ne sais pas pourquoi il y avait 2 x cet article mais je crois qu'il fera l'affaire pour quelqu'un d'autre, donc je garde !</t>
  </si>
  <si>
    <t>pochettes plastiques perforés Pochette solide,facile pour mettre documents dedant</t>
  </si>
  <si>
    <t>Efficace mais fortement chimique !!! Un produit certes très efficace pour les toilettes, mais d'une odeur fortement chimique qui me fait me questionner sur l'innocuité pour ma famille ainsi que pour la nature...</t>
  </si>
  <si>
    <t>pas solide Utilisées quotidiennement au travail, après seulement 2 mois, le tissu à l'intérieur au niveau du talon est complètement déchiré!!! Je ne recommande absolument pas, d'autant plus que les semelles intérieures sont dures comme du béton!!! En plus, pas moyen de faire une réclamation donc 60 euros jetés par la fenêtre!!!!</t>
  </si>
  <si>
    <t>Non fonctionnel Ne fonctionnait à son arrivée</t>
  </si>
  <si>
    <t>trop mal L'idée est bonne, la conception aussi malheureusement les boules à l'intérieur sont très dures et ça fait trop mal, meme après avoir persister, pensant s'habituer..  impossible pour moi ! j'ai le dos encore plus meurtri qu'avant !</t>
  </si>
  <si>
    <t>Texte un peu court C est le 5eme ouvrage de la même collection que j achete pour ma fille. La collection est top Mais pour ma nuit je ne mets que 3 étoiles car les textes sont vraiment très courts notamment compare à la liste de Sami ou le cp de Sami</t>
  </si>
  <si>
    <t>Sympa Très contente de ce produit. Jo moi facile de utilisation</t>
  </si>
  <si>
    <t>effet immédiat premier effet visible, dés la première utilisation (30min de vélo elliptique) la peau est lissée, l'effet peau d'orange très diminué. très très satisfaite du résultat, j'étais perplexe avant l'utilisation de ce pantalon de sudation sur les effets promis. seul bémol la ceinture est un peu large, et prendre une taille supérieur à celle portée habituellement. je recommande se produit</t>
  </si>
  <si>
    <t>BON PRODUIT MON SEUL REPROChE C'est la couleur bleue du bloc POURQUOI ? La couleur bleue du bloc donne à l'eau usagée une couleur bleue c'est très délicat à nettoyer surtout qu'il est vraiment conseillé de jeter dans les Wc LES EAUX QUI RESULTENT des deshumidificateurs, eaux souillées, toxiques qui plus est avec les produits ici PORTER DES GANTS FAIRE ATTENTION AUX PROJECTIONS ALORS CE COLORANT BLEU BOF Je préfère des basiques de sous marques translucides  Côté efficacité bien sûr, RIEN A REDIRE  Si vous avez une question et que je peux vous aider ce sera avec plaisir  Nous n'avons plus d'alerte lorsqu'une personne met une remarque en commentaire donc pour poser une question il faut : 1/ cliquer sur les commentaires, 2/ sur la droite de l'écran il y a une zone texte pour sa question "Avez-vous des questions ? Obtenez des réponses rapides d'autres clients."</t>
  </si>
  <si>
    <t>Veste Columbia Taille conforme à la description vachement légère pas encore testée attend de voir avec le grand froid si elle tiens chaud</t>
  </si>
  <si>
    <t>bluffer Au debut jetais très déçu car il émet aucune odeurs mais jai tester sur mes chaussures sachant que je transpire beaucoup du pied donc chaussures qui oue aussi et apres 24 h plus aune odeurs un vrai miracles je recommande vraiment je ne sais pas comment ca marche mais ca asspire les odeur et cest vraiment bien</t>
  </si>
  <si>
    <t>Ras Augmenter la dilution pour une meilleure utilisation des peintures</t>
  </si>
  <si>
    <t>OK Conforme. Respect des délais. Très satisfait. Je recommande</t>
  </si>
  <si>
    <t>Génial Super bonne qualité je m en sert tout le temps je recommande et surtout très pratique y a un pot livré avec</t>
  </si>
  <si>
    <t>Pourquoi dépenser plus ? Bon en tout, sans être excellent.</t>
  </si>
  <si>
    <t>très bien entièrement satisfaite correspond exactement à la photo et la pointure et bonne</t>
  </si>
  <si>
    <t>pour une tétée comme au sein Ce biberon avent est livré avec une tétine et le capuchon. pour les écologistes , ce biberon en verre "naturel" est le must ; de plus, il permet un chauffage au chauffe-biberon (ou au micro-ondes, de façon égale sur tout le volume de lait. Le nettoyage (très important ) est facilité car il n'y a pas de risaues de rayures; La tétine imite le sein; ma petite fille n'a pas eu de mal à passer du sein maternelle au biberon. Le produit est fabriqué en France. La couleur neutre va pour fille ou garçon . Ce produit testé est approuvé par bébé ! Je recommande absolument</t>
  </si>
  <si>
    <t>Très bon produit Service rapide rien à dire les chaussures son impeccable</t>
  </si>
  <si>
    <t>Confort J'utilise ces chaussures dans le cadre de mon travail car je suis debout toute la journée et je n'aime pas porter des chaussures plates</t>
  </si>
  <si>
    <t>PARFAIT Livraison rapide. Produit confortable et agréable à porter</t>
  </si>
  <si>
    <t>Rien à dire je recommande skechers confort et qualité Skechers marque fiable à 100% belle chaussure très confortable comme d'habitude je ne suis jamais déçu par la marque merci</t>
  </si>
  <si>
    <t>Rapor qualité prix Bonjour Pour utilisation avec un instrument de musique Korg pa 700</t>
  </si>
  <si>
    <t>Bon produit, bonne qualité sonore Bon produit casque de petite taille, adapté pour les enfants. Son de bonne qualité. Bon rapport qualité-prix.</t>
  </si>
  <si>
    <t>Très joli et fonctionne très bien Très belle surprise au déballage de mon diffuseur . Il est très joli avec une forme et une imitation bois sympa . La lumière est douce et agréable . Elle donne une ambiance cocooning à mon salon. L’utilisation est simple à comprendre, la minuterie est pratique et le bec verseur pour le remplir est bien utile ( Petits plus qui font la différence) . Il se marie à merveille dans ma déco . Très bon produit</t>
  </si>
  <si>
    <t>superbe conforme</t>
  </si>
  <si>
    <t>colis pied a l etroit ...pas assez large en ce qui me concerne , et on transpire vite dedans</t>
  </si>
  <si>
    <t>Mauvaise qualité C’est peut-être bon marché, mais sa qualité est terrible. Le placage à l'or est comme du plastique.</t>
  </si>
  <si>
    <t>Quelle déception Ce jeu est une véritable déception bien que l’idée de départ soit intéressante. En fait que le stylo soit aussi un minuteur est un conception sympa, surtout avec son petit bruit de compte à rebours mais rien n’est abouti pour en faire un jeu gagnant. La durée du minuteur dans le stylo est beaucoup beaucoup trop court car 15 secondes cela n’est pas assez pour des enfants de 8 même 10 ans. Il faudrait que l’on puisse aller au moins jusqu’ à une minutes pour que les enfants puisse avoir le temps de penser à quoi dessiner puis de faire le dessin. Dans un autre registre les définitions des mots à faire dessiner peuvent être beaucoup trop compliqué pour des enfants en-dessous de 12 ans. Il est regrettable que les cartes de définition n’offrent pas des niveaux de difficulté différents car cela est un vrai frein pour les plus jeunes. Ce jeu n’est donc pas à offrir à un enfant de moins de 12 ans et c’est dommage 😕</t>
  </si>
  <si>
    <t>la couleur commandé ne correspond  pas j ai acheter plusieurs polaire a capuche mais il y a plusieurs colorie de turquoise et vu que c était pour un club de majorettes je suis un peu déçu de mon achat</t>
  </si>
  <si>
    <t>Pas très performant Je suis un peu déçu de ce produit car il n'est pas efficace en tant que diffuseur. il faut être à moins d'un mètre pour pouvoir sentir les HE alors que j'avais des diffuseurs qui arrivé à diffuser dans toute la pièce (chambre de 18m2) et là rien bof bof. par contre le design les couleurs conforme à la description. Je ne recommanderai pas ce produit</t>
  </si>
  <si>
    <t>Cher mais bonne longévité et qualité Ce produit, comme toutes les encres HP, est cher. En revanche, l'encre dure longtemps et ne sèche pas.</t>
  </si>
  <si>
    <t>Excellente qualitée mais embout s'use vite Points forts : - Les écouteurs sont esthétiquement bien fini et très jolis. - La qualité du son est excellente mieux que beaucoup de casque, ideal pour du gaming. - Le cable est assez long. - Les écouteurs sont aimantés pratique pour les ranger dans la housse (fourni) . - Très bien emballé et beaucoup d'embout de 2 type (classique x3 ou confort a memoire de forme x3) de differentes tailles. - Possibilité d'acheter des embouts supplémentaires a part. - Idéal pour jeu comme CS:GO, PUBG, Fortnite, etc (pour les bruits de pas et petit son utile). - Micro inclus - adapteur 1 port jack vers 2 (micro et ecouteurs) - garantie 5 de foncrionnement, non négligeable.  Points faibles : - Les embouts confort sont certe idéal pour du gaming et d'un confort irréprochable mais ou bout d'1 mois et demi ils sont déjà très usé. J'en ai un usage quotidien et plutot long je l'admet mais 1 mois et demi c'est tout de même très léger. - Assez lourd pour des ecouteurs (mais cela reste raisonnable). - 9,90 € pour des embout supplémentaires cela fait un peut chère.  Point neutre : - Prix élevé pour des écouteurs cependant il se justifie par la qualité du produit qui esr très bonne et peut largement rivalisé avec les casques, impossible de trouver un casque dans la même gamme de prix avec une qualité similaire.  Pour conclure je suis très satisfait de ses écouteurs pour moi ils sont de bon rapport qualité/prix, je les recommandes pour du gaming essentiellement, j'écoute souvent de la musique mais ne suis pas expert sur le sont pour la musque je peux donc juste vous inviter a vous faire votre propre avis perso je le trouve excellent pour la musique egalement. Je recommande.</t>
  </si>
  <si>
    <t>de bonne sandales Ce sont de bonnes sandales robustes et très confortables. ne pas hésiter à prendre une pointure en dessous de votre pointure habituelle elles chaussent grand. Que dire d'autres? Ah oui on peut marcher avec, mettre ou non des chaussettes si on souhaite se donner un petit air ridicule (jaune citron ou vert pomme c'est pas mal)</t>
  </si>
  <si>
    <t>Exquis Quelle différence d'entendre correctement sa voix ! Je fais plusieurs types d'enregistrement et la qualité du son est toute autre. On m'entend très clairement et sans bruit. La possibilité de régler en plusieurs modes, de pouvoir avoir un retour de voix, Parfait !  Par contre, attention à la peinture qui peut vite s'écailler en cas de choc ou à l'endroit de fixation de l'antipop.</t>
  </si>
  <si>
    <t>Très pratique! Thermos pour réchauffer biberons et petits pots de bébé bien pratique, ingénieux et moins coûteux que d autres produits plus ou moins similaires sur le marché . Garde très bien la chaleur ( 4heures après, l eau était encore bouillante). Facile à emporter lors de voyages, balades. Simplement bien verrouiller le bouchon avec les positions on/ off. Je recommande vivement ce produit!</t>
  </si>
  <si>
    <t>Conforme à la description Conforme à la description. Bonne qualité. Taille OK</t>
  </si>
  <si>
    <t>Je le conseil Très satisfait</t>
  </si>
  <si>
    <t>Jolie et agréable à porter Très jolie casquette au design sobre ! Je suis ravie ! Se règle facilement par pince coulissante. Sa matière souple et légère en fait un article agréable à porter ! Je recommande</t>
  </si>
  <si>
    <t>A recommander les yeux fermés Très pratique, le goupillon est design et ne fait pas «&amp;nbsp;tâche&amp;nbsp;» dans la cuisine. Le socle permet de récupérer l’eau sans en mettre partout. Très contente de mon achat</t>
  </si>
  <si>
    <t>1 an et 7 mois plus tard. Un petit bijoux qui m'avait paru cher à l'époque mais que je ne regrette vraiment pas d'avoir acheté ! Cela fait maintenant 1 an et 7 mois que je l'ai et il est toujours pleinement fonctionnel et pourtant je ne lui laisse aucun repos avec en moyenne une utilisation de 4h par jour il ne bronche pas.  La seule chose que je pourrais éventuellement lui reprocher ce serait le bouton mute sur lequel il faut parfois ré-appuyer une deuxième fois pour bien couper le micro ou le rallumer mais c'est pas très dérangeant. Foncez sans hésitation et peu importe l'usage que vous en ferez, joueurs, youtubers, streamer, ou simplement pour de longues conversations avec la famille, il est très bon.</t>
  </si>
  <si>
    <t>Très bien Mon fils est ravi par sa nouvelle paire de baskets. Elles semblent de bonne qualité et la taille correspond bien à la pointure.</t>
  </si>
  <si>
    <t>Pratique pour le sport Etant un coureur et n'aimant pas les écouteurs filaires, j'ai été tenté par ces écouteurs. Cela s'avère pratique d'avoir des écouteurs bluetooth sans se prendre le fil du casque dans les mouvements de la course. Ils tiennent aux oreilles sans soucis. Le produit a été livré avec une petite housse rigide et ronde, pratique pour ranger dans le sac de sport. L'autonomie de la batterie est bonne. Je n'ai toujours pas chargé les écouteurs après 3 séances d'une heure.  Concernant la qualité, c'est conforme à mes attentes pour des écouteurs. On peut écouter de la musique sans être gêné par des bruits/parasites/...  Concernant le design, cela reste tendance mais les goûts et couleurs sont propres à chacun.J'aime bien.  Je suis satisfait du produit et recommande.</t>
  </si>
  <si>
    <t>Belle couleur... supers confortables... magnifiques ! Des baskets magnifiques, très confortables. La couleur me plait beaucoup. Le prix est très attractif. Je les adore !</t>
  </si>
  <si>
    <t>Qualité/Prix irréprochable! Reçu le 4 mai, et franchement ce câble a été fabriqué avec soin et sérieux. De dimension convenable, conçu pour la connexion de trois ventilateurs 4pins donc idéale pour la norme pwm. Je le conseil pour les cartes mère avec peu de connecteurs pour ventilateur.</t>
  </si>
  <si>
    <t>rien à redire c'est converse qui ne connait pas converse c'est l incontournable depuis de nombreuses années quand à la taille prendre une pointure de moins</t>
  </si>
  <si>
    <t>Agréable merci Première livraison mauvaise taille , pas la même que j’ai commander , reçus un autre merci . Juste retirer 1 taille comparer au tableau car un peux plus grand sinon très agréable merci</t>
  </si>
  <si>
    <t>Rapide et silencieuse Bouilloire rapide, avec le réglage de la température très pratique pour les amateurs de thé, silencieuse. Le fait qu’elle fasse Thermos est un vrai plus. Très contente de mon achat.</t>
  </si>
  <si>
    <t>Chaussure pour tous les jours Très confortable, chaude, j'en achète une paire de couleur différente chaque hiver. Bleu marine foncé, parfait ! Décontractée mais bien aussi aller travailler.</t>
  </si>
  <si>
    <t>Envoie rapide Magnifique</t>
  </si>
  <si>
    <t>Boîte ouverte et abîmée 2 ème fois que je commande ce pack . La première fois le carton était un peu abîmé mais ça allait . Les cartouches ont fait leur travail. Par contre , la deuxième fois , le carton est dans un état pitoyable , ouvert , avec des chocs a plusieurs endroits de la boîte . Je ne sais même pas si les cartouches seront en état de marche.. Bref très déçue.</t>
  </si>
  <si>
    <t>Article endommagé Article endommagé  le pied droit visiblement à été écrasé!!!</t>
  </si>
  <si>
    <t>boucles d'oreille Pas assez voyantes, trop petites !</t>
  </si>
  <si>
    <t>Mitigé A la reception j'étais plutôt contente car ils sont sympas mais après les avoirs mit seulement deux fois ils ont changé de couleur ! Donc je ne peux plus les mettre car c'est pas joli. Donc déçue pour ça</t>
  </si>
  <si>
    <t>Belle qualité Chaussette de beau facture ,glisse bien dans les pieds ,la matière est assez doux Il es conforme à mon attends</t>
  </si>
  <si>
    <t>Vous souhaitez la stéréo avec vos oreillettes, ça s'passe ici Très bon rapport qualité/prix, la notice est exclusivement en chinois, toutefois vous avez la notice en anglais disponible sur le net. pour avoir la "STEREO" il faut faire une manipulation pour synchroniser d'abord l'oreillette gauche à celle de droite, puis seulement après synchroniser en Bluetooth l'oreillette droite à votre smartphone. Vous trouverez un tutoriel en vidéo sur youtube</t>
  </si>
  <si>
    <t>Cadeau à faire Idée de cadeau sympa. Résiste dans le temps.</t>
  </si>
  <si>
    <t>Très bien mais... Moins confortables quel le modèle précédent de la marque, ces baskets restent très jolies et le prix AMAZON est top ! Comme toujours.</t>
  </si>
  <si>
    <t>léger et bien j en avais marre de prendre ma balayette pour la cheminé, idem pour le barbecue. je suis donc partie sur celui la .aspirarateur très léger,qui aspire bien les cendres .j ai attendu qu elles refroidissent par contre . pour la partie soufflerie ,c est suffisant pour rassembler les cendres en évitant que ça valdingue trop de partout. Après c est dommage qu il n y ai pas de roulettes .certe le poid est léger,mais des fois les roulettes peuvent être utiles.bon rapport qualité prix</t>
  </si>
  <si>
    <t>Ca colle ! Lot de scotch de base de bonne qualité, pas trop fin. Satisfaite de mon achat car j'en utilise beaucoup. Prix intéressant</t>
  </si>
  <si>
    <t>Peluche douce sons trés doux Une peluche adorable toutedouce, pas trop grande ni trop petite . L avantage les petits sons ne sont pas fort pour les oreilles de nos enfants. Une chose importante le passage en machine et possible car le système avec les piles s enleves de la peluche.</t>
  </si>
  <si>
    <t>Vendeur digne de confiance . Bon outille semi professionel .</t>
  </si>
  <si>
    <t>Classe Très jolie montre , bracelet en cuir épais. Montre habillée , convient pour toutes les occasions</t>
  </si>
  <si>
    <t>Simple et pratique Super facile et très adhérent que sur les murs propre et en bon état</t>
  </si>
  <si>
    <t>Bien Jolie</t>
  </si>
  <si>
    <t>Collier Bon produit</t>
  </si>
  <si>
    <t>Idéal pr répondre aux interrogations des petits Trop tôt les questions réponses</t>
  </si>
  <si>
    <t>Magnifique senteur j’adore Le parfum est magnifique je suis très contente La qualité du produit est fantastique le parfum se diffuse dans toutes les pièces de chez moi</t>
  </si>
  <si>
    <t>Magnifiques NB Je suis ravie et je recommande ces chaussures, légères et beaucoup d'effets car la couleur est magnifique. Je ne peux plus m'en passer.</t>
  </si>
  <si>
    <t>converse j adore</t>
  </si>
  <si>
    <t>Tarif attractif Rapport qualité prix</t>
  </si>
  <si>
    <t>montre homme de marque CASIO très bon produit ,de bonne facture belle couleur impec.....</t>
  </si>
  <si>
    <t>Parfaites Aucunes différences entre celles ci et celles achetées en magasin ! Prévoir une pointure en dessous (converse chausse un peu plus grand)</t>
  </si>
  <si>
    <t>Beaucoup de bruit pour rien J'ai du mal à comprendre le pourquoi du succès de ce gommage? Sur ma peau aucune différence, peut etre que je ne l'utilise pas come il faut (sous la douche)? Bizarre. En tout cas je ne suis pas convaincue.</t>
  </si>
  <si>
    <t>2 cartouches sur les 4 défectueuses J'ai reçu mes 4 cartouches HP 364 hier et je les ai de suite utilisée puisque j'étais en panne d'encre. La cartouche magenta m'indique vide et le bouton de l'imprimante clignote donc et la cartouche jaune indique à moitié vide alors que je ne me suis pas encore servie de l'imprimante depuis le remplacement des cartouche. Que faire. Il suffirait de ne changer que les 2 cartouches défectueuses je pourrai au moins imprimer en noir. J'ai déjà commandé plusieurs fois sans problème et j'ai beaucoup apprécié la rapidité de livraison. Mais là je suis déçue  Merci de votre réponse Cordialement Mme Petit</t>
  </si>
  <si>
    <t>Confortables Je n'ai mis que 3 étoiles car si on les porte sans chaussettes, bonjour les ampoules. Sinon elles sont confortables avec leur talon compensé c'est pour cela que je les ai choisi car je ne peux pas marcher complètement à plat. La coupe serait peut être à affiner car elles font un peu 'mamie", mais bon. Le prix est assez cher aussi, donc tout le monde ne peut pas se les offrir, c'est dommage.</t>
  </si>
  <si>
    <t>Très chimique, mais fait son job ! Les grains se dissolvent bien, il ne faut pas en mettre beaucoup bien-sûr ! J'ai un petit pot doseur d'une ancienne lessive et c'est parfait, je met la poudre dedans et fais tourner directement dans le hublot avec mon linge, comme ça c'est direct au coeur de l'action !! ^_^  L'odeur est très agréable, même si ça reste une bonne odeur de lessive "chimique", mais bon c'est vraiment parfumé donc agréable de dormir dans les draps propres, de s'essuyer dans une serviette qui sent bon.</t>
  </si>
  <si>
    <t>Que c’est une très bonne basket Pour tout les jours</t>
  </si>
  <si>
    <t>Prendre une taille en dessous Elles sont très jolies avec leur effet laqué. Exactement comme sur la photo mais il faut prendre une taille en dessous car elles taillent grandes</t>
  </si>
  <si>
    <t>Sympa Sympa et conforme</t>
  </si>
  <si>
    <t>Que du bonheur Très bon diffuseur Facile d'emploi Je pensais que celui ci serait plus grand (réservoir d'eau) Fait son job et j'en ai deux (chambre et salon) Magnifique avec ces lumières pour une atmosphère décontractée</t>
  </si>
  <si>
    <t>Exceptionnel MAGNIFIQUE J’EN SUIS FOLLE</t>
  </si>
  <si>
    <t>magnifique ma fille adore</t>
  </si>
  <si>
    <t>Après avoir utilisé le produit il est supérieur à d'autres marques surtout pour le confort Article conforme à mes attentes et livré comme prévu convient parfaitement à mon utilisation au quotidien Par rapport à d'autres marques</t>
  </si>
  <si>
    <t>ratique et original Super original, pratique avec une grande contenance. S'oubli vite sur l'épaule. en cuir. Un peu petit, mais c'était prévu . très joli et de grande capacité donc parfait pour plusieurs chéquier carte, téléphone et autre trucs encombrants. Le cuir est de très bonne qualité en témoigne sa rigidité... il faut que la sacoche se fasse avec le temps pour l'avoir souple</t>
  </si>
  <si>
    <t>très bien Essayé une fois mais colle très bien rien a redire. Convient très bien pour les enfants et pour adulte facile d'utilisation</t>
  </si>
  <si>
    <t>Bouillotte magique pour avoir les pieds chauds Je suis très satisfait de cette bouillotte électrique qui chauffe très vite (10 min) Je suis ravi de cet achat même si la taille est assez petite pour chauffer vos 2 pieds en même temps Avec cette bouillotte fini les pieds froids le matin Je vous la recommande chaudement</t>
  </si>
  <si>
    <t>très contente de mon achat je suis très contente de mon achat, je l'ai vite reçu et il ne s'agit pas d'une copie, la bijouterie en question est bien approuvée par pandora (il suffit d'aller faire un tour sur leur site). je recommande. Sylvie</t>
  </si>
  <si>
    <t>Livraison très rapide Produit de très bonne qualité. J vous recommande</t>
  </si>
  <si>
    <t>Ras. Impeccable Ras. Impeccable</t>
  </si>
  <si>
    <t>rapide délai très rapide,je recommande!</t>
  </si>
  <si>
    <t>LOT 18 cartouches 18 XL Ink. Pourquoi payer si cher des cartouches alors que ces cartouches s'adaptent très bien sur l'imprimante Epson XP415 . Les couleurs sont extras , faites comme moi : des économies avec un bon résultat . Je commande toujours ce produit et ne trouve aucune difference avec les cartouches originales , donc n'hésitez pas , faites comme moi.</t>
  </si>
  <si>
    <t>Ravie ! C'est tout ce que j'attendais. Bouilloire électrique petite et toute ronde parfaite pour le thé au boulot. J'en avait marre de me servir de la même machine que ceux qui boivent du café, la boisson avait toujours un gout amer... En tout cas, visuel conforme à l'annonce, reçu rapidement. Prix très correct, bref, je suis ravie !</t>
  </si>
  <si>
    <t>Ideal pour débuter Juste génial pour débuter dans la lecture très bien fait j'insiste vraiment sur le fait que c'est pour débuter par contre car sinon c'est un peu simple</t>
  </si>
  <si>
    <t>Très bon rapport qualité-prix Béquille centrale de très bonne qualité. Quelques difficultés à la poser en particulier le ressort de retour, mais avec un peu de bonne volonté on y arrive. Belle économie réalisée par rapport au devis du concessionnaire.</t>
  </si>
  <si>
    <t>super ecouteurs bluetooth Les écouteurs sont vraiment supers. Ils sont de très bonne qualité avec finition irréprochable Ils tiennent bien dans l'oreille car ils sont bien maintenus dans le lobe. Ils sont fournis avec des embouts de tailles différentes. Ils ne sont pas gros donc agréables à supporter et esthétiquement plutôt jolis. J’ai beaucoup apprécié les écouteurs car je n’ai pas de souci pour écouter de la musique en faisant mon jogging. Le son est super, on n'entend pas l’extérieur. Très faciles à utiliser, il faut juste brancher le câble USB fourni et mettre en charge, ensuite appairer avec le Bluetooth du téléphone (Manuel en français fourni), puis on peut commencer à  profiter de la musique sans câbles ! Livrés dans une jolie boîte. Idéal pour faire un cadeau surtout à l'approche de Noël.</t>
  </si>
  <si>
    <t>Trop fines Pochettes trop fines. Je m'attendais compte tenu du prix à une qualité supérieure. Je suis plutôt déçue, l'image ne correspond pas au produit que j'avais choisi</t>
  </si>
  <si>
    <t>Bon micro si vous vivez dans les années 1980. C'était pas cher. En l'occurrence 28euros c'est déjà 18euros de trop. J'ai eu des casques à 10euros qui avaient une meilleure qualité de micro aux environs de 2009. Le son? Ah bah même à fond ce casque est aussi puissant qu'un vieux de 90ans qui tente de hurler alors qu'il a rhume.  Franchement mauvais. C'est juste du vol.</t>
  </si>
  <si>
    <t>Dee J'étais ravie en les recevant mais la semelle extérieure n'a tenu qu'un mois...</t>
  </si>
  <si>
    <t>aiguille diamant Compatible ? aiguilles compatibles avec la platine vintage Sony PS-LX 150 H, fonctionne mais se décroche facilement mais problème réglé avec un peux de ruban fin pour peinture que je peux retirer facilement au cas ou, d'ou que 3 etoiles a ma note</t>
  </si>
  <si>
    <t>Le contentement Cadeau</t>
  </si>
  <si>
    <t>Satisfait Ce modèle marche uniquement en Bluetooth et n’a pas de mémoire interne, il ne peut donc pas s’utiliser Seul comme lecteur mp3 ou iPod. Mis à part cela il est très agréable à utiliser, le son est à mon avis très bien (aucune différence de qualité avec un intra auriculaire). Certes un peu cher mais la qualité est au rendez-vous.</t>
  </si>
  <si>
    <t>Chaussures Aigle Taille de pointure exacte et produit conforme à mes anciennes chaussures de la marque. Je suis très satisfait de cet achat.</t>
  </si>
  <si>
    <t>Classique Une cartouche d'encre rien de plus classique,  je trouve qu'elle est assez rentable en impression brouillon noir et blanc,  de quoi faire de l'administration.</t>
  </si>
  <si>
    <t>Excellent rapport qualité/prix Avant d'acheter j'ai regarder les commentaires des notes les plus basses (c'est une habitude) et à réception du produit, j'ai du mal à comprendre qu'on juge mal ce produit.  Oui, la qualité des plastiques et la technologie ANC ne sont pas au niveau d'un BOSE QC35 (que j'ai également), mais on parle d'un casque qui coûte 8 fois moins cher !  Pour un prix d'environ 50€, je trouve que la prestation proposée est très bonne. Le son restitué est de qualité (de bonnes basses), les finitions sont très honorables et le système ANC permet bien une diminution du bruit ambiant. Le système de rangement est très pratique et l'utilisation du casque est très simple grâce aux boutons de commandes situés sur les oreillettes. Bref, je trouve que c'est un excellent rapport qualité/prix.  Dans la conception, je pense que TaoTronic a été très "influencée" par le casque BOSE QC35. J'ai les deux et j'y vois beaucoup de similitude. Le ToaTronic est un peu moins qualitatif c'est sûr (en même temps BOSE est très loin devant tout le monde) mais avec un prix de 50€ (Contre 400€ pour le BOSE), il n'y a pas de réfléchir longtemps.</t>
  </si>
  <si>
    <t>produit conforme les tétines sont numérotées par étape, simple et facile pour suivre l’évolution de bébé. sans plastiques chimiques (bisphénol ect). top</t>
  </si>
  <si>
    <t>Un excellent "kit de démarrage" post allaitement ou allaitement mixte 3 jolis bib en verre et une tétine, voilà qui permet de démarrer tranquille !  Cet ensemble est utilisé par une jeune maman qui alterne allaitement maternel et biberon. La petite poupée s'est tout de suite adaptée aux tétines (tétines plates qui facilitent le passage de l'allaitement au sein et au bib) et passe sans problème de l'un à l'autre.  Les biberons sont sympas, faciles à nettoyer, et le verre ça reste top en termes d'hygiène !  La sucette est un petit "plus". Elle est discrète et adaptée à la bouche des tout petits.</t>
  </si>
  <si>
    <t>Rallonge Objet bien arrive et conforme</t>
  </si>
  <si>
    <t>Très bon rapport qualité/prix Je suis très satsfait de cet achat. Les oreillettes sont confortables, le son est très bon. Ils tiennent bien la charge. Tous les accessoires sont de bonnes factures et semble être solide. Personnellement je m'en sers sur mon trajet, au bureau, dans le tram etc. La connexion est rapide et les appels fonctionnent très bien. Je ne peux que recommandé cet achat.</t>
  </si>
  <si>
    <t>BON RAPPORT QUALITE/PRIX Ce n'est pas mon premier achat de montre Casio et j'ai toujours été pleinement satisfait.</t>
  </si>
  <si>
    <t>Très joli modèle CASIO Très belle montre, conforme aux photos visibles sur le site. Très fine, beau bracelet, cadran noir et doré qui la rend très chic. Très bon rapport qualité prix.</t>
  </si>
  <si>
    <t>❤️ Magnifique bracelet</t>
  </si>
  <si>
    <t>Parfair Je l’ai offert à ma mère pour son anniversaire et elle en est ravie, il diffuse parfaitement l’odeur, il est très jolie et sert même de décor, la petite brume ne se voit pas, il change de couleur en fonction de vos envies, rien à dire de plus, c’est un petit bijoux</t>
  </si>
  <si>
    <t>Bon produit Lampe de bureau de bonne qualité, assez brillant mais pas d'éblouissement. C’est léger et pas trop grand, très pratique!</t>
  </si>
  <si>
    <t>Plus précis qu'un thermomètre laser J'avoue être réconcilié avec ce nouveau type de thermomètre. En effet, l'utilisation d'un thermomètre de type laser ne m'avait absolument pas convaincu (trop de variation dans la prise de température) et je ne me fiais qu'à mon thermomètre rectal. Le thermoscan 3 de Braun offre des avantages non négligeables : - prise de temperature rapide - hygiénique (il faut plaçer un embout plastique sinon le thermomètre ne se déclenche pas) - températures précises - petit et facile à ranger, à glisser dans une trousse de secours ou dans le sac de lange de bébé - léger - indicateurs sonores quand la température est trop élevée  Produit testé uniquement sur des adultes, je ne sais pas s'il est facile d'utilisation avec un enfant en bas-age</t>
  </si>
  <si>
    <t>Tres satisfaite Je recommande très joli dans ma cuisine et très fonctionnel hygiénique car le plateau se détache pour nettoyer le bac juste top et très bon rapport qualité prix</t>
  </si>
  <si>
    <t>Câble (double) de 1,5mm de section pour enceintes audio 50 mètres de câble à ce prix là : Foncez ! Je l'ai utilisé pour alimenter un éclairage LED au plafond. C'est pile ce qu'il fallait. Le seul truc, c'est que je n'avais que des cavaliers de fixation arrondis et que le câble est plat. Sur le site, j'ai trouvé les cavaliers correspondants (6 mm), plats et avec fixation par clou : Ici : https://www.amazon.fr/gp/product/B011CZ6VN6/ref=oh_aui_detailpage_o00_s00?ie=UTF8&amp;amp;psc=1 Attention, il existe aussi les mêmes cavaliers mais en double épaisseur pour la fixation de 2 câbles ensembles. Les cavaliers ci-dessus sont réservés pour une seule épaisseur de câble, sans "flottement" dudit câble à l'intérieur. Suivant le support, avec un pistolet à colle ça doit le faire aussi.</t>
  </si>
  <si>
    <t>Très beaux... Ces sabots crocs Yukon sont tout simplement très beaux, grâce à l'empiècement type nubuck cousu sur le dessus. Ils ont de l'allure ! Le + de ce modèle réside également dans la patte velcro réglable à l'arrière du pied : les sabots sont très bien maintenus, et permettent du coup de marcher de manière bien maintenue. Mon mari les adore, et ne les quitte quasiment plus ! Article de très belle qualité.</t>
  </si>
  <si>
    <t>Superbe Conforme à la photo, je suis très contente de mon achat et le recommande. Mon copain en a été ravie</t>
  </si>
  <si>
    <t>Au top Au top.</t>
  </si>
  <si>
    <t>bonne montre outdoor mais un gros point noir Très bonne montre, que j'ai et utilise depuis un peu plus de un an (acheté en Fin novembre 2015), qui tiens toute ces promesses niveau qualité de finition, solidité de l'ensemble. J'ai eu l'occasion d'éprouver la montre dans pas mal de situations, et ça n'a pas broncher, rien n'a cassé, bracelet inclus. Juste le plastique de l'affichage LED qui prend les rayures mais rien de dramatiques au bout de un an d'utilisation. Un autre "soucis" est son étanchéité 30m, donc résistante a la pluie et autres éclaboussures, mais mieux vaut éviter la plongée ou un immersion prolongé. Le fabricant la donne pour 10m en plongée au tuba sur son site mais ne fait nulle part mention de la certification "Water resistant" sur le produit, le site ou le boitage. Donc mieux vaut éviter les submersions, ce que j'ai fait pour ma part.  Le gros point noir de cette montre: La PILE! C'est pourtant une grosse 3v, mais elle est deja morte en a peine plus d'un an d'utilisation, en utilisation normal, affichage horaire la majorité du temps, thermomètre/barometre et éclairage assez rarement (pas la boussole, j'ai une vrai boussole pour ça et un gps pour l'altimetrie). Je trouve ça un peu léger en comparaison avec ma g-shock GA-100-1A1ER (certes pas toute les fonctions de la core mais une bonne partie...)  qui a 3 ans, connu des conditions d'utilisations bien plus dure (jungle et desert entre autres) et dont la pile tiens toujours (3v aussi). Le tout pour une montre a moins de 100e..  En definitive, la Core est une excellente montre, elle fait son boulot, et est d'une excellente solidité. Apres tout depends ce que vous allez en faire, si vous allez avoir une reelle utilité des fonctions qu'on ne retrouve pas sur des modeles autres moins onéreux, et si vous avez besoin d'une montre réellement étanche (meme en montagne, on peux amener a se retrouver dans l'eau, je sais de quoi parle..). Car au final, ce sont des atouts comme des points faibles ces fonctionalites, car quand on ne s'en sert pas plus que ça, cela tue la pile inutilement plus qu'autre chose réduisant l'autonomie grandement. Donc a vous de peser le pour du contre suivant l'utilisation à laquelle est destiné la montre.</t>
  </si>
  <si>
    <t>Déçue Ce ne sont pas des feutres à pointes moyennes comme indiqué mais des pointes fines bref je suis déçue car pas ce que j'attendais</t>
  </si>
  <si>
    <t>Description et commentraires malhonnête. Casque inconfortable, il tient très mal sur la tête (inutilisable pour le cardio) et oubliez si vous avez des lunettes, impossible à utiliser en public car le son va venir irradier tous vos voisins (c'est pas des écouteurs c'est des mini haut-parleurs) et un prix plus élevé que la concurrence (entre 6€ à 12€ de plus). Une étoile pour la housse, fragile (cheap) mais pratique et jolie. La qualité du son semble erronée, ça ressemble à du 4.0 plutôt que du 4.2. Pas de notice française. Le pire c'est les commentaires qui semblent être écrits par des entreprises de communication en sous-traitance, depuis quand des simples consommateurs mentent pour valoriser les caractéristiques d'un produit ou pour atténuer ses défauts cela n'a aucun sens (un consommateur va tenter de juger le produit, pas de le vendre à son prochain avec une mise en avant du prix, design, packaging etc...) sauf si c'est des commerciaux ? Et je ne parle pas des commentaires sans aucun intérêt avec 4-5 étoiles juste pour récupérer le cadeau (clé bluethooth 4.0 très pratique avec un casque 4.2)  "offert" avec l'achat du casque. Bref, méfiez-vous de cette communication 2.0 immorale qui joue sur l'abus de confiance car sachez qu'un produit avec beaucoup de commentaires positifs se retrouvent automatiquement en première page et obtient ainsi une grande visibilité (=plus de ventes) faites attention car cette technique de comm. ("faux influenceurs") touche un grand nombre de sites web et apparemment Amazon.</t>
  </si>
  <si>
    <t>attention coutures Bien mais......après quelques temps d'utilisation(2 mois), il s'avère que les coutures se décousent dommage car sinon c'était un bon produit en terme d'agencement.</t>
  </si>
  <si>
    <t>Bien finie Légère, peu encombrante à la base, bien finie. Le thermomètre en façade est une option très agréable, je ne pourrais plus m'en passer, on peu arrêter la chauffe à la température désirée et bien sur contrôler le temps restant avant ébullition.</t>
  </si>
  <si>
    <t>confort Je met mes basket pour aller en salle ou faire du vélo je les recommande</t>
  </si>
  <si>
    <t>Excellente qualité perçue pour le prix Affichage très lisible. Convient pour nager en piscine.</t>
  </si>
  <si>
    <t>Qualité prix parfait Rapport qualité prix parfait. Bonne montre. Avec fonction de base</t>
  </si>
  <si>
    <t>beau les couleurs sont mixte (histoire de pouvoir réutiliser pour le prochain bébé). Le produit est conforme à ce que je recherchais. Bref pratique et utile. Aussi, il est solide donc très bien pour moi.</t>
  </si>
  <si>
    <t>Super produit Pour mon entreprise</t>
  </si>
  <si>
    <t>Au top Je kiff</t>
  </si>
  <si>
    <t>Converse Jolies et confortables avec leurs semelles épaisses.</t>
  </si>
  <si>
    <t>correct légèrement trop petite par rapport a la taille annoncé, mais ca reste acceptable</t>
  </si>
  <si>
    <t>bonne taille et légére pour faire de la marche je suis très contant</t>
  </si>
  <si>
    <t>Sans surprise Rien à dire si ce n'est que le changement de cartouche ne pose pas de problème. Pour le recyclage del a cartouche, c'est un peu plus compliqué.</t>
  </si>
  <si>
    <t>Très satisfaite Cadeau de noël pour mon fils, je l'ai essayé avant de lui offrir, il fonctionne, facile à utilisé, manuel en français, bon son, il sera ravi</t>
  </si>
  <si>
    <t>Très bon produit Livraison prévue samedi et j'ai été livré samedi 09h15...Parfait 👌 Je m'attendais à une sacoche plus petite mais très pratique. Parfait pour mettre vos objets quotidiens porte monnaie, téléphone, papier véhicule, tablette. Bonne matière solide. A voir dans le temps mais j'y crois. Je vous le conseille</t>
  </si>
  <si>
    <t>Conforme au besoin Marche correctement. Dans le cas de ma machine Delonghi il faut remplir d'eau tout le reservoir avec une dose de produit et lancer le programme de detartrage. Puis le temoin d'alerte s'etteint.</t>
  </si>
  <si>
    <t>Très satisfaite Pour commencer, j'ai été étonnée par le packaging. Tres propre et soigné, ce qui est plaisant. Je les ai utilisé avec un diffuseur. Et quelques gouttes ont suffit. Ce qui est parfait, pas la peine de verser la bouteille pour ressentir l odeur, quelques gouttes et le tour est joué. Les huiles sont bien concentrés. L odeur se fais bien sentir, sans pour autant attaquer le nez, ce qui est parfait. J'ai eu un gros coup de coeur pour eucalyptus. Je vous recommande ce produit. Je pense en offrir, car les utilisations restent diverses, ce qui rend ce cadeaux intéressant (surtout à ce prix la)</t>
  </si>
  <si>
    <t>Conforme à la description Très beau bracelet, un œil du tigre et un autre Lapis Lazuli, livré dans son petit sac, avec un chiffon en micro fibre et un élastique de rechange. Attention toutefois à la circonférence de votre poignet, entre 17 et 20 cm sera l’idéal (voir sur internet comment mesurer votre poignet) À voir dans le temps pour la qualité des pierres</t>
  </si>
  <si>
    <t>Garantie Bonjour, J'ai acheté ce magnifique casque en septembre et m'en sert tous les jours. Cependant, suite à un choc léger, les boutons de volume et changement de musique ne fonctionnent plus. Serait-il possible de faire fonctionner la garantie de 24 mois ? Je vous remercie</t>
  </si>
  <si>
    <t>Très bien Le fermoir fonctionne tres bien, le rendu est très estétique et malgrès l'avoir porté au travail l'ensemble ne subi aucune rayures visible.</t>
  </si>
  <si>
    <t>Enveloppes de qualité assez bonne mais livrées sans emballage-juste un carton- donc abimées Enveloppes de qualité assez bonne mais livrées sans emballage-juste un carton- donc abimées. De plus ce n'est qu'un carton banal ce qui n'est pas pratique pour le rangement. Celle d'office dépôt présente un meilleur rapport qualité prix.</t>
  </si>
  <si>
    <t>Chauffe que le bas! La texture de la couverture est globalement agréable mais la chauffe très inhomogène. Les résistances restent toujours en bas, donc même en retournant plusieurs fois la couverture, le résultat est très décevant.  Retour vite demandé.</t>
  </si>
  <si>
    <t>Écouteurs de bonne qualité, micro à fuir Les écouteurs sont de bonnes qualités, confortable et de bonne facture. Le défaut de ce casque, c'est son micro, qui transmet beaucoup trop de bruits parasites, même dans un environnement calme, impossible de l'utiliser en marchant, les interlocuteurs entendent trop de grésillement</t>
  </si>
  <si>
    <t>Cher Vendu au supermarché 4x moins cher ... Fonctionne si petite invasion</t>
  </si>
  <si>
    <t>presse a briquette je vient de recevoir ma presse a briquette qui très bien déjà utiliser et fait de très belle briquette mais attention ce n'est que pour faire des briquettes de papier bien hacher pas de carton trop dur a presser sinon je recommande</t>
  </si>
  <si>
    <t>J'adore Très bonne taille s pour 16 ans parfait la couleur parfaite rien a dire vraiment juste les coutures des manches avais juste un default mais rien de grave</t>
  </si>
  <si>
    <t>Hs après 5 mois d utilisation !!!! Très bon produit mais en panne après seulement 5 mois, utilisé pour la course à pied, très sécurisant pour entendre les bruits environnants en plus de la musique Quelques soucis de synchronisation mais après 5 mois d utilisation, les commandes ne répondent plus, impossible d’éteindre le casque ou de gérer son allumage Dommage Mais excellent service après vente, reçu un nouveau casque par le vendeur merci</t>
  </si>
  <si>
    <t>Belles créoles Pour moi</t>
  </si>
  <si>
    <t>Tient bien en mains J'adore cette tétine grignoteuse, mon fils peut goûter les fruits et légumes pour commencer à dissocier les goûts. Elle tient bien dans les petites mains d'un bébé et se nettoie facilement</t>
  </si>
  <si>
    <t>bon produit J'ai acheté ces converses pour mon fils, c'est un très bon produit, mais attention, il taille plus grand que prévu, prévoir une taille en moins.</t>
  </si>
  <si>
    <t>Impec' ! Produit d'excellente qualité, robuste. Possède plusieurs poches, ce qui est pratique pour ranger par exemple les clés d'un côté, le portable de l'autre et au centre le portefeuille. Contenance comme il faut. Convient aussi bien à un homme qu'à une femme. En revanche attention à la couleur. Commandé en "Midnight bleu", le produit reçu est plus foncé que sur la photo, du coup on dirait plutôt un noir clair.</t>
  </si>
  <si>
    <t>Magnifiques Elles sont magnifiques 😍😍😍</t>
  </si>
  <si>
    <t>Super Très bonne qualité et très jolies boucles.</t>
  </si>
  <si>
    <t>biberons premier âge Mon amie qui vient juste d'accoucher, utilise ces biberons depuis plusieurs têtées, tout se passe bien, bébé s'endort très bien des qu'il a terminé. Les tétines semblent bien adaptés, Le coffret est assez complet avec deux biberons de 125 ml et deux de 260ml auxquels ont a ajouté une tétine sucette et une brosse de lavage le tout de couleur bleue. Cela peut faire un cadeau très abordable et très utile</t>
  </si>
  <si>
    <t>Baskets mode compensé J'adore elles sont super et tiens bien aux pieds ...chic la couleur ...grand merci</t>
  </si>
  <si>
    <t>Montre Parfait Merci</t>
  </si>
  <si>
    <t>Style Très belle bouilloire, couleur superbe. Chauffe vite. La poignée n’est chaude quand l’appareil est chaud. Produit assez cher.</t>
  </si>
  <si>
    <t>Ma lessive préférée. J’utilise depuis un moment cette marque pour différents produits ménagers et rien à dire de mauvais pour cette lessive.  Elle est écologique grâce à son emballage léger et recyclable, elle sent bon et lave très bien. Le placement prix est correct.</t>
  </si>
  <si>
    <t>CORRESPOND A MON ATTENTE Livraison prévue entre le 01/12 et le 04/12/2018, réception le 31/11/2018 (bravo) Emballage parfait. Je le recommande sans problème Le bracelet peut être ajusté à votre poignet (ayant des petits poignets et donc difficile d'avoir la bonne taille et bien là R.A.S</t>
  </si>
  <si>
    <t>Parfaites! Ces chaussures sont confortables et légères. Le design est sobre et reste moderne. Le produit correspond à mes attentes. Je recommande ce produit.</t>
  </si>
  <si>
    <t>Excellent produit J'ai commandé 2 casques ne sachant lequel choisir : celui-ci (90€) et le Sony MDR-ZX770BNB (114€). Après les avoir testés, j'ai choisi le Sennheiser : excellente qualité de son, confortable, pliable donc facilement transportable en transports en commun. Je regrette un peu la taille mais s'agissant de bluetooth, c'est normal qu'ils soient plus gros que des casques filaires. Le Sony a soi-disant le noise reduction mais honnêtement, il n'y a aucune différence avec celui-ci. Je ne regrette absolument pas mon achat !</t>
  </si>
  <si>
    <t>casque sans fil produit conforme son bonne qualite  branchement facile livre rapidement je recommande</t>
  </si>
  <si>
    <t>adorable super joli..</t>
  </si>
  <si>
    <t>les cartouches couleurs sont de faibles contenances il m'a fallu changer rapidement les cartouches d'encre couleurs car elles ont été vite vidées ???? je ne comprends pas je fais surtout des copies en noir en plus</t>
  </si>
  <si>
    <t>Telecommande HS apres seulement 1 pois d'utilisation Au bout de seulement un mois d'utilisation l'une des télécommandes ne fonctionne plus... Et bien-sûr trop tard pour demander un retour sur amazon ... Très déçus !!!</t>
  </si>
  <si>
    <t>GROS SOUCI Pour la premiere fois j 'ai reçu une cartouche qui fuit et qui massacre donc toutes mes impressions !! Des taches noires  tout le long de la marge...</t>
  </si>
  <si>
    <t>Belles mais pas comfortable du tout Très mauvaise semelles pas possible de travailler 8 heures avec</t>
  </si>
  <si>
    <t>Glisse beaucoup trop.. Donc impossible de travailler avec Ce sont de jolie chaussures mais dans mon cas je les ai porté une journée car elles glissent horriblement.... Travaillant dans la restauration... C'est impossible de marcher sans glisser (alors que mes Goodyear Marshall glissent quasiment pas) ... Et même en tant que chaussure pour la ville.... Elles glissent beaucoup trop en cas de sol humide</t>
  </si>
  <si>
    <t>Complet Kit comprenant 2 petits biberons pour la naissance puis ensuite recyclables pour l'eau, 2 grands biberons, 1 sucette + 1 goupillon pour le nettoyage. Ce dernier accessoire est une super idée. Biberons ultra légers (plastique). Il y a une valve anti colique livrée également. C'est difficile de juger le résultat de de cette dernière. Mais le kit est complet ce qui est super pour "démarrer".</t>
  </si>
  <si>
    <t>Robe Un peu légère sinon très bien</t>
  </si>
  <si>
    <t>Je ne sais pas Je ne saurai pas dire si elles changent quelque chose en tour cas mon fils de 2 ans s amusé bien avec lol</t>
  </si>
  <si>
    <t>Qualité prix intéressant ! Je les utilises pour les veilleuses de mon fils qui ne sont qu’à piles.  Quand il faut changer régulièrement les piles cela devient vite chère . Très intéressant pour le prix</t>
  </si>
  <si>
    <t>très bon produit pour les youtubeurs en herbes &lt;div id="video-block-R270MLLE57823B"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src="https://images-eu.ssl-images-amazon.com/images/I/D1p6LtvSxsS.mp4" style="position: absolute; left: 0px; top: 0px; overflow: hidden; height: 1px; width: 1px;"&gt;&lt;/video&gt;&lt;/div&gt;&lt;div id="airy-slate-preload" style="background-color: rgb(0, 0, 0); background-image: url(&amp;quot;https://images-eu.ssl-images-amazon.com/images/I/21sVfv5gUtS.png&amp;quot;);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center;"&gt;4:19&lt;/div&gt;&lt;div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15.1036%;"&gt;&lt;/div&gt;&lt;div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value="https://images-eu.ssl-images-amazon.com/images/I/D1p6LtvSxsS.mp4" class="video-url"&gt;&lt;input type="hidden" name="" value="https://images-eu.ssl-images-amazon.com/images/I/21sVfv5gUtS.png" class="video-slate-img-url"&gt;&amp;nbsp;très bon produit que je recommande fortement, il est de très bonne qualité (en métal) Les enregistrement sont excellent De plus les câbles et accessoires qui l'accompagne sont très pratiques</t>
  </si>
  <si>
    <t>C'est bien Un bon petit pull de Noël, je recommande. Le tissue est de qualité correct, il taille bien. La qualité d'impression est bonne bref pour le prix je recommande. C'est un pull assez léger, ne vous attendez pas à avoir très chaud avec.</t>
  </si>
  <si>
    <t>ARTICLE STRICTEMENT D'ORIGINE. Pas de surprise pour cet article connu. Envoi rapide.</t>
  </si>
  <si>
    <t>Au top on est bien dedans Super J"ADORE</t>
  </si>
  <si>
    <t>Peinture sympa Pas beaucoup utilisée pour le moment mais petits pots très pratiques, jolies couleurs et texture sympa. A priori facile à nettoyer.</t>
  </si>
  <si>
    <t>Produit conforme à ma commande, Parfaitement emballé. TRES BIEN. Le diffuseur est très agréable, un léger bruit cependant à l'utilisation peut " gêner" un minimum pour l'endormissement lorsqu'on l'utilise dans une chambre ( cela dit, c'est conseillé de l'arrêter au couché). J'ai noté 5 étoiles car ce produit correspond exactement à ce qu'on recherchait et à la description fait sur le site.  Le bémol a été à la livraison, mais je pense que c'est un "souci" avec les conducteur du transporteur. A la campagne, c'est parfois pas facile de trouver la bonne maison. Livraison cependant très rapide.  Suis content de mon achat et recommande Amazon autour de moi ( et ce depuis longtemps déjà)</t>
  </si>
  <si>
    <t>Bonne qualité Pour porter tous les jours</t>
  </si>
  <si>
    <t>Pratique Petite bouilloire pratique contenance suffisante pour une ou deux personnes. Je suis très satisfaite de mon achat.</t>
  </si>
  <si>
    <t>Rapport qualité prix satisfaisant Sport</t>
  </si>
  <si>
    <t>Je possède cette montre depuis 3 ans maintenant , Bon produit, dommage que le changement heure "Hiver/Eté" ne soit pas automatique et qu'une synchronisation n'existe pas avec un centre spécialisé pour la mise à l'heure</t>
  </si>
  <si>
    <t>très bon produit je suis ravie, j'ai eu raison de revenir à Black et Decker après des années d'aspirateurs à main qui n'aspiraient strictement rien, y compris de grandes marques. Un plus: il n 'y a pas de chargeur et d'obligation de percer le mur pour poser un support encombrant, on pose l'appareil par terre ou sur un tabouret et on le branche comme un téléphone pour le recharger juste avec son fil. ça m'arrange énormément là encore. on peut donc le poser où on veut le reste du temps. ça a été un de mes critères de choix.</t>
  </si>
  <si>
    <t>Bon rapport qualité prix. Tout à fait conforme à ce que je souhaitais. Fonctionne bien .</t>
  </si>
  <si>
    <t>Enfin Enfin ....enfin Une paire d'écouteurs qui tiennent sans avoir des espèces de petits anneaux de caoutchouc en arceaux qui se font la malle ou qui font mal Des écouteurs qui s'apairent sur téléphone et tablette Des écouteurs faciles à mettre, à porter, confortables, restitution du son impeccable Embouts en mousse plus confortables Bref...Le bonheur</t>
  </si>
  <si>
    <t>Bonne chaussure. Taille un peu grand mais franchement on est dans des chaussons. Elle sont également un peu chaude pour l'été mais c'est suportable. En aucun cas je retournerais aux chaussure de sécu bas de gamme donnée par les boites d'interim.</t>
  </si>
  <si>
    <t>Pieces conforme Identique à l’origine.</t>
  </si>
  <si>
    <t>Génial Rien à redire</t>
  </si>
  <si>
    <t>Taille petit Taille petit prendre 1 taille au dessus</t>
  </si>
  <si>
    <t>Plus pour damme que que pour homme Très déçu montre pour damme plus que pour homme trop finne</t>
  </si>
  <si>
    <t>RUBAN Adhésif  NUL RUBAN  fin et  fragile.- se déchire continuellement - A chaque rupture  , c' est tellement compliqué voire impossible de retrouver le bout du ruban  , que le rouleau entier va à la poubelle.</t>
  </si>
  <si>
    <t>Boucles d'oreilles Ces boucles d'oreilles femme en argent sont très jolies à porter. Un peu trop grosses à mon gout mais bon</t>
  </si>
  <si>
    <t>Robe kaki ou bleue qualité moindre,  la noire est top Je ne suis pas contente de la qualité du tissu de la bleu et de la kaki, par rapport à la noire! La robe en noire est tout est fidèle à la description, mais à la réception des 2 autres couleurs, le tissu était pas le même du tout, une sorte de polar de mauvaise qualité tout passé comme si quelqu'un l avait déjà porter.</t>
  </si>
  <si>
    <t>Des crayons écologiques J'ai acheté ces crayons avant tout pour que ma fille puisse écrire sur les carreaux. Je pensais les utiliser pour le collège apres. Ils sont très bien dans l'ensemble, je trouve qu'ils se lavent difficilement quand on écrit beaucoup.  Si mon message vous est utile, notifiez-le, merci 😉 !</t>
  </si>
  <si>
    <t>RAS Je n'est pus froid au pieds.</t>
  </si>
  <si>
    <t>Produit conforme Le réveil correspond bien à la description qui en a été faite. La prise en main est plutôt simple et facile à se rappeler, les différentes couleurs de lumières sont sympa. Le réveil en lumière est très agréable mais, en ce qui me concerne, elle me réveille au bout de 10 min de lumière alors que ça commence 30 minutes avant l'heure de réveil programmée. Il faut juste bien calculer son coup quand on programme pour pas que ce soit trop tôt. Le seul petit hic c'est que le son des musiques et de la radio est fort, même au niveau le plus bas. Du coup, je n'utilise pas le son pour me réveiller le matin.</t>
  </si>
  <si>
    <t>bon rapport qualité/prix ces chaussettes sont de bonne qualité peut être taillée un peu grand??(mais je chausse du 37 avec un pied assez finet le small me convient elles ne serrent pas le peid comme certains autres modèles que j'ai essayé et cela me convient meiux) mais confortable et elles ne glissent pas séance de pilates confortable  envoi rapide RAS</t>
  </si>
  <si>
    <t>Recommander Détache bien très pratique avec enfants en bas âge</t>
  </si>
  <si>
    <t>bon câble Je suis pas un pro du câblage mais ça fait le taf</t>
  </si>
  <si>
    <t>Très joli sac à la bonne taille pour la tablette. Exactement le sac que je voulais, pour offrir. Du coup j’en ai pris un pour moi.</t>
  </si>
  <si>
    <t>RAS Ces gobelets sont très colorés et festifs, parfait! Ils s'adaptent à toutes les décos d'anniversaire, pas de souci, merci bien!</t>
  </si>
  <si>
    <t>Ecouteur samsung top Utilisation courante fonctionne très bien.</t>
  </si>
  <si>
    <t>Très bien Parfaite pour le collège, pour le prix pas d'hésitation à avoir, comme pour la plupart des calculatrices beaucoup de fonctions ne serait nécessaires, mais adaptée tout de même</t>
  </si>
  <si>
    <t>Rapide Livraison très rapide et article conforme je recommande</t>
  </si>
  <si>
    <t>Top &lt;div id="video-block-R335PUN1LQZL4F"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src="https://images-eu.ssl-images-amazon.com/images/I/71cCYpQfqVS.mp4" style="position: absolute; left: 0px; top: 0px; overflow: hidden; height: 1px; width: 1px;"&gt;&lt;/video&gt;&lt;/div&gt;&lt;div id="airy-slate-preload" style="background-color: rgb(0, 0, 0); background-image: url(&amp;quot;https://images-eu.ssl-images-amazon.com/images/I/91Bc5eLsJwS.png&amp;quot;);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center;"&gt;0:04&lt;/div&gt;&lt;div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100%;"&gt;&lt;/div&gt;&lt;div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value="https://images-eu.ssl-images-amazon.com/images/I/71cCYpQfqVS.mp4" class="video-url"&gt;&lt;input type="hidden" name="" value="https://images-eu.ssl-images-amazon.com/images/I/91Bc5eLsJwS.png" class="video-slate-img-url"&gt;&amp;nbsp;Bon produit. Je l'utilise pour mes vidéos. S'installe vraiment facilement Je parle uniquement donc je ne pourrais pas juger pour le chant Bon produit :)</t>
  </si>
  <si>
    <t>Efficace Très très bien. A début cela fait bizarre de recevoir des petites décharges électriques. Mais depuis l'utilisation de l'appareil, cela soulage bien les jambes en fin de journée après être assis, toute la journée.</t>
  </si>
  <si>
    <t>CONFORME ARTICLE CONFORME A LA DESCRIPTION</t>
  </si>
  <si>
    <t>petite mise au point contrairement aux commentaires que j'ai pu lire, moi qui utilise ce produit depuis 30 ans, je ne vois aucune différence entre celui vendu par amazon et celui du commerce. les pastilles se dissolvent parfaitement et font leur office correctement. le prix est imbattable, je n'hésiterai pas une seule seconde à repasser ma commande chez amazon</t>
  </si>
  <si>
    <t>Parfait pour un réveil en douceur Acheté en 3 exemplaires pour chacun de mes enfants (9, 10 et 11 ans). Réveil parfait (et le mot est bien employé). Parfait pour nous dans l'usage, l'utilisation, le style, le choix des sons et des options. Les enfants ont rapidement su s'en servir seuls. Ils apprécient de se réveiller en douceur avec le son désiré (réglage du volume souhaité) et la luminosité choisie (réglage de l’intensité souhaitée). Le soir, ils profitent d'un temps calme avec le mode nuit (musique douce au choix et luminosité qui diminue progressivement).</t>
  </si>
  <si>
    <t>Génial Les biberons MAM sont vraiment de très bonne qualité et ce coffret n’est pas cher , ils conviennent parfaitement à mon bébé et en plus j’ai reçu mon colis en avance , je le recommande ;)</t>
  </si>
  <si>
    <t>Baskets impec... Impeccable..</t>
  </si>
  <si>
    <t>Bonne qualité Délais de livraison correct, produit conforme à la description ,taille normale.</t>
  </si>
  <si>
    <t>pas très odorantes... Ces huiles ne développent pas beaucoup d'arôme dans un diffuseur par évaporation Très déçu de cet achat.</t>
  </si>
  <si>
    <t>ne convient pas Contrairement à ce qui est écrit dans le descriptif, ne convient pas à la HP2620. Je ne suis pas contente, car la cartouche a été déballée et son film de protection ôté, comment se faire rembourser cet achat réalisé suite à une mauvaise indication? Faites bien attention au modèle!</t>
  </si>
  <si>
    <t>Très déçu. Ne correspondent pas à ceux acheter en magasin. L'elastique poubelle esr bien moins résistant et finit toujours au fond de ma poubelle. On note aussi une difference sur la couleur.</t>
  </si>
  <si>
    <t>odeur agréable Le parfum est assez original, ça élimine les odeurs de cuisine. Néanmoins, je ne le trouve pas si solide que cela. En effet, en tirant sur les liens pour sortir le sac plein de la poubelle, le sac s'est troué !</t>
  </si>
  <si>
    <t>Convaincue! Depuis quelques semaines, j'ai des rougeurs sur les joues et la peau qui pèle et rien n'est suffisant. J'ai beau hydraté plusieurs fois par jour, ça continue à peler. J'ai tenté ce masque et je pense que je vais continuer un petit bout de temps. A l'ouverture, j'ai trouvé que ça sentait fort et chimique. Une fois posé sur le visage, ça pique un peu et j'ai failli arrêter tout. Mais ça passe très rapidement et les résultats ont clairement été là. Je l'ai appliqué le soir et le lendemain ma peau était bien hydraté et n'a recommencé à peler que le jour d'après. Ce qui est un miracle puisque sans ce masque, ça recommence plusieurs fois par jour.</t>
  </si>
  <si>
    <t>Boucles d oreilles bleu Les boucles d’oreilles sont superbe belle couleur</t>
  </si>
  <si>
    <t>bon produit conforme a la description</t>
  </si>
  <si>
    <t>conforme bien attention semelle glissante sur certains sols</t>
  </si>
  <si>
    <t>Livré dans les délais et correspondant à la commande Convient parfaitement</t>
  </si>
  <si>
    <t>Bon rapport qualité prix Pour un déguisement des années 20. Très bel effet</t>
  </si>
  <si>
    <t>SAV au Top Après 3 paires d'écouteurs de qualité moyenne, j'ai commandé ceux ci qui sont nickels,. Tout d'abord le packaging est soigné, les différents embouts permettent de s'adapter à toutes les oreilles, le son est très bon pour un modèle au prix raisonnable, mais surtout le Sav, contacté suite à un mauvais contact en sortie de jack, est très réactif et a résolu mon problème en moins de temps qu'il ne faut pour l'écrire!!! Bravo a cette jeune entreprise innovante et qui fait évoluer ses produits dans le bon sens !!!</t>
  </si>
  <si>
    <t>Conforme à la description Taille S pour homme conforme, très contente de l achat</t>
  </si>
  <si>
    <t>Très bon produit redécouvert après un plantage PC fatal ! Je vais peut-être en faire sourire certains, mais depuis plusieurs années et notamment durant ma vie professionnelle, j'avais supprimé de mes fournitures de bureau l'achat de ce type d'agenda, car tout était géré sur mon PC avec Outlook. Arrivé à la retraite, j'avais continué sur ma lancée progressiste, sans penser que le dispositif de sécurisation, de mes données informatiques personnelles, était nettement moins performant à la maison qu'au bureau. Et c'est un vilain "crash disque" qui aura eu raison de ma façon "moderne" de gérer mon agenda en constatant, qu'après le plantage irrémédiable de la machine, j'avais perdu tous mes rendez-vous de l'année et mes penses-bêtes. C'est ainsi, que j'ai décidé à me remettre au bon "vieil agenda papier" en commandant ce "QUO VADIS" (que j'appréciais déjà beaucoup avant l'ère numérique). Très pressé d'obtenir un agenda papier, j'ai réalisé un tour des librairies "de mon coin", tour qui s'est avéré infructueux, soit parce que le produit n'était plus disponible, soit qu'il était vendu à un prix très prohibitif (sans réduction, malgré que le premier trimestre 2016 était passé). Et c'est ainsi que j'ai consulté Amazon et trouvé pour un prix inférieur de moitié à ce que j'avais trouvé en librairie (une réduction était appliquée), ce modèle d'agenda. Aucun problème avec la commande, des frais de port gratuits et un délai de livraison très correct. Le produit est arrivé en parfait état dans son enveloppe de protection à bulles. ATTENTION, ce modèle n'est pas au format A4. C'est un 24 cm de large par 30, soit plus 3 cm en largeur, ce qui peut présenter un problème de rangement pour les personnes possédant des sacoches de rangement formatées pour les produits en 21 x 29,7. Pour ma part, j'apprécie le format 24 cm de large car, il me semble que la semaine est plus lisible et il y a deux colonnes de notes disponibles pour chaque semaine (1 sur chaque page). Dès réception, après avoir recopié tous mes rendez-vous et mes penses bêtes (ceux dont je me souvenais), tout est rentré dans l'ordre. L'agenda est opérationnel et moi avec. Il me suit partout dans mon sac à dos. Je suis satisfait.</t>
  </si>
  <si>
    <t>Produit conforme à l’an description Produit conforme à la description, délai de livraison respecte</t>
  </si>
  <si>
    <t>Rapidité Produit conforme, réception dans les temps RAS</t>
  </si>
  <si>
    <t>Belle finition pour le prix !!!! Utilisation quotidienne, belle finition,fiable Très content de mon achat</t>
  </si>
  <si>
    <t>qualité prix tres bon Un casque plutot bon dans son ensemble.  Simple et efficace, s'est connecté tres rapidement a un pc portable en BT 4./0 sans aucun probleme. Le design est conforme a la photo et rends bien un coté moderne.  En mode plié, il ne prends pas beaucoup de place et sa pochette fournie permet de le ranger. La qualité sonore est tres bonne et l'isolement aux sons exterieurs tres correcte.  un plutot bon produit pour ceux qui voudraient ecouter musiques ou videos sur PC sans etre liés par un cable.</t>
  </si>
  <si>
    <t>Super Conforme et joli. Ma fille était ravie</t>
  </si>
  <si>
    <t>graisse de phoque bonjour, je connaissais déjà ce produit que je trouve parfait pour l'entretien du cuir et qui semble t il est toujours le même....</t>
  </si>
  <si>
    <t>Bébé vous remercie Je ne peux pas vous dire si ces biberons sont agréables à utiliser, mais bébé à l'air content. Donc, je valide.</t>
  </si>
  <si>
    <t>Le prix très intéressant et le format qui ne décourage pas l'enfant pour finir de lire l'histoire Top pour la lecture des petits débutants. Amusantes et simples images qui motivent l'enfant à lire pour comprendre l'histoire. Mes petits s'amusent à vouloir lire et relire ces petites histoires. J'en ai acheté plusieurs ainsi ils peuvent faire le tour et y revenir ils ne s'en lassent pas. J'espère qu'il y aura encore de nouvelles histoires de cet éditeur avec comme thème la découverte des pays, ou par exemple certains métiers, ou aussi la faune et la flore etc...</t>
  </si>
  <si>
    <t>Parfait Super biberon</t>
  </si>
  <si>
    <t>Superbe qualité - rien à redire sur ce modèle Modèle classique mais toujours indémodable à mon goût ! Très confortable, le produit respire la qualité de fabrication. (j'en ai d'ailleurs acheté une seconde paire)</t>
  </si>
  <si>
    <t>Impossible d'utiliser le bluetooth Heureusement que je disposait, comme demandé,  d'une lipo 18650 pour alimenter le récepteur… sauf que j'ai du bidouiller car le compartiment a pile du récepteur qui est mal conçus. Ensuite c'est le récepteur qui fait la conversion FM-&amp;gt;bluetooth, mais impossible d'utiliser le bluetooth: Le récepteur se présente comme un kit oreillette bluetooth mais il ne présente qu'un haut-parleur et pas de microphone.</t>
  </si>
  <si>
    <t>Nul Nul,nul,nul!!!!!Trop long à chauffer un biberon!!!!Compter 13 min pour un biberon de 120ml,chrono en main... Nous avons dû réinvestir dans un autre chauffe biberon.</t>
  </si>
  <si>
    <t>bien bien, utile, mais peut mieux faire dans la fabrication, ne peux pas tenir de micro a l'horizontale, sinon serrer très-très fort la dernière vis en haut a du mal a faire un tour complet sur son pied si celui-ci n'est pas dévissé a fond presque. et peut être un peu court. sinon ça fait le taff.</t>
  </si>
  <si>
    <t>😕 😶</t>
  </si>
  <si>
    <t>Tapis fin et petit mais pas cher. Tapis tres fin et tres petit. Fait cependant le travail comme tapis d'appoint si on le met en vertical.</t>
  </si>
  <si>
    <t>Bon produit Je connais cette marque très bon modèle pour l'avoir deja acheté par le passé</t>
  </si>
  <si>
    <t>Aimé par mon petit-fils ! Mon petit-fils, après l'allaitement maternel a eu beaucoup de mal avec les biberons et ceux là lui vont très bien ! Je pense que la tétine lui a changé la vie ! Ma fille est très contente.</t>
  </si>
  <si>
    <t>Bon produit Bon produit, jolie couleur, taille sympa comme convenue. Juste un peu branlante au niveau du socle mais bon un détail.</t>
  </si>
  <si>
    <t>un goupillon comme il faut Pas cher et pratique pour nettoyer biberons, tire lait, tétines, pots de conservation.... Le design est sympa comparé à d'autres goupillons. Le prix a été mon critère de choix mais je ne regrette absolument pas</t>
  </si>
  <si>
    <t>Du plaisir à l'état pur Facile d'utilisation, fait un bien fou. J'en ai de frisons de plaisir et bien être tellement cet appareil détend les cervicales et les épaules.</t>
  </si>
  <si>
    <t>Parfait Conforme</t>
  </si>
  <si>
    <t>Essayer c'est l'adopter... J'ai découvert ces stylos effaçables par "frixion" depuis quelques années... et depuis... je ne peux plus m'en passer. Pratique, facile d'usage...  Le seul bémol est le prix peut-être. Si vous écrivez beaucoup, prévoyez d'acheter de nombreuses recharges...  Il faut parfois forcer "un petit peu plus fort" lors des frictions (effaçage)... mais cela dépend des supports que vous utilisez. En général il y a rarement des problèmes...  Autre petit soucis (mais léger) ce stylo supporte mal "l'écriture allongée". Il faudra alors vous remettre en position assis, du moins incliner le stylo, afin que l'encre s'écoule à nouveau convenablement (vous êtes prévenus). Vivement qu'ils nous fassent le combo: "space pen" + "stylo frixion"... là ça sera parfait ;-)</t>
  </si>
  <si>
    <t>Très confortable Je suis bien content de ces chausettes après presque 4 mois d'utilisation. C'est bien en coton et c'est confortable. Elles sont bien respirantes. Bonne qualité !</t>
  </si>
  <si>
    <t>Bonne qualité Très bonne qualité de tissu agreable à porter tout les jours.</t>
  </si>
  <si>
    <t>Du résultat! Du résultat rapide, génial et une fermeté qui revient rapidement. Taille unique mais ma femme rentrait dedans sans trop de soucis. Les électrodes adhèrent bien et le produit fonctionnent parfaitement bien.</t>
  </si>
  <si>
    <t>Trop belle Trop belle !</t>
  </si>
  <si>
    <t>Top Super</t>
  </si>
  <si>
    <t>bon rapport qualité prix qualite et souplesse bonne finition</t>
  </si>
  <si>
    <t>Sensation de massage garantie car les boules ont la forme de pousse c'est génial Je suis en invalidité a cause de mon dos et quand la douleur et trop forte je fait une petite séance de massage avec se coussin qui est génial je ne peut plus m'en passer merci Amazon</t>
  </si>
  <si>
    <t>2 étapes efficaces Deux étapes qui m’ont permis de rendre vie à un blouson inutilisé depuis 20 ans.  Less instructions sont simples et les produits efficaces tant le shampooing que la cire.</t>
  </si>
  <si>
    <t>Super Ce micro doit etres régler pour ne pas entendre l’es son ambiant si besoin est mais reste très sensible. Très bien pour du Voip mais reste un micro pour enregistrer des instruments et la voix.</t>
  </si>
  <si>
    <t>Super Excellent sweat! Conforme à la description! Très content de mon achat il taille super bien et est de très bonne qualité !</t>
  </si>
  <si>
    <t>taille disproportionnée Pas très convaincue par ces boucles d'oreille. Elles sont beaucoup trop grosses. Cela fait vraiment toc. Je les ai reléguées au fond de ma boite à bijoux et pense ne jamais les mettre. Elles conviendraient mieux à un homme.</t>
  </si>
  <si>
    <t>biberon mam 160 ml Je suis tres déçu l.article est arrivé défectueux il me manque les petites rondelles blanches pour les tétine comment faire pour les avoir</t>
  </si>
  <si>
    <t>Petit prix , petite image Pour le prix on ne peut s'attendre à autre chose qu'une image miniature, petite projection à très courte distance, c'est mon avis par rapport à mes besoin, convient peu être pour une petite pièce ( sombre )</t>
  </si>
  <si>
    <t>assez bien contente de la qualité mais decue de la couleur qui tire plus vers le kakie autrement bon produit et bonne qualité</t>
  </si>
  <si>
    <t>Taille grand le produit reçu est fidèle à la photo c'est juste dommage que cela taille assez grand le mieux c'est de commander une taille en dessous de sa taille normale</t>
  </si>
  <si>
    <t>Joli sweet léger Tenue d'intérieur ou décontractée</t>
  </si>
  <si>
    <t>Le top Rien à dire. Vraiment très bien. Confortable. Le son extérieur est très bien filtré. Le son du casque est également top. Les aiguës et les graves sont bien répartis. Je recommande fortement, surtout avec ce prix.</t>
  </si>
  <si>
    <t>Très bien Je n'ai pas pu les utiliser en condition de pluie. elles sont très chaudes et ne sont pas trop lourdes. la taille correspond à ma pointure. J'aurais juste aimer qu'elles remontent un peu plus haut sous le genou.</t>
  </si>
  <si>
    <t>Bien Qualité prix bien</t>
  </si>
  <si>
    <t>Au top Offerts à une amie qui avait vu les miens et qui avait trouvé ca super. Suite à mon achat elle est venue en acheter deux paires pour ses deux soeurs ravies du produit.</t>
  </si>
  <si>
    <t>Je recommande Je recommande envois reçut le lendemain grâce a prime</t>
  </si>
  <si>
    <t>Soutien-Gorge de sport A acheter absolument .Le produit ne bouge pas au lavage et celui ci est super confortable.Et la couleur est superbe</t>
  </si>
  <si>
    <t>Ce n'est pas ma premiere, et j'en suis trés satisfaite.Un trés bon rapport qualité prix,je l'utilise pour faire du sport,course à pied et vtt.Les chiffres sont assez gros,pas besoin de lunettes pour les lire,un gros plus pour les presbytes!!!Et quand on  egare les montres comme moi,on est ravi de son petit prix!!</t>
  </si>
  <si>
    <t>excellent produit merci excellent produit merci</t>
  </si>
  <si>
    <t>Très agréable à porter J’ai flashé sur ce pull un peu large qui est très bien pour cacher mon ventre et à sa couleur rose! Le tissu est vraiment léger, très agréable à porter Vraiment contente de ce pull!!!</t>
  </si>
  <si>
    <t>Excellent rapport qualité-prix ! &lt;div id="video-block-R1JPYYS025VG9" class="a-section a-spacing-small a-spacing-top-mini video-block"&gt;&lt;/div&gt;&lt;input type="hidden" name="" value="https://images-eu.ssl-images-amazon.com/images/I/A1PBMiRElCS.mp4" class="video-url"&gt;&lt;input type="hidden" name="" value="https://images-eu.ssl-images-amazon.com/images/I/81SRDGEhACS.png" class="video-slate-img-url"&gt;&amp;nbsp;Casio série G-Shoc...tout a déjà été dit ou presque. Ultra satisfait me concernant car après en avoir prise une pour l'un de mes fils, j'ai craqué pour moi (la première en promo aux alentours de 83 était déjà une bonne affaire mais la seconde à 68, c'est carrément un bon coup). Les puristes regretterons: l'ardillon en plastique mais pourquoi pas car au bout de 20 ans, le bracelet aura lui aussi lâché comme tout ceux en résine...quand à l'éclairage, nickel pour les aiguilles mais effectivement insuffisant pour l'affichage digital mais plus performant que certaines autres que j'ai en rayon...rien ne vaut les générations ''illuminator'' mais éclairage hélas energivore si trop utilisé et pour finir un angle de verre supérieur non recouvert par la coque à 3/6/9/12  mais ça participe au charme. Bref très satisfait du produit comme du vendeur...</t>
  </si>
  <si>
    <t>Conforme à mes attentes Il faut savoir que les baskets Converse taillent assez grand. Il convient de prendre une taille en-dessous. Look indémodable pour ces baskets. Livraison rapide, emballage nickel.</t>
  </si>
  <si>
    <t>sérieux très bon produit parfum longue durée</t>
  </si>
  <si>
    <t>Top Parfait.. prix intéressant</t>
  </si>
  <si>
    <t>Très beau bijou Le bijou est tout à fait conforme au descriptif ci-dessous. Livraison soignée et rapide. Je suis très contente de mon achat, le Phénix est vraiment très beau.</t>
  </si>
  <si>
    <t>Super Super zolie. Confortable je ne regrette pas. Et ressemble à la photo.</t>
  </si>
  <si>
    <t>ça colle très bien ! Rien à dire, ça fait ce qu'il faut, donc voilà, content de mon achat.  Je recommande cela, petit prix (moins de 5 € en Premium). Donc oui pourquoi pas. Après c'est délicat à décoller et le ruban est enroulée, attention de ne pas le dérouler complètement, donc à prendre avec minutie.</t>
  </si>
  <si>
    <t>Super écouteurs sans fils ! Ces écouteurs sont géniaux. J'ai toujours eu besoin d'écouter de la musique, j'utilisais donc les écouteurs filaire classique, depuis un moment de nombreuses personnes utilisent des écouteurs sans fils, sauf qu'au vu des prix de ces derniers ça ne valait pas le coup d'en acheter. J'ai découvert ces écouteurs et je suis pleinement satisfait, ils sont géniaux, le son est très bon, ils tiennent en place et ne bouge pas, la recharge est facile, la batterie tient la journée sans soucis, super simple d'utilisation. Je recommande ces écouteurs très fortement !</t>
  </si>
  <si>
    <t>Reponse qualité Très bon rapport qualité/prix Délai respecté</t>
  </si>
  <si>
    <t>froid pour le froid tres bien bon produit</t>
  </si>
  <si>
    <t>incompatible avec dragon malheureusement impossible à utiliser avec windows Dragon</t>
  </si>
  <si>
    <t>Feutres fragiles et courte utilisation ! Je suis satisfaite de l'achat du tableau menu pour l'utilisation de ces feutres. Mais, je suis très déçue de la courte durée d'utilisation. Les pointes sont fragiles et elles s'usent vite.  Je pensais que c'était rentable de prendre le kit avec plusieurs couleurs. Hélas, ce ne sont pas des feutres résistants et elles sont utilisables à très court terme!</t>
  </si>
  <si>
    <t>Attention arnaque ! J'ai commandé ce câble en section 4mm² en  50 mètres.  Livraison en 48 heures : merci  Amazon. Sauf que s'il est bien inscrit sur la gaine 4mm² il s'agit en réalité d'un câble de 2,5mm². J'ai mesuré et comparé avec d'autres câbles en ma possession. Ils incluent dans le diamètre du câble ... la gaine.</t>
  </si>
  <si>
    <t>Pas mzl pas assez détaillée Bien un peu simple. Pour petits</t>
  </si>
  <si>
    <t>ecriture bonjour je mets le commentaire suivant commande recu rapidement, par compte qu'on je fais pour plasitifé mes feuilles, le marquer sur la feuille plastifié ne disparait pas pourquoi ? je suis decu</t>
  </si>
  <si>
    <t>très bien bonne petite lessive. économique , on met une petite dose de paillettes à même le linge et hop! le tour est joué. pas d'odeur, pas résidu, elle fait bien ressortie votre soupline. le linge est super doux. elle lave super bien même trop bien et c'est là l'un des 2 bémols de cette lessive. elle décape le linge, les couleurs perdent vite de leurs éclats. et surtout elle encrasse énormément le tambour, d’ailleurs il est recommander sur le paquet de l'alterner avec une autre lessive, maintenant je comprends pourquoi! un petit vote serait sympa , merci d'avance.</t>
  </si>
  <si>
    <t>tres bon tres content du produit a voir si elle tiens dans le temps</t>
  </si>
  <si>
    <t>très bien ce sont mes premières crocs, et c'est assez confortable. Seul souci, elles me font beaucoup transpirer, d'où une étoile en moins. Autre problème, les tailles entre deux, je fais du 37, j'ai dû prendre du 37/38, j'aurais préféré avoir un vrai 37, mais bon, on ne peut pas tout avoir. Autre point positif, les petit picots sur la semelle intérieure ont une fonction "gommage" qui est sympa</t>
  </si>
  <si>
    <t>pratique cette montre répond parfaitement à ce que j'attendais avec un bracelet qui doit durer ... affichage modulable pour les jours de la semaine .. en français , c'est parfait</t>
  </si>
  <si>
    <t>Massage visage Excellent qualité. Je ne sais pas comment identifier la pierre jade, pourtant ce masseur fait bien le job. Les 2 pierres de jade sont également très bon.</t>
  </si>
  <si>
    <t>Très bien Excellent produits</t>
  </si>
  <si>
    <t>Vraiment L'ARTICLE à avoir ! Excellent préparateur de biberon. Je recommande vraiment cet achat ! le biberon est prêt en deux minutes (et encore?) on pose le biberon sur le support du préparateur de bib, on appuit sur le bouton marche. De l'eau s’écoule très chaude, puis cela s'arrête. La notice dit de récupérer le biberon, mettre la poudre de lait, puis rappuyer sur le bouton marche pour compléter la dose. Je r appuie directement, et met la poudre en dernier. Et c'est tout aussi parfait ! et encore plus rapide d'ailleurs. Très franchement pour mon premier enfant j'ai testé d'autres produits, celui ci est vraiment LE PRÉPARATEUR a avoir ! C'est vraiment appréciable la nuit, quand le bébé se réveil on a juste a appuyer puis hop verser la poudre de lait (déjà préparer dans un doseur) et c'est pret ! quand on  est fatiguée la nuit rien de plus précieux que les minutes  de gagner pour retourner vite se coucher lol!!!!</t>
  </si>
  <si>
    <t>Basket Belle qualité sauf trop petite pour moi</t>
  </si>
  <si>
    <t>tient bien en place ce legging de sport me convient bien, matière agréable, bonne coupe, il monte bien à la taille et ne glisse pas. Les 2 poches latérales sont très pratiques. il ne brille pas de trop ce qui permet de le mettre pour la ville aussi. PS je fais du 44 j'ai pris du XL et je suis grande 1.74, longueur parfaite</t>
  </si>
  <si>
    <t>👏👏👏👏 😍</t>
  </si>
  <si>
    <t>Top Attention à bien choisir sa langue dans le descriptif</t>
  </si>
  <si>
    <t>Produit au top au meilleur prix - Merci Amazon • Livraison rapide et emballage nickel • Moins cher qu'ailleurs pour une qualité au top • Entièrement conforme à la description • Je l'utilise avec mon DELL G3 15pouces et il dépasse d'à peine 2cm donc compatible 17pouces sans problème • Plusieurs inclinaisons possibles • Range câble à l'arrière, détail agréable • Léger, pratique, compact • Vraiment pas besoin d'avoir un support avec ventilateurs si vous ne faites pas du gaming intense Je recommande sans hésiter</t>
  </si>
  <si>
    <t>AU TOP Livraison rapide. Chaussures d'excellente qualité. Très légère style basket qui nous permet de les porter même pour aller en course. Elles sont confortables et on ne dirait pas du tout que ce sont des chaussures de sécurité. La pointure 42 commander taille très bien pas besoins de prendre la taille au dessus.</t>
  </si>
  <si>
    <t>Bouilloire esthétique et efficace cette bouilloire est très bien, je suis très satisfaite</t>
  </si>
  <si>
    <t>Pas de remarque Très bien</t>
  </si>
  <si>
    <t>Une bombe de pureté Cela fait maintenant un peu plus de 4 mois que j'ai acheté ce casque (24 février 2016) je pense donc pouvoir en faire une petite critique (je ne suis pas un professionnel du son et c'est mon premier achat "haut de gamme" concernant l'audio). J'écris cette critique comme si le casque m'avait coûté 450€ (prix original) donc juste un petit mot pour le rapport qualité-prix avant de commencer réellement la critique : Le casque en lui-même pour le prix auquel je l'ai eu (170 €) est une vraie bombe et si je devais faire une critique avec ce prix-là en tête il serait juste parfait.  Bon passons maintenant à la vraie critique :  Je tiens à signaler que j'ai acheté le DAC Fiio Olympus E10k avec. J'ai donc rarement branché le casque sur mon ordi ou mon smartphone mais j'en parlerais après. À la réception du casque on m'avait prévenu qu'il fallait une bonne grosse période de rodage pour vraiment ce rendre compte de sa valeur, et c'est vrai, je l'ai testé rapidement (10 minutes, branché sur mon ordi) sur quelques musiques et le son n'avait rien de spécial, limite le même son qu'un casque acheté au supermarché pour 50€ (hormis la spécialisation qui d'entrée est impressionnante). Donc je me suis dit que le lendemain avant de partir en cours j’allais mètre une petite playlist à volume moyen et faire la même chose pendant 2 jours (ce que j'ai fait) durant cette période je n'ai pas testé le casque. À la suite de ces deux jours (~30hs de rodage) le son n'avait juste plus rien à voir, déjà il y avait des basses -qui n'étaient pas du tout présentes avant- mais ce n'est pas tout, les médiums (donc les voix) était juste magnifique sans empiéter aucune partie du spectre audio, tout était harmonique et ce fut pour moi ma vrai première expérience hi-fi. Le seul reproche que j’aurais plus lui faire c'était le fait que les basses manquaient un peu de présences. Par la suite j'ai reçu mon Dac et là je ne l'ai même pas testé une seconde mais direct mis en rodage 3 demi-journées (~45hs) puis j'ai enfin branché le casque dessus et mis un morceau de musique en 24 bits 92 khz qu'on m'avait filés pour le test. Et je me suis dit qu'effectivement le Dac est obligatoire pour pouvoir profiter de ce magnifique casque, le son était bien mieux, bien plus propre que sur mon ordi et le petit bouton pour booster un peu les basses est juste parfait en association avec ce casque qui justement en manque un peu.  Bon voilà l'histoire maintenant passons aux qualités de ce casque :  - Le casque pète la classe ! Non bon c'est un avis personnel mais en bleu nuit comme ça je le trouve juste magnifique et il en impose ! - Les aiguës sont nettement le point fort du casque, retranscrit à la perfection sans aucune sibilance ni aucune saturation. - Même si les aiguës sont le point fort de ce casque ils n'écrasent pas le reste du spectre audio, ainsi les voix sont d'une volupté incroyable, les basses sont puissantes et surtout très profondes. - Le casque est très agréable à porter et peu facilement ce porté pendant plusieurs heures d'écoute.  Maintenant voyons voir les défauts :  - Tout d'abord le principal et le seul qui soit vraiment important : Le fait que l'ont soit obligé d'acheter un dac/ampli (ou juste ampli) à côté pour avoir de vraie basses forte et pénétrante ! Il y a des basses sans dac/ampli mais elles sont un peu en retrait et manquent vraiment de présence, dans un morceau comme "The Show Must Go On" de Famous Last Words ça se ressent vraiment. (je rappelle que je ne prends pas en compte que j'ai eu ce casque pour 170€ sinon il n'y aurait aucun défaut) - Petit point personnel mais j'ai de grandes oreilles et justement elles touchent un peu le fond du casque, ce n'est pas vraiment inconfortable et pour dire je n'y avaient même pas fait attention au début mais bon c'est un petit point qui me semble important de préciser. - Enfin dernier tout petit défaut ridicule : le câble n'est pas super résistant de la mort qui tue, j'y ai malencontreusement roulé dessus avec ma chaise (oui, je prends soin de mes affaires) et le caoutchouc c'est un peu entaillé, rien de grave mais voilà vu la longueur faudra éviter de le laissé traîné par-terre.</t>
  </si>
  <si>
    <t>Ne fonctionne pas avec Iphone X Super produit qui fonctionne du tonnerre avec iphone 6.  Par contre, sans doute est-ce à cause de l'adaptateur qu'il faut désormais mettre entre le SC4 et le port lightning de l'iphone, le son est presque inaudible en l'utilisant avec un iphone X.</t>
  </si>
  <si>
    <t>N'hésitez pas ! J'ai toujours tendance a prendre chère en pensant que la qualité est mieux ! J'ai acheté cette table peux être qu'il y a moins chère mais franchement rapport qualité prix je le trouve excellent</t>
  </si>
  <si>
    <t>Impeccable Parfait ! Très satisfaite. Boucle d'oreille bien supporté par mes oreilles difficiles. Toute petite comme je l'attendait Conforme à la description Je recommande</t>
  </si>
  <si>
    <t>Lampe tres petite lampe tres petite j en ai acheté une qui semblait identique mais qui était beaucoup plus grande et au meme prix. Un peu déçu.. sachant aue c etait pour offrir</t>
  </si>
  <si>
    <t>Produits Ne brille pas comme prévu avec ce produit</t>
  </si>
  <si>
    <t>Pas stable du tout Pas terrible</t>
  </si>
  <si>
    <t>Aprés 3 Mois d'utilisation Donc aprés 3 mois d'utilisation le fauteuil se fend sur le coter... Qualité assez médiocre, a faire attention.  Edite : Amazon ma proposer un retour, j'ai donc pus recommander le même fauteuil plus récent.</t>
  </si>
  <si>
    <t>Petit et meilleur sac Le sac est très sympa. J'ai aimé la couleur que j'ai choisie. Le matériau est en cuir très doux. Cela ne posait aucun problème même après une utilisation sous la pluie. Aucun article n'a été endommagé. Donc, je peux facilement l'utiliser. moins de poids et assez d'espace pour stocker mes articles.</t>
  </si>
  <si>
    <t>Bon produit mais décevant Très beau produit, tout à fait classique. Cependant, je remarque à l'usage que le boîtier est très fragile et s'abîme au moindre choc même léger. J'en déduis donc que le boîtier est en plastique, ce qui est très décevant. D'autant plus que le bracelet est en acier.</t>
  </si>
  <si>
    <t>Bonne qualité mais cher Trop cher</t>
  </si>
  <si>
    <t>Sacoche bandoulière Exactement ce que je cherchais, pas trop grand, ni trop petit, pas encombrant, très fonctionnel pour ce que j'ai à mettre dedans.</t>
  </si>
  <si>
    <t>génial je cherchais une lampe qui puisse se fixer directement sur mon lit pour gagner de la place. Je l ai reçu très rapidement et j'en suis très content. Il y a 2 lumiere de couleurs différentes et l'intensité est réglable. Facile d'utilisation, longeur de cable suffisante, et a l'ai très solide. Fait parfaitement ce que je voulais.</t>
  </si>
  <si>
    <t>impeccable Le stérilisateur est pratique, fonctionnel, bref! C'est tout ce qu'on en attend. Bravo,je n'ai rien d'autre à ajouter, fin de commentaires!!!</t>
  </si>
  <si>
    <t>Conforme Produit de qualité Samsung qualité du son top Un peu mal au cartilage de l'oreille du a la taille mais rien d'insurmontable</t>
  </si>
  <si>
    <t>Géniales Sublimes  et confortables, je ne les quitte plus</t>
  </si>
  <si>
    <t>Qualité prix je recommande Utilisé pour la marche, bonne adhérence, devrais etre compensé à l avant aussi.</t>
  </si>
  <si>
    <t>Excellent rapport qualié prix Intéressant par sa longueur, par son prix, par le coussin amovible ... et d'une efficacité redoutable. La détente est miraculeuse, aide beaucoup aux douleurs de type cruralgie, je me suis plusieurs fois endormie dessus! A conseiller à tous ceux qui veulent terminer la journée/commencer la soirée ... dé-ten-dus!</t>
  </si>
  <si>
    <t>super sac pour utilisation scolaire pris en primaire solide léger et pratique il va faire sa rentrée au collège bon investissement car je ne change plus de cartable à chaque rentrée et en plus à la mode à remplacer quand il sera usé et apparemment ce n'est pas demain la veille? sa contenance est suffisante pour les effet scolaire. très bonne qualité</t>
  </si>
  <si>
    <t>Bons surligneurs Le produit est conforme à sa description. Les surligneurs ont une très bonne durée de vie ce qui est rare. Le prix est moins cher qu'en magasin.</t>
  </si>
  <si>
    <t>qualité Absolument parfait, très bonne livraison et rapide</t>
  </si>
  <si>
    <t>papier wc ca me tue qu'il faille mettre un commentaire pour du papier toilette! ca va super les petites fesses ne sont plus irritées contrairement à du papier wc premier prix. pour intimité sensible ce produit est pour vous ^_^</t>
  </si>
  <si>
    <t>tres bien Pull classique toujours  pratique. Tout juste reçu donc difficile d'évaluer la qualité mais l'aspect me plait.</t>
  </si>
  <si>
    <t>Bravo pour l'affichage du jour en français J'aime l'affichage du jour en Francais (plusieurs langues disponibles). Le premier envois que j'ai reçu,  la montre ne fonctionnait pas (se n'est pas une bonne image pour CASIO) mais la deuxième est arrivé en bonne état de marche. C'est une montre de taille moyenne qui reste élégante pour un affichage numérique. Je ne suis pas déçu.</t>
  </si>
  <si>
    <t>Rapport qualité/prix excellent Parfait, prix très compétitif pour ce produit</t>
  </si>
  <si>
    <t>Très bien Parfait pour un usage tout venant.</t>
  </si>
  <si>
    <t>très confortable fit sport en groupe extra. très confortable</t>
  </si>
  <si>
    <t>Mastoque Je porte ces chaussures tous les jours pour le travail ! Elles sont biens adaptées mais un peu " mastoques" et tres rigide au début !!! Taille un peu grand ....</t>
  </si>
  <si>
    <t>l'article ne correspond pas à la vente l'article ne correspond pas, le camphre est de 11% seulement au lieu de 25% comme annoncé, la prochaine fois je commanderais ailleurs. Déçu vente mensongeaire.</t>
  </si>
  <si>
    <t>Un peu petit Un peu petit mais fonctionne bien</t>
  </si>
  <si>
    <t>Bof Les sacs sont bien mais la fermeture n’est pas solide. Deux sacs cassés déjà après 2 manipulations.</t>
  </si>
  <si>
    <t>Joli petit sac pratique. Sac pratique , ni trop gros ni trop petit pour un usage quotidien , permet de ranger en sécurité ses cartes+t papiers+ clefs (anneau ) dans une poche fermée par un zip sous un rabat . grande poche interne pour 2 a 3 étuis de lunettes +mouchoirs +autres accessoires. Deux poches zippées a l'exterieur dont une sur le rabat avant qui permet d'avoir sous la main un smartphone de grande taille.</t>
  </si>
  <si>
    <t>ce produit est de bonne qualite , livré tres vite dans de bonnes conditions ce produit est de bonne qualité ,attention ce modele taille large pour un 43 . J'ai passe  ma commande en taille 43  converti en 6-12 qui ne permet pas de vérifier la taille commandée.. Une bonne semelle de mouton devrait régler le probleme.</t>
  </si>
  <si>
    <t>Bonne qualité ! Cher pour un agenda mais la qualité est là !!!!!!!!!! La présentation comme j'aime ! Ultra pratique et les horaires sont bien! Une étoile en moins car ça reste quand même très cher!</t>
  </si>
  <si>
    <t>Fait largement le job Pour le prix j'ai couvert mon déménagement d une maison bien remplie de 82m2, certes les bulles s éclatent facilement et il faut souvent doubler le film mais rapport qualité prix appréciable et livraison éclair, sans encombre, je recommande largement</t>
  </si>
  <si>
    <t>Je recommande Acheté pour un enfant de 6 ans. Pour le moment je règle moi-même les horloges. J'ai mis un peu de temps avant de comprendre pour la radio mais en fait ça se fait tout seul. Bon produit.</t>
  </si>
  <si>
    <t>Satisfaite Très bien ! Goupillon qui s'adapte à tous les biberons. Son petit goupillon est très pratique pour laver efficacement le fond de la tétine.</t>
  </si>
  <si>
    <t>Enfin un produit de qualité Acheté pour les commentaires positifs majoritaires, je confirme la très bonne qualité du produit, car marre du "Made in pas cher". Certes certains trouveront toujours à redire, car le produit parfait n'existe que sur mesure. La dimension est parfaite, et si elle avait été plus grande pour en contenter certains, d'autres alors l'auraient trouvé pour le coup trop grande. Mon étui à lunettes rentre parfaitement et par conséquent fait prendre du volume à la sacoche plutôt plate et discrète à vide. Un tout petit logement supplémentaires renforcé en Kevlar pour les clés serait encore plus top, mais on peut toujours utiliser la petite poche zippée du haut au besoin, mais je préfère les laisser dans mes poches de pantalon/jean pour ne pas abîmer l’intérieur de la sacoche, qui du reste demeure très solide. Quasi parfait.</t>
  </si>
  <si>
    <t>Conforme à la description Bon rapport qualité prix.</t>
  </si>
  <si>
    <t>Très bien Bonne qualité, son correct, facile à utiliser, chargement de la prise. Le prix est également très bon marché. Mes enfants sont très heureux. Utilisez-le pour chanter. Recommandé d'acheter.</t>
  </si>
  <si>
    <t>Parfait Parfait fonctionne très très bien</t>
  </si>
  <si>
    <t>Nikel Correspond exactement à mes attentes. Grâce au rimer il s’arrête seul (ou/et quand il n’y a plus d’eau dans la cuve).</t>
  </si>
  <si>
    <t>Bon produit bon service et bon dialogue Cest un produit de bonne qualité. Envoi assez rapide. Attention apparemment les tailles de converse chausse plus grand. Au lieu du 49 j'ai du prendre du 48. A recommander</t>
  </si>
  <si>
    <t>Peut fonctionner avec une enceinte portable J'ai hésité avant d'acheter ce micro car les avis étaient différents sur la connexion avec une enceinte. En fait, le micro est livré avec plusieurs adaptateurs. Du coup, je le connecte à mon enceinte Philips avec l'adaptateur USB et l'adaptateur micro. Comme ça, je n'ai pas eu besoin d'acheter la batterie pr l'amplificateur en plus.  Le son est bon, suffisant pour l'utilisation dans une salle pour se faire bien entendre de tous. L'emballage peut servir de housse de transport par la suite ce qui est bien pratique.  La notice est en français mais assez succincte, juste suffisante pour la prise en main. Je l'ai recommandé à un collègue car ça fait bien le job vu le prix.</t>
  </si>
  <si>
    <t>bonne qualité, conforme à la photo Acheté pour mon épouse Pour lui faire un petit cadeau surprise. Très satisfait de ces boucles d'oreilles qui sont conforme à la description et pour un prix vraiment abordable. Je recommande et je re-commanderai d'autres produits de la marque à l'occasion</t>
  </si>
  <si>
    <t>Superbe, silencieuse et pratique Magnifique bouilloire, très silencieuse, fait bouillir l’eau très vite. Les différentes températures sont idéales pour faire des boissons chaudes telles que tisane sans brûler les feuilles. Superbe.</t>
  </si>
  <si>
    <t>Isolation accoustique de qualité Utilisé dans un open space pour s'isoler du bruit avec ou sans musique, les écouteurs font parfaitement le travail. La qualité sonore est au rdv avec une bonne puissance de restitution ainsi qu'un rendu des graves intéressant. En prime, livrés avec une petite pochette de rangement. Satisfait de ces écouteurs Sony !</t>
  </si>
  <si>
    <t>Sympa Sympa ces colles, surtout avec les têtes de monstres et la boite en métal qui accompagne. Produit conforme à sa description.</t>
  </si>
  <si>
    <t>Ideal pour cadeau Ce collier est magnifique, il pese son poids, ça ressemble à un vrai diamant !! Tres beau pour marriage, fete ou meme comme cadeau a votre femme.</t>
  </si>
  <si>
    <t>Parfait ! Juste impeccable livraison et produits !!</t>
  </si>
  <si>
    <t>Odeur désagréable et confection bâclée. Graines de lin humides donc odeur désagréable qui perdure quand la bouillotte est chaude; coutures qui lâchent dès la première utilisation laissant échapper les graines, confection cheap. A éviter pour de jeunes enfants.</t>
  </si>
  <si>
    <t>Bas de gamme Ca serré devant. Pas très confortable et la qualité laisse à désirer. Ça se voit k c’est vraiment du bas de gamme..</t>
  </si>
  <si>
    <t>Pas top du tout! Très déçu ! Il n'est pas du tout rembourré!!! Pourtant c'est bien écrit dans la description !</t>
  </si>
  <si>
    <t>Trouver chaussure à son pied Tout le problème est bien là. Chaussures beaucoup trop étroites.</t>
  </si>
  <si>
    <t>Moyen Ma fille adore le sweat , moi je le trouve de qualité très moyenne . Mais pour le prix ...</t>
  </si>
  <si>
    <t>Pas de bruit L'emballage est très bon et la rapidité de livraison est rapide. Le masseur est très silencieux lors de l'exécution, sans aucun bruit. Il est également possible de régler différentes heures et niveaux d'intensité de massage. Cela peut répondre aux différents besoins de ma famille. Je pense que ce produit est très puissant et intelligent.</t>
  </si>
  <si>
    <t>Satisfaite Pied qui correspond parfaitement à la description, à l’air solide, micro que j’avais avant qui s’adapte parfaitement dessus.</t>
  </si>
  <si>
    <t>Rapide et efficace C’est vraiment super pour accrocher les tableaux sans trou ni vis. Par contre sur de grand et gros tableaux il faut vraiment pas hésiter à en mettre beaucoup, sinon gare à la chute ;-)</t>
  </si>
  <si>
    <t>Belle qualité C'est un cadeau de Noël pour mon fils, à première vu la taille est bonne et la qualité est très belle, à voir après plusieurs lavage</t>
  </si>
  <si>
    <t>Je le recommande Pas déçue de mon achat, ce diffuseur d'huiles essentielles est très beau et a l'air assez solide, facile à faire fonctionner, bref à recommander...</t>
  </si>
  <si>
    <t>Joli bracelet Joli bracelet offert à ma petite fille</t>
  </si>
  <si>
    <t>Génial ! Le chauffe biberon autonome est extraordinaire ! L'ensemble est constitué d une housse en Néoprène très jolie bleue marine avec des étoiles vertes, avec une anse très pratique pour le transport et une espèce de sachet transparent. Et c est la que se trouve la révolution ! Il faut donc torturer le sachet pour qu il délivre sa chaleur et ça marche vraiment bien. Par contre, pour le réactiver à nouveau il faut le stériliser donc la par contre retourner à la maison. Je conseille donc d acheter un coussin chauffant en plus pour un déplacement qui nécessite deux biberons... Je suis en tout cas bluffé par cette innovation dans un secteur où les choses n évoluent pas vraiment !</t>
  </si>
  <si>
    <t>Idéal pour les propriétaires de four Nous avons un four dans le salon, ce qui rend l'air agréablement chaud mais aussi extrêmement sec. Depuis le diffuseur aide beaucoup à minimiser la sécheresse. Surtout maintenant que pour l'hiver, il est agréable de jouer avec les senteurs associées à la saison froide (vanille, orange, ...). Le moteur silencieux lui permet de marcher à côté de la télévision sans le déranger. Je prends de l'eau distillée entre ou à partir du filtre à eau, car nous avons beaucoup de chaux. Cela fonctionne très bien et rafraîchit l'air sans parfum. Si vous utilisez l'eau du sèche-linge, elle sent agréablement le linge frais.</t>
  </si>
  <si>
    <t>Belles chaussures Malheureusement, je les ai renvoyé car elles étaient trop grandes. Je les recommanderais.</t>
  </si>
  <si>
    <t>Très bon rapport qualité/prix &lt;div id="video-block-RC93MNF9OEHWK"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src="https://images-eu.ssl-images-amazon.com/images/I/B1sRLR2YieS.mp4" style="position: absolute; left: 0px; top: 0px; overflow: hidden; height: 1px; width: 1px;"&gt;&lt;/video&gt;&lt;/div&gt;&lt;div id="airy-slate-preload" style="background-color: rgb(0, 0, 0); background-image: url(&amp;quot;https://images-eu.ssl-images-amazon.com/images/I/914VGfuUGuS.png&amp;quot;);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value="https://images-eu.ssl-images-amazon.com/images/I/B1sRLR2YieS.mp4" class="video-url"&gt;&lt;input type="hidden" name="" value="https://images-eu.ssl-images-amazon.com/images/I/914VGfuUGuS.png" class="video-slate-img-url"&gt;&amp;nbsp;J'ai acheté ces intras en remplacement de mes anciens que mon chat a fait tomber et je suis très surpris par la qualité autant sonore que matériel. Les écouteurs se logent facilement dans le support avec des aimants pour bien les tenir, il est possible de tapoter sur la tranche pour pouvoir mettre en pause ou changer de musique une fois les écouteurs dans les oreilles. L'option kit main libre est top aussi, j'en suis vraiment ravi !</t>
  </si>
  <si>
    <t>Beau produit Ultra pratique... et du verre pas de matière plastique et sa cohorte de produit chimique pour le bébé !</t>
  </si>
  <si>
    <t>Très bon rapport qualité / prix de l'utiliser comme oreillette iphone 6. Très simple d'utilisation, la qualité semble bonne et donne une impression de solidité. Le son est bon, mais le microphone et le contrôleur vont bien.</t>
  </si>
  <si>
    <t>C'est pas nouveau... Je l'a prend blanche pour éviter les marques jaunes sur les posters. à part cela RAS, on connait tous cette patafix...</t>
  </si>
  <si>
    <t>Très bon vendeur Je suis très fan de cette marque utilisant uniquement des produits Neewer et surtout parce qu’ on fournit une gamme importante d’accessoires studio à un prix qui est très abordable.  Reçu en 2 jours seulement alors que je vis dans un très petit village, dans un milieu isolé&amp;nbsp;!  Bon vendeur&amp;nbsp;qui assure un service de premier ordre à ses clients&amp;nbsp;😊 Produit qui fonctionne comme il faut.  Qualité au rendez-vous.</t>
  </si>
  <si>
    <t>Discrétion et confort Acheté pour ma fille qui perdait sa bague, je suis contente qu il ne s'agit agit pas que d un gadget et que ce réducteur lui permet de porter cette dernière sans craindre de la perdre...Produit invisible une fois porté,Discret et confortable.</t>
  </si>
  <si>
    <t>boucle d'oreille bonjour. colis bien arrivé j'ai acheté ses boucles car elles me plaisaient par sa forme et sa couleur. boucle légère. je recommande ce bijoux cdlt karine</t>
  </si>
  <si>
    <t>Je recommande Je recommande ces biberons anti-coliques ! Au départ j'utilisais les avents mais ça ne correspondait pas à mon bébé. Pour bébé deux je ne me pose plus de questions et ne prends plus que du MAM.</t>
  </si>
  <si>
    <t>Au top Top ! Livraison rapide , les couleurs sont sympas et les brassières très agreables. Parfait pour le sport Pris en m taille normalement</t>
  </si>
  <si>
    <t>Le TOP du ruban...d'emballage. Très résistant même à l'humidité, la qualité est bien présente, les larges bandes permettent une excellente tenue sur presque toutes les surfaces (même le verre)...</t>
  </si>
  <si>
    <t>nickel pour debuter table répondant a mes attentes.impeccable pour débuter.</t>
  </si>
  <si>
    <t>Taille trop petit Déçu par la taille et la couleur</t>
  </si>
  <si>
    <t>Réclamé Après 1 mois d utilisation en mettant l eau au max toujours il brûle</t>
  </si>
  <si>
    <t>Inefficace sur mon enfant À lire les commentaires élogieux au sujet de ce biberon, je pensais que mon bébé boirait enfin son lait dans un biberon. Mais non, le résultat est le même, voire pire qu'avec les autres biberons que j'ai (grosse crise de pleurs, tétine trop grosse).</t>
  </si>
  <si>
    <t>sport pour les coquettes bienproportionné , confortable bel amorti et surtout bout des pieds un peu relevé , convient pour soulager les orteils en marteau</t>
  </si>
  <si>
    <t>bel article Ce sac est très beau, plusieurs pochettes, cuir de belle qualité La bandoulière ne peut être ôtée Vraiment pas déçu et vu le prix c'est à saisir</t>
  </si>
  <si>
    <t>Qualité et tendance. Je conseille Je conseille ce modèle. Il existe en blanc.</t>
  </si>
  <si>
    <t>Qualité correcte Je m'attendais à pire au vu des autres commentaires,  mais c'est bien 50 microns donc pas non plus prévu pour stocker des vis et des clous... La fermeture est bonne.</t>
  </si>
  <si>
    <t>Bague réglable Bague très simple qui va très bien pour une jeune fille. Bonne qualité</t>
  </si>
  <si>
    <t>Confortable Légèreté, Qualité de finition, son très clair donc content de ces écouteurs. J'ai acheté ces écouteurs pour mes iphone 6s pendant mes déplacements et aussi pour la musique. Bon son, bonne insonorisation, assez confortable.</t>
  </si>
  <si>
    <t>tres bonne qualité des converses en cuir, et donc de très bonne qualité. de plus comme d'hab, amazon m'a livré très rapidement. Attention elles taillent un peu grand comme toutes les converse...</t>
  </si>
  <si>
    <t>Produit de très bonne qualité Produit ayant un très bon rapport qualité prix  Le casque a un bon son et le micro fonctionne très bien  Il y a les adaptateur pour le brancher en prise jack ou alors sur un ordinateur</t>
  </si>
  <si>
    <t>R. A. S Bon produit</t>
  </si>
  <si>
    <t>Utile Zero coliques pour bébé avec ce système !</t>
  </si>
  <si>
    <t>BONNE BOUILLOIRE Efficace, bonne prise en main, pas trop lourde pour les enfants, facile à installer</t>
  </si>
  <si>
    <t>bon casque ma fille aime bien ce casque , assez sympa car il est pliable et tient bien à la tête de bonne facture et assez pratique à voir dans le temps si cela résiste mais je ne regrette pas mon achat</t>
  </si>
  <si>
    <t>Haute qualité de matière, de coupe, superbe pour un beau buste Rien à dire de plus à part que confirmer sa haute qualité de matière, sa coupe juste-au-corps superbe, ce qui met en valeur un buste athlétique ! Je le conseille et le recommande pour ceux qui ont un buste sculptural !</t>
  </si>
  <si>
    <t>Superbe très jolie Très joli pull et très bien coupé, je vais le commandé pour une amie</t>
  </si>
  <si>
    <t>Bon rapport qualité prix Rien a redire pour le prix je ne suis pas déçu marche très bien</t>
  </si>
  <si>
    <t>bien,  utilisation détournée En fait j'avais acheté ce produit pour mettre à égoutter des petites bouteilles de jus de fruits en verre , malheureusement le goulot est trop étroit , bon que faire , le renvoyer ou pas ? Non je  garde , les supports en épi me servent de tuteur pour des plantes , et le plateau est en fait très pratique , placé à côté de ma plaque de cuisson , lorsque je cuisine , j'y dépose les cuillères utilisées pour mélanger les mixtures préparées , le plateau du dessus amovible comporte des trous et les ustensiles s'égouttent dans le plateau du dessous .  Donc à toutes les mamans et papas , cet objet,  une fois la période biberons terminés,  peut avoir une seconde vie au lieu de terminer au fond d'un placard.  Il passe au lave vaisselle</t>
  </si>
  <si>
    <t>tres belle montre je la trouve juste hyper belle :) l'écran qui change de couleur fait parler de lui. bracelet métallique sympas, mais je l'ai faite monter sur un bracelet en cuir très large, et la... encore plus belle ;)</t>
  </si>
  <si>
    <t>Produit efficace J'ai utilisé le baume d'entretien pour un cuir abîmé (pas entretenu) et il est très nourrissant. Il est gras et permet un entretien en profondeur.</t>
  </si>
  <si>
    <t>Parfait...rien a dire..le top Parfait..</t>
  </si>
  <si>
    <t>Beau collier Superbe collier de bonne qualité.Il arrive à 5cm sous la glotte.Très brillant,il est également assez original.Je ne regrette pas mon achat</t>
  </si>
  <si>
    <t>Mediocre Pas terrible ne ce consomme pas correctement</t>
  </si>
  <si>
    <t>arrivé abimé abimé à l'arrivé pas les pochettes noires avec</t>
  </si>
  <si>
    <t>Bonne écoute mais s'use vite Un bon son très authentique mais s'use quand même assez vite si comme moi  vous écoutez quotidiennement vos vinyles :/</t>
  </si>
  <si>
    <t>parfait j adore ils sont beau et pratique ne tiennent pas de place. top. les étiquettes dymo,pour l instant , tiennent bien dessus je recommande aussi</t>
  </si>
  <si>
    <t>Taille petit Ma fille l'a adoré, un peu juste mais ne le quitte plus. Dommage que le tissu bouloche rapidement.</t>
  </si>
  <si>
    <t>Chaussure Bonne chaussure on est bien dedans semelle un tout petit peu dur mais fond vraiment penser à des basket cool</t>
  </si>
  <si>
    <t>marche très bien et bonne autonomie aux déplacements j'avais ce casque depuis longtemps, mais je l'ai cassé d'un côté, et il marche toujours mais l'oreillette se désolidarise souvent aussi , c'est la raison pour laquelle je l'ai remplacé par un identique, puisque j'en suis parfaitement contente.</t>
  </si>
  <si>
    <t>Taille plus grande Les chaussures taille plus grande donc je vous conseille prendre une taille au dessous, sinon super confortable comme tous les chaussures de sketchers</t>
  </si>
  <si>
    <t>Parfait Correspond tout à fait à mes attentes.</t>
  </si>
  <si>
    <t>Qualité correct De bonnes chaussures pour le prix, bien prendre votre taille et tout va bien. Qualité correct.</t>
  </si>
  <si>
    <t>Merci Merci veste très sympas à porter légère et se porte facilement en cas de vent ou pour faire du sport</t>
  </si>
  <si>
    <t>Bicarbonate technique et non alimentaire Le bicarbonate de soute est une petite merveille, je l'utilise tout le temps, pour le nettoyage, la lessive et même pour déboucher les éviers. Ce bicarbonate n'est pas alimentaire.</t>
  </si>
  <si>
    <t>Quelle surprise Je cherchais une lampe pour remplacer la mienne qui chauffait trop et venait de claquer (halogène), je suis tombé amoureux de cette lampe de bureau LED qui en plus d'être à intensité variable, on peut changer la couleur (ou la température pour les connaisseurs) de la lumière. Je croyais pas trop à cette fonctionnalité lorsque je l'ai commandée mais une fois reçue j'ai été stupéfait de son fonctionnement et de son utilité surtout, une fois dans le noir, une ambiance chaude est plus agréable qu'une ambiance "led blanche" qui fait mal aux yeux. Malgré son prix, je conseille de pas s'en priver si vous cherchez une lampe de bureau agréable, esthétique (mine de rien) et maniable !</t>
  </si>
  <si>
    <t>Les enfants adorent Je travaille dans l'animation et les enfants adorent les expériences proposées dans ce livre. On va de la plus petite expérience toute simple à de beaucoup plus grosses !  Même nous en tant qu'adulte nous apprenons des choses à travers ce livre!  Je recommande pour les animateurs ou toutes personnes qui voudraient découvrir et/ou faire découvrir de nouvelles choses avec les enfants :)</t>
  </si>
  <si>
    <t>Goupillon biberons Alors la franchement moi je les ai adopté ils sont juste géniaux, je les recommande fortement, ils permettent de nettoyé plus facilement les biberons sans trop se fatigué on connais tous la corvé du nettoyage de biberons!</t>
  </si>
  <si>
    <t>BEL ARTICLE super bel article</t>
  </si>
  <si>
    <t>TB TB</t>
  </si>
  <si>
    <t>bouilloire électrique Cadeau pour mon frère qui chauffait l'eau dans une casserole. En été dans le sud de la France ce n'est pas une bonne idée! Cette bouilloire est rapide et efficace!</t>
  </si>
  <si>
    <t>Confort et bon son Tres leger , confortable ,un son tres bon Facile a connecter au gsm</t>
  </si>
  <si>
    <t>Très jolie Agréablement surpris par ces boucles d'oreilles très jolies et appréciée par la personne à qi elles étaient destinées.</t>
  </si>
  <si>
    <t>pas mal chaussons avec tout le confort que j' attendais.  Une semelle intérieure  chaude en éponge, parfaits pour la maison. Attention taille petite !</t>
  </si>
  <si>
    <t>Un bel objet qui semble solide Acheté pour le travail de ma femme. Design élégant, léger, aéré, semble solide à voir dans le temps. Cette paire de chaussure fait des envieuses ! Rien à redire. Le Sav semble réactif suite à des demandes de facture pour remboursement par l'employeur de ma femme.</t>
  </si>
  <si>
    <t>Déjà en panne ! J'ai acheté ce produit pour offrir à l'occasion d'une naissance et la personne à qui je l'ai offert vient de me signaler qu'il a chauffé les biberons 24h et depuis il ne fonctionne plus</t>
  </si>
  <si>
    <t>PAQUET OUVERT !  Bien si c'était neuf !! Paquet ouvert ! 48 feuilles au lieu de 50 ! Bonnes étiquettes pour du durabrite epson, un peu légère mais bon collant et facile d'utilisation. Pas de retour car j'en ai besoin, mais pour moi c'est un produit d'occasion, pas neuf.</t>
  </si>
  <si>
    <t>Coussin de massage Avis très mitigé , ce coussin fait mal et est peu pratique à l'utilisation ,je ne sais pas s'il y en a de meilleurs que lui mais ce que je sais ,c'est que je ne rachèterai plus. Je déconseille.</t>
  </si>
  <si>
    <t>Belles, confortables, mais il y a un mais Chaussures utilisées pour de la marche et/ou de la course. Douleurs aux pieds vers les 7 kilomètres. Sinon, niveau confort ça va. J'ai retesté avec mes anciennes chaussures, pas de douleur.</t>
  </si>
  <si>
    <t>achat besace Globalement je suis satisfaite bien que le modèle soit différent: pas d'attache sur le devant, un rabat plus grand. Pas de poche prévue pour les stylos. J'ai acheté chez vous le même en Décembre qui correspondait exactement au descriptif pour 5 euros de moins!</t>
  </si>
  <si>
    <t>Papier a4 Uniquement pour courrier</t>
  </si>
  <si>
    <t>Confortables et sympa Ce sont des chaussures portées tous les jours et au moins ma 5 ème paire. Adidas taille toujours un peu petit</t>
  </si>
  <si>
    <t>Bon micro Achat obligatoire d'une alim' phantom 48V pour faire fonctionner correctement le micro. En essayant sans, on entend quasiment pas la voix et  y a des grésillements ignobles même avec un adaptateur USB. Avec l'alim' le micro fonctionne très bien. Il va falloir faire tout de même quelques ajustement sur le gain du micro, mais c'est pas compliqué. Je met 4 étoiles au lieu de 5 parce que je trouve que le micro capte un peu trop les son de mon clavier. Mais franchement pour le prix, 40€ avec l'alim, c'est un très bon produit que je conseille.</t>
  </si>
  <si>
    <t>Très bon casque pour une personne très exigeante Je l'utilise pour toute la journée. de 6h à 22h. l'autonomie de la batterie est très elevée. le son n'est pas parfait mais il est très bon. Facile à plier. Se charge rapidement. la prise jack est conçue d'une manière qui rend le cable non détachable que si on la tourne la tête de la prise.</t>
  </si>
  <si>
    <t>Superbe article Je cours 3 fois par semaine et je recherche depuis longtemps des chaussettes qui protègent bien les pieds. Je les ai enfin trouvées, les tailles bien, sont agréables et protègent bien les talons les chevilles et le devant du pied. Je recommande vraiment ce produit.</t>
  </si>
  <si>
    <t>Parfait Parfait pour mes couches lavables et len linge de maison</t>
  </si>
  <si>
    <t>Une bonne qualité sonore Ce casque audio Live 500BT de la marque JBL s’utilise avec ou sans fil. On retrouve dans la boite le casque, un câble d’alimentation et un câble audio au format Jack. Je l’ai utilisé avec un smartphone sous IOS en utilisant une connexion Bluetooth. Celle-ci se fait en quelques secondes et ne nécessite aucun autre logiciel de configuration. Au niveau du confort des coussinets, ils englobent bien les oreilles. Ils sont assez souples pour ne pas faire mal. Je les trouve confortables. Cependant, ils tiennent chaud. L’arceau qui se trouve au-dessus de la tête manque légèrement de confort, car il n’est pas assez renforcé à mon goût. C’est sans doute que je ne suis pas encore habitué à son textile. Au niveau du rendu sonore, j’ai été agréablement surpris. Le son est claire et possède de bonnes basses et graves. Je l’utilise sur plusieurs types de musiques et il est toujours d’un très bon niveau. Il n’y a pas de réduction de bruit, mais les coussinets coupent tout de même légèrement le bruit extérieur. Si on retire le casque pendant que l’on écoute la musique, il n’y a pas de détection automatique pour mettre celle-ci en pause. L’autonomie est annoncée de 30 heures. Si le casque n’a plus de batterie, il est possible en 15 minutes de lui redonner 2 heures d’autonomie. Je trouve pratique la possibilité de pouvoir connecter directement le casque via le câble. C’est utile notamment lorsque l’on prend l’avion. Les commandes de volume se trouvent directement sur le casque. Il faut prendre l’habitude de les utiliser. Il est aussi possible de prendre les appels téléphoniques directement depuis le casque. J’ai apprécié la qualité sonore de ce casque audio Live 500BT, mais il manque un sac de transport.</t>
  </si>
  <si>
    <t>Très bon produit Et bien pour chauffer l'eau bien sur quel question ? Pour une bouilloire. Un peu bruillante.</t>
  </si>
  <si>
    <t>au top au top</t>
  </si>
  <si>
    <t>Casquette Nike légère. La matière est légère et idéale pour l’été car elle ne tient pas chaud.</t>
  </si>
  <si>
    <t>savon tres bien.</t>
  </si>
  <si>
    <t>super petit , léger , je l emmène partout en voyage et très pratique les deux petites tasses</t>
  </si>
  <si>
    <t>Nickel Rien à reprocher à cette sacoche. Bien fabriquée et élégante.</t>
  </si>
  <si>
    <t>Parfait RAS Livraison rapide. Emballage parfait. L'étui est de bonne facture..Plastique assez épais et rigide ce qui augure une bonne longévité. La taille est adaptée au format ces cartes grises françaises. Bon rapport qualité prix. Produit à recommander.</t>
  </si>
  <si>
    <t>bague coeur envie d'un petit coup de coeur cette bague rapport qualité prix bravo toute simple toute mignonne et toute sympa merci</t>
  </si>
  <si>
    <t>Satisfait! C’est idéal comme un cadeau anniversaire pour une fille. Super léger et pratique. La fille de mon amie est super contente, presque tous les soirs elle chante.</t>
  </si>
  <si>
    <t>Parfait Très bien</t>
  </si>
  <si>
    <t>Très bon produit Mon fils adore ces écouteurs  très bon réduit au niveau son. Ces écouteurs isolent également des sons extérieurs. aucun pb pour associer son tel.</t>
  </si>
  <si>
    <t>chaussures Pas terrible, la semelle c ' est décollé au bout de 2 mois d ' utilisation! donc poubelle, à éviter malheureusement.</t>
  </si>
  <si>
    <t>Ne tient pas la charge Tout est dit dans le titre, a fonctionné à la réception une grosse semaine avec 4 sorties, mais depuis ne tient pas 1 journée chargée sans utilisation</t>
  </si>
  <si>
    <t>Son discontinu. Une seule oreillette fonctionne Coupures de son très gênantes pour l'écoute sur une des deux oreillettes. Lorsque les deux oreillettes sont rapprochées (donc pas sur la tête) : le son est stéréo mais dès qu'on place chaque écouteur sur les oreilles il y en a un qui ne transmet pas bien le son et présente des coupures. De plus, les instructions audios sont en chinois. La notice est très mal écrite ce qui rend difficile la compréhension des consignes pour bien apparier les deux écouteurs. Je suis déçu par cet achat. C'est de l'argent jeté par la fenêtre et un déchet de plus pour l'environnement. Il vaut mieux mettre le prix sur un appareil de marque plus sérieuse.</t>
  </si>
  <si>
    <t>sac eastpak de bonne qualité cependant, selon modèle et couleurs il y a des modèles en 3L et 2L5 et celui que j'ai commandé est arrivé en bon état, bien emballé, mais en 2L5. faire attention avant de valider son paiement aux détails car ceux-là diffèrent selon la couleur d'ou différence de tarifs jusqu'à 10euros.</t>
  </si>
  <si>
    <t>Correct sans plus Correct sans plus</t>
  </si>
  <si>
    <t>Pour débuter en microscopie Livre clair et bien détaillé . Satisfera sans aucun doute les débutants en microscopie qui souhaitent s'initier à la préparation et à la coloration de leurs projets . Bon achat à un prix raisonnable .</t>
  </si>
  <si>
    <t>feutre marqueur metallique permanents cela est un bon produit par contre le stylo de couleur blanc était tous sec, dans la boite c'est le seul qui ne fonctionne pas je suis déçu. Car je compter sur celui-ci. livraison hyper rapide.</t>
  </si>
  <si>
    <t>Jolie présentation Je l'ai offert à un membre de famille pour les fêtes de Noël. Ce bracelet a été très apprécié tout autant que son coffret de présentation. Je le recommande.</t>
  </si>
  <si>
    <t>Bonne coupe, un peu léger Bonne coupe, un peu léger</t>
  </si>
  <si>
    <t>acheter sans hésiter très bon produit, livraison plus rapide que prévue ( 2j), conforme à mes attentes; à acheter sans hésiter</t>
  </si>
  <si>
    <t>Facile à mettre Taille parfaite</t>
  </si>
  <si>
    <t>attention a... attention moi je chausse du 36-37 a la base et j'ai ris du 38 et elle me vont très bien alors pensé a prendre 1 taille voir 2 au dessus de sa pointure habituelle et aussi elle sont un peu durre a enfiler avec un chausser pied sa doit etre beaucoup plus simple.</t>
  </si>
  <si>
    <t>Confort Pour une utilisation quotidienne</t>
  </si>
  <si>
    <t>Nickel 😉 Produit conforme à la commande. Rien à dire il fait le taff 👌🏼</t>
  </si>
  <si>
    <t>Très bien Utilisée comme lampe de bureau, les 3 possibilités d'intensité d'éclairage associées aux 5 possibilités de lumière d'ambiance en font une lampe très agréable et facile à utiliser. Je vais en acheter deux autres (chevet et éclairage complémentaire).</t>
  </si>
  <si>
    <t>tres bien dedans pour le prix j eb ai acheter une autre paire</t>
  </si>
  <si>
    <t>le confort et la matiére très bien taille , se porte bien il est léger on ne le sent pas sur la peau , la matière est légère , la couleur est top et la coupe aussi très bon rapport qualité prix</t>
  </si>
  <si>
    <t>Kit anti-colique parfait pour une naissance Kit très complet permettant d'avoir suffisament de biberons pour les premiers mois du nouveaux-nés. Tous les biberons sont équipés de valves anti-coliques, qui introduisent une petite quantité d'air à chaque succion, permettant d'éviter l'effet trop plein dans l'estomac et de réduire les risques de régurgitations ou les flatulences douloureuses (eh oui, c'est pas glamour mais c'est la réalité).</t>
  </si>
  <si>
    <t>Parfait La qualité est là et le prix intéressant. Chaussures parfaitement identique à ce que je voulais. Livraison sans souci. Très satisfait de mon achat.</t>
  </si>
  <si>
    <t>EXCELLENT sur mon imprimante XP 225 Je suis ravie d'avoir acheté ces cartouches à un prix aussi compétitif en comparaison des cartouches d'origine Epson. La qualité d'impression est bonne (les couleurs seraient peut-être un peu plus claires). L'installation est sans problème. Le nombre de cartouches (12) en XL va me permettre maintenant d'imprimer sans retenue. Emballage impeccable, livraison rapide.</t>
  </si>
  <si>
    <t>chaussures de sécurité extra confortables pour mon travail chaussures de sécurité obligatoire et celles de mon job me faisait hyper mal aux pieds j ai choisit cette paire pas déçu au contraire pieds comme dans des pantoufles j ai pris du 38 pointure au top je conseil ce produit</t>
  </si>
  <si>
    <t>Bouillotte Très bonne bouillotte. Facile d'utilisation, qq minutes au micro ondes. Très bien pour les contractures musculaires. Demander l'avis du médecin où kiné.</t>
  </si>
  <si>
    <t>Qualité! Bon produit ! Aurait pu être livré avec Rode wireless Go! Dommage</t>
  </si>
  <si>
    <t>État incorrect de le début État du produit pas Nikel fermeture qui étais déjà déchiré</t>
  </si>
  <si>
    <t>Couleur qui déteint rapidement ... "Total black" au départ, mais après quelques jours, les couleurs déteints assez rapidement alors qu'auparavant, les Vans tenaient bien sur la durée ...  Je ne recommande pas.</t>
  </si>
  <si>
    <t>Batterie tient 12h maxi La batterie se fait télécharge beaucoup trop rapidement un retour à l'envoyeur appelle 20 heures  d'autonomie</t>
  </si>
  <si>
    <t>taille un peu juste mais bien épais les 2 leggings sont d'une matière assez épaisse, pas transparente, et ils sont bien extensibles mais ils taillent un peu petit</t>
  </si>
  <si>
    <t>RIEN A DIRE BON RAPPORT QUALITE PRIX Je l'ai acheté pour avoir la température de l'eau. Elle est fiable à 1 degré prêt, un bon choix,pas cher pour moi qui me baigne toute l'année.</t>
  </si>
  <si>
    <t>Efficace Matériel très joli et efficace.dommage que la notice ne soit pas en français</t>
  </si>
  <si>
    <t>Très bon produit J'ai acheté ce casque pour faire du running. Il est léger, très joli, souple mais parait assez solide. J'en suis pour le moment très satisfaite. Le son est bon et pour son prix il est très bien pour l'usage que j'en fais.</t>
  </si>
  <si>
    <t>Petit Problème Montre magnifique et classe, toutefois un bémol assez conséquent, le fermoir depuis ma première utilisation est très compliqué et est voilé à l'intérieur, ce qui permet à la montre de se retirer quasiment tous le temps.....</t>
  </si>
  <si>
    <t>Excellent produit Identique en tout point à celle que j'ai déjà acheté directement chez timberland, mais à un prix plus attractif, je recommandé si vous connaisse votre pointure.</t>
  </si>
  <si>
    <t>Livré dans les temps, correspondant à la description,très bien conditionné , très  content Papier bulle parfait et reçu en très  bon  état, il protège bien</t>
  </si>
  <si>
    <t>bien pratique même avec nos biberons tomme tippee , payé 4€ correct pour un nettoyage important , les poils sont souples mais gratte assez</t>
  </si>
  <si>
    <t>Très bien Très bon appareil , je travaille beaucoup debout et de ce fait les jambes sont lourdes . Et hop le soir en rentrant un petit coup de massage plantaire et cela améliore très bien la situation .</t>
  </si>
  <si>
    <t>le chargement allume gaz</t>
  </si>
  <si>
    <t>Super fête entre famille! 🥳 Produits très fonctionnel! Idéal pour les soirées en famille ou entre amis. Il est facile à utiliser! La qualité du son est excellente! On s'est bien amusés avec ce microphone. Je recommande!</t>
  </si>
  <si>
    <t>Nickel top rapport qualité prix permet de choisir une taille intermédiaire, ce qui est nécessaire pour moi et pas toujours possible</t>
  </si>
  <si>
    <t>Plastifieuse efficace et pas chère &lt;div id="video-block-R2PR2VN510K7IO" class="a-section a-spacing-small a-spacing-top-mini video-block"&gt;&lt;/div&gt;&lt;input type="hidden" name="" value="https://images-eu.ssl-images-amazon.com/images/I/A1CQNR8Tf8S.mp4" class="video-url"&gt;&lt;input type="hidden" name="" value="https://images-eu.ssl-images-amazon.com/images/I/B16G8h1ZI0S.png" class="video-slate-img-url"&gt;&amp;nbsp;J'ai acheté cette plastifieuse pour les exercices et jeux de mon fils à la maison et également pour différents affichages sur les murs. Je la trouve vraiment top ! Elle permet de plastifier tous types de formats jusqu'au A3 et en plus, des feuilles plastiques sont fournies à l'intérieur. On retrouve également des petites pinces ainsi que des petits cadres pour faire une jolie guirlande photo a accrocher. Une petite perforatrice est également présente à l'intérieur. Je la recommande vraiment.</t>
  </si>
  <si>
    <t>Très léger Très bien merci</t>
  </si>
  <si>
    <t>Indispensable Je les utilise pour fixer des CD fournis avec les magazines de mon petit garçon (style "belles histoires"), ou pour fixer des cartes ou des posters sur ses murs afin de ne pas les abîmer. Vraiment très pratique d'utilisation, ils collent très bien. J'en rachèterai dès que je n'en aurai plus (mais j'ai de quoi voir venir car il y en a vrt bcp).</t>
  </si>
  <si>
    <t>Très bien Excellent produit,  attention,  pas le même temps de chauffe entre les biberons plastiques et en verres</t>
  </si>
  <si>
    <t>Très contente Parfait très contente</t>
  </si>
  <si>
    <t>Très bon rapport qualité prix Super chaussettes</t>
  </si>
  <si>
    <t>Adapté a un enfant en CE1. Mon fils est conquis. Il arrive a le lire tout seul sans aucun soucis avec un niveau CE1. Lui donne envie de lire, c'est le principal</t>
  </si>
  <si>
    <t>Bien mais pas confortable Produit avec un très bon son, les basses sont superbes. Par contre je n'ai pas trouvé confortable du tout les embouts qui me blessait l'oreille. Sinon très très joli esthétiquement et boîte de stockage et recharge superbe. Juste une précision, mais ils n'isolent vraiment pas du bruit environnent.</t>
  </si>
  <si>
    <t>Déçue Commande faîte pour recevoir le modèle jaune et orange, au final j'ai reçu, pour mon petit garçon un modèle rose et violet... déçue</t>
  </si>
  <si>
    <t>Pendentif "plat" Correspond à la description et la photo, néanmoins le pendentif est plutôt plat. Je m'attendais à un pendentif "boule"... lecture trop rapide de ma part.</t>
  </si>
  <si>
    <t>Plus pour soigner que pour détendre Sympa mais selon comme on est assis, cela n'est pas très agréable. On est obligé de rester droit, du coup on est pas en mode détente. Le chaud n'est pas très chaud. Toutefois, je l'ai utilisé pour une contracture musculaire et cela m'a bien soulagé</t>
  </si>
  <si>
    <t>Bon agenda Pratique, simple et solide. Le format est un poil grand selon moi mais après tout cela reste très pratique. L'ensemble des jours fériés est mentionné par des lettres correspondantes aux pays.</t>
  </si>
  <si>
    <t>Super mais pas la bonne taille Jenleve une etoile car la taille que j'ai demandé na pas etait respecter mais sinon la qualité est top, je les garde pour le fils de mon compagnon pour l ete prochain</t>
  </si>
  <si>
    <t>pochette tabac bon produit bon rapport qualité prix en accord avec notre attente et notre demande la qualité du cuir est très bonne</t>
  </si>
  <si>
    <t>Bon rapport qualité prix  . Mais mettez une notice d'emploi en FRANÇAIS Pour avoir l'heure !!! . Le mode d'emploi fourni avec la montre est en anglais et allemand , je voudrais l'avoir en FRANÇAIS.</t>
  </si>
  <si>
    <t>Article reçu Genre. Marque. Couleur. Prix. Très confortable.</t>
  </si>
  <si>
    <t>étui simple et efficace L'étui convient très bien pour protéger les cartes grises et se pli au bon endroit de la carte grise. Rapide pour lire le document sans les abîmés</t>
  </si>
  <si>
    <t>Qualité et confort Casque offert à mon mari. Super son coupe des bruits extérieur. Super agréable et souple au niveau des oreilles. Rien à redire</t>
  </si>
  <si>
    <t>Vraiment Sublime ! Juste sublime, franchement y’a rien d’autre À dire ! Ont l’air de bonnes qualités, à voir avec le temps. Recommence à 4000%</t>
  </si>
  <si>
    <t>Parfait Très jolie et conforme à la photo</t>
  </si>
  <si>
    <t>très bonne huile, adhère et fait bonne mine très bonne huile: cela fait plusieurs commandes déjà: je recommande vivement</t>
  </si>
  <si>
    <t>Parfait Livre très bien fait ma fille est au cp et elle adore , elle a reussie à le lire toute seule , je recommande , très bien , il y a des paliers de lecture ( début, milieu et fin de cp)</t>
  </si>
  <si>
    <t>collier bébé tres beau collier qui fonctionne bien pour bébé et sa poussée dentaire. tres belle couleur et chaque pierre est séparée par un noeud pour la sécurité</t>
  </si>
  <si>
    <t>j’adore superbe huile je recommande</t>
  </si>
  <si>
    <t>TBS.............. TBS reste TBS malgré le temps!J'ai toujours été satisfait de cette marque de grande qualité!Alors des internautes recommandaient de prendre un taille en dessous:personnellement j'ai pris ma taille habituelle et elles sont parfaites!très jolies,belle ligne,belle couleur,sport certes mais possible de les porter avec un ensemble de ville:pas en soirée,non,mais tellement élégantes que ces sneakers sont très convenables pour être bon chic-bon genre!A recommander aux élégants et élégantes!</t>
  </si>
  <si>
    <t>Belle montre Mais changez le bracelet si vous êtes un homme. Enfin ce n'est que mon avis.</t>
  </si>
  <si>
    <t>Trop bien J'adore ça sent super bon et longtemps</t>
  </si>
  <si>
    <t>chaussures columbia woodburn waterproof livraison rapide. conforme à la description. je fais du 42, J'ai pris du 42,5 et s'est parfait. les chaussures ont l'air solide.</t>
  </si>
  <si>
    <t>satisfaite Très bon achat ,la cafetière fait du bon café , elle a aussi  une belle allure conforme à la photo</t>
  </si>
  <si>
    <t>correct Les couleurs sont plus foncées et le taille S est un peu grand mais c'est pas dérangeant. Produit correct tissu fluide et livraison rapide je suis très satisfaite :)</t>
  </si>
  <si>
    <t>Bof bof... Reçu rapidement ! DÉCEPTION  car chaleur diffusée par le biais de resistances au niveau du dos et des épaules mais la collerette au niveau de la nuque ne chauffe pas.... Ne soulagé donc pas mes douleurs cervicales.... Chauffe juste le dos puissance 3...sinon,au dessous on ne sent pas grand chose.... Inefficace quant aux douleurs donc... Réchauffe juste les frileux.</t>
  </si>
  <si>
    <t>À fuir Chaussures de mauvaises qualités elles se décollent</t>
  </si>
  <si>
    <t>À éviter ! Achat des chaussures Sebago et presque neuves le cuir s'est déchiré au niveau de la couture !!! Et il semblerait pas de recourt auprès d'Amazone.</t>
  </si>
  <si>
    <t>Très bon biberon Tétine vitesse 1 et 2 parfait Inconvénients : - Graduation commence à 60ml - Comment chauffer le lait ? ils ne vont pas dans un bain marie ?</t>
  </si>
  <si>
    <t>bien pratique, désinfecte bien apparemment, par contre 7.12 euros les deux paquets en panier plus et 16 euros en prime? ça dépasse l'entendement</t>
  </si>
  <si>
    <t>pas adapter à toutes les baskets acheter pour les 270 de mon fils de 4 ans malheureusement pas adapter je les utiliserais sur une autre paire</t>
  </si>
  <si>
    <t>Micro performant Micro performant . Très bon rapport qualité/prix. Dommage que l'accu dans le récepteur ne soit pas prévu car un peu spécifique. Un petit bémol pour l'accu du récepteur car il y a un problème de contact. Il faut ajouter un petit bout de métal pour que le récepteur fonctionne. Mais je recommande ce matériel .</t>
  </si>
  <si>
    <t>Vive l'Italie ! Pas grand'chose à dire s'agissant de cartouches d'origine. Un regret cependant: venant d'Italie ces produits sont accompagnés d'une notice  en italien...!</t>
  </si>
  <si>
    <t>Un petit cadeau sympa Livraison dans les temps - Emballage soigné - Un beau petit bijou qui fait de l'effet</t>
  </si>
  <si>
    <t>La théière avec un grand T Le top de la théière, depuis cette achat nous buvons beaucoup plus souvent du thé Facile d’utilisation avec un très bon résultat sur le rendu des saveurs pour chaque type de thé</t>
  </si>
  <si>
    <t>super magnifique</t>
  </si>
  <si>
    <t>Impeccable Impeccable taille bien je fais du M et c'est du M</t>
  </si>
  <si>
    <t>Fait bien le travail et évite les coups de vent Prise de son en extérieur</t>
  </si>
  <si>
    <t>Très beau bracelet Très très beau bracelet Se porte avec n'importe quelle tenue</t>
  </si>
  <si>
    <t>Conforme aux attentes, livraison rapide Conforme aux attentes</t>
  </si>
  <si>
    <t>Super montre qui va sous l'eau rapport qualité prix top Tout est dans le titre j'ai offert cette montre à mon père il y'a plus d'un an et il la porte tous les jours que ce soit pour dormir ou se doucher il a pas changer les pile depuis, et il en est tout à fait satisfait ! je vous la recommande.</t>
  </si>
  <si>
    <t>Très bon produit Bon produit solide facile d'utilisation. Remplit parfaitement son rôle. Seul bemol : c'est assez large donc si vous ne pouvez les cacher ils se voient (vu leur aspect).</t>
  </si>
  <si>
    <t>Idéal Complément parfait des 4 paquets de cigarettes ,ensemble facilement transportable et occupant un espace de rangement mini a consommer sans modération</t>
  </si>
  <si>
    <t>très Bon produit C'est le 2ème lot que j'achète car très satisfaite du premier. Pratique, ne se renverse pas pendant le transport. Néanmoins, on ne voit plus les quantités quand il y a le lait dedans..</t>
  </si>
  <si>
    <t>Appareil de massage rotatif &lt;div id="video-block-R3UWUQFGINBMO0"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id="47" preload="auto" src="https://images-eu.ssl-images-amazon.com/images/I/91ia4ZBwL9S.mp4" style="position: absolute; left: 0px; top: 0px; overflow: hidden; height: 1px; width: 1px;"&gt;&lt;/video&gt;&lt;/div&gt;&lt;div id="airy-slate-preload" style="background-color: rgb(0, 0, 0); background-image: url(&amp;quot;https://images-eu.ssl-images-amazon.com/images/I/A1YeCwIQJxS.png&amp;quot;);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value="https://images-eu.ssl-images-amazon.com/images/I/91ia4ZBwL9S.mp4" class="video-url"&gt;&lt;input type="hidden" name="" value="https://images-eu.ssl-images-amazon.com/images/I/A1YeCwIQJxS.png" class="video-slate-img-url"&gt;&amp;nbsp;Appareil de massage rotatif. Avec sa base pour le chargement secteur. Possede 2 positions.. tendre et rapide. Vous pouvez vous le passez sur tout le corps. Agréable et détente assuré  pour courbatures ou douleurs tendons</t>
  </si>
  <si>
    <t>Pour mon imprimante... Et courrier épistolaire de plus en plus rare d'ailleurs, un point négatif tout de même c'est que l'on m'oblige à en acheter deux soit 1000 feuilles et je n'aime pas cela du tout....</t>
  </si>
  <si>
    <t>Tres belles J adore elles sont magnifiques !!</t>
  </si>
  <si>
    <t>encre hp 300 pas cher j'ai tjs utilisée cette marque j'en suis très contente pour la première fois via amazon pas déçue non plus. Livraison à domicile rapide moins cher que demandez de plus je ne me pose plus la question je recommanderai dès que nécessaire</t>
  </si>
  <si>
    <t>Ravie Reçus rapidement, conformes !</t>
  </si>
  <si>
    <t>Tip top Très bon produit, expédié et arrivé a l'heure !  Quand t'a la qualité des ces écouteurs, personne ne ment, son et autonomie au top, je recommende !</t>
  </si>
  <si>
    <t>Déçu Déçu l'attache de derrière l'oreille pas la même couleur et il n'est pas comme la photo de sur Amazon. Les pierres ne sont pas rose mais violet.</t>
  </si>
  <si>
    <t>Mauvaise qualité Au bout de quelques semaines et très peu mises, la semelle se décolle deja du cuir sur l’avant de la chaussure</t>
  </si>
  <si>
    <t>son mauvais par rapport aux orginaux C'est clairement une copie de moindre qualité. J'ai toujours les originaux a la différence est flagrante. Au vu du prix, il fallait s'en douter</t>
  </si>
  <si>
    <t>Pas encore utilisé Pas mal</t>
  </si>
  <si>
    <t>Très bon sac Le sac est très bien, beaucoup de rangement et solide. J'ai été déçue par la couleur qui tire vers le kaki. Très confortable sur les épaules.</t>
  </si>
  <si>
    <t>Rapport Qualité prix excellent. Que dire de plus à part qu'au niveau du prix pour le son qu'il produit, c'est tres bon ! Le casque fait un peu "cheap" niveau construction et solidité mais il remplis parfaitement son role principal du son et sans fil. Il semble qu'Harman ai tout misé sur la qualité du son plutôt que l'esthétique.</t>
  </si>
  <si>
    <t>Pochette bandoulière Recut rapidement. Belle article. Idéal pour mettre son portefeuille. Petite contenance. Tout a fait ce que je recherchais</t>
  </si>
  <si>
    <t>kdo très contente de se que j'ai reçu</t>
  </si>
  <si>
    <t>Style sport chic Une montre série BMW mais au logo très discret. L'association bleu nuit et rouge est plutôt réussie.  La montre est qualitative. Dans un style sport-chic, elle est très masculine. Elle existe dans un modèle plus grand (modèle 1473) pour ceux qui aiment les montres imposantes au poignet.  Le bracelet est préformé et rigide.  Mon mari qui ne porte habituellement que des montres tout métal a beaucoup aimé ce modèle.</t>
  </si>
  <si>
    <t>Le pratique du Bluetooth J'ai acheté ce système de casque oreillette Buetooth pour éviter les fils qui trainent entre l'appareil et le casque. Installation facile document joint avec les bonnes explications. Il est indiqué que le chargement dure entre 3 et 3.5 heures, il était chargé au bout d'une heure, il y avait peut-être une pré charge en usine. La petite diode lumineuse est pratique pour voir s'il est allumé ou s'il faut le recharger. A voir dans le temps pour la robustesse et la fiabilité. Tout de suite reconnu pour le Bluetooth.</t>
  </si>
  <si>
    <t>Boucles d’oreilles ayant été très appréciées !!! C’etait un petit cadeau de très bon goût. C’est un cadeau qui a bien plu à la personne à qui elles étaient destinées, c’était le but recherché dans ma recherche, je suis très satisfaite et recommande ce vendeur.</t>
  </si>
  <si>
    <t>Taille petit Rendu inpeccable ça brille lol. Attention ce modele ou peut être même la marque taille petit prévoir une taille au dessus</t>
  </si>
  <si>
    <t>Je recommande vivement Je n’y Croyais que moyennement mais ce tapis fait réellement des miracles sur l’etat Général du corps et sur le sommeil</t>
  </si>
  <si>
    <t>Parfait pour jouer aux détectives Commandez pour un anniversaire détective, les enfants ont adoré partir avec ce petit cadeau</t>
  </si>
  <si>
    <t>Lot de tétine à très bon prix 🏷 🍼 Tétines Philips avent avec plus grand débit , lorsque bébé grandit et réclame plus de lait .. Tétines en silicones blanc . La forme est toujours la même donc bébé l’a adopté facilement . Debit plus grand grâce à une ouverture plus large . 3 vitesses toujours Facile à nettoyer 🧼 Je recommande , tétine parfaite en tous points .  🍼</t>
  </si>
  <si>
    <t>Je recommande Tres belles boucles  et legeres a porter. Boucle qui fo t de l effet vu le prix. Agréables et fait son effet</t>
  </si>
  <si>
    <t>Cartouches officielle Rien à redire si ce n'est le prix qui est franchement abusé même en XXL. &amp;gt;930€/L, on avoisine le Chanel N°5...</t>
  </si>
  <si>
    <t>Très satisfait merci Amazon Très satisfait du produit et 100% conforme à la description très dou et tien vraiment chaud les pieds bonne fourrure les crampons sont bien visibles et conseils de prendre une taille au-dessus le prix est là mais la calité aussi je recommande vivement</t>
  </si>
  <si>
    <t>Très bon produit ! Super produit, facile à monter sur la montre, a l’air solide ! Livraison très rapide ! Boutique à recommander !</t>
  </si>
  <si>
    <t>Simple et parfait Pied reçu rapidement et parfaitement emballé. Correspond exactement à la description. Je n'était pas sûr par rapport au poids du micro, j'ai un RODE NT1 (la nouvelle version, le noir vendu en kit). Mais aucun problème le pied est fixé au plateau de mon bureau et le pied supporte le poids dans toutes les positions, même bras complètement étendu. Le bras du haut semble avoir deux tensions possibles, mais je n'ai pas eu besoin d'essayer la deuxième position. Un bon achat. Je ne sais pas ce qu'il est en est du shockmount livré avec car le RODE est livré avec le sien.</t>
  </si>
  <si>
    <t>Le son est merveilleux! Je l’ai acheté pour moi, mais ce produit est la partie supérieure du cadeau. Parce que l’emballage est vraiment merveilleux, et ça ressemble à de la haute technologie. Même si le prix est un peu élevé, le niveau de qualité n’est pas décevant. C’est le meilleur casque que j’ai acheté. Recommandé.</t>
  </si>
  <si>
    <t>Trop agréable Super sensation à la sortie du frigo Mes pores se resserrent Parfait</t>
  </si>
  <si>
    <t>Joli  sacoche Très joli  sacoche  mon fils il est trop  content  pratique pour mettre son téléphone  sa carte bus... merci vendeur .</t>
  </si>
  <si>
    <t>Bon rapport qualité prix Bon produit ,belle qualité, intensité parfaite et est bien stable, correspond parfaitement à la description.</t>
  </si>
  <si>
    <t>déçue J'avais choisi cet article dans une autre couleur mais il n'y avait pas ma pointure. J'ai commandé, un peu rapidement, je le confesse ce que je croyais être le même article dans une couleur différente....MAIS CE N'EST PAS le même modèle la matière du dessus de la chaussure n'est pas du cuir et je connais ce genre de matière qui ne résiste pratiquement à rien. Très déçue: est-il possible de retourner l'article reçu avant-hier?</t>
  </si>
  <si>
    <t>A fuir !!! Qualité médiocre copie chinoise ??? Je n'ai mis ces chaussures que 4 fois.  Déjà à la réception, j'étais réticent et je n'ai pas voulu trop les mettre vu la fragilité du produit (ce qui est un comble pour des chaussures en cuir...  Je n'ai pas eu l'occasion de les mettre plus souvent, mais aujourd'hui en voulant les enfiler, j'ai remarque que elles étaient déjà cassée !!  Un comble sachant que j'ai dû les mettre 4 fois et sur des courtes périodes (moins de 5 heures).  C'est un produit honteux, à fuir absolument !</t>
  </si>
  <si>
    <t>oups! à l'achat les chaussures tenaient toutes leurs promesses et la satisfactions à était de courte durée car la couleur à vite virée à un bleu plus que délavé, on se demande même de quelle couleur pouvaient être ces "Converse" au départ...??? quel dommage!!!</t>
  </si>
  <si>
    <t>Belle mais pas pratique Bracelet absolument pas pratique</t>
  </si>
  <si>
    <t>Très bon produit Correspond à la description, mon fils les utilisent en sport de salle car elles son antiderapantes bon rapport qualité prix</t>
  </si>
  <si>
    <t>Bien Je l'ai pris pour mon mari, belles chaussures de sécurité, mais il est cuisinier. Donc chaussures antidérapant, mais une fois que le sol de la cuisine est mouillé pour le nettoyage, elles glissent. Il les aime bien qd même. Chaussures conformes aux images</t>
  </si>
  <si>
    <t>pas trouvé mieux j'utilise pour une poubelle qui n'est pas de la m^me marque mais ils conviennent parfaitement. je recommanderai une fois la boite terminée.</t>
  </si>
  <si>
    <t>Bien Sa taille est juste, j'ai pris une taille au dessus pourtant et mettre des semelles pour plus de confort .. sinon bien</t>
  </si>
  <si>
    <t>Mon filleul adore ! Parfait, mon filleul adore il peux goûter tous les fruits (pure) sans risquer de s'étouffer avec des morceaux, l'aspect tétine de l'anneau est très amusant pour lui!</t>
  </si>
  <si>
    <t>Rapide , pas cher et de bonne qualité Très jolies et de bonne qualité</t>
  </si>
  <si>
    <t>Je le conseille Très bonne prise en main</t>
  </si>
  <si>
    <t>Efficace Efficace pour éviter les pops et doux quand on frotte sa joue dessus. Rien à redire.</t>
  </si>
  <si>
    <t>Bonne Qualité Bonne Qualité</t>
  </si>
  <si>
    <t>Peinture Attention cela ne se nettoue pas facilement</t>
  </si>
  <si>
    <t>Belle coupe Produit conforme, qui se découd au niveau de la poche</t>
  </si>
  <si>
    <t>qualité Parfaitement adapte à ma machine contrairement aux commentaire lu ici.</t>
  </si>
  <si>
    <t>Top qualité, prendre une pointure au-dessus Vraies Kickers, c'est indéniable (même si le tampon n'est plus forcément présent, voir les photos sur le site officiel). La collection Kick Col est une ligne à la base pour enfant et, allez savoir pourquoi, même le 39 enfant (pourtant quand un enfant fait du 39...ce n'est normalement plus tout à fait un enfant) est calibré "enfant". Compter donc une pointure supplémentaire par rapport à la taille "femme" habituelle. Pour résumer : je fais du 38 en général, 38 OK chez Kickes pour la collection Kicklegend (par exemple, en tout cas collection femme), mais 39 nécessaire pour KIck Col (collection dite "enfant")</t>
  </si>
  <si>
    <t>Pour des yeux reposés Arrivé bien emballé, dans une petite boite sympa. Après utilisation, on ressent une sensation de repos et de fraîcheur sur le contour des yeux. Idéal pour réhydrater la partie fine de la peau à cet endroit. Pour un effet anti-ride ou anti-cerne important, je pense qu'il faut l’utiliser quotidiennement mais sinon c'est vraiment idéal après une nuit courte, ou lorsque l'on prends du temps pour soi (remplace les concombres sur les yeux).</t>
  </si>
  <si>
    <t>Beau, pratique et simple d'utilisation Très beau produit et fonctionne parfaitement Température réglable facilement Pas besoin de manuel : tout est affiché Pratique car vous choisissez la température idéale  pour votre thé ou votre préparation de henné : je l'ai acheté aussi pour cette raison (faut 50 degré lol) Le verre est résistant et le cordon de la bonne longueur Lavage au vinaigre blanc tout simplement :) Dès que vous le posez sur le socle : il indique la température à l'intérieur ( l'eau ou lair s'il est vide ) puis après quelques seconde la lumière s'éteint.</t>
  </si>
  <si>
    <t>Pointeur pour presentation de formation ppt. C'est la première présentation que je fais avec ce pointeur, et je dois dire que je suis ravi. Il est très ergonomique, il tient parfaitement bien dans la main, et son revêtement lui donne un toucher très confortable. La mise en place est très rapide, avec la clé USB. Lorsque on n'utilise pas le pointeur elle est logée à l'intérieur du pointeur. Le laser marche très bien même à une distance de 20 m. Il a des touches pour faire avancer et reculer la présentation, mais aussi une touche pour pour faire un écran noir ou pour arrêter et relancer la présentation. Je suis très content de mon achat, et je ferai toutes mes formations avec ce pointeur. J'espère que mon retour l'expérience vous aura été utile.</t>
  </si>
  <si>
    <t>Le meilleur goupillon sur le marché Après avoir acheté plusieurs modèles de goupillon sur le marché, c'est celui-là le meilleur, facile de nettoyage, souple qui évite d'abîmer les tétines. Je ne regrette absolument pas mon achat et je recommande ce produit. De plus il est rotatif et c'est super pratique.</t>
  </si>
  <si>
    <t>Un peut petit Simplement faire jolie au poignet</t>
  </si>
  <si>
    <t>Super produit Super beau Pratique Solide  Je recommande</t>
  </si>
  <si>
    <t>Taille petit le M est plus un S Taille petit Tee shirt de bonne qualite mais taille trop petit.oblige de rachater sur une autre marque les tee shirt.</t>
  </si>
  <si>
    <t>Peinture qui ne part pas au lavage La texture est géniale et facile à utiliser mais la peinture n’est pas partie au lavage malgré que j’ai mis une bonne dose de détachant. Pour l’utiliser il faudra donc couvrir entièrement votre enfant et vous même....</t>
  </si>
  <si>
    <t>Le prix de la livraison = 2 fois le prix du produit Il est indiqué sur la page du produit que la livraison s'élève à 1,75€, sauf que j'ai payé 4,50€ de frais de port et ce sans justification. Pour une petite bouteille d'huile essentielle, ça parait un peu exagéré...</t>
  </si>
  <si>
    <t>Trop grande J'ai retourné cette brassière car elle était trop grande : j'avais pris du 90B (ma taille)  mais c'était plutôt du 90C.  À part ça elle avait l'air bien.</t>
  </si>
  <si>
    <t>Satisfait Bonne coupe, attention 100% polyester.</t>
  </si>
  <si>
    <t>Bon produit Parfait</t>
  </si>
  <si>
    <t>Tête Idéal pour les maux de tête. Ce produit a été envoyé avec une pipette pour doser . L'odeur est bonne et le flacon est facile d'utilisation</t>
  </si>
  <si>
    <t>Effet métallisé parfait Effet métallisé parfait</t>
  </si>
  <si>
    <t>bon achat très bon rapport qualité prix</t>
  </si>
  <si>
    <t>Bonne qualité Très bonne qualité. Confortable</t>
  </si>
  <si>
    <t>Facile à dérouler colle bien sur le papier bulle et s'adapte parfaitement au dérouleur.</t>
  </si>
  <si>
    <t>Bon produit Produit conforme bonne qualité et prix attractif</t>
  </si>
  <si>
    <t>Cafetière Bon produit et conforme aux attentes</t>
  </si>
  <si>
    <t>IMPECCABLES Bonsoir, Cartouches d origine Canon de grande capacité parfaitement reconnues par mon imprimante, C est TOP. Réception rapide Entièrement satisfait. Je vous les recommande vivement. Cordialement, DOMINIC</t>
  </si>
  <si>
    <t>Léger et ergonomique Super produit, par contre le livreur aurait failli percuter une personne devant chez moi tellement il roulait vite... Merci Amazon de bien vouloir faire remonter cette information, car impossible de faire autrement</t>
  </si>
  <si>
    <t>Pourquoi s'en priver! Pourquoi s'en priver, moins de 20 €. Super léger, tiennent bien dans mes oreilles comme dans celles de mon conjoint. Bon son, clair et bien défini. Je l'utilise pour le sport très discret. Chargement facile, géniale la boite de rangement qui a une petite batterie  qui recharge automatiquement dès que les écouteurs sont rangés. Branchement direct sur la boite. La connexion automatique cest top. Pour le prix, je vous les conseille.😊</t>
  </si>
  <si>
    <t>Super produit ! Me contentant des écouteurs de la marque de mon téléphone, j'ai voulu tester autre chose ! Ils sont confortables avec une bonne tenue dans l'oreille, d'ailleurs la panoplie des tailles des embouts est vraiment très variée. La son est excellent et on est bien isolé des bruits externes. La longueur du câble est considérable et le pad + micro sont très fonctionnels. Je crains seulement à la solidité du câble de la prise jack, c'est là que j'ai tourné des problèmes, mais pour le moment cela tient très bien.</t>
  </si>
  <si>
    <t>Très beau Super collier de très bonne qualité pour le prix</t>
  </si>
  <si>
    <t>Bracelet Pour mon usage personnel</t>
  </si>
  <si>
    <t>Filtre anti-pop Bonjour, filtre anti-pop basique qui réduit à néant les bruits pop, marche très bien avec bon attache pour acrocher à un bras articulé. Livré gratuitement en 1 JOUR OUVRÉ !</t>
  </si>
  <si>
    <t>Pompe submersible de relevage J'ai remplacé une pompe de relevage par celle-là (Makita 1100). Placée en bout des drains filtrants, elle doit relever les eaux pour les amener dans un fossé un peu plus élevé (+3 m). Ancien professionnel j'ai opté pour une pompe Makita PF 110. Ce produit ayant un rapport très intéressant qualité/prix. Cette pompe peut aspirer des eaux assez chargées et acceptant des grumeaux de 35 mm. Cette pompe me donne entière satisfaction.De plus le raccordement est très facile. Nota pour des relevage dépassant les 7-8 m, il serait  logique d' opter une pompe ayant des performances  plus élevées ( mais à des prix + élevés...)</t>
  </si>
  <si>
    <t>Jolie montre Très jolies montre, plutôt fine et de bonne qualité ! J en suis contente et mon mari aussi ! Je vous la recommande</t>
  </si>
  <si>
    <t>Très classe en soirée cadeau classe</t>
  </si>
  <si>
    <t>Satisfaite Très bon produit je le recommande</t>
  </si>
  <si>
    <t>Un peu décevant Acheté et reçu très rapidement en livraison normal, Merci Amazon.  Écouteurs testée sur un téléphone sous Android Oreo  Contenu en général : - La boite de recharge. -Les deux écouteurs. -Un câble USB-&amp;gt;Micro-USB. -Le manuel d'utilisation. -6 embouts de différentes tailles en silicone. sont fourni dans la boîte.  Le produit en lui même : - Un effet réduction de bruit assez puissant, une fois la musique allumé presque tout les bruits sont étouffé.  - Ceux que j'ai reçu ont un son assez correct pour le prix acheté.  - Les basses se ressentent et son bien évidemment plus puissant avec les deux écouteurs.  - parlons des écouteurs, Ils peuvent s'utiliser à la fois en stéréo avec les deux en même temps que un seul écouteur solo. Pour ma version l'écouteur principal en stéréo et celui de gauche.  - La charge se tient très bien après 1h30 d'utilisation mon téléphone m'indique 60% de batterie restante. La charge des écouteurs dans la boîte et assez rapide, je passe de 40% à 80% en 15-25mn pour un écouteur.  - La boîte de recharge tient dans une poche et peut recharger les écouteurs et votre téléphone. Batterie annoncé de 3000 mAh pour la boîte  - Les écouteurs déconnecté de la boîte se connecte tout seul au dernier téléphone appairé. Si vous utilisiez un seul écouteur puis vous souhaitez utilisez les deux, Ils essayeront de se connecté ensemble sans intervention utilisateur.  - Les écouteurs possède un capteur tactile pour contrôler le flux audio. Tapez 3 fois la surface pour appeler Siri (Annoncé mais non tester, Google ne peut pas être appelé de cette manière).  - Pour ma part les écouteurs tient très bien dans mon oreille et ne sont jamais tombé seuls, Toutefois si vous n'utilisez pas des bouchons adapté ou si vous bougez vos oreilles (pour ceux qui y arrive) vous pouvez les perdre en plein utilisation.  Les défauts trouvé : - Le gros défaut que j'ai ressentit, Les écouteurs se déconnecte tout le temps de la boîte de recharge.  Je ne peut pas les rechargé sans qu'ils se déconnecte de la charge a tout moment et éventuellement elles connecté se à mon téléphone automatiquement. Pour vous dire, Devant moi la boite posé lorsque j'écris le commentaire, l'écouteur droit (Sans toucher la boite) se déconnecte tout seul de la boîte et la connexion avec mon téléphone a était fait (la boîte et fermer.).  - J'ai ressentit des micro-coupures lors de l'utilisation mais heureusement assez rarement.  - lors de ma première semaine d'utilisation j'ai eu 3 fois une désynchronisation audio des deux écouteurs. dans se cas arrêter toute source audio environ 5 secondes le temps que les écouteurs se resynchronise tout seuls.  - Attention, lorsque vous utiliser l'écouteur secondaire seul (Pour moi l'écouteur secondaire était celui de droite) Lors de l'activation de l'écouteur principal (Celui de gauche) tout flux audio intelligent se mettra en pause et peut ne pas repartir tout seul. Cela et du au fait que un seul écouteur peut être connecté en même temps. L'écouteur principal déconnecte l'écouteur secondaire pour qu'ils se synchronise ensuite l'écouteur principal va se connecter au téléphone.  - J'ai eu une période ou j'ai sortit les deux écouteurs en même temps et mon téléphone n'a pas réussi a choisir entre l'écouteur principal (pour se mettre en stéréo) ou l'écouteur secondaire. Donc éviter de déconnecter de la boîte les deux écouteurs en même temps sinon vous aurez quelques soucis (Pour ma part mon téléphone a supprimé les deux écouteurs des appareils appairé)  - Il se peut que votre écouteur principal (utilisé seul) ne se connecte pas au second écouteur débrancher lors d'une utilisation. Dans se cas attendez que l'écouteur droit s'éteint seul (environ 20 secondes sans aucune intervention) puis rallumez le en restant appuyez sur la surface tactile environ 2 secondes. Normalement les écouteurs réussiront a se synchroniser.  Ressentit fianl : Je peut recommander les écouteurs pour les personnes voulant un produit pas spécialement cher mais correct en qualité audio. Mais je ne recommande malheureusement pas car la charge dans la boîte et trop instable et les personnes voulant un bon produit pas spécialement cher (50€ sa fait quand même une bonne petite somme) passez votre chemin.</t>
  </si>
  <si>
    <t>JE NE RECOMMANDE PAS La montre ne tient pas la charge. Les boutons appuient toujours sur le poignet et elle se dérègle</t>
  </si>
  <si>
    <t>Petit et colle peu Trop petit et colle peu.</t>
  </si>
  <si>
    <t>contente bien</t>
  </si>
  <si>
    <t>Dommage, casse! Bonjour, un flacon sur les deux était cassé et l’huile répandue partout graissait le paquet signalé reconditionné par la poste. C’est dommage, l’huile essentielle contenue dans le deuxième flacon est très très odorante et semble de très bonne qualité. Je dois dire que l’emballage était insuffisamment protecteur.</t>
  </si>
  <si>
    <t>Transpiration assurée Transpiration assurée, un peu inconfortable mais efficace</t>
  </si>
  <si>
    <t>Mon ami m'a recommandé d'acheter ce produit Mon ami me recommande d'acheter ce produit.  maintenant je l'utilise une fois par jour pendant 30 minutes. Ce produit a amélioré la circulation de mes jambes et de mes pieds. Il réduit considérablement les douleurs aux pieds causées par des lésions nerveuses et l'arthrite. De plus, ce masseur me permet de m'endormir facilement, sans prendre de médicament.</t>
  </si>
  <si>
    <t>Conforme Arriver dans les temps en boîte au lettre sans carton d emballage mais bien reçu , chaussure confortable mais à voir l usure dans le temps</t>
  </si>
  <si>
    <t>Crocs Mieux vaut prendre une taille au-dessus, si vous voulait les portée.</t>
  </si>
  <si>
    <t>Très confortable. Idéal pour une pratique sportive occasionnelle. Au niveau de la pointure c'est juste parfait. Ni trop serrée, ni trop lâche. En plus de ça les chaussures sont très confortable pour une séance de gym. C'est vraiment un produit de qualité adapté à une pratique du sport fréquente mais pas non plus intensive. En revanche si vous aimez les chaussures plus flashy, la blancheur de ces baskets risque de vous paraître un peu terne mais c'est une affaire de goût.</t>
  </si>
  <si>
    <t>Compatible avec imprimante EPSON XP 345 J’ai remplacé la cartouche Black pour l’instant la cartouche a bien été prise en charge par mon imprimante EPSON XP-345, qui a tout de même détecté que ce n’était pas  une cartouche d’origine. Mais pour le prix le pack est intéressant. La qualité d’impression est différente mais pour mon utilisation c’est bien suffisant.</t>
  </si>
  <si>
    <t>à partager Entre mes filles aussi sportives l'une que l'autre… reste à choisir la couleur en fonction du sport… ou de la couleur du débardeur, allez savoir, ce sont des filles, le mystère reste entier !</t>
  </si>
  <si>
    <t>Conforme Conforme à mes attentes</t>
  </si>
  <si>
    <t>les2 Broche Petits Oiseaux En Alliagecolorés les2 Broche Petits Oiseaux En Alliage colorés sont bien arrivé le colis en bonne état , mignons et bien finis satisfaite</t>
  </si>
  <si>
    <t>Craie liquide Très bien, idéal pour écrire du les pots de confiture!!!!</t>
  </si>
  <si>
    <t>Excellent son. Impeccable.</t>
  </si>
  <si>
    <t>Parfait En 3 utilisations , les poules on plus de gale ! Plus que ravie !!!’</t>
  </si>
  <si>
    <t>Pour un lit bien chaud Super pour un hiver dans lit bien chaud en plus la bouillotte a un pull qui se retire et donc lavable</t>
  </si>
  <si>
    <t>cartouche d'origine C'est une cartouche d'origine et je recommande vivement de ne pas en changer ! Ainsi, aucun problème ni de qualité ni de chargement dans l'imprimante. et envoi rapide et bon rapport qualité prix</t>
  </si>
  <si>
    <t>PARFAITEMENT CONFORME. Produit conforme à la description. Bonne qualité apparente, livraison très rapide et un dimanche. Extraordinaire !</t>
  </si>
  <si>
    <t>Super Produit reçu rapidement... Ma vieille courroie s’etait décomposée dans le grenier... Mise en place aisée en 2 min, bien veiller à faire tourner le plateau à la main sur quelques tours avant la mise en marche.</t>
  </si>
  <si>
    <t>baskets rouges jolies baskets, conforme à la photo+++</t>
  </si>
  <si>
    <t>élégant et beau Reçu à l'heure. J'ai aimé le style et le design de la chaîne. la qualité du matériel est bonne et aucun dommage. Pas de problème de couleur. aucun problème noté en utilisant dans l'eau. Très léger et obtenu dans une petite boîte cadeau. le mieux pour le gifiting aussi. Vaut pour le prix.</t>
  </si>
  <si>
    <t>Bonne qualité Très bonne qualité à très bon prix</t>
  </si>
  <si>
    <t>Pas terrible Obligé d utiliser une cartouche HP car les imprimantes n acceptent plus les cartouches generiques. Mais le rapport qualité/prix n est vraiment pas bon, la cartouche s use tres vite malheureusement.</t>
  </si>
  <si>
    <t>Mauvaise qualité Cassé au bout de deux jours</t>
  </si>
  <si>
    <t>Décevant Produit très décevant. Puissance insuffisante, qui ne permet d’absorber que de la cendre fine, tout morceau de bois même de petite taille n’est pas aspiré.</t>
  </si>
  <si>
    <t>Très bon mélangeur Très bon mélangeur pour biberon contrairement a certaine marque qui vende cela 20 euros. Facile d'utilisation et d'entretien seul bémol il reste fragile si on le fait tomber. Bonne durée d'utilisation</t>
  </si>
  <si>
    <t>Efficace pour ma part J'en suis au dernier mois de ma grossesse et pour le moment je n'ai toujours pas de vergetures sur le ventre. Ayant pourtant tendance à avoir des vergetures lorsque mon poids varie, je pense réellement que cette huile y ait pour quelque chose. J'ai recommandé il y a quelques mois une bouteille pour la fin de ma grossesse et un peu après. Je recommande.</t>
  </si>
  <si>
    <t>pratique car trois en un croque monsieur gaufres sandwichs</t>
  </si>
  <si>
    <t>Adhère pas assez Bon papier, dommage je trouve qu'il adhère pas assez. Sinon qualité impression impeccable</t>
  </si>
  <si>
    <t>Très cool Ma petite soeur est très à l'aise dans ces paires de converses. C'est très confortable et agréable. Mais prendre une demi taille en dessous de la vôtre.</t>
  </si>
  <si>
    <t>bain pied super produit qui tient ses promesses super massage esthétiquement il est beau et bien emballé je vous le recommande idéale pour un bon bain pied le soir après une longue journée</t>
  </si>
  <si>
    <t>Charge et connection ok Acheté pour écouter de la musique un peu partout je suis très satisfait de ce modèle</t>
  </si>
  <si>
    <t>Tout à fait satisfaisant Élégant silencieux efficace simple d’utilisation Mettre plus de gouttes d’huiles essentielles que précisé dans la notice si la pièce est plus grande qu’une chambre</t>
  </si>
  <si>
    <t>Très beau Ce collier est très beau.assez fin mais j'aime beaucoup</t>
  </si>
  <si>
    <t>Authentique casio vintage Et une de plus dans ma collection! Elle est sobre et facile à porter avec n importe quelles tenues. Son bracelet en silicone en fait une montre légère et agréable à porter. Le seul petit bémol que je mettrais c est l éclairage faible du cadran qui n éclaire que d un côté. Enfin pour le prix je ne pouvais absolument pas me permettre de passer à côté .</t>
  </si>
  <si>
    <t>Parfait ! Super Crocs ! Taille parfaite. La qualité y est et le confort n'est plus à prouver. Utilisés en chaussons, ces Crocs passent aussi bien du parquet au carrelage ou la moquette sans faire le moindre bruit. Les semelles amortissent très bien et reposent les pieds après une journée de travail. Un produit vivement conseillé.</t>
  </si>
  <si>
    <t>Super Je ne regrette pas cet achat et le prix !</t>
  </si>
  <si>
    <t>Enlarge your printer Cartouche d'origine utilisée sur Officejet 8600 Plus, installée en 30 secondes. Environ 1500 pages à chaque fois avec ces modèles XL pour un prix très correct, ce qui permet au jet d'encre d'atteindre un coût à la page inférieur à la plupart des laser (pour un niveau de détails sensiblement inférieur tout de même).</t>
  </si>
  <si>
    <t>Confort Si vous n’aimez plus les soutiens-gorge c’est ce qu’il vous faut au quotidien. Je recommande! 👍🏽</t>
  </si>
  <si>
    <t>recu rapidement produit conforme</t>
  </si>
  <si>
    <t>Belle chaussure Loisirs, après chasse. .</t>
  </si>
  <si>
    <t>Super ! La paire de Stan Smith Originals est à la hauteur de sa réputation ! Taille parfaite, cuir de qualité. A recommander</t>
  </si>
  <si>
    <t>SUPER PRATIQUE Cet article correspond à la photo et à la description données sur le site. Ces chaussons sont parfaits pour faire de l'Aqua... ils s'adaptent parfaitement à la forme du pied et tiennent bien en place malgré les mouvements répétés dans l'eau. Solide, d'un prix raisonnable, je recommande...</t>
  </si>
  <si>
    <t>Au top Ma fille est super bien dedans pour son cours de danse .</t>
  </si>
  <si>
    <t>Basket J’adore j’ai l’impression d’être dans des pantoufles tellement elle sont légère taille bien livraison rapide je recommande</t>
  </si>
  <si>
    <t>Micro de très mauvaise qualité. Pour écouter de la musique ce casque est correct, pour cette gamme de prix. Mais le microphone et la réception vocale par téléphone ou même ordinateur via Skype est horrible, la voix est comme robotisé ! Le bluetooth se connecte bien et rapidement mais à une très courte portée quelques mètres (2/3 m) au-delà le casque se déconnecte. RESUME : seulement pour écouter de la musique proche de la source sonore.</t>
  </si>
  <si>
    <t>Déçue J’avais pris ces étiquettes car il était indiqué qu’elles faisaient 6 cm de diamètre, mais une fois reçue j’en constate qu’elle font seulement 4,5 cm, j’avais acheté des accessoires personnalisés pour ces étiquettes mais du coup c’etait Trop grand ...</t>
  </si>
  <si>
    <t>Super pour les jeunes Bonne qualité mais taille un peu petit</t>
  </si>
  <si>
    <t>Bon produit Très satisfaite de ce produit . Elle est design  et très pratique avec son thermostat intégré.</t>
  </si>
  <si>
    <t>Bon rapport qualité prix Bon rapport qualité prix je recommence mais il faut faire attention à la pointure pour moi je prend en général 41 mais sur cette New Balance 41,5 j'ai trouvé un peux petit</t>
  </si>
  <si>
    <t>Très bon produit Excellent produit je recommande</t>
  </si>
  <si>
    <t>Chaussettes de course top Chaussettes de course, adaptées comme décrites, matériel haute qualité, renfort sur le devant et l'arrière du pied , taille comme il faut.... livraison parfaite.</t>
  </si>
  <si>
    <t>Très bon produit Rien n'a dire super sacoche m'accompagne tout les jours beaucoup de place solide.</t>
  </si>
  <si>
    <t>Super rapport qualité prix ! Je suis bluffé par ces écouteurs sans fils, le son est très correct pour le prix aux quels ils sont vendu, ils tiennent très bien aux oreilles même lors de mouvements brusque ou autres... Les écouteurs sont élégants, confortables et pas trop volumineux, le boitier de recharge est aussi élégant et passe partout, il permettra de recharger vos écouteurs plusieurs fois.</t>
  </si>
  <si>
    <t>Chaussure belle et confortable.je recommande ce vendeur Je fais habituellement un 37,5/38. Là c'est bien du 38 qu'il m'a fallu. Le vendeur m'a renvoyé la bonne taille très rapidement. Je valide cette chaussure tres jolie et confortable.</t>
  </si>
  <si>
    <t>sacoche cuir parfait , bien pratique pour le rangement . un petit oups la poignée dérivée  j'ai pue  la remettre avec une pince.</t>
  </si>
  <si>
    <t>J adore Tout simplement converse j adore surtout à un prix super attractif Toujours prendre une taille en dessous de sa pointure car taille grand</t>
  </si>
  <si>
    <t>La variété Achat pour Noël qui me convient très bien. Format et papier corrects pour un jeune enfant. Les questions sont nombreuses et variées, les réponses assez courtes. C'est suffisant.</t>
  </si>
  <si>
    <t>Confortable Il est confortable, beau et avec les oreilles c'est très mignon, il est juste magnifiquement bien.</t>
  </si>
  <si>
    <t>Montre Casio LCW-M170TD-1AER Je recherchais une montre solaire et radio-pilotée, elle correspond tout à fait à mon attente.  Je la trouve élégante et j'ai pu faire régler le bracelet dans une boutique qui faisait la marque mais pas ce modèle.</t>
  </si>
  <si>
    <t>Pour les problème de peau je le conseil Cela fait 1 semaine que je l utilise et j adore ce produit et l odeur de l immortelle. Très bon produit je le conseil si problème de peau :)</t>
  </si>
  <si>
    <t>Magnifique J'ai pris ce fauteuil pour remplacer l'ancien qui commencait à sérieusement pencher sur le côté. Je ne suis absolument pas dessu de mon achat, au contraire, après avoir passé un certain temps sur le montage et m'être enfin assit dedans, j'ai été très agréablement surpris par le côté confortable de ce produit. Avec son dossier qui embrasse la colonne vertebrale et son repose-tête, ce Songmics est particulièrement bien adapté aux personnes de grande taille (1.80m ou plus). Avis à bon entendeur: foncez!</t>
  </si>
  <si>
    <t>Beau Sweat Belle qualité, beau sweat</t>
  </si>
  <si>
    <t>Top top top Trop bien</t>
  </si>
  <si>
    <t>Micro karaoke et boule facette Mon expérience est vraiment une histoire qui fini très très bien. Je vais chercher au relay le micro cadeau de noël pour ma chanteuse de fille, le monsieur du relais me dit j’ai émis des réserves car conditions de livraison avec dommages ok je m’enprense d’en informé le sav et le vendeur. Réactivité du service amazon qui me propose de le renvoyer et le vendeur me propose de me renvoyer un autre. Donc je suis vraiment satisfaite de voir la réactivité des uns et des autres, ensuite le produit est trop jolie il fait enceinte Bluetooth et micro avec écho plus boule disco Je le recommande pour adulte et ou enfant c’est un peu lourd à une main mais deux mains c’est bon pour un enfant  à partir de 5 ans. Le son est bon pour un usage de karaoke ou chant voilà et très bonne expérience sur le sav du produit.</t>
  </si>
  <si>
    <t>Impe Impec</t>
  </si>
  <si>
    <t>Souplesse confort choix de couleurs bon produit Quotidienne confortable Bon produit</t>
  </si>
  <si>
    <t>Pas de câble pour charger votre boîtier, et le câble de votre Xiaomi n'est pas compatible. Écouteurs à un prix très accessible et et qui fonctionnent bien. Des écouteurs sans fils a moins de 30€ c'est très bien.  Cependant, ceux ci sont un petit peu inconfortables dans le sens où l'on se sent bizarre comme dans l'avion avec un petit bourdonnement dans les oreilles. Les écouteurs viennent sans chargeur. Or le câble de mon Xiaomi n'est pas compatible avec le boitier je suis donc forcé d'acheter un cable. Je pense qu'il vaut mieux les acheter en magasin pour vérifier la compatibilité de votre câble de chargeur.</t>
  </si>
  <si>
    <t>le tissu tres beau mais trop fin je cherchais le meme modele mais tissu plus epais pour hiver</t>
  </si>
  <si>
    <t>Trop petit de 2 tailles Produit trop petit</t>
  </si>
  <si>
    <t>Bien mais.... Très confortables mais s’abiment Vite</t>
  </si>
  <si>
    <t>Dommage Très bonne qualité néanmoins je ne peux utiliser les 6 paires Il me manque un fermoir que je n ai pas Reçu à la livraison ! Oubli en Usine</t>
  </si>
  <si>
    <t>Au top Je le recommande. Recu dans les temps. Très bon produit mais taille vraiment très grand 2 pointures de moins que la taille habituel.</t>
  </si>
  <si>
    <t>Les mêmes avec semelles blanches auraient été parfaites! Ces baskets sont très confortables et apporte une bonne tenue du pied avec une bonne accroche sur les sols extérieurs. Hélas j'aurai bien aimé les mêmes modèles avec des semelles blanches histoire de pouvoir aussi les essayer en salle mais les semelles noires en interdisent l'entrée... Dommage pour une paire de chaussures blanches avec 90 et grise de ne mettre le noir qu'à l'endroit qui les interdit de salle... D'autant plus pour une paire de "Fitness", mais bon elles se sont avérées tellement agréables aux pieds pour les séances fitness en extérieur que je l'apprécie arrivé là vraiment, c'est juste que mon placard à chaussures ne peut pas sans cesse s'agrandir!! (Hélas...) :-)</t>
  </si>
  <si>
    <t>Conforme à la photo Pour les porter tout les jours et c est nikel</t>
  </si>
  <si>
    <t>biberon a avoir Jolie couleur  bon biberon  excellente tétine Mais dommage que les quantité sont pas assez visibles faut regarder de près pour mettre la quantité malheureusement mais biberon génial</t>
  </si>
  <si>
    <t>Jolies boucles d'oreilles Ces petites boucles d'oreilles sont très jolies, élégantes et légères. Elles conviennent pour tous les jours ainsi que pour accompagner une tenue de soirée. Elles sont argent et bien brillantes,elle sont livrées dans une jolie boite, c'est parfait pour offrir. Je trouve qu'elles plaisent à toutes les femmes les plus jeunes et les plus âgées grâce à leur design intemporel. le prix est vraiment correcte au vu de  la qualité.</t>
  </si>
  <si>
    <t>Produit de qualité tout à fait ergonomique Un produit de qualité arrivé très vite dans ma boîte aux lettres. La forme de l'écouteur est tout à fait ergonomique et tient parfaitement à l'oreille quelque soit votre activité. En plus ils sont tout petits et très jolis. Moi j'adore !</t>
  </si>
  <si>
    <t>parfait tout a fait conforme!</t>
  </si>
  <si>
    <t>Sympa Super! Acheté pour un bureau. A plu à mes collègues. Design sympa S adapté à n importe quelle deco. Contenance convenable. Installation et utilisation simple. La lumière est un plus sympathique.</t>
  </si>
  <si>
    <t>Superbe Confortable et très jolie</t>
  </si>
  <si>
    <t>Super Très jolie bague bon rapport qualité prix je vous la recommande je ne regrette en rien mon achat. Très satisfaite</t>
  </si>
  <si>
    <t>Il est très bien Ce bracelet est très beau. Les perles sont lumineuses! Je l’ai acheté pour mon Homme et il lui convient parfaitement. C’est vraiment un très beau petit cadeau, n’hésitez pas</t>
  </si>
  <si>
    <t>canon545/CL/CL546 bien reçu produit exellent produit tres sastisfait Merci</t>
  </si>
  <si>
    <t>Huile essentielle lavande , excellente ; Une huile essentielle a utiliser en parfum intérieur , linge ou en traitement  mélangée à une huile neutre ,type  amande douce . Bonne qualité et grand flacon pour des mois d'usage! La Nature  à la maison  !</t>
  </si>
  <si>
    <t>Merci Ma fille est ravie</t>
  </si>
  <si>
    <t>Très mignon Très mignon pour une petite fille . Pas très gros, évite de s'accrocher les oreilles.</t>
  </si>
  <si>
    <t>Très bien J'ai bien aimé les masques j'en recommanderais.</t>
  </si>
  <si>
    <t>Basket montante noire Légère et confortable, je marche avec tout les jours bonne qualité, je suis ravie.</t>
  </si>
  <si>
    <t>Parfait Legging vraiment parfait il est fin mais super opaque. Je mesure 1m65 je suis musclée au niveau des cuisses je pèse 65 kg et j’ai la taille assez fine, j’ai pris un taille S il est parfait galbant mais pas oppressant j’ai pris le noir je me hate de commender le prochain</t>
  </si>
  <si>
    <t>Produit ordinaire Pour remplacer mon ancienne sacoche, cuire trés fin aucune solidité ce cuir ressemble à du similicuir.</t>
  </si>
  <si>
    <t>Nul Trop petit</t>
  </si>
  <si>
    <t>attention aux tailles ! très mal taillé …!  retour.</t>
  </si>
  <si>
    <t>Brassière confort Sur le choix d'un lot de 3 seul le noir n'est pas à la même taille que les 2 autres. Prévoir une taille supplémentaire tout de même .</t>
  </si>
  <si>
    <t>Trés satisfaite Produit répondant entièrement à mes attentes. Très contente d'avoir trouvé ce style de sabots que je ne trouvai plus et qui est la seule chose qui convient à mes pieds douloureux.</t>
  </si>
  <si>
    <t>assurer une bonne étanchéité premiers essais certaines mises sous vides  fonctionnent très bien, par contre d'autres, l'air s'infiltre parfois</t>
  </si>
  <si>
    <t>Convenable Sacoche ni petite ni grande mais pratique. Cependant, à l'intérieur, il n'existe pas de poche avec fermeture comme on le voit sur la photo de présentation du produit. C'est dommage!</t>
  </si>
  <si>
    <t>Belle, efficace, mais... La marque Russel Hobbs nous livre ici une bouilloire à la fois sublime et efficace.  Le design est très réussi, à la fois moderne par ces lignes et classiques par ces matériaux, c'est vraiment un mélange savamment dosé et qui fait sont petit effet.  Côté chauffe, ont nous promet de l'eau chaude pour une tasse (grâce au témoin à l'intérieur) en 55 secondes, et c'est réussi, même mieux que ça, je suis personnellement à 48 secondes entre le moment où je mets en route et le moment où la bouilloire s'arrête, sans compter sur le bec verseur très précis.  Je suis vraiment enchanté par ce produit MAIS, car oui, il y'a un mais, même un gros qui à failli coûter deux étoiles.  La bouilloire est en matériaux nobles, c'est du véritables inox brossé, malheureusement le premium de la fabrication apporte un défaut majeur, une fois l'eau bouillante, la bouilloire l'est aussi.  En effet, pas de double parois pour protéger l'extérieur, de ce fait, je me suis fait surprendre en posant le pouce sur la carcasse afin de vider le surplus d'eau à me chauffer méchamment le pouce presque immédiatement.  Si la poignée est elle très efficace pour protéger de cette chaleur, on peux imaginer de potentiel accident domestique si un enfant viens trainer ces mains sur la bouilloire tout juste éteinte...  Pour un prix de 60€ ou presque, j'aurais attendu une double parois pour éviter ce désagrément...</t>
  </si>
  <si>
    <t>Tres bien Très bien</t>
  </si>
  <si>
    <t>Écouteurs blanc Écouteurs de bonne qualité (pour le prix !). Je recommande ce produit.</t>
  </si>
  <si>
    <t>Idée cadeau Beau bracelet</t>
  </si>
  <si>
    <t>parfait tres légères pour des chaussures de sécurité.</t>
  </si>
  <si>
    <t>Imprimante HP Respecter les normes du materiel</t>
  </si>
  <si>
    <t>Excellent Excellent chauffe biberon à prix très raisonnable. Je l'utilise tous les jours depuis plus d'un an. Temps de chauffe rapide et température du biberon toujours parfaite. Pensez à détartrer la cuve de temps en temps. Prise pour la voiture utile pour les déplacements. Jamais déçue par les produits NUK. Je recommande !</t>
  </si>
  <si>
    <t>Chaussettes Chaussettes parfaites! Ni trop épaisses ,ni trop fines...et en plus de bonne qualité ! Je recommande ces chaussettes!!!! Merci et à une prochaine fois !</t>
  </si>
  <si>
    <t>dan pas de boite pour faire le cadeaux</t>
  </si>
  <si>
    <t>agreable receptionne tres recemment mais pour le premier essai il me semble parfait, a confirmer a l usage apres quelques séances de sport</t>
  </si>
  <si>
    <t>Cool Super bien</t>
  </si>
  <si>
    <t>Très bon produit !! Très bon produit conforme à  la description. Mode d emploi un peu compliqué mais le jeu en vaut la chandelle.</t>
  </si>
  <si>
    <t>Top qualité !!! 100 % original et vraiment confortable.... Super cuir top qualité qui reste beau... La teinture bordeaux est très belle et très résistante !!!!!</t>
  </si>
  <si>
    <t>livraison rapide Le produit correspond aux informations, la taille est précise! ce n'est pas toujours le cas... Livraison très rapide, à produit égal cela fait la différence! Pantalon pur coton avec 4 poches devant, très confortable!</t>
  </si>
  <si>
    <t>Qualité du casque Très bon produit je le recommande vivement. Déception sur la livraison, car première livraison le casque a été perdu, sûrement pas perdu pour tout le monde ... un geste commercial aurait été le bien venu également, en vain !</t>
  </si>
  <si>
    <t>belle montre Belle montre , simple mais pratique . La couleur des aiguilles sont en peut trop dans la même couleur que la couleur de fond se qui les rends par moments assez difficiles a voir et donc de lire l'heure . Le bracelet se resserre bien surtout pour les personnes qui ont un très petit poignet .</t>
  </si>
  <si>
    <t>Produit trop petit Dommage trop petit je ne peut même pas passer sa tête</t>
  </si>
  <si>
    <t>ne fonctionne pas bruit tres aigu, ne marche pas du tout pour moi</t>
  </si>
  <si>
    <t>bien mais un peu déçus La fiche descriptive parlait de bluetooth dans les caractéristiques technique et je l'ai en partis acheter pour ca, malheureusement au final pas de bluetooth. Je me sens un peu escroqué vu le prix. Sinon la taille est bien pour les grosses tete, il ne sert pas trop et il est bien léger.</t>
  </si>
  <si>
    <t>fins et bien taillés mais trop souples bonne prise en main, bien fins et souples mais les poils manquent de rigidité pour la précision du geste</t>
  </si>
  <si>
    <t>Gommage douceur Bon gommage, doux qui laisse la peau satinée. Dommage que comme c'est la cqs pour beaucoup de cosmétiques, l'effet est de moins en moins visible avec le temps.</t>
  </si>
  <si>
    <t>Jolie cadeau Tres jolie</t>
  </si>
  <si>
    <t>Bien Peut-être un peu petit physiquement. A voir à l'utilisation..</t>
  </si>
  <si>
    <t>Très pratique, a de nombreuses poches Il est en cuir ,donc plus solide et a de nombreuses poches  notamment pour mettre un smarphone</t>
  </si>
  <si>
    <t>Casque agréable fait le job Télévision chambre je cherchais ce type d'appareil avec une longueur de fil.. J'ai des problèmes d' audition j'aurais aimé un peu plus de son mais correct</t>
  </si>
  <si>
    <t>Rapide, conforme Excellent produit, rien à dire.</t>
  </si>
  <si>
    <t>Super couleur Super couleur Chaussures très confortable Je fais un 39 mais j'ai pris un 39 1/2 Elles me vont impeccable envoi rapide</t>
  </si>
  <si>
    <t>parfait très bon produit .Rien à redire</t>
  </si>
  <si>
    <t>Très bien Format pratique pour de nombreux travaux manuels, le choix de couleurs est suffisant pour en mélange obtenir ce que l'on souhaite comme dégradé. Peinture assez épaisse, couvrante, de bonne tenue. Pas de fioritures, juste pratique et à bon rapport qualité-prix.</t>
  </si>
  <si>
    <t>Livraison rapide Nickel</t>
  </si>
  <si>
    <t>La qualité est là! Je fais confiance à peu de marques en matière d'accessoires de puériculture, mais Philips Avent et une de mes marques préférée et de depuis longtemps. J'utilisais déjà leurs biberons à la naissance de ma fille il y a plus de 9 ans, et je regrette de n'avoir pas eu cette fameuse valve anti-coliques les premières semaines!  Ces biberons sont tout simplement au top, légers, faciles à nettoyer et la valve anti-coliques est simple à installer tout en étant efficace.  Dans la même gamme, j'aime beaucoup ceux en verre avec les grosses tétines qui sont super pour la transitions allaitement/biberons, mais quand on part en balade, ceux-ci sont plus légers et incassables. J'ai les deux, et je n'ai pas de préférence, j'adapte mon choix en fonction de l'endroit où je me trouve...  Dans ce kit il y a aussi une sucette que bébé a adopté sur le champ, et  un goupillon bien pratique pour le nettoyage!  Non vraiment, je ne trouve pas de défaut, j'adore ces biberons, j'adore cette marque, et je recommande à 200 %.</t>
  </si>
  <si>
    <t>Tout va bien jusqu'à présent. Ce produit étonnant est meilleur que prévu, c’est un bon choix, il a une longue durée de chargement et le son est incroyable, je l’utilise chaque jour depuis 3 semaines. La qualité sonore est très bonne et la durée de vie de la batterie est très bonne.</t>
  </si>
  <si>
    <t>tres belle Bouilloire ! je suis ravis de cette bouilloire, que j'ai pris pour chauffer l'eau du thé. Tres facile d'utilisation, simple et précise dans ses températures, la finition est parfaite et la construction sans défaut. la cuve est en inox, a double parois, de tres grande taille, ce qui est parfait pour les thés familiaux, revers de la médaille, elle est quand même assez encombrante !</t>
  </si>
  <si>
    <t>Je ne regrette absolument pas mon achat Très agréable à porter et très légère ... C'est vraiment ce qu'il me fallait !!</t>
  </si>
  <si>
    <t>Super Des chaussures de bonne qualité, qui taillent bien, de la marque converse, donc choix de la pointure habituelle qui correspond toujours pour les converse. Je recommande</t>
  </si>
  <si>
    <t>Utilisation Pour ma part, je l'utilise pour un aéro. Il n'est pas facile de verser les goutes car elle ne tombe pas directement mais glisse sur le capuchon. Par contre il fait très bien son travail.</t>
  </si>
  <si>
    <t>.parfait pour mon imprimante canon  livraison  et  qualité  merci</t>
  </si>
  <si>
    <t>Bonne qualité taille très bien Niquel j'en recommande un deuxième</t>
  </si>
  <si>
    <t>Doux et beau. Bonne tenue après lavage. Il a fallu en acheter deux ; nos filles ne le quittent plus. Victime de son succès. Aussi beau avant qu'après le lavage. Un bon rapport qualité / prix.</t>
  </si>
  <si>
    <t>Caisse rangement vinyles J’ai reçu le colis rapidement et en très bon état ! C’est très facile à monter et le rendu est conforme aux photos. Je recommande ce produit</t>
  </si>
  <si>
    <t>Trop contraignant Les électrodes sont difficiles à mettre, s'usent relativement vites, etc. Bref, ce short n'est pas optimal pour utilisation régulière car il demande une mise en place assez longue. Je regrette vraiment mon achat</t>
  </si>
  <si>
    <t>Déçu ! Acheter le 15 août. La montre à été réceptionnée quelques jours plus tard mais le 25 août elle ne fonctionne déjà plus. Je suis très déçue et ne conseille pas ce produit !!!</t>
  </si>
  <si>
    <t>Médiocre Portée une journée. La couleur part déjà à cause des frottements. Qualité médiocre. Déçue.</t>
  </si>
  <si>
    <t>A éviter Je suis assez exigent sur la qualité du son. Elle est correcte mais il y a légèrement trop de  basses. Je viens d'acheter le produit, à voir si il tient toujours dans quelques mois</t>
  </si>
  <si>
    <t>Bijou sympa Petit bijou original</t>
  </si>
  <si>
    <t>Plutôt bien Très pratique à la maternité, les slips filets sont un peu inconfortables</t>
  </si>
  <si>
    <t>Pas mal Les tailles ne sont pas juste prévoir une taille au dessus Sinon très jolie j’essaie  Dès lundi donc pas trop de retour pour le moment</t>
  </si>
  <si>
    <t>Arbre de vie Bijou très sympa mais il manquait une "pierre" sur la circonférence ....</t>
  </si>
  <si>
    <t>Très bonne imprimante J’avais des doutes en troquant ma laser pour une jet d’encres. En fait si on n’a pas énormes débits (bac à feuilles un peu petit) c’est Le meilleur rapport qualité prix. Pas déçu de la marque Brother, bien plus éthique que d’autres.</t>
  </si>
  <si>
    <t>Très bon produit, usage durable 2ème achat chez ce fabriquant Bon produit et a priori fabriqué en france Livraison rapide par la poste Bonne odeur Usage long avec un brumisateur électrique ; 2 ou 3 goutes suffisent</t>
  </si>
  <si>
    <t>Top top top !!! Livraison très rapide Bien protégé via Amazon comme à chaque fois Impossible d’être déçu avec cette marque on en a pour son argent niveau qualité au top Parfait cet achat</t>
  </si>
  <si>
    <t>Bien Très content de mon achat car le son est vraiment bien et puis ils sont confortables dans l'oreille.  Reçu hier donc avoir dans le temp...</t>
  </si>
  <si>
    <t>Super Facile et ludique. Peinture liquide mais pas trop. Se conserve bien et les couleurs sont voyantes!</t>
  </si>
  <si>
    <t>Avis Sublime en vrai</t>
  </si>
  <si>
    <t>Livraison rapide, aucun souci Produit conformr</t>
  </si>
  <si>
    <t>Beaux bracelets Très jolis bracelet. Bonne taille. Ne rouille pas au contact de l'eau. Je recommande.</t>
  </si>
  <si>
    <t>détartrage utilisé depuis des années sur une machine qui utilise du café en grain .n'endommage ni les joints ni la machine .je le recommande a tous</t>
  </si>
  <si>
    <t>Très bien Très bon produit. Solide et tiens bien la cheville. Ça reste du cuir donc à entretenir de temps en temps pour garder la qualité.</t>
  </si>
  <si>
    <t>Une délice Une délice je trouve de l’avoine de différentes gout. Je conseille. Mme Alexis</t>
  </si>
  <si>
    <t>Pratique Très bon rapport qualité/prix par rapport à l’achat individuel de chaque composant. Le tout dans une trousse à mettre directement dans la valise de maternité.</t>
  </si>
  <si>
    <t>Que du bonheur Je suis totalement conquise , plusieurs jeux de couleur mais pas agressif pour les yeux , le changement se fait en douceur et on peut soit éteindre la lumière ce qui permet de s'endormir plus facilement ou laisser une lumière fixe .Très facile à remplir avec son verre doseur . On peut aussi régler l'intensité du diffuseur . Une très bonne odeur envahit rapidement la pièce . A penser pour offrir en cadeau ou se faire plaisir à soi même . Je recommande sans hésitation .</t>
  </si>
  <si>
    <t>Rien à redire Correspond à la descrption</t>
  </si>
  <si>
    <t>Parfait Article de la marque canon. Identique à sa description et à mon besoin et surtout bien moins cher que partout ailleurs</t>
  </si>
  <si>
    <t>Lenor Adoucissant Facile d'utilisation, encore faut il savoir doser comme il faut. Il préconise un bouchon doseur pour chaque lavage.  Le produit va donc être vite consommé.  Odeur assez forte.  Composition chimique, on peut trouver mieux.  Au niveau du résultat l'adoucissant rempli bien son rôle.  Tarif élevé par rapport à un adoucissant classique (7€ à la rédaction de ce commentaire).  Avis mitigé, le prix est réellement élevé pour moi surtout que cela se consomme rapidement et la composition est trop douteuse.</t>
  </si>
  <si>
    <t>Déçu Peu d'aspiration, s'accroche très difficilement au support ( nous l'avons fixé au mur )</t>
  </si>
  <si>
    <t>Trop légère, trop cheap, contrefaçon ? J'ai reçu le modèle avec le contour doré, cela fait vraiment montre cheap. J'ai deux autre fossil et ce qui me choque vraiment c'est le poids de cette montre automatique. Normalement ce genre de montre sont assez lourde et mon autre montre est beaucoup plus lourde.  Cette montre est très voir trop légère, j'ai un gros doute sur l'authenticité de cette montre. Vendu et expédié par Amazon pourtant, mais sont t'ils certains que leur fournisseur ne leur a pas donné un montre venant de contrefaçon ?</t>
  </si>
  <si>
    <t>protection nickel  waterproof moins plutot water ploof Utilisateur habituel de ces bottes toute marques confondues je constate une décadence de la qualité. je suis dans le BTP usage très assidu on dira, vers année 2009-2010 une paire pour l'année  vers 2015 une paire et demi maintenant 2017 2018 facilement 2 paires par an les semelles s'usent très vite. quand aux mentions waterproof-waterresist  du pipo c'est qu'une étiquette coller à la fin de la fabrication ,vaut mieux ne pas trainer dans une flac d'eau ou marcher trop longtemps dans l'herbe mouillées après une minute vous avez les pieds moites. sinon protection rien a dire vos pieds sont en sécurité dessus comme dessous.</t>
  </si>
  <si>
    <t>un bruyant produit au design attractif attiré par la marque R&amp;amp;H je pensais avoir un meilleur produit que mon siemens mais si esthétiquement il est beau c'est un keetle très bruyant</t>
  </si>
  <si>
    <t>Attrape tout Ces petites lingettes sont faites d'une texture et d'une matière qui attrape vraiment tout : la poussière, mais aussi les poils du chat et mêmes les cheveux longs. Plus étonnant, en la passant sur des taches de maquillage, les taches pourtant sèches s'accrochent littéralement sur la lingette (anti-cernes, blush...)?! Avec une seule lingette, j'ai fait deux pièces, et elle avait encore de la capacité de rétention. Evidemment, une lingette, ça part à la poubelle, ce n'est pas recyclable, pas lavable et réutilisable comme une lingette en tissu microfibres que je passe à la machine...</t>
  </si>
  <si>
    <t>bracelet sport jaune fluo conforme aux attentes plus confortable que les bracelet à fixation rapide  quickfix de la même marque. Dommage que la boucle de serrage ne soit pas noire comme la montre.</t>
  </si>
  <si>
    <t>QUALITÉ PRIX IMBATTABLE C'est clair la produit a beaucoup d'atout sur son prix mais le son pourrais être mieux grâce a audacity on peu enlever le bruit de fond.</t>
  </si>
  <si>
    <t>Superbe Magnifique</t>
  </si>
  <si>
    <t>Magnifiques Super qualité de son. Bien meilleur que les oreillettes vendu avec le telephone</t>
  </si>
  <si>
    <t>Crocs Conforme. Pratique les scratchs derrière pour adapter un peu la pointure</t>
  </si>
  <si>
    <t>Sans regret Belle montre, vraiment sympa je ne regrette pas</t>
  </si>
  <si>
    <t>Passionnant pour les enfants Ouvrage réussi au- delà de mes attentes. Destiné à être lu par épisodes le soir il a été dévoré par mon petit fils de 7 ans en une semaine de vacances, en soirée au retour des activités.</t>
  </si>
  <si>
    <t>Tres bien Produit conforme .le produit et dans un sac refermable et fournit avec une petite cuilliere .je recommande donc  cet article</t>
  </si>
  <si>
    <t>EXCELLENTE QUALITÉ! J'ai porté mes tongs pendant des années (4ans), à la maison, dehors et j'ai été même en Inde plusieurs fois avec !!!! je recommande ce produit!</t>
  </si>
  <si>
    <t>Au top Le meilleur</t>
  </si>
  <si>
    <t>Top J’ai pris sa pour ma meilleure amie pour son futur bébé étant donner que moi je l’es es utilisé pour ma fille je l’es recommande +++</t>
  </si>
  <si>
    <t>Très bonne qualité Très jolie bijoux</t>
  </si>
  <si>
    <t>:) Bonne qualité</t>
  </si>
  <si>
    <t>Très utile et jolies J'en ai commander deux et je les aient maintenant depuis plusieurs mois et elles sont superbes ! Très douces et belles je suis ravie de mon achat ! Je recommande !</t>
  </si>
  <si>
    <t>Rien de tel qu'une paire de Converse. Parfait pour avoir un style décontracté chaussures légères et confortables je recommande le produit.</t>
  </si>
  <si>
    <t>Rapport qualité/prix incroyable ! Ces écouteurs sont exceptionnels pour le prix! Ils sont résistants avec un câble renforcé et extrêmement confortables. Non seulement ils disposent d'un microphone intégré et de commandes de volume, et ils apportent une excellente qualité et une qualité de son étendue tout en atténuant les bruits, idéaux pour moi.</t>
  </si>
  <si>
    <t>Cartouche Très bon produit</t>
  </si>
  <si>
    <t>dunlop 814P Attention, la taille est trop juste. Il faut prévoir une pointure de plus. Comme j'ai voulu l'essayé je l'ai porté une demi journée, je ne peux donc plus  la retourner.</t>
  </si>
  <si>
    <t>timberland les semelles se décollent en moins de trois semaine et cela fait la troisième paire maintenant. Avez vous eu les même problèmes sur vos commandes amazon?</t>
  </si>
  <si>
    <t>Contrôle de qualité inexistant La montre est arrivée quelques jours en retard avec la boîte visiblement bosselée et non scellée.  La lunette/bague a un défaut évident.  J'ai évidemment retourné l'article</t>
  </si>
  <si>
    <t>je m attendais a mieux un peu dessus, trop petit pour moi</t>
  </si>
  <si>
    <t>très satisfait Chaussures très légères et confortables idéal pour la grande distribution. Seul petit hick, les lacets ne sont pas très solides..</t>
  </si>
  <si>
    <t>Agreable a porté Ce produit est bien il couvre bien le corp  mais il taille un peu petit la prochaine fois je prendra plus grand</t>
  </si>
  <si>
    <t>Bon rapport qualité-pix RAS</t>
  </si>
  <si>
    <t>Je vous le recommande correcte</t>
  </si>
  <si>
    <t>Parfait Super pour rester chez soi et lire un bouquin 📙</t>
  </si>
  <si>
    <t>Perfect Option A classic redone with best detail and specs!!! Tides to be checked onsite when possible as it seems she works just using local times (memory data) instead of to enter longitudinal coordinate and more. Cheers!</t>
  </si>
  <si>
    <t>Petit mais très fonctionnel &lt;div id="video-block-R2Y2YLO77MXH7S" class="a-section a-spacing-small a-spacing-top-mini video-block"&gt;&lt;/div&gt;&lt;input type="hidden" name="" value="https://images-eu.ssl-images-amazon.com/images/I/C1g2P1kH4GS.mp4" class="video-url"&gt;&lt;input type="hidden" name="" value="https://images-eu.ssl-images-amazon.com/images/I/B1M9HMNbNCS.png" class="video-slate-img-url"&gt;&amp;nbsp;Dictaphone de très bonne qualité. Le son est très bon Très bonne autonomie Capacité importante Et très intuitif. Très pratique pour enregistrer mes réunions de travail. Ravie de mon achat</t>
  </si>
  <si>
    <t>Excellent service après-vente J'ai reçu une paire d'écouteurs et j'en étais très satisfait: le son est parfait et les écouteurs sont livrés avec une petite boîte contenant beaucoup de rechanges et d'accessoires. Mes écouteurs se sont subitement cassés (un des deux écouteurs ne marchait plus), j'ai contacté le service après-vente, ils ont été réactifs et m'ont renvoyé une autre paire très rapidement. Je recommande grandement ce produit et je tiens à remercier le SAV !</t>
  </si>
  <si>
    <t>Belles couleurs belle facture Très bons feutres, aux couleurs variées, qui ne sèchent pas trop vite (comme certains!). La qualité BIC est belle et bien toujours au rendez-vous pour notre plus grand plaisir!</t>
  </si>
  <si>
    <t>Kit piéton d'origine Écouteurs d'origine pour Huawei. Résistant malgré une utilisation quotidienne !</t>
  </si>
  <si>
    <t>Fonctionnel et prix intéressant Pour noter mes rendez vous bien sûr et diverses notes rapidement. Agenda très pratique de par sa taille, et sobre que je recommande vivement surtout question prix. Cela fait 3 années que j'utilise ce modèle.</t>
  </si>
  <si>
    <t>Confort La qualité est au rendez-vous , grande souplesse et légèreté sont des atouts. En ce qui concerne la taille, chaussant du 42 et au vu des commentaires, j'ai pris 42 2/3 et il n'aurait pas fallu plus grand bien que mes pieds soient larges..</t>
  </si>
  <si>
    <t>Biberons Très bon biberons</t>
  </si>
  <si>
    <t>Très bonne matière Chaussettes parfaite pour la randonnée</t>
  </si>
  <si>
    <t>article conforme à la photo reçu très rapidement et exactement comme sur la photo ...taille bien</t>
  </si>
  <si>
    <t>Canon PG 540 et 541 XL Parfait, je commande régulièrement ces cartouches pour mon imprimante Canon prixma 3550. Parfait rien à  redire, je prends toujours les références 540 et 541 en XL, qui finalement revient moins cher que les cartouches normales. Je recommande ce produit.</t>
  </si>
  <si>
    <t>Excellent rapport qualité prix Coffret de brosses  pour chaussures de bonne qualité pour un prix très modique. Cependant la brosse à daim est un peu petite. Elles sont livrées bien rangées dans un coffret carton solide . La photo est conforme. Livré rapidement.</t>
  </si>
  <si>
    <t>LARNMERN Chaussures de Travail pour Homme Jolies chaussures. Semblent de bonne qualité. Fait un pied assez fin pour des chaussures de travail. Expédiées rapidement. Satisfaction totale.</t>
  </si>
  <si>
    <t>La calculatrice des collégiens Très pratique, solide et facile d'utilisation et son plus, elle est solaire. Au top pour le prix.</t>
  </si>
  <si>
    <t>Ne correspond pas. L’article ne correspond pas à la photo, le sac ne semble pas du tout de bonne qualité en réalité. Le cuir est très fin et pas du tout vieilli. Je le retourne.</t>
  </si>
  <si>
    <t>Mauvaise qualité Chaussure de mauvaise qualité. A peine deux mois que je les ai et deja abimee. Notamment un trou dans la semelle... A eviter.</t>
  </si>
  <si>
    <t>Moyen mais fonctionne Moyen trop bruyant Moyennent rapide Mais fait son job</t>
  </si>
  <si>
    <t>Jolie montre pour son prix. Pas de finissions au niveau de l'arrière de la montre " bavure métallique ".</t>
  </si>
  <si>
    <t>Achat Produit Je ne trouve ce produit que chez Amazon, c'est pour cela que je le prend chez vous. Le produit m'était recommandé par l'ancien propriétaire  Je n'avais pas vu qu'il était livré par 2 bouteilles. Maintenant j'ai mon stock pour l'année.</t>
  </si>
  <si>
    <t>bon produit pour les environnements froids / humides + Parfait pour les grands froid / la pluie / la neige  chaussures chaudes Isole bien de l'eau  - jambes irritées après plusieurs heures de marche</t>
  </si>
  <si>
    <t>La longueur. L article est trop petit. Je voulais un long sautoir. Dommage car il est très beau. Je vais le retourner et en commander 1 autre.</t>
  </si>
  <si>
    <t>Nickel Utilisé dans des chaussures de sécurité, nickel</t>
  </si>
  <si>
    <t>montre casio Cette montre est très pratique je vais partout avec, elle est légère c'est ce dont j'avais besoin et je l'ai eu</t>
  </si>
  <si>
    <t>Baskets sympas Baskets sympas pour l’été Je vais peut-être les commander dans une autre couleur</t>
  </si>
  <si>
    <t>De super suppléments Notre petite fille était aux anges en recevant ce cadeau !</t>
  </si>
  <si>
    <t>Taille petit Franchement j’adore Très belle finition très très beau article</t>
  </si>
  <si>
    <t>A sauvé ma cafetière ! Après 4 ans de bons et loyaux services, ma cafetière c'est mise à fuir. !Un démontage a vite révélé le coupable : un joint dur et fendu !  Ce joint s'adapte parfaitement à la cafetière et a permis une remise en service rapide.  3€ pour sauver une cafetière qui vaut 100€... Merci ! Je recommande.</t>
  </si>
  <si>
    <t>Génial J'ai offert a une petite que j'ai garder et qui est rentrer a l'école. C'est au top pour elle colorier .</t>
  </si>
  <si>
    <t>Super Très confortable qualité excellente super belles prix excellent</t>
  </si>
  <si>
    <t>Un roc! Comme toujours les G-shock tiennent bien le coup. Choisit pour son réveil vibrant j'en suis très content. Une résistance à toutes épreuves,  du bracelet A la vitre. Je recommande, après des années de terrain elle n'a rien.</t>
  </si>
  <si>
    <t>Impeccable Livré en temps et en heure complet et conforme au descriptif, la matière n'est pas aussi souple que le silicone de Sunnto quand même. Livré avec l'outil de changement.</t>
  </si>
  <si>
    <t>Hyper pratique Pratique et design, achat que je ne regrette pas. Je peux tout faire sèche dessus : tétines, biberon, appareil tire lait. Je recommande</t>
  </si>
  <si>
    <t>super Ma vieille téfal m'a lâchée ( elle fuyait ) , du coup je l'ai remplacée par celle-là, plus petite , mais c'est pas plus mal, on a finalement besoin à peu près toujours de la même quantité d'eau pour se faire 2 tasses de thé! Joli design. Peut-être un peu moins stable et robuste que ma vieille téfal... A voir sur le temps.</t>
  </si>
  <si>
    <t>Solide léger et très bon son Solide, léger et très bon son</t>
  </si>
  <si>
    <t>Vrai timberland C est un vrai</t>
  </si>
  <si>
    <t>Très bien Facile à mettre et à enlever. Rien à redire</t>
  </si>
  <si>
    <t>Recommandé Confortable, léger. Color Jolie.</t>
  </si>
  <si>
    <t>Demande de remboursement Il a un bel aspect, je l'ai reçu rapidement mais malheureusement, je dois le renvoyer. Il a fait sauter mon disjoncteur, je n'ai même pas pu l'utiliser une fois. C est dommage car j'étais dans le besoin</t>
  </si>
  <si>
    <t>Quelle déception Lessive reçue aussitôt un lavage et quelle déception au niveau propreté et odeurs je ne comprends pas les avis positif !!!!¡! Bizarre</t>
  </si>
  <si>
    <t>pas de la bonne couleur ( pas comme sur l'image ) il dise qu'il est gris il est blanc et un tous petit peut de gris</t>
  </si>
  <si>
    <t>Jogging Pas assez slim</t>
  </si>
  <si>
    <t>taille petit Taille bcp plus petit que les autres produits de ce genre, retour et remboursement pour en racheter un car le textile est vraiment bon</t>
  </si>
  <si>
    <t>Prendre votre pointure habituelle Pour info prendre votre pointure exacte je fait du 38 et j ai pris du 38.5 Sachant pas trop comment sa taillerais Résulta Chaussure un peu grande</t>
  </si>
  <si>
    <t>Très bien, fait attention au taille Très bien, fait attention au taille</t>
  </si>
  <si>
    <t>bon produit Bon produit...mais trop petit pour un zoom iq5...j'en commande un second pour les coudre entre eux et ça devrait convenir!</t>
  </si>
  <si>
    <t>La taille Je suis déçu de constater que vous commandez chinois et de voir votre marge. Sinon c'est un beau produit</t>
  </si>
  <si>
    <t>Je n'ai pas été particulièrement déçu J'aime la forme, j'ai commandé une taille au dessus de sorte que l'opacité / déchirure ne soit pas un problème ... J'ai déjà acheté quatre couleurs et j'achèterais probablement plus à l'avenir. Les jambières sont généralement mon ennemi en tant que femme plus épaisse ... Je dirais que je viserais des dessous similaires aux tons plus foncés pour des couleurs plus claires, car celles-ci deviennent lil Sheer tout en s'accroupissant / se penchant dessus</t>
  </si>
  <si>
    <t>Très bonne qualite Utilise uniquement en randonnée pédestre en montagne</t>
  </si>
  <si>
    <t>Super petit produit Produit en adéquation avec la photo très joli</t>
  </si>
  <si>
    <t>Très bien Super 👍🏻 plus besoin de faire mes lacet. par contre lisez bien les instructions sinon vous vous en servirez mal. Moi même je les trouvais trop serrer mais après vérification du mode d’emploi il y a plusieurs manières de les mettre donc lisez avant de les utiliser</t>
  </si>
  <si>
    <t>Un confort maximum pour un prix raisonnable. A ce prix là, inutile de se priver. Qualité de finition et matériaux sérieux. Confort impeccable. Je suis en restauration et je marche avec toute la journée sans douleurs ni points durs. L'aération est bonne. Pour le style, chacun son point de vue, en tout cas, j'aime assez la forme et le style général. De mon point de vue, elles n'ont rien à envier à des chaussures trois fois plus chères. Peut être un poil larges mais j'ai pris une pointure au dessus. Je recommande cet article.</t>
  </si>
  <si>
    <t>Merci Nickel</t>
  </si>
  <si>
    <t>Très  joli produit Très contente de mon achat...elles sont très sympas et confortables. Elle taille juste pas de surprise et font un très joli pied.. Franchement pour le prix ça vaut le coup</t>
  </si>
  <si>
    <t>Wow ! Je n'ai pas acheté l'article sur Amazon mais directement auprès du vendeur Songmics. Je viens partager mes premières impressions sur ce fauteuil. J'ai été faire le tour de tous les fauteuils disponible dans un prix raisonnable sur les sites et celui-ci fut un coup de cœur.  Mesurant 1m94 et pesant plus de 100 kilos, je cherchais quelque chose de costaud et avec ce fauteuil, vous êtes servi, les matériaux sont de très bonne qualité, si je compare avec mon ancien fauteuil que j'ai acheté beaucoup plus cher que celui-ci dans un magasin dont je ne citerais pas le nom, ça termine par "rama" si vous voulez vraiment savoir.  Ce qui a fait que mon choix s'est porté sur ce fauteuil ce sont les nombreux commentaires présents sur les sites Amazon uk, de, es, it et fr de ce produit.  Les points forts pour moi :  - un dossier qui est assez haut, comme je l'ai dit, je mesure 1m94 et j'arrive à poser le milieu de mon crâne dessus donc c'est un gros point fort d'avoir un dossier aussi imposant quand on est grand - les accoudoirs sont vraiment positionné haut et j'arrive du coup à vous écrire en ce moment et à bouger ma souris en ayant les bras sur ces accoudoirs - les accoudoirs toujours, pouvoir ranger le fauteuil sous le bureau en remontant les accoudoirs c'est très pratique pour gagner de la place quand on habite dans un petit studio comme moi - la qualité de l'emballage du fauteuil dans le carton - deux roulettes, des vis et des caches vis en plus  Si vous hésitez, je vous garantis que vous ne serez pas déçu ! Si ce fauteuil devait être commercialisé dans les magasins, il en vaudrait le double de son prix actuel.  Pour ce qui est du montage, je l'ai fait tout seul en 25 minutes. Oui, à deux c'est plus pratique pour tenir le dossier quand on doit le visser aux accoudoirs, mais si on est débrouillard, seul, on y arrive.</t>
  </si>
  <si>
    <t>très bien Confortable, léger effet cocooning immédiat ! Trois niveaux de chaleur disponible (le 1 et le 2 sont suffisant) chauffe rapidement et très confortablement sans bruler. un achat si apprécié que j'en ai offert un à ma fille ! Très satisfaite. Envoi ultra rapide, vendeur sympa.</t>
  </si>
  <si>
    <t>Fait très bien le job Goupillon très pratique de par son format, il aide vraiment au lavage de biberons. J'apprécie également le fait que sa brosse elle même soit facile à laver avec des poils larges en plastique (ce n'est pas le cas de tous). Je note de plus que  ce produit est solide, car en 3 ans d'utilisation je n'ai dû le changer qu'une fois. Je recommande complètement cet article.</t>
  </si>
  <si>
    <t>Chaussure sport Très confortable pour marcher.</t>
  </si>
  <si>
    <t>Bon produit Super ras bonne taille</t>
  </si>
  <si>
    <t>Installation immédiate, compatibilité Mac parfaite J'avais besoin d'une remote compatible avec un MacBook Pro de 2011 pour mes présentations, qui soit fiable et facile d'installation. Ce modèle rempli très bien tous ces critères avec une utilisation immédiate dès qu'on insère la petite clé USB fournie dans la remote. On a alors accès à toutes les commandes de navigation (avant/arrière/écran noir/quitter) sur PowerPoint et Keynote de manière fiable (même à plusieurs dizaines de mètres du MacBook) et hyper réactive.  Les pages de mes présentations s'enchaine de manière fluide. Le pointeur Laser intégré est un plus appréciable. Enfin, il tient très bien dans la main et est super discret. Je ne m'en passe plus !</t>
  </si>
  <si>
    <t>Je recommande ces purificateurs d'air et la marque La Bellefée! C'est ma deuxième commande et, comme la première fois, tout est parfait! A partir d'aujourd'hui, je me considère comme une cliente fidèle de la marque La Bellefée car les produits sont d'excellente qualité et les expéditions sont très rapides. La commande a été livré dans une grande boîte très bien protégée et emballée. Ces purificateurs d'air sont fabuleux. Ces purificateurs sont disponibles en deux formats (2 grands et 4 petits) parfaits pour être placés de n’importe quel côté. Le format des sacs est très pratique car ils peuvent être suspendus dans le placard et laissés n’importe où car ils ne prennent pas de place. La qualité du sac en tissu est fabuleuse et la couleur grise est très jolie. Le sac a un toucher très doux (ideal aussi pour une chambre de bébé). Comme tous les produits de cette marque, ils sont écologiques et éco-responsables, cela se remarque dès que vous avez le produit en main. De plus, le design de ces sacs est très élégant et s’adapte parfaitement à tout type de décoration (ils ont même un joli look dans la voiture). Ces purificateurs d’air ont une odeur très agréable et remplissent parfaitement leur fonction. Ils absorbent immédiatement toutes les humidités. Ils absorbent également les mauvaises odeurs. Je les ai mis dans des placards, dans la voiture et dans la salle de bain et l'action anti-humidité et absorbe mauvaises odeurs a été immédiate. Je suis vraiment très contente de ces purificateurs. Je fais de plus en plus attention à la composition des produits que j’utilise et j’aime savoir que ces purificateurs son bio et ont une composition naturelle avec des ingrédients respectueux de l'environnement. Je trouve que le rapport qualité/prix est excellent. En comparaison avec d'autres magasins, la marque La Bellefée offre la meilleure qualité au meilleur prix!!!! Je recommande ces purificateurs d'air et la marque La Bellefée à tout le monde parce que ce sont des produits qui sentent vraiment très bons et il y en a pour tous les goûts.</t>
  </si>
  <si>
    <t>Probleme de couleur ! Photo qui ne correspondait pas a la couleur ecrite... Je me suis fais avoir obliger de renvoyer etc... Ça prend du temps</t>
  </si>
  <si>
    <t>Température fausse Ne fonctionne pas, température aléatoire, passe du 40 au 37 à 10 secondes d’intervalle</t>
  </si>
  <si>
    <t>Annonce mensongère Annonce mensongère . Ce ne sont pas des boucles d’oreille à vis, mais fermoir papillon basique . Foutage de gueule .</t>
  </si>
  <si>
    <t>taille parfait petite tache sur une des manches dommage sa casse le truck</t>
  </si>
  <si>
    <t>Entrecorne de 18mm mais bracelet annoncé avec largeur de 20mm Bonjour, Le produit est conforme à mes attentes. C’est bien vintage comme attendu. Sachez que le rendu est différent des montres généralement portées en ce moment. Cette CASIO est plus petite. Par contre, ATTENTION, si vous envisagez de remplacer le bracelet par un NATO ou autre, sachez que l’entrecorne est de 18mm. Tous les bracelets pour les CASIO Collection sont annoncés avec une largeur de 20mm sauf que c’est après l’entrecorne (+ 1mm de chaque côté). Je me suis fait avoir j’avais commandé des NATO de 20mm et ils ne vont pas...</t>
  </si>
  <si>
    <t>bon compromis ce bracelet s’adapte bien à la montre, par conter le plastique est un peu rigide, mais c'est tout à fait satisfaisant</t>
  </si>
  <si>
    <t>en général , satisfait Je n'ai pas vu sur les photos que ce modèle avait des liens (ce que je n'aime pas du tout), mais à part ça, les couleurs sont superbes et très confortables.</t>
  </si>
  <si>
    <t>Attention au boitier Cette montre achetée en remplacement d'un modèle identique n'existe malheureusement pas avec un boitier métallique. Espérons que le boitier plastique ne cassera pas au niveau du bracelet comme le précédent. C'est ma seule remarque négative concernant ce produit.</t>
  </si>
  <si>
    <t>Belle sacoche très bien conçue. Cette sacoche est de très bonne facture et très pratique. Notamment avec son emplacement sur le devant pour y ranger son smartphone quelqu'en soit la taille.</t>
  </si>
  <si>
    <t>Under armour Satisfaction du produit</t>
  </si>
  <si>
    <t>Ravie Je suis ravie de mon achat Livré en 1 jour Je fais une séance avec les électrodes et une autre pour les jambes.</t>
  </si>
  <si>
    <t>Je recommande bon produit Très bon produit bonne qualité et fiable je recommande</t>
  </si>
  <si>
    <t>Superbe lampe, conforme à la description Cette lampe de bureau convient parfaitement pour un bureau. Elle est plus grande que je le pensais mais c'est pas un problème. Il y a 5 modes de couleurs (très blanc, blanc, blanc jaune, jaune, très jaune), et 7 modes de luminosité. La lumière est diffuse (grâce à sa longue tête) elle n'éblouit pas et forme une lumière évasée. Elle empêche aussi la création d'ombres.  Produit acheté le 30 avril 2019 pour 29€99.</t>
  </si>
  <si>
    <t>Très jolies Je suis ravie. Elles sont très jolies, légères et livrées dans un bel écrin. Les petits strass libres à l’intérieur de la boucle sont du plus bel effet. Merci beaucoup!</t>
  </si>
  <si>
    <t>Excellent rapport qualité prix, confort en prime Top</t>
  </si>
  <si>
    <t>SUPER RAPPORT QUALITÉ PRIX Au top rien a dire : il pivote pour nettoyer encore plus facilement et le petit goupillon pour la tétine est très pratique pour une hygiène optimale :-) je l’utilise Plusieurs fois par jour et il semble tenir le choc :-) pour le rapport qualité prix je recommande sans hésiter .. .j'espère vous avoir été utile ;-)</t>
  </si>
  <si>
    <t>Kit complet très pratique Parfait pour le démarrage voir plus, les tétines son vraiment un plus . Je recommande vivement ce kit  car complet</t>
  </si>
  <si>
    <t>Une belle surprise Ça ne ressemble pas à la photo : - Il est plus court (je fais 1.68 et il m'arrive 5 cm sous la taille devant, couvre pratiquement mes fesses derrière) - Les manches sont des manches chauve-souris 3/4 - La couleur tire sur le violet, un très joli rouge / violet je dirais.  En définitive, il est ... bien mieux que sur la photo. La qualité du tissu, la forme, tout est beaucoup mieux.</t>
  </si>
  <si>
    <t>Parfait Casque incroyablement bien</t>
  </si>
  <si>
    <t>trés bien très bonne chaussette, que je recommande et recommanderais très certainement. Elle sont épaisses et tiennes très bien dans le temps.</t>
  </si>
  <si>
    <t>Semelles ultra confortable. Pour usage de ville Chaussures achetées pour le travail car je suis toujours debout à piétiner.  Semelles très très confortables ! Ideales en ville mais ne comptez pas faire de la rando avec, la souplesse de la semelle ne permet paz un bon maintien du pied</t>
  </si>
  <si>
    <t>nuk apres avoir fait tout les biberons de la creation , les nuk reste de loin les meilleurs pour moi ! Juste leurs teines en plastique genre latex ne me plaisait pas du tout et a bébé non plus ... alors que les tétines nuk en silicone sont super ! taille 1 ,2 ou 3 , tetine physio j adore ! je recommande , et facile a laver !</t>
  </si>
  <si>
    <t>épais et couleur éclatante Correspond parfaitement à la description. Livraison rapide. Nickel</t>
  </si>
  <si>
    <t>bof Le minimum, les temps indiqués ne correspondent pas, c'est donc du pifomètre... Il n'y a pas non plus de voyant donc il faut bien penser à le débrancher.</t>
  </si>
  <si>
    <t>kit pas complet le kit pour retirer les maillons en trop n'est pas complet donc impossible de porter  le bracelet qui est trop grand</t>
  </si>
  <si>
    <t>Taille trop grand Produit conforme à la commande. Malheureusement la maarsue taille très grand, j'ai du retourner ma commande (retour à mes frais). Je chausse du 36, il me faut un 35 je pense.</t>
  </si>
  <si>
    <t>Pratique J aime la taille de ce produit car j avais besoin d un petit pour chauffer les biberons quand je sors et c est tres bien. En revanche l eau n est pas garder brûlante toute la journée.</t>
  </si>
  <si>
    <t>Premier retour G-Shock Design très sympa , bonne lecture des aiguilles et des cadrans .Dans un premier temps elle me semble très robuste , à voir dans 10ans de travaux de tout genres. Mon ancienne avait fait 14ans(2 bracelets et 2 piles) et elle fonctionne toujours. Montre légère à porter. Éclairage correct , même si je préférais l'ancien système de rétro-éclairage. Petit point faible , le passant de bracelet qui ne reste pas parfaitement en place , peut-être parceque je n'aime pas serrer trop fort le bracelet de la montre. Autrement dit une très bonne montre de Casio pour le moment .</t>
  </si>
  <si>
    <t>les vraies Kickers...un pur bonheur modèle parfait très solide et très bien fini. La couleur correspond bien. Descriptif parfait le bonheur en kickers pour cet hiver.</t>
  </si>
  <si>
    <t>Petit Pot un peu petit. Vite utilisé</t>
  </si>
  <si>
    <t>Satisfaite Produit de qualité reçu dans les temps</t>
  </si>
  <si>
    <t>Facile à nettoyer Les biberons Philips AVENT sont en général de bonne qualité, qu'il soit en plastique ou en verre, même si ma préférence se tourne vers les biberons en verre Chacune des matières à ses plus et ses moins Ce biberon prévu pour les enfants de 1 mois + pour sa tétine qui ressemble à la forme du sein avec le bout souple et très bien pour un bébé allaiter par la maman. Je le conseille pour les mamans qui voudraient tirer leur lait et le conserver pour que le papa où la nounou puissent à leur tour faire manger le bébé. La tétine est toute douce Tout l'ensemble biberon tétine bouchon son facile à nettoyer</t>
  </si>
  <si>
    <t>Top qualité Comme tout les produits mam. Rien à dire. Excellente qualité. La tétine débit 3 et la tétine spéciale empêchant que l'eau du bib goutte c'est genial. Mon bb à 6 mois. Il l adore</t>
  </si>
  <si>
    <t>Un grand âme pour l'éternité Bjr , je viens juste de  les recevoir . Ils sont très jolie accordée avc les boucles d'oreilles .elles  sont très fine, belle petite parure . Un grand coeur pour l'éternité. MERCI bcp</t>
  </si>
  <si>
    <t>Top Top! Parfait pour la maternité et le retour à la maison Absorbe parfaitement Pas déçue!</t>
  </si>
  <si>
    <t>Les meilleurs que j'ai essayé Je cherchais un pair d'écouteurs discrets, avec un son de qualité (pour moi comme pour mes correspondants). L'idée est surtout de ne plus tenir de téléphone proche du cerveau ;) Je n'ai rien à dire sur ces écouteurs, ils vont meme au dela de mes attentes : connection/déconnection ultra rapide, autonomie de fou, son parfait ... et jusqu'au support de google assistant. bref, rien à dire !</t>
  </si>
  <si>
    <t>Tissu J ai achetée ce sert à mon fils,il lui convient parfaitement,par contre le tissu est de petite qualité..</t>
  </si>
  <si>
    <t>Super lingettes ! Ces lingettes je m'en sers depuis des années et je n'oublie pas à chaque machine d'en mettre car nous sommes deux et je mets tout le linge ensemble, sinon si je trie il n'y aura rien dans la machine. Je recommande fortement, surtout ce paquet de 50, c'est très intéressant au niveau prix !</t>
  </si>
  <si>
    <t>TRES PRATIQUE SUR FOND SOMBRE ce marqueur me sert dans mon atelier pour marquer les forêts à savoir y indiquer leur dimension comme cela aucun doute on prend toujours le bon forêt pour percer à la dimension voulue</t>
  </si>
  <si>
    <t>Géniale !! Tétines au top pour un nouveau né ! Taille 0 la taille 1 étouffait ma fille. Elle a une texture légèrement râpeuse qui est sympa ! Facile à nettoyer. Je les recommande vivement !</t>
  </si>
  <si>
    <t>super achat Je suis très content, confortable, prix abordable.</t>
  </si>
  <si>
    <t>Ecouteur Acheté pour aller a salle de sport car avec les écouteurs basics le fil n'est vraiment pas pratique hors la sans fil c'est beaucoup plus pratique pour pratiquer mon activité. Au niveau qualité de son c'est top et la batterie fonctionne pendant minimum 3h car déjà deux séances d'une heure et demi effectuée et toujours pas décharger complètement, le petit plus est vraiment le fait de voir le niveau de batterie sur le boitier</t>
  </si>
  <si>
    <t>Bon pantalon de sport Pantalon acheté pour faire ensemble avec la veste de même couleur vendue par le même vendeur. Très contente de mon achat. Pas cher mais bon qualité !</t>
  </si>
  <si>
    <t>Fan d'Avent Si vous voulez des tétines qui durent dans le temps, je vous les conseille ! Tétines s'adaptant parfaitement aux biberons Avent original (les biberons en plastique jauni).</t>
  </si>
  <si>
    <t>Un indispensable à petit prix &lt;div id="video-block-R1LGG8N6SMZY1W" class="a-section a-spacing-small a-spacing-top-mini video-block"&gt;&lt;div tabindex="0" class="airy airy-svg vmin-unsupported airy-skin-beacon" style="background-color: rgb(0, 0, 0); position: relative; width: 100%; height: 100%; font-size: 0px; overflow: hidden; outline: none;"&gt;&lt;div class="airy-renderer-container" style="position: relative; height: 100%; width: 100%;"&gt;&lt;video id="132" preload="auto" src="https://images-eu.ssl-images-amazon.com/images/I/B1mHXHsYs+S.mp4" style="position: absolute; left: 0px; top: 0px; overflow: hidden; height: 1px; width: 1px;"&gt;&lt;/video&gt;&lt;/div&gt;&lt;div id="airy-slate-preload" style="background-color: rgb(0, 0, 0); background-image: url(&amp;quot;https://images-eu.ssl-images-amazon.com/images/I/81Rh4TBad-S.png&amp;quot;);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value="https://images-eu.ssl-images-amazon.com/images/I/B1mHXHsYs+S.mp4" class="video-url"&gt;&lt;input type="hidden" name="" value="https://images-eu.ssl-images-amazon.com/images/I/81Rh4TBad-S.png" class="video-slate-img-url"&gt;&amp;nbsp;La machine s'arrête automatiquement quand la limite d'eau est au minimum ( durée de la contenance environ 10 heures) Bonne contenance Notice en Français Jolies couleurs Led Belles finitions Diffusion douce donc efficace , 2 modes de vapeur (continue et intermittent ) Peut servir d'humidificateur sans usage d'huiles essentielles . Pratique et simple d'usage Bon produit que je recommande</t>
  </si>
  <si>
    <t>Bracelet infini C' est beau mais pas de l'argent 925.je l'ai renvoyé</t>
  </si>
  <si>
    <t>fausse image brumisateur inefficace</t>
  </si>
  <si>
    <t>Mauvaise taille Une catastrophe, je prend du M et c'est bien ce qui est écrit sur l'étiquette...par contre cela ressemble plus a un XL ou plus...</t>
  </si>
  <si>
    <t>Rien Tres confortable bonne qualité.</t>
  </si>
  <si>
    <t>PRATIQUE Pour l'instant, ca colle bien, à voir dans le temps. Par contre, c'est tellement plus pratique que les coins autocollants. Impeccable</t>
  </si>
  <si>
    <t>Pratique et solide Pas d armatures, très pratique et solide pour le sport. Confortable. Couleur passe partout. Un peu compliquée s y retrouver avec les tailles</t>
  </si>
  <si>
    <t>super mais taille grand Attention taille grand. Un 42 donne un 41. Je suis ravi de mon achat.je m'en suis servi pour la neige et j'ai vraiment rien senti. Pas de froid ni humidité. Assez legere Accroche bien le sol. Beau produit.</t>
  </si>
  <si>
    <t>Tout Envoie rapide et conforme</t>
  </si>
  <si>
    <t>Top Après plusieurs utilisations et lavages c'est nickel. Bébé s'y fait petit à petit car sort de l'allaitement maternel.</t>
  </si>
  <si>
    <t>Eastpak sac à dos Sac à dos dont ma fille m'a fait tout un foin pour l'avoir à la rentrée de l'année dernière, à la mode (je ne vois pas pourquoi, il est tout simple pfff) .... Enfin bref, pour l'instant il reste solide, en bon état.</t>
  </si>
  <si>
    <t>Super satisfait! Parfait!</t>
  </si>
  <si>
    <t>Salomon reste Salomon Salomon reste et restera salomon. Les speedcross resteront les speedcross, son confort, sa précision et son amorti. Mais son usire prématurée sur sol dur egalement...</t>
  </si>
  <si>
    <t>Grands, et notice en français Il s’agit de la marque officielle recommandée par le fabricant Dolce Gusto. Ce sont de grands flacons de 125 ml, la notice en français est jointe</t>
  </si>
  <si>
    <t>A conseiller vivement ! À peine entrée en cp que mon enfant dévore les livres de cette collection qui sont tout à fait adaptés en début d'apprentissage et très valorisant ! Elle arrive enfin à lire des histoires "seule " et nous allons suivant sa progression lire le niveau 2 qu'elle commence deja a dechiffrer tellement elle a pris gout a lire ! je ne commente jamais mes achats cette collection a tout son merite et mes remerciements ! A conseiller plus que vivement !</t>
  </si>
  <si>
    <t>Très satisfaite J’adore mes baskets Elles sont belles et confortables</t>
  </si>
  <si>
    <t>beau pendentif très beau pendentif à porter quand il y a du soleil, il scintille de tous ses feux et fait une agréable parure pour sortir, je recommande NINASUN</t>
  </si>
  <si>
    <t>Excellent produit Excellentes chaussures, juste noter que comparé  aux chaussures de running, les chaussures de rando chaussent plus grand. Pour moi 42,5 en running pied bien tenu, 42,5 dans ce modèle pied à l’aise. Avec de grosses chaussettes on récupère l’espace vide. Sinon très satisfait car ce sont de vrais chaussons et l’amortie est fantastique ❤️</t>
  </si>
  <si>
    <t>Haut ample et agréable à porter. Jamais déçue par cette marque, je le porte avec un legging et des bottes, c'est juste parfait ! Le tissus est adapté pour l'hiver, doux et fluide. Merci pour la livraison rapide.</t>
  </si>
  <si>
    <t>Des mouchoirs bien épais comme on les aime ! J'ai été vraiment surprise par ces mouchoirs : ils sont vraiment épais et la première fois que j'en ai pris un, j'ai cru en avoir pris plusieurs en même temps ! Je trouve donc ces mouchoirs vraiment pratiques, surtout en cas de gros rhume qui dure (comme cet hiver), car c'est vraiment appréciable de se moucher sans en avoir plein les mains à cause d'une mouchoir trop fin. Ici, aucun risque ! Ce mouchoir est fiable.</t>
  </si>
  <si>
    <t>Confortable Très belles baskets et très confortables taille un peu grande</t>
  </si>
  <si>
    <t>très bien solidité à signaler</t>
  </si>
  <si>
    <t>Parfait anti douleur Conseillé par des amis je l’ai acheté en me disant que ça ne peut pouvait pas me faire de mal. Grosse douleurs cervicales depuis un accident de voiture face à un poids lourd. Après 4 jours j’ai pu réduire fortement les antidouleurs. Certes ce n’est pas agréable de s’allonger dessus (ni de se relever!!) mais après quelques minutes allongé on est bien. Détente, chaleur, sensation de bien être. Je recommande ce produit. Ce n’est peut être pas efficace pour tout le monde mais en tout cas ça vaut le coup de le tester. À titre personnel j’en suis ravi</t>
  </si>
  <si>
    <t>top Rien à dire, parfait  livraison rapide</t>
  </si>
  <si>
    <t>Trop petites Prévu pour du 40....on me livre 37/ 38 Deceptioncar très belles ces tongs Je vais les offrir à quelqu un...</t>
  </si>
  <si>
    <t>DECEPTION La hotte ne fonctionne pas, seule la lumière marche. Le moteur de la hotte est bloqué. Tant pis, ne n'irai plus sur ce site. Vraiment déçu.</t>
  </si>
  <si>
    <t>Écouter/Difficile à les connecter Bonjour produit reçu aujourd'hui mas avec défaut facile à connecter ma seulement donne du son a chaque côté a la fois pas sur les deux au même temp bizarre. Ne marche pas ensemble impossible de les connecter tout le deux essayer plus de fois ma rien</t>
  </si>
  <si>
    <t>Ecouteur bluetooth Très beau produit mes pas adapté pour moi dommage Attention en cas de retour frais de port à prévoir</t>
  </si>
  <si>
    <t>Pour pied fin Nike toujours de bonne qualité Malheureusement pour pied fin...</t>
  </si>
  <si>
    <t>Très bon rapport qualité prix Ma femme est ravis de sont casque. Le sons y est très bien. Elle peut enfin écouter sa musique en toutes tranquillité quand notre fille dors</t>
  </si>
  <si>
    <t>Il n y a pas de notice en français. Ce qui rend un peut compliqué la prise en main. Bonne qualité, léger: pratique. Resultats rapide et assez précis.</t>
  </si>
  <si>
    <t>bonne qualité Très efficace et longue durée</t>
  </si>
  <si>
    <t>Bon rapport qualité prix. Bon rapport qualité prix.</t>
  </si>
  <si>
    <t>Pas mal Qualité son pas mal , fait le travail</t>
  </si>
  <si>
    <t>Impeccable Suite aux conseils des autres acheteurs j'ai pris une pointure inférieure à celle habituelle et j'ai du échanger les chaussures car trop petites. C'est vrai que les demies pointures seraient le top. Conclusion commander la monture habituelle Échange super rapide 😊</t>
  </si>
  <si>
    <t>CADEAU mon petit fils etait ravi de son cadeau il a trouvé sa montre très classe mon petit fils a 10 ans</t>
  </si>
  <si>
    <t>bon produit très bonne chaussure de cuisine,confortable et ne glisse pas sur sol mouillé</t>
  </si>
  <si>
    <t>Conforme Article conforme à sa description. Après utilisation, les chaussettes sont confortables et ne décolore pas au lavage. A voir dans la durée.</t>
  </si>
  <si>
    <t>parfaites S'adaptent parfaitement sur les flacons des kits de tire-lait Medela, sont parfaites pour mon bébé prématuré, qui a appris et réussi a téter avec, produit hyper adapté aux petites bouches qui se fatiguent vite.</t>
  </si>
  <si>
    <t>Facile et pratique Rentre parfaitement dans les biberons, brosse très douce mais efficace. Bonne prise en main et petit embout pour nettoyer les tétines très pratique.</t>
  </si>
  <si>
    <t>commande très belle article</t>
  </si>
  <si>
    <t>Super Micro Que dire a part ouahhh j en connais une qui va être ravie lorsqu elle va déballer son paquet a noël. J ai pris une photo car je le trouve encore plus joli que sur la photo de la vente. Le son est super et fonctionne bien même lorsque vous éloignez le micro de la bouche. Je suis plus que ravie de mon achat et je pense bientôt en racheter un autre pour la petite soeur ;-). Je recommande cet article</t>
  </si>
  <si>
    <t>Bien Adapté pour ma fille de 23 mois qui tape les feutres pour faire des points ou fait de grands traits pour colorier et dessiner</t>
  </si>
  <si>
    <t>Écouteurs parfaits Écouteur de bonne qualité utilisés avec un adaptateur pour brancher à un iPhone 7</t>
  </si>
  <si>
    <t>RAS tout est conforme à la description. Conforme au descriptif du fabriquant ainsi que sur le site. Facile à configurée, des déconnexion de temps a temps mais cela semble venir de mon téléphone.</t>
  </si>
  <si>
    <t>crayons Produits de qualité</t>
  </si>
  <si>
    <t>top bon ce sont des lingètes swiffer classique je les préfère au marques generique personnelement. Ellesaccrochent mieux je trouve et avec toris chats ce n'est pas du luxe</t>
  </si>
  <si>
    <t>huile ricin je recommande ce produit par rapport à son prix pour du bio et en comparatif aux autres sites... je l'utilise depuis trop peu de temps pour dire si mes cils/cheveux vont pousser plus vite mais je l'espère ! sinon site livraison etc impeccable !</t>
  </si>
  <si>
    <t>Réduction active instable pour ce qui est de mon expérience. j’ai renvoyé mon achat pour une raison. Si la qualité sonore est au rendez-vous, je suis resté dubitatif quant à la fiabilité de la réduction active de bruit. En effet, elle est de bonne qualité mais dans un environnement instable, elle m’a fortement Déçu. Assis dans un bus pour un trajet de 4 heures, lorsque la route n’etais pas lisse, la réduction active de bruit sautait. Il y avait comme une perturbation sonore forte et desagreable quand le bus passait sur les obstacles de types, nids de poule, bosses etc. En mettant la foncrion analyse et adaptation à l’environnement rien n’y faisait.</t>
  </si>
  <si>
    <t>Pas top du tout comme service Le produit est joli et la taille est bonne mais cela manque vraiment de serieux La 1er commande , nous avons reçu 2 pieds gauche et avons du renvoyer. La 2eme, les 2 chaussures etaient tachées de jaune sur le dessus ! Impossible de garder ça... degueulasse sur du blanc Donc a nouveau renvoyées Je ne pense pas refaire un essaie malgré qu elles auraoeng plu a ma fille</t>
  </si>
  <si>
    <t>Vraiment déçu Produit arrivé sans aucune protection et ruban peu rempli à comparer à ceux vendu en commerce</t>
  </si>
  <si>
    <t>GRANDE plutot jolie ... bonne qualite est jolie tissue . mai tres grande !! sur la photo parait de taille moyenne du coup un peu surpris !</t>
  </si>
  <si>
    <t>Conforme Ras conforme à  la description</t>
  </si>
  <si>
    <t>agréable à porter Ce legging est vraiment agréable à porter, presque une seconde peau, sans trop serrer. Il est chaud et la texture est douce. Je suis moins fan de la couleur brillante mais c'est assez léger donc ça passe.</t>
  </si>
  <si>
    <t>Il manque un drapeau... Très belles cartes à gratter ! Seul petit bémol sur la carte européenne, il manque le drapeau de la Norvège 🇳🇴😕</t>
  </si>
  <si>
    <t>Confortable et sympa Conforme à la description tant pour les couleurs que pour la pointure, confortables et agréables. On est comme dans des pantoufles!</t>
  </si>
  <si>
    <t>Pleinement satisfaite La qualité de ces recharges est la même que celles achetées dans un magasin. La seule différence est le prix amazone, qui est plus attractif. Je recommande!</t>
  </si>
  <si>
    <t>Je le recommande Trop bien comme des pantoufles j adore</t>
  </si>
  <si>
    <t>la largeur ça tombe juste a mon pied</t>
  </si>
  <si>
    <t>Montre tendance et jolie J'ai acheté cette montre car elle est très tendance, Elle plait à toutes les catégorie d'age Très belle finition Livraison rapide et soignée dans une boite de présentation Vendeur très sérieux, ces montres peuvent faire l'objet de cadeau ( prix )</t>
  </si>
  <si>
    <t>Asics mission-gel3 Reçu rapidement, correspondant à mes attentes... j'ai pris une ½ pointure de plus et j'aurais pas du... mais elle sont confortables pour la marche et sobre pour la ville. A voir dans le temps...</t>
  </si>
  <si>
    <t>Rapide merci Très bien</t>
  </si>
  <si>
    <t>Parfait Au top rien à dire</t>
  </si>
  <si>
    <t>Bon livre pour débuter dans la lecture, bien adapté pour la période de Noël Les livres de la collections permettent à un enfant de CP de lire seul car tous les mots sont facilement déchiffrables. Du coup l'intérêt littéraire n'est pas forcément au rendez-vous mais cela leur fait plaisir alors en alternance de vraies bonnes histoires à écouter c'est parfait !</t>
  </si>
  <si>
    <t>Super sympa Livraison et produit très satisfaisant. Super jolies assiettes.</t>
  </si>
  <si>
    <t>Parfait ! Pratique, on peut se faire des boissons chaudes partout du moment que l'on peut se brancher sur une prise électrique. Cela chauffe vite, très chaud, solide, facile à transporter, pour les amateurs de thé, infusions, café soluble...</t>
  </si>
  <si>
    <t>baskets tres bien</t>
  </si>
  <si>
    <t>Copeaux Génial pour faire ma lessive maison</t>
  </si>
  <si>
    <t>Magnifiques chaussures multi activités. Je chausse habituellement du 42, j'ai commandé du 42,6 et je ne regrette pas du tout. Elles sont légères et  bien aérées. Après une bonne journée de marche, aucune douleur ressentie au niveau pieds et dos. J'en suis très content.</t>
  </si>
  <si>
    <t>Produit excellent Pour un cadeau d'anniversaire, j'ai décidé de choisir ce casque pour plusieurs raisons. Premièrement, le prix. Je n'avais pas beaucoup à mettre, et au moment de l'achat il y a eu des réductions (fin novembre, début décembre 2018, le prix était d'environ 50-55 euros contre les 80 sur le site Corsair.) Deuxièmement, la qualité. Ne connaissant pas tellement les produits gamers, j'ai lu plusieurs avis concernant la marque Corsair, tous satisfait de leurs produits.  Et effectivement, ce casque en plus d'avoir un design simple mais beau (et bien finit) il est aussi pratique que de bonne qualité. - Design simple mais beau avec des finitions tels que les coutures ou le cercle et la marque d'un argenté qui rendent le produit vraiment magnifique. - Pratique car nous pouvons enlever le micro pour qu'il devienne un casque classique. Le fait qu'il soit compatible avec Discord est aussi confortable, par exemple le petit bouton pour couper le micro est très pratique lorsqu'en pleine partie, vous avez envie d'éternuer ou de vous moucher... - De bonne qualité car il ne va pas se casser lorsqu'on le prend ou qu'on le porte. Pareil pour le micro pourtant détachable, ainsi que le câble qui à l'air de résister à toutes épreuves. En plus de ça, il y a un logiciel ou vous pourrez régler votre son comme vous le souhaitez et ainsi, enregistrer plusieurs "profils" suivant si vous jouez à un jeu d'aventure ou d'horreur, ou si vous écoutez du métal ou du classique...  Le seul petit bémol: Si le joueur écoute de la musique, sur discord cela peut s'entendre (très faiblement) est-ce que nous avons mal réglé la sensibilité du micro ? Peut-être. Quoiqu'il en soit, si vous êtes en push to talk ou si vous avez pris l'habitude de couper votre micro manuellement grâce au bouton sur votre casque, cela ne dérangera en rien. D'autant plus que nous parlons là, d'un très faible son.  En résumé, un très bon casque pour un très bon rapport qualité/prix.  Merci.</t>
  </si>
  <si>
    <t>Bon rapport qualité prix Sweat de Bonne qualité je recommande.</t>
  </si>
  <si>
    <t>Deconseille mauvais produit Perché qui c'est très vite cassé... deconseille à toutes les personnes qui veulent un produit durable... mauvaise qualité de ce produit peut être que c'était une exception et que les autres sont meilleures</t>
  </si>
  <si>
    <t>Trop chaud et café sans goût Petit dej</t>
  </si>
  <si>
    <t>Taille 1 peu juste Plutôt satisfaite : baskets confortables;  chaussant habituellement du 37, je les trouve 1 peu serrées, 1 demi pointure de + aurait été bien. Je les garde car je pense qu'elles vont se détendre 1 peu à l'usage.</t>
  </si>
  <si>
    <t>Grésille Grésillement et lors des appels l interlocuteur nous entend très mal un peu déçu du produit de plus livré en retard</t>
  </si>
  <si>
    <t>confortable confortable et jolie. je recommande.</t>
  </si>
  <si>
    <t>Conforme Produit parfaitement conforme à la photo du site. Délai Ok ! Je recommande ce produit.</t>
  </si>
  <si>
    <t>écouteur wireless Soudcore Liberty Air Des écouteurs tout simplement AU TOP certe chère mais correct.</t>
  </si>
  <si>
    <t>Correspond à la description, taille correcte Pour protéger de la pluie, taille correcte</t>
  </si>
  <si>
    <t>Au top pour les enfants Mon fils a été surpris de ce cadeau mais me dit que c’est très facile à lire et marrant . Bien fait et adapté aux enfants !! Je vous le conseil</t>
  </si>
  <si>
    <t>Ce porte comme un gant Super content de mon achat. J ai pris taille S  pour 1.71 et 64 kg avoir dans le temps. Pratique pour séance des jambes.</t>
  </si>
  <si>
    <t>Huile essentielle ideale Huile essentielle tres efficace pour parfumer, la poubelle et surtout desodoriser la litiere du chat permet d'éviter toutes les mauvaises odeurs dans la cuisine. Parfum tres agreable, on peut changer de senteur selon son humeur.</t>
  </si>
  <si>
    <t>La qualité est au rendez-vous Bébé apprécie beaucoup la tétine souple et douce des biberons Tommee Tippee et la transition sein biberon s'est ainsi très bien passée. Leurs formes ergonomiques permet de les nettoyer ensuite très facilement et leurs tailles de les transporter aisément dans un petit sac à langer ! Gage de sérieux et de sécurité pour bébé ils sont garantis sans Bisphénol A. Cette gamme aux couleurs bleue et violette est de plus très jolie, ce qui ne gâche rien !</t>
  </si>
  <si>
    <t>cool taille 58, j'ai prix la taille conseiller dans le tableaux, elle sert légèrement, ça reste confortable, par contre elle n'est pas tendue, donc quelques plis par-ci par là, dommage.</t>
  </si>
  <si>
    <t>Baume du tigre qui chauffe ! ce baume de tigre chauffe vraiment ! Je l'utilise pour mes douleurs musculaires et ça marche vraiment. Ce patch baume du tigre est de bonne taille pour derrière l'épaule ou le bas du dos par exemple.</t>
  </si>
  <si>
    <t>agréable très bon produit, bien emballé, reçu dans les temps! Idéal d'appoint, manque juste de programmes mais très bon rapport qualité prix. massage puissant et  en profondeur .</t>
  </si>
  <si>
    <t>Ne pas prendre une taille au dessus Je les ai tous les jours aux pieds pendant 12h Nickel</t>
  </si>
  <si>
    <t>Parfait Ce lot de 2 tétines s'adaptent parfaitement au biberon Avent. Bien étudié, le bébé ne risque pas de coliques avec ni de s'étouffer. Ces tétines passent très bien au stérilisateur et résiste bien à la chaleur. Ne se déforme pas! Acheté 4,50€, ce qui est raisonnable, les produits Avent ne m'ont jamais déçu, je recommande ces tétines.</t>
  </si>
  <si>
    <t>Je recommande Très bon produit très bonne marque très solide</t>
  </si>
  <si>
    <t>Bon produit Super accessoires avec de belles couleurs</t>
  </si>
  <si>
    <t>Très bien Conforme à mes attentes, belle couleur, agréable et solide !</t>
  </si>
  <si>
    <t>liquide pour biberon et vaiselle bb c est un tres bon produit sain et économique!les biberon mais je m en sert aussi  toute la vaisselle de bb</t>
  </si>
  <si>
    <t>Joli charm Joli charm, d’une belle finesse</t>
  </si>
  <si>
    <t>tres bon produit petit dejeune</t>
  </si>
  <si>
    <t>Déçu Je suis decu par cette article car il ne rentre dans aucun micro que j'ai pour l'airsoft</t>
  </si>
  <si>
    <t>Aucun effet Aucun effet anti douleur ressenti. Encore un gadget.....</t>
  </si>
  <si>
    <t>Ne fonctionne plus au bout de même pas 1 mois J’ai acheté cette bouilloire pour son design, mais elle ne marche plus après même pas 1 mois d’utilisitation. Je ne comprends pas pourquoi... je vais la renvoyer.</t>
  </si>
  <si>
    <t>Aucun renseignement sur la composition du bijoux Un peu déçue, il n’y a aucune certification pour la composition dû bijoux.</t>
  </si>
  <si>
    <t>Bien mais sans plus Couvre bien les zones décolorées par contre il a un effet matte, ne tient pas plus d’une semaine et marque très facilement aux nouvelles taches.</t>
  </si>
  <si>
    <t>Bon son Utilisé avec un lecteur de MP3, le son est parfait pour cette utilisation. Un petit bémol, il glisse facilement en cours de marché et ne convient pas pour courir. Comme je ne pratique pas le jogging, ce n'est pas trop gênant en ce qui me concerne.</t>
  </si>
  <si>
    <t>Bien Style un peu vieillot mais très efficace, chauffe bien,  dommage que çela ne chauffe pas dans la partie du haut (col)</t>
  </si>
  <si>
    <t>Montre Très bonne qualité</t>
  </si>
  <si>
    <t>Un peu déçue Le rendu est assez joli mais la chaîne s'est vite oxydée. Dommage car le cadeau avait fait son petit effet. Mais bon rapport qualité/prix.</t>
  </si>
  <si>
    <t>Belle montre Belle montre</t>
  </si>
  <si>
    <t>Très très bien. Agréablement surprise. Pour le prix le son est plus que correct, les écouteurs sont très agréables à porter et le tout à l'air de très bonne qualité. Excellent rapport qualité prix. A voir dans le temps, mais je recommande chaudement ce produit !</t>
  </si>
  <si>
    <t>Bon produit avec une grande autonomie Je me sert de ces écouteurs depuis que je les ai reçu (4 jours) et je ne les ai pas encore rechargés ! Ils s'adaptent parfaitement à l'oreille ce qui les rends vraiment confortables. Très agréables à porter, ils diffusent également une excellente qualité sonore.  Livré avec sa notice, son boitier et son câble de rechargement.</t>
  </si>
  <si>
    <t>RAs RAs</t>
  </si>
  <si>
    <t>Cartouches encre pour Canon PIXMA_5*** Objet conforme à la description. C’est un bon produit, de bonne qualité, S’adapte sur Canon PIXMA_5750 et fonctionne parfaitement Rapport qualité / prix excellent. Je recommande cet article.</t>
  </si>
  <si>
    <t>Parfait et pas cher Parfait conforme et pratique colle bien Même qualité que chez d autre distributeur mais moins cher donc ravie !!!!</t>
  </si>
  <si>
    <t>Vraiment joli ! Visuellement vraiment sympa. Le diamètre est adapté aux poignets de taille moyenne. Par contre attention à ceux qui ont des poils aux avants bras, ça a tendance à tirer un peu... Mais sinon, rien à redire !</t>
  </si>
  <si>
    <t>Chauffe lit 2 places indépendantes Excellent produit, qui permet d'apporter une douce chaleur au lit, réglage selon, et surtout, permet de chauffer une, ou deux places de façon indépendante. A recommander.</t>
  </si>
  <si>
    <t>Super génial je recommande Super super j'en est commandé une autre pour une amis de taille différents et rien à dire parfait une troisième va être commandé pour un anniversaire elle fait sensation</t>
  </si>
  <si>
    <t>Top Beaux biberons appréciés par un bébé nourri au lait maternel exclusivement, tétine équivalente aux mam mais plus pratique à laver. Je les recommande.</t>
  </si>
  <si>
    <t>Pack de 2 cartouches HP Bien reçu toujours contente  de ces cartouches  en plus  en promotion  je recommande  merci</t>
  </si>
  <si>
    <t>Très bonne brosse Cette brosse correspond exactement à sa description. Je l'utilise pour brosser mes UGG après nettoyage. Rien à re-dire. Je recommande</t>
  </si>
  <si>
    <t>Tres bien Tres bien el le corps d3 la bouilloire en plastique et moins chaud que pour celle en metal</t>
  </si>
  <si>
    <t>Vraiment parfait Il est à la bonne taille, très confortable, doux mais léger, ne tien pas trop chaud. Je l'adore en plus il est joli !</t>
  </si>
  <si>
    <t>Très bien Discret et raffiné Colis reçu en avance</t>
  </si>
  <si>
    <t>retreci au 1 er lavage A rétréci au 1 er lavage ( 30 degré ) et bouloche , 2 ème lavage bouloche et couture qui tienne pas ... dommage sympa</t>
  </si>
  <si>
    <t>Four Je pensais que ce film allait dans les fours traditionnels hélas non Au moment de l Sacha il était dit qu il pouvais y zller</t>
  </si>
  <si>
    <t>20 minutes pour chauffer un biberon!!! Acheté en juillet mais utilisé pour la première fois cette semaine au retour des bébés de la maternité. La marque et le descriptif en faisait un produit prometteur. La réalité est un temps de chauffe excessif et des biberons tiédasses tout au plus. Avec des jumeaux, c'est tous simplement impossible. Trop tard pour le rendre.</t>
  </si>
  <si>
    <t>Très jolie Le bola est Très jolie mais la chaîne est trop courte, bien dommage et pas assez fine a mon goût</t>
  </si>
  <si>
    <t>Parfait comme sac professionnel Le sac à un effet brillant mais à l'air solide. Attend de voir comment le cuir va se vieillir.  Je l'ai offert et le cadeau a été très apprécié, parfait pour les déplacements professionnels (ordinateur 13 pouces).</t>
  </si>
  <si>
    <t>ARMONY BRACELET TRIPLE PROTECTION Très joli bracelet juste trop grand pour moi, dommage je peux difficilement le garder au poignet car je le perd souvent et je ne sais pas si on peut enlever des perles sans perdre la protection dû à ce bracelet.</t>
  </si>
  <si>
    <t>😄 Tient chaud, matière basic ma.fille.l'aime bien.</t>
  </si>
  <si>
    <t>Bon produit, finition a ameliorer Filtre anti pop efficace, peu onéreux, et assez sobre. J'ai préféré ce modèle car il s'attache directement sur le micro et ne dépasse donc pas devant contrairement aux anti pop avec bras.  Le produit fait ce qu'on lui demande. Finition correcte, même si la partie filtre se decouds un peu sur le contour.</t>
  </si>
  <si>
    <t>confortable confortable</t>
  </si>
  <si>
    <t>Très joli Très joli et féminin. Ça rend super bien devant 1 montre swarovski dans le même esprit ! Je suis contente. Ça fait un bel ensemble</t>
  </si>
  <si>
    <t>Super! Les baskets sont arrivées en bon état. Très belles. Achetées en promotion.</t>
  </si>
  <si>
    <t>parfait et conforme c'est une cartouche officiel quoi ^^ de la marque brother et un bon prix il faut six mots les voilà</t>
  </si>
  <si>
    <t>Je recommande Très bon rapport qualité prix. Petit alignement des têtes et nettoyage des buses et après tout roule! Fini de se faire allumer sur la marque constructeur</t>
  </si>
  <si>
    <t>Apprécié  des ados simples Apprécié  des ados simples qui n'aiment pas forcément  les marques mais le design des chaussure.</t>
  </si>
  <si>
    <t>De vrai pantoufles Au top . J ai l impression de travailler dans des pantoufles . Je recommande.</t>
  </si>
  <si>
    <t>Excellent outil pour jeunes parents Tres utile, tres pratique. Facile à utiliser, à entretenir. Solide, design esthétique, produit bien pensé. Parfait pour 4 biberons (4 capuchons + 4 tétines + 4 couvercles + 4 bouteilles) et on peut encore ajouter 4 sucettes et poser la brosse de nettoyage des biberons.  Excellent rapport quatité prix. Achaté à moins de 20 euros pour un produit Avent alors que d'autres sont bien plus chers.  ps. et quand les enfants sont plus grands, c'est aussi parfait pour faire sécher leurs gourdes.</t>
  </si>
  <si>
    <t>Bonne réception Colis reçu et conforme très très bien</t>
  </si>
  <si>
    <t>Extrêmement pratique pour sortir les cartes Quand on doit sortir les cartes régulièrement, c'est un outil TELLEMENT pratique! Cela évite de galérer à sortir les cartes. Bonne manufacture, bonne qualité. Rien à redire</t>
  </si>
  <si>
    <t>TRES SATISFAITE Mais  j'ai ces mêmes TBS depuis  X années  car sans surprise toujours d'un excellent confort et qualité !</t>
  </si>
  <si>
    <t>Conforme à la description Bon produit</t>
  </si>
  <si>
    <t>Confortable et résistant J’ai acheté ce casque pour les séances de musculation et là-bas course à pied. Il est très agréable à porter, tient bien en place. La batterie dure longtemps. Il est résistant. Toujours dans mon sac de sport pendant 1 an et rien ne s’est cassé. Il résiste à la transpiration. J’ai eu un souci après environ 9 mois d’utilisation lors du chargement et après un simple message au fournisseur, un nouveau casque m’a été envoyé gratuitement en une semaine. C’est parfait.</t>
  </si>
  <si>
    <t>Produit de qualité Chaussures fitness conforme à mes attentes. Souples et agréables à porter.</t>
  </si>
  <si>
    <t>Rapport qualité / prix excellent Bien moins cher qu'en grande surface. Commande de 6 trieurs, tous parfaits. Rien à dire, j'ai bien fait de comparer les prix entre Amazon et les grandes surfaces.</t>
  </si>
  <si>
    <t>SYROKA N SOUTIEN GORGE Comme le précédent . Très bonne qualité je suis soutenue même en ayant un bonnet G en 105. Bon je n’ai encore couru avec mais en marchant rapidement la poitrine reste stable . Je vais en recommandé un autre d’ailleur . Je vous le recommande .</t>
  </si>
  <si>
    <t>Manteau jolie , mais des defaux Le manteau en lui est jolie mais tire sous les bras en bas du manteau le tissu plisse surement mal couper  et assembler  comme .ca</t>
  </si>
  <si>
    <t>Pourri La taille ne correspond pas le M taille 12ans je recommande pas du tout très déçu de l argent jetait par la fenêtre.</t>
  </si>
  <si>
    <t>pas séduit par cette théière &lt;div id="video-block-R1N1NH54EPC3UY" class="a-section a-spacing-small a-spacing-top-mini video-block"&gt;&lt;/div&gt;&lt;input type="hidden" name="" value="https://images-eu.ssl-images-amazon.com/images/I/C1vBDMvgcmS.mp4" class="video-url"&gt;&lt;input type="hidden" name="" value="https://images-eu.ssl-images-amazon.com/images/I/81z9ZKOeIYS.png" class="video-slate-img-url"&gt;&amp;nbsp;Cette machine à thé remporte une note moyenne, c'est à dire à 3 étoiles sur  les critères comme la saveur, la facilité d'utilisation, et le style. Les quatre photos montrent la théière. Une photo montre le placement de la capsule, qui n'est pas évidente à mettre au niveau sens et un pictogramme aurait pu aider à ce titre. Au niveau style, la théière est plutôt anguleuse et pas trop design pour ma part. Le plastique se sent après plusieurs essais à vide, mais est -il sans BPA ? Le package contient un filtre à installer ; mais aussi un paquet de plusieurs thés  aromatisés ; tous ne sont pas géniaux en terme de goût, car on ressent le côté chimique aromatisant.... et j'aurais opté pour un thé simple saveur... mais dans ce cas pas besoin de cette théière pour se faire un thé classique de marque très connu par exemple, pour y rajouter ensuite un nuage de lait. La vidéo montre une tasse de thé avec une capsule blueberry muffin, ce thé a plus l'odeur du muffin que le goût, mais en revanche le goût de la myrtille est bien présent.... tout le monde n'appréciera pas les saveurs proposées. Bon je ne suis pas séduits par cette théière et ma note se limitera à trois étoiles.</t>
  </si>
  <si>
    <t>très joli sac MAIS.... Ce sac acheté comme cadeau pour ma fille est d'une jolie couleur rose girly. Il est de bonne contenance et semble solide MAIS il n'y avait pas le porte-clés singe! Il manque le kiki! Je ne sais donc pas si je vais garder le sac ou le renvoyer...</t>
  </si>
  <si>
    <t>Bonne pointure bonne qualité Bonne pointure bonne qualité</t>
  </si>
  <si>
    <t>Une bonne montre passe partout Montre fine, légère et agréable à porter dans la vie de tous les jours avec sa protection d'étanchéité qui permet une bonne beignade sans crainte</t>
  </si>
  <si>
    <t>Au top Confortables et jolies. Le talon est super.</t>
  </si>
  <si>
    <t>Elégante Tr§s jolie montre mais le bracelet pourrait être plus facile à régler... Il faut enlever des mailles pour le rétrécir.  Sinon, très joli design</t>
  </si>
  <si>
    <t>tres joli Dans une boite en écrin noir avec le nom de la marque . boucles d'oreilles en forme de cœur ,au centre du cœur il y a  une pierre en zircon cubique diamanté .Les fermoirs sont standards Elles sont légères .Livraison rapide et soignée .</t>
  </si>
  <si>
    <t>Prix intéressant C'est tout à fait ce dont j'avais besoin  pour imprimer mes timbres à domicile et affranchir mes courriers. Prix attractif, donc tout va bien.</t>
  </si>
  <si>
    <t>Top Il chauffe bien il est doux topissime j'aurais du prendre plus grand. J'aurais aussi aimé si cela n'est pas dangereux qu'il chauffe un petit peu  plus mais sinon ravie elle nest pas programmable elle s'éteint au bout de 3h15 environ lavable en machine</t>
  </si>
  <si>
    <t>PROMESSES TENUES J'étais très sceptique quant à l'efficacité de l'éveil lumière de Philips et sa capacité à m'éveiller en douceur mais de façon efficace! Jusqu'à présent, je n'ai connu que des réveils en sursaut, quelque soit l'appareil utilisé: radioréveil, portable, réveil de grand-père, etc... D'où mon envie de tester ce produit, pour vérifier s'il tenait la promesse faite d'un réveil progressif et en douceur. Trnd &amp;amp; philips, m'ont accordé le privilège de tester l'éveil lumière et je dois avouer que je suis très agréablement convaincue... A part la 1ere nuit où j'ai été un peu dérangé par l'éclairage de l'heure, un peu fort(Je n'ai découverts que le lendemain, que je pouvais régler l'intensité à l'aide du bouton situé à gauche sur le pied ) d'ailleurs, j'ai pu lire  que cette gène était également,décrite, par d'autres testeurs, qui n'ont apparemment pas encore compris qu'il y avait une solution au problème. J'ai un sommeil, assez léger, je règle, donc,  de la façon suivante mon éveil lumière: l'intensité de l'affichage de l'heure sur le 2eme degré, car le 1er degré est vraiment très faible donc peu visible en journée. Pour le son, j'ai choisi, les petits cui cui suivi du coucou (très doux et agréable). Et pour l'intensité de la lumière qui simule le lever du soleil je sélectionne le niveau 3, c'est amplement suffisant pour moi (il ne s'agirait pas que je sois réveillée trop tôt, non plus, vu mon sommeil léger. Une trentaine de minutes avant l'heure de réveil programmé, l'éveil de philips, commence doucement à s'éclairer, sans que je n'ouvre les yeux, je sens à ce 1er déclenchement qu'il se passe quelque chose et doucement je commence à reprendre conscience, puis il augmente un peu plus en intensité jusqu'à la mise en route du son à l'heure programmée. Dès que le 1er cui-cui se fait entendre, je l'éteins, sans me dire: "allé, encore 5mn", comme je le faisais anciennement, car j'ai l'impression de les avoir déjà eu les 5 mn de rab... Génial, aussi de pouvoir chausser mes pantoufles, autrement qu'à l'aveuglette,  grâce à son éclairage. Car ma lampe de chevet, elle, ne peut être réglée à l'intensité qui me convient, l'allumer pour me chausser c'est réveiller, à coup sûr, mon compagnon. Pour finir son design, s'intègre idéalement à la déco romantique et blanche de ma chambre et ça c'est pas donné à tous les réveils!! En résumé, pour moi: Ses points forts sont: 1)la simulation" lever du solei": réussie! 2)fonction lampe de chevet à intensité réglable: au top! 3) son design rond et doux (s'harmonise idéalement avec toutes les déco même romantique, glamour-chic, etc...) 4) La discrétion des touches quasi-invisbles et leur éclairage à l'approche de la main. 5) Sa fonction répétition (bien confortable, les jours où on en a besoin)  Point faible: 1) son manque d'autonomie en cas de coupure de courant. 2) Les superbes et discrètes touches tactiles, point fort pour les clairvoyant, sont évidemment à déconseiller aux personnes malvoyantes.</t>
  </si>
  <si>
    <t>produit multitache bon bicarbonate multiusage je m'en sert pour tous lessive ménage nettoyer les légumes un classique produit indispensable a avoir a la maison !!</t>
  </si>
  <si>
    <t>Pas cher Très confortables et légère !</t>
  </si>
  <si>
    <t>Vintage Très bon produit, avec effet vintage garanti. Tranquille pendant 10 ans à ne pas changer la pile.</t>
  </si>
  <si>
    <t>Très beau bracelet Excellent, j'adore</t>
  </si>
  <si>
    <t>Sac pour tous. Sac pratique et solide.</t>
  </si>
  <si>
    <t>génial au début, quand je l'ai sorti du colis j'ai été surprise par l'épaisseur du tissu, assez fin en fait. mais surprise dès qu'on le met, car hyper chaud. je pense en prendre un deuxième en gris. et ma nièce m'a demandé le même pour Noël.</t>
  </si>
  <si>
    <t>Ergonomique Confortable Grâce à sa conception intra-auriculaire, Muzili oreillettes sans fil s'adaptent parfaitement à votre oreille sans aucun réglage, sans frottement, glissement. Ils sont conçus pour que vous vous sentiez à l'aise de porter les oreillettes pour une utilisation à long terme.</t>
  </si>
  <si>
    <t>dooxii jogging 2 piéces il est trés beau et chaud au top formidable</t>
  </si>
  <si>
    <t>100 EX Papier adhésif blanc A4 autocollant SPECIAL DECOUPE tres content du produit je le recommande</t>
  </si>
  <si>
    <t>nickel super</t>
  </si>
  <si>
    <t>Qualité/PRIX Parfait</t>
  </si>
  <si>
    <t>Conforme Bien</t>
  </si>
  <si>
    <t>Peu resistant.... Tétine acheté car bébé est sous lait AR. Parfait au début... Le tétines se fendent après 1-2 mois d'utilisation. La fente étant plus large bébé se "noie" dans son biberon... On s'atttend à une meilleure qualitée quand on achète du Philips AVENT!! Tous mes biberon sont des Avent donc contraint d'acheter très souvent de nouvelles tétines. Coté Amazon rien à dire toujours parfait et rapide</t>
  </si>
  <si>
    <t>Colle mais pas tous supports Ne colle pas sur tous supports. Déçu vu le prix d achat. Je vois peux de différence mis à part le prix d'un double face classique.</t>
  </si>
  <si>
    <t>ne fonctionne pas le cable n'a jamais fonctionné. Aucun son ne sort. Mention est faite qu'on a 90 jours pour le retourner. Mais impossible de contacter le vendeur...</t>
  </si>
  <si>
    <t>sans plus sans plus il doit y avoir mieux</t>
  </si>
  <si>
    <t>Pour petit usage Léger, compact mais petite qualité</t>
  </si>
  <si>
    <t>Bon rapport qualité/prix J'ai reçu ce produit à la date prévue, le tapis est conforme aux photos et descriptif. Je m'y habitue tout doucement car ça pique au début mais espère qu'à long terme mes douleurs au dos se calmeront.</t>
  </si>
  <si>
    <t>Très facile à  utiliser J'aime le style</t>
  </si>
  <si>
    <t>Excellent Acheté 22.99€. Packaging franchement classe. Oreillette chargée à 80% d'usine. Très bonne qualité de son franchement je ne m'attendais pas à cette qualité !  Pour la mise en route : - Allumez une oreillette (pression de 2 secondes a peine sur le bouton) PUIS la seconde. - Associer par bluetooth  avec votre téléphone.  Livraison prime rapide (commande passée mardi matin et reçue le jeudi matin).  Je conseille ces oreillettes !  Conclusion :  Bonne finition Produit solide Tiens bien dans les oreilles (3 paires en caoutchouc sont fournis) Parfait pour la course a pied Qualité de son très bonne Rapport qualité prix impressionnant  Attention  : avoir un bloc de charge USB car seul le cordon USB est fourni (mais qui n'a pas de bloc chargeur USB de nos jours ?)</t>
  </si>
  <si>
    <t>Très bien un très bon trieur bien solide et de qualité. Parfait pour des ados pour qu'ils rangent les feuilles.BON rapport qualité prix</t>
  </si>
  <si>
    <t>SUPER CONFORT Très confortables et très douces sur la peau ces chaussettes sont vraiment super. Un peu chères mais bien pratiques. Une traduction en français des différents textes et indications aurait été la bienvenue.Ceci est ma 2è commande mais là après le 1er lavage, elles sont un peu justes. J'ai pris la pointure 39/42 car je chausse du 40 mais pour mon mari qui chausse du 42 j'ai pris 43/46 et elles vont très bien.Je recommande vivement ce produit.</t>
  </si>
  <si>
    <t>Sweats à Capuche parfait</t>
  </si>
  <si>
    <t>Caisse de rangement vinyle Produit conforme, reçu dans les temps indiquer et en bonne état. La capacité de stockage est impressionnant ; 100 vinyle ! La caisse en bois est très esthétique et de bonne qualité. Les 4 roulettes sont très bien pour déplacer la caisse.</t>
  </si>
  <si>
    <t>BOUCLES D'OREILLES TRES FEMININES Produit conforme à la photo et au descriptif. Je cherchais des boucles d'oreilles originales et élégantes pour changer des créoles. Très contente de mon achat et de la rapidité de livraison.</t>
  </si>
  <si>
    <t>Trop bien!! Microphone trop bien!! Le design est top! Je suis quelqu’un de très timide et ça me fait toujours bizarre de me réécouter après les enregistrements mais la qualité sonore est bien donc c’est plus facile et agréable à s’écouter.</t>
  </si>
  <si>
    <t>parfait nickel convient parfaitement et est exactement correspondant à la description que demander de plus? c'est ce que je voulais... super</t>
  </si>
  <si>
    <t>Parfait Souple confortable et belle facile à mettre</t>
  </si>
  <si>
    <t>Humidificateur d'air Très satisfaite, livraison rapide, une diffusion de brume très légère et une bonne odeur avec les huiles essentielles .</t>
  </si>
  <si>
    <t>Parfait Parfaite bonne odeur qualité extra</t>
  </si>
  <si>
    <t>Parfait! Livraison express, produit conforme et impeccable, joli rendu, bon rapport qualité/prix, bref rien à dire, j'attends juste le soleil pour les mettre.</t>
  </si>
  <si>
    <t>Parfait Parfait livraison très rapide</t>
  </si>
  <si>
    <t>Indispensable J'ai lavé le papier peint de ma chambre très encrassé après 8 ans (dernier lavage), uniquement avec ce vinaigre et de bonnes éponges. C'est blanchi, propre et ça sent le propre. Absolument ravie.</t>
  </si>
  <si>
    <t>Très bon appareil Grille pain Très bien fonctionnellement Beau design beau coloris Prix correct Suis très satisfaite de cet achat Je le recommande</t>
  </si>
  <si>
    <t>Satisfait, je recommande Les écouteurs sont de bonne qualité. Très confortable également, le son est agréable et le boitier peut servir de batterie externe, donc assez pratique lorsqu'on est en panne de batterie.</t>
  </si>
  <si>
    <t>bonne chaussure adore cette chaussure tres confortable et la taile 42 est tres bien</t>
  </si>
  <si>
    <t>Déçu Le bracelet reçu en jade noir n’est pas du tout comme sur la photo contractuelle. Le mien est gris, beaucoup moins joli que sur leur photo. Je vous laisse comparer entre ma photo (ci-dessous) et la photo Contractuelle.</t>
  </si>
  <si>
    <t>Produit en espagnol et non en français Produit en espagnol et non en français. attention à ne pas vendre un produit non conforme à la photo sur le descriptif</t>
  </si>
  <si>
    <t>Faut pas etre pressé.. Ne vous fiez pas aux indications du constructeur, presque 10min pour réchauffer un biberon de 90ml contre 3 min indiquè par philips.... Encore un chauffe-biberon plein de promesses non tenue !!! Ras le bol d’être prit pour des pigeons</t>
  </si>
  <si>
    <t>Taille trop petit Taille beaucoup trop petit, j’ai donné à ma nièce qui fait taille S le XL lui va parfaitement bien.</t>
  </si>
  <si>
    <t>Bien mais.... Chaussures confortables, dommage qu’amazon nous conseils une taille car je l’ai suivie mais elles sont trop grandes dommage</t>
  </si>
  <si>
    <t>Pour les petites poubelles Voici un article bien adapté aux petites poubelles étant un tout petit peu plus grandes que celles que l'on met dans des toilettes (surtout par maque de place).</t>
  </si>
  <si>
    <t>Que dire de plus ? Je ne sais pas quoi vous dire, le produit correspond au descriptif, c'est propre, et ça fonctionne.</t>
  </si>
  <si>
    <t>La classique Puma des années 70 Un vrai classique de la chaussure de sport</t>
  </si>
  <si>
    <t>Superbe Elles sont très jolies, la couleur est d'un beau rouge parfait.</t>
  </si>
  <si>
    <t>Produit qui a l'air de qualité Prévu pour un voyage au Canada, j'ai pris une demi pointure en plus. Reçu avec la boîte de la marque et ok pour la taille, il faut bien prendre un peu plus grand ! avec les chaussettes pour le froid c'est le minimum pour moi.En ce qui concerne le produit, évidemment fait en Thaïlande mais cela ne doit pas laisser penser que la qualité est mauvaise, à voir après usage et on peut penser que les bottes sont suffissament chaude et fourrées pour être adaptées au climat hivernal</t>
  </si>
  <si>
    <t>Livraison très déçu du l’état de mon carton Produit est top Par contre la livraison au point de collecte, laisse à désirer. Le carton n’est pas arrivé en bon état</t>
  </si>
  <si>
    <t>Parfait Correspond à la description</t>
  </si>
  <si>
    <t>. Très bon produit</t>
  </si>
  <si>
    <t>Conforme et qualité Produit et livraison conformes ; taille légèrement grand. chaussure qui a l’air de très bonne qualité , à voir avec le temps</t>
  </si>
  <si>
    <t>Satisfaite Cet huile est parfaite pour désinfecter toute la maison, ajouter à deux cuillères de bicarbonate de soude dans une coupelle cela enlève toutes les mauvaises odeurs dans les toilettes.</t>
  </si>
  <si>
    <t>Produit excellent Le son est très bien restitué avec une belle présence des basses, ce que j'apprécie beaucoup. Ils ont l'air d'un produit haut de gamme. Emballage professionnel, c'est un bon signe. Le bouton de réglage se glisse facilement. J'ai commandé deux fois ces écouteurs car j'en suis pleinement satisfait.</t>
  </si>
  <si>
    <t>Au bonheur du line ! Je cherchais depuis un moment des feutres pour faire des lines, j'ai enfin trouvé ! Le choix de pointes permet de trouver son style et, une fois sec, le feutre résiste au passage de l'aquarelle par dessus sans baver ! Bref, du bon matériel !</t>
  </si>
  <si>
    <t>Bonne qualité 5/5 Temps de livraison à temps. Contente de l’achat. Je recommande.</t>
  </si>
  <si>
    <t>Agréable Confort nikel</t>
  </si>
  <si>
    <t>Parfait Je suis tout à fait satisfait de cet achat. Il correspond bien à la description et fonctionne très bien. J’apprécie sa légèreté ainsi que sa faible épaisseur. La mode étant à des montres surdimensionnées cela devient compliqué d'en trouver une élégante. Au départ, le mode d'emploi est un peut embrouillant, mais on prend vite la main puisqu'elle se met à jour toute seule!</t>
  </si>
  <si>
    <t>Excellent rapport qualité / prix. Acheté lors du prime day, je l'ai payé moins de 20 euros. Franchement un très beau produit pour ce prix et fonctionne tres bien. Stable et contient une dose de flotte de 40cl.</t>
  </si>
  <si>
    <t>Sent bon parfait pour les potions. Rafraîchissante et utile pour mes potions magiques santé ou repousse insecte. Je recommande sans hésitation. L'huile semble de qualité pour la menthe.</t>
  </si>
  <si>
    <t>Casque TaoTronic Pour le prix, ce casque est un bon casque, avec un son correct, un appairage facile, et un micro clair! La réduction de bruit se fait surtout par les coussinets. La réduction de bruit active, en revanche, diminue un peu les bruits ambiants, mais beaucoup moins que des casques plus haut de gamme. Ce ne sera donc pas sa qualité principale. Si vous cherchez un bon casque Bluetooth à petit budget, vous pouvez y aller les yeux fermés ! (Et les oreilles grandes ouvertes)</t>
  </si>
  <si>
    <t>Pull de Noël Super pull. Conforme au produit de la fiche. Bonne taille et super produit. Attention lavage mains. Belle couleur et tres belle finition</t>
  </si>
  <si>
    <t>Pas mal mais pas vraiment solide J'ai acheté ces écouteurs pour mon fils, après que les précédents aient été en partie détruits par nos chats. Ces écouteurs, il en a pris plus soin que d'habitude, et pourtant ils ont cessé de fonctionner au bout de quelques mois (5 pour être large). Le son était pas mal, mais l'ensemble faisait quand même très cheap dès le départ. Pour le prix, on ne vas pas prendre le temps de demander un échange ou de faire jouer une garantie, ça fait partie des "jetables" on va dire.</t>
  </si>
  <si>
    <t>CALECON JE NE VOIS PAS DE DIFFERENCE POUR LA PEAU</t>
  </si>
  <si>
    <t>Montre verre fissure Bonsoir j ai commandé cette montre pour un cadeau de noël. Nous nous sommes aperçu avec l avoir offerte qu' elle est fendue sur le dessus du verre alors qu' elle n est pas tombé ni claqué quelque part. Pourriez vous me donner la marche a suivre pour vous la renvoyer Merci Mme debroeder</t>
  </si>
  <si>
    <t>Taille Déçue de mon achat. Les boucles d'oreilles sont jolies mais imposantes pour les avoir continuellement aux oreilles.</t>
  </si>
  <si>
    <t>Beau , léger , pratique. Un petit sac fort pratique , de petite taille parfait pour les sorties ou transporter de petites choses. Beau design , réglable facilement avec deux accroches changeable donc on peut changer droite ou gauche selon ou l'ont souhaite le porté. Niveau de la place , il y'a assez pour une grande bouteille d'1,5L et une petite de 50cl pas plus. Mon seul reproche vient de la sangle sur l'épaule , un peu trop épaisse , a voir en sortie VTT...</t>
  </si>
  <si>
    <t>Chaussons d'hiver Chaussons d'hiver un peu trop petits, prenez la taille au-dessus.</t>
  </si>
  <si>
    <t>Bien Bien agréable douce et chaude mais attention à prendre 1 ou 2 tailles plus grande surtout si comme nous elles sont pour l'hiver avec des chaussettes, je recommande.</t>
  </si>
  <si>
    <t>j aime belle montre , elle avance de 6 secondes par jour , moi qui aime la précision cela me gène un peu , mais je pense qu il est possible de régler ce petit problème sauf que une fois ouverte  pour réglage on vous garantis plus son étanchéité !!!!</t>
  </si>
  <si>
    <t>Tétine extra douce La plus douce tétine que j'ai essayé. Bien plus douce que mam.je suis ravie et mon fils aussi ;) livraison rapide</t>
  </si>
  <si>
    <t>Super rendu et super confortable Super ma femme est ravie super rendu poche pour le téléphone et taille haute Super 👍 Je recommande</t>
  </si>
  <si>
    <t>Très bon produit Excellent produit. Chauffe rapidement, la cire est Efficace. Application simple, utilisation simple, peu encombrante. Exactement ce que ma femme  cherchait.</t>
  </si>
  <si>
    <t>Pratique mais pas que... Pratique et facile Un bemol  lors d utilisation de la 2ème boite,  la bobine d encre s est déchirée. Je n etais pas tres contente Conclusion un stock de papier qui ne sert a rien.. Je pensais que l impression aleatoire se faisait sur le meme papier avec des petits formats ce qui n est pas le cas. Les explications ne sont pas claires Merci de votre attention</t>
  </si>
  <si>
    <t>Conforme ! Produits conformes et très nombreux ! Peut-être un peu grands mais convient tout de même :)</t>
  </si>
  <si>
    <t>Sur longue utilisation on peut avoir un peu mal aux oreilles mais pas trop non plus J'ai acheté ces écouteurs pour éviter les fils et surtout d'acheter tous les 2 mois des nouveaux écouteurs</t>
  </si>
  <si>
    <t>Super réveil avec plein de fonctions top J’adore ce réveil tout simplement , je ne pensais pas y trouver autant de fonctions ( sons différents pour s’endormir ou se réveiller , nature,mer .musique....) la lumière pour se réveiller est progressive et p être réglée En fait tout se règle et on obtient le réveil sur mesure .jadhere !</t>
  </si>
  <si>
    <t>Tres confortable Tres confortable je marchavec comme sur un nuage</t>
  </si>
  <si>
    <t>le top du top Les ecouteurs sont discret, legers et ont un super sont. Ma fille ne se sert plus que de ceux la. merci au vendeur pour sa rapidité tres bon rapport qualité prix. je recommande.</t>
  </si>
  <si>
    <t>Top Conforme a la photo</t>
  </si>
  <si>
    <t>Satisfait Très satisfait fonctionne très bien le temps de chauffe est rapide seul inconvénient l'endroit où l'ont met les piles n'est pas pratique.</t>
  </si>
  <si>
    <t>transaction effectuée sans probleme produit reçu dans les temps (1 jour d'avance) . Produit conforme a mes attentes</t>
  </si>
  <si>
    <t>Grill pain J’aime le style rétro il fonctionne à merveille</t>
  </si>
  <si>
    <t>conforme Bien mais ne dure pas assez longtemps et trop cher</t>
  </si>
  <si>
    <t>Elle est sympa cette petite robe Toute simple mais très agréable à porter Elle n'est pas transparente avec une doublure La couleur est conforme à la photo Je la recommande J'ai pris une taille au dessus</t>
  </si>
  <si>
    <t>bof bof Bof.. autant le grande brosses que la petite ne lavent pas tres bien. sauvez votre argent.</t>
  </si>
  <si>
    <t>Article bien arrivé mais la taille est trop grande. Cette article a été commander en taille S-M pour mon fils de 12 ans car pas de taille 12-14 ans , mais l'article est trop grand a l'arrivé. Par contre il est comme sur la photo et très beau .il y a juste la taille qui ne convient pas</t>
  </si>
  <si>
    <t>Pas mal pas mal pour le prix mais reste très fragile</t>
  </si>
  <si>
    <t>Pas des running, pas d'amorti dans la semelle Chaussures sobres, légères, mais ce ne sont pas des running, aucun amorti dans la semelle, la bulle d'air n'est que décorative ... Dommage. Chaussures de villes parfaite, mais pas sportives ...</t>
  </si>
  <si>
    <t>Super Je n'ai jamais été aussi à l'aise dans des vans comme ça ! J'apprécie énormément ces chaussures. Merci pour la rapidité Je met 4 étoiles car mon petit orteil me fait un peut mal à la fin de la journée</t>
  </si>
  <si>
    <t>Pas très grand Bien arrivé et comme sur la photo</t>
  </si>
  <si>
    <t>Renseignements Bonjour petite question,j'ai cassé le petit bouchon jaune dans le récipient ou pui-je le commmandé.sinon je suis tres contente de se produit qui font le bonheur des mes petits bou</t>
  </si>
  <si>
    <t>bon rapport qualité prix offert à mon fils de 13 ans pour Noël, il est ravi! simple à programmer il s'est débrouillé tout seul. Le bracelet est solide et tient bien. Ravie du rapport qualité/prix!</t>
  </si>
  <si>
    <t>Toujours satisfaite Comme d’habitude sacs au top. Assez épais qui ne laissent pas couler d’éventuels liquides. Parfaitement adaptés à la poubelle de la même marque que j’utilise depuis plus de 2 ans.</t>
  </si>
  <si>
    <t>Parfaits pour les enfants ....et idéals pour les parents  car détachables à l'eau!!! .... Rien à reprocher à ces Bic Kids de coloriage car la  couleur des encres  est vive et ils sont  bien pensés. La glisse est parfaite sur le papier car l’encre est fluide mais  par conséquent mieux vaudra les utiliser  sur des feuilles de papier épaisses (au moins du 80g)  car à défaut  l'encre transpercera si votre enfant insiste  beaucoup avec  sur son dessin, ou alors,  pensez à utiliser un sous-main ou tout autre support susceptible de  protéger votre table ou  carrelage  !!. Comme la pointe est large l'enfant n'a pas de difficulté à dessiner, à colorier avec ces feutres et l’autre bon point est qu'ils ne dessèchent pas rapidement s'ils restent ouverts. Les deux bonnes idées résident : 1/  dans le blocage de la mine car on connaît tous cela, à savoir  un feutre bon pour la poubelle car à force d’appuyer trop fort dessus pour colorier  la pointe a fini par rentrer à l’intérieur !!. Ces derniers  sont donc plus durables.   2/ dans le fait que  l'encre soit détachable à l'eau ainsi  vous devriez pouvoir récupérer les vêtements ou autres qui auraient croisé les créations de l'artiste maison !!. Petit bémol ils sont un peu durs à décapuchonner au début par une petite main mais par la suite ça va. A 6.90 €  les 2 boites de 18, soit 3.45€ l'unité, le prix de ce lot est tout à fait correct.</t>
  </si>
  <si>
    <t>Ras Impeccable</t>
  </si>
  <si>
    <t>Excellent produit C'est exactement ce qu'il me fallait pour les soirées d'été un oeu frisquets ou après le dernier bain de la journée.  Lavé deja 4 fois sans bouger...ni taille ni couleur.</t>
  </si>
  <si>
    <t>Très bien Très bien. Ressemble beaucoup à de véritables écouteurs. Rien à redire. La qualité du son est bonne</t>
  </si>
  <si>
    <t>mon cadeau d'anniversaire permet un bon moment de relaxation et laisse des pieds tout doux, le maintien de température est appréciable. Les picots du fond sont un peu durs et pas très agréables</t>
  </si>
  <si>
    <t>Tarif correct Correct en terme de prix</t>
  </si>
  <si>
    <t>Satisfait du produit Tres jolie produit</t>
  </si>
  <si>
    <t>Super chaussures de sécurité Super chaussures de sécurité, très confortables, la coque acier est bien protégée ce qui fait qu'elles ne blessent pas les pieds même quand on marche dans de fortes pentes ou devers. Je recommande.</t>
  </si>
  <si>
    <t>Trop content !! Super chaussure très confortable ! J'ai suivis les avis disant de prendre plus petit et je ne suis pas déçu, ça taille assez grand. Je fais 43.5 Voir 44 et j'ai pris du 43 et c'est parfait ! Vraiment belle en plus .</t>
  </si>
  <si>
    <t>Très bon short Le tissu est de bonne qualité pas trop fin, l'élastique est ferme et robuste juste comme il faut, il est agréable à porter.</t>
  </si>
  <si>
    <t>Super Très bien ce sont comme des chaussons</t>
  </si>
  <si>
    <t>Taille parfaitement La matière est vraiment agréable à porter, pour le sport ou pour la maison, l’ouverture au niveau des chevilles rend le pantalon vraiment stylé, à acheter sans modération</t>
  </si>
  <si>
    <t>Très bonne qualité prix Pour répondre à des appels car je ne fais pas de sport</t>
  </si>
  <si>
    <t>Bien Parfait pour mes biberons mam</t>
  </si>
  <si>
    <t>Pas pratique Bof, l'idée est bonne mais le stylo vraiment pas pratique. Pas assez de temps, même pour un adulte....  Jeu utilisé 2 fois et voilà.....</t>
  </si>
  <si>
    <t>Très cher pour une simple cartouche d'encre ! Il faut acheter ailleurs 10 € moins cher sur le pack, Amazon très mal placé...</t>
  </si>
  <si>
    <t>En panne au bout d’un mois Au bout d’un mois après son achat, il est déjà tombé en panne, j’ai changé le câbles d’aimantation, et il a fonctionné de nouveau mais pour une très courte durée. Deux mois après son achat il ne fonctionne plus du tout alors qu’il a été très peu utilisé. Je suis très déçue de la qualité.</t>
  </si>
  <si>
    <t>tient dans la dirée mais il n'est pas fait pour les biberons tommee tippee Je suis une fan de la marque tommee tippee et pour être sincère, ce goupillon n'est pas fait spécialement pour les biberons de la marque. J'ai utilisé un NUK qui nettoie mieux les biberons. Il tient bien par contre dans la durée. Je l'utilise depuis 2 ans. Donc si vous voulez l'acheter car vous pensez que ça épouse les biberons tommee tippee pour un bon nettoyage, et bien ce n'est pas le cas.  Si mon avis a été utile pour vous, merci de valider le OUI, ça me fera juste plaisir!</t>
  </si>
  <si>
    <t>le tissu est leger bon je l'ai acheté mais le tissu n'est pas parfaitement conforme aux attentes</t>
  </si>
  <si>
    <t>très belle montre ! Conditionnée dans une boite de belle qualité, avec un petit chiffon d'entretien, la montre est vraiment belle avec ce contraste entre la couleur caramel du bracelet le le cadran très foncé. Elle fait son petit effet portée au poignet. Tout fonctionne très bien. Une marque que je ne connaissais pas, bon rapport qualité prix.</t>
  </si>
  <si>
    <t>Pure huile essentielle de lavande vraie Bien emballé, recu intacte et avant le délais prévu. Le flacon est équipé d'une bouchon qui permet le goutte a goutte mais sans pipette. J'ai pris ce grand flacon car je l'utilise en usage externe ou dans un diffuseur d'huile essentielle et donc c'est parfait. L'odeur caractéristique de la lavande est bien présente et très agréable.</t>
  </si>
  <si>
    <t>Pointure 42-43 =43 ! Pratique pour le fabricant de faire double pointure. Mais si comme moi vous faites du 42, vous aurez quand même l'impression d'avoir des paquebots aux pieds. Une fois habitué, les petits picots sous les pieds finissent par se faire oublier. Ce n'est pas une réussite au niveau confort. Pas plus légères que d'autres tongues, elles sont bien finies et salissantes en blanc.</t>
  </si>
  <si>
    <t>Vintage! Une montre bien sympathique qui rappelle des souvenirs et ne démode pas malgré le temps.</t>
  </si>
  <si>
    <t>très agréable ce produit apporte une douce chaleur et une bonne odeur lors des douleurs aux cervicales , je l'utilise régulièrement , il est cependant dommage qu'il ne soit pas plus long , car il ne tient pas seul .</t>
  </si>
  <si>
    <t>Parfait Produits parfait</t>
  </si>
  <si>
    <t>Très bien Fonctionne très très bien acheter sans hésitation</t>
  </si>
  <si>
    <t>Super belle Super belle</t>
  </si>
  <si>
    <t>Super Livraison rapide,La qualité par rapport  l'cartouche d’origine dans l'échelle  1-10, je donne 9..pour le prix-qualité super bien,il faut pas hesiter..</t>
  </si>
  <si>
    <t>J'adore Petit mignon. Il fait bien son boulot. Il change de couleur ou peut être bloqué  sur celle des son choix. Le melange eau huile se fait par petites quantité  donc on peut changé  d'odeur rapidement et comme on veut</t>
  </si>
  <si>
    <t>Bon rapport qualité/prix Ça change des sacoches avec une grande poche où tout se mélange. La qualité et l’esthétique du produit est identique à celle décrite sur l’annonce. Je recommande !</t>
  </si>
  <si>
    <t>Old skool comme on l’aime Superbe montre, le mariage de l’analogique et du numérique est vraiment top !  Produit livré avec sa boîte, garantie, etc.  Très satisfait niveau qualité/prix !</t>
  </si>
  <si>
    <t>satisfait ! produit conforme à mon attente mais pourquoi ce terme "BOUILLOIRE SANS FIL " alors que cette bouilloire se branche sur secteur ? Je recommande ce produit qui nécessite une certaine précaution !</t>
  </si>
  <si>
    <t>RAS 1ere fois que j'utilise ceci, ayant auparavant un ordi portable avec micro intégrer j'en avais pas besoin ...  j'ai acheté un micro avec le son qu'on m'entendait très bas sur discord ... avec prise jack comme avec branchement usb ...  Mais depuis que j'utilise cette alim les personnes sur discord ont meme du réduire le son à 50% ( sur pc portable j'étais à 100% et avec micro avant alim j'étais avec son faible à 200% )</t>
  </si>
  <si>
    <t>Très jolies Bonjour,  Chaussures très très jolies, confortables, à voir dans le temps si elles durent. Mais, la qualité est au rendez-vous. Finitions parfaites.</t>
  </si>
  <si>
    <t>La taille et parfaite J'aime trop se leggings il est top confortable et ipaire moulant 😍</t>
  </si>
  <si>
    <t>Survêtement très chaud et doux Super survêtement,doublé très doux et chaud. Mon fils l'adore. Idéal pour cet hiver</t>
  </si>
  <si>
    <t>Très bien même au lavage Produit je utilise tout les jours bonne qualité même au lavage</t>
  </si>
  <si>
    <t>Je recommande Conforme a la description,  confortable arrivée en avance</t>
  </si>
  <si>
    <t>Confortable Super chaussons très agréables à porter, très doux et confortables</t>
  </si>
  <si>
    <t>Se déchire rapidement Il est nécessaire de vérifier très régulièrement l'état de la tétine car elle se déchire rapidement (3 semaines)! Qualité à améliorer!</t>
  </si>
  <si>
    <t>matériel inadapté pour coller les rideaux de moustiquaire Ce décolle au bout d'un quart d'heure. Conclusion; j'ai perdu une journée entière pour recoller l'ensemble des portes et des fenêtres. Les rubans ne se fixent ni sur le bois, ni sur le PVC, ni sur le rideau moustiquaire. Ce matériel ne vaut rien !</t>
  </si>
  <si>
    <t>Fiche RCA femelle inadaptée ! Il est impossible de faire tenir une fiche mâle RCA dans la fiche femelle : elle ne rentre pas suffisamment, et se déconnecte donc au moindre mouvement. Et c'est vrai aussi pour les fiches mâles de ce câble en Y !</t>
  </si>
  <si>
    <t>long à chauffer et ne chauffe qu'une partie Matière très douce mais il est très long à chauffer et n'est pas assez chaud (même au maximum). Elle ne chauffe qu'un tiers de la couverture (la partie à l'opposé du boitier, même aux endroits où l'on sent les résistances ça ne chauffe pas), c'est dommage.</t>
  </si>
  <si>
    <t>Tres déçu Légère et très souple; Mais aussi très fragile....le dessus se dechire Trop chère pour la qualité!! Je suis magasinier cariste en extérieur...</t>
  </si>
  <si>
    <t>Bonne qualité de son Écouteurs confortables. Bonne qualité de son. Appairage simple. Utilisé pour écouter musique et podcast, répondre au téléphone en ayant les mains libres. Petit bémol : - le bip régulier (un peu trop à mon goût) pour signifier le faible niveau de batterie ; - la charge semble n'être possible qu'avec une prise de courant.</t>
  </si>
  <si>
    <t>Cool Très confortables , très esthétiques ,taillent bien . Un peu chaudes pour l'été car peu aérées. Seul bémol au niveau de la finition car la semelle se décolle légèrement à la pointe dommage mais très bon produit quand même et très satisfaisant pour le prix !</t>
  </si>
  <si>
    <t>Efficace, fonctionnel et pratique J'emploie en cas d'écrire sur les tableaux blanc, sur du bois ou du verre. Cette marqueur fait le job. Le rapport qualité prix est bien conforme.</t>
  </si>
  <si>
    <t>Grande sacoche Sacoche assez grande pour contenir tout ce que j’ai besoin. Je retire une étoile car il est impossible de retirer la bandoulière.</t>
  </si>
  <si>
    <t>bracelet montre je mets 5 étoiles car le bracelet montre est exactement ce que je cherchais , elle va parfaitement , apres avoir enlever des maillons , tres bonne qualité , reçu 1 jour avant la date; vraiment tres tres contente de mon achat et mon mari également!! je recommande sans probleme !! merci a tous!</t>
  </si>
  <si>
    <t>Bon Bon produit, conforme à la description</t>
  </si>
  <si>
    <t>Top La taille est nickelle, c'est confortable, je suis ravie! Petit plus: les coussinets sont amovibles!</t>
  </si>
  <si>
    <t>Pas que pour les femmes! Ces chaussettes ont été utilisées à la mer.  Elle limite la brûlure du sable chaud et n'empêche pas de nager  Légères elles remplissent leur rôle. Pour ma part Je les ai commander aussi pour Monsieur qui les trouvent très bien aussi</t>
  </si>
  <si>
    <t>graisse nourissante et impermeabilisante pour le cuir merci. ce Produit est conforme a mes attentes, par contre un peu trop dure, mais rempli parfaitement son role .livré rapidement. bon vendeur.  je recommande.</t>
  </si>
  <si>
    <t>Excellent produit. la qualité d'écoute est relativement bonne, et la robustesse est excellente, mais le mieux c'est la capacité de la batterie!!! Elle tient la charge pendant des semaines entières!!!</t>
  </si>
  <si>
    <t>Tapis decontractant en profondeur Tapis d'accupression, detend, relaxe, fait mal la premiere voire deuxieme minute mais ça passe et s'en vient le bien être, 10 minutes à 15 chaque matin ça me fait beaucoup de bien et mes muscles dorsaux sont beaucoup plus detendu. On sent bien le sang, l'energie qui circule. Je recommande surtout pour les douleurs musculaire. Fonctionne sur ventre ou dos.</t>
  </si>
  <si>
    <t>Baskets rouges super ! Tout à fait satisfaite de mon achat, elles sont confortables et légères</t>
  </si>
  <si>
    <t>sevrage C'est grâce à Tomme Tippee que nous avons réussi le difficile passage de l'allaitement maternelle au biberon. Mais les frais de port sont trop chers!</t>
  </si>
  <si>
    <t>Excellentes chaussures Marque toujours égale à elle-même.  Chaussures reçues en 3 jours. Emballage parfait. Chaussures très Confortables. Bonne protection.  Je suis ravie de mon achat.</t>
  </si>
  <si>
    <t>Très bien ! J'utilise ce micro cravate pour mes vidéos sur ma chaîne Youtube. Je ne suis pas un pro mais le son est très bien, la voix est claire. Super pratique pour faire des interviews, et enregistrer le son sur son Smartphone. Je possède un Galaxy Note 8 et je n'ai jamais rencontré de souci d'enregistrement. En solo, j'installe les deux micros en cravate et le son est parfait pour moi. Les micros enregistrent tous les sons et bruits ambiants. Les câbles sont suffisamment longs. Franchement, pour le prix, cela répond très bien à mon besoin.</t>
  </si>
  <si>
    <t>Parfait Exactement ce que je rechercher</t>
  </si>
  <si>
    <t>Trés satisfait La montre correspond à la commande. Les couleurs des détails sont peut être un peu moins vives que sur la photo. Très satisfait de mon achat.</t>
  </si>
  <si>
    <t>Article conforme Livraison rapide, très jolie bague, mon homme est très content. Taille parfaitement</t>
  </si>
  <si>
    <t>joli bracelet destiné à offrir</t>
  </si>
  <si>
    <t>Jolie Très légère</t>
  </si>
  <si>
    <t>Très déçue Article commandé en XL, je me retrouve avec la veste en XL et le pantalon en XXL.. et en plus ça taille très grand.. de plus la qualité n'est pas au rendez vous, ça sent la couture qui va vite se déchirer.. et pour finir , plutôt que d'étiquetter dans une couture, c'est fait dans le tissu , parfait pour faire un trou.. non vraiment je suis pas exigeante mais là je recommande pas du tout..</t>
  </si>
  <si>
    <t>Panne après deux semaines J'ai acheté la bouilloire avec Amazon.fr pour faire un cadeau à ma mère. La bouilloire ne fonctionne plus après deux semaines. Je suis tellement déçu.</t>
  </si>
  <si>
    <t>Bon La qualité super comme sur la photos mais taille petit j'ai pris du s on dirai un 10 ans</t>
  </si>
  <si>
    <t>plemo masque des yeux C'est un article que je voulais avoir depuis longtemps frais ça fait du bien pour les matins un peu difficile décongestionne,  apaise pas encore essayée pour d'autre problème</t>
  </si>
  <si>
    <t>Bon Bon produit</t>
  </si>
  <si>
    <t>Fidèle à l'annonce Fidèle à l'annonce</t>
  </si>
  <si>
    <t>Belles baskets mais chaussant un petit peu serrées Jolies tennis Superga. Bonne qualité pour ce qui est de la toile, des lacets ou de la semelle. Tendance toutefois à chausser un peu petit.</t>
  </si>
  <si>
    <t>relaxant parfais pour se détendre garde la chaleur une bonne demi heure,produit de bonne qualitée</t>
  </si>
  <si>
    <t>Très bon rapport qualité prix Ce casque est léger on ne le sent pas sur les oreilles, il a une bonne qualité de son, peu encombrant on peut l'emporter facilement. Le choix des couleurs permet d'avoir chacun le sien !</t>
  </si>
  <si>
    <t>Chaussures parfaites Les Chaussures très légères et confortables. Le tissu à l'air solide, à voir sur la durée Pour l’instant Justes parfaites!</t>
  </si>
  <si>
    <t>Joli Joli rendu</t>
  </si>
  <si>
    <t>Le top ! Les moustiques m'adorent !  Depuis plusieurs années, j'utilisent ce diffuseur avec une grande satisfaction. C'est très performant même dans une grande pièce (45m2). Aucune odeur perceptible.  A quand le modèle qu'on peut garder sur soi quand on sort le soir :-)</t>
  </si>
  <si>
    <t>Très bon produit C’est un excellent produit à petit prix. Bonne finition et qualité. Remplace un bracelet d’origine dans une montre de marque ; aussi bien que l’original mais beaucoup moins cher. Il est un peu raide au début, mais il s’assouplit avec le temps. Je ne regrette pas mon achat...</t>
  </si>
  <si>
    <t>L envoie rapide Pour un perfecto très bonne qualité et sans odeur</t>
  </si>
  <si>
    <t>Ultra confortable J'ai commandé le lot de 2 en noir et chair. Sensation de seconde peau, ultra léger, pas oppressant du tout. Autrement dit : PARFAIT !! Il y a des coussinets à l'intérieur qui sont amovibles donc on peut les mettre ou les enlever quand on le souhaite. Les bretelles fines sont réglables comme sur les soutiens-gorges. Sous la poitrine il y a un élastique large qui permet un très bon maintien mais qui ne serre pas trop non plus. Je pense m'en recommander d'autres prochainement !!</t>
  </si>
  <si>
    <t>Très bon Très bon produit acheté en promotion. Content de ce casque sans fil à réduction de bruit.</t>
  </si>
  <si>
    <t>Axcone Running Livraison effectuée en temps et heure - Pointure correcte (39) - Seront utilisées pour la gym et autre. Ravie de mon achat</t>
  </si>
  <si>
    <t>bon produit produit conforme a la description , tres satisfait .</t>
  </si>
  <si>
    <t>Très bons écouteurs et rapport qualité prix au top Les écouteurs sont parfaits pour le prix, rien a redire. Rien à voir avec les écouteurs bon marcher qu'on trouve en magasins. Il y a légèrement trop d'aigus à mon goût. Les basses sont puissante, j'aime ça. On reçoit différentes tailles de bouchons pour les oreilles avec.</t>
  </si>
  <si>
    <t>pierre blanche ce produit est impeccable ,je  le recommande</t>
  </si>
  <si>
    <t>Très bien Belle couleur. Taille correcte. Matière agréable</t>
  </si>
  <si>
    <t>Conforme Produit de qualité agréable au toucher belle couleur  taille impecc</t>
  </si>
  <si>
    <t>Usure rapide Bonne qualité, mais comme toujours avec Hewlett-Packard, la cartouche se vide à la vitesse du vent, XL ou pas.</t>
  </si>
  <si>
    <t>le problème connectivité du Bluetooth Le son se coupe fréquemment, perte de connectivité du bluetooth. Plus de son dès qu'une main est posé sur les écouteurs... L'utilité principal du casque étant le bluetooth, cette fonction n'est pas du tout assurée. Article renvoyé le jour même de sa première utilisation. Si vous cherchez un bon rapport qualité/prix pour un casque bluetooth ce n'est pas celui-ci qu'il vous faut.</t>
  </si>
  <si>
    <t>Qualité discutable Cadeau offert à noël pour mon épouse, il y a déjà une pièce au niveau de l'embout qui s'est désolidarisé ! Autrement, style sympa et très bruyante. Rapport qualité prix très moyen... On paye le style.</t>
  </si>
  <si>
    <t>Classes mais Baskets très élégantes mais lourdes, et peu confortables. Ça passe au travail derrière un bureau mais dès que je dois rester debout longtemps le manque de confort se fait sentir.</t>
  </si>
  <si>
    <t>Sacoche Bon sacoche qui me sers le week-end</t>
  </si>
  <si>
    <t>Très fin Très bien coupé , matière agreable par contre le tissus et très légèr, je ne m attendais pas à ça mais finalement cela me convient , très agréable à porter après le sport</t>
  </si>
  <si>
    <t>Jolie  parure coeur Livré dans les temps conforme  à la photo met pour moi il est un peut court le fermoir des boucle d'oreille sont trop grand et ne tien pas très  bien sa reste Jolie  malgré tous.</t>
  </si>
  <si>
    <t>Parfait pour la danse Demandés par ma fille pour la danse elle est ravie</t>
  </si>
  <si>
    <t>Cable de haut parleur 5  etoile pour le cable de haut parleur car de tres bonne qualité correspond a la description de bonne longueur je recommande fortement pour tout type d'enceinte tres bas prix.</t>
  </si>
  <si>
    <t>Assez grand Casquette qui taille assez grand, tout à fait ce que je recherchais pour mon mari. Très contente de mon achat. Je recommande.</t>
  </si>
  <si>
    <t>Très bien ! Peu de texte. Pour les enfants en difficulté c'est parfait. Du vocabulaire (animaux peu connus ...). Des questions subtiles en fin d'histoire. Super collection !</t>
  </si>
  <si>
    <t>Presque parfait Quelques centimètres de trop mais le produit est réellement conforme à ce qui est présenté sur la page.</t>
  </si>
  <si>
    <t>Fait suite à une mauvaise audition de commentaires à la télé Uniquement utilisé pour regarder les films à la télé. Je suis entièrement satisfait par ce produit, je n'ai plus de problème d'incompréhension de dialogue</t>
  </si>
  <si>
    <t>Três bien Livraison très rapide , bonnes tênis</t>
  </si>
  <si>
    <t>Pull. Article comme illustré. Bonne taille et bien fini. Je le recommande sans problème.</t>
  </si>
  <si>
    <t>Fidélise à ce que j'attendais Produit parfaitement fidèle à ce que je trouve en grande surface (enfin que je trouvais...). Vraiment pratique lorsque l'on a des animaux à la maison.</t>
  </si>
  <si>
    <t>Tres agréable Arômes très léger et résistant dans la pièce après la diffusion. J'aime cette odeur agréable. La livraison est très rapide et l'emballage est sécurisé. Je recommande.</t>
  </si>
  <si>
    <t>Boîte de 8 huiles essentielles Lot de 8 mini bouteilles de 10ml. Les 8 huiles essentielles sont différentes en plantes. Il y en a des plus fortes que d'autres. Cela permet de les mélanger pour des utilisations différentes. Un guide avec des conseils d'utilisation selon l'huile est fournie avec. On peut les utiliser en massage, avec un humidificateur ou dans le bain ! Il est très facile d'en verser avec le bec verseur goutte à goutte.</t>
  </si>
  <si>
    <t>Bonne introduction à la lecture Livre accessible et très ludique. C'est une bonne introduction à la lecture. Le gros avantage est la mise en avant des lettres muettes, permettant à l'enfant de lire ses premiers mots correctement et de façon indépendante. Je pense que je vais acheter les autres livres de la même gamme.</t>
  </si>
  <si>
    <t>sacs poubelle produit arrivé très vite , et correspond exactement à ce que je cherchais , car ayant acheté il y a quelque temps une poubelle tec take de 50 L . je ne trouvais pas de sacs correspondants , et ceux-là sont parfaits , je vais d'ailleurs en recommander d'autres pour ne pas en manquer, très satisfait des deux produits , cordialement grisou 31 2ème cde arrivée ce jour , parfait , délai, produit, maintenant R.V.à la prochaine cde , cordialement grisou31</t>
  </si>
  <si>
    <t>Manteau d'automne Veste d'automne très agréable à porter . Coupe un peu cintrée donc près du corps . Capuche doublé avec fourrure . Assez chaud pour saison automnale. Matière douce qui ressemble à du polaire mais moins souple .</t>
  </si>
  <si>
    <t>impeccable fonctionne comme il faut 2 écran de portable collé et pas eu de souci, travail propre et soigné grace a l'aiguille intébré pour un travail minutieux, colle rapidement (1h de pression et pas eu de soucis) donc produit recommandé.</t>
  </si>
  <si>
    <t>volume son trop limité j'ai besoin d'un appareil ou le volume soit plus puissant avec reglage des sons, de plus cet appareil provoque des interférence coupure du son par saccadeje l'ai branché sur une prise optique,</t>
  </si>
  <si>
    <t>Pas content J’ai peur d’utiliser son mode de vibration. Parse que le bruit est si forte que mes voisins pensent que mon appartement est en travaux</t>
  </si>
  <si>
    <t>trop faible alim de 3A pour raspberry, apparition du flash sur premiere installation lors des mise a jour alurs que je n'ai rien de raccorder sur les usb de la carte.Retour</t>
  </si>
  <si>
    <t>Très bon produit - Attention à la sécurité des enfants. J'ai plusieurs ustensiles Russel &amp;amp;Hobbs et ce sont de bon produits. Cette bouilloire est parfaite pour une petite cuisine. Très compacte, elle prend très peu de place sur un plan de travail. Calibrée pour l'économie d'énergie, elle est bonne pour la planète, ce qui est un plus appréciable.  Attention cependant : comme elle est très compacte, la paroi est fine et donc lorsque l'eau bout, la paroi est brûlante. Il faut absolument la rendre inaccessible aux enfants. D'où 3 étoiles au lieu de 4.</t>
  </si>
  <si>
    <t>Ne pas prendre une taille en dessous J’ai écouter les commentaires précédents en disant d’acheter une pointure en moins, ce que j’ai fais et du coup je me retrouve avec des chaussures trop petite, prendre sa pointure de base. Si non très bonne qualité, je les ai racheté en 37.</t>
  </si>
  <si>
    <t>Super rapport qualité prix Acheter pour étiquetter toutes les affaires de mon fils pour la rentrée scolaire. Très bon rapport qualité prix super rendu. Possibilité de choisir la police d'écriture. Par contre supporte mal le sèche linge.</t>
  </si>
  <si>
    <t>Conforme aux attentes Conforme aux attentes</t>
  </si>
  <si>
    <t>Bien Jolie boucles</t>
  </si>
  <si>
    <t>Boule de nettoyage, par 6 Bon bah j'ai testé, ma lessive est sortie mouillé jusque là tout va bien , pour l'efficacité des petites boules.....euh bah je pense qu'elle font leur Boulot.... Mais je ne suis pas expert en la matière</t>
  </si>
  <si>
    <t>conforme à ce qui est écrit dans mon cadre professionnel, i est important d'avoir des enveloppes de bonne qualité  et c'est le cas</t>
  </si>
  <si>
    <t>Comme à l'époque ! Pas de surprise, c'est la même qu'à l'époque !</t>
  </si>
  <si>
    <t>Bons écouteurs ! Je suis agréablement surpris par la bonne qualité son de ces écouteurs. J’avais peur qu’il y ait un décalage image/son comme c’est le cas avec d’autres écouteurs, mais ici il n’en est rien. L’appareillage Bluetooth est facile et rapide à faire. Plusieurs embouts pour l’oreille sont fournis, ce qui est assez utile en fonction de la forme de l’oreille de l’individu.</t>
  </si>
  <si>
    <t>très facile d'utilisation.fonctionnelle. utilisation pour la rando montagne.très utile avec son altimètre et ses autres fonctions.</t>
  </si>
  <si>
    <t>Bon produit Conforme</t>
  </si>
  <si>
    <t>canon ts 8000 compatible : ouf ! j'ai changé 4 cartouches et elles ont été reconnues immédiatement par mon imprimante, j'avoue j'avais un peu d'appréhension car c la première fois que j'achète des "cartouches compatibles" pour la longévité je peux pas encore répondre.</t>
  </si>
  <si>
    <t>Doudoune trés tendance Doudoune super tendance. Détails soignés. Couleur tendance également. Prendre 1 taille au dessus. Trés bon rapport quailté prix. sav excellent</t>
  </si>
  <si>
    <t>Bon rapport qualité prix Utilisation Quotidienne</t>
  </si>
  <si>
    <t>effet garanti Produit d'excellente facture, finition au rendez-vous, pas de déception sauf peut-être vous conseiller de prendre une demi taille au dessus si possible chez puma pour ceux ayant un coup de pied fort. je conseille vivement ce produit, très bon rapport qualité/prix.</t>
  </si>
  <si>
    <t>Rien a dire Biberon reçu très vite mon fils kiff boire dans et j’adore l’es tétine nuk son les meilleur</t>
  </si>
  <si>
    <t>tres beau produit ! packaging : ras , le produit est bien protéger et surtout bien conçu. Le diffuseur est de très bonne qualité et esthétiquement très beau , il se place en décoration sans aucun problème. Acheter en période estivale , l'humidificateur nous à permis de passer des nuits plus confortables ( parents et bébé) et le système de diffusion d'huiles essentielles est efficace et nous apporte une ambiance très agréable. Fourni avec un récipient adapté pour remplir l'appareil en eau , vous ne risquez pas de déborder car la quantitée est optimale. Plusieurs niveaux de puissance concernant la diffusion d’humidité , il est également équipé d'un système lumineux ( plusieurs couleurs et modes ) qui rend l'aspect du produit très sympathique , d'autant plus couplé avec la diffusion d'huiles essentielles , l'ambiance globale ressentie est très agréable. Je recommande pour ceux qui veulent se créer une ambiance aussi bien dans les chambres ,que le salon.</t>
  </si>
  <si>
    <t>inusables faciles à mettre et enlever ; faciles à laver et comme il y en a 8, pas besoin de les ranger par paires</t>
  </si>
  <si>
    <t>Parfait Probablement pour moi la meilleur basket du monde. Pas ma première paire et certainement pas la dernière. Parfaitement adaptée aux pieds forts et super confortables. Seul bémol livraison Chronopost a la limite de l acceptable.</t>
  </si>
  <si>
    <t>Très bon produits Pour éliminer les rhumatismes</t>
  </si>
  <si>
    <t>Écouteurs de qualité Ecouteurs de très bonne qualité. Le design est sympathique. Les oreillettes Bluetooth sont très discrètes , légères, de couleur noire , s'allument dès qu'on les prend en main. Elles tiennent bien , livrées avec 4 tailles d'embouts différents pour s'adapter aux oreilles. Le son est excellent avec des basses bien présentes. Les écouteurs ont leurs emplacements aimantés dans le boîtier pour les recharger. Le boîtier indique le pourcentage de charge restant. Il peut servir aussi de batterie d'appoint pour votre smartphone. Un cordon d'alimentation est fourni ainsi qu'une notice en français. Je suis ravie de mon achat.</t>
  </si>
  <si>
    <t>Modèle trop grand et difficile à mettre Je les ai renvoyé, trop grande pourtant je fais du 37 et très difficile à mettre, j’ai commandé un autre modèle Sketcher Flex appeal en 36,5 et là ce sont des chaussons, très satisfaite.</t>
  </si>
  <si>
    <t>C est une arnaque en tout point. Honte au vendeur Ce n'est pas du tout conforme à la description. Article horrible interdit à la vente. Odeur écoeurante de pétrole ou je ne sais quoi c est honteux une arnaque en tout point. 3e je l achète même pas.</t>
  </si>
  <si>
    <t>Chaussure bien trop raide C'est une belle chaussure mais aucun confort, même après plusieurs semaines de port. Elles beaucoup plus raides que la paires de Paraboot que j'avais. Dommage car le style me plaisait.</t>
  </si>
  <si>
    <t>montre, bien. bracelet bof montre, bien. bracelet bof, très rigide, très plastique et se fissure déjà au bout de 3 jours d'utilisation. elle vaut son prix, pas plus</t>
  </si>
  <si>
    <t>Rapport qualité prix ok Le rapport qualité/ prix est la ! Contente de cet achat je recommande le produit Qui est sobre et pas cher</t>
  </si>
  <si>
    <t>Très correct. Les élastiques de tenues ont parfois du mal à rester, mais le tout reste très correct avec mon micro (HyperX quadcast). Se raccorde très bien dans le style global de mon setup.</t>
  </si>
  <si>
    <t>Superbe et utile Superbe le bracelet est bien long ce qui permet de faire le tour.  Le cadran n est n'ai trop grand ou petit . Le seul bémol est qu il n y a pas de compte à rebours et que la lampe est très courte 2s. Sinon livraison rapide et sûr</t>
  </si>
  <si>
    <t>trés jolie boucle très belle mais un peu fragile</t>
  </si>
  <si>
    <t>Prix qualité Montages alimentation et petites sondes ordinaires</t>
  </si>
  <si>
    <t>magnifique acheté en cadeau, elles sont magnifiques, une doublure à l'intérieur, bonne conception et donne un style parfait.  Super contente de mon achat.</t>
  </si>
  <si>
    <t>Enchanté ! Superbe montre, très classe</t>
  </si>
  <si>
    <t>Cartouche officielle Cartouche d'encre officielle, donc aucun problème de compatibilité. Les cartouches XL offrent une meilleure rentabilité d'un point de vue financier.</t>
  </si>
  <si>
    <t>A voir à  l'usage Tissu et fermetures semblent de bonne qualité. Produit reçu  très rapidement et correctement emballé</t>
  </si>
  <si>
    <t>La qualité Bonjour un peu chère pour une bouilloire.</t>
  </si>
  <si>
    <t>Vraiment parfaite Superbe théière, design, respirant la qualité. Chauffe très rapide. Socle ultra pratique. Bref, j'adore ce superbe objet beau et efficace.</t>
  </si>
  <si>
    <t>Modèle pratique et joli Fort utile et peu encombrant. Mon mari le prend partout où il va. le prix est très raisonnable. Achat qui convient parfaitement.</t>
  </si>
  <si>
    <t>Recommande parfait Parfait livré rapidement, bon prix, de bonne qualité, fait le job, livré avec chiffonette poussière et un accessoire de fixation pour le télephone que demander de mieux.</t>
  </si>
  <si>
    <t>le must ! article conforme à la description ,  un must , couleur magnifique</t>
  </si>
  <si>
    <t>super sandales Très bon produit, bon qualité, livré rapidement, très content! Il est très comfortable et je porte très souvent. On peut porter partout</t>
  </si>
  <si>
    <t>Un son de très haute qualité ! &lt;div id="video-block-R3Y10MYMA21BS" class="a-section a-spacing-small a-spacing-top-mini video-block"&gt;&lt;/div&gt;&lt;input type="hidden" name="" value="https://images-eu.ssl-images-amazon.com/images/I/A1twdWbRHAS.mp4" class="video-url"&gt;&lt;input type="hidden" name="" value="https://images-eu.ssl-images-amazon.com/images/I/A1kLgd+v87S.png" class="video-slate-img-url"&gt;&amp;nbsp;J'ai reçu rapidement le microphone, il était dans une boîte adaptée à sa taille.Il n'était pas abimé.L'article est conforme à sa description. La boîte est noire, avec le nom de la marque dessus. Il y a dans la boîte : -Microphone -Pochette  Les micro-cravates sont équipés de pinces, qui grâce à elles vous pourrez attacher les micros sur un vêtement.Je trouve ça vraiment très pratique !  L'installation des micros est facile, vous n'avez qu'à les brancher grâce au câble Jack sur votre Smartphone, ordinateur ... Vos appareils les reconnaitront directement.  Le son est vraiment de haute qualité, vous pouvez enregistrer un son stéréo.Vous pouvez aussi mettre les micros sur deux personnes.Vous pouvez l'utiliser pour enregistrer un son en qualité broadcast.  Il est très pratique puisqu'il mesure environ 1,5 m, il est vraiment très léger.C'est vraiment pratique parce qu'il est aussi omnidirectionnel, c'est à dire que vous pouvez l'oriente de partout !  CONCLUSION :  Ce micro est parfait pour enregistrer une vidéo ! De plus, vous pouvez enregistrer un son stéréo de très haute qualité et le transporter partout. Il a aussi un grand avantage, il est omnidirectionnel !  Le rapport qualité/prix est intéressant !  Je vous ai laissé quelques photos et une vidéo .</t>
  </si>
  <si>
    <t>Très jolie bracelet en argent ! J'ai choisi le lot de deux bracelet en argent et j'en suis ravis.  Les deux vont parfaitement sur toutes tailles de poignets ( les réglages sont possibles ). De bonnes qualités, solides.  Ce que j'ai aimé c'est qu'ils sont fournies avec deux petites pochettes noir pour pouvoir les ranger !  Les deux sont très beau même si j'ai une préférence pour celui avec les coeurs.  Pour le prix j'en suis très satisfait !  Je recommande !</t>
  </si>
  <si>
    <t>Très bien Sympa sport et légère</t>
  </si>
  <si>
    <t>Excellent produit Un wand qui fait cheap avec le plastique brillant Blais qui n'en est pas, excellent produit, de bonne qualité et puissant</t>
  </si>
  <si>
    <t>Trop grand et matière peu agréable. Assez déçue par cet ensemble, je l'ai renvoyé.  Acheté en taille M, couleur rose. La couleur était assez jolie mais la matière était très "lâche" et tout était un peu trop grand. Pour aider les futures acheteuses, je fais : 1m68 64KG Taille 38 habituellement  J'aurai du prendre taille S mais le style ne me convenait pas non plus.</t>
  </si>
  <si>
    <t>Bog Pas terrible</t>
  </si>
  <si>
    <t>Montre Plus belle en photo que la réalité, très légère . Mais sa donne l’heure</t>
  </si>
  <si>
    <t>Pas sur tissu Bof... moyen sur tissu et petite quantité ... je suis toujours à la recherche d’une colle multi support qui fonctionne :(</t>
  </si>
  <si>
    <t>Excellent J'etais toujours à courrir pour éteindre ma bouilloire précédente pour que l'eau ne soit pas trop chaude.Maintenant je fais autre chose en attendant je sais que ce sera exactement comme je le veux avec le variateur.et l'eclairage en bleu est super sympa.</t>
  </si>
  <si>
    <t>Un peu léger, mais correct Correct, bonne taille, un peu fin comme tissu</t>
  </si>
  <si>
    <t>AOLVO couleur marron Presque parfait, zip solide qui coulisse a merveille, bouton aimantée bien pratique, beaucoup d'emplacements, taille très correct mon Lumia 950 XL passe bien ainsi que mon portefeuille + porte monnaie + batterie de secours + 2 cigarettes électronique et deux câbles pour recharger avec adaptateur allume cigare + 1 flacon de e-liquide, barre énergétique et mini coca etc etc... Sangle complètement détachable belle finition. Le tout gâché par la couleur du cuire que je m'efforce d'améliorer (lait pour cuire et huile de coude) commence à améliorer l'esthétique non sans peine.</t>
  </si>
  <si>
    <t>Nous les garçons version papier Je l'ai offert pour Noël à mon garçon de 11 ans et ça lui a beaucoup plu. Ce livre est resté son livre de chevet pendant plusieurs semaines, il choisissait l'ordre de lecture en fonction de ce qui l'intéressait le plus. Et depuis, il le ressort régulièrement en fonction des nouvelles questions qu'il se pose. Moi, je ne l'ai pas lu en entier, mais les passages que j'ai parcourus avec lui m'ont parus correctement expliqués, ça correspond bien à cet âge là.  Je le recommande !</t>
  </si>
  <si>
    <t>Le confort Pour usage spectacle</t>
  </si>
  <si>
    <t>Super confortable Impeccable</t>
  </si>
  <si>
    <t>Super cadeau J'ai offert cette paire de boucles d'oreilles à une ado de 12-13 ans pour Noël, et elle a été plus que ravie. Elles sont très jolies, et contenues dans un joli petit packaging.</t>
  </si>
  <si>
    <t>MAGNIFIQUE CASIO HOMME Vraiement très belle montre en cadeau fait très plaisir.  Lecture montre question d'habitude  Livraison rapide et beau coffret de présentation pour la montre  Rapport qualité prix Tbon</t>
  </si>
  <si>
    <t>Produit classique Rien à redire. Scotch de qualité conventionnelle.Bon prix. Taille classique. Quantité importante pour durer un moment. Je vous le recommande</t>
  </si>
  <si>
    <t>sacoche Zicac sacoche impeccable rien à dire ++++++++</t>
  </si>
  <si>
    <t>Super excellent La qualité sonore des écouteurs est particulièrement bonne, vraiment réduction du bruit, le port des oreilles ne sont pas inconfortables, l'apparence est très bonne. Et également envoyé un remplacement des bouchons d'oreilles et des petits sacs, très délicats.</t>
  </si>
  <si>
    <t>Aussitôt commandé aussitôt reçu ! J'ai l'habitude d'utiliser ces cartouches d'encre pour mon imprimante. Le tarif et les délais de livraison sont très intéressants avec Amazon.</t>
  </si>
  <si>
    <t>Trés bien commandé pour ma belle fille frileuse  je suis très ravi pour elle Elle a pu profiter pleinement de vacances a la mer</t>
  </si>
  <si>
    <t>Au top Parfait! A acheter les yeux fermés, très bonne qualité. On peut aussi d’ailleurs aussi fermer les yeux en écoutant la musique qui est véhiculée par ces câbles, tellement cette dernière est bien restituée.</t>
  </si>
  <si>
    <t>Très efficace depuis 3 ans Utilisé depuis 3 ans.  Produit très intéressant. Efficace, résistant depuis plus de 2 hivers. Il faut savoir l'utiliser : le placer vers le bas du lit, pour les pieds (pas d'intérêt sous l'oreiller). Il faut avoir des rallonges sous le lit et multi-prises car 2 câbles un peu courts. Il faut le mettre sous le drap housse bien sûr, mais moi je le mets même sous une alèse en plus, ce qui évite de risquer de le salir et de le laver (je crains un lavage). De cette façon je le mets en route 1/2 heure avant le coucher et je l'éteins. Ça marche très bien, et ça permet de moins sentir le connecteur qui est un peu volumineux mais que je ne sens pas car il se retrouve sous l'oreiller</t>
  </si>
  <si>
    <t>super achat pour la rentrée au lycée de ma fille ainée et je recommande ces sacs là, ils sont de très bonne qualité et ne s'abime pas !!!! celuis d'avant lui à fait tout le collège, on le change car elle avait pris violet et veut maintenant quelque chose de plus discret</t>
  </si>
  <si>
    <t>Parfaite! Prix compétitif, lessive de qualité.... vraiment top. Parfaite pour laver les vetements bébé de ma fille sans laisser d'odeur chimique et sans causer de souci d'allergies!</t>
  </si>
  <si>
    <t>original et chaud Mes mensurations : 1,79 / 84 kg &amp;gt; Taille L. C'est une marque que j'ai découvert récemment. Ce pull est chaud, on le sent d'ailleurs à son poids qui est plus lourd que les autres en raison de la maille utilisée. Parfait pour l'hiver !Donne un côté sportswear original. Si vous avez apprécié ce commentaire, faites le savoir ! ;)</t>
  </si>
  <si>
    <t>Ravie Super la qualité est au rendez vous . très satisfaite du rapport qualité prix .  Le pedentif est beau la chaine très fine.</t>
  </si>
  <si>
    <t>Chaussures simples mais agréables au pied Bon, à ce prix, ce n'est pas de la qualité mais chaussures souples. A voir combien de temps elles dureront... Quelques semaines utilisées, les semelles intérieures s'enlèvent, c'est dommage !</t>
  </si>
  <si>
    <t>Copie Très mauvaise qualité pour du under amour, après 2 lavages la couleur s’estompe déjà... Rien à voir avec un produit officiel</t>
  </si>
  <si>
    <t>Nul Voilà la deuxième commande reçu chez une voisine et non chez moi Amazon franchement c'est pas assez surveiller je pense mais ces du grand n'importe quoi .</t>
  </si>
  <si>
    <t>Sont quasi inaudible Écouteurs avec un son peu puissant, je n'arrive même pas à entendre ma musique dans le metro. De plus ils n'arrêtent pas de tomber de mes oreilles. J'ai de loin préféré les Xiaomi Airdots que j'ai malheureusement perdu. Bref, très déçu de cet achat</t>
  </si>
  <si>
    <t>Pas mal mais il y a mieux Produit intéressant avec nombreux rangements, beaucoup de place mais malheureusement un seul zip d'ouverture par compartiment donc pour le peu que c'est mal fermé les articles à l'intérieur peuvent tomber et se perdre, l'autre problème c'est qu'il faut les deux mains de dispo pour ouvrir et fermé cette sacoche, ce qui peut parfois ne pas être pratique.</t>
  </si>
  <si>
    <t>Défaut bouton pression. Manque un peu d'épaisseur et de hauteur. Semblait de bonne qualité, mais le bouton pression a sauté en moins d'une semaine : défaut de sertissage. Un peu petit pour l'usage que je voulais en faire : n'espérez pas y mettre un chéquier et un téléphone avec une coque.</t>
  </si>
  <si>
    <t>Rapide. L'eau chauffe rapidement et le fait de voir à travers et très pratique pour connaître le niveau de l'eau ou savoir quand elle commence à bouillir.</t>
  </si>
  <si>
    <t>Petites mains Ces petites mains dans la machine me donnent grande satisfaction. Le linge ressort très doux et presque sec de la machine</t>
  </si>
  <si>
    <t>Bien sous tous rapports Décontracte élégant léger et agréable à porter prix très abordable Maintenant à voir dans le temps</t>
  </si>
  <si>
    <t>Indispensable Cet ensemble est devenu indispensable pour finir nos soirées du samedi soir en chantant. Les 2 micros en alu sont assez lourd et font réellement professionnel. La transmission VHF est bonne et je ne peux que recommander ce produit.</t>
  </si>
  <si>
    <t>Qualité et légèreté Très légères et confortables pour la marche. J’ai pris la taille supérieure comme suggéré dans les commentaires.</t>
  </si>
  <si>
    <t>Parfait Prit en taille M pour mon mari qui met du M habituellement Cest nickel L'effet désiré est bien présent</t>
  </si>
  <si>
    <t>Jean 511 Levis original et comme attendu Le jean est comme attendu, toujours fidèle à la série des 511, la petite touche d’élasthanne  le rend agréable à porter. C’est bien un original Levis, peut-être que ceux qui ont reçu un faux ont commandé par un vendeur tiers. C’est le 3ème jean 511 que j’achète ici et j’ai bien reçu des originaux. À vérifier «&amp;nbsp;vendu et expédié&amp;nbsp;» par Amazon avant d’acheter.</t>
  </si>
  <si>
    <t>Coffret au top Rapport qualité/prix au top. Ayant trouvé le même coffret sans les anneaux de dentition à un prix plus élevé. En tout cas les produits de la marque NUK sont géniaux mon fils de 1mois n'a que peu de coliques quand on utilise ces biberons comparer à d'autres marques qui font le système anti coliques aussi. Et il adore la sucette adaptée à la morphologie de sa bouche avec la tétine aplatie. Je le recommande fortement.</t>
  </si>
  <si>
    <t>Confort Très confortable pour faire du yoga</t>
  </si>
  <si>
    <t>merci merci!!!</t>
  </si>
  <si>
    <t>commande et livraison parfait ras</t>
  </si>
  <si>
    <t>Une vraie bonne surprise ! En 3 mots : Laissez vous tenter ! Une vraie surprise ces écouteurs, depuis le temps que je cherchais des écouteurs de cette forme mais qui ne soient pas intra-auriculaire, je ne suis vraiment pas dessus. Ils se mettent en place comme des écouteurs standard, tiennent vraiment bien dans mes oreilles et ont une batterie vraiment performantes (plusieurs heures devant vous). La qualité du son est aussi au rendez-vous et le design est vraiment sympa. C'est un achat que je ne regrette vraiment pas.</t>
  </si>
  <si>
    <t>Bien fait, avec un design moderne et frais J'aime ce bracelet C'est trop mignon! Je l'ai acheté comme cadeau pour ma mère et elle l'aime. C'est un bon ajustement et va bien avec tout! C'est brillant et joli. Exactement ce qu'une fille veut</t>
  </si>
  <si>
    <t>Film alimentaire étirable PRO très bon produit</t>
  </si>
  <si>
    <t>Bon rapport qualité prix Bon profuit conforme à la description</t>
  </si>
  <si>
    <t>Excellent ! Les couleurs sont très belles ! Les crayons sont arrivés en très bonne état.</t>
  </si>
  <si>
    <t>Moins cher que certains de ses concurents mais le rapport qualité/prix reste très mauvais Après quelques jours d'utilisation de l'engin, je peux me permettre de poster cet avis. Voici un petit récapitulatif :  Ce qui est bien : - Il est léger. - Il se fond bien dans l'équipement de cycliste ou quand on fait un autre sport. - Appareillage bluetooth stable. - Durée de batterie raisonnable (je n'ai pas encore exploité toute sa capacité).  Ce qui moins bien (vraiment !) : - Il n'est pas discret quand on fait les courses (les gens vous regardent de travers). (mais ça c'est valable pour toutes les marques je penses) - La qualité du son qu'il produit ? C'est comme les écouteurs qu'on vous fournit avec un smartphone bas de gamme. Donc c'est pas top. - Je l'ai choisi pour pouvoir rouler en toute sécurité en ville en vélo, mais on entend pas grand chose quand il y a de la circulation. (donc peu d'intérêt) - Je reviens sur la discrétion : n'espérez pas écouter quelque chose en pensant que personne ne vous entend. Et bien si, on entend tout... - D'ailleurs, c'est censé être un casque à conduction osseuse. Je penses que c'est le cas mais si on le met sur le conduit auditif classique de l'oreille, ça revient au même. Le son est même mieux. - Au vu de tout les éléments cités ci-avant, le rapport/qualité prix n'est pas du tout correct (je l'ai eu à environ 48€).  Je penses que je n'aurai pas été aussi critique si le prix de l'objet en question n'était pas aussi déraisonnable. J'ai été dubitatif en lisant les quelques commentaires négatifs de mes prédécesseurs. Malheureusement mes craintes se sont bien confirmés. Ne vous basez pas uniquement sur la note globale de l'objet mais lisez aussi autant les critiques positives que négatives c'est un bon moyen de savoir si cela vous correspond. Personnellement, j'ai été naïf en ignorant les commentaires négatifs.</t>
  </si>
  <si>
    <t>Le dialogne est nul Trop petit malgré la bonne  pointures commandé.il me font mal au pied. Elle sont pas du tous confortage semelle trop dur. Déçu. Je ne le  recommande pas du tous</t>
  </si>
  <si>
    <t>Casquette a conduction osseuse : fair-play fournisseur Vous trouverez ci dessous mon précédent commentaire qui était très critique sur le produit. Le vendeur a rembourser le produit et c'est excusé .il ma proposé après le remboursement de me fournir un autre casque gratuitement au titre de dédommagement .j'ai accepté.je vient d'essayer le produit qui semble être de meilleure qualité. en tout cas il fonctionne correctement ,peut être pas aussi bien que la marque principal pour ce type de produit mais le rapport qualité est acceptable vue son prix . Il reste moins discret en conversation dans un environnement calme ( bureaux) mais pour un usage sportif cela fonctionne .  Ancien poste : Les personnes aux alentours entende autant que vous-même ….en comparaison d’autre model essais  magasin  il fais plus penser à un casque classique qui fait du bruit. Très cher pour un casque qui ressemble plus à une mini enceinte qu’a un casque à Conduction Osseuse. Inutilisable au bureau puisque tous les personnes peuvent entendre votre conversation.. a par cela arriver en 48 heures reparti en 10 mm pour remboursement .</t>
  </si>
  <si>
    <t>Ça va Tient bien mais attention à la profondeur des bonnets et serre un peu au bout d'un moment en dessous des aisselles</t>
  </si>
  <si>
    <t>Très bien Parfait mais un peu trop grand .. Prendre sa taille normal.</t>
  </si>
  <si>
    <t>Proche du sein maternel Parfait pour les mamans qui allaitent et qui veulent aussi faire participer papa, ou pour le sevrage. Bébé prend bien en bouche.</t>
  </si>
  <si>
    <t>Le sans fil c’est idéal Le bleu est moins agressif et tout aussi efficace que la lumière blanche. Prend peu de place et la pochette de voyage sera bien pratique</t>
  </si>
  <si>
    <t>Bon produit Bon produit mais reçu avec 48 aimants et non 50 , apaisement de la douleur dans les premiers jours mais après plusieurs semaines plus rien ne se passe</t>
  </si>
  <si>
    <t>Top! Ces chaussures sont mes bébés du moment! Elles sont hyper confortables et s'adapte à pas mal de style. Je les aime bcp. Mais attention à la taille ue vous prendrez si vous êtes une femme. Je les trouvent peu large comme si elle étaient taillée pour homme mais ce n'est rien de très visible.</t>
  </si>
  <si>
    <t>Coeur blue Très beau bijou, belle couleur, les finitions sont parfaites, l idéal pour faire un cadeau en étant sur de faire plaisir ..</t>
  </si>
  <si>
    <t>Le naturel soulage. Tapis d'acupression conseillé par mon médecin qui me suit pour des douleurs chroniques. Petit conseil pour la 1ere utilisation: mettre un tee shirt fin car on sent très bien les pics. Après 2 ou 3 séances, le à même la peau est bien toléré. Soulagé dès la première séances. Conquise par cet achat. Bon rapport qualité prix. Arrivé dans les temps. Jolie couleur, comme sur la photo. Petit moins: la longueur du tapis</t>
  </si>
  <si>
    <t>gilet de sécurité rien à redire , conforme à la photo</t>
  </si>
  <si>
    <t>Qualité Sony Excellent casque, il fonctionne en mode réduction de bruit et/ou casque classique.  Quand je l’utilise  en voiture, il réduit bien le bruit de fond ( roulement, vent) et on a l’impression de rouler dans une Rolls !!  Contrairement à ce que certains prétendent,  ca n’empêche pas du tout d’entendre les klaxons, c’est juste le silence confortable d’une voiture de très haute gamme. le seul inconvénient qui m’empêche  de l’utiliser plus souvent c’est sa taille, pas pratique à ranger et a le trimballer sur soi, même s’il est livré avec sa pochette rigide de très belle facture.</t>
  </si>
  <si>
    <t>Simple et de bonne qualité j ai acheté ces écouteurs afin de m accompagner lors de mes footing J'aime la facilité d'utilisation ! le pairage s'effectue automatiquement ainsi que la conection au smart phone On peut changer de morceau , mettre en pause, ou répondre a un appel par simple touché sur l'un des écouteurs. l ergonomie est plutôt bonne Il suffit de poser les écouteurs dans leur boitier pour les recharger</t>
  </si>
  <si>
    <t>collier tres beau collier identique a la photo</t>
  </si>
  <si>
    <t>Produit pour chaussures nubuck bleues parfait ! Mes chaussures de ville en nubuck, bleues, sont comme neuves ! L'application se fait grâce à une petite éponge imbibée, elle recolore instantanément la chaussure, produit très efficace !</t>
  </si>
  <si>
    <t>Super Nikel, ma femme frilleuse la adopter tout de suite. N hésiter pas sur la commande. Vous verrez que l hiver elle est parfaite</t>
  </si>
  <si>
    <t>Super Tres belle bonne finition</t>
  </si>
  <si>
    <t>Pas mal Concept sympas mais le verso des pages n'est pas utilisable</t>
  </si>
  <si>
    <t>Bon casque On peut reprocher l'absence de limitateur de volume, pour le reste, le caque est confortable est pas trop fragiles. Très bien pour les DVD en voiture</t>
  </si>
  <si>
    <t>Au top Tout ce que l'on peut attendre d'un goupillon, rien à redire. Les deux tailles sont efficaces et nettoient très bien.</t>
  </si>
  <si>
    <t>Parfait La pompe mousse fait faire des économies sur la quantité de produit utilisée. Permet de dissoudre tous les résidus de lait en un clin d’œil.</t>
  </si>
  <si>
    <t>Conforme à la description Conforme à la description, livré en bon état, intercalaires normaux rien à dire de particulier, solides comme attendu, s'adapte bien aux classeurs</t>
  </si>
  <si>
    <t>Bien mais sons moyen Simpas mais tombe souvent de l oreille et son moyen</t>
  </si>
  <si>
    <t>Produit à fuir ! Chaussures de très mauvaise qualité ! Je les aient achetées pour leur look sympa et en me disant que Levis était une bonne marque. Mais après à peine deux mois d'utilisation en ville, les chaussures sont bonnes à jeter à la poubelle : le caoutchouc sur le bord des semelles se décolle un peu partout, les bandes de tissus sur les côtés sont complètement effilochées, la matière sur le dessus "aspect cuir" s'arrache laissant apparaître la toile. Enfin bref, je suis sûr que même chez les hard discounter on trouve mieux. Pour infos, je suis plutôt soigneux et j'ai acheté en même temps un paire de chaussures de trail  avec lesquelles je cours beaucoup et qui sont encore comme neuves. Mon conseil : à moins que vous aimiez les produits médiocres, n'achetez pas ces chaussures.</t>
  </si>
  <si>
    <t>Casse très vite Après à peine 3 semaines d'utilisation le goupillon a cassé ! Nous nous en servons tous les jours pour nettoyer les biberons de notre fille, et celui-ci a vite été inutilisable ! La brosse s'est détachée de la tige ... dommage car il était plutôt bien avant de casser ....  Le prix est très bien mais si c'est pour du jetable ca ne vaut pas le coup.  Mieux vaut essayer un produit plus cher à l'achat qui tiendra plus longtemps !</t>
  </si>
  <si>
    <t>sweat de bonne qualité le sweat est molletonné à l'intérieur, sans être trop épais. il correspond parfaitement à la photo en ce qui concerne la couleur. Pour la taille, prenez votre taille habituelle c'est parfait!  Très bon rapport qualité/prix. Je recommande vivement.</t>
  </si>
  <si>
    <t>Ingé-Son Ce petit pied est : pas cher, léger, peu encombrant et convient parfaitement à l'utilisation à laquelle il est destiné, Intérieur et extérieur.</t>
  </si>
  <si>
    <t>Bon produit! Bon produit. Assez haut pour qu'un enfant de 3 ans puisse s'assoir de lui-même sir le WC et ensuite laver les mains dans un lavabo sans que sa maman lui aide!</t>
  </si>
  <si>
    <t>Conforme J’ai acheté ce casque pour ma fille de 4 ans. Le casque lui va tout juste avec le réglage de la taille au minimum. Longueur du câble correcte. Son correcte</t>
  </si>
  <si>
    <t>TOP un bon pantalon avec un style propre TOP un bon pantalon avec un style propre, je l'ai reçu rapidement pour utiliser en randonnée et en voyage. Ce pantalon est TOP, il est très léger, il est super confortable. Il possède plusieurs poches pour ranger différents objets. La taille est parfaitement, j'ai commandé comme ma taille habituelle, la coupe est idéale. La qualité du textile est très bonne. Je recommande +++</t>
  </si>
  <si>
    <t>Larsen . . Très bon matériel. Attention à ne pas augmenter la puissance d'entrée trop haut, risque de Larsen</t>
  </si>
  <si>
    <t>Bonne qualité Un grand bouillard de bonne qualité, l'eau chauffe très vite, facile à nettoyer.</t>
  </si>
  <si>
    <t>Conforme Nickel, conforme à mes attentes</t>
  </si>
  <si>
    <t>Excellent produit Ce produit est efficace a un prix tout à fait abordable. La qualité des produits de la marque n'est plus à démontrée. J'adore vraiment ce produit. Il est excellent et je recommande vivement à tous avec une qualité vraiment au rendez-vous. De plus, la livraison à domicile de format aussi généreux est un vrai plus surtout à ce prix là qui sont bien plus intéressants que ceux du commerce.</t>
  </si>
  <si>
    <t>Produit conforme aux attentes Le vrai stan smith a un prix beaucoup moins cher que les boutiques . Je note 5/5</t>
  </si>
  <si>
    <t>bouilloire de qualité Cette bouilloire répond totalement à mes besoins, jolie, rapide, on sent la qualité et le réglage des températures est un plus!</t>
  </si>
  <si>
    <t>Bonne qualité Confortable Bonne taille</t>
  </si>
  <si>
    <t>Je recommande vivement Très bon airdots de marque xiaomi, fournis avec un câble usb et son boitier noir très élégant. Je recommande pour son rapport qualité prix</t>
  </si>
  <si>
    <t>conforme massage très puissant, on ne peut pas s'allonger complètement dessus, ça ferait trop mal au dos: en position assise, il faut trouver la bonne position, mais une fois trouvée, c'est génial! Je m'en sert aussi allongée pour le dessous des cuisses ou pour les trapezes (moins pratique). En gros, très bien une fois qu'on a trouvé les bonnes positions en fonction de sa sensibilité à la force du massage</t>
  </si>
  <si>
    <t>Bonne qualité 3 vitesses, très pratique</t>
  </si>
  <si>
    <t>vendeur à recommander les bracelets sont de très bonne qualité et très beau</t>
  </si>
  <si>
    <t>Juste parfait... Franchement c’est un sac bluffant... Il y’a plein d’espace, j’y mets mon iPad sans forcer, un petit clavier d’appoint, chargeur, casque, téléphone portefeuille, cahier de prise de note, un livre ou deux... C’est parfait ! Vu le prix, c’est une affaire...</t>
  </si>
  <si>
    <t>Top Ravis</t>
  </si>
  <si>
    <t>De Retour chez HP Avant cette commande j'avais decider d'essayer des cartouches génériques pour mon HP 6950. Malgré un prix réduit la plus grande difference était la qualité des copies en couleurs ( plus spécifiquement les photos). Rien a voir avec les cartouches HP. Je suis retourner chez HP avec ces cartouches et un Pack qui est excellent. Les cartouches sont excellentes, elles donnent de belles couleurs et les photos imprimer sont excellentes. Pour moi, les cartouches HP sont meilleurs et vaux le prix ( toujours en essayent de trouver des promos)... Je recommande ces cartouches d'origine HP car la qualité vaux leurs prix.Merci !</t>
  </si>
  <si>
    <t>à revoir Bof vraiment bof les écouteurs sont énormes et pas fins§ Les super basses où sont elles ??  le produit coute cher 30 e et je n'en suis pas satisfait. Mais on fera avec hein !  je déconseille ce produit, y a mieux moins cher.</t>
  </si>
  <si>
    <t>PRISE ETRANGERE La prise femelle n'est pas utilisable en France sans un adaptateur... (prise étrangère) donc nécessité de se procurer en plus un adaptateur...</t>
  </si>
  <si>
    <t>Trop grand Le pull est de très bonne qualité mais la taille est juste trop grande. Le L est en réalité du XL, très déçu. Je vais devoir le retourner...</t>
  </si>
  <si>
    <t>Un bon produit! Produit génial! Fonctionne parfaitement... Un son de qualité même si cela doit encore être affiné. Petit bémol! Au déballage, il manque les deux brises vent! Ce n’est pas sérieux! Surtout qu’ils sont indispensable avec ce type de petit micro. Dans un autre commentaire, c était un cordon sc2 qui n était pas dans la boîte! A une semaine de mon départ! .pas Cool.. J’ai contacté le vendeur! Walt and see! Dommage!</t>
  </si>
  <si>
    <t>Bon casque mais... Casque d'excellente qualité tant au niveau construction qu'au niveau sonore, Leds du plus bel effet, mais je pense plus adapté sur PC que sur PS4 même si ça fonctionne bien ceci monopolise un port USB juste pour s'illuminer (indispensable ?) Cable son mini jack indépendant (un peu long) nickel pour brancher le son sur la manette; J'ai relevé un seul bémol néanmoins à mon sens comparé avec d'autres casques audio en ma possession tel que Seineheiser, Beats ou V-Moda.. Ce gros casque bien qu'assez léger a de grands écouteurs certes mais qui ne se plaquent pas correctement sur les oreilles, je m'explique: la mousse partie haute des écouteurs et bien en contact avec la tête mais la mousse partie basse des écouteurs (plutôt côté cou) est entrebaillée (=petit jour comme une porte entrouverte) c'est à dire que l'effet "ventouse sur l'oreille" ne se fait pas c'est plutôt bancal... Voilà aussi pourquoi on a pas mal aux oreilles même après plusieurs heures de jeux vu  qu'il y a un manque réel d'appui et de serrage, même en resserrant l'arceau à fond, toujours comparé à mes autres casques cités plus haut. Cela reste un casque correct malgré tout, mais je pense qu'on peu trouver mieux côté maintient.. Rien d'autre à ajouter. Espérant vous avoir éclairé.</t>
  </si>
  <si>
    <t>Bon Ce lot de sacs poubelles est plutôt résistant, ils sont assez grands, on peut y mettre pas mal de choses à condition que ce ne soit pas trop lourd, j’en suis assez content.</t>
  </si>
  <si>
    <t>Pratique et imperméable. Manteau de pluie agréable,  imperméable. Point négatif  :  pas assez de poches.</t>
  </si>
  <si>
    <t>Très bonne montre Très bonne montre mais bracelet assez fragile</t>
  </si>
  <si>
    <t>Produit authentique Produit conforme pour l'appareil photo</t>
  </si>
  <si>
    <t>Collier Chaine en Argent 925/000 Rhodié Maille... Les Plaisirs de Stella Mon avis est le même que pour mon précédent achat identique. Je persiste n'hésitez pas, ces chaines sont de qualité supérieure et ne bougeront pas car le Rhodium les protègent du vieillissement de l'argent et leur donnent la couleur ne l'or blanc. De plus pour moi le sérieux du vendeur est impeccable, livraison rapide, excellent emballage et preuve qu'il s'agit bien d'argent massif rhodié, par poinçon 925°/oo et la brillance du bijou prouve que le rhodium et bien là. Je m'y connait un peu en bijoux et je recommande vraiment ce produit et ce vendeur.</t>
  </si>
  <si>
    <t>Rode rien à dire Les seuls à faire ses adapteurs ! Rode rien à dire.</t>
  </si>
  <si>
    <t>r a s parfait !!!!</t>
  </si>
  <si>
    <t>Cartouche d encre canon Produit d origine donc forcément impeccable,envoi rapide et quand même un peu moins cher.</t>
  </si>
  <si>
    <t>Bon biberon Ce biberon m'a été recommandé à plusieurs reprises et j'en suis pour l'instant satisfaite. En effet le lait ne coule pas quand on retourne le biberon et bébé doit vraiment faire un effort de succion pour boire le lait ce qui rend l'adaptation à ce biberon un peu plus difficile je pense qu'un biberon classique. Je le recommande lors de l'introduction du biberon dans le cadre d'un allaitement maternel.</t>
  </si>
  <si>
    <t>Top le produit correspond à l'image et au descriptif enfin un bon sweat à capuche epais super confortable j'ai pris taille L, je fais 1.80 m pour 65 kg ===&amp;gt; bonne taille  attention le coup est effectivement plus petit que la normal mais ne pose aucun probleme pour autant</t>
  </si>
  <si>
    <t>merci le karaokés est génial il est tres simple a installer. les micros sont leger et le son est puissant je recommande sans problèmes cet article.</t>
  </si>
  <si>
    <t>Ultra pratique Idéal pour les présentations de PowerPoint (plus besoin d’être proche de son pc). La télécommande est légère et son ergonomie est top, facile à prendre en main et les boutons sont simple et bien positionnés, pas besoin de regarder sans cesse ou ils se situent. Produit au top</t>
  </si>
  <si>
    <t>Pratique d'utilisation Très facile d’utilisation, il  ma vraiment aider pour mes poches et avoir booster l’élasticité de ma peau</t>
  </si>
  <si>
    <t>Très bien Très bien et surtout prix sympa pour imprimer ses photos!</t>
  </si>
  <si>
    <t>5 étoiles Je vous jure c’est un très joli montre et mon fils il adore ça comme un cadeau d’anniversaire. Du coup un produit recommandé comme never, à mon avis perso.</t>
  </si>
  <si>
    <t>Bon produit Très bon produit. Bien argenté. Prix vraiment bas par rapport au nombre de crochets.  Bien conforme à la description. Je vais les tester avec ma fille.</t>
  </si>
  <si>
    <t>Chaussettes très confortables Le colis arrivé bon état. C'est un bon achat à un prix très attractif. Je les achète pour l'été et fait du sport. Du coup, on n'ai jamais de chaussettes dans l'armoire. Et c'est un bon produit avec la bonne qualité. Les chaussettes sont très confortable. Je recommande.</t>
  </si>
  <si>
    <t>Très très petit... est-il bien utile? Ce biberon est tout riquiqui et ne conviendra vraiment que pour le 1er mois de bébé (et encore!), à moins que le bébé ne soit prématuré. Il est conçu pour la prise de médicaments et de vitamines mais je suis assez sceptique de ce côté-là (simplifions nous la vie!). Sans bisphénol A, mais qu'en est-il des F et S ?</t>
  </si>
  <si>
    <t>Tétine se referme. pas du tout pratique Difficile de trouver une biberon en verre de 330 ml. Malheureusement celui-ci a un gros problème : lorsque bébé tète, la tétine se retrouve aspirée et se referme. Donc au bout de quelques secondes il faut reformer la tetine pour pouvoir reprendre quelques tétées et recommencer encore et encore. Extrêmement désagréable et pas du tout pratique.  Voir la photo jointe.  On va devoir acheter des tetines d’autres marques en espérant qu’elles s’adaptent à la taille du bib.  Déçus!</t>
  </si>
  <si>
    <t>Semelle trop dure Très déçu de cet achat , taille ok mais pas confortable , semelle trop dure et les pieds ne respire pas , je ne crois pas que c’est une originale, alors trop déçu de cet achat des dix aine d euros jeter par la fenêtre car je ne sais pas les mettre ça fait très mal au pied 😡</t>
  </si>
  <si>
    <t>Tres déçu Un peu déçu de ses chaussettes qui donnent des peluches aux pieds ce qui est fort désagréable quand on les enlèves malgre les multiples lavages. Pour des chaussettes de marque, cela laisse à désirer!! Ne recommande pas du tout ce produit!!!</t>
  </si>
  <si>
    <t>Très utile Un peu compliqué pour s’organiser dans la journée si les doses sont différentes. Car il ne permet pas un «&amp;nbsp;classement chronologique&amp;nbsp;» comme les boîtes verticales. Mais à l’avantage de prendre moins de place!</t>
  </si>
  <si>
    <t>Bien L'article est bien C'est juste dommage que l'article ne possède pas des 42.5 ect Car 42 c'est trop petit pour moi et 43 trop grand</t>
  </si>
  <si>
    <t>Mignon Biberon très mignon. Bonne qualité. En plastique mais garanti sans bisphénol et autres trucs. La tétine est très bien (attention à l'âge de l'enfant tout de même). Facile à utiliser et à nettoyer. Prix correct.</t>
  </si>
  <si>
    <t>Bon rapport qualité prix Jolis écouteurs, tiennent bien dans les oreilles, son très correct, pour un prix rikiki.</t>
  </si>
  <si>
    <t>Un bon micro, avec un prix un peu élevé J'utilise une caméra Canon Legria, il faut faire attention avec ce micro car la petite "patte" de fixation n'est pas adaptée, il vous faudra acheter un adaptateur.  Sinon, vis à vis de la qualité du micro, c'est du RODE, la qualité est au rendez-vous, plusieurs réglages sont disponibles dessus, il fonctionne vraiment parfaitement.</t>
  </si>
  <si>
    <t>excelente legging Buena calidad para bajo precio, lo recomiendo! ya habia comprado uno negro que me duro muchisimo, el gris es hasta de mejor calidad</t>
  </si>
  <si>
    <t>Excellent produit Pour moi , y’a rien de mieux qu’un biberon en verres, facile à nettoyer / écologique pour la santé de nos enfants et dure dans le temps bien évidemment avec la protection de chez Avent</t>
  </si>
  <si>
    <t>Très bon produit &lt;div id="video-block-R2IZS9N71NU957" class="a-section a-spacing-small a-spacing-top-mini video-block"&gt;&lt;/div&gt;&lt;input type="hidden" name="" value="https://images-eu.ssl-images-amazon.com/images/I/C1tiWhCZlFS.mp4" class="video-url"&gt;&lt;input type="hidden" name="" value="https://images-eu.ssl-images-amazon.com/images/I/81PZERcL3hS.png" class="video-slate-img-url"&gt;&amp;nbsp;Écouteurs achetés pour un Huawei P30. Très bonne qualité, les matériaux sont de bonne qualité, l'ensemble présente bien. L'apparaige est simple et rapide, le son est bon. Les écouteurs s'adaptent parfaitement à l'oreille et ne bougent plus une fois en place. Plusieurs embouts sont disponibles. Très bon rapport qualité prix ! Je recommande</t>
  </si>
  <si>
    <t>très pratique très pratique pour apprendre à bébé à boire tout seul au biberon! mon fils a 11 mois et il a adopté ces poignées. je recommande cet article</t>
  </si>
  <si>
    <t>Très bien Ma famme est très contente</t>
  </si>
  <si>
    <t>Très bien Confortable agréable à porter</t>
  </si>
  <si>
    <t>Correct pour son prix Le son n'est pas très fort, juste ce qu'il faut. Les basses sont bien reproduites, même les aigus. Le contrôle du volume n'est pas top avec un seul bouton pour tout régler. Ceci dit vu son prix, on ne s'en plaindra pas. Le rapport qualité/prix est satisfaisant</t>
  </si>
  <si>
    <t>trés jolie Se bijoux est trés jolie. je l'ai offert a ma femme. Elle a une très belle boite idéal  pour offrir a quelqu'un</t>
  </si>
  <si>
    <t>Pas déçue J’adore ! La peinture ce nettoie vraiment parfaitement ! J’ai essayé avec ma fille de moins d’1an et même sur une feuille on pouvait casiment enlever la peinture si on avait raté pour recommencer.</t>
  </si>
  <si>
    <t>Ras Conforme à la description RAS</t>
  </si>
  <si>
    <t>anti reflux système bien utile , qu'on a même réussi à adapter sur d'autres biberons enlève une bonne partie de l'air</t>
  </si>
  <si>
    <t>Taille ajustable parfait Très jolie s’adapte parfaitement</t>
  </si>
  <si>
    <t>Exceptionnel Magnifique à un prix imbattable sur le marché. Merci</t>
  </si>
  <si>
    <t>La marque n’est plus à présenter, ainsi que le modèle super je recommande La marque n’est plus à présenter, cette paire de chaussures est vraiment top, super agréable je recommande fortement j’en rachèterais bien d’autres.</t>
  </si>
  <si>
    <t>Ras Super</t>
  </si>
  <si>
    <t>NICKEL Produit conforme au descriptif et d'origine fabricant. Satisfait je recommande</t>
  </si>
  <si>
    <t>Trop cher, trop petir Trop cher pour les matériaux utilisés. Taille très petit (je fais du 36 et le 37 est trop juste). Il y a bien mieux au même prix.</t>
  </si>
  <si>
    <t>À eviter Qualité médiocre, pas de soutien et s'effiloche au point de devoir la jeter après seulement quelques lavages, taille petit. À eviter</t>
  </si>
  <si>
    <t>A eviter Trop trop trop trop petit !!!!!!!! C est un scandale de vendre ça je fais un 38 et pourtant c est ridiculement petit , désagréable une fois sur nous car les scratch se déscratch justement comme c est très petit purement et simplement mensonger pour l utilisation en mode debout ou ménage c est ridicule et mensonger</t>
  </si>
  <si>
    <t>Mémoire de forme amnésique Les chaussons sont plutôt beaux et chauds. La laine et la semelle extérieure rigide ont l'air de tenir dans le temps malgré plusieurs lavages. Par contre, la semelle intérieure, à mémoire de forme, est juste un gadget. Au bout de quelques jours, vous vous retrouverez avec une semelle identique au modèle de base de la même marque et moins cher. Vous pourrez les trouver ici: https://www.amazon.fr/gp/product/B07D8SC2CX/ref=ppx_yo_dt_b_asin_title_o07_s00?ie=UTF8&amp;amp;psc=1</t>
  </si>
  <si>
    <t>bonne qualitè Pas déçu bonne qualité et bon prix pour ce modèle</t>
  </si>
  <si>
    <t>Parfait pour la logistique J'ai mis 4etoiles ,elles sont quasi parfaites :légères,confortables ,pas cher le seul bémol et qu'elles s'usent assez vite sur la partie tissus .Mais si vous ne faites pas un travail où vous courrez à longueur de journée ,elles seront parfaites .</t>
  </si>
  <si>
    <t>Bien Très bien s'effrite un peu à mon goût. Mettre film transparents pour pas quel s'effrite faire un Cataplasme ou soin du visage .</t>
  </si>
  <si>
    <t>En vrai cuir, très qualitatif Excellenttes finitions, beau volume, on peut facilement faire tenir un agenda type filofax dedans et emporter un bouquin ou une liseuse. Poches intérieure et extérieure. Vraiment un beu produit... Un peu cher neanmoins, mais la qualité se paie...  N'hésitez pas à indiquer si mon commentaire à pu vous decider dans votre choix.</t>
  </si>
  <si>
    <t>Bon achat Le sac correspond bien a mes attentes. Le seul petit soucis: la bandoulière couine... dommage. sinon super rien a redire....</t>
  </si>
  <si>
    <t>vive le gorilla je voulais mettre mes disques  vinyl en securité dans un endroit bien étudié pour ca le gorilla lp 30 étais fais pour moi</t>
  </si>
  <si>
    <t>Top Cette bouilloire est super jolie ! La lumière bleue est super sympa j'adore. Elle chauffe rapidement possède une grande contenance et grâce à son socle on est pas embêter avec le fil électrique. Le Top elle est facile à nettoyer et à entretenir grace au large couvercle et le petit filtre à retirer au niveau du bec verseur.</t>
  </si>
  <si>
    <t>très bon rapport qualité prix attention aàne pas tirer sur les fils coté casque car  ils ce cassent assez facilement</t>
  </si>
  <si>
    <t>Bon Bon qualité</t>
  </si>
  <si>
    <t>DES CONVERSES J'en voulait une paire assez sobre et là c'est nickel. Question qualité, rien à redire ; bon, ça reste des Converses avec leur qualités et leurs défauts.</t>
  </si>
  <si>
    <t>Bonne taille bonne qualité Bonne taille bonne qualité arriver rapidement pour se modèle</t>
  </si>
  <si>
    <t>bracelet beau bracelet pas cher avec de beaux petits cœurs , j'ai pris le collier aussi  pour avoir la parure.</t>
  </si>
  <si>
    <t>Top ! Produit conforme à la description et à la photo. Livraison en 1 jour ouvré avec Amazon prime.</t>
  </si>
  <si>
    <t>Parfait Ma fille l'adore ! Le pull taille comme il faut.</t>
  </si>
  <si>
    <t>Superbe Magnifique bracelet en argent tressé mêlant 3 couleurs d'ors (jaune, blanc et rose). Il fait un effet fou et le prix est très correct. Merci Amberta, toujours autant satisfaite après plusieurs achats.</t>
  </si>
  <si>
    <t>enfin !!!! je cherchais des bandeaux classiques sans froufrous sans dentelle depuis un bail... rien. Je suis tombé sur ceux ci ; ils sont parfaits ! taille , couleurs, qualité ...Rien à redire. J en ai recommandé un lot :-)</t>
  </si>
  <si>
    <t>Coupe originale pour pantalon de qualité En fait c'est un pantalon à la coupe particulière car très resserré au pied mais confortable car élastique. Il se sert par un cordon et la ceinture est élastique elle aussi. Ah oui il est légèrement de type sarouel.</t>
  </si>
  <si>
    <t>Très bien j'ai pris une taille de bonnet plus grande et une taille de tour plus petite et tout est ok ... il soutien parfaitement bien et la couleur est sympa, très contente de mon achat de plus livraison Hyper rapide :) merci du sérieux</t>
  </si>
  <si>
    <t>Trop petit :( dommage. Bonjour Adepte du cardio, j'ai besoin d'un soutien adapté. Je pensais avoir trouvé. Non, trop petit, problème aussi pour l'enfiler. Bref retour à l'envoyeur.</t>
  </si>
  <si>
    <t>Super réveil mais... HS au bout de 2 mois et demi J'ai reçu mon article le 1er juin 2018 et j'en étais jusqu'alors très satisfaite.  Mais au bout de deux mois et demi : réveil en panne. Plus aucune touche ne fonctionne j'ai seulement le droit à un tic tic tic comme si une des touches de la façade était restée appuyée. 67 euros pour 2 mois, très mauvais investissement :-(</t>
  </si>
  <si>
    <t>Format  poche Un ensemble de 42 paquets de 10 mouchoirs en papier. De format classique ces sachets se glissent dans le sac ou la poche. L’ouverture du sachet est facile, sans se déchirer. Les mouchoirs sont d’un format habituel et absorbent bien sans se déchirer. Ce sont des mouchoirs en fibre naturel issu de sources responsables et en 4 épaisseurs. La matière est douce et n’irrite pas le nez. Un mouchoir blanc classique au rapport qualité prix moyen.</t>
  </si>
  <si>
    <t>Bonne cartouche cependant... Ces cartouches sont parfaites pour l’imprimante canon, mais je puis vous assurer que le prix est scandaleux. Elles reviennent plus chers que l’imprimante (qui coûte au montant plus excessif  environ 70 euros et que vous pouvez trouver à 58 euros. ) Une fois désuète canon je m’en débarasserai et vite en attendant je me contente de ces cartouches moins chers ici qu’ailleurs</t>
  </si>
  <si>
    <t>Conforme à la description Article bien conforme à sa description colle bien sur plusieurs surface à part certaines peintures murales</t>
  </si>
  <si>
    <t>très bon produit Trés bon produit. Bien plus efficace que ceux de grandes surfaces "ronds". N arrose pas en effet. Je l utilise aussi pour mes biberons "lansinoh" col étroit. Une étoile de moins car détacher le manche pour accéder au goupillon rigide est un peu difficile.</t>
  </si>
  <si>
    <t>Parfait Bonjour c'est vraiment des bonnes chaussures je les utilise pour la maison, je pense en prendre une nouvelle paire pour mon père</t>
  </si>
  <si>
    <t>Très bel objet Superbe montre, que j'ai maintenant depuis 2 mois et que je porte quasi quotidiennement (résistante, waterproof) Le réglage de l'heure se fait par fuseaux horaires. Un seul point négatif pour ma part, la rétro-éclairage orange. Ils auraient pu la mettre en bleu (pour rappeler le liseret autour du cadran ou alors en blanc!</t>
  </si>
  <si>
    <t>Très confortable Très confortables</t>
  </si>
  <si>
    <t>Enfin les airpods qui me manquaient Ajouté à mon ecosystème Apple, la paire d'airpods s'est connectée en quelques secondes. Bien que n'ayant pas une qualité sonore incomparable face aux ténors du genre, notamment au niveau des basses, ces écouteurs font néanmoins le job. La version charge sans fil est vraiment pratique et l'ensemble possède une bonne autonomie. Pour le sport, j'ai commandé des embouts en silicone (que j'attends) pour avoir une bonne accroche notamment lorsque je cours. Pas de regrets donc, je suis content d'avoir profité de cette promo pour acquérir une bonne paire d'écouteurs</t>
  </si>
  <si>
    <t>Superbes baskets Chaussures confortables et agréables à porter</t>
  </si>
  <si>
    <t>Chaussures solides Mon fils a eu sa première paire et a adoré. Dans la mesure où il détruit les chaussures très vite celle ci sont là pour durer. Mais attention à la taille. Il faut prendre la taille en dessous. Juste une pointure en dessous. Je me suis laissé tentée par deux pointures en dessous et c'était trop petit.</t>
  </si>
  <si>
    <t>Magnifique Très beaux dessins. Super prix !!</t>
  </si>
  <si>
    <t>Parfait Parfaitement adaptés à ma brabantia . Les sacs sont bien épais et se ferment bien.pas d'accident de sac percé. Le blanc est légèrement transparent mais ce n'est pas vraiment gênant.</t>
  </si>
  <si>
    <t>Conforme aux attentes Débit 0 parfait pour un bébé de quelques semaines habituellement allaité</t>
  </si>
  <si>
    <t>Parfait Parfait assez grand, je peux y mettre ma camera, mini trepied et perche telescopique + ce qu'on met habituellement dans un sac. donc parfait pour pouvoir avoir et transporter mon materiel avec moi a chaque instant. j'aime bien le look. j'aurai tout de meme rajouter un peu plus de poche interieure pour different objet il n'y en a qu'une dans le compartiment principal</t>
  </si>
  <si>
    <t>Ca marche ! Cette année a été catastrophique coté microbes, à l'école comme au boulot tout le monde a été malade et se contaminait les uns les autres ... j'ai donné, depuis mi novembre, 7 gouttes/j le matin à ma fille et nous avons passé les fêtes/vacances frais comme des gardons. Pas une grippe, un rhume, un nez qui coule dans la maison jusqu'à aujourd'hui ! je recommande et surtout je recommencerai l'hivers prochain ! en plus ça n'a aucun gout et on peut le mettre dans le jus de fruits.</t>
  </si>
  <si>
    <t>Très bon Taille adaptée au guide de la marque, très souple et chaud, vraiment agréable à porter avec poches intérieures et zones de flexion bien conçues. La veste est aussi très bonne et très confortable.un vrai plus technique et thermique pour le vtt.</t>
  </si>
  <si>
    <t>Taille Très satisfaite,jolie,taille très bien je recommande ce produit bonne qualité</t>
  </si>
  <si>
    <t>Sur photo paraît plus petit Bien faire attention aux mesures sinon de bonne qualité</t>
  </si>
  <si>
    <t>Très confortable Bottes très confortables, fourrées, elles tiennent bien chaud. Achetées pour compléter un déguisement de Père Noël, elles sont parfaites pour un prix très correct. Même si ce n'était pas un critère d'achat, elles sont coquées. Les enfants pourront me monter sur les pieds!!</t>
  </si>
  <si>
    <t>Super Huiles qui sentent très bon idéal pour un diffussseur d'ambiance et une zenitude.</t>
  </si>
  <si>
    <t>dans mon cas la pierre était décollée beau bijoux avec beaucoup de déception</t>
  </si>
  <si>
    <t>Très fines comme pochettes Aïe ! Pour le prix, j'aurais pensé que les feuilles seraient épaisses ! Aussi vite reçues, je débale et hô grande surprise, éléctricité statique, donc je ne peux aucunement les ouvrir, tellement la finesse du materiel est minable. Je ne recommande pas......</t>
  </si>
  <si>
    <t>Déçu de la qualité J'ai utilisé pour mon travail dans le bâtiment.  Les chaussures mon abîme la cheville et le dessus du pied, trop grande et ne tiens pas du tout à ses endroits indiqués.  Mise au rebut</t>
  </si>
  <si>
    <t>satisfait...mais la montre est belle , parait fiable. mais livrée sans mode d'emploi , il a fallu chercher sur des forums la façon de régler  la date, le mois et le jour de la semaine. de plus à l'usage les petits cadrans sont illisibles et rendent ces informations inaccessibles et donc on se demande pourquoi on a passer des heures à essayer de les régler.</t>
  </si>
  <si>
    <t>Bon filtre Ras</t>
  </si>
  <si>
    <t>Baskets tape à l'oeil CHIC L'accessoire bling bling qui se porte aussi bien avec une tenue BCBG qu'en mode décontracté, j'adore !!! Vous semez quelques paillettes sur votre chemin mais rien de grave, il y en a beaucoup ... Je recommande !!!</t>
  </si>
  <si>
    <t>Tres bien Pour mon cas je fait du 44-45, et pour toutes les chaussettes que j'achete je prend les pointures en dessous. C'est agalement le cas ici j'ai pris les pointures en dessous pour quel soit bien taillé. Sinon bon produit, bonne qualité, elle son bien epaisse.</t>
  </si>
  <si>
    <t>Baskets 100% satisfaite Produit identique à la photo du site, les conseils de prendre 1 pointure au-dessus étaient justifiés. Je chausse du 38,j'ai commandé en 39 et c'est parfait. Commande reçue TRÈS RAPIDEMENT par rapport à la date annoncée. (Le 27/12/2017 au lieu du 06-16/01/2018). Très satisfaite,merci.</t>
  </si>
  <si>
    <t>Des oreillettes Bluetooth intra-auriculaires de qualité desservies par une performance inégale Ces oreillettes Bluetooth intra-auriculaires de Xiaomi ont a priori tout pour plaire : Légères, équipées de la dernière version de Bluetooth disponible à ce jour, la 5.0, bon son des deux côtés lors d'appels téléphoniques, autonomie raisonnable sans être exceptionnel, etc. Malheureusement, elles pèchent par l'inégalité de la performance.  Je m'explique. L'appairage initial des oreillettes se fait sans difficulté; il suffit de sortir l' oreillette droite une première fois de sa boîte de rechargement pour qu'aussitôt elle apparaisse dans la liste des appareils disponibles à la connexion sur votre téléphone (iOS ou Android). C'est tout simple et efficace. Les fois suivantes, commencez par sortir l'oreillette droite (R) de sa boite de chargement puis la gauche (L) pour que la connexion s'établisse. Donc tout va bien. Sauf que certaines fois la connexion entre les oreillettes droite et gauche et / ou entre les oreillettes et votre smartphone est solide et de qualité dans toutes les circonstances (y compris avec le téléphone au fond de la poche ou d'un sac), alors que d'autres fois le simple fait de tourner la tête fait perdre la connexion ou diminue la qualité du son momentanément. Le fait de retourner les écouteurs dans leur boîtier puis de les ressortir quelques secondes plus tard règle le problème. Mais pas toujours.  C'est dommage car autrement Xiaomi a tout juste :   - Qualité du son (quand ça marche bien) de très bon niveau   - Boîtier de rechargement assez petit et compact pour se glisser dans n'importe quelle poche   - Bluetooth 5.0   - Écouteurs très légers qui tiennent bien en place, même en courant   - Résiste à l'humidité (sueur ou pluie)   -  Autonomie des écouteurs dans la bonne moyenne (environ 4 heures pour un temps de recharge d'un peu moins de 2 heures)   - Possibilité de recharger les écouteurs 4 fois avant qu'il soit nécessaire recharger le boîtier de charge   - Connexion mini-USB; étonnamment, le câble n'est pas fourni   - Gestion intelligente des bruits de fond, particulièrement apprécié lors d'appels téléphoniques   - Bouton physique (et non pas tactile) de gestion des fonctionnalités de l'appareil (prendre / refuser un appel, passer à la chanson suivante, etc.)   - Compatible avec Alexa d'Amazon, Siri d'Apple et Google Assistant  Bien sûr, comme toujours, Xiaomi fournit les 3 tailles standard de bouchons d'oreille (S, M et L).  Bref, des oreillettes aux qualités indéniables; dommage qu'il y ait ce problème erratique de connexion. Mais quand ça marche bien, ça marche vraiment bien !</t>
  </si>
  <si>
    <t>Bien Bon produit, s'installe facilement, coupe le vent comme on le voudrait.</t>
  </si>
  <si>
    <t>Super Super les meilleurs biberon que j'ai trouver il sont vraiment super pour les bébé et pratique pour le nettoyage ...</t>
  </si>
  <si>
    <t>Commentaire Trèsbienmalheureusement j'ai du racheter des lacets car il n'y en avait qu'un seul</t>
  </si>
  <si>
    <t>TB BLEU GRANDE CONTENANCE</t>
  </si>
  <si>
    <t>Telle qu’à l’image Jolie, simple d’utilisation idéale pour les amateurs de thé puisque la température est réglable. Chauffe rapidement en faisant un peu de bruit comme toutes les bouilloires je crois. Idéale pour les petits espaces, les personnes seules.</t>
  </si>
  <si>
    <t>Très bien Très bien pour une rentrée à la fac. Le volume est suffisant. Ne conviendrait pas pour le lycée et le collège si vous avez trop de cahiers, livres et classeurs, surtout si vous êtes demi-pensionnaire.</t>
  </si>
  <si>
    <t>Très bien Ces écouteurs sont parfait. Je n’ai pas trop compris à quoi sert les trucs dessus là mais bon. Le son est bon c’est le plus important</t>
  </si>
  <si>
    <t>Un très bon produit Un cadeau pour mon mari qui a très bien aimé le produit. Pointure parfait. Très Confortable même après toute la journée. Produit comme da description.</t>
  </si>
  <si>
    <t>Superbes Magnifiques chaussures, je savais qu'il fallait prendre une taille en dessous car elles taillent grand, donc c'est impeccable J'en ai pris 2 paires une pour mon fils et une pour ma fille ! Ils les adorent</t>
  </si>
  <si>
    <t>👍 Produit conforme à ce que je cherchais, un contenant plus grand pour stocker mon lait au frigo après le tirage. Comme ils sont plus gd que les 150 ml, c est moins pratique au tirage pour les faire tenir mais pr le moment les 150ml sont suffisants pour le tire lait. Bon produit.</t>
  </si>
  <si>
    <t>Beau et tout confort Un beau pantalon puma noir composé à quasi 70 % de coton. Le tissu est plutôt épais tout en laissant respirer. Les finitions sont impeccables, tout comme le lien resserrable à la taille. Le pantalon est de coupe droite et non serré aux chevilles. Un vêtement basique de qualité.</t>
  </si>
  <si>
    <t>Élégante et grand réservoir !! Très belle bouilloire, facile à l'usage, bonne prise en main, La bouilloire est parfaite dans ma cuisine. je suis très satisfait de cet achat. Je recommande :-)</t>
  </si>
  <si>
    <t>SUPER C"était pour un cadeau, hé oui!  !! Superbes, légères , jolies, et la taille est conforme. livraison rapide. DONC, je recommande.</t>
  </si>
  <si>
    <t>parfait tres sarisfaite du produit aussitot reçu aussitôt mis elle est belle ma ptte avec</t>
  </si>
  <si>
    <t>Je recommande. Écouteur à petit budget vraiment top Pour ce prix la, je trouve que le qualité est vraiment génial. Je kiff. Pour les amateurs de basse, tout y est.</t>
  </si>
  <si>
    <t>trop petiti la taille et trop petit</t>
  </si>
  <si>
    <t>Compatible avec Android Tester avec mon galaxy note 8 et le résultat est pire avec le micro je vous le déconseille vivement je l'ai reçu le jour même et je l'ai renvoyé de suite.</t>
  </si>
  <si>
    <t>Très cher pour la qualité Déçue de la qualité, il est très fin et le cordon s est déjà détaché à 2 reprises car il est mal cousu.</t>
  </si>
  <si>
    <t>Handy bag Très bon sac poubelle assez costaud ne se déchire pas bon rapport qualité prix</t>
  </si>
  <si>
    <t>Basket non mixte pour adulte Ce type de basket basse est inadapté pour les personnes ayant un fort "cout de pied" même en prenant plusieurs pointures de plus: en fait il convient probablement mieux aux femmes qu'aux hommes. De plus, toujours pour des pieds forts, les 3 brides de fermeture velcro sont gênantes car elles se superposent entre elles.</t>
  </si>
  <si>
    <t>Bonne qualité - agréable à porter sweat zippé rempli bien sa fonction</t>
  </si>
  <si>
    <t>Bon produit dans l'ensemble Très pratique pour mélanger les lait épaissi sans grumeaux juste un bémol la tige est dur a enlever pour la laver donc je ne l'enlève plus.</t>
  </si>
  <si>
    <t>Jolie parure Très jolie livré dans les temps ce jolie colier et les boucle d'oreilles fond un jolie cadeaux à petit prix</t>
  </si>
  <si>
    <t>Combi Le produi diffère de la photo, jambe très et trop longues. Très agréable à porter. Très chaud. De jolis motifs.</t>
  </si>
  <si>
    <t>Vraiment parfait Je l'ai essayé, et au bout de quelques minutes, beaucoup de mes douleurs avaient disparues. Je n'en suis pas revenu, car j'étais assez septique au départ. Je ne peu que recommander ce produit.</t>
  </si>
  <si>
    <t>Baskets Elles sont super. Confortable. Elles sentent super bon c'est un peu bizarre de dire ça mais c'est vrai, elles ont un parfum de vanille</t>
  </si>
  <si>
    <t>Satisfait Identique à la description confortable résistance à voir après utilisations</t>
  </si>
  <si>
    <t>Écouteur Bluetooth sympa Je suis très content de ces écouteurs sans fils. Testé avec plusieurs styles de musiques. Bonne qualité de son. Les bass sont bien présentés. Bonne autonomie. La matière et le look sont sympas.</t>
  </si>
  <si>
    <t>Magnifique collier d'ambre Très jolie collier dambre reçu dans un petit sac noir la couleur correspond à l'image(couleur miel). fermoire à vis très 😊 contente du résultat sur ma petite fille.</t>
  </si>
  <si>
    <t>Belle basket couleur originale Ma fille les adore Très originale..très confortable..</t>
  </si>
  <si>
    <t>Très jolie Très jolie montre</t>
  </si>
  <si>
    <t>bel article article conforme en taille et qualitatif, pas déçue</t>
  </si>
  <si>
    <t>Produit de bonne qualité Très satisfait de la qualité des produits de cette marque</t>
  </si>
  <si>
    <t>Pochette pour plastifié Très bien</t>
  </si>
  <si>
    <t>Service parfait d'Amazon, comme d'habitude ! Service parfait d'Amazon, comme d'habitude ! Pour un meilleur rendu photo et une meilleure conservation des épreuves, j'ai toujours utilisé les encres du constructeur et je n'ai jamais eu de buses bouchées sur mes différentes imprimantes.</t>
  </si>
  <si>
    <t>Baskets J adore des baskets on n en voit pas partout  l'emballage a été bien conçu  arrive pkus vite que prévu Je chaussu du 39 et j ai commandé du 39 franchement je suis très satisfaite elles sont trop cool je suis bien dedans et je les porte du matin au soir sans souffrir Je vous les recommande vivement</t>
  </si>
  <si>
    <t>Poignet d homme Tres joli mais trop grand pour une femme</t>
  </si>
  <si>
    <t>Très bonne qualité Superbe casquette très agréable a porter de très bonne qualité à portée uniquement en hiver je recommande livraison rapide il y a de la laine et par temps chaud je déconseille</t>
  </si>
  <si>
    <t>faible qualite pour le prix de faible qualite part rapport au prix</t>
  </si>
  <si>
    <t>Nulle Je les ai mis une fois ils font trop mal même si j'ai pris une taille en plus</t>
  </si>
  <si>
    <t>Decue Déçue je pensais que c'était compatible avec tout mais c'est uniquement avec Apple , je sais que ce sont des écouteurs Apple mais on ne sait pas les utiliser avec d'autres appareils....</t>
  </si>
  <si>
    <t>Attention pour petit chat La taille du produit est conforme. Je suis assez déçue de la qualité du tissu que je pensais plus épaisse... Je déconseille pour des grands chats.</t>
  </si>
  <si>
    <t>Jolis biberons Biberons sympas et conforme au descriptif.  Solide, pratique,  prise en main agréable. Fournis avec 2 tétines débit 3. Je recommande.</t>
  </si>
  <si>
    <t>Chaussettes Très confortable et solide</t>
  </si>
  <si>
    <t>Robe velours Belle robe et joli velours.</t>
  </si>
  <si>
    <t>appareil de massage shiatsu j'adore cet appareil qui détend après l'avoir utilisé. attention tout de même pour les personnes sensibles car certains points de compression peuvent être très douloureux au passage des boules.</t>
  </si>
  <si>
    <t>Bonne taille . Super pantoufles , confortable et agréable et la taille 46/47 est bien adaptée .</t>
  </si>
  <si>
    <t>Super Conforme à la description le produit est bien original.</t>
  </si>
  <si>
    <t>Le son qualité prix%%&amp;amp;&amp;amp;!!! "Très pratique de ne plus avoir de fils à démêler, la qualité du son est correcte et ils tiennent bien dans les oreilles. De plus ils se sont connectés directement, pas besoin de réglage. Malheureusement quand je les reçu, la boîte avait un coup.. je ne vais pas les renvoyer car j'en ai besoin mais dommage car il sont très bien en tout point&amp;amp;&amp;amp;*!!!!!</t>
  </si>
  <si>
    <t>Tres bon rapport qualité/prix J’ai acheté ces chaussures pour remplacer mes running usés. Elle sont trés bien fini, avec des materiaux qui inspire la qualité. Assez confortable elle seront parfait pour mes petites balades !</t>
  </si>
  <si>
    <t>Bon produit L'installation est très simple, elle fonctionne à la fois en USB et en Wifi, la qualité d'impression photo est bonne et en bureautique tout à fait correcte. L'écran tactile est agréable utiliser. Ce produit est, à mon avis, bien adapté à une utilisation domestique régulière.</t>
  </si>
  <si>
    <t>Bon produits Le bracelets et un peu trop rigide et donc fragile pour le travail. Sinon très bon produit.</t>
  </si>
  <si>
    <t>Bon produit Bons sachets résistants</t>
  </si>
  <si>
    <t>Très bon Je m'en sert tous les soirs mélangé avec de l'huile de tea.</t>
  </si>
  <si>
    <t>la petite basket noire Je cherchais une paire de basket noire full black (même la semelle). Ce modèle de Vans est léger et confortable grace à l'épaisse semelle. Le prix est 10 à 15 euro inférieur à celui en boutique (c'est l'avantage).  Perméable et peu isolante, elle est idéale pour l'été.</t>
  </si>
  <si>
    <t>Je suis très content Je suis trés content avec ces rèveille. Il a de tout (radio FM, lumiére, heure, alarme, sunrise simulation lumiére de réveil pour l'alarme, aussi avec des sons différents...) et tu peux régler tout très facile avec les boutons tactiles que pour moi sont magnifiques. D'un autre côté, le design c'est très beau, modern et minimalist. Je ai fait une bonne achat :)</t>
  </si>
  <si>
    <t>Super Jolis chaussures qui offrent une chouette silhouette aux pieds. Elles sont agréables à porter bien que plus rigides que les vans classiques, elles sont cependant plus résistantes et ne se salissent pas facilement.</t>
  </si>
  <si>
    <t>Sans problème Pour tous les jours.</t>
  </si>
  <si>
    <t>pendentif chat je voulais un collier original, il l'est ! moderne, le chat est mat et la chaîne brillante, je n'avais pas vu le poisson, mais c'est rigolo.</t>
  </si>
  <si>
    <t>CONFORME impeccable</t>
  </si>
  <si>
    <t>Montre intemporelle ! 🏆Pour l'anniversaire de mon frère, j'ai acheté cette montre pour sa beauté et son caractère intemporel. La montre est sublime et va comme un gant au poigné de mon frere. 🌟La qualité et la finition son très correct pour le prix 30-35€ Le verre est de très bonne qualité et résiste bien aux rayures. Le bracelet est doux. Franchement bluffé par ce prix !  Les + : ❤️Prix ❤️Design et finition ❤️Montre automatique ❤️Bracelet en cuir ❤️Notice ❤️Montre intemporelle  Les - : ⚠️Packaging bas de gamme  ❤️❤️Mon frère l'adore !</t>
  </si>
  <si>
    <t>Odeur tres desagreablev Par contre odeur désagréable Lavés plusieurs fois avec vinaigre et autres produit l'odeur forte de plastique ne part pas</t>
  </si>
  <si>
    <t>Mauvaise qualité Cela faut sont prix Très mauvais son ,en mode téléphonie il y a juste un écouteur qui fonctionne et en mode écouteur le son est très mauvais J’ai renvoyé le produit</t>
  </si>
  <si>
    <t>gadget un peu gadget , mais il écrit bien</t>
  </si>
  <si>
    <t>un peu déçu.. Tout le monde parle du savon noir et de sa magie... je ne trouve pas du tout. Celui ci sent très fort comparé à une autre marque et très visqueux. Je n’adhère pas à ce produit ni a cette marque. Sans compter qu'il a fallu en acheter deux pour pouvoir les recevoir..</t>
  </si>
  <si>
    <t>Déconcertantes  mais confortables ! .... Je dois bien  avouer qu’à réception on s’est tous dit en les voyant « qu’est-ce que c’est que ces trucs là » mais après essai on est tous tombé d’accord sur le fait que d’une part elles sont confortables et que d’autre part les «  picots » en silicone maintiennent bien en place le pied dans la basket ainsi les appuis paraissent meilleurs. De bonne qualité de fabrication , elles sont assez respirantes et n’échauffent pas les pieds  même si elles ne sont pas 100% coton. De taille unique elles sont sans effet garrot au niveau la jambe  ce qui est très bien alors à voir dans le temps leur tenue après lavages et utilisations répétés mais pour le moment les essayer c’est les adopter ;-)</t>
  </si>
  <si>
    <t>Bon achat pas de promo pour cet achat, je mets donc 4/5 car le prix reste élevé. Consommation gloutonne de ces stylos Pilot, il faut donc acheter plusieurs recharges. Mais l'encre reste très bien, l'écriture est fluide, ça coule bien. Ca reste la meilleure marque dans le domaine des stylos effaçables par ce système.</t>
  </si>
  <si>
    <t>Très bon produit efficace Je l'utilise avant mes séances de renforcement musculaire et c'est génial moins de douleur et cette sensation de chaleur est vraiment agréable. recommande vivement aux sportifs</t>
  </si>
  <si>
    <t>BOTTINES Pour la chaleur 20/20 elles sont confortables.... pour l'extérieur quand il pleut elles prennent l'eau, alors si elles vont dans la neige C EST PAREIL ! Elles ne sont pas imperméables A REVOIR AVEC LE FOURNISSEUR !</t>
  </si>
  <si>
    <t>Bon produit. Je suis satisfaite Bon produit. Je suis satisfaite</t>
  </si>
  <si>
    <t>produit parfait Dès la première utilisation les écouteurs se sont connectés sans problèmes a mon téléphone. Possibilité d'en utilisé qu'un seul ou les deux. La boite de rangement des écouteurs, faisant office de base de rechargeant est vraiment design et petite. L’afficheur indiquant la charge des écouteurs est un plus.</t>
  </si>
  <si>
    <t>Parfait Parfait !</t>
  </si>
  <si>
    <t>Magnifique montre A propos de cette jolie montre très léger bon produit qualité prix bien emballer dans une précieuse pochette elle est faite aussi de l'offrir comme cadeaux, très belle couleur bleu nuit que j'adore je suis très contente de mon achat rien à dire je la recommande sans hésitation  désolé  pour la photo et c'est utile pour moi merci amazon.</t>
  </si>
  <si>
    <t>Très sympa et bon rapport qualite/prix Je chausse normalement du 44 (pied de 28,5 cm) et dans cette pointure je suis un peu à l'étroit dans ces baskets, surtout en largeur. J'ai pris une demi-pointure au-dessus (44.5) et c'est parfait. À part ça, elles sont confortables et très sympas esthétiquement (je viens de les recevoir donc je ne me prononce pas encore sur leur durabilité).</t>
  </si>
  <si>
    <t>Très bon rapport qualité / prix Le produit correspond au descriptif. Le disign est pas mal, belle matière. Il y a beaucoup de fonctions mais assez simple d'utilisation. Ma plus grande appréhension était la radio parce que chez nous compliqué de capter. Et bien j'en suis ravie. Satisfaite de mon achat.</t>
  </si>
  <si>
    <t>C'est simple et pratique。 Je suis très satisfait de la taille et ne prend pas trop de place. La température peut être ajustée, elle est très simple et pratique à utiliser et ne consomme  pas trop d'énergie。</t>
  </si>
  <si>
    <t>PARFAIT ! Le produit était à un prix extrêmement compétitif . Il a été livré dans un délai très court . parfaitement conditionné. Et il est de très bonne qualité et tout à fait conforme à ma commande et mes attentes ! Perfect !</t>
  </si>
  <si>
    <t>Top qualité Très belle montre classe et raffinée, Elle va parfaitement à mon poignet. Aucun souci pour le moment, plusieurs petits trucs en plus : alarme, chronomètre... Originale par sa façon de régler l'heure également. j'en suis très satisfait ! Livraison rapide et sérieuse.</t>
  </si>
  <si>
    <t>High tech et classe Très joli montre légère et agréable a porter grace a son bracelet en silicone très doux et souple. Pour se qui est de la config on peut pas faire plus simple,a la mise en charge (environ 1h30 pour la batterie complète) sur un port usb du pc ,le programme de la marque se télécharge automatiquement et la montre vous dit quoi faire pour la régler (pays/date/ votre morphologie/programme sportif etc),en 2 minutes c est fait car très intuitif.  Ce qui m a inciter a commander cette montre c'est son style et la fonction gps . Malheureusement je n ai pas pu tester cette dernière fonction car le signal gps est faible chez moi , mais je le ferai ailleurs et reviendrai sur mon commentaire ensuite. Cette montre est dite "mixte" mais je la trouve  un peu grosse pour une femme ,mais ce n est que  mon avis et celui de ma compagne. Conclusion : j adore cette montre,son style très qualitatif et le concentré de technologie qu elle contient.  Je commande de ce pas un lot de protections d'écran afin de ne pas abimer ni salir le verre minéral.  Si ce commentaire vous a aidé , merci de cliquer sur "utile" , ca fait toujours plaisir ^^.</t>
  </si>
  <si>
    <t>Parfait! Vans parfaitement conformes à mes attentes. Je chausse normalement du 40 mais je sais que je dois prendre du 39 chez Vans et elles me vont pile poil. Les Authentic sont indémodables et se portent avec tout. Bref, je suis ravi +++</t>
  </si>
  <si>
    <t>Conforme à l'annonce Conforme à l'annonce</t>
  </si>
  <si>
    <t>Vans Filmore Decon baskets femme Vans Filmore Decon, Baskets Femme Cela fait deux ans que je commande ces baskets  pour ma fille adolescente, elle en est très contente. Elle sont bien coupées, agréable à porter et pas trop fragiles.</t>
  </si>
  <si>
    <t>Je recommande ce produit Cadeau pour mon époux, sweat-shirt très bien coupé et texture très agréable</t>
  </si>
  <si>
    <t>Trop fragile Un des câble a cassé au niveau du jack dès la première utilisation, pourtant je suis très soigneux. Je ne me suis pas encore servi du deuxième, à voir s'il fera pareil...</t>
  </si>
  <si>
    <t>Ne marche pas Ne fonctionne pas</t>
  </si>
  <si>
    <t>Pas avec des lunettes. Pas pour plusieurs heures. Le son est bon. J'arrive pas à voir la différence pour la réduction de bruit, mais je n'ai peut être pas une ouie suffisemment développée. Par contre avec des lunettes le port du casque devient très pénible après quelques heures. Pour une utilisation d'une heure ou deux ce casque peut faire l'affaire. Pour une durée supérieure il devient trop lourd et trop inconfortable. Renvoyé à Amazon. Dommage car sinon il était bien.</t>
  </si>
  <si>
    <t>Attention à la couleur Attention la couleur du gris c'est vert (agave green) et pas gris comme la photo le montre</t>
  </si>
  <si>
    <t>Hors attentes Le produit est arrivé dans les temps, mis à part le livreur qui s'est permis d'ouvrir et de laisser ouvert le portail malgré le gros panneau ''Attention aux chiens''. Concernant les chaussures la couleur ne correspond pas du tout, j'ai reçu des blanches au lieu de grises.. Heureusement que la taille est impeccable et que les coloration existent.</t>
  </si>
  <si>
    <t>Satisfaite Il fait son effet pour le prix</t>
  </si>
  <si>
    <t>Fais le job 👍</t>
  </si>
  <si>
    <t>Rouleau de feuilles de protection épaisses pas encore l'utilité,mais semble assez costaud et de bonne largeure par rapport à la culotte ne devraient pas dépasser .</t>
  </si>
  <si>
    <t>Parfait Parfait quand on a mal au dos ou à la nuque</t>
  </si>
  <si>
    <t>Livraison rapide A recommander super très contente et super bien pour les personnes qui ont de l'arthrose , douleur au dos ect.....</t>
  </si>
  <si>
    <t>Robuste Après avoir testé les sacs poubelles de sous marques, iol n'y a pas photo, HandyBag est fiable. Je n'ai jamais eu de sac percé avec ceux ci. J'ai programmé une livraison automatique tous les 2 mois. Je ne suis plus a sec de sac !</t>
  </si>
  <si>
    <t>Maxwelll Bon écouteur et un seul bémol, reste le manque puissance insuffisant (Manque de décibel).</t>
  </si>
  <si>
    <t>Biberon haut de gamme et en verre Tommee Tippee se positionne en haut de gamme durable sur le biberon. Les produits sont excellents, et présentent toutes les garanties et labels nécessaires.  On revient avec ce produit à une valeur sure: le biberon en verre. Stérilisation et nettoyage très faciles, et une tétine que bébé aime bien et qui se nettoie facilement. Une valeur sure.</t>
  </si>
  <si>
    <t>Joli Sympa et couleur respectée.</t>
  </si>
  <si>
    <t>Confortable mais habillées Moi j'ai pas besoin d'un Kévin ou de mon mari pour avoir des paillettes dans ma vie, je me débouille toute seule, grâce à ces jolie chaussures ! 😜  (Pour ceux qui ne comprennent pas la référence, voir le sketch de Inès Reg "des paillettes dans ma vie")</t>
  </si>
  <si>
    <t>joli sent-bon ! Joli a voir et performant et en plus le changement des couleurs est amusant a voir- cela fait aussi une jolie lumière</t>
  </si>
  <si>
    <t>Sac ado Offert à un adolescent. Ce sac a fait sensation. Il l'utilise toujours. Assez solide et résistant. Il convient pour un portefeuille et un téléphone.</t>
  </si>
  <si>
    <t>Casque parfait Je l'utilise pour écouter la musique ou regarder des films sur mon portable j'en suis ravie la qualité du son et le confort du casque sont parfaits</t>
  </si>
  <si>
    <t>Un bon micro pour podcast et voix off J'avais besoin d'un micro spécialement dédié à l'enregistrement de voix off, et pour cours en ligne avec mes élèves. Très pratique, car il s'utilise en le branchant exclusivement en USB, ce micro est de très bonne qualité. La voix et claire et propre, pas de grain, et le filtre antipop fait bien son travail ! Un micro de qualité !</t>
  </si>
  <si>
    <t>Très bonne qualité Reçu rapidement et bien emballé  Une sacoche pour homme très sympa, j adore le modèle et surtout très pratique avec tout les rangements à l intérieur et le deux petites poches de devant. Je peux facilement y mettre mon petit ordinateur tablette asus. De bonne qualité et de belles finitions je recommande ce sac en bandoulière pour homme comme pour femme</t>
  </si>
  <si>
    <t>C'est un obus de la guerre 14-18 ? Une bouilloire silencieuse ? Vraiment ? Et bien oui, cette bouilloire Russell Hobbs ne fait aucun bruit (j'ai d'ailleurs bien cru qu'elle ne fonctionnait pas lorsque je l'ai mise en route). Outre le fait qu'elle soit performante et d'une grande contenance,  elle a vraiment de l'allure avec ses airs d'obus de 14-18. Gros "plus", elle ne goutte pas et ne fait pas d'éclaboussures. Quant au prix ? Moins de 50 euros, je trouve que c'est vraiment bon marché compte tenu de la qualité de l'objet. Superbe !</t>
  </si>
  <si>
    <t>jolie basket Superbe baskette très confortable. En ce qui me concerne est acheté une taille au dessus. Mais pas besoin car taille normale et non petit</t>
  </si>
  <si>
    <t>Très satisfaisant Micro très satisfaisant, n'oubliez pas de le mettre dans son étiu pour le protéger de la poussière, ou d'enfiler l'étui sur le micro s'il est sur pied.</t>
  </si>
  <si>
    <t>Tres contente Les chaussures sont arrivées avec ponctualité. Elles sont les mêmes de la photo. Mon fils a beaucoup aimé. Très contente</t>
  </si>
  <si>
    <t>Prix et la qualité au top Super les biberons ma fille a de suite accepté et pour donner le bibi du soir avec les céréales c’est super. Le design est plus que beau à recommander surtout pour le prix</t>
  </si>
  <si>
    <t>déçue par la taille je fait du 105B , taille pas évidente à trouver, et  comme d'habitude il est trop petit  en tour , je doit rajouter des rallonges ... c'est quand même malheureux de ne pas trouver une seule marque capable de faire un SG adapté ...</t>
  </si>
  <si>
    <t>Montre casio Après avoir lu pas mal de commentaire si cette article , aujourd'hui je peux faire ma critique , j'ai eu cette montre dans les années 80 , celle ci ne fait que ressembler à celle des années 80 , la taille correspond plus à un poignée pour enfant , l'éclairage est plus que modeste ( n'éclaire que 1/3 de la montre , le bracelet n'est pas de qualité , même pour le prix , elle fait vraiment tcheap , mais le pire reste vraiment la taille qui n'est pas destiné à un poignée d'adulte , au mieux irait à un poignée féminin. Pas déçu mais presque</t>
  </si>
  <si>
    <t>Article taille tres petit tres déçu car la taille XL ressemble à du M.</t>
  </si>
  <si>
    <t>Bruit de fond , cher Bcp de bruit.de fonds dans les.enregistrements. je ne sais pas.si cest lui ou la gable de.mixage. le bruit ne sort pas.danq.les.enceintes donc....</t>
  </si>
  <si>
    <t>Pourquoi pas Bien agréable au niveau des omoplate il faut Bien le positionner car peut faire mal par contre au niveau du dos et bas du dos super efficace soulage instantanément</t>
  </si>
  <si>
    <t>bien c'est le deuxième que j'achète car j'en suis satisfaite et je le recommande à ceux qui ont des problèmes de vertèbres</t>
  </si>
  <si>
    <t>Très Satisfaite Bonjour, Très satisfaite du produit, il procure chaleur, détente dans tout le dos et la nuque ... Bien entendu pour avoir toutes ces sensations il faut se couper de tout s'allonger doucement sur le tapis une ambiance tamisée et musique douce. Je pratique 4 fois ps semaine 30mn c’est génial ***</t>
  </si>
  <si>
    <t>Sacoche de bonne qualité Jolie sacoche Conforme a la description du produit Cuir de bonne qualité</t>
  </si>
  <si>
    <t>Bon rapport qualité/prix Le micro n'est pas d'une super qualité mais bien. Bon pack mais à prévoir une carte son pour pouvoir l'utiliser. Le support ainsi que les autres accessoires sont de bonne qualité, à voir si ça tient dans le temps. En tout cas bon rapport qualité prix pour ce pack.</t>
  </si>
  <si>
    <t>Parfait! Voulant reproduire le même environnement de travail que j’ai au bureau, je me suis acheté ce bras articulé pour 2 écrans et je suis entièrement satisfait du résultat. Facile à mettre en place et très solide. Simplement génial, je recommande!</t>
  </si>
  <si>
    <t>Parfait ! Stabilo Boss Original de qualité (en même temps leur réputation n'est plus à faire). Je n'ai rien à redire, ils fonctionnent tous et la boîte n'a pas été endommagée. Je conseille ce produit sans l'ombre d'un doute.</t>
  </si>
  <si>
    <t>génial De super bonne qualité, et même deux pinces de rechange au cas où!!!! Il est top et bien stable avec 30 attaches!</t>
  </si>
  <si>
    <t>Le prix est imbattable Bon produit</t>
  </si>
  <si>
    <t>Fashmond boucles d'oreilles pendantes plumes. Très jolies boucles d'oreilles. Je n'ai eu que des compliments. Je recommande. Bon rapport qualité/prix.</t>
  </si>
  <si>
    <t>Bel article pour une jeune fille. C'est un cadeau pour ma fille. Très belle basket.</t>
  </si>
  <si>
    <t>sweat qualité</t>
  </si>
  <si>
    <t>cadeau J'ai acheté cette montre à mon mari pour son anniversaire, il l'adore et ne la quitte plus. même la boite dans laquelle elle se trouve est belle ! Et on peut la recevoir rapidement avec l'offre premium donc c'est vraiment sympa</t>
  </si>
  <si>
    <t>Chouette Très beau haut , bonne qualité. Taille bien</t>
  </si>
  <si>
    <t>Habille le cou Je cherchais un collier pour un mariage qui habillé le cou qui ne fasse pas faux et dans un budget raisonnable.j ai trouvé tout ceux que je cherchais dans ce collier.les diamants brillent et le pendantif est de bonne qualité,la dimension du cœur est plutôt grande,et fait très chic.</t>
  </si>
  <si>
    <t>super correspond vraiment a la description et aux images et aux dimensions annonces. c'est un agenda de bureau a avoir. cet agenda me convient parfaitement</t>
  </si>
  <si>
    <t>Super pratique léger costaud...... Bien recu Merci à vous ! Nickel</t>
  </si>
  <si>
    <t>Excellente transaction Très bon achat. Vendeur fiable.</t>
  </si>
  <si>
    <t>Parfait Bonne taille, très agréable, semelle très souple comme articulée donc très confortable, nous l’avons acheté pourvamortir le bruit des pas et c’est parfait plus un bruit</t>
  </si>
  <si>
    <t>La matière Tout bien pour moi</t>
  </si>
  <si>
    <t>Ne vaut pas plus que le prix Conforme à la photo mais confort moyen.</t>
  </si>
  <si>
    <t>Qualité médiocre Qualité médiocre de l’impression, des bavures sur du papier de qualité, une encre noire plus claire des la première impression. Un vague gris vraiment à fuir !!!</t>
  </si>
  <si>
    <t>Très jolie mais... J’ai acheté cette montre pour mon compagnon et elle aussi belle que j’imaginais Seul bémol, elle est arrivée avec le cuir bien abîmé et rayé derrière, et ce n’est vraisemblablement pas le cuir qui travail mais un objet tranchant qui a fait ça. Et je n’arrive pas à joindre le vendeur pour avoir une explication ou un dédommagement Meme si n’altère pas vraiment le produit, au vu du prix on s’attend à la perfection</t>
  </si>
  <si>
    <t>Pat Bon rapport qualité prix</t>
  </si>
  <si>
    <t>Très bon rapport / qualité prix "Depuis que j'utilise ces cartouches (sur mon imprimante EPSON), je dois nettoyer mon imprimante à chaque nouvelle utilisation. J'en conclue que la qualité n'est pas terrible. Cependant, selon l'utilisation que vous voulez en faire cela peut être tout de même utile au niveau du prix." Le service après vente de ce produit a été très réactif puisqu'au vue de mon commentaire précédent, il a été décidé de me renvoyer un nouveau pack pour remplacer celui qui été potentiellement défectueux. Après test, je rectifie mon commentaire: mon imprimante imprime bien mieux, je ne vois plus de différence avec les cartouches EPSON que j'utilisais avant. Je peux faire autant d'impression de la même qualité mais à plus bas pris.</t>
  </si>
  <si>
    <t>très légère très belle au pied</t>
  </si>
  <si>
    <t>Je vous le conseille J aime bcq pareille que celui que j ai acheté avec mon gsm et bcq moins cher</t>
  </si>
  <si>
    <t>Il plait à mon fils Pour qui je l'ai acheté mais pour le prix, le produit aurait dû avoir au moins diffusion musique en bluetooth ou même usb ... d'où les 4 étoiles. Cher malgré tout.</t>
  </si>
  <si>
    <t>confortable correspond à mes attentes : identique à la photo, chaussure confortable, pointure habituelle</t>
  </si>
  <si>
    <t>super un super produit surtout pour ce qui ont des jumeaux la préparation des biberons super rapide le service après vente est très bon - on nous a replacé une partie du chauffe biberon car elle ne chauffait pas bien</t>
  </si>
  <si>
    <t>qualité ne se défont pas au lavage</t>
  </si>
  <si>
    <t>Top Itop</t>
  </si>
  <si>
    <t>très bien. Testé avec un petit d'un mois et 1 semaine. Pas de soucis pour reprendre le sein ! Mon petit d'un mois et une semaine a tout de suite aime. Il alterne avec le sein sans soucis !</t>
  </si>
  <si>
    <t>Super pratique Casque reçu très rapidement, bien emballé et en plus avec sa petite pochette de transport et avec emplacement du fil de charge !! Il est très  facile d'utilisation plus de fil qui traîne et le top c'est que les écouteurs sont aimantés du coup lorsque l'on ne les utilise pas ils restent accrochés autour du coup façon collier. Je ne les quitte plus dans les transports pour écouter la musique sans sortir le téléphone, au sport sans s'encombrer de fils... je les adore !!</t>
  </si>
  <si>
    <t>trop beau merci j ai recu ma commande</t>
  </si>
  <si>
    <t>Super Je les ai acheté pour mon mari  il travaille avec il en ai content très bien pour la saison</t>
  </si>
  <si>
    <t>TRÈS TRÈS BON PRODUIT ! C'EST UN TRÈS TRÈS BON PRODUIT ET POUR LE PRIX QU'IL COÛTE C'EST JUSTE PARFAIT ! PAR CONTRE ATTENTION, LE BLANC EST TRÈS SALISSANT..</t>
  </si>
  <si>
    <t>Parfait chauffe l’eau comme tout les bouilloires Pour chauffer l’eau des biberons de mon petit bou en voyage</t>
  </si>
  <si>
    <t>content de ma commande basket légère on ce sent super bien dedans on verra juste si ils vont me durer car je fait beaucoup de marche je pense que vous ferait un bon investissement vue le prix pour ma part je suis en train de refaire ma garde de robe ( chaussure ) y aura d autre commande prévue !!!</t>
  </si>
  <si>
    <t>Chaussures trail Chaussures trail très efficace et confortable. Respirante et accroche efficace. Finitions soignée. je recommande cette article pour ceux qui aimes les grands espaces.</t>
  </si>
  <si>
    <t>L'efficacité Un produit efficace sur les douleurs,  bien être du à la fraîcheur du produit Merci pour vos informations complémentaires reçues aujourd'hui pour mieux se servir du gel Cordialement</t>
  </si>
  <si>
    <t>Câble de Bonne Qualité Section importante, qualité au top</t>
  </si>
  <si>
    <t>Super produit Rempli parfaitement sa fonction de réveil. La fonction coucher de soleil est géniale surtout pour endormir mon fils de 6 mois !!!</t>
  </si>
  <si>
    <t>Hello Voilà,  le poids net est de 1.9 Kg et non 3.4 Kg, cela change la donne concernant la qualité, dommage.</t>
  </si>
  <si>
    <t>arnaque cette montre s'arrete des que je ne suis plus en mouvement.c'est à dire la nuit.</t>
  </si>
  <si>
    <t>Très déçue et en colère A éviter ! Joli mais taille trop petit même en prenant une taille de plus. Vendeur pas arrangeant du tout pour le retour !</t>
  </si>
  <si>
    <t>Lumière trop forte et trop blanche Acheté pour remplacé un vieux simulateur d'aube d'une autre marque dont j'étais très satisfaite, je trouve ce simulateur d'aube beaucoup moins agréable que le précédent. Le produit est conforme à la description. Il est très esthétique et facile d'utilisation. Mais sa lumière est trop forte, trop blanche quand il s'allume et le son est désagréable</t>
  </si>
  <si>
    <t>Ne sentent pas très fort Achetées car moins cher que ce que l’on retrouve dans le commerce. J’ai l’impression qu’elles sont diluées ou pas naturelles car elles sentent bcp moins fort que d’autres. J’en mets alors plus dans le diffuseur, et donc pas si économique que ça... dommage.</t>
  </si>
  <si>
    <t>Good Ma fiancé était très heureuse après recevoir son cadeau.</t>
  </si>
  <si>
    <t>J'adore Super achat matière super confortable je fais un bon 38 il me va comme un gant le seul problème c'est qu'il est long très long je peux le remonter carrément au dessus du nombril . Obligé de faire un ourlet sinon j'adore.  Brassière au top aussi .</t>
  </si>
  <si>
    <t>tamis 3 tasses De meilleure qualité que les tamis dans les cafetières à piston standard, parfait pour remplacer un tamis troué mais pourrait être moins cher ou sans frais</t>
  </si>
  <si>
    <t>Encre pas cher J'ai décidé d'acheter ce lot d'encre car il était moins cher que la marque originale de mon imprimante. L'encre fonctionne très bien, malgré le fait que mon imprimante ai détecté que ce n'était pas la bonne "marque" d'encre.  Rien à redire, ça fonctionne et c'est moins cher</t>
  </si>
  <si>
    <t>Très bien Très bien n'utilise que c'est tétine</t>
  </si>
  <si>
    <t>Parfait Les flacons sont très concentré, je les l’utilise dans un diffuseur automatique, et c'est juste excellent, il suffit de quelque goutte pour que l'odeur sois présente, c'est simple, j’adore! Il y a plusieurs senteur,  arbre à thé, lavande, menthe poivrée, eucalyptus, bois de santal, citronnelle, orange, camomille, jasmin, mon préféré reste la citronnelle. La pochette est un plus que j'aime aussi, car je ne perd pas les flacon dans un tiroir! Bref je suis satisfaite du produit.</t>
  </si>
  <si>
    <t>Excellent achat. Montre très chic pour un petit pris.</t>
  </si>
  <si>
    <t>Pratique Pour un fr 38 femme j'ai pris la taille femme 7 /taille homme 5. Produit très pratique</t>
  </si>
  <si>
    <t>Produit correcte Confortable pour petite marche mais pas plus</t>
  </si>
  <si>
    <t>Super rapport qualité-prix Super rapport qualité prix! Le rendu est top, les poches sont top, matière top, il est bien larg. Il n'est pas trop épais mais il tient très chaud. La matière est super agréable, elle est vraiment douce que ce soit à l'intérieur ou l'extérieur (c'est le même tissus). Aucun souci avec le sèche-linge. Je recommande</t>
  </si>
  <si>
    <t>Super!!! très confortables, légères, s'adaptent parfaitement à ma foulées. Adhérence impeccable. Chaussent normalement: prévoir 1/2 taille par rapport aux chaussures de ville Je recommande</t>
  </si>
  <si>
    <t>Au top Fidèle à ça réputation. J'ai pris la version 80 ohms pour utiliser sur mon PC. Le son est largement fort, volume au max du PC on tient 1min mais c'est trop fort donc c'est good. Test avec mon smartphone Xiaomi Mi A1 qui a une sortie audio assez puissante, on est pas mal dutout également ! Un poil moins fort que le PC mais largement suffisant. Je ne l'ai pas acheté pour l'utiliser avec le tel de toute façon...</t>
  </si>
  <si>
    <t>Soutien-gorge sport Le soutien-gorge sport et agréable à porté . Il a l'aire trop petit mais sais juste un trompe l'oeil .</t>
  </si>
  <si>
    <t>Certe un peu lourde mais confortable et chaude ,idéal pour un hiver au chaud ! Très bon produit, pour la marche et tient chaud, elles sont un peu lourdes, certes, mais on se sent bien confortable, au chaud et en sécurité. Bonne taille je veille toujours a prendre un peu plus grand notamment pour ce type de chaussure, mon fils n'a pas eu besoin de temps d'adaptation et s'est senti de suite à l'aise.   Je recommande vivement, elles sont vraiment des super chaussures qui permettent de passer l'hiver et les jours de grandes pluies au sec !  Je conseille de les imperméabiliser avec un produit spécial pour les préserver...</t>
  </si>
  <si>
    <t>extra! elle est extra tout ! extra douce extra pratique et elle chauffe juste ce quil faut , bon rapport qualité prix ..</t>
  </si>
  <si>
    <t>Parfait Correspond au descriptif</t>
  </si>
  <si>
    <t>Simple et performant Cet agenda m accompagné tout au long de l année, planning annuel, la semaine sur une page , les vacances scolaires, les fériés,indices téléphoniques pour la taille d un cahier , pratique et discret .</t>
  </si>
  <si>
    <t>Super pratiques Ecouteurs très compacts et pratiques à transporter. La petite boîte de transport permet aussi de les recharger, ce qui permet de tenir toute la journée sans problème. Plus de fils qui s'emmèlent dans les poches ou qui s'accrochent dans les poignées de portes, ça n'a pas de prix !</t>
  </si>
  <si>
    <t>Très bien Son plus gros point fort : le papier est épais ce qui évite que la carte se déchire quand on gratte. Elle est très bien et est jolie à regarder. (Même chose pour la carte de l'Europe.) Le seul truc, c'est le médiator vendu avec pour gratter qui est en plastique mou, donc pas super pratique pour gratter mais si ce n'est que ça, ce n'est pas grave.</t>
  </si>
  <si>
    <t>User très rapidement Chaussures tres confortable certe mais cela fais 2 mois que je les porte et il y’a deja un trou sous la semelle puis les bord de la chaussure se detache gentillement. Ce ne sont pas des chaussures longues durées.</t>
  </si>
  <si>
    <t>Qualité Porté 2fois la bottine ses decoller belle chaussure mais très déçu finalement je ne recommande pas du tout</t>
  </si>
  <si>
    <t>déçu le produit est beau mais il a cassé la première journée !</t>
  </si>
  <si>
    <t>Pas d'effet au sec Papier doux et résistant mais alors gros point négatif on n'a plus du tout d'effet au sec. Je crois que je continuerai avec ceux de bambino mio.</t>
  </si>
  <si>
    <t>Compliqué C’était vraiment compliqué !! J’ai commandé cette paire pour l’anniversaire d’une amie qui les avait trouvé jolie au pied de ma fille ( je lui avait commandé quelques semaines avant en violet sans souci) J’ai dû les renvoyer 2 fois avant d’avoir la bonne taille.., Je voulais du 39 et je recevais soit un 40 ou un 38. Je ne l’es ai donc pas reçu à temps pour l’anniversaire Malgré tt elle sont très jolie portés mon amie et ma fille sont ravis</t>
  </si>
  <si>
    <t>Couleur conforme à la photo Contente de cet achat.Mais il faut savoir que le s/m est en fait un M assez grand .Très bien coupé confortable,bien pour cette saison</t>
  </si>
  <si>
    <t>bon produit Vêtement de qualité, taille comme il faut, conforme au descriptif . Convient très bien à un ado ou un jeune adulte.</t>
  </si>
  <si>
    <t>Bon pour l’evo De bébé Très bien pour bébé une prise en main</t>
  </si>
  <si>
    <t>Bonne affaire A 60 € , c'est une très bonne affaire. J'ai hâte d'essayer dans la neige. Attention toutefois ça taille très juste, je recommande une demi taille de plus.</t>
  </si>
  <si>
    <t>Tres bon article super papier pou mon imprimante</t>
  </si>
  <si>
    <t>Jolie et pratique Cet imper est léger. Matière fluide et bien taillé. Peut se glisser ds un sac facilement. Bien coupé, le bleu est lumineux. Je l'ai testé sous une pluie normale et impeccable. C'est identique à une marque bien connue que je ne peux citer sauf que le prix n'est pas le même</t>
  </si>
  <si>
    <t>trés beau bracelet le cœur à un très jolie bleu suite à quelque remarque dans les commentaire, j'ai mi un peu de colle à l’arrière du cristal pour éviter de le perdre le bracelet épouse bien le tour du poignet. la petite chaîne est une bonne astuce pour le réglage de la taille je suis contente de mon achat</t>
  </si>
  <si>
    <t>fait le job! parfait pour un volume de thé ou de feuille de tisane raisonnable. environ 3 mugs bien remplis (3X 33 cl). pratique. acaht utile et rentabilisé!</t>
  </si>
  <si>
    <t>Super produit Très très bon produit ultra résistant Je suis électricien et je les portes toute la semaine rien à dire</t>
  </si>
  <si>
    <t>très silencieuse, et facile d'utilisation bouilloire de bonne qualité, utilisation facile en ce qui concerne la température, de plus elle est rapide et très silencieuse, je recommande cet article.</t>
  </si>
  <si>
    <t>parfait c'est un sweat comme on les aime doux pas trop chaud ample comme j'aime</t>
  </si>
  <si>
    <t>Rapport qualité / prix Écouteurs Bluetooth en rapport qualité /prix impeccable, je les utilise au travail ils sont au top l’autonomie et d’un peu plus qu’indiqué , le son parfait (jbl en général) nickel.</t>
  </si>
  <si>
    <t>Chaussures de randonnée chauds Je suis ravie d'avoir choisi ces chaussures. J'adore le design, il est à la fois sportif et décontracté, les chaussures vont bien avec toute tenue. Confortables, doux et chauds, il  m'assurent des meilleurs promenades.</t>
  </si>
  <si>
    <t>Top Très beau design. Se fond parfaitement dans la décoration. Le pack contient un diffuseur, une télécommande, un doseur, l'alimentation pour le diffuseur ainsi qu'une notice. On peut régler le temps de vaporisation, la couleur du bandeau lumineux..  Télécommande vraiment pratique. J'adore.</t>
  </si>
  <si>
    <t>Conforme à la fiche descriptive Tres confortable aussi bien pour le massé que pour le masseur. Je la recommande. Mousse épaisse et facile à monter comme à transporter.</t>
  </si>
  <si>
    <t>une belle montre sport J'ai offert cette montre à un de mes fils, qui ne la quitte plus. Le bracelet est confortable bien qu'en silicone. Le cadran n'est pas trop grand, ce qui en fait une montre discrète, qui convient aussi bien aux hommes qu'aux ados ou aux femmes. Mon fils adore le fait que la trotteuse soit orange, et il trouve que la lisibilité de l'heure est très aisée. A part ça, c'est la qualité Ice Watch. Nous en avons d'autres à la maison, elles durent dans le temps. Je recommande.</t>
  </si>
  <si>
    <t>Jolie et confortable Très jolies brassières, j'ai commandé 3 noires. J'ai pris du L, pour un 95D, légèrement petit mais reste néanmoins très confortable. Très bon maintien. Je recommande. Je passe dès maintenant une nouvelle commande, en blanc cette fois et je tente le XL.</t>
  </si>
  <si>
    <t>Superbe Tout simplement magnifique, je la pprte tout les jours.</t>
  </si>
  <si>
    <t>article conforme a mes attentes article tout a fait conforme a la présentation, les supports transparents sont discrets et joli, en revanche l' adhérence laisse a désirer, mais c'est toujours un peule meme probleme avec ce genre d'article, donc je vais rajouter de la colle</t>
  </si>
  <si>
    <t>Produit de mauvaise qualité Trop grand et la qualité est moyenne. Je ne sais pas ce qui s'est passé au niveau de la conception, certainement une mauvaise série. Déçu.</t>
  </si>
  <si>
    <t>beau produit mais défaut dès le 2eme lavage Très beau produit. Taille bien. Le seul hic et pas des moindres, c'est qu'au bout du 2eme lavage, pb au niveau du cordon de serrage : l'embout en plastique qui retient les fils, s'est littéralement enlevé, les fils se sont donc desserrés. Et pas moyen de remettre un lacet en remplacement car le cordon est cousu dans la capuche !</t>
  </si>
  <si>
    <t>Déçu A l’aire assez chaud mais article ne durera pas longtemps qualité médiocre et divers défaut ( comme si il y avais divers brûlure sur le tissu</t>
  </si>
  <si>
    <t>Beau sac Comme décrit sur la photo, peut être un peu rigide mais très beau et chic, il fait son effet, il est pratique.</t>
  </si>
  <si>
    <t>Utiliser des piles rechargeables... Acheté pour enlever les miettes de table sans être obligé de secouer la napper à chaque fois. Remplit bien son office, à condition que les miettes ne soient pas trop grosses ( mais dans ce cas, elles s'enlèvent facilement à la main ) et que la puissance des piles soit assez bonne. Comme je l'utilise deux ou trois fois par jour, j'ai opté pour l'alimenter avec des piles rechargeables, car les autres ne "tiennent" que 8 à 10 jours. Très satisfait de mon achat.</t>
  </si>
  <si>
    <t>Surprenant Concernant le produit ma première surprise fut de constater sa légèreté tout en restant un produit bien fini.  La façade tactile a une très bonne sensibilité et une très bonne réactivité.  Dans le noir les touches s'éteignent mais il suffit d'appuyer n'importe où sur l'affichage pour que les touches se rallument de nouveau.  Il est possible, via un bouton sur le pied, de régler la puissance d'éclairage de l'heure. Par un bouton sur la façade avant on peut également régler (de 0 à 10) la puissance de la lampe (qui sert de réveil mais également de veilleuse). Toujours sur le pied nous trouvons un bouton permettant de choisir entre les 2 sons de réveil (chants d'oiseau).  Même si la notice est courte il est très facile de paramétrer ce réveil.  Apres quelques jour d'utilisation je constate que la lumière me réveille correctement (plus besoin de mettre mon vieux réveil au cas où la lumière ne me réveillerait pas). En revanche je ne me réveille pas si la lumière est plus faible donc je suis obligé de la laisser au maximum de sa puissance. De même il faut que le réveil soit bien au niveau de la tête au risque de ne pas être réveillé. Au cas où la lumière n'aurait pas d'impact, un chant d'oiseau prend le relais. Je regrette simplement qu'il n'y ai pas une alarme de secours qui se déclencherait après 10min de chant d'oiseau par exemple. Cela permettrait d'être certain de se réveiller.  Apres 7jours d'utilisation je suis satisfait du produit mais c'est mon épouse qui ne supporte plus ce réveil. Très sensible à la lumière elle est donc réveillée 30min avant la sonnerie habituelle de mon réveil et cela la dérange beaucoup. Nous lui avons donc trouvé une autre utilité. Nous l'avons mis dans la chambre de notre petit-fils afin de le réveiller progressivement le matin. Il n'a que 4 ans et ça ne le réveille pas complètement mais je pense que ça améliore son réveil</t>
  </si>
  <si>
    <t>Top Bon produit. S'adapte très bien aux biberons et est de bonne qualité. Vraiment rien à dire d'autre. Je recommande ce produit.</t>
  </si>
  <si>
    <t>Très bon duo d'écoute pour enfants Acheté pour mes petits-enfants de 3 et 6 ans, pour écouter en duo ou en solo au calme (pour les parents aussi ;-) ), la Lunii, fabrique d'histoires. Agréables aux yeux et au toucher pour commencer. Ma petite-fille de 3 ans : "Oh, j'adore le rose ! Celui-là c'est pour moi." Et vrai que les deux couleurs permettent de différencier, à chacun son casque d'écoute. Confortables sur la tête (la Mamy a testé), tout est tout doux et "rembourré" comme et où il faut, d'abord. Les casques sont ajustables pour bien s'adapter à la tête de l'enfant et bien les positionner sur les oreilles pour une bonne écoute. Le son est bon, et effectivement, limiteur de volume. C'est un bien et ... ça peut être trop. Pas de décibels agressifs, donc. Mais, la Lunii pour laquelle j'ai choisi ces casques d'écoute, veille aussi aux oreilles des chérubins et fait que le volume maximum n'agresse pas leurs tympans. Est-ce limitation bienveillante de la Lunii + autre limitation bienveillante des casques ? Les casques branchés, je trouve que l'écoute est limite même avec le volume de la Lunii au maximum. On comprend toute l'histoire mais il ne faudrait pas un environnement trop bruyant autour. L'enfant doit prêter l'oreille ... (Je ne crois pas que c'est un défaut des casques mais un péché cumulatif d'attention aux oreilles des petits qui fait que le volume devient presque trop faible). A contrario, avec le casque et le son, l'enfant entend toujours ce qu'on lui dit et ce qui se passe autour de lui, ce qui est en même temps un plus ! Très bien donc et tout de même, pour un moment de calme, en voiture, dans une salle d'attente, et bien d'autres usages des enfants d'un produit  facture qui me paraît de bonne qualité et soigné pour les petits. Avec une mention de faveur pour ce duo de casques qui permet bien des complicités entre frère/soeur et soeur/frère ou entre copain/copine ! J'ai déjà vu sur une journée mes deux petits-enfants se créer plein de moments complices à l'écoute d'une même histoire sous leurs casques, et c'était trop mignons à voir ! PS : j'avais pris soin d'aussi acheter un "répartiteur audio", en d'autres termes, une fiche audio pour y brancher deux sorties casque ... en forme de tête d'ourson, tout mignon, ce qui permet que mes deux petits puissent brancher tout deux leur casque sur un même appareil et profiter en même temps de la même histoire. Donc, casques de bonne facture et achat groupé Lunii + adaptateur + kit de 2 casques sont une très bonne formule.</t>
  </si>
  <si>
    <t>Très bonne lampe,  très pratique Très bonne lampe,  très pratique,  bon rapport qualité prix. Et petite surprise: deux types de luminosité sont proposés par cette lampe,  ce qui est pratique et agréable! Je recommande</t>
  </si>
  <si>
    <t>Tipp-ex de bonne qualité La taille est vraiment adaptée même aux petits plumiers. Ce Tipp-ex est pratique.</t>
  </si>
  <si>
    <t>Très beau Et de bonne qualité</t>
  </si>
  <si>
    <t>Super ! Au vu du prix par rapport au prix en boutique j’avais peur d’avoir une contrefaçon mais finalement non ce sont belle et bien des converses authentiques, reçues dans la boîte original. La marque chausse grand donc il faut bien pensé à prendre une taille en dessous. Livraison très rapide je ne peux que recommander !</t>
  </si>
  <si>
    <t>Vans all school montante noir et blanche La chaussure est magnifique, comme sur la photos. En plus je l’au reçu super vite et en bonne état avec sa boîte. Et je tient à préciser que CE N’EST PAS DE LA CONTREFAÇON ... croyiez moi je dit toujours la vérité et là je félicite le vendueur 👏👏</t>
  </si>
  <si>
    <t>Complète Nous sommes ravis d'avoir choisi cet article. Il est conforme en tout point. Il est très pratique. Nous le conseillons vivement.</t>
  </si>
  <si>
    <t>Très content J'avais acheté un ordinateur portable et j'avais besoin d'un sac pour le porte. Mais je voulais un sac avec plus d'espace pour pouvoir porter plus des choses, pas juste l'ordinateur. J'ai trouvé ce sac bandoulière, qui se transforme en sacs à dos, et qui est jolie, classe et résistent, et je suis très content de mon achat.</t>
  </si>
  <si>
    <t>Super qualité et fait robuste Je m'en sers tous les jours et je suis surpris par la qualité surtout pour ce prix de 14,99 livré..</t>
  </si>
  <si>
    <t>Jolie veste pour l’ente deux saisons Veste légère agréable à porter, jolie finition. la capuche est en «&amp;nbsp;moumoute&amp;nbsp;» à l’intérieur pour une chaleur douce. Taille correctement</t>
  </si>
  <si>
    <t>Simple et efficace Montre qui remplit tout simplement sa fonction: donner l'heure. Pour le prix les fonctions proposées sont correctes (chrono, date,reveil). Il est dit qu'elle est water résistant mais je pense qu'on peut lui ajouter l'option water Proof l'ayant testé jusqu'a deux mètres de profondeur. Seul bémol, le chronomètre se renitialise après 60 minutes.</t>
  </si>
  <si>
    <t>Super acheter le Très satisfaite je m en sert tout les jours et un réelle effet sur le bien être avec ou sans huile essentielle je recommande cette article</t>
  </si>
  <si>
    <t>Amoureuse Montre que je rachète pour la deuxième fois ! Parfaite discrète elle est pratique à toutes les occasions.</t>
  </si>
  <si>
    <t>bon Je vais l'essayer quand je le reçois et mes pieds se sentent bien.  La qualité est aussi très bonne.  Il semble avoir un peu de résistance au pied d'athlète.  Je suis un homme qui a un pied et j’ai l’impression que mon pied d’athlète n’est pas si gros que je le porte pendant quelques jours.</t>
  </si>
  <si>
    <t>brosse pour chaussure daim C'est une brosse parfaitement bien adapté pour le nettoyage des chaussures. On a une bonne prise dans la main pour son utilisation</t>
  </si>
  <si>
    <t>B Esthétiquement sont bien mais après une semaine d'utilisation ils commence à se de coller On transpire  beaucoup dedans et sa teinte les chaussette</t>
  </si>
  <si>
    <t>pas encore utilisé c'est un cadeau paquet arrivé complètement déchiré de toute part, ne sait pas comment il a pu garder son contenu...à suivre</t>
  </si>
  <si>
    <t>Pas pour les vrais amateurs de thé, je pense... J'ai vraiment hésité entre 2 et 3 étoiles... Finalement, ce sera 3 étoiles eu égard à la belle qualité du produit : c'est une jolie machine compacte bien pensée. En revanche, question "thé", je ne vois pas trop l'intérêt. Autant la Nespresso pour le café est une réussite : on a du (très) bon café à disposition rapidement, autant la Spécial.T... je ne comprends pas. Aucun plusss significatif : le thé, c'est de l'eau frémissante et... du thé que l'on laisse infuser 3 minutes. Basta. C'est la qualité de la feuille de thé qui compte.</t>
  </si>
  <si>
    <t>tres bonne qualiter pris tres bon sac bien ranger avec des poches de stele</t>
  </si>
  <si>
    <t>Contente de mon achat Semblable aux photos. Bon qualité prix</t>
  </si>
  <si>
    <t>bonnes chaussettes elles sont chaudes et assez épaisses,bonne texture et bonne finition,j'ai voulu essayer cette marque,ça va je ne suis pas déçu</t>
  </si>
  <si>
    <t>au top joli mais il s'agit d'un cadeau de noël et je ne sais pas encore si cela va plaire mais il est tes joli</t>
  </si>
  <si>
    <t>Superbe bonnette de micro cravate Tres efficace on ressent tout de suite la différence j'en reccomande un pour la deuxième moité du micro. Je l'ai utilisé pour un micro de go pro</t>
  </si>
  <si>
    <t>Superbe Comme toujours, Disney nous permet de visualiser un BD de haute volée. Que cela sois visuelle ou sonore, la qualité est exceptionnel.  Reçu toujours dans des délais très court.</t>
  </si>
  <si>
    <t>Les deux écouteurs ne marchent pas en même temps Appareil reçu dans les temps mais malgré la notice en français, impossible de synchroniser les deux écouteurs en même temps. J'entends soi l'un soit l'autre et depuis le bluetooth de mon téléphone je dois apairer les deux écouteurs ce qui me semble bizarre....Heureusement après un mail au vendeur ,très réactif, il m'a apporté la solution et tout marche parfaitement !</t>
  </si>
  <si>
    <t>Satisfaite Conforme à mes attentes, livraison rapide</t>
  </si>
  <si>
    <t>Légère et confortable J’en suis content. Elle ne sont pas lourde et ont un look sympa pour des chaussures de sécurité.</t>
  </si>
  <si>
    <t>PARFAIT Ne se percent pas, parfait pour la poubelle de cuisine. Très solides, je ne prends plus que ceux la, en abonnement c'est moins cher !</t>
  </si>
  <si>
    <t>Impeccable avec deux écrans 25" Ne bouge pas après plusieurs mois d'utilisation. Le réglage pour joindre proprement les deux écrans prend un peu de temps, mais rien n'a bougé depuis.</t>
  </si>
  <si>
    <t>avis montre casio g shock elles est solide voire très solide. la seule chose que j'aurai du lui ajouter c'est un protège écran car elle a une balafre mais c'est tout et malgré les coups qu'elle a reçu au boulot dans la logistique et à la muscul elle tient toujours le coup depuis plus d'un an. je recommande les yeux fermés</t>
  </si>
  <si>
    <t>Facile et fonctionnelle Idéal pour les enfants de plus de 8 ans. Elle est fonctionnelle et facile à utiliser</t>
  </si>
  <si>
    <t>Un bon coffret d'huile de massage Coffret reç rapidement, emballage moindre (pas de carton inutile, etc..) donc un très bon point pour la planète, la texture est top pour les massages.</t>
  </si>
  <si>
    <t>Montre CASIO pratique  et solide Montre parfaite pour les manuels car résistante et lavable facilement.</t>
  </si>
  <si>
    <t>délai de livraison très rapide je suis ravie de mon achat. Je l'utilise tous les jours. belle théière rapide, silencieuse.</t>
  </si>
  <si>
    <t>SUPER CONFORT Taille 36, pied normal, c'est exactement la bonne pointure, je peux meme mettre des chaussettes fines dedans, font un tres joli pied. ne baillent pas à la cheville. Tres confortable pour la marche, cambrure parfaite. La fermeture sur le côté un petit truc sympa en plus. C'est vrai que on peut sentir les petites coutures à l'intérieur les premiers jours mais j'ai mouillé avec un produit pour intérieur chaussures et elles se sont assouplies. Bon l'intérieur peut-etre pas aussi bien fini que des chaussures de marque mais franchement pour le prix faut pas s'en priver... je les ai eu le lendemain car en stock... sinon, 3 semaines  ou 4 pour la livraison j'aurai renoncé.</t>
  </si>
  <si>
    <t>bouilloire très sympa pour la couleur très facile a utiliser a voir dans le temps pour le tartre mais si on la laisse bien secher cela devrait le faire chauffe rapidement</t>
  </si>
  <si>
    <t>L'appareil est tout neuf... Merci pour la bonne affaire...</t>
  </si>
  <si>
    <t>Casque filaire JBL Il est parfait pour les petites oreilles de mon fils de 11 ans, qui en a besoin pour l’écoute  de ses dialogues en anglais au collège. Je le recommande.</t>
  </si>
  <si>
    <t>2 COEURS !!! La chaîne était trop fine : elle a cassé très rapidement. Les coeurs sont biens mais sans chaîne ils ne servent à rien</t>
  </si>
  <si>
    <t>Bracelet argent Nul se casse pour un rien.Beaucoup trop fragile.Il est déjà fichu</t>
  </si>
  <si>
    <t>revêtement de la chaussure effritée au bout d'1 semaine presque neuve. Défaut de fabrication? revêtement de la chaussure effritée au bout d'1 semaine presque neuve. Défaut de fabrication?</t>
  </si>
  <si>
    <t>Pratique mais pas très résistant Patafix pré-decoupé en petits carreaux, très pratique pour pas se retrouver avec des boules trop grandes. Parfait pour coller des photos ou petites notes, mais rien de plus - j'ai essayé de l'utiliser pour des guirlandes de noël, et elles ne tennaient pas, même avec une grande quantité. Ayant essayé d'autres marques qui tiennent mieux, je ne pense pas en racheter.</t>
  </si>
  <si>
    <t>Le confort Utilisation pour le sport en général. Le seul point négatif était la largeur au niveau des cuisses. Sinon confortable pour faire du sport</t>
  </si>
  <si>
    <t>Très bon produit facile d'utilisation Entretien fauteuils cuir blanc</t>
  </si>
  <si>
    <t>LE PRODUIT EST TRES BIEN MAIS MEME PAS DE BOITE NI DE PAQUET PANDORA Dommage le charm est magnifique mais pour offrir il n'y a même pas une boite en dur pour mettre la perle ni une pochette pandora comme on voit sur la photo de l'article c'est très dommage</t>
  </si>
  <si>
    <t>Converse all stars Pour profiter le periodes de soldes je voudrais des converses simples et pas trop cher. C'est des All Stars. Le modele est tres confortable et me fait sentir jeune. Tres jeune.</t>
  </si>
  <si>
    <t>ne marque pas les horaires de l après midi ex 13 h 15 h etc ; mais a midi revient a 0 ce  que je n ai pas aimée c est que elle ne marque pas les horaires de l après midi ex 13 heures 16 heures etc .mais au lieu de ça , a midi , elle revient a 0 .ce que j ai aimée c est son éclairage pour la nuit</t>
  </si>
  <si>
    <t>20 sur 20 Excellente produit</t>
  </si>
  <si>
    <t>Parfait Excellent</t>
  </si>
  <si>
    <t>Super rapport qualité/prix J'ai adoré les motifs papillons ! Le sweat est élégant et doux (100% coton). Seul petit bémol, j'aurais souhaité qu'il soit plus ajusté au niveau de la taille.  Je recommande cette marque, les vêtements sont de qualité et le prix est très raisonnable !</t>
  </si>
  <si>
    <t>Bien Suivant les conseils des commantaires, j'ai pris 2 tailles au dessus, et c'est trop grand.. je les renvoie. Sinon elles ont l'air bien chaudes pour l'hiver et de très bonne fabrication, du genre inusable. Juste qu'elles sont vraiment très old school, c'est totalement les chaussons de mon grand père.. pourquoi pas, mais j'ai commandé une version plus moderne dans une taille qui m'ira mieux j'espère.</t>
  </si>
  <si>
    <t>Je recommande ce produit Histoires intrigantes et faciles à lire pour les enfants</t>
  </si>
  <si>
    <t>superbe bijoux Je suis vraiment pas déçue par ce petit pendentif, discret et très classe, il change de couleur, j ai déjà plusieurs personnes qui m ont fait des compliments de ce bijoux, n hésitez pas à l acheter.</t>
  </si>
  <si>
    <t>Etui basique mais de bonne qualité L'étui est parfait. Pas de motif, simplement un étui pour y mettre la carte grise.  Il semble de bonne qualité et devrait durer dans le temps</t>
  </si>
  <si>
    <t>tient longtemps pour un ado c'est parfait</t>
  </si>
  <si>
    <t>Pratique Etiquettes faciles d'utilisation et discrétion assurée pour les photos</t>
  </si>
  <si>
    <t>Super son Tres bonne qualité de son pour un prix mini.</t>
  </si>
  <si>
    <t>Très joli Une jolie montre très fine, c’est le cadeau idéal</t>
  </si>
  <si>
    <t>taille comme il faut achetée pour faire de la marche dans les champs et chemins parfaites...</t>
  </si>
  <si>
    <t>Bon produit Bon produit, je les porte régulièrement et pour le moment elles restent en bon état.</t>
  </si>
  <si>
    <t>tres bien ! le pied est bien calé dedans parcontre pour retiré la chaussure il faut bien tiré le lasser de partout pour écarter la languette comme il faut. car une fois les lasser séré le pied de pourra pas sortir de la chaussure.</t>
  </si>
  <si>
    <t>style urbain et classe J'avais eu un énorme coup de coeur pour cette paire de basket au lycée... Plus de 15 ans après, j'ai craqué à nouveau. C'est la première fois de ma vie que j'achète 2 fois la même paire de chaussure. Love it forever !</t>
  </si>
  <si>
    <t>basket nike basket taille petite peut etre defaut fabrication ...</t>
  </si>
  <si>
    <t>Collier casse apres 1 mois Pour un "bijou" made in chine valeur "inventée" de 199.99 € vendu 21,87 € ce n'est même pas sa valeur. Son écrin vaut plus. Déçu déçu déçu. Je vais essayer de le renvoyer sous la garantie de 1 an. Mais inpossible de trouver le lien pour réparation.</t>
  </si>
  <si>
    <t>Très déçu Il est déjà cassé en deux jours !!!  Zéro étoiles !</t>
  </si>
  <si>
    <t>5XL taille très petit surtout les bonnets j'ai commandé en 5XL annoncé taille 54/56 ... mais en fait ils sont au moins une taille en dessous, soit 50/52 pour le tour de poitrine ... quand aux bonnets je dirais que ce sont seulement pour CouD maximum .... dommage car le tissus semblait très agréable et extensible .... mais je vais devoir les retourner car vraiment trop petits pour moi  :-(</t>
  </si>
  <si>
    <t>Très satisfaisant dans l'ensemble Quand on parle musique, les avis sont toujours subjectifs. Je vais tenter d'être précis et factuel.  Version courte : La finition est bonne, le son est correct, c'est une bonne affaire.  Ce casque, dans sa globalité, est un bon casque... La Marshall Touch fait toujours sont effet et fait l'objet de nombreuses remarques positive autour de moi. La finition du casque est léchée mais le matériau plastique mat a un rendu bon marché. Quand à la solidité, seul l'avenir le dira ... Les coussins sont confortable et pas trop douloureux pour les oreilles après une longue session d'écoute.  Niveau qualité sonore, il se défend pas trop mal. Les aiguës et les basses sont bien représentées, les mediums sont un peu en retrait. En Bluetooth aptX ou en filaire le son est bon (sans égalisateur évidemment) pour une personne qui, comme moi, n'a pas l'oreille absolue mais en recherche d'un peu de plaisir auditif sans passer par l'insertion d'un coton-tige. :)  Le câble est in-emmêlable et a vraiment du style. Le bloc en plastique avec le bouton de contrôle et le micro fait trop bon marché toujours à cause du plastique, mais aussi à cause de la séparation trop marquée (les deux parties de plastique ne sont pas scellées mais juste clipsées), quid de l'étanchéité ? En prime le câble est séparé en deux parties dans ce bloc, et chacune de ces parties du câble tourne à 90° à l’intérieur du bloc... je crains une grosse fragilité à ce niveau.  Ce casque associe Bluetooth et filaire, ça a été décisif dans mon choix. Je ne suis pas fan de la technologie Bluetooth mais suis conscient que ça sera bientôt un passage obligé. L'inconvénient du Bluetooth est que le son est mal compressé en particulier pour les appels et les sons de notifications. La batterie tiens bien, les 30 heures d'écoutes semblent jouables en situation réelle.  Le bouton sur le casque fonctionne uniquement en mode Bluetooth, dommage. Il permet de baisser et monter le son et changer de piste, autre défaut: Il ne permet pas d'activer les assistants vocaux (contrairement au bouton sur le câble). Le bouton a du jeu, bof.  Quand au rapport qualité/prix ... je l'ai acheté à 116€ (évidemment il passe à 100€ quelques jours après, hein) et ça reste un bon prix pour un casque, parce que c'est Marshall. En temps normal j'aurais plutôt dépensé 80€ dans la version filaire uniquement, en particulier car le Bluetooth n'est pas une technologie correcte pour l'audio.  En bref : bon casque, bon prix ! Toutefois déception à cause de l'aspect "cheap" du plastique et doutes sur la longévité du casque.</t>
  </si>
  <si>
    <t>Trop petites, j'ai trouvé la seule paire qui taille petit ou quoi ? Elles sont très belles mais je ne comprends pas, elles taillent petit par rapport à ma pointure habituelle.. Je suis obligée de les retourner car elle sont trop petites alors qu habituellement je fais un 41 tout à fait normal. Pourtant vous indiquez qu'elle devrait tailler grand !!!</t>
  </si>
  <si>
    <t>créole un peu grosse jolie</t>
  </si>
  <si>
    <t>Très jolie Parure très jolie, reçue en parfait état, bien emballée. Les bijoux sont bien finis, après dans le temps je ne sais pas si la couleur va rester, mais très sympa.</t>
  </si>
  <si>
    <t>Toujours aussi belles et confortables. Mon fils en porte depuis qq années et aime leur simplicité et leur côté passe partout. Je recommande cet achat pour les jeunes comme pour les adultes</t>
  </si>
  <si>
    <t>Très bien Très bien comme les commentaires le laissaient penser. Mon fils a adoré les accessoires : pochette, oreillettes de rechange, ..... et la présence d'un micro.</t>
  </si>
  <si>
    <t>parfait Très bon rapport qualité prix, parfait!!!</t>
  </si>
  <si>
    <t>Correspond exactement a ce que je voulais Produits etant comme je l'attendais. Manque une ou deux poches exterieures et une séparation interieure. Mais bon, je le savais en l'achetant, le descriptif étant très clair donc, très satisfait!</t>
  </si>
  <si>
    <t>Tout est conforme Produit conforme bonne qualite</t>
  </si>
  <si>
    <t>plus foncer que sur la photo Jai du le laver et le brosser pour une couleur marron plus sympa merci livraison très rapide bonne qualité</t>
  </si>
  <si>
    <t>Petite mais efficace Gain de place garanti. Esthétique sobre.</t>
  </si>
  <si>
    <t>petite et mignonne, parfaite Elle est parfaite pour les petites cuisines comme la mienne, je la trouve super. Elle marche bien, j'en suis très satisfaite. Pour ce petit prix, c'est top !</t>
  </si>
  <si>
    <t>Giesswein met vos pieds aux chauds ! Giesswein met vos pieds aux chauds ! Nous en sommes à notre 2e paires ma femme et moi, c'est vraiment une très bonne marque, qualité et confort au rendez vous.</t>
  </si>
  <si>
    <t>excellent ! très bien, carton assez épais, assez de trous, format adéquat</t>
  </si>
  <si>
    <t>Écouteurs sans fil Agréablement surprise par ses écouteurs de qualité. Très facile d utilisation. Manuel d utilisation en français. Le tactile fonctionne très bien. Appuyer quelques secondes sur l oreillette gauche pour diminuer le son et la droite pour augmenter. La charge est indiquée. Fonctionne sous la douche également. Les oreillettes tiennent bien en place et son de bonne qualité Merci</t>
  </si>
  <si>
    <t>Le top pour le prix Le top pour le prix</t>
  </si>
  <si>
    <t>Bon achat J'ai offert cet appareil pour l'arrivée de ma petite fille les parents en sont très satisfait très pratique a recommander</t>
  </si>
  <si>
    <t>Recommandé parfait. Correspond à notre attente</t>
  </si>
  <si>
    <t>Confortable Hoodie sympa et confortable. Léger et pas très chaud.</t>
  </si>
  <si>
    <t>Qualité Travail</t>
  </si>
  <si>
    <t>baskets magnifique baskets ultra légères, confortables, maintien bien le pied, pointure parfaitement adaptée, bon rapport qualité prix. je recommande ce produit.</t>
  </si>
  <si>
    <t>Pas de marque indiquée Effectivement, comme signalé dans un commentaire, ce tapis n'est pas identique aux photos présentées. Pas de marque tapusen indiquée. On peut dès lors se poser des questions sur la qualité du tapis, son efficacité et sa durée dans le temps. Il vaut mieux le savoir. Quant à son efficacité, je compléterai cet avis plus tard.</t>
  </si>
  <si>
    <t>qualité ????? Bonjour Commander deux fois et deux fois retourné pour défaut, la première fois, défaut de couture et la deuxième fois défaut sur le cuir.</t>
  </si>
  <si>
    <t>satisfaite bon micro son convenable. ce micro  convient très bien pour l usage  d un enfant de 9 ans dans le cadre du jeu</t>
  </si>
  <si>
    <t>coussin de massage Ce coussin est assez pratique pour se faire des massages seul dans le dos, mais attention si vous êtes plein de nœud il peut faire mal et c'est désagréable. Mais dans l'ensemble ça reste pas mal pour se détendre un petit peu</t>
  </si>
  <si>
    <t>la montre semble de bonne qualité ( fiabilité à voir avec le temps) Article livré rapidement la montre semble de bonne qualité ( fiabilité à voir avec le temps)</t>
  </si>
  <si>
    <t>Une lige ayant cassé ma montre j'attendais avec impatience d'en trouver une plaisante au poignée. ce qui fut le cas. Peut-être un plus en mettant la traduction en français</t>
  </si>
  <si>
    <t>Comme sur la photo Simple mais jolie. Taille bien</t>
  </si>
  <si>
    <t>Très bien Ecouteurs au top, ils rentrent bien dans l’oreille et tiennent super bien. Le son est bien, et le contrôle du volume sympa. Par contre pour la fonction kit mains libres certains de mes interlocuteurs me disent qu’ils entendent un fort grésillements quand je les utilise. C’est le seul point négatif pour ma part.</t>
  </si>
  <si>
    <t>CHAUSSURE PLAGE CHAUSSURE AGRÉABLE A PORTER . UN PEU LARGE AU NIVEAU DES ORTEILS ( ELLES FONT PALMES , C'EST DU 2 EN 1, LOL ! )  SINON JOLI MODEL</t>
  </si>
  <si>
    <t>Bien Pour brancher mes enceintes arrières</t>
  </si>
  <si>
    <t>Très beau J’adore</t>
  </si>
  <si>
    <t>bon rapport qualité prix Je me sert de ce fauteuil environ 1 a 2 h par jour il est  très agréable, facile a monter et très bien fini , les coutures sont correctes et des accessoires supplémentaires sont même fournis avec . Il est arrivé dans un emballage soigné, et chaque éléments bien protégé. Reste a voir pour la solidité dans le temps pour l'instant, parfait très bon rapport qualité prix.</t>
  </si>
  <si>
    <t>Idéal pour l’hiver Parfait en hiver, avant ou après la course.</t>
  </si>
  <si>
    <t>Bon rapport qualité prix Simplement génial.</t>
  </si>
  <si>
    <t>confortable stylé identique à la photo je recommande chaussure stylé</t>
  </si>
  <si>
    <t>Bon produit Bon produit conforme à ce que je voulais</t>
  </si>
  <si>
    <t>Maman qui prend soin de bébé Goupillon de très bonne qualité pour l’hygiène des biberons, la couleur anthracite est sympa moderne, je suis entièrement satisfaite de cette qualité de produits qui dure dans le temps. Je recommande</t>
  </si>
  <si>
    <t>Vraiment de luxe Je sens que cette montre va tenir longtemps. Elle  correspond à la description et est aussi belle que sur les images. La finition est parfaite. Elle convient pour une utilisation quotidienne et pour tout type de sortie. Je suis satisfait de mon achat et je la recommande.</t>
  </si>
  <si>
    <t>Impeccable Au faite c est ma femme qui doit l utiliser mais je trouve bien adapté .super  appareil</t>
  </si>
  <si>
    <t>Lacoste Très belle veste idéal pour hiver et printemps Et de très bonne qualité 👍👍</t>
  </si>
  <si>
    <t>Super Je l'ai recommande a tout le monde</t>
  </si>
  <si>
    <t>Super Le micro marche bien et il n’y a pas de saturation</t>
  </si>
  <si>
    <t>c'est Maped très bon produit</t>
  </si>
  <si>
    <t>Passable à ce prix là Je les aient acheté après que mon casque Sony bluetooth ait rendu l'âme. Je me suis dis que des écouteurs seraient plus simple à transporter et à ranger dans mon sac à main (surtout lorsque l'on va en soirée, ça passe niquel dans une pochette). Mais la qualité du son est vraiment passable, parfois ça grésille, même lorsque mon portable est dans ma poche il y a des moments où le son coupe. Sur PC c'est une catastrophe, oui il est vite reconnu mais se déconnecte non stop. A prendre s'il vous faut des écouteurs de secours c'est tout.  EDIT: Ils ont tenus 5 mois seulement, le son c'est coupé du jour au lendemain (le fil n'était même pas abîmé)</t>
  </si>
  <si>
    <t>Point de colle dessus et en enlevant déchiré Produit défectueux</t>
  </si>
  <si>
    <t>Problème avec ce modèle Marque excellente mais curieusement ce modèle fuit !</t>
  </si>
  <si>
    <t>Ne pas s'attendre à du "haut de gamme" Il s'agit simplement de boules massantes recouvertes d'une bande de tissu. Très bel effet visuel, mais au bout d'un certain temps, les pieds suivent le mouvement et il faut les recadrer sur l'appareil.</t>
  </si>
  <si>
    <t>👍🏻 Eau chauffée rapidement, bonne contenance et design esthétique. Petit bémol, le couvercle n’est pas très pratique à ouvrir (à declipser, et butte sur la poignée), mais on s'y habitue Bon rapport qualité prix</t>
  </si>
  <si>
    <t>sons top bon casque, attention à manier avec précaution il est un peu fragile aux charnières donc il lui faut l'étui pour le transport un petit regret un jeu de housse style éponge aurait été parfait pour les oreilles car le plastique c'est chaud !</t>
  </si>
  <si>
    <t>A recommander très joli et bien ajusté, belles couleurs correspond parfaitement à mes attentes. parfait pour la mi-saison. Je conseille ce produit.</t>
  </si>
  <si>
    <t>Montre casio rose Je penSais que la montre etait un peu petit mais bon c’est pas si grave . Elle est belle</t>
  </si>
  <si>
    <t>beau bracelet, bel emballage Beau bracelet de bonne qualité dans un joli emballage.</t>
  </si>
  <si>
    <t>Fonctionne parfaitement Utilisé pour alimenté un raspberry 3B+, ça fonctionne sans soucis.</t>
  </si>
  <si>
    <t>Waouwwww Waoywwww Qu'il est beau ! Conforme au descriptif, les fermetures un peu grippées et le cuir un peu griffé par endroit La couleur orange très fidèle Expédition ultra rapide</t>
  </si>
  <si>
    <t>Les meilleurs que j'ai trouvé pour le moment Son vraiment de très bonne qualité, les écouteurs tiennent très bien en place. La charge est vraiment rapide. Les écouteurs sont vraiment légers on les sent meme pas une fois dans les oreilles. Design et finition soignés. Rien a envier aux airpods ou airbuds. Je recommande</t>
  </si>
  <si>
    <t>Parfait Parfait pour moi, qui ait un problème particulier au niveau des veines des mollets, il me soulage vraiment, même si c'est temporaire pour moi, c'est vraiment bien, l'avantage c'est qu'il s'arrête, puis quelques minutes après on peut recommencer, je n'utilise pas la chaleur, mais surtout je ne regrette pas du tout mon achat</t>
  </si>
  <si>
    <t>fin et élégant Même si son tarif attrayant à également orienté mon choix, je suis surpris par la qualité du produit. Livré rapidement. Je recommande</t>
  </si>
  <si>
    <t>Chaussures super confortables Achetée pour faire du sport, elles sont hyper légères mais agréablement surpris par le confort, très bon rapport qualité prix, elles ne font pas mal aux talon et la chaussure est à la bonne taille.</t>
  </si>
  <si>
    <t>Theière belle, robuste et pratique Belle Theiere simple et pratique. Je m'en sers tous les jours pour faire mon thé.</t>
  </si>
  <si>
    <t>Chaussettes Très bon produit , bonne taille, bonne qualité</t>
  </si>
  <si>
    <t>Basket Super basket, agréable a porter</t>
  </si>
  <si>
    <t>bonne taille et jolie produits chaussure de ville sympas</t>
  </si>
  <si>
    <t>Résistant à l’eau de mer Il s’adapte parfaitement à la forme de mon poignet Résiste à l’eau douce et à l’eau salée Parfait pour moi :) Livraison rapide également</t>
  </si>
  <si>
    <t>parfaite tres belle dommage que l on ne puisse pas programme</t>
  </si>
  <si>
    <t>Parfait pour la rando-trail Top pour la rando-Trail sur circuits de 30-50 km sinon après elles  risquent d’être trop rigides</t>
  </si>
  <si>
    <t>magnifique Rien à dire de plus. Pour le prix c'est donné.</t>
  </si>
  <si>
    <t>Trop dur. Contrairement aux autres produits de cette très bonne marque, ce modèle est un peu dur et peut heurter. Je recommande le modèle avec poignées qui est, en tous points, parfait.</t>
  </si>
  <si>
    <t>defectueux a arreté de fonctionné au bout de 2 semaines..</t>
  </si>
  <si>
    <t>Déçue ! Matière décevante, l’article manque de fluidité, c’est dommage ! J’ai retourné l’article.</t>
  </si>
  <si>
    <t>Pas mal J ai pris une taille m et c est un peu grand surtout au ventre. Du coup ça ne compressé pas trop. Forte odeur même au bout du 2eme lavage. Et côté sudation c est assez limité</t>
  </si>
  <si>
    <t>très jolies Elles sont jolies mais ne tiennent pas bien. j'ai des cheveux long et à chaque fois que je les mets derrière l'oreille la boucle tombe, sinon pour le reste on va pas se plaindre vu le prix...</t>
  </si>
  <si>
    <t>Taille J’ai suivi les commentaires : je fais du 37 j’ai donc commandé du 39/42 (EU) C’est «&amp;nbsp;pile poil&amp;nbsp;». C’est Amazon qui devrait adapter son descriptif car effectivement, sur la boîte reçue, il est bien écrit 37/38... La semelle est effectivement un peu dure, à voir avec le temps.</t>
  </si>
  <si>
    <t>Bien Prendre une demie pointure en dessous Sinon converses nickel</t>
  </si>
  <si>
    <t>Top modèle J'ai acheté ce sac à bandoulière pour remplacer mon ancien sac. J'en cherchais un plus petit et de bonne facture. Ce modèle correspond tout à fait à mon attente.</t>
  </si>
  <si>
    <t>Très bon câble . Très bon câble pour les enceintes ,que j'ai utilisé pour brancher sur ma chaîne hifi . c'est suffisant pour avoir un très bon son . Impeccable . mais livraison avec un jour de retard c'est rare chez Amazon .</t>
  </si>
  <si>
    <t>Génial pour moi. Plus besoin de vous faire du souci, cet aspirateur est très agréable, il est très autonome une fois la programmation terminée, attention aux animaux de compagnie si votre animal n'est pas encore propre, vous risquez d'avoir des soucis de qualité de nettoyage, n'oubliez pas qu'un aspirateur ne ramasse pas les excréments de animal de compagnie.</t>
  </si>
  <si>
    <t>Authentique HP Pour usage professionnel parfait sinon un peu cher par rapport au reconditionné non HP</t>
  </si>
  <si>
    <t>Excellent produit conforme à mes attentes livraison gratuite et rapide Super produit, conforme à mes attentes Je recommande ce produit de très bonne qualité sans aucune hésitation Excellent, pose super facile</t>
  </si>
  <si>
    <t>Agreable Super agréable à porter je recommande</t>
  </si>
  <si>
    <t>Correspond au descriptif Conforme</t>
  </si>
  <si>
    <t>Incroyable rapport qualité/prix Je fus extrêmement surpris de la qualité de ce micro/bras . Conseillé par un proche, il est nickel! Je l'ai fait tombé une ou deux fois mais il la supporté grâce à la qualité des matériaux. Si votre qualité semble mauvaise, vérifiez votre configuration dans votre OS (merci Windows)</t>
  </si>
  <si>
    <t>Super Génial ! Rien à ajouter, j'adore ce casque. Je l'utilise comme un casque de moniteur pour DJ. Par contre, je pense pas que ce sera la meilleure pour juste écouter de la musique.</t>
  </si>
  <si>
    <t>Belle decouverte Excellente découverte je me suis retrouver à me demander comment chauffer biberon sans aller demander dans un restaurant ... Casse tête mais j'ai découvert ce thermos Remplir avec de l'eau bouillante le thermos et le refermé un capuchon qui sert de récipient pour verser l'eau juste à poser biberon ou petit pots dedans et 3 min après c'est chaud Sans électricité totalement nomade</t>
  </si>
  <si>
    <t>Comme l'original Excellent bracelet à l'identique à l'original et beaucoup moins cher !!</t>
  </si>
  <si>
    <t>Excellent rapport qualité prix. Quand on s'est habitué aux nouveaux dosages eau/café, parfait.</t>
  </si>
  <si>
    <t>Conforme à mes attentes Première fois que j'achète du textile sur le web et je ne suis pas déçu A voir dans quelques semaines pour voir si elles tiennent dans le temps</t>
  </si>
  <si>
    <t>pieds très secs dans l'eau ? avant d'acheter , est ce que c'est vraiment les pieds qui sont bien secs dans la mer ou piscine??</t>
  </si>
  <si>
    <t>Bien Pull tel que je l'attendais. Couleur, taille, qualité. Parfais. Pas déçue. Le prix était le côté intéressant qui m'a attiré vers cet achat.</t>
  </si>
  <si>
    <t>Super et hygiénique ❤️ Bonne marque je recommande . Très bon Goupillon avec socle récupérateur d'eau , très hygiénique et design sur le plan de travail. Le goupillon ne traînera plus sur l'égouttoir à vaisselle ou sur l'arbre à biberon en plein air.</t>
  </si>
  <si>
    <t>Noël Kdo petit-enfant</t>
  </si>
  <si>
    <t>tour de cou Uniquement pour le cou : court  ! Made in RPC = made in China !!!! Doute quant aux 100 % naturel ! Pas assez décrit : longueur 45 cm, poids: près  de 650 grs. ... Humidité. ...Personnellement je le trouve pesant sur le cou même  si ça  chauffe bien.....dans l attente d un plus grand, plus nature...</t>
  </si>
  <si>
    <t>Montre avec pile déjà morte Alors produit reçu rapidement , mais la pile et morte , le manuel instruction et en anglais et ne correspond même pas au modèle , vraiment lamentable , très très déçue , une dépense d'argent pour rien</t>
  </si>
  <si>
    <t>Nul a chier ! Nul a chier !!!! Ne commandez pas ce micro. Je l’ai renvoyé directement. Même un micro jouet pour enfant fonctionne mieux. J’ai des enceintes de pro, et il faut gueule dedans pour entendre un petit son !</t>
  </si>
  <si>
    <t>Un peu transparent Un peu transparent</t>
  </si>
  <si>
    <t>Pratique Parfaite pour nettoyer les biberons ! La petite brosse permet de bien nettoyer les tétines jusqu'au bout tandis que la grande est parfaite pour le reste !</t>
  </si>
  <si>
    <t>Attention à la pointure Superbe qualité Mais j'ai du les renvoyer car elles taillent vraiment grandes. Habituellement je mets du 39, j'ai pris 38 et c'était encore trop grand.</t>
  </si>
  <si>
    <t>Cette bouillotte ne manque pas de style vêtue de son petit tricot à col roulé !!! Il s’agit d’une bouillotte que je trouve particulièrement rigolote et sympathique vêtue de son petit tricot à col roulé. Pour le reste, ça reste une bouillotte classique en PVC. Le bouchon la rend parfaitement étanche. Elle mesure 20,5cm sur 31cm. La housse est véritablement tricotée avec ses losanges du plus bel effet. Le vissage (partie femelle) du bouchon est en matière plastique rigide qui remplit parfaitement son office. Le petit trou pratiqué dans le haut du pvc, au dessus du bouchon, est utile pour l’accrocher. Mon épouse, un peu frileuse comme beaucoup, se réjouit de l’avoir à ses pieds. Elle me dit d’ailleurs que le bleu se marie bien avec le gris : la touche finale !!! Mesdames, cette bouillotte convient parfaitement à la mienne donc n’hésitez pas en cas de doute.</t>
  </si>
  <si>
    <t>Très bon produit Excellent produit qui remplit bien son office, particulièrement pratique au bureau. Pas de zone brûlante (visiblement certains acheteurs ont réussi à se brûler avec) puisque le système s'encastre dans la bouilloire. Je ne regrette pas mon achat, je recommande.  PS : Le prix change régulièrement. Je l'ai acheté une première fois à 20 € sur cette page (neuve bien sûr). Une deuxième fois pour ma sœur cette fois à 31.99 €, et la voilà rendu à 58 € ! Je vous conseille vivement de vérifier son prix fabricant sur la toile !</t>
  </si>
  <si>
    <t>Conforme Article livré rapidement. La matière est de qualité, ne colle pas, extensible, doux, léger, conforme à l'annonce. la petite couche de polaire est très sympa pour les jours où il fait froid/vent le top pour une balade en vtt/canivtt en hiver , il garde très bien la température corporelle sans pour autant l'augmenter. Lavage et séchage rapide. J'aurai aimé une fermeture éclaire mais les poches de chaque côté sont assez profonde pour ranger ses clefs ou un smartphone. il mérite bien 5 étoiles pour un produit simple et bonne manufacture.</t>
  </si>
  <si>
    <t>Parfait Que dire d'autre, prix, qualité, rendu... merci</t>
  </si>
  <si>
    <t>Nickel ! Casque rose pâle pliable avec un bon son, cable resistant, ajustable pour agrandir et rétrecir  en fonction de la taille de la tête.</t>
  </si>
  <si>
    <t>Magnifique bracelet Mon bracelet est magnifique. Il est aussi beau que sur le site. La couleur est fidèle à la photo. Je suis ravie</t>
  </si>
  <si>
    <t>Super qualité Tres bonne odeur, très pratique pour mon chèr mari qui ne sais pas doser la lessive</t>
  </si>
  <si>
    <t>Taille juste Très belle veste mais taille un peu juste - prévoir une taille au dessus</t>
  </si>
  <si>
    <t>Au top !!! Livres géniaux pour les débutants Ma fille adore</t>
  </si>
  <si>
    <t>Top J'adore ce produit. Je ne connaissais pas en tablettes, mais je men sert pour laver le linge de mon bébé, les serviettes de toilettes et le résultat est nickel. Par contre la boîte descent vite. Je recommande.</t>
  </si>
  <si>
    <t>Efficace Comme à la description.</t>
  </si>
  <si>
    <t>Une très bonne tenue dans l’oreille, super son Un son énorme ! Je les trouves très confortable, et pratique pour le sport ! Je les utilise principalement pour courir et ceux ci tiennent bien dans l’oreille ! Une très bonne autonomie par ailleurs</t>
  </si>
  <si>
    <t>indispensable pour bebe Voila une tres bonne invention. Le bebes adorent et cela soulage lors des pousses dentaires, on peut mettre un morceau de pain ou de fruit sans le danger de qu'ils avalent un gros morceau, quel soulagement. Je suis assistante maternelle et je trouve cet objet extraordinaire.</t>
  </si>
  <si>
    <t>Un bijoux Très très belle montre de classe. Le verre du cadran change de ton en fonction de la luminosité, faisant passer le cadran du noir au bleu, puis violet jusqu'à l'orange. Cadran très solide qui ne marque pas au choc (ce qui est rare pour être signalé). Très beau bracelet métallique noir. Montre à  recommander et à déguster sans modération. Emballage d'excellente qualité et très robuste. Délais de livraison très respectés (livrée plus tôt que prévu).</t>
  </si>
  <si>
    <t>Bague J adore cette bague elle est magnifique</t>
  </si>
  <si>
    <t>Top Masque agréable et plutôt doux Emballage en verre sympa</t>
  </si>
  <si>
    <t>Top Mes enfants adorent</t>
  </si>
  <si>
    <t>bof La partie où on met l'eau se salie très vite, difficile à vider (l'eau du réceptacle) Sinon ça fonctionne mais la capacité n'est pas folle pour l'étage supérieur :-/</t>
  </si>
  <si>
    <t>Il fuit Le biberon est mignon mais il fuit. La tétine est trop petite pour tenir correctement à moins que l'on visse si fort que difficile à rouvrir. De plus malgré le côté souple de cette tétine, bébé ne reconnait pas celle ci et fais semblant de la téter .  Pas adapté je ne recommande pas ce mini biberon.</t>
  </si>
  <si>
    <t>solide tissu de qualité correcte pour le prix demandé, je le porte très souvent et il tiens encore la route</t>
  </si>
  <si>
    <t>Pas mal... Vendeur rapide, article conforme. Reçues dans une très bel emballage de qualité : On a plaisir à ouvrir et à découvrir le produit. Elles sont de toute petite taille, agréables à porter, je ne les sens quasi pas. Vraiment surprenant ! La réduction de bruit est vraiment bonne, je l'apprécie durant ma pause de midi dans une cantine bruyante : Je peux rester dans ma bulle. C'est très agréable. Le son m'a surpris car de bonne qualité. Pas de coupures intempestives (ça je craignais un peu). Je peux aller à 7/8m autours de mon portable s'il n'y a pas d'obstacle, sinon un peu moins, mais j'ai des murs assez épais. La connexion est rapide et efficace. Je n'ai pas encore essayé l'appli, mais ça ne tardera pas : J'ajouterai un commentaire à ce moment là. Le petit boitier est très compact, il ne prend pas de place et je peux l'emmener partout : c'est génial et en plus il peut recharger les oreillettes, c'est très pratique. Je n'ai pas vérifié le nombre d'heure d'écoute avant recharge, mais je tiens plus d'une semaine à 2 bonnes heures d'écoute/jour. 3 tailles d'embout sont disponibles. 2 bémols : -1 étoile car je trouve le maintien avec les embouts limite, ils ont tendance à glisser, du coup en courant, c'est compliqué... J'aurai aimé des embouts en mousse à mémoire de forme, ça aurait été tellement plus agréable... Je mets de vieux embouts, mais il faut que j'en trouve adaptés car ils me restent dans les oreilles quand je veux les retirer... -1 autre étoile car justement, le boitier est très bien adapté au oreillettes et je ne peux pas mettre mes embouts en mousse dedans... du coup, je suis obligé d'avoir un petit sac zippé avec mes embouts mousse... Pas très pratique... J'aurai préféré un boitier légèrement plus gros, mais dans lequel j'aurai pu adapter d'autres embouts de mon choix. Voilà ! Bon article tout de même...</t>
  </si>
  <si>
    <t>Produit honnête pour son prix. Produit conforme à sa description; attention cependant, le volume n'est pas réglable. Les écouteurs tiennent bien dans l'oreille et sont assez discrets.  Une equa sera obligatoire, car le son de base est très axé sur les basses, qui couvrent un peu tout l'ensemble.</t>
  </si>
  <si>
    <t>basket confortable Je l'ai acheté à ma pointure et ça me va très bien, je suis très à l'aise dedans depuis le premier essai. pour danser toute la nuit à mon mariage, ce sera parfait ( je les mets de temps en temps pour m'y habituer, mais ce n'est pas nécessaire car aucune douleur en les portant)</t>
  </si>
  <si>
    <t>satisfait bon achat</t>
  </si>
  <si>
    <t>Bien pour le prix. Pour ce prix rien à dire, il y a même une petite boîte de rangement. Pour la portée c'est médiocre, ç&amp;amp;a fait penser aux vieux périphériques bluetooth dont la portée très limité gâche le côté pratique.</t>
  </si>
  <si>
    <t>Bien-être fragance lavande Pour les courbatures ça soulage et ça décontracte les muscles</t>
  </si>
  <si>
    <t>Bon achat Produit arrivé dans les temps. Très bonne qualité. La première utilisation a généré des sensations mitigées mais c'est une réaction possible. Après plusieurs séance (à la plus faible intensité), les bienfaits se font immédiatement sentir. Vraiment efficace pour les jambes lourdes et les difficultés circulatoire. Un must have bien qu'il faille mettre le prix. La mobilité de ce dernier modèle en facilite d'autant plus l'utilisation fréquente (quasi quotidienne).</t>
  </si>
  <si>
    <t>Chaussures toile Magnifiques comme sur la photo et taille bien</t>
  </si>
  <si>
    <t>Excellent comme sur les photo Je suis vraiment satisfait du produit</t>
  </si>
  <si>
    <t>Ca absorbe très bien les odeurs ! Excellent produit qui absorbe bien l’humidité. Je l’utilise a cote de mes poubelles et dans l’armoire à chaussure et ca marche pour de bon ! Je recommande</t>
  </si>
  <si>
    <t>Quel plaisir ! Offert à l'occasion d'un anniversaire. Cadeau fortement apprécié !</t>
  </si>
  <si>
    <t>Impeccable Parfait</t>
  </si>
  <si>
    <t>Très contente de ce produit Je suis ravie par ce produit. Il es d'une bonne qualité, le tissus est agréable au toucher et résistant. Les coutures sont propres. Trois compartiments à lavant du sac un en bouton pression deux en zip. Intérieur poche principal + 2 compartiments pour ranger par exemple son téléphone et un zip aussi. Arrière une poche zip. Le tout en bandoulière. Super achat je recommande sa taille est parfaite pour mettre porte feuille téléphone clef etc :)</t>
  </si>
  <si>
    <t>Super. A acheter ! Très pratique</t>
  </si>
  <si>
    <t>PARFAITT BELLS MONTRES ! BELLES QUALITE ! PARFAIT MERCI !!!</t>
  </si>
  <si>
    <t>Produit conforme L'utilisation principale que j'en ai est d'écouter la musique dans les transport en commun. Le son est correct, ni parfait ni mauvais, pour le prix acceptable.</t>
  </si>
  <si>
    <t>Conforme Produit nickel comme.convenu . Attention pas de francais dans la.notice mais bon pas grave dans mon cas .</t>
  </si>
  <si>
    <t>Je recommande vivement Je l ai essayé dès réception, c est fantastique et très marrant pour le karaoké.mes petits enfants vont s éclater.</t>
  </si>
  <si>
    <t>Très confortable ! Très contente de mon achat très beau, de bonne qualité, tissu doux et confortable, pas du tout transparent, il épouse bien la silhouette et les motifs sont extras. Je le mets pour faire du sport en salle et c'est parfait ! Il ne bouge pas et très confortable comparer à un legging basique. Je recommande ce produit !</t>
  </si>
  <si>
    <t>Decu.. Prendre une taille  en dessus...trop grand</t>
  </si>
  <si>
    <t>mauvais Désole, mais tout simplement mauvaise, il n'est pas confortable à en avoir mal aux oreilles. De plus, moi qui ne voulais pas déranger tout le monde. On m'entent le son dans la pièce d'a coté un comble pour un casque qui marche mieux que des enceintes.</t>
  </si>
  <si>
    <t>A déconseiller Pour un usage personnel et quotidien. Très déçu car endommagée dans l'eau (hors service) alors qu'elle était supposée waterproof jusque 30m</t>
  </si>
  <si>
    <t>Qualité Bon produit conforme à mes attentes</t>
  </si>
  <si>
    <t>Moyen Je les ai acheter pour mon fils et déjà troué le 1er jour😕😕 pas très solide</t>
  </si>
  <si>
    <t>Idéal mais fragile pour ne pas dire quincaille Pour la seconde au lycée plutôt bien mais paraît fragile j'ai préféré à la casio Identique à la photo</t>
  </si>
  <si>
    <t>bon produit rapport qualité prix confortables. solides, portées tous les jours depuis 4 mois. reçues dans les temps . bon produit rapport qualité prix. je conceil</t>
  </si>
  <si>
    <t>Je recommande Je recherchais une bouilloire avec température réglable . C'est le cas. En plus elle est isotherme , donc le maintien au chaud est présent . Les points faibles: le couvercle qu'on doit enlever pour le remplissage, et le niveau visible seulement à l'intérieur , pas très pratique ! J'ai profité d'une vente flash , donc prix imbattable !</t>
  </si>
  <si>
    <t>RAPPORT QUALITER PRIX NIKEL MONTRE RECU 2 JOURS APRES COMMANDE. MONTRE CORRECTE POUR UN PRIX BAS JE CONSEIL POUR EVITER D'ACHETER LA MARQUE. JE CONSEIL, A VOIR DANS LA DURé</t>
  </si>
  <si>
    <t>Clapets manquant pour secouer... NUK est une super marque fabricant de supers biberons. Cette nouvelle version est une amélioration cependant il manque les clapets qui permettaient de secouer la contenance du biberon sans boucher la tétine.</t>
  </si>
  <si>
    <t>Jolies chaussures sportives compensées Jolies chaussures sportives compensées, et conforme à sa description. Elle taille normalement, donc pas besoin de prendre une taille de plus.</t>
  </si>
  <si>
    <t>film  alimentaire Très pratique, facile à découper grâce au curseur, film résistant.</t>
  </si>
  <si>
    <t>Parfait Toujours aussi agréable à porter, belle couleur, ma fille l'appelle le "bleu Tardis" ( pour les fans de la série Dr Who)!</t>
  </si>
  <si>
    <t>Rien à dire. J'ai reçu ce câble il y a deux semaines et je l'utilise tous les jours pour mon usage personnel (enregistrement avec un micro). Aucun problème, le câble fait très bien son travail, comme... un simple câble. Une qualité de finition très bonne, avec une bonne impression de robustesse et de solidité (branchement en aluminium ?). Le câble en lui - même à l'air robuste, celui - ci ayant une certaine épaisseur.  Un très bon rapport qualité / prix, un câble d'une très bonne qualité.</t>
  </si>
  <si>
    <t>Tres bon détachant. Détache très bien les tâches les aureoles sur siege ciel de toit textiles . Produit efficace. A utiliser avec une microfibre pour recuperer la tache</t>
  </si>
  <si>
    <t>Objet fonctionnel et decoratif Très joli, fonctionne très bien et la réserve de 400ml est très intéressante. On peut mettre les leds en route pour donner un effet la nuit. La programmation permet de le laisser en route sans surveillance sur une durée spécifique.</t>
  </si>
  <si>
    <t>Lot de 100 sachets Zip Plastique 6x8 cm - 60x80 mm pour faire des paquets pour vendre sur une brocante</t>
  </si>
  <si>
    <t>Fait pour le sport Excellent soutien gorge pour le sport. Très confortable. Excellent maintien et belle poitrine. Je suis étonnée de le trouver à ce prix là.  Bonne surprise.</t>
  </si>
  <si>
    <t>J'adore cela Non seulement ils disposent d'un microphone intégré et de commandes de volume, et ils apportent une excellente qualité et une qualité de son étendue tout en atténuant les bruits. La petite patte en silicone interne est un réel avantage pour garder les écouteurs en place même lors des séances de sport.</t>
  </si>
  <si>
    <t>Très bon produit. Très bon produit.</t>
  </si>
  <si>
    <t>super Très beau produit, je suis très contente Matière apparente: très belle.  Vitesse de combustion de l'eau: très rapide.  Isolation Température: La fonction d'isolation est très bonne.  Nettoyage: facile à nettoyer. Le verre clair a l'air propre.</t>
  </si>
  <si>
    <t>conforme rapide</t>
  </si>
  <si>
    <t>Parfait Je suis ravie de l'avoir sa fait quelque année que je lais acheter et j'en suis toujours autant ravie. Parfait pour les douleurs aussi bien dorsal que pour les crampe. Facile d'entretien et conforme à mes attente.</t>
  </si>
  <si>
    <t>Satisfait Hello,  J'ai reçu le câble dans les temps. Le produit est comme décrit.  Après un temps d'utilisation, je peux dire que la qualité est correcte et située dans le moyen / haut du panier.  Certes l'esthétisme n'est pas au rdv mais ce n'est pas pour cette raison que je j'ai acheté ce câble. De plus, il y a plusieurs façons de l'intégrer dans vos intérieurs, qu'il soit caché ou bien en vue si vous aimez un certain style steampunk.  Ce qui m'intéressait c'était surtout la transmission du signal de l'ampli aux enceintes ainsi que le gain. De ce côté là rien à redire, c'est du cuivre classique mais du bon. Pour avoir mieux il faudrait que le câble ne soit pas en cuivre mais en or, mais le prix ne serait plus le même ;-)  Par contre, là où vous pourrez améliorer un peu la qualité de la transmission, ce sera en installant des plugs plaqués or 18k aux extrémités, on en trouve de qualité à des prix raisonnables sur tous types de sites de sono y compris sur Amazon.  Voilà. Donc je recommande ce produit, ce vendeur et Amazon.  Si vous lisez cette évaluation merci de cocher si elle vous a été utile  Cordialement  Isidore</t>
  </si>
  <si>
    <t>Conforme à la description. Bonjour,  Ce diffuseur fait bien son boulot.  Il est joli, pratique et facile d'utilisation. sa led est un plus qui le rend encore plus sympathique dans le noir  Je recommande</t>
  </si>
  <si>
    <t>Pas la bonne taille J'ai commandé un pull en S et j'ai reçu un M  Mais livraison rapide et la qualité à l'air d'être bonne et bien emballé</t>
  </si>
  <si>
    <t>Totalement inutilisable Ce chauffe biberon ne chauffe absolument pas. Même en laissant le biberon très longtemps - 1/2 heure minimum - le lait n'est toujours pas tiède. Ne parlons pas de chauffer un petit pot, c'est "mission impossible". Je ne comprends pas que Philips puisse mettre sur le marché un appareil qui ne fonctionne pas. Pour info nous avons fait l'échange du premier que nous pensions défectueux, mais même résultat avec le deuxième.</t>
  </si>
  <si>
    <t>Format à revoir en fait d'être extra larges ces lingettes sont des mouchoirs de poche et ne peuvent être utilisées que pour des petites surfaces ou en grand nombre</t>
  </si>
  <si>
    <t>ecran fragile. Une montre facile à utiliser , il est tout de même regrettable que le verre de la montre soit aussi fragile pour un modèle Outlook.</t>
  </si>
  <si>
    <t>bien bien mais sans plus, adidas n'est plus ce qu'il était quand j'été jeune!!! dommage! cela mérite un pleu plus de qualité venant d'eux mais bon de nos jours</t>
  </si>
  <si>
    <t>Chaussure sécurité femme basket Un produit de qualité, pas trop.lourde, juste un petit peu grand, mais avec une bonne.semelle gel c est juste impeccable</t>
  </si>
  <si>
    <t>Combien de temps dure la chaleur Je l ai acheté pour ma maman qui a toujours froid aux pieds</t>
  </si>
  <si>
    <t>Belle montre C'est une belle montre massive, en inox avec le mécanisme japonais. Une seule chose, je ne suis pas convaincu par la fermeture du bracelet. Si non pas de regret, prêt à acheter une autre !</t>
  </si>
  <si>
    <t>Conforme Fonctionne parfaitement comme prévu. Solide &amp;amp; fiable.</t>
  </si>
  <si>
    <t>Satisfait Écouteur très simple d'utilisation, avec une tenue aux niveaux des oreilles très confortable. Le son est de très bonne qualité. Leur boitier est compact et assez joli. Ce qui permet de les ranger facilement et de les poser partout.</t>
  </si>
  <si>
    <t>Un sac à dos pratique et élégant Agréablement surprise par ce sac à dos qui allie esthétique et praticité. Les différentes poches sont vraiment pratiques pour séparer les affaires, le dos est bien rembourré et la forme originale ! Je ne regrette absolument pas.</t>
  </si>
  <si>
    <t>Ravi Commande reçue ce matin je suis très satisfaite les bijoux sont juste sublime et ma fille est plus que ravi.</t>
  </si>
  <si>
    <t>le confort Belles chaussure et hyper confortables  quand je fais mon jogging.  Je les recommande vivement.</t>
  </si>
  <si>
    <t>Excellent casque, rapport qualité prix imbattable Ne pas se soucier de l'impédance élevée, le casque fonctionne parfaitement sans ampli (testé sur Galaxy S8+, prise jack chaine Hi-Fi, ou téléviseur) avec un rendu exceptionnel</t>
  </si>
  <si>
    <t>Bouilloire design parfait Correspond bien aux produits Boch. Correspond à mes attentes. Bel effet design classique et classieux.</t>
  </si>
  <si>
    <t>Satisfaite Très bon produit Je les tester et je ne changerais pas ma vaisselle  ressort très propre Je suis très satisfaite</t>
  </si>
  <si>
    <t>Très bien Parfait et tient chaud, je n'ai pas vérifié l'étanchéité</t>
  </si>
  <si>
    <t>superbes ! Encore mieux que ce que j'espérais. Cadeau réussi.</t>
  </si>
  <si>
    <t>Très pratique Très pratique lorsqu'on est à l'extérieur. J'en ai acheté 2 au cas ou je sors tte une journée. Ça évite de prendre la boîte qui elle est encombrante.</t>
  </si>
  <si>
    <t>L'original Bonne qualité,ce qui est normal vu la marque et le prix</t>
  </si>
  <si>
    <t>Branchements audio Produit conforme à la description Vraiment content d’avoir acheter se produit C’est top top top Sa marche bien sur mes enceinte monitoring... Brancher sur une boîte à rythme... Vraiment bien pense</t>
  </si>
  <si>
    <t>Bague Super pour ado</t>
  </si>
  <si>
    <t>Item comme prévu Item comme prévu</t>
  </si>
  <si>
    <t>Neutre c'est neutre ! J'ai lu attentivement les évaluations sur différents sites et j'ai finalement opté pour ce casque du fait des nombreuses qualités énoncés. Pas de problème sur le casque en lui même qui est très agréable à porter. Par contre concernant l'écoute sur différents morceaux de référence (Gun's, dire strait, adele, BO de film) avec de bons échantillonnages ( CD, MP3 à 320 kps, ...) j'ai cru que j'allais m'endormir. Pas de basses et aucun relief, même en utilisant l'equalizer dans les derniers retranchements. Ok il faut du rôdage, mais là ! une telle neutralité c'est à pleurer ! Donc retour chez amazon.</t>
  </si>
  <si>
    <t>Produit défectueux A la première utilisation, j’ai pu constater que la bouilloire fuyait</t>
  </si>
  <si>
    <t>Pb de taille Renvoyée car trop petites, pourtant j'ai pris ma taille...</t>
  </si>
  <si>
    <t>Taille très petit attention ! Pas mal pour le prix, mais attention ça taille très petit  ! la taille L équivaut à un bon S français, ne vous laissez pas avoir par le mot "oversize" , sinon top à voir après le premier lavage par contre.......</t>
  </si>
  <si>
    <t>Bien mais... Je conseille énormément ce micro,il capte bien les bruits de près ou de loin mais il faut acheter une alimentation fantôme 20€ neewer une carte son externe ne suffit pas j'ai essayer... Vous aurez un bruit de fond horrible, donc bien mais avec une alimentation fantôme.</t>
  </si>
  <si>
    <t>Qualité prix Rapport qualité prix au top. Surtout pour la quantité qu il y a puis aussi du faite que ce soit de la lavande vraie. Idéal pour les poux en prevention. Attention a bien diluer. Cest d ailleurs stipulé dans le mode d'emploi.  Pour ma fille je le dilue dans le shampoing ou dans l huile de noyau d abricot avec le peigne. Ce dernier si il y a des poux vu dans les cheveux.  Je recommande</t>
  </si>
  <si>
    <t>Une réduction de bruit bluffante Casque confortable tout en restant discret, le son est un peu "plat" avec le casque éteins. Le niveau de réduction de bruits est paramétrable via l'application Bose Music (de 0 à 10) avec 3 favoris enregistrables. La connexion bluetooth reste de qualité malgré les quelques mètres me séparant de mon téléphone</t>
  </si>
  <si>
    <t>Tres bien Excellente basket avec un style unique mais trop grande (mais je le savais qu'elle le serai). C'était juste pour les essayer !</t>
  </si>
  <si>
    <t>Bon design bon produit J'ai testé les écouteurs et les ai adoptés. Ils sont tout simplement super pratiques. Le chargement est simple, nous mettons les écouteurs dans la boîte (ils sont très appropriés) et les stockons. Le voyant indique la fin de la charge. De plus, il est très léger à porter et confortable à porter. Le résultat est parfait.</t>
  </si>
  <si>
    <t>ça marche ça masse et ça détend, c'est ce que je recherchais</t>
  </si>
  <si>
    <t>Il est trop bien Ça prend tout l'orreil et on entend pas les gens parlé</t>
  </si>
  <si>
    <t>Belle histoire et magnifiques illustrations Magnifiques illustrations et très belle histoire ! Je ai acheté cet album pour  ma fille de trois ans qui l’adore.</t>
  </si>
  <si>
    <t>Confort Promenade avec ces chaussures sur golf bord de mer - très confortable et agréable à porter</t>
  </si>
  <si>
    <t>ensemble de nuit Joli ensemble mais un peu transparent</t>
  </si>
  <si>
    <t>parfaites rien a dire trés confortable</t>
  </si>
  <si>
    <t>Stable J'ai commandé ce trépied pour mon bird um1 car non seulement j'ai besoin d'un support de micro mobile qui se met dans un sac à dos mais les bras articulés ne m'inspiraient pas du tout. J'avais hésité à acheter ce trépied à cause des commentaires indiquant une stabilité médiocre. Et bien il est très très stable ! Je pense que les utilisateurs n'ont pas su régler les pieds. Il suffit de les écarter comme il faut et de verrouiller leur position grâce à la molette de serrage très ingénieuse. Croyez-moi, si vous cherchez un dispositif de bureau simple, mobile et efficace, il sera parfait.</t>
  </si>
  <si>
    <t>Efficace Produit très efficace, rend la brillance à vos bijoux en argent même un peu ancien. Utile et pratique, dure longtemps</t>
  </si>
  <si>
    <t>très belle montre j'avais envie de m'offrir une belle montre a un prix raisonnable, voila qui est fait  !!  bracelet cuir de très bonne qualité et robuste , le look de la montre est pareil a la photo et satisfait amplement mes attentes toute les aiguilles tournent notice en français  présenter dans sa jolie petite boite  je ne connaissais pas cette marque de montre , je recommande a tous ceux qui veule s’offrir ou offrir une belle montre</t>
  </si>
  <si>
    <t>Vraiment top rapport qualité/prix !!! Il taille très bien aucun problème de ce côté là, j'ai commandé 1 bonnet au dessus mais finalement j'aurais du prendre ma taille habituelle ! Je vais donc devoir le retourner pour le reprendre dans la bonne taille. Il maintient vraiment très bien, il fait une très jolie poitrine bien galbée et bien ronde. Il est un peu difficile à enfiler et retirer car effectivement le dos n'est pas "classique", mais il suffit d'un peu de patience. Il vaut vraiment le coup car très agréable. Bonnets moulés semi-rigides ce que j'apprécie particulièrement. Bref ce soutien-gorges sport est un vrai coup de coeur et c'est rare car je suis très difficile. Je le conseille à 100%</t>
  </si>
  <si>
    <t>Très satisfait !! Je viens de l’acquérir et mes premières expériences sont très satisfaisantes, bonne Qualité de sons , bonne Qualité de matériaux, Le casque est super confortable y compris pour les porteurs de lunettes ( le casque n’appuie pas du tout sur les branches ), la charge tient dans le temps . Globalement je suis très satisfait de mon nouveau casque sans fil , je l’ai installé sur son support Turtle Beach !! Il le mérite bien;-)</t>
  </si>
  <si>
    <t>Bonne basket Très bien et moins cher que dans un magasin</t>
  </si>
  <si>
    <t>Trouvez chaussettes à son pied ENCHANTÉ</t>
  </si>
  <si>
    <t>Bonnes tétines Très utiles voire indispensables pour la blédine</t>
  </si>
  <si>
    <t>Tailles Europe juste parfait Confortables</t>
  </si>
  <si>
    <t>mauvaise qualité Pantalon  déjà abîmé après 3 passages à la machine. La couture à l'arrière est tout effilochée.</t>
  </si>
  <si>
    <t>Très très grands Les bracelets sont vraiment très grands, ils ne me vont pas du tout. Convient pour les très gros poignets mais pas pour les poignets fins ou normaux.</t>
  </si>
  <si>
    <t>doc martens au début de l'usage rien a dire. Cependant elles sont abimées a l'extérieur et a l'interieur et aujourd'hui impossible de les portées un peu déçu</t>
  </si>
  <si>
    <t>Belles chaussures.. mais pas mixtes! Une très jolie paire de chaussures, mais pas du tout adaptée au pied d'un homme ( beaucoup trop fines au niveau des doigts de pieds, et pourtant j'ai le pied fin). De plus l'odeur chimique de fraise tagada n'est pas forcément désagréable mais.. vraiment loin d'être masculine ( oui ça se sent de loin!). Bref je les ai vendues à une amie qui les aimait bien! Niveau qualité rien à redire, un très bon rapport qualité/prix.  Bref, NE CONVIENS PAS POUR UN HOMME.</t>
  </si>
  <si>
    <t>simple mais pratque Fait son boulot et permet le transport des repas  à bonne température du domicile jusqu'à la crèche, sans briser la chaîne du froid. Nous l'utilisons aussi pour garder l'eau au frais lorsque nous partons pour la journée. Cela dit, une journée c'est long pour garder la fraîcheur, mais ça c'est du bon sens! Je reprocherais simplement l'absence d'attache pour éventuellement pouvoir l'accrocher à un sac à dos ou au sac à langer.</t>
  </si>
  <si>
    <t>Bien Taille un peu grand mais très confortable Très class A voir la tenu a l usure</t>
  </si>
  <si>
    <t>Satisfait J’ai tout aimé</t>
  </si>
  <si>
    <t>montre ou bracelet ? Cela fait la quatrième montre que j’achète car son grand défaut réside dans son bracelet qui se casse au bout d'un an. Compte tenu du prix j'ai trouvé plus avantageux de racheter une montre car c'est moins chère qu'un nouveau bracelet. La montre est discrète, fiable,pile inusable, et j'aime bien le réveil integré</t>
  </si>
  <si>
    <t>Vêtements Tres bien</t>
  </si>
  <si>
    <t>Un vraie soulagement au niveau articulaire Bonjour, j'utilise cette pommade depuis deux semaines et je remarque un mieux pour mes articulations,moins de douleur et plus de souplesse .</t>
  </si>
  <si>
    <t>Good Parfait je recommande</t>
  </si>
  <si>
    <t>chaussures de pros ! Bonjour, excellent ,parfait qualité irréprochable. en plus elles sont confortables.</t>
  </si>
  <si>
    <t>Super micro pour s'amuser en famille J'ai acheté ce micro pour jouer avec mes filles : on adore chanter sur de la musique : look super sympa, tient bien dans la main En plus il est très facile à utiliser, bon son, idéal pour se faire un petit karaoké a la maison</t>
  </si>
  <si>
    <t>Parfait pour l'été Le tableau des tailles est très bien fait. Robe légère qui sera parfaite pour la fête d'anniversaire de mon fils sur le thème marin, et que je pourrais remettre à d'autres occasion. J'y rajouterai peut-être une ceinture large pour souligner encore plus la taille. Tissus de qualité et finitions bien faites</t>
  </si>
  <si>
    <t>Jogging Pour un soutien optimal ne cherchez plus ! Super soutien gorge ! Je cours trois fois par semaine  et franchement  ca donne des ailes !! Confort parfait !</t>
  </si>
  <si>
    <t>Très bonne qualité très pratique Utilisation professionnel je. Prend pas du tout soin et il tiens le coup</t>
  </si>
  <si>
    <t>Produit attendu Livraison plus que rapide, de bonne qualite Et surtout pas de contrefaçon, ce qui était ma crainte. Taille juste cependant, mon fils fait 1,85m, est assez mince mais grand buste grand bras, j’aurai presque dû prendre une taille L. C’est bien une veste de demi-saison, ou alors prendre une taille au dessus pour mettre un gros pull dessous.</t>
  </si>
  <si>
    <t>Belle invention!!! Excellente. Mon bebe goute a beaucoup de fruit grace a cette tetine.</t>
  </si>
  <si>
    <t>utilité du produit bon chaussant, confortable et silencieux sur le carrelage; Attention au début de l'utilisation, le feutre de la semelle peut être glissant. Une affaire de quelques jours.</t>
  </si>
  <si>
    <t>belle ligne, belle couleurs, belles finitions Achat fait pour mon fils, chaussures de ville</t>
  </si>
  <si>
    <t>Sac utile Un sac à usage quotidien</t>
  </si>
  <si>
    <t>Fonctionne en USB Très bon chronographe. Cependant j'ai eu du mal à le faire fonctionner via la prise audio de mon smartphone. heureusement il communique très bien via le port USB avec un adaptateur "on the go" connecté à mon téléphone sur la prise de rechargement ou de connexion PC. Aucun problème concernant le retour des valeurs de tir. L'application Caldwell est disponible sur google play et permet la récupération des séances via l'email avec un format Excel. Il faut s'équiper d'un câble USB d'au moins 3 mêtres et d'un adaptateur On The Go et tout va bien.</t>
  </si>
  <si>
    <t>SANS REGRET~~~````$%! "Je suis absolument bluffée de la qualité de ce kit karaoké. Il est arrivé rapidement et est de qualité de professionnelle! La qualité de son est géniale et les règlements sont faciles à faire. J'adore tellement que je ne sais pas quoi dire d'autre. On peut le connecter à plusieurs choses (télé, ordi etc) On peut brancher un ou plusieurs micro. Je suis vraiment satisfaite et je recommande$!&amp;amp;!&amp;amp;#</t>
  </si>
  <si>
    <t>Couverture chauffante très bien mais boîtier défaillant Très déçue de la qualité du boîtier. En effet la couette en elle même est très bien cependant après un mois d’achat le boîtier pour choisir la température est déjà mort... décevant au prix de la couverture.</t>
  </si>
  <si>
    <t>Une catastrophe! Une catastrophe, un vrai sac! Immense et aucune coupe, pas de tenue. Mais  où est le vrai fruit of the loom</t>
  </si>
  <si>
    <t>Nuls Nul</t>
  </si>
  <si>
    <t>Bon produit Très jolie ensemble mais des trois se forment assez rapidement entre le tissus et l'élastique du bas, taille assez petit pour le haut par rapport au bas.</t>
  </si>
  <si>
    <t>Très bien mais HS au bout de 3 mois :-( Bouilloire très belle et pratique avec son programmateur. En revanche je ne sais pas si c’est la faute à pas de chance, mais au bout de 3 mois elle est HS. Service client Amazon toujours nickel qui l’a remboursée.</t>
  </si>
  <si>
    <t>Bien Livraison rapide. En fait c'est un rouleau et on découpe en fonction de ses besoins. Le petit cordon sur le côté est très pratique. Aucune fuite tout reste bien fermé</t>
  </si>
  <si>
    <t>tres beau bonne qualite tres contente</t>
  </si>
  <si>
    <t>dificile !!! oui! on ne sait pas comment faire pour l(ouvrir !!! mai c'est parfait, elle est tès fine et jolie c'est ce que j'attendais</t>
  </si>
  <si>
    <t>Galaxie Ajourée J'ai longtemps hésité entre acheter des vrais charms Pandora pour mon bracelet, ou de copies beaucoup plus abordables... Une amie possède le vrai charm Pandora, nous avons donc pu constater les différences: - le charm "Changeable" est plus foncé (tire sur le gris foncé). Sa couleur tranche avec mon bracelet quasi neuf (gris clair). - les strass sont plus gros : du coup les crochets pour les tenir sont plus petits = moins d'argent - le "trou" du charm Pandora est plus étroit et plus resserré (plus de matière). - le Pandora est "argent massif" tandis que le Changeable est en "argent sterling". Est-ce la même chose ? Visuellement ça n'a pas l'air Au niveau du diamètre, c'est pareil. Je joins deux photos pour illustrer mon propos. Je précise que le Pandora de la photo a 2 ans et le Changeable est neuf. Au final, la différence de prix est tout de même intéressante (17 euros contre 49 euros). Livré avec une petite boite en plastique transparent + pochette en carton à assembler + ruban + pochette en velours. Aucun certificat de garantie. A voir dans le temps s'il vieillit bien et si les strass tiennent.</t>
  </si>
  <si>
    <t>Bon article Bottines très chaude et confortable semelle anti dérapante . Couleur bleue très jolie avec petite fourrure noir vraiment élégante Prendre la taille au dessus bon rapport qualité prix</t>
  </si>
  <si>
    <t>très très bien rien à dire très très bien, rien à dire , allez y les yeux fermés, pour acheter cet article, parfait pour les Isticks eleaf pico,  petits ou grands,bonne tenue dans le temps, 3 semaines de tranquilité, avant de changer la resistance</t>
  </si>
  <si>
    <t>Très bon produit Conforme à la description et taille nickel.</t>
  </si>
  <si>
    <t>Produit au top Produits de qualité qui fonctionne très bien les oreillettes sont légèrement aimantées au boîtier comme ça on est sûr qu'elles sont bien positionner pour le chargement, on voit tout de suite avec les voyants si elles sont chargées mon mari a tellement adoré qui me les a déjà piqué :) il y a également deux possibilités de chargement ce qui est juste super. Merci</t>
  </si>
  <si>
    <t>Qualité Ravie de  mon achat , de qualité  . Cela va faire un heureux</t>
  </si>
  <si>
    <t>Parfait ! Acheté comme cadeau d’anniversaire d'une proche, elle en est très satisfaite.  Les + : Bonne qualité. Collier fourni. Produit identique au visuel.  Les - : Aucun.  Conclusion: Achetez le si vous souhaiter faire un petit geste, le produit conviendra à toute relation (familiale, amicale bien que cela puisse paraître suspect, ou encore amoureuse).</t>
  </si>
  <si>
    <t>montre rvlf etat impecable super fonctionnelle</t>
  </si>
  <si>
    <t>Beau top de sport pour l'automne Un tee shirt de sport avec un look très sympa!  Ce top est fin, près du corps, col serré (mais pas col roulé) . Il est adapté pour l'automne ou l'hiver, je pense.: car il fait trop chaud pour que je puisse le mettre en ce moment ! Le top est très près du corps,mais suffisamment long.  Habituée à mettre du 36, le 38 me va parfaitement, donc à vous de voir s'il ne faut pas choisir une taille au dessus.</t>
  </si>
  <si>
    <t>Jolies Chaussures jolies et confortables Livraison dans les temps</t>
  </si>
  <si>
    <t>A conseiller absolument Grille vite et bien, plutôt joli et bien fini malgré son poids faible (plastique). Remplace un grille pain de marque payé 3 fois plus cher et qui demandait 5 minutes pour griller 4 tartines</t>
  </si>
  <si>
    <t>Huiles essentielles Correspond tout à fait à la description, bonne odeur et bon rapport qualité prix.</t>
  </si>
  <si>
    <t>Très bien! Très bonne qualité de tétines!</t>
  </si>
  <si>
    <t>Idée kdo Kdo pour un anniversaire qui a plu</t>
  </si>
  <si>
    <t>Excellente ! Pour un prix très raisonnable, j'ai reçu cette cellule montée sur son support, même pas besoin d'utiliser l'ancien.J'ai pu ré écouté mes vieux vinyles (plus de 40 ans...). Je lui trouve une très bonne définition et j'ai été surpris d'avoir à l'écoute si peu de craquements, voire pas du tout suivant l'état du disque, et une excellente dynamique. Je recommande !</t>
  </si>
  <si>
    <t>tres belle Je suis enchantée de ma bague elle est juste comme je l'imaginé beau volume pouvoir la régler a son doigt est un plus .</t>
  </si>
  <si>
    <t>Trop fragile Se casse très rapidement  c est bien dommage</t>
  </si>
  <si>
    <t>Pas compatible Bose Soundlike 3 Le chargeur n'est pas compatible malheureusement donc ca ne fonctionne pas pour ce produit Bose. Je ne recommande donc pas</t>
  </si>
  <si>
    <t>Nul Ne colle pas</t>
  </si>
  <si>
    <t>Pas utile Je peux pas le utilisé..</t>
  </si>
  <si>
    <t>bon produit franchement pour le prix, il ne faut pas s'en priver. Lumière agréable, bruit correct en chauffe. A voir dans le temps. Je recommande</t>
  </si>
  <si>
    <t>Light and elegant Very light and elegant, easy to use and to adjust the alarms and time. The date setting doesn't have a year, so I guess that monthly check of the date is needed.</t>
  </si>
  <si>
    <t>solides mais taillent petit je les porte maintenant depuis plusieurs mois sans soucis . Il sont chauds et les semelles sont épaisses. Par contre prévoyez une pointure de plus, ils taillent petit</t>
  </si>
  <si>
    <t>agreable, résistant les pinceaux sont agréable a tenir , les poils tiennent le manche ne se detache pas après plusieurs heures dans l eau</t>
  </si>
  <si>
    <t>Casque Bon produit</t>
  </si>
  <si>
    <t>R A S TRÉS BON PRODUIT, SYMPA, fonctionnel,bel article !!!  JE RECOMMANDE !!</t>
  </si>
  <si>
    <t>Au top Enfin un fermoir qui ne glisse pas ! Et très bel éclat !! Je recommande !</t>
  </si>
  <si>
    <t>Design épuré Réponds en tous points à ce qu'on peut attendre d'une paire d'écouteurs sans fil :)</t>
  </si>
  <si>
    <t>zéro déchet pour fabriquer mon emballage alimentaire réutilisable, c'est génial, facile et très pratique</t>
  </si>
  <si>
    <t>sacs poubelle absolument satisfaite ! Il faudra que je veille à ne pas en manquer. Ils s'adaptent tout-à-fait à la poubelle de même marque "Simplehuman", ils ne glissent pas, sont étanches.</t>
  </si>
  <si>
    <t>Bien mieux que les fivefingers J'avais renoncé aux chaussures minimaliste pour du trail après avoir eu un énorme hématome sous l'arche a caise de fivefingers. Pourtant, ce type de chaussures m'avait été recommandé par ma podologue du sport. Ces chaussures sont une énormes surprise. 1/ elles coûtent le 1/3 d'une paire de five fingers 2/ on est dedans comme dans des chaussons, avec ou sans chaussettes (A orteils ou normales) et pas d'ampoules 3/ après quelques "promenades" en marchant, j'ai pu courir avec sans avoir nullement à souffrir des cailloux sur le chemin de trail Du coup, j'en ai acheté une seconde paire. J'ai pris ma taille habituelle et cela convient parfaitement. Vraiment, je recommande fortement</t>
  </si>
  <si>
    <t>Au top!!! Très chaudes!!! Et solides!!! Ce produit est parfait!!! De très bonne qualité !!! Elles sont chaudes et une très bonne tenue au sèche linge!!!</t>
  </si>
  <si>
    <t>Tres pratique Tres pratique pour faire des schemas pour synthetiser les cours et avoir une vision d'ensemble . Bonne dimension</t>
  </si>
  <si>
    <t>basket idem à la photo Très bonne qualité</t>
  </si>
  <si>
    <t>baskets Elles méritent la meilleure note , car elles sont  belles ,confortables, aérées, et sont adaptées à la taille. Elles sont parfaites pour les longues marches que je fais chaque jour !</t>
  </si>
  <si>
    <t>Parfait , comme dans la description L’atout principal de ces écouteurs est la qualité du son et sa réduction de bruit qui elle , même si elle peut mieux faire, est intéressante. L’autonomie de la batterie est suffisante pour mon utilisation. Je suis également satisfaite du design. Il tient très bien dans l’oreille même en bougeant la tête. Il y a plusieurs tailles d oreillettes possibles ce qui est bonne chose lorsqu’on a de petites oreilles. La synchronisation est simple. Je trouve que c’est un produit de qualité avec un bon rapport qualité prix. Je ne regrette pas mon achat.</t>
  </si>
  <si>
    <t>Excellent Je trouve ces écouteurs très performants, et clairement tout à fait à la hauteur de ceux de la marque à la pomme que j'avais précédemment. Seul petit bémol pour moi, ils ne tiennent pas toujours en place mais c'est très lié au fait que mes oreilles sont petites.</t>
  </si>
  <si>
    <t>Nickel Basket très sympa et confortable je recommande.</t>
  </si>
  <si>
    <t>Le micro n'est pas à la hauteur, la réduction active du bruit non plus Vraiment bof. Le micro est inutilisable. A chaque appel, on ne m'entendait pas. La qualité du son est correct, cependant la réduction du bruit est plus que perfectible (pb certainement lié à la qualité du microphone). J'ai renvoyé ce casque et je me suis acheté un SONY 1000XM3. Ces deux casques ne sont clairement pas du tout dans la même catégorie. Pour ceux qui attendent une vraie qualité audio et de réduction de bruit. passez votre chemin. Pour ceux qui veulent un casque bluetooth pour écouter chez eux de la bonne musique, ça peut faire l'affaire.</t>
  </si>
  <si>
    <t>Mauvaise qualité Fait mal au  pied malgré la bonne taille</t>
  </si>
  <si>
    <t>👍 👍👍👍👍</t>
  </si>
  <si>
    <t>J'aime bien J'ai testé, super !</t>
  </si>
  <si>
    <t>Chausse parfaitement, j'ai pris ma pointure 38 et c parfait...bel effet comme sur la photo Soirée, ville</t>
  </si>
  <si>
    <t>Bon produit, mais ... Acheté ce produit car mauvaise circulation sanguine et pieds gonflés. Chaque utilisation me fait du bien et relaxe mes jambes MAIS mes pieds ne dégonflent pas. Cependant je persévère...</t>
  </si>
  <si>
    <t>Bonne qualité à priori Bien mais taille un peu petit.</t>
  </si>
  <si>
    <t>A s offrir  ou  offrir Tres  bon  rapport  qualite prix  Joli  pour tout  poignet</t>
  </si>
  <si>
    <t>original Evidemment il ne peut pas être le seul accessoire d 'un bureau, mais il a le mérite d 'être original, tout à fait conforme à la description et la couleur aussi</t>
  </si>
  <si>
    <t>Très jolies baskets Cet article était pour mon fils. Il les aime beaucoup. Cependant comme il savait qu'elles taillaient assez grandes, il a pris une demi pointure en moins que sa taille habituelle. Résultat : parfait</t>
  </si>
  <si>
    <t>Super réveil Super réveil, ma fille était plus que ravie, la couleur des lumières magnifiques, elle adore écouter ses musiques jusqu'à ce matin où il a décidé de ne plus émettre de sons.... Ça fait cher pour un mois d utilisation. Après un mail le vendeur a envoyé un réveil neuf précieusement.merci encore</t>
  </si>
  <si>
    <t>Tres satisfaite Parfum très agréable. La présence d'huile rend le gommage très doux et hydratant. Les billes permettent visiblement de bien exfolier. Je suis très contente de mon achat</t>
  </si>
  <si>
    <t>Excellent Utilisée quotidiennement depuis 8 mois, elle fonctionne bien. Ne siffle pas ou peu. Pas de panne. Montée en température suffisamment rapide.</t>
  </si>
  <si>
    <t>Convaincu Aucun soucis avec les tétines mam</t>
  </si>
  <si>
    <t>bon les cartouches d'origine sont très bien</t>
  </si>
  <si>
    <t>Qualité/Prix imbattable ! Conformes à la description. Acheté avec un tableau noir en verre, les marqueurs sont du plus bel effet dessus. S'effacent bien avec un simple chiffon (humide ou pas). Remarquable qualité/prix. Voir à l'usage la tenue dans le temps (séchage, durée des réservoirs, etc.).</t>
  </si>
  <si>
    <t>facile utilise Appareil très pratique pour le massage des différentes parties du corps. Le massage est modulable et les têtes de rotation changent de direction environ toutes les minutes, le mode thermique est indépendant, l'arrêt est automatique. On a l'impression de mains humaines. J'ai beaucoup aimé.</t>
  </si>
  <si>
    <t>Super qualité Top qualité</t>
  </si>
  <si>
    <t>Ergonomie très satisfaisante Cette montre est à mon poignet en H24, que ce soit pendant des séances de footing ou natation ou vie courante.</t>
  </si>
  <si>
    <t>TOP super soutien gorge de sport, très bon maintien et très agréable a porter ! l'ai pris aussi en blanc mais ce n'est que le début !</t>
  </si>
  <si>
    <t>Sweatshirt uni épais Sweatshirt parfait, pour ma part il est bien taillé, celui-ci est bleu marine, j'en ai pris un noir aussi !! Tient chaud et est aussi bien pour rester à la maison que pour bosser avec, peut-être légèrement un poil un peu grand mais rien de décevant car au contraire on est à l'aise en ayant un polo dessous Rien à critiquer car je me répète il est au top !! Je recommande Mille mercis !!</t>
  </si>
  <si>
    <t>Collier d’ambre J’ai racheter un collier d’ambre pour les dents de mon fils de deux ans. Le diamètre est parfait, et je doit me dire que on a pas eu à ce plaindre. Pas de douleur ni de pleure merci mère nature</t>
  </si>
  <si>
    <t>Qualité. Excellent produit, résistant, polyvalent et abordable. Je le recommande vivement. Je l ai depuis plus d'un an maintenant et il n a pas un seul accroc.</t>
  </si>
  <si>
    <t>Parfait pour courir Je suis très content de mon achat. Ces écouteurs tiennent bien dans l'oreille pendant de la course a pied. Et le son est excellent</t>
  </si>
  <si>
    <t>Photos trompeur Non identique est venu avec 3 couleurs seulement.</t>
  </si>
  <si>
    <t>Obsolescence Programmé L'obsolescence programmé de l'imprimante a vider la cartouche dans l'imprimante, l'imprimante de 2017, a fait plusieurs test lors de la mise en place et tous les jours, et au bout de 2 semaines, la cartouche était vide. J'ai imprimé zero pages. Merci obsolescence programmé</t>
  </si>
  <si>
    <t>Très déçue N’a durée que 15 jours achètée initialement pour sa taille si j’ai imprimé une cinquantaine de pages</t>
  </si>
  <si>
    <t>La qualité  est mauvaise Très beaux et a la bonne taille mais Le qualité est très mauvais</t>
  </si>
  <si>
    <t>Chaussures Réception du produit dans les temps et conforme aux attentes</t>
  </si>
  <si>
    <t>joli et solide Commandé pour la saint valentin, cette année, je ne le quitte plus depuis. Conforme à la photo et au descriptif</t>
  </si>
  <si>
    <t>Adapté aux enfants Casque utilisé par ma fille de 9 ans pour regarder des films lors des trajets en voiture.  Le blocage du volume est appréciable. Il a l'air suffisement robuste pour résister à une manipulation enfantine durant quelques années.</t>
  </si>
  <si>
    <t>Montre fossil Pas déçue de la montre, pareil sur internet qu'en vrai ! Plus qu'à attendre noël pour voir ce qu'elle donne :)</t>
  </si>
  <si>
    <t>parfait en entretien je l'utilise depuis des années en précaution, n'ayant pas accès aux canalisations de la baignoire notamment sans devoir tout casser s'il le fallait...donc pour bien sûr éviter cela, je l'utilise toutes les semaines, l'odeur n'est pas désagréable comme le Destop par exemple!!! j'en suis satisfaite.</t>
  </si>
  <si>
    <t>Tres pratique, je recommande Tres pratique pour nettoyer les biberons et il y a même un goupillon plus petit pour la tétine!</t>
  </si>
  <si>
    <t>Pas dessus, à tester !!! Pratique et intuitif. Les commandes tactile sont simple. Les écouteurs tiennent bien aux oreilles que se soit au sport ou à la maison , ils ne bougent pas. De plus, il y a un large choix d’embout qui permet de vraiment bien adapté à l’oreille. Ce qui permet également bien entendre sans être gêner par les bruits alentours, ce qui est fort pratique en communication ou quand on écoute de la musique. Quand à la batterie, elle a une bonne autonomie et au cas où sa petite boîte de rangement s’occupe de remettre les batterie à fond.</t>
  </si>
  <si>
    <t>Parfait Très bon produit, cela fait 3 ans que j'en commande plusieurs fois par an et je ne suis jamais déçue par la qualité du papier et de l'envoi !</t>
  </si>
  <si>
    <t>De vrais chaussons Chaussures légères, facile à enfiler et très agréable à porter</t>
  </si>
  <si>
    <t>Un très bon microphone pour débuter Ce microphone convient parfaitement aux néophytes ou aux personnes désirant obtenir une bonne qualité audio sans pour autant casser sa tirelire. Les accessoires fournis sont très utiles, même si le bras peut paraître un peu fragile par rapport à ceux de grandes marques, mais c'est tout à fait normal : on en a pour notre argent. Je recommande très vivement ce produit.</t>
  </si>
  <si>
    <t>Coeur à coeur lui va si bien *** Au premier regard ce pendentif semble tout simple, brillant avec de jolies couleurs, il est épuré et c'est ce qui fait tout son charme. Bien nommé Coeur à coeur, il est chargé de symboles. Il ne pèse que 3g avec sa chaine, ne mesure que 2cm de diamètre, à peine plus en longueur avec sa bélière, mais il brûle d'amour.  *** Un cercle incrusté de petits strass allant crescendo plus on va vers le bas, rappelle un nid douillet au fond duquel reposent deux jolis petits cabochons rose soutenu en forme de coeur sertis sur de l'argent. L'arrière est tout mimi puisqu'il représente 4 coeurs disposés comme des trèfles à 4 feuilles. C'est un pendentif pour un couple heureux et chanceux.  *** Puis on remarque que sous ces 2 coeurs, 2 autres plus petits et dorés forment aussi des pétales, soudés aux coeurs par un petit brillant. Comme un autre trèfle à 4 feuilles.  Alors ce pendentif prend un autre sens, le cercle familial de deux êtres qui s'aiment et ont deux merveilleux enfants. Une famille chanceuse.  *** Une famille soudée par l'amour, le bélière étant un autre petit coeur incrusté de poussière de diamant, posé sur le haut du cercle. La chaine passe par les côtés, elle est vraiment tout fine et son fermoir tout simple et rond. 55cm de finesse avec la rallonge terminée par un charm coeur sur lequel est poinçonné l'argent fin 925.  *** Le collier est livré dans une belle boite noire, le contour est fait de motifs simples et dorés, avec le nom du vendeur incrusté au milieu : Ninasun. Sun et doré, soleil. Il est présenté sur du velours noir, il ressort super bien. Un petit chiffon pour lustrer le pendentif est livré avec. Une présentation élégante pour un bijou fantaisie vraiment mignon.</t>
  </si>
  <si>
    <t>Bonne idée que le fond noir avec les drapeaux des pays ! Très belle carte du monde et d’Europe</t>
  </si>
  <si>
    <t>Vraiment satisfait.... Merci Coussin juste comme il faut en taille. Article à un prix très interessant.Donne de bons résultats et s'applique parfaitement au massage du dos et des jambes.Je le recommanderais à d'autres personnes trop bruyant. Super agréable. On ne s'en lasse pas ! Les boules de massage ne sont pas trop violentes tout en restant efficaces. Le système de chauffe est un plus. Je recommande ce produit !</t>
  </si>
  <si>
    <t>Relaxation à la maison &lt;div id="video-block-R3F3MMVI2Q66OJ" class="a-section a-spacing-small a-spacing-top-mini video-block"&gt;&lt;/div&gt;&lt;input type="hidden" name="" value="https://images-eu.ssl-images-amazon.com/images/I/B1FqwNMrOSS.mp4" class="video-url"&gt;&lt;input type="hidden" name="" value="https://images-eu.ssl-images-amazon.com/images/I/91ajLKceyHS.png" class="video-slate-img-url"&gt;&amp;nbsp;J ai reçu cet appareil massant qui est très agréable ! Parfait pour se détendre les cervicales , mais aussi pour le haut du dos et le bas du dos! Il y a différents mouvements de rotations qui sont plutôt agréable même si cela ne remplacera jamais un véritable massage mais cela est un bon appareil de substitution. Il y a aussi une fonction chauffante ! J adore déjà cet appareil</t>
  </si>
  <si>
    <t>Au top Super produit fonctionne parfaitement</t>
  </si>
  <si>
    <t>pull léger parfait correspond à l'imag et à mes attentes léger élégant sur un pantalon noir par exemple aucun regret s'il vous plait, allez y..........</t>
  </si>
  <si>
    <t>R.A.S Rapide bon produit</t>
  </si>
  <si>
    <t>Très bon choix Les chaussettes sont conformes à l'image très agréable à porter très bon produit je le recommande arrive même avant la date prévue</t>
  </si>
  <si>
    <t>Chaussures pour toutes les occasions Très bien, pas salissante, bon confort.</t>
  </si>
  <si>
    <t>Surévaluée Bourrage systématique si plus de 6 feuilles (70/80g), la destruction d'un cd bloque la machine à la moitié de celui-ci... J'ai du mal à croire à tous les commentaires "élogieux" précédemment postés...</t>
  </si>
  <si>
    <t>Longueur des bretelles à revoir! J’ai pris du L comme j’en avais déjà commandé mais là, la taille ne correspond pas du tout, les bretelles sont beaucoup trop longues ce qui ne maintient pas du tout la poitrine.</t>
  </si>
  <si>
    <t>Lourd Beaucoup trop lourd</t>
  </si>
  <si>
    <t>Pochette Bien je recommande</t>
  </si>
  <si>
    <t>Top Au top</t>
  </si>
  <si>
    <t>Gadget Gadget pratique mais je m'attendais à ce qu'il se déplace seul !</t>
  </si>
  <si>
    <t>Plutôt bien ! Ma fille ne souhaitant plus consommer de compotes industrielles à l'école, j'ai investi dans cet appareil qui permet de remplir des gourdes réutilisables avec de la compote maison - et même si j'ai mis un peu de temps à comprendre comment faire pour éviter la catastrophe, j'en suis plutôt contente. Un petit truc : mouiller l'embout rose avant de pousser la compote dans les gourdes - ça glisse mieux (eh oui, comme les cups). ma fille apprécie aussi :-) la compote n'a pas besoin d'être hyper lisse, même s'il reste de petits morceaux, ça passe quand même :-) le tube se nettoie facilement, les gourdes un peu moins mais on y arrive quand même :-)</t>
  </si>
  <si>
    <t>Sac fidèle à la description Sac correspondant tout à fait à l'idée que l'on peut s'en faire avec la description et les photos. Il a l'air robuste et les dimensions sont bien celles annoncées. Je ne mets pas 5 étoiles car je trouve que l'ouverture du sac n'est pas commode, je m'attendais à ce qu'il y ait des aimants sous les lanières.</t>
  </si>
  <si>
    <t>Sympa J’aime beaucoup le modèle ! Par contre le confort n’est pas top ! un peu trop rigide pour marcher longtemps</t>
  </si>
  <si>
    <t>Appareil de massage pour les pieds J'utilise cet appareil de massage pour les pieds car j'ai souvent mal aux pieds après des journées à rester debout et à marcher. C'est agréable de pouvoir avoir un massage des pieds à la maison. Un quart d'heure suffit pour se sentir mieux. Je recommande ce produit</t>
  </si>
  <si>
    <t>ras cool</t>
  </si>
  <si>
    <t>*** petites mais agréables pour mettre en 2 ème position voir en 3 ème</t>
  </si>
  <si>
    <t>Parfait Colis bien emballé, arrivé en temps et en heure! Tétine très apprécier de ma fille très bonne prise en main, facile de nettoyage. Par contre tétine non adapté pour le lait épaissit avec du magicien mix, mais pour ça il y a les tétines débit variable qui sont génial avec le magic mix!</t>
  </si>
  <si>
    <t>Un must have Utilisation classique d'un pointeur La clé USB de contrôle est savamment intégrée à l'outil Seul bémol, fonctionne avec des piles qui ne sont même pas fournies. Malgré tout un prix intéressant</t>
  </si>
  <si>
    <t>Au top ! Montre Casio G-shock avec un look robuste cette montre vous ne la quitterait plus ! A la pisicne ou au boulot je la garde tout le temps sur moi ! Même en soirée elle est du plus belle effet ! Peut importe mes activités que cela soit professionnel ou personnel, en sortie sportive ou détente à la piscine elle s'adapte parfaitement ! Nul crainte de la voir prendre l'eau sa résistance à la pression et aux choc est l'atout qui m'a fait l'acheter !</t>
  </si>
  <si>
    <t>Impeccable intérieur / extérieur J'étais scéptique un peu avec certains commentaires concernant la différence de température entre la sonde intérieur et extérieur et en déballant, une petite fraiyeur avec 2°C de différence... mais qui s'est estompée en quelques minutes pour avoir une différence de 0.4°C ce qui est pour moi tout à fait acceptable (cela peut être +0.2 et -0.2 pour l'un et l'autre...)  Sinon, paquet complet avec piles, chargeur USB pour la sonde extérieur, manuel, etc. On peut poser sur un meuble l'écran, mais aussi l'accrocher magnétiquement au frigo ou alors a un mur via un clou. On peut mettre plusieurs sondes mais je n'ai pas encore essayé cette option.  Bref très pratique, très lisible, même sans activer le retroéclairage. Je suis pour l'instant bien content de mon achat !</t>
  </si>
  <si>
    <t>tres bon article super gel fonctionne tres bien</t>
  </si>
  <si>
    <t>Impeccable Excellent téléphone.  Il a bien la bande b20,  la plus répandue en France</t>
  </si>
  <si>
    <t>Film de protection idéal. Excellent produit. Conditonnement efficace qui assure la permanence de la proprete du film et permet une utilisation facile. Rangement pratique.</t>
  </si>
  <si>
    <t>Bonne qualité prix très utile merci Pour mettre dans le linge ou pour se relaxer dans le bain et plein d'autres choses mais c'est super cette huile  essentiel  et de bonne qualité merci</t>
  </si>
  <si>
    <t>Bonne qualité Yeux mobiles de bonne qualité. On a tapissé le chemin de la maison jusqu'à l'école : la rue est beaucoup plus gaie !</t>
  </si>
  <si>
    <t>tres bonne vitre de protection super écran livré dans une boîte de rangement solide livré par 2 Écran très solide aucune bulle à la installation mon écran est totalement protégé des rayures des traces de doigts je le recommande vraiment et si besoin je recommanderai sans hésiter.</t>
  </si>
  <si>
    <t>Super cadeau !!! C’est un bracelet que j’ai acheté pour offrir à ma grande pour sa rentrée en seconde Le bracelet est super beau, il est solide et le petit cœur est adorable</t>
  </si>
  <si>
    <t>Au top Produit au top avec son jet qui sort sur le palais et non vers la gorge tout de suite , donne un effet sein avec la large tétine, se lave très bien !</t>
  </si>
  <si>
    <t>Garantie 3 ans. Hors service après 1 an et 5 mois Quand je veux faire valoir la garantie sur Amazon.fr, je suis redirigé vers le site Makita-Dolmar. Je m'enregistre sur le site, puis veux enregistré mon achat pour activer la garantie mais pas de référence de ma pompe dans le menu défilant et ensuite je peux lire (pour la toute première fois) que j'aurais du enregistrer ma pompe dans les trente jours suivant son achat pour bénéficier de la garantie !!! Mauvaise blague.</t>
  </si>
  <si>
    <t>Décevant Je ne sais pas si ma batterie est défectueuse mais elle ne tient pas du tout la charge. Si je la charge un jour et veux m'en servir le lendemain la batterie s'est vidée ! C'est très agaçant! Short acheté en mai 2018, utilisation régulière et pas franchement de résultats. Plutôt décevant.</t>
  </si>
  <si>
    <t>Pompe HS aprés 14 mois La pompe achetée en novembre 2016 est aujourd'hui HS, elle présente un défaut électrique qui déclenche le différentiel (probablement un problème d'étanchéité...). La garantie Makita est de 12 mois. Je déconseille fortement ce produit de très mauvaise qualité.</t>
  </si>
  <si>
    <t>Trop grand J'avais deja commandée 2 couleurs differente (blanc et noir) avec une coupe parfaite mais la non , il taille trop grand et le col aussi et ne donne plus le meme effet que les premier pour identique en taille.</t>
  </si>
  <si>
    <t>Beau sweat ! Belle qualité, maintenant à voir à l’usage ! Livré rapidement</t>
  </si>
  <si>
    <t>Pratique Je l'utilise pour peser mes herbes aromatiques (il faut se rappeler qu'il y a +/- 0.2g d'écart avec la réalité. Sinon très bon fonctionnement mais surpris de la taille du plateau vraiment petit. Je m'attendais un plus grand. Pour l'instant je met 4 étoiles mais je viens de la recevoir aujourd'hui, à voir si dans le temps elle tient la route!</t>
  </si>
  <si>
    <t>Bon rapport qualité prix Jai acheté ces chaussures pour la marche intensive en ville elle sont bien mais perso ayant les pieds large, mon petit orteil était un peut compressé...</t>
  </si>
  <si>
    <t>très bon produit Article conforme à la description. Très légère et fonctionnalités pratiques. Je confirme que cette montre est très solide lors de la pratique de sport/loisirs. Le délai de reception a été respecté. A recommander.</t>
  </si>
  <si>
    <t>Bon produit correspond exactement à ce que j’attendais Impression de documents très bon résultats</t>
  </si>
  <si>
    <t>Nike au top comme d’habitude La qualité Nike on connaît rien à redire. Le confort est présent, on a l’impression de ne rien porter.</t>
  </si>
  <si>
    <t>Fais son job ! J'ai acheté cet housse anti-pop pour mon Bird UM1 et il fait largement son travail, à savoir ne pas casser les oreilles avec les mots en "P". Il est peut-être un peu grand pour le Bird mais ce n'est même pas un désavantage, au contraire c'est même mieux. N'hésitez pas à l'acheter, c'est même mieux qu'un filtre qui est encombrant.</t>
  </si>
  <si>
    <t>très bon produit le câble est souple, dt blanc; il est plat donc discret au montage, facile à monter le résultat sonore est parfait sur mon ensemble Focal evo atmos  la livraison dans les temps, all is perfect</t>
  </si>
  <si>
    <t>Tout marche comme il faut Sans surprise, j'ai reçu sa commande comme c'etait prevu, bien embalagé, la description corresponde, la qualité selon le prix. Je n'ai pas possibilité de comparer avec les autres mais ce sèche-chaussure marche bien (je deux enfants qui font du rugby et avoir un sèche comme ça - c'est vitale!) Merci))))</t>
  </si>
  <si>
    <t>je conseille pour le prix ça marche tres bien</t>
  </si>
  <si>
    <t>Bon produit Produit conforme à la description.</t>
  </si>
  <si>
    <t>Bonne qualité Je fais souvent des réactions allergiques aux bijoux mais pas avec celle-ci. J'en rachèterai probablement. Je les recommande sans hésitation</t>
  </si>
  <si>
    <t>Bon produit, bon prix C’est du Timberland, pas de déception et bon prix .</t>
  </si>
  <si>
    <t>La bouilloire presque parfaite ! Ma bouilloire m'ayant lâchée, je me suis tournée vers celle ci car elle partage les même caractéristiques. Le réglage de température est très pratique quand on boit différents types de thé et hormis les bips aigus signalant l'arrêt de la bouilloire, elle est moins bruyante que mon ancienne. L'infuseur est efficace et l'avantage de ce couvercle c'est qu'il permet le nettoyage à la main de la bouilloire, afin de profiter au mieux de son esthétique, un excellent produit !</t>
  </si>
  <si>
    <t>topissime tbon materiel conforme à mes attente</t>
  </si>
  <si>
    <t>tres bon excellent</t>
  </si>
  <si>
    <t>Génial! Excellente qualité et super confort!</t>
  </si>
  <si>
    <t>Très content J'ai commandé un premier casque. Amazon Logistics l'a laissé en "lieu sur" dans le hall de mon immeuble... En rentrant chez moi le soir, le colis avait disparu. Je l'ai signalé à Amazon qui a été très agréable et arrangent, j'ai été remboursé sans problème. J'ai recommandé le même produit qui a cette fois été laissé dans la boîte aux lettres.  Le casque est très bien pour le prix, seul bémol la radio est inutilisable.  Très content quand même</t>
  </si>
  <si>
    <t>Taille bien Correspond exactement à mes attentes. Et paraìt de bonne qualité, à voir dans le temps si mes impressions sont bonnes.</t>
  </si>
  <si>
    <t>pour la cartographie en lycée Pour l'instant, c'est le normographe le plus intéressant pour la réalisation des croquis et schémas en lycée (diversité des formes, taille des figurés, rectangle servant à faire les cartouches...). Glisser entre deux manuels, il arrive même à survivre dans un sac de lycéen (à condition quand même de ne pas s'entrainer au lancer de sac comme discipline olympique...comme le font certains). Les deux réglettes de part et d'autre permettent de travailler à l'encre sans risquer de tout gâcher en balayant le tracé encore frais avec la règle (le normographe ne touche pas la feuille).</t>
  </si>
  <si>
    <t>Sinon bien Il n'y a pas de key  code fourni avec donc il fonctionne pendant 1 mois et après plus rien. Il faut encore payer</t>
  </si>
  <si>
    <t>La description est fausse car l’article est un t-shirt et pas un pull et même pas un sweat-shirt. Attention ! Ce n’est pas un sweat-shirt comme description, ce n’est qu’un t-shirt. La taille est plus petite que la taille habituelle. Vu le prix je le garde.</t>
  </si>
  <si>
    <t>Mouais Sympa mais qualité de l'image pas top, stabilité : difficile de rester stable</t>
  </si>
  <si>
    <t>T-SHIRT SUPERMAN COMPRESSION EXTENSIBLE MAN TRÈS BON T-SHIRTS DE SUPER HÉRO MARVEL ETC  LE PROBLÈME CE LE LAVAGE ET LE SÉCHAGE SA RESTE  A LA MAIN  SURTOUT pas DE MACHINE OU PRODUIT DÉTERGENT ETC :::!!!!</t>
  </si>
  <si>
    <t>Bonne qualité Travail</t>
  </si>
  <si>
    <t>Bon rapport qualité prix Bon rapport qualité prix</t>
  </si>
  <si>
    <t>Pratique Fonctionne bien, ergonomique. Toutefois, le branchement automatique à l'ordinateur ne marche pas et il me faut refaire la procédure de reconnexion à chaque utilisation. Seul point négatif et peut-être déterminant par rapport à d'autres outils identiques.</t>
  </si>
  <si>
    <t>Fait son travail La courroie a remplacé celle d'origine qui commençait à se détendre. Ca ne patine plus, reste à espérer que la tenue dans le temps soit bonne.</t>
  </si>
  <si>
    <t>Top à avoir impérativement Ma fille m’avait fait connaître ce savon magique et c’est vrai qu’il est top à avoir toujours chez soi Et il est très économique</t>
  </si>
  <si>
    <t>PERFECT Fidèle à la photo, jolies, bonne qualité, taille qui correspond, jolies chaussures fermées pour celles qui en ont marre de se faire écraser les petons en SBK ( salsa bachata kiz) ! reçues rapidement comme d'habitude avec Syrads :)</t>
  </si>
  <si>
    <t>Le prix Bonne qualité</t>
  </si>
  <si>
    <t>Efficace Super utile dans la salle de bain, il y a beaucoup moins d'humidité!</t>
  </si>
  <si>
    <t>Une bonne marque de sacs poubelle Très satisfait de cette marque. Solide et étanche, ces sacs sont vraiment de bonnes qualité. Une bonne marque que je recommande.  Produit arrivé à temps et bien emballé.  Je recommande cet article. Si ce commentaire vous a intéressé ou s'est avéré utile, cliquez sur « oui ». Ça fait toujours plaisir de se savoir utile et/ou lu.</t>
  </si>
  <si>
    <t>Look rétro sympa Dans mes souvenirs d'enfance cette montre était plus grosse. Néanmoins elle est sympa. Certes les boutons ne sont pas vraiment utilisables au quotidien mais je l'ai surtout achetée pour son look rétro. Bref pour le prix satisfait. Au premier abord la montre tout en plastique semble un peu légère mais au poignet il n'y paraît plus.</t>
  </si>
  <si>
    <t>Très contente de cet achat J'ai découvert ce produit dans une publicité sur un réseau social bien connu mais je ne voulais pas l'acheter sur un site chinois douteux donc je suis passée par Amazon ... Voilà maintenant 3 semaines que je l'utilise à chaque shampoing (je voulais du recul avant de faire l'évaluation car je ne me lave les cheveux que tous les 4 jours) et je dois dire que je ne regrette pas du tout cet achat ! Au niveau du cuir chevelu c'est très agréable lors du shampoing, la brosse fait beaucoup mousser le produit ce qui permet d'en utiliser moins pour autant de résultat (je pose le shampoing sur mes cheveux mais on peut également le mettre directement sur la brosse). Au niveau des cheveux j'ai plus de volume sur le haut du crâne alors qu'avant ils avaient tendance à rester plaqués lors d'un shampoing sans cette brosse (mes cheveux sont bouclés en majorité et très frisés sur le tour du visage). Attention toutefois ne vous grattez pas le crâne avant votre shampoing : lors de ma première utilisation mon cuir chevelu était à vif car je m'étais gratté la tête dans la journée, résultat : ce premier shampoing a été douloureux mais c'était de ma faute et pas de celle de la brosse.</t>
  </si>
  <si>
    <t>👍👍👍 Parfais</t>
  </si>
  <si>
    <t>Très bien Je trouve ces écouteurs sont de bonne qualité et le son est très satisfaisant. Le prix est très correcte. Je suis contente de mon achat.</t>
  </si>
  <si>
    <t>tout a fait conforme article livré dans les temps emballage correct article conforme materiel adapté à mon imprimante canon</t>
  </si>
  <si>
    <t>je profite des bienfaits de l aramatherapie en toute securité ce diffuseur d huiles essentielles est discret. les couleurs mettent une ambiance chaleureuse. la grande contenance du réservoir  permet de l utiliser plusieurs heures. c est un produit bien fini qui s harmonise parfaitement dans mon intérieur</t>
  </si>
  <si>
    <t>Qualité haut de gamme à bas prix EXCELLENT Très bons écouteur pour ce que c’est. Mieux que les  earpods que j’achète d’habitude, de bonnes voix et tout ce qui va avec malheureusement le contrôle du son est pas très simple car il faut glisser et il n’est pas connecté au téléphone donc si on met le son du téléphone à fond mais celui des écouteurs au minimum aucun son ne va sortir après cela ne m’a pas trop dérangé. Dommage juste pour les basses pas assez profondes pour ma part mais sinon parfait pour 10€ excellent.</t>
  </si>
  <si>
    <t>SUPER Magnifique basket Livraison a la date prévue Je recommande ce produit Contente de cet achat</t>
  </si>
  <si>
    <t>La Qualité Produit au top Astro toujours au TOP</t>
  </si>
  <si>
    <t>Chaussure montante Chaussure avec coque pour le travail, simple et discret par rapport a certaine chaussure de sécurité, taille bien et confortable même pour les pieds large.</t>
  </si>
  <si>
    <t>Très satistifait avant son disfonctionnement des boutons. Très satisfait lors des premières utilisations. Cependant au bout du second mois les boutons se sont mis à disfonctionner rendant difficile l'utilisation de ce réveil.  J'ai des doutes sur la qualité de fabrication de ce produit. Dommage il m'était indispensable ! Je vais me tourner vers une marque concurente.</t>
  </si>
  <si>
    <t>Pas reçu la taille commandée!!!!! Commandé en urgence en 36 et demi reçu en 37 et demi .....impossible de pouvoir échanger la paire contre une autre plus petite... obligé de recommander et d'attendre 2 semaines pour avoir la paire  !!!! vraiment très très très déçu</t>
  </si>
  <si>
    <t>NUL produit mediocre son dégueulasse forme énorme aucune autonomie connection au telephone pitoyable porté bluetooth nul ln met la mains sur l ecouteur PAF ca coupe !  en gros a chier passé votre chemin</t>
  </si>
  <si>
    <t>Contenance XL sur la photo de l'annonce ... L'étiquette fait apparaitre la mention XL sur la photo de l'annonce, sur les exemplaires reçus c'est en tout petits caractères...je n'avais pas vu et si l'on se refaire au texte de l'annonce, il ne spécifie pas si c'est des XL! Cela peut faire douter? Mais vu le prix je conserve ces articles.  A voir donc à l'utilisation ...</t>
  </si>
  <si>
    <t>indispensable c est vraiment l accessoire indispensable pour utiliser le clavier Casio CTK-1200 Clavier 61 Touches Gris, apres avoir essayé un adaptateur standard mais cela ne fonctionnait pas, dommage de devoir payer si cher pour un adaptateur de la marque</t>
  </si>
  <si>
    <t>detartrant correcte</t>
  </si>
  <si>
    <t>Bien mais .... Bien mais plastique des sangles un peu dur à mon goût. Je ne les porte pas plus d'une heure du coup.</t>
  </si>
  <si>
    <t>Top Parfait comme prévu</t>
  </si>
  <si>
    <t>Bien Après 2 semaines d'utilisation tout les jour, pas de problème. Il reste bien en place et est agréable à porter</t>
  </si>
  <si>
    <t>très bien Acheter pour la première fois, après avoir lus bcp de commentaires sur toutes les gammes existantes je me suis arrêté sur celui-ci. Je ne regrette pas. La texture ressemble à une gelée. Lorsqu'on étales elle est rès douce et un peu savonneuse. Je ne sais pas si c'est le produit qui est exfoliant ou si c'est l'action du gant de kessa, néanmoin l'ensemble fonctionne très bien. Cela élimine les peaux mortes et les impuretés. Il laisse une agréable sensation de propreté. La peaux n'est pas agressé. Aucune odeur désagréable. Après utilisation j'applique une crème hydratante et je trouve qu'elle s'imprègne bien mieux. Très satisfaite, je recommande.</t>
  </si>
  <si>
    <t>Bullets V2 oneplus Bonne paire d'écouteurs oneplus Qualité de son correct</t>
  </si>
  <si>
    <t>joli pendentif J'ai offert ce pendentif à mon amie qui le trouve très joli , très féminin !</t>
  </si>
  <si>
    <t>Simple et épuré. Bien arriver en temps et en heure, bien emballer. Ce collier arrive dans une belle boite de présentation de couleur fonce, avec la marque du produit écris dessus en couleur argent. Le contraste est jolie et l’écriture ressort bien. Un vrai coffret.  A l'intérieur on retrouve un magnifique collier avec une belle chaîne a la maille original. La chaîne est fine et élégante, ça change des mailles habituel. Le pendentif est en forme de cœur, sur son coté droit il est ornée de zircone sur deux ranger, qui sont d'un très belle effet. L'autre coté reste épuré. Il est jolie sur les photos mais le rendu en vrai est simplement superbe.  Le collier est livrer avec sa boite de rangement ou de transport, parfait pour offrir. Egalement avec un chiffon pour l'entretenir et le faire briller. On se rend compte "le pendentif en mains", que c'est un produit de qualité, avec un design vraiment réussi et un pack complet.  Ma femme en est ravie et pour le prix, je peux lui en offrir plus souvent, pour sont plus grand plaisir.</t>
  </si>
  <si>
    <t>Magnifique Voila plusieurs mois que la port et elle reste intact elle va sous l'eau résiste au choque , la montre est facile d'usage .</t>
  </si>
  <si>
    <t>Super comfortable! Je suis très satisfaite du product à tout point de vie: comfort, qualité, prix. Accuse hesitation à  recommander . Super comfortable!</t>
  </si>
  <si>
    <t>Vraiment bien La taille est parfaite, la matière est agréable. Il tient chaud. Mon conjoint en est très satisfait</t>
  </si>
  <si>
    <t>Beau et efficace Je cherchais un diffuseur d’huile essentielle beau, zen et facile à utiliser et je l’ai trouvé. Si j’ajoute sa capacité d’eau de 700ml et son prix contenu, il a tout bon. Dans la boîte, vous trouverez une notice proposant 4 mélanges d’huiles essentielles (faites de beaux rêves, adieu les moisissures, booster votre cerveau et relaxez vous).</t>
  </si>
  <si>
    <t>Collant de sport - femme Belle qualité et taille adéquate. Prix raisonnable. J’en ai acheté 3 pour le jogging, le tennis et la randonnée. A recommander !</t>
  </si>
  <si>
    <t>Confortable Excellente qualité</t>
  </si>
  <si>
    <t>super super je suis contente d'avoir acheté cet objet tout s'est bien passé, même s'il ne faut pas oublier non plus de soutenir les magasins de musique en achetant des produits de ce type chez eux avant qu'ils ne disparaissent, ce qui serait bien dommage !!! A bon entendeur ;)</t>
  </si>
  <si>
    <t>Écouteurs sport Écouteurs conformes à la description. Petits, tiennent très bien dans l’oreille et bonne autonomie :)</t>
  </si>
  <si>
    <t>Mieux adapté à mes problèmes auditifs ! malentendant, , j'avais besoin  d'un casque aux aigus très nets et équilibrés  me permettrait d'entendre la radio de même marque...achetée auparavant ....via Amazon.....et ce sans me ruiner........Maintenant tout va bien !</t>
  </si>
  <si>
    <t>Tommee tippee Très bon produit. Déjà acheté pour mon premier enfant. Mais cette fois ci ça ne se ferme pas l'eau coule même si tu bloque le bouchon. D'ailleurs mon mari s'est brûlé la main avec de l'eau bouillante a cause de ce defaut</t>
  </si>
  <si>
    <t>C'est un coupe vent cahouet Je le retourne car cette veste est en réalité un coupe vent cahouet. Je suis décu</t>
  </si>
  <si>
    <t>Survêtement de mauvaise qualité Je suis très déçu de se survêtement , les attaches sont arrachées , mauvaise qualité</t>
  </si>
  <si>
    <t>sympa, atttention à la pointure! on sait ce que l'on commande, enfin on imagine..chausse un peu grand et cuir raide,attention , pieds fragiles..un peu déçue mais produit sympa quand même!</t>
  </si>
  <si>
    <t>bien il n'est pas parfait, mais vu le prix, il est en bon rapport qualité-prix, les changements de luminosité se font par à-coups et le son est moyen pour certaines mélodies, mais c'est un des rares que j'ai trouvé qui peut s'allumer seulement 10 min avant le réveil, ce que j'apprécie particulièrement.</t>
  </si>
  <si>
    <t>CONFORME A LA DESCRIPTION produit conforme a la description meme, cette colle est mieux que UHU car elle colle mieux, elle est beaucoup mique de BIC</t>
  </si>
  <si>
    <t>top cadeau qui à coup sur fait plaisir</t>
  </si>
  <si>
    <t>Parfait Cadeau pour mon papa il a adoré</t>
  </si>
  <si>
    <t>nickel ne bouge même pas au sèche linge, parfait</t>
  </si>
  <si>
    <t>Bon produit Très belles chaussures et taille correspondant !</t>
  </si>
  <si>
    <t>Toujours un bon produit Un bon produit, comme d'habitude car je commande toujours les même sur Amazon et je ne suis jamais déçu par ces cartouche HP 301</t>
  </si>
  <si>
    <t>Beau produit Parfait</t>
  </si>
  <si>
    <t>Placer selon vos besoins , vous en serez satisfait incroyable bien être, je recommande !!</t>
  </si>
  <si>
    <t>Bon Cool</t>
  </si>
  <si>
    <t>bonne qualité Les biberons avent sont parfaits, rien à redire. J'adore cette marque et les biberons "natural" sont très bien bébé boit bien</t>
  </si>
  <si>
    <t>Très joli pour le prix ! Très joli bijoux de tous les jours pour le prix. Très satisfaite.</t>
  </si>
  <si>
    <t>Bien Bien, pratique. Un peu trop grand je trouve.</t>
  </si>
  <si>
    <t>Bon panaché. J'ai acheté cette boîte d'huiles essentielles 12. Elle est arrivée scellée, mais lorsque l'enveloppe a été retirée, un parfum puissant et agréable a été émis et aucune des bouteilles n'avait fui! Ce serait un cadeau formidable, car il y a 12 bouteilles différentes de 10 ml d'huile à essayer, ce qui aide tout le monde à décider de son futur achat et de ses favoris.</t>
  </si>
  <si>
    <t>Très bon produit Très bon article répond totalement aux attentes. Satisfaite je recommande autour dans mon entourage. Prise en main rapide et simple pour bébé</t>
  </si>
  <si>
    <t>Solide et pratique Un petit sac bien pratique et solide. La toile utilisée est de bonne qualité. On retrouve à l'intérieur une poche avec fermeture éclair. Dimensions bien pensées, ni trop grand ni trop petit. Tout dépend bien sûr de l'usage que l'on voudra en faire. Mais en tout cas le produit est vraiment de bonne qualité.  * Produit fourni avec remise pour commentaire neutre  *</t>
  </si>
  <si>
    <t>bel achat envoi rapide , le tableau est magnifique , il adhère bien avec les aimants, et ils étaient bien emballés. Ravie !</t>
  </si>
  <si>
    <t>Pochette homme Cadeau qui a plu à la personne qui a déjà eu une pochette de la marque. Format juste parfait pour le nécessaire C'est un produit Easpak, du solide</t>
  </si>
  <si>
    <t>Tres belle goumette Magnifique</t>
  </si>
  <si>
    <t>Tres jolies Chaussures tres jolies, confortables, par contre elles sont glissantes grrrr</t>
  </si>
  <si>
    <t>Déçu Le confort n'est franchement pas terrible. Je ne recommande pas cet article</t>
  </si>
  <si>
    <t>Collier de pacotille impossible à offrir De la pacotille. Les photos sont trompeuses. Le collier n est pas offrable en l état. C est clairement une arnaque. Ca ne vaut ni 60 euro ni 18. Je demande le retour</t>
  </si>
  <si>
    <t>Baskets Grince trop quand on marche</t>
  </si>
  <si>
    <t>Pas conforme à mes attentes Je voulais qqch qui compresse! Mais ce n’est pas le cas pourtant j’ai pris une taille en. Dessous exprès ! Un peu déçu de cette achat. Servira tout de même.</t>
  </si>
  <si>
    <t>Parfait Parfait. M'a bien aidé à surmonter l'hiver. J'ai senti une différence sur la fatigue et l'humeur. . Je recommande ce produit.</t>
  </si>
  <si>
    <t>Très bien Très bien ,seul bémol il est très petit.</t>
  </si>
  <si>
    <t>Puma Chaussettes bien taillées, assez chaudes sans être trop grosses. Mon fils les adore et m'en a fait commander d'autres lots comme celui là.</t>
  </si>
  <si>
    <t>Poils de brosse de qualité Nettoie bien les parois et les fonds, passe également pour les tétines (biberons gamme MAM) mais le bout rigide ne me sert à rien. Bonne qualité de brosse.</t>
  </si>
  <si>
    <t>Super produit Bonjour, le produit est super. Je le recommade, mes biberons sont prêts à une température idéale ce qui évite en plus des problèmes digestion à mon bébé.</t>
  </si>
  <si>
    <t>Une bouilloire très pratique  ! Très satisfaite de cette bouilloire en plastique couleur bordeaux sombre qui remplace la bouilloire d'une marque connue mais qui était en métal. Métal qui avait fini par rouiller au niveau du couvercle. Il faut dire qu'ici l'usage de la bouilloire est assez intensif. La contenance d' 1,7 l me convient parfaitement. Elle sera facile à nettoyer : il suffit de verser du vinaigre blanc et de faire bouillir ( bien rincer après !) et le filtre amovible est aussi facile à nettoyer ce qui est un plus. Elle ne prend pas trop de place. Je joins une photo. Au bout de quatre mois d'utilisation, je constate comme d'autres personnes que la bouilloire bouillonne longtemps avant de s'arrêter automatiquement. Je préfère la stopper moi-même la plupart du temps. Elle se nettoie facilement avec du vinaigre blanc comme je l'avais écrit , le filtre aussi. Je reste satisfaite cependant de mon achat.</t>
  </si>
  <si>
    <t>Super ! Excellent micro de très bonne qualité ! Même si quelques difficultés ont été rencontrées lors de son installation sur mon PC. Il est résistant, et de haute qualité, très bon produit.</t>
  </si>
  <si>
    <t>Je vous les conseille Au top, bonne taille et aucun soucis à la réception du colis. Que dire ? A part que c'est un bon choix</t>
  </si>
  <si>
    <t>On les adore Ma fille est ravie, super qualité et elle fait des jalouses. On les adore. J'aurai du m'en prendre une paire!</t>
  </si>
  <si>
    <t>Parfait ! Envoi ultra rapide et produit au top...à ce prix la!!!!</t>
  </si>
  <si>
    <t>Bracelet cuir noir. Qualité qui a l'air d'être la. On verra dans le temps.... Très facile à monter avec système intégré. Petit outil pour enlever l'ancien bracelet. Bref pour l'instant que du bon ! Surtout à ce prix... Édit : après 2 mois intensif d'utilisation, je peux dire que la qualité est là. Je l'utilise avec une smart watch, je l'ai pratiquement 24/24 car je dors avec, je cours avec donc transpiration et le bracelet ne bouge pas. Aussi bien que l'original qui était aussi en cuir ! Très bien donc ! Surtout au vu du prix.</t>
  </si>
  <si>
    <t>Réponds à mes attentes Hotte qui convient tout à fait à ma grande cuisine. Elle s’est tout à fait fondue dans celle-ci. Elle Couvre une grande sure face et La puissance d’aspiration est très bonne (je ne m’attendais pas à ça). Les lampes sont très pratiques pour le soir ! Plusieurs niveaux de puissance (afin d’avoir un compromis entre le bruit et l’efficacité!).</t>
  </si>
  <si>
    <t>très bon produit produit racheté car très efficace tout l'hiver : quelques gouttes le matin ont permis d'éviter les otites pourtant récurrentes chez ma fille dès lors qu'elle faisait une rhinopharyngite. Avec la propolis, les rhumes disparaissent en quelques jours sans aucune complication.</t>
  </si>
  <si>
    <t>Magnifique Superbe collier reçu avant la date prévu, je le voyais légèrement plus grand mais comme la personne à laquelle  il es destiné aime les bijoux discret c'est le top.</t>
  </si>
  <si>
    <t>montres Des montres chronographe comme ça j'adore belle couleur, facile la mettre au bras même pour un handicaper, c'est pas comme pour toutes les montres?????</t>
  </si>
  <si>
    <t>Passable Très bien Taille bien Qualité médiocre</t>
  </si>
  <si>
    <t>Parfait Les clips nous ont servi à accrocher la guirlande lumineuse à l'extérieur. On a bien nettoyer avant de les coller sur les bandeaux PVC. On a pu accrocher notre guirlande de 100m sans problèmes. Cela fait un peu plus d'un mois que tout est installé et aucun clip n'est tombé malgré le vent et la pluie qu'il y a pu avoir ces derniers jours. Je recommande +++</t>
  </si>
  <si>
    <t>Niquel Rien a dire . Conforme au titre</t>
  </si>
  <si>
    <t>Elles fonctionnent parfaitement bien sans jamais sécher. Ces cartouches sont chéres mais elles ne séchent pas et fonctionnent parfaitement bien.Je les recommande donc malgré leur prix élevé.</t>
  </si>
  <si>
    <t>Déçu Tient bien au pied comme je le souhaitai mais mauvaise qualité des matières: Le feutre extérieur s'abime très vite et le rembourrage intérieur devient très vite nauséabond alors que je n'ai pas de problème de transpiration des pieds et que de plus je les utilise pratiquement systématiquement avec des chaussettes</t>
  </si>
  <si>
    <t>Maivaise qualité de la semelle. Au bout d’1mois et demi, alors que je suis chauffeur routier ( donc elles ne souffrent pas trop ) , la semelle est deja fissurée sur le côté. Pas de bonne qualité</t>
  </si>
  <si>
    <t>Pas bien Pas bien car voila plusieur mois nous en avons acheter pour toute la famille et elle se déforme ne sont pas confortable quand on marche pour les semelles blanches elle est trop vite endommagé, dommage</t>
  </si>
  <si>
    <t>pratique et sobre... pour une utilisation quotidienne, sobre pratique et qui correspond a mes attentes... une tablette un bouquin, un magazine... un sac réutilisable pour des courses éventuelles... Mes papiers et autres, tout rentre sans gonfler le sac... pratique quoi</t>
  </si>
  <si>
    <t>Stiafaite. Joli collier</t>
  </si>
  <si>
    <t>classique Cette bouilloire est très classique tant dans son design que dans ses fonctionnalités. L'aspect acier brossé est désormais très répandu, il manque un peu de fantaisie. Par rapport à mon ancien modèle, je note une montée très rapide en température, son principal atout à mes yeux. J'aime bien le principe du filtre anti calcaire amovible qui peut ainsi être facilement nettoyé. Le prix est dans la fourchette haute de ce type de produit, il ne sera donc pas ici un argument d'achat. Une fois bouillante, l'eau s'écoule très bien, ce qui évite de se brûler, le système est bien conçu. Fabriqué en Chine. Russell Hobbs est une marque anglaise, spécialiste du petit électroménager, dont le siège est situé en Angleterre. Garantie 2 ans mais une année supplémentaire est offerte à condition de s'enregistrer sur le site de Russell Hobbs.</t>
  </si>
  <si>
    <t>Pratique Présentation idéale, pratique et utilisation idéale pour de multiples tâches. Bon rapport qualité/prix, livraison rapide.</t>
  </si>
  <si>
    <t>Réduction de bruit Utilisation en train et transports en commun : réduction très efficace des bruits continus (roulement de trin, circulation...) En utilisation en tant que piéton, ne pas pousser la réduction de bruit à fond car l'isolement peut devenir dangereux.</t>
  </si>
  <si>
    <t>La qualité Pour moi</t>
  </si>
  <si>
    <t>bingo Effectivement une belle montre - bijoux. Je note un léger décalage sur la trotteuse. Un bon produit A conseiller vivement</t>
  </si>
  <si>
    <t>Quel bonheur de se faire masser à domicile Très bien ce siège masseur mais il ne masse pas les épaules des grands.  Les boules sont un peu dures au debut et après on s'habitue.</t>
  </si>
  <si>
    <t>Cartouches encre Ras</t>
  </si>
  <si>
    <t>Biberon MAM Impeccable !</t>
  </si>
  <si>
    <t>Mam En attente d'utilisation</t>
  </si>
  <si>
    <t>Elle n’est pas ménagée  et elle tiens bon Petit prix et fonctionne très bien</t>
  </si>
  <si>
    <t>J’adher complètement a ce produit biberon J’adore. Je recommande a toutes les mamans. Il n’y a pas meilleur produit pour laver les biberons. Le peoduit sort en mousse et non pas liquide du coup sa ne reste pas accroché au biberon et ne laisse aucune odeur</t>
  </si>
  <si>
    <t>Super Belle qualité de fabrication, finition soignée. La pastille en céramique du brumisateur est recouverte de téflon, ce qui garantit une bonne durée de vie. Les effets lumineux sont ajustables et plutôt sympas. La brumisation est très fine et monte assez haut grâce au ventilateur embarqué qui se montre plutôt discret. Je recommande 👍</t>
  </si>
  <si>
    <t>Absolument génial et le mot est faible sincèrement Ma femme qui souffrait au niveau de la nuque du dos et épaule (on fait beaucoup de moto par obligation professionnelle), a utilisé cet appareil, et ça la soulage vraiment bien. appareil que l'on peut vraiment utilisé sur plusieurs parties du dos épaule nuque et reins. Je l'ai éssayé pour le fun de mon coté, hè bien très agréablement surpris de l'efficacité qu'il procure (moi c'est plutot les reins, qui souffraient nous le recommandons sincèrement.</t>
  </si>
  <si>
    <t>Bonne qualité Utilisation quotidienne,chaussure conforme</t>
  </si>
  <si>
    <t>PARFAIT! Après plusieurs renvois, mon fils est revenu au LEVIS 511 SLIM. La couleur du HEADED SOUTH est très belle, la coupe près du corps mais pas collante (slim!), la matière confortable et le 30/34 parfait pour 1,78m/60kg. Reçu en 24h et enfilé pour le lycée dans la foulée!</t>
  </si>
  <si>
    <t>Pas cher et confortable! Avec l été indien dans le sud ouest, je me suis retrouvé a court de chaussette fine... J ai donc commande celles ci...et j en suis satisfait!!elles tiennent bien...elles ont l'air de bonne qualité...je ne transpire pas a l interieur, et l essentiel, elles sont confortables! bref, je recommande!</t>
  </si>
  <si>
    <t>Bonne qualité et bonne surprise pour des cartouches génériques Lorsqu'on les reçoit, on se demande si elles vont vraiment fonctionner car ne respirent pas la solidité de fabrication. Après installation, aucune mauvaise surprise. Les impressions sont belles, sans tâches d'encre.</t>
  </si>
  <si>
    <t>Super pour débuter! Fonctionnel et pas cher. Si vous cherchez un micro bon et pas cher c'est bien celui-ci. Vous avez plein vidéos sur YouTube sur comment l'installer et l'utiliser. Il vous faudra en plus une source d'alimentation séparée de 48V aussi facilement trouvable sur Amazon. Très bon produit qui a bien passé le test "utilisation par un adolescent" :)</t>
  </si>
  <si>
    <t>la  satisfaction Je fais beaucoup de photo  pour pas avoir de problème avec l'imprimante (hp) je prends les cartouches de la marque depuis longtemps et je n'ai jamais eu de soucis de nettoyage t^te de lecture ou des traces noirs</t>
  </si>
  <si>
    <t>Taille petit Taille petit</t>
  </si>
  <si>
    <t>À éviter. 60 boules dans les dents. Cette paire de baskets est totalement inconfortable, taille trop petit, et c'est une vraie patinoire. Je les ai porté 1 jour et mes pieds en ont souffert. De plus j'ai failli me casser la figure plusieurs fois durant cette journée tant les semelles glissent sur surface mouillée. Comment peuvent ils les intituler "for runner", c'est suicidaire de courir avec ça...</t>
  </si>
  <si>
    <t>Montre d'enfant J'ai demandé trois. J'ai reçu trois, mais d'enfant. J'en ai marre des retours. Je gare les montres. Je trouverais quelqu'un enfant à l'offrir ces petits montres, mais il faut savoir qu'ils montrent des fausses informations.</t>
  </si>
  <si>
    <t>Mauvaise couleur envoyée La couleur reçue ne correspond pas a la couleur commandée. J ai reçu du marrin fonce au lieu du cordo leather (qui est plutôt bordeaux). Donc un peu déçu. Produit néanmoins de bonne qualité.envoi ok.</t>
  </si>
  <si>
    <t>Baskets habillées et féminines J'ai pris ma taille habituelle. Ces baskets font un pied très fins donc sont plutôt habillées et féminines. Par contre il faut avoir un pied effectivement fin pour être à l'aise dedans.</t>
  </si>
  <si>
    <t>Casque audio circum-aural Bonjour bonsoir Le son:je trouve est très bien,je suis pas dj donc un casque pour se chauffé les oreilles en hiver et écouté de la music c'est top. Qualité du casque: je trouve qu'il a l'air fragile donc a faire attention Batterie:AU TOP se connect très vite au appareil Pas déçu du produit et du prix Les coussin sont confortables pour l'instant.avoir avec le temp</t>
  </si>
  <si>
    <t>Chaîne argent ras de cou Pour porter les petits pendentifs en argent en souhaitant que la chaîne soit solide malgré son extrême finesse</t>
  </si>
  <si>
    <t>Pas mal Je ne met que 4 étoiles car même si c'est un peu plus puissant qu'un autre sans fil que j'avais testé , c'est quand même moins puissant qu'un modèle secteur. Un bon point pour les boutons + et - qui permettent de régler l'intensité tout en gardant le même mode. Je reviendrai prévenir s'il arrêtait de fonctionner avant un an (les modèles secteur que j'ai eu ont tous duré environ un an).</t>
  </si>
  <si>
    <t>le prix la comment un peut long</t>
  </si>
  <si>
    <t>Génial ! Très discret et élégant ce collier est parfait pour sortir. Cadeau de noël réussi pour ma part. Je recommande pour le prix bas pour cette qualité.</t>
  </si>
  <si>
    <t>Magnifique boucles d'oreilles Article conforme à la description, livraison rapide et le tout pour un prix imbattable. Elles sont juste magnifiques, pas trop petites, pas trop grandes et elles font chic. Élégantes tout en restant sobre. Je recommande.</t>
  </si>
  <si>
    <t>J'adore Très bon produit fait un peu de bruit mais c'est léger il sert aussi de veilleuse pour les enfants</t>
  </si>
  <si>
    <t>Magnifique! J'adore ce sweat. Il est trop beau et super bien ajusté. L'effet chemise est juste parfait. Je le porte très souvent. Il est vraiment bien.</t>
  </si>
  <si>
    <t>Magnifique coffret avec déco de Noël Très agréablement surprise par la qualité et le design du coffret. Parfait pour Noël . Rien qu en élevant le blister on sent déjà les senteur du coffret. Cadeau très sympa</t>
  </si>
  <si>
    <t>Super Super je conseille de prendre une taille en dessous de la votre Ça  taille grand Super qualité J en suis à ma troisième paire Très agréable au pied</t>
  </si>
  <si>
    <t>trés bon produit reçu produit de très bonne qualité avec énormément de place pour ranger tout les papiers et autre y compris le mobile tout est zipper et le clip de devant empêche une personne malveillante de l'ouvrir ,maintenant faut voir avec le temps se que cela donne au niveau usure</t>
  </si>
  <si>
    <t>Puma Très bon produit de très bonne qualité le prix est resonable pour se type de chaussures.(il vont très bien avec un jean).</t>
  </si>
  <si>
    <t>Pratique et esthétique Bien équipé en poches et avec une matière sympa, ce sac est très correct pour son prix. Très pratique pour mes déplacements.</t>
  </si>
  <si>
    <t>Jolie montre très tendance Très belle montre reçue bien protégée. Elle est imposante mais sans l’être de trop ce qui est agréable une fois au poignet. Le bracelet en cuir est rigide et il se fait bien au bout d’une semaine. Le mélange chronographe et affichage numérique est plaisant surtout avec la fonction light qui éclaire l’heure. C’est une montre très sympa comme idée cadeau.</t>
  </si>
  <si>
    <t>Parfait Il ne faut pas hésiter une seconde pour l'achat de cette lampe, parfait pour une chambre d'enfant. Fait office de veilleuse pour la nuit, l'enfant peut choisir sa couleur préférée, parfait pour lire les histoires du soir. Facile d'utilisation... Vraiment rapport qualité/prix excellent!</t>
  </si>
  <si>
    <t>lampe wilit Avec ses 3 intensités de lumière et son orientation comme on veut, cette lampe est parfaite. Son look moderne est très apprécié par mes ados. Sa base lumineuse de la couleur que l'on choisit est vraiment sympa. A noter qu'on peut allumer la base colorée+lampe ou seulement la lampe ou uniquement la base. Je suis très contente de cet achat pour 2 de mes jeunes (garçon et fille).</t>
  </si>
  <si>
    <t>Très jolie Montre très simple, petite taille pour petit poignée</t>
  </si>
  <si>
    <t>pratique bon produit</t>
  </si>
  <si>
    <t>Sacoche bandoulière Très belle sacoche bandoulière en cuir et très solide. Je suis très content de mon achat.</t>
  </si>
  <si>
    <t>Anti-vol Colis reçu très beau mais malheureusement avec un Anti-vol.</t>
  </si>
  <si>
    <t>Produit médiocre qui ne fonctionne qu’à moitié. Oreillette droite ne fonctionne pas, une voix indique en permanence  que la batterie est déchargée. Qualité du son de l’oreillette gauche médiocre . Difficile d’extraire les oreillettes du boîtier de charge. Retour du produit indispensable.</t>
  </si>
  <si>
    <t>Vos son prix Mis une fois... entre jambes déchirées</t>
  </si>
  <si>
    <t>Conforme à la commande Niveau taille, grand débat sur le sujet, je fais un bon 44 et elles sont tout pile (même pas 1/2 centimètre à l'avant et à l'arrière) donc cela me convient. Niveau couleur, super et conforme à l'image ! Lorsque je le les essaie, je ne sais pas si c'est par manque d'habitude, mais j'ai trouvé ce modèle "rigide", la semelle plate et lourde et les lacets bleu qui faisait légèrement mal aux pieds. On va voir avec le temps si elles se font ... Satisfait de l'achat pour le moment</t>
  </si>
  <si>
    <t>je suis très contente de mes feutres...... très bon matériel, j'ai reçu mes feutres 48 heures après ma commande. il n'y a aucun double .  La boîte métallique  !!!!super idée! et 3 plaquettes de feutres aussi on peut bien étaler toutes les couleurs et voir le dégradé? et travailler dans le détail ... les pointes sont ultra fines! je suis VRAIMENT satisfaite de ces feutres  ..amateurs de coloriages!!!! foncez achetez les  ils sont trop trop bien!!!!</t>
  </si>
  <si>
    <t>Colle parfaitement Ces pastilles sont très efficaces car elles collent vraiment bien. Seul le système pour les retirer n'est pas toujours très pratique et coince parfois.</t>
  </si>
  <si>
    <t>Avis différent Ma petite fille de 4 ans1/2 l'apprécie puisque je dois le "(re-re-re) lire". Cependant, elle ne parle pas du contenu du livre alors que généralement, elle questionne sur le comportement, la motivation, les paroles des personnages. Pour moi, c'est un livre difficile à lire, en y mettant de la vie, lors des premières lectures. L'histoire est bien, les dessins moyens, la fin est joyeuse. Je suis plutôt mitigée.</t>
  </si>
  <si>
    <t>Très confortable Très confortable</t>
  </si>
  <si>
    <t>parfait J'ai adoré l'emballage à première vue le petit mot à l'interieur et le decoupage la joie sur son visage elle l'a adorée le cristal fait vrai diamant trop beau ce pendentif</t>
  </si>
  <si>
    <t>Confortables et légères Souffrant de tendinite du talon d'achille et d'épine calcaneenne,  mon kiné m'avait conseillé d'acheter des baskets avec talon surélevé pour ne pas avoir tout le poids du corps sur les talons. Et comme je porte des semelles orthopédiques pas facile de trouver....jai essayé ces baskets, je chausse du 39 et pour etre à l'aise avec les semelles et ne pas comprimer le pied j'ai pris la taille 41 (la forme des baskets fait des petits pieds donc ce n'est pas un problème)... er bien je suis enfin soulagée et les douleurs disparaissent peu à peu. De plus sont très légères et le pied respire...bref je recommande.</t>
  </si>
  <si>
    <t>Bon achat Conforme à mes attentes.</t>
  </si>
  <si>
    <t>rien à dire pour le prix. par cette chaleur, cette robe est une vrais bonheur à porter. le rapport qualité prix est très correct. je recommande. j'avais commandé une taille de plus que la mienne, et c'est bien ainsi.</t>
  </si>
  <si>
    <t>Positif Conforme à la description toujours moins cher qu’en commerce</t>
  </si>
  <si>
    <t>belle bouilloire Efficace, belle, relativement silencieuse Un soucis avec le premier modèle mais le SAV de Russell Hobbs a très vite et bien réagit</t>
  </si>
  <si>
    <t>Un son pur comme au cinéma ! RAS casque excellent couplé à un mixamp astro.La qualité du casque est indiscutable, le son est pur et indescriptible.Petite précision que je n'avais pas trouvée avant d'acheter mon MMX300, OUI il est tout à fait possible de posséder ce casque sans mixamp ! Sur ps4 vos amis vous entendront  parfaitement  et le son sera bon.Simplement pour obtenir tout le potentiel du MMX300 et ce qui fait la raison de sa renommée (et sont prix), il est évident qu'un mixamp est indispensable.le MMX300 c'est comme un très bon home cinema mais directement dans les oreilles.Ideal pour call of duty .</t>
  </si>
  <si>
    <t>Modèle très joli Ces boucles sont de petite taille donc assez discrètes pour quelqu'un qui n'aime pas les gros bijoux. Le coloris est joli car ça brille bien. Super</t>
  </si>
  <si>
    <t>Très bien Livraison très rapide, produit conforme et correctement emballé Pas encore testé mais je n'ai aucun doute sur la qualité Adam Hall au vu des commentaires sur les forums</t>
  </si>
  <si>
    <t>Baskets Très bien</t>
  </si>
  <si>
    <t>Filtres MELITTA 1X4 J'utilise ces filtres depuis des années, et j'en suis toujours satisfait</t>
  </si>
  <si>
    <t>Top Top !</t>
  </si>
  <si>
    <t>Beau design avec du style. Je recommande. Cuir de bonne qualité, souple et vintage. Parfait pour un usage au quotidien. Le produit est conforme aux photos et au descriptif. Beau design, sobre et avec du style !! Belle finition intérieur et exterieur. J'en suis très satisfait et je vous le recommande.</t>
  </si>
  <si>
    <t>Micros robustes et son d'excellente qualité Très bon produit avec un excellent rapport qualité/prix.  Seul les interrupteurs ont l'air fragiles et ne coulissent pas bien. Dommage car tout le reste semble de très bonne qualité (micros robustes en aluminium épais avec écran pour les fréquences, unité de réception avec écran digital). Le son est également excellent pour un produit de ce prix et il y a très peu de larsen. La portée est également très grande (30m). Alimentation par 2 piles AA.  Franchement, à ce prix là, il faut pas hésiter pour les soirées karaoké ou tout autre usage.</t>
  </si>
  <si>
    <t>Ne s'efface pas ! J'ai acheté ces feutres craies en pensant que je pouvais les utiliser sur le tableau en ardoise que j'avais, Mais ! Toute contente, je commence à écrire dessus et au moment d'effacer, oups, ça ne partait pas. J'ai pris un chiffon, une éponge mouillée, mis du savon, mais la trace reste. Peut-être qu'il faut des tableaux spéciaux pour ces feutres. Je vais prendre des craies classiques du coup.</t>
  </si>
  <si>
    <t>Mauvais lot J'ai été particulièrement déçu de ce modèle.  En effet, fidèle à la marque, j'ai depuis de nombreuses années eu plusieurs modèle. Après que les anciennes aient laché (au bout de 1 an et demi), je me suis donc tourné vers celles ci, espérant qu'elles dureraient aussi longtemps. Cependant, la partie en plastique s'est cassée en moins de 3 semaines, je suis donc très décu, j'ai donc acheté un autre modèle, et je ne me tournerais plus vers celui ci.</t>
  </si>
  <si>
    <t>Indispensable pour un rig mais.... Pour connecter mon LG V30 à mon micro RODE c'était l'accessoire indispensable pour monter sur un rig rigide. Mais ne convient absolument pas pour raccorder un rode sur un gimbal tel que le zhiyun smooth 4. En effet le cable tire sur le smartphone et déséquilibre totalement l'horizontalité que doit avoir l'appareil. Vous vous retrouvez avec un smartphone penché du coté du câble.</t>
  </si>
  <si>
    <t>bon mais trop fin J'aurais pu mettre 4 étoiles parce que pour le prix, c'est pas mal. sauf que c'est trop fin. il faut la poser sur l'ancien tapis de souris, si c'est la même taille. mais même comme ça, elle glisse de dessus l'ancien tapis... je vais devoir la coller....donc, au final : bon mais trop fin!  (d'où le titre)</t>
  </si>
  <si>
    <t>ses dimensions produit facile à monter, je regrette juste que le tube central ne soit pas suffisamment long pour permettre le positionner les écrans plus haut. Bonne qualité.</t>
  </si>
  <si>
    <t>Qualité germanique Ce produit avec jolie design rempli bien son rôle et surtout possède une très bonne conservation de chaleur. A conseiller.</t>
  </si>
  <si>
    <t>Très jolies cartes Très jolies cartes mais un peu petite. Attention quand vous grattez ça laisse des traces.</t>
  </si>
  <si>
    <t>Affichage géant Montre un peu encombrante...mais bon, je cherchais une montre facilement lisible et c'est le cas. Bel éclairage également. Vraiment ce que je voulais.</t>
  </si>
  <si>
    <t>Satisfaction Article reçu parfaitement conforme. Mieux vaut lire le mode d'emploi entièrement avant de régler la montre. Une fois réglée, la montre est bien personnalisée (langue, format date, changement d'heure été /hiver auto, etc...). La mise à l'heure automatique se fait bien chaque nuit par radiocontrol. Pour le raccourcissement du bracelet, il faut aller fouiner sur YouTube car pas d'explication dans le mode d'emploi. En résumé : très belle montre.</t>
  </si>
  <si>
    <t>Bonne bouilloire Après quelques semaines d'utilisation,  très bonne bouilloire, design satisfaisant,  éclairage original. L'eau arrive très rapidement à ébullition.  Remplie toutes les attentes d'une bouilloire. Point très positif : la résistance pour chauffer l'eau n'est pas apparente comme ça l'était dans mon ancienne bouilloire.</t>
  </si>
  <si>
    <t>Parfais pour le sport ! Très agréable à porter, colle bien à la peau parfait pour le sport !</t>
  </si>
  <si>
    <t>ARIZONA Je prends toujours ce modèle très confortable des birks qui tiennent 2 ans en mode pantoufles sur 365 jours. - Taille 38 prendre toujours une taille en dessous. Ravie de ce modèle.tient bien aux pieds Je conseille qualité et prix sur Amazon nulle part ailleurs.</t>
  </si>
  <si>
    <t>baskets Air Elles chaussent très très bien . Je chausse du 38 et j ai commandé du 38. Parfait. Très légère aux pieds . La forme nous fait vraiment un joli pied. Je recommande vivement.</t>
  </si>
  <si>
    <t>La marque veut tout dire Parce que tout simplement, c'est un excellent produit. il remplit son rôle et son côté vintage est très joli. J'avais la bouilloire que j'ai complétée avec ce grille-pain que je conseille grâce à ces multiples réglages et sa facilité d'utilisation.</t>
  </si>
  <si>
    <t>super pratique Permet d'accrocher des tableaux même lourd sans faire de trous au murs et facile à enlever - Ne laisse pas de trace.</t>
  </si>
  <si>
    <t>super c'est la deuxième fois que je prends ce modèle Mon fils en avait reçu une paire l'an dernier à Noël et ils sont encore en très bon état, alors pourquoi lui en racheter: parce que monsieur s'est baladé pieds nus dedans et qu'ils puent et qu'il ne veut plus les mettre, ah les ados!  Bref, j'ai cherché une paire de chaussons en mouton à lui offrir et je suis revenue à ce modèle de très bonne qualité  bien qu'un peu coûteux.  Ils sont très confortables. La laine finit par se tasser à son pied, c'est agréable.  L'avantage du mouton c'est qu'il tient bien chaud sans tenir trop chaud, c'est assez respirant.  D'ailleurs moi-même je porte des chaussons de cette marque: les semelles ne bougent pas.  Par contre ils sont un peu coûteux car ce n'est pas de la laine à l'intérieur mais du synthétique. C'est bluffant mais c'est du faux. Le cuir est vrai par contre.</t>
  </si>
  <si>
    <t>Produit conforme facile a utiliser Produit conforme à l attendu offert à un proche et a beaucoup apprécié le cote tactile et ou l appareil peut rester ranger notamment dans les transports</t>
  </si>
  <si>
    <t>Presque parfait Très efficace pour mes douleurs lombaires dès les premières utilisations je l'utilise régulièrement cependant comme les boules sont un peu dures au début, il suffit d'y rajouter une petite serviette. Cependant la sangle élastique permettant de le fixer un dossier est vraiment trop court.</t>
  </si>
  <si>
    <t>Plus grand et toujours pratique Un peu plus grand que le Calendrier que j'avais pris pour 2019, celui-ci est du même style, et permet de noter ou marquer son emploi du temps, des visites ou évènements (en abrégé, bien sûr). Il sera parfait l'année prochaine, bien accroché au mur. Nota Bene : il est bien de 2020.</t>
  </si>
  <si>
    <t>Superbes chaussons Magnifiques chaussons très confortables pour les soirées d'hiver. Je chausse du 39 et j'ai pris ma taille . Nickel ! La semelle est anti dérapante. La livraison a été très rapide avec premium. Je suis ravie de mon achat</t>
  </si>
  <si>
    <t>👍🏻 Nikckek il bouge pas correspond et est très confortable</t>
  </si>
  <si>
    <t>Très bon et agréable Super produit</t>
  </si>
  <si>
    <t>Super casque, très confortable Vraiment, j'en suis ravie ! J'ai testé plusieurs casques mais je suis assez sensible et je les trouvais tous douloureux à porter au bout d'une heure ou deux. Celui est parfait très adaptable avec ses écouteurs qui tournent dan tous les sens, je peux le garder des heures sur la tête sans qu'il me gène. Il est vraiment très confortable ! Le réducteur de bruit fait bien son job. Le son est bon et l'on peut faire jouer le volume sur une bonne amplitude. Je m'endors souvent avec et on peut baisser le son très bas, c'est agréable. Petit plus, contrairement à beaucoup d'autres, il ne vous hurlent pas dans les oreilles quand il s'allume, se connecte ou s'éteint et surtout il ne hurle pas "Mute" quand on réduit le son !!!! Il tient vraiment longtemps la charge et se recharge plutôt vite d'ailleurs. Le coffret de rangement est super pratique.  Bref, j'ai pas mal hésité avant de le prendre, je voulais vraiment un casque confortable et performant et je me demandais si, vu son prix, il serait assez bien . . . et ben aucun regret et aucune raison de mettre plus cher !</t>
  </si>
  <si>
    <t>Avis mitigé La qualité d'ensemble semblait parfaite mais au bout de 2 semaines les semelles intérieures se décollent ainsi que les étiquettes en caoutchouc derrière les talons. J'espère qu'il s'agit d'un défaut (cela peut arriver même sur une paire de la marque Vans) et non pas d'une contrefaçon. (échange demandé évidemment)</t>
  </si>
  <si>
    <t>Pull Adidas Bien trop grand mal taillé</t>
  </si>
  <si>
    <t>Pas bien isolés trop de bruits Très mauvais pour une guitare, quand je bouge les câbles résonnent dans l’emplis 😬</t>
  </si>
  <si>
    <t>Bon produit Très pratique, on ne peut plus simple d'utilisation. Seule critique: le fil est peut-être un peu court, mais on s'en accomode</t>
  </si>
  <si>
    <t>Ok pour l'extérieur pour linstant Semelle intérieure qui se dégrade, mise qu'une seule fois</t>
  </si>
  <si>
    <t>Excellent Excellent, facile à installer. Fais un peu de bruit avec l'eau mais ça reste discret.</t>
  </si>
  <si>
    <t>Très bon rapport qualité/prix.Bon achat Très belle montre de classe pour le rapport qualité/prix.Fidèle à la description.Je recommande cet article et les autres modèles à qui veut offrir un beau cadeau ou pour soi-même.</t>
  </si>
  <si>
    <t>Facile à installer, à régler, image correcte Vidéoprojecteur facile à installer et à régler. Je l'ai vissé sur un pied d'appareil photo, c'est plus simple (à mon goût) à ranger après la projection. Une installation pérenne demanderait une fixation au plafond comme d'autres l'ont fait... Certains acheteurs se sont plaints du bruit, je ne l'ai pas trouvé gênant, le son du film le couvre facilement. Mais il sature si l'on pousse le volume. Penser à investir dans des enceintes (ou le brancher sur une chaine hifi, des câbles CINCH sont fournis, ainsi qu'un câble HDMI). Livraison rapide, emballage correct. Attention ! Faites l'obscurité dans la pièce pour de meilleurs résultats. J'ai aussi investi dans un écran de projection de qualité, presque aussi cher que le projecteur ! En résumé, excellent rapport qualité-prix !</t>
  </si>
  <si>
    <t>Biberon top Biberon très pratique, simple à nettoyer, prise en main aisée. Les tétines sont bien adaptées à bébé, avec des tailles différentes. J’utilisais taille 0-6 mois en S pour du lait AR sans souci. Actuellement, bébé boit toujours son lait AR, avec céréales; il a 6 mois, je prends tétine taille 6-18 M voir L. La valve pour les bulles d’air marche très bien.</t>
  </si>
  <si>
    <t>Air max Taille respecter</t>
  </si>
  <si>
    <t>Réveil en douceur pour les enfants C'est la 2e fois que nous achetons ce réveil suite à un oubli en vacances, et il est vraiment super. Les musiques sont agréables, la fonction aube permet aux enfants de se réveiller en douceur les matins d'école. Emploi facile et intuitif. Très léger bémol sur le fait que toutes les fonctions ne sont pas accessibles quand il n'est pas branché sur secteur.</t>
  </si>
  <si>
    <t>Trés jolie bijou Je recommande</t>
  </si>
  <si>
    <t>satisfait elle est bien portée la montre et va très bien sur son bras , il est satisfait , il est prêt à le recommander</t>
  </si>
  <si>
    <t>Chill Un siège massant pratique et agréable. On peut le mettre sur le canapé, sur une chaise ou couché, il fonctionnera très bien. On peut même le mettre dans la voiture avec une prise allume-cigare. Il est super complet  avec l'assise massante, le dos, mais  aussi la nuque et le cou ce qui fait vraiment la différence par rapport aux autres produits plus simples . L'intensité n'est pas réglable mais je crois que c'est dû au shiatsu (technique de massage), en tout cas je trouve le dosage parfait. Il est de bonne qualité et je m'en sers régulièrement en fin de journée pour me détendre sans avoir eu à m'en plaindre.</t>
  </si>
  <si>
    <t>Tres bien! Belle montre  très simple les aiguilles s éclairent cadran lisible . Montre très complète pour un prix intéressant . Je recommande!</t>
  </si>
  <si>
    <t>Incompatibles MaJ compatibles et juste parfaites Je viens de remplacer une cartouche vide de mon à imprimante et malgré ce qui est stipulé sur l’emballage en terme de compatibilité, cette carte n'est pas Reconnue par mon ho officejet pro 8210. Que puis-je faire? MaJ: après contacts avec HP le soucis venais de mon imprimante dont la régionalisation n’était Pas correcte. Problème résolu. Les cartouches fonctionnent à la perfection.</t>
  </si>
  <si>
    <t>Au Top &lt;div id="video-block-R2D9MRBHWSOPHG"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id="23" preload="auto" src="https://images-eu.ssl-images-amazon.com/images/I/A1uxvQE4qvS.mp4" style="position: absolute; left: 0px; top: 0px; overflow: hidden; height: 1px; width: 1px;"&gt;&lt;/video&gt;&lt;/div&gt;&lt;div id="airy-slate-preload" style="background-color: rgb(0, 0, 0); background-image: url(&amp;quot;https://images-eu.ssl-images-amazon.com/images/I/91i7XkSEx7S.png&amp;quot;);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value="https://images-eu.ssl-images-amazon.com/images/I/A1uxvQE4qvS.mp4" class="video-url"&gt;&lt;input type="hidden" name="" value="https://images-eu.ssl-images-amazon.com/images/I/91i7XkSEx7S.png" class="video-slate-img-url"&gt;&amp;nbsp;Les écouteurs sont vraiment de qualité rien qu’au packaging on sent que c’est de la qualité, le son et juste parfait comparé à mes ancien écouteur Be.. By D... les basses au top le est son clair la boîte de rangement et prend un peu de place mais elle est très pratique, je peux que recommander c’est écouteur qualité prix on est top.</t>
  </si>
  <si>
    <t>Le confort et toujours un très bon chaussant Le confort allié comme toujours chez Merrell à un très bon chaussant. Ces mocassins s'enfilent très rapidement et sont parfaits pour la ville ou pour conduire. Ils se chaussent rapidement après une rando ou une séance de sport. La qualité du cuir Nubuck est parfaite ainsi que celle des coutures. J'y rajoute personnellement une semelle de correction avec voûte (D4) Prendre chez Merrell une pointure de plus.</t>
  </si>
  <si>
    <t>Cadeau avec bcp d'effets!!! Livré dans les temps avec Amazon Prime. Cadeau offert à ma chérie pour son anniversaire. Elle a kiffé!!! Taille standard, léger et trop stylé. Ce cadeau a eu l'effet que je voulais. Très bon rapport qualité prix. Je le recommande comme idée de cadeau. Bon achat  à tous !!!</t>
  </si>
  <si>
    <t>Super Je suis vraiment très content de cet achat ! Les baskets sont très bien taillées, c’est parfait Elles sont confortables et légères</t>
  </si>
  <si>
    <t>Nickel et classe. Pas cher pour cette qualité. Je l'ai reçu vendredi dernier le 1er février. Comme convenu dans les délais. Article très confortable et agréable à porter puis suffisamment chaud même pour la météo hivernale et les beaux jours. Je le recommande vivement à tous les hommes pour un rapport qualité prix et de marque. Taille L. C'est impeccable. Je mesure 1.67 mètres et 76 kilos. Parfait merci.</t>
  </si>
  <si>
    <t>Très bon produit! Super! Exactement ce qui je besoin! Je tout les temps mal a la nuque et ce masseur fait un travail formidable et ne se fatigue jamais :)))) Je suis tres contente de cette marque, c’est le deuxieme produit qui j’achete et je pense acheter aussi un pour ma sœur. Je recommande!</t>
  </si>
  <si>
    <t>parfait c'est la bouillote a avoir. Vraiment trés bien et efficace. Aucune odeur contrerement aux autres commentaires que j'ai pu lire.</t>
  </si>
  <si>
    <t>je suis très satisfait de ce produit,jamais déçu par la marque Timberland ne décevra jamais!!!!un produit sur a 100/100.je recommande cette article.l article étais exactement ce que j attendais.livraison très rapide et efficace.timberland</t>
  </si>
  <si>
    <t>Rapport qualité-prix contestable 7 € (prix à ce jour) les deux absorbeurs d'humidité à accrocher en penderie, c'est un peu cher en regard de l'efficacité réelle : de fait, un véritable problème d'humidité dans une maison ne se traite pas avec des solutions jetables au bout de 6 semaines. Il faut quand même noter que Rubson n'a pas mis un parfum agressif, ce qui est un point positif. Sinon, il faudra trouver autre chose pour traiter un problème d'humidité constant : les contraintes et limitations de ce type de produits sont trop fortes. Dommage !</t>
  </si>
  <si>
    <t>Nul Alors la ;vraiment nul ....le papier ne vaut même pas la qualité d'un papier qualité 👍le prix gagnant de chez dia....ou aldi....je déconseillé vivement</t>
  </si>
  <si>
    <t>Attention aux tailles Déception. J ai pourtant bien regarde avant de commander...que dire lorsque les tailles ne sont notées qu' en us et donc forcément trop petites.</t>
  </si>
  <si>
    <t>Repose bras.. H.S Bonjour,  J'ai acheté cette table il y a un mois, je l'utilise 5 à 6 fois par semaine et le repose bras accroché à la tétieère est déjà cassé.. la petite patte en plastique sur lequel on attache une des sangles est cassée.. ce qui le rend inutilisable. Les reposes bras sur les côtés.. vu le système de maintien... je ne les mets même pas, ça risque de très mal vieillir à être retirer et remis assez souvent. Pour le reste, elle fait son travail... A voir si la table en elle même tient plus longtemps que les plastiques des reposes bras. Elle reste malgré tout confortable.</t>
  </si>
  <si>
    <t>Facile d’utilisation. En complément deux électrodes Excellent appareil pour déclencher des contractions musculaires par les courants électriques transmis sur la plante des pieds et qui vont sollicité les différents muscles des pieds, de la jambe, jusqu’à déclencher des basculent du pied au niveau de la cheville. En fonction de l’intensité réglé, on sollicite des muscles plus éloignés des plantes de pieds.</t>
  </si>
  <si>
    <t>BEAU SWEAT SHIRT HOMME Bel article, pas cher et de bonne qualité, ceci fait le 2ème que j'achète et rien n'a redire, en plus livraison très rapide.</t>
  </si>
  <si>
    <t>Belle montre à très bon prix un bémol la notice en anglais( pas un un problème pour moi) n'est pas bien détaillée et l'outil livré avec pour enlever des maillons n'est pas adapté pour le bracelet. Comme j'ai un kit ça ne m'a pas posé trop de problèmes. Le résultat est une montre chic qui devrait faire le job. Je recommande</t>
  </si>
  <si>
    <t>de bons pinceaux Le lot comprend une bonne gamme de pinceaux plats. J'aime moins les deux palettes. Il aurait été préférable de n'en mettre qu'une mais qui se referme afin de ne pas avoir à les laver (et gâcher de la peinture) à chaque fois. Je conseille néanmoins.</t>
  </si>
  <si>
    <t>simple et efficace doux et résistant, très utile au quotidien. C'est devenu un achat régulier</t>
  </si>
  <si>
    <t>tigex parfait Vraiment étonnée par le tarif pas cher et ultra pratique. J'arrive à mettre jusqu'à 4 biberons démontés dedans. Et les grands c'est pareil. Du coup juste parfait, stérilisation en 3 min au micro onde. Ça change la vie.</t>
  </si>
  <si>
    <t>Les boucles d'oreilles sont de qualité est très jolie. Très satisfaite de ma commande.</t>
  </si>
  <si>
    <t>Bien équipé ! En randonnée, dès qu’on commence à crapahuter sur des chemins escarpés, il devient indispensable de bien s’équiper afin d’avoir chaussure qui adhère bien, avec un bon amorti et où la cheville est bien maintenue pour éviter toute entorse, principal danger en montagne, le summum consistant en une paire waterproof lors des franchissements de cours d’eau où il n’est pas rare de finir le pied dans l’eau. Cette paire réunit toutes ces conditions avec un look des plus classiques, de couleur sombre, pour éviter qu’elles ne salissent trop vite ou du moins que cela ne soit trop visible.  Prises en taille 44 pour moi qui chausse habituellement du 43, j’ai l’habitude de prendre une pointure de plus pour pouvoir y insérer des semelles orthopédiques. Et là elles me vont parfaitement avec ma semelle qui s’insère sans problème. On peut donc prendre sa taille habituelle. Le côté étanche est vérifié dans des flaques d’eau. Forcément, il ne faudra pas intégralement mettre le pied dans l’eau au risque de mauvaises surprises, car au niveau des chevilles, nous ne sommes plus protégés. On a parfois tendance à s’enhardir et à prendre trop de risques en pensant qu’on est bien à l’abri et on voit trop large lors de franchissements avec de l’eau bien en dessus de la cheville qui file directement dans la chaussure.  Habitué de la marque, je n’ai jamais été déçu avec des produits vraiment qualitatifs qui durent bien dans le temps. Le prix est situé dans la moyenne du secteur (autour de 90€ en marron pour du 44) pour des chaussures montantes, agréables à porter et étanches.</t>
  </si>
  <si>
    <t>Acheté pour un cadeau La personne pour qui j'ai acheté ces baskets est totalement ravie</t>
  </si>
  <si>
    <t>Jolie montre Belle montre , très élégante, on verra dans le temps !</t>
  </si>
  <si>
    <t>Joli lot ! Très joli lot de 3 biberons au look sympa et très bien étudiés ! Aucun souci pour bébé qui s'adaptera facilement grâce aux tétines plates. De plus, les biberons sont en verre, ce qui est recommandé pour les petits pour plus de sécurité. Un très bon achat qui peut être un chouette cadeau utile !</t>
  </si>
  <si>
    <t>Pochette grise Eastpark Je suis enchantée de cet achat qui correspond tout à fait à mon besoin, cad une pochette bandoulière discrète afin d'y ranger le portable, qques accessoires indispensables etc……..lors de ballades et même en ville. Le produit est tout à fait conforme à la description. Possède de multiples séparations, belle finition, un certain look,un beau gris moyen tendance. Peut-être comme l'on dit certains, une bandoulière un peu plus large ?……. Je recommande ce produit. Marie-Claire</t>
  </si>
  <si>
    <t>Superbes Magnifiques chaussures, confortables, taille correctement. Envoi rapide et bien emballé.</t>
  </si>
  <si>
    <t>Top Bébé est content de sa tétine ! Lavage au lave vaisselle sans problème !</t>
  </si>
  <si>
    <t>Super sweat Logo brodé donc moins fragile et plus propre qu' 'un flocage.Très bonne qualité et très joli sweat</t>
  </si>
  <si>
    <t>Bracelet Parfaitement adaptés à mon bracelet</t>
  </si>
  <si>
    <t>méga STAR Pour sa fonctionnalité et son café a la sortie une pure merveille rien ne vaut ce procédé,je le recommande à tous les amoureux du bon café.</t>
  </si>
  <si>
    <t>Tres bon produit Bon casque</t>
  </si>
  <si>
    <t>Nice product,!!! J'utilise le diffuseur depuis deux semaines et je suis satisfait du produit. Le diffuseur fait le travail parfaitement et il est automatique de sorte qu'il est possible de régler la minuterie et il s'arrête automatiquement. De plus, la forme du diffuseur est jolie lorsque la couleur du diffuseur est conservée. Il y a différentes couleurs qui peuvent être définies et son look est vraiment sympa. Je le recommande totalement</t>
  </si>
  <si>
    <t>Veste femme Bien chaud et bonne tenue même au lavage. Je recommande</t>
  </si>
  <si>
    <t>Qualité De qualité moyenne. Assez décevant. Il n'est pas assez épais et donc se déchire facilement. Je ne le recommande pas.</t>
  </si>
  <si>
    <t>Decue Les chaussures se sont déchirées sur un bord au deuxième coup que je les ai portées et irréparables . Je suis vraiment déçue !</t>
  </si>
  <si>
    <t>Beau mais... Bien mais déçue quand même il est de bonne qualité mais il est serré au ventre et trop large aux jambes du coup le rendu bof je suis colopathe donc je ne supporte pas les elastiques trop serré sur le ventre alors je ne peux pas prendre la taille m il sera trop serrer ... dommage car ils sont très beaux sinon</t>
  </si>
  <si>
    <t>sweet à capuche le XL correspond à du L  donc attention à la taille</t>
  </si>
  <si>
    <t>collier s'enroule un peu, petite pochette, très discret et conforme car transparent</t>
  </si>
  <si>
    <t>Pratique et beau arrivée dans les délais fidèle à la photo à savoir les Nike taillent plus petits ( une taille en dessous) prévoir toujours une taille au dessus mais elle sont conformes et belles comme sur la photo</t>
  </si>
  <si>
    <t>Je recommande vivement Je recommande vivement</t>
  </si>
  <si>
    <t>Bon produit A voir la résistance dans le temps...mais sinon, en effet, très silencieuse, rapide et réglage température facile et pratique... Juste pour le côté fun, j'aurais bien aimé que la jauge d'eau s'allume en bleu également...</t>
  </si>
  <si>
    <t>Très bonnes botes Très confortables et de très bonnes qualité. Parfaites pour le jardinage et les promenades Ne se déforment pas et sont plutôt belles .</t>
  </si>
  <si>
    <t>impeccable bonjour je viens de recevoir ma commande de chaussettes elles sont de bonne qualité la taille correspond a ma commande le produit correspond exactement a la description faite je suis ravi de ma commande merci</t>
  </si>
  <si>
    <t>Très bien Le plastique chauffe un peu il faut faire attention de ne pas se brûler. Mais par sa petite taille elle fait largement l'affaire !</t>
  </si>
  <si>
    <t>Jolis et confortables Trop contente reçu à ce jour et je ne regrette pas d’avoir saisi l’offre en vente flash, les chaussures sont Perfect!</t>
  </si>
  <si>
    <t>Kit complet Kit de cartouches toujours utile.</t>
  </si>
  <si>
    <t>Excellent ! C'est LE micro à avoir pour son appareil photo. Il est juste au top du top pour faire des vlog ou des vidéos de vos vacances.</t>
  </si>
  <si>
    <t>Parfait Correspond totalement a la description. Vraiment de bonne qualité... Rien a signaler concernant l'emballage. Rapidité d'envoi parfait. Je recommande et si besoin de plus je rachète le même.</t>
  </si>
  <si>
    <t>Produit conforme Que dire de plus pour la moitié du prix. Impec pour ceux qui fument les roulees avec des filtres</t>
  </si>
  <si>
    <t>Pas déçu Rapport qualité prix 🏆 ça fait déjà la troisième fois que je commande avec eux et je suis vraiment pas déçu et je compte continuer.</t>
  </si>
  <si>
    <t>Le top Je rédige l'article après 3 ans de loyaux services. Elle est toujours là. La pile aussi d'ailleurs.  Je ne m'en lasse pas.</t>
  </si>
  <si>
    <t>Joli bracelet Qui a fait très plaisir à ma maman</t>
  </si>
  <si>
    <t>sté R. S . . COM . un remerciement d'abord à la sté R.S. .COM qui à mis à ma disposition un nouveau radar beaucoup plus récent tout en gardant le meme prix . chapeau !!! . rs.com à été remerciée par email dés réception de l'appareil . pour l' immédiat je ne puis me prononçé correctement sur cet appareil qui se trouve à l'essai dans ma voiture .</t>
  </si>
  <si>
    <t>Taille mal Prix du 44 est trop petit pourtant ma pointure</t>
  </si>
  <si>
    <t>Excellent ! Excellent ! Pour son prix je n'en reviens pas. Recherchant des chaussures de sécu sans cuir,  je me suis porté vers ce modèle. J'en suis très content ! Elles sont confortables et très bien conçues, et semblent robustes et solides, à voir dans la durée maintenant. Mais je ne m'attends pas à ce qu'elles me durent plus d'un an, comme toutes les chaussures de sécu que j'ai eues.  Attention à la taille toutefois, habituellement je prends du 43 et là j'ai pris du 42 et  c'est nickel.  Je recommande chaudement.</t>
  </si>
  <si>
    <t>Ravie Je suis ravie de mon achat. arrivé avant la date annoncé. Pour un XL il taille très bien ( je fais un 48 bas ).</t>
  </si>
  <si>
    <t>Vendu par Amazon.FR - fiche 220V "italienne" incompatible. Produit vendu comme neuf, reconditionné par Amazon et vendu sur Amazon.FR... Le produit reçu était neuf, la boîte encore fermée par le scellé de Philips, mais le descriptif sur la boîte, tout comme la notice n'était pas en français. J'étais content d'avoir reçu un produit neuf, mais j'ai déchanté quand j'ai constaté que la fiche plate 220V était une fiche italienne à 3 broches incompatible (à moins de scier la broche centrale). J'ai retourné le produit inutilisable. Dommage. (voir photo)</t>
  </si>
  <si>
    <t>est ce vraiment du rode ? la qualité est totalement hallucinante je pense pas que rode fasse des mousses d'aussi mauvaise qualité je suis vraiment déçu vouloir économiser quelques euros ne vaut pas la peine de partir en vacance avec un produit qui ne me servira surement pas</t>
  </si>
  <si>
    <t>Produit non conforme produit différent de la photo, et non fonctionnel. Quand j'ai ouvert l'emballage il y avait une montre blanche en plastique du style fausse icewatche.... Je ne sais pas si c'est les livreurs ou la société mais à FUIR !</t>
  </si>
  <si>
    <t>ne taille pas grand très bonne qualité mais attention ce sweat ne taille pas grand alors ne vous fiez pas aux mesures au niveau de la poitrine pour choisir la taille.</t>
  </si>
  <si>
    <t>En accord avec le prix..: Pas encore utilisé mais déçue par l’esthétisme. La boîte est vraiment très très grande et ça prendre de la place dans le sac à langer. De plus je trouve que ça fait un peu «&amp;nbsp;cheap&amp;nbsp;» du coup un peu sur ma fin... a voir lors de l’utilisation !</t>
  </si>
  <si>
    <t>Satisfaite Bon produit pour le prix</t>
  </si>
  <si>
    <t>superbe! arrivé très vite, mon mari est superbe dedans, très joli! je recommande!</t>
  </si>
  <si>
    <t>petit mais ultra joli tout est dit dans le titre ! super avec un legging, confortable et chaud ! correspond parfaitement à la photo !!!! je ne le quitte plus ! juste génial ! si je devais mettre un bemole, ce serait que j'aurais aimé le même modèle en plus long pour l'utiliser carrément en robe ! mais c'est vraiment histoire de trouver un point négatif ! allez-y... en prenant une taille au dessus ! ;-)</t>
  </si>
  <si>
    <t>Avis objectif Bonjour, j'ai reçu ses chaussures, elles gardent les pieds au chaud, elles sont confortable, elles sont très accrochantes, sa évite les glissades. En revanche elle sont longues à mettre. Voilà, si sa vous a aidé, n'oubliez pas le vote utile ;)</t>
  </si>
  <si>
    <t>Parfait ! superbement bien présenté dans une pochette en plastique. Puis dans une pochette en tissus qui la contenait. Elle correspond parfaitement a la photo ! je vous la recommande a 1000000000 pourcents !</t>
  </si>
  <si>
    <t>Tres bon rapport qualité prix 2nd achat de ce casque BT et vraiment contente de cet article. C'est vrai que l attache du casque est un peu fragile... le 1er, qui fonctionne encore, s'est cassé a cet endroit mais avec un scotch résistant j'ai pu le maintenir. Je lutilise pour écouter films et audiobooks... je lui trouve une tres bonne qualité d'écoute. Idem pour les appels telephoniques.L appareillage est aisé</t>
  </si>
  <si>
    <t>génial super modèle, taille normalement, modèle à lacets et non à scratch, aucunes ampoules lors des 1ères utilisations, je vous le recommande!!!</t>
  </si>
  <si>
    <t>super le sacs poubelle Handy Bag je vous le recommande il sons trés solide et n e fuit pas trés agréable</t>
  </si>
  <si>
    <t>Très bon produit Produit reçu rapidement ,  je suis content de cette achat conforme et bonne qualité</t>
  </si>
  <si>
    <t>Sacoche en vrai cuir sans doublure qui se déchire et de contenance correcte J'en avais vraiment assez des sacoches à base de plastiques simili-cuir qui sentent mauvais et surtout aux doublures qui se déchirent (doublures où viennent se perdre les petits articles que vous placez dans la pochette, comme les clés), avec très souvent des attaches et des fermetures zippées qui se cassent après peu d'usages. Ici le cuir est solide et n'est pas doublé de rayonne, de sorte que vous avez à l'envers le cuir gratté naturel, à l'odeur agréable de cuir. La fermeture de la pochette est zippée de manière efficace et doublement protégée par un rabat intégral, toujours en cuir épais, qui vient par dessus et fermé par un aimant, celui-ci n'étant cependant placé que pour maintenir le rabat. La bretelle est en coton tressé épais paré de cuir. Précision : C'est une sacoche, ce n'est pas un sac, mais vous pourrez y placer clés, portefeuille, chéquier, porte-monnaie, porte-cartes, téléphone portable, lunettes avec leur étui, sans difficulté...et il vous restera encore un peu de place pour stylo et autres bricoles, l'épaisseur conséquente de la sacoche le permettant. S'agissant de cuir, il sera évidemment un peu brut, et dès la réception passez lui un baume incolore pour cuir, de préférence bio pour garder toutes les qualités naturelles de ce cuir de sellerie. Un petit regret : il y a une bretelle d'épaule, mais pas de poignée à main, ce qui aurait été parfait.</t>
  </si>
  <si>
    <t>décoratif je trouve que c'est une bonne idée de mettre des couleurs correspondant à la température et c'est ludique, dommage qu'il n'y ait pas 75° pour le thé vert, mais on peut quand même avoir du bon thé. L'eau chauffe vite et pour une bonne quantité, je suis pour l'instant ravie reste à apprécier la solidité, là je n'ai pas assez de recul.</t>
  </si>
  <si>
    <t>Solide, joli, pratique Pratique, adapté à tous les biberons. Je l'utilise aussi pour mon tire lait. Joli, il passe au lave-vaisselle donc facile a nettoyer. Je l'ai trouvé plus solide que le fameux Avent.</t>
  </si>
  <si>
    <t>Plaid chauffant ultra doux Livraison rapide et en parfait état.  Le plaid est livré dans une boîte élégante.  Sa grande taille est un atout majeur tout comme sa texture ultra douce au touché.  Le plaid est connecté à une télécommande avec différent niveau de thermostat.  Facile d'utilisation et en plus lavable en machine.  Rien de tel pour rester au chaud.  Je recommande vivement ce produit.</t>
  </si>
  <si>
    <t>Bonne chaussure mais attention taille asiatique. Très bonnes chaussures, attention prendre une taille  ou deux au dessus pour faire l'affaire sur des grandes tailles. Bien vérifier les tailles avant de commander. Elles sont légères, confortable et la coque métallique protège bien le dessus du pied et le modèle noir avec la demi selle rouge est top.</t>
  </si>
  <si>
    <t>Jolie aspect et grandeur idéale Très jolie désigne et elle chauffe très vite</t>
  </si>
  <si>
    <t>Super basket Livraison rapide, basket super jolie et très très confortable vraiment le top du top je conseille. Taille légèrement grande mais ne gêne en rien.</t>
  </si>
  <si>
    <t>Superbe Magnifique chapelet offert pour une communion.</t>
  </si>
  <si>
    <t>Je recommande Conforme à mes attentes</t>
  </si>
  <si>
    <t>tres bon produit pas decu</t>
  </si>
  <si>
    <t>👎🏻 Bof</t>
  </si>
  <si>
    <t>Décevant Tissu très fin, tenue correspondant à un pyjama et non à un survêtement</t>
  </si>
  <si>
    <t>Aucun effet Le 10 Août 2018, j'achetai ce produit afin d'exterminer quelques cafards( blattes) dans mon appartement……..deux mois après, malgré les six boitiers contaminateurs posés, je ne constate aucun résultat positif. J'ai jeté mon argent par la fenêtre, je ne recommande pas cet article.</t>
  </si>
  <si>
    <t>Bien mais Très bien, juste un peu déçu par le bracelet qui m'a l'air plus fragile que ce a quoi je m'attendais, sinon c'est une casio</t>
  </si>
  <si>
    <t>Ou sont les herissons ? J'ai commandé ces biberons pour mon futur bébé. Donc pas encore d'avis sur l'utilisation mais réception rapide, le seul hic. Le dessin n'est pas conforme à l'image, j'ai des petits éléphants au lieu de petits hérissons sur les bibs. Et je les avait aussi pris pour le dessin hérissons donc un peu déçue....</t>
  </si>
  <si>
    <t>Belle acquisition Très bon petit sac Attention cependant à l'odeur assez vive quand il arrive. C'est l'odeur du cuir qui est assez prononcé sur les premiers jours. A laisser au grand air avant utilisation mais sinon sac très esthétique et facile à adapter à toute tenue</t>
  </si>
  <si>
    <t>Confortable et de bonne qualité Très satisfait malgré un prix excessif. Attention si la livraison est effectuée par Colis Privé.... retard et incapable de vous appeler si problème</t>
  </si>
  <si>
    <t>Bon achat Produit conforme à la description</t>
  </si>
  <si>
    <t>Bon produit Ne pas hésiter à prendre 1/2 ou une taille au dessus car la marque taille très juste. Sinon, joli produit.</t>
  </si>
  <si>
    <t>très pratique très pratique pour transporter son appareil photo avec meme un mini trepied !  grand sac qui a de la place et solide! je recommande.</t>
  </si>
  <si>
    <t>Très bien Travail</t>
  </si>
  <si>
    <t>Superbe casque, bon rapport qualité/prix J'ai acheté ce produit pour une utilisation quotidienne et quand je pars en vacances, le son est très net, le casque isole bien des bruits extérieurs même sans la réduction de bruit active et il est très confortable à porter . Les basses que je trouve un point fort  car j'adore quand ça pousse pas mal !!!</t>
  </si>
  <si>
    <t>Excellent produit J'avoue que c'est un produit excellent ! J'ai de bon résultat chaque fois que j'utilise l'impression.</t>
  </si>
  <si>
    <t>BOB Client AMAZONE Je voulais depuis longtemps une montre solaire radio pilotée.Je crois avoir trouvé ce que je cherchais Satisfait très belle montre Peut-être un seul  (bémol)  la couleur bleue du cadran un peu trop foncée</t>
  </si>
  <si>
    <t>basket garçon Bonjour, Parfait. Merci. Vive Amazon.fr</t>
  </si>
  <si>
    <t>Nikel Comme dans mes souvenirs</t>
  </si>
  <si>
    <t>super acheter pour ma fille de la taille de 39 rien a dire il correspondait bien a sa pointure et le prix et attractive  par rapport en magasin</t>
  </si>
  <si>
    <t>Vraiment très bons Très bons feutres très opaques et résistes biens, le noir n'est pas trop brillant et c'est top. Un bon set de départ.</t>
  </si>
  <si>
    <t>Huile de calendula Utilisée pour fabriquer une huile de calendula destinée à soigner les bobos cutanés familiaux. Je cultive quelques pieds de soucis à cet effet.</t>
  </si>
  <si>
    <t>Leggings gris fitness sport Leggings conforme à la description. Là qualité semble bonne et le maintien global également. Rien à signaler. Je recommande.</t>
  </si>
  <si>
    <t>Réveil lumineux Produit très jolie et pratique. Conforme à la description, le mode d'emploi et bien expliqué. Le reveil est tactile vous pouvez mettee des piles ou le brancher pour le faire fonctionner. J'aime beaucoup l'ambiance des lumières. Je valide !!</t>
  </si>
  <si>
    <t>Bon produit, la qualité est présente Très beau bijoux qui met en valeur Il est vraiment joli</t>
  </si>
  <si>
    <t>Super confortable Mon fils le trouve  top pour la play 4</t>
  </si>
  <si>
    <t>Très bien Correspond très bien au besoin de mes enfants. Elles sont souples et durent longtemps. Mes enfants ont toujours une autre marque. Je recommande.</t>
  </si>
  <si>
    <t>Tres mauvaise qualité Renvoyé, aspect très cheap. Ne vaut absolument pas le prix demandé.</t>
  </si>
  <si>
    <t>PEU FIABLE en panne au bout d'un mois et demi d'utilisation (plus de connexions bluetooth!!!) - c'est déjà le deuxième!!!! d'une autre marque mais fabrication similaire. Le vendeur ne se presse pas pour répondre et sa hotline ne fonctionne pas - super les produits chinois!!!</t>
  </si>
  <si>
    <t>Belle chaussures J'ai rendu les chaussures, qui sont très belles mais trop petite.</t>
  </si>
  <si>
    <t>Adaptés aux poubelles simple hulan Bien adaptés a ma poubelle simple human, par contre je les trouve un peu plus fins que prévus et j'ai deja eu à déplorer des fuites</t>
  </si>
  <si>
    <t>Très bon produit Beaucoup moins belle que celle que j'avais avant, une Russel Hobbs également. Cependant elle est très légère, chauffe tres rapidement et surtout extrêmement silencieuse. Le système Anti tartre est très efficace. Je recommande ce produit.</t>
  </si>
  <si>
    <t>Joli mais ne tient pas Jolies couleurs . Personnellement, je trouve que le bandeau ne tient pas bien. Dommage ...</t>
  </si>
  <si>
    <t>Identique Article conforme mais livré 4 jours plus tard.</t>
  </si>
  <si>
    <t>Joli bijou ! Le collier est livré dans un joli écrin, parfait pour offrir.  Je le porte depuis un mois environ et j'en suis ravie...j'ai eu beaucoup de compliments dessus. J'apprécie la chaîne qui est fine et solide.  Je ne l’enlève pas pour la douche et il ne vire pas au vert comme certain bijoux le font.  Je recommande !</t>
  </si>
  <si>
    <t>Très y Très bon rapport qualité prix</t>
  </si>
  <si>
    <t>Taille un peu plus grand Taille un peu plus grand</t>
  </si>
  <si>
    <t>J'aime beaucoup ce casque C'est mon premier casque bluetooth et n'ayant pas besoin d'un casque super cher j'ai pris celui là et il me convient super bien! Il est confortable et la batterie tient longtemps (assez pour moi en tout cas ;)</t>
  </si>
  <si>
    <t>pratique Cet article est pratique. un bon point pour le système de découpe  le film est de bonne qualité. Vivement recommandé</t>
  </si>
  <si>
    <t>Pratique Conforme au descriptif</t>
  </si>
  <si>
    <t>Du très bon café Enfin un vrai café! Depuis le temps que je voulais ce type de machine, je me suis décidée.  Le goût du café fraîchement moulu est nettement meilleur que les autres cafés en poudre depuis plusieurs jours, voire plusieurs mois et qui ont perdus une partie de leur arôme.  Machine facile a utiliser, et le broc thermos est un plus pratique.</t>
  </si>
  <si>
    <t>Très bien Très bonne qualité et solide.</t>
  </si>
  <si>
    <t>Parfait  c est bien les vrai Cadeau offert pour mon mari elles sont très confortable sont belle , propre , aucun  défauts , mon mari est très contente  , se sont bien les authentiques  Stan Smith , merci je recommande</t>
  </si>
  <si>
    <t>Bon son, rien à critiquer, que du plaisir Loisirs</t>
  </si>
  <si>
    <t>Confortable J ai aimé ce produit excellent pas de regret</t>
  </si>
  <si>
    <t>Livraison et baskets impeccables ! Je connaissais déjà ma taille donc parfait. Avis aux pieds un peu larges, le modèle est un peu serré, surtout les premières heures portées.</t>
  </si>
  <si>
    <t>Jolie boucle d’oreilles Très satisfaite de cet achat à petit peu. Légère et jolie boucle d’oreille À mettre principalement en soirée je pense</t>
  </si>
  <si>
    <t>Chaussure de sécurité dommage que les chaussures ne dure pas longtemps</t>
  </si>
  <si>
    <t>Usure et bouloches Après quelques mois d'utilisation, force de constater que la qualité n'est pas au rendez-vous pour ces chaussons. Il y a des bouloches importantes, de l'usure anormale pour des chaussons d'intérieur. Vraiment dommage</t>
  </si>
  <si>
    <t>Confort Pas assez niveau confort</t>
  </si>
  <si>
    <t>Ras Pas vraiment chaud aux endroits sur image</t>
  </si>
  <si>
    <t>Joli bracelet pour les fêtes Ayant profité d'une vente promotionnelle sur ce bracelet, j'ai commandé cet article reçu très rapidement. j'ai pu le mettre pour le réveillon de la Saint-Sylvestre. il a eu un succès fou ! Ce bracelet est très joli avec ces pierres colorées. Par contre, il est un peu lourd au poignet et s'accroche un peu trop au vêtements. Attention aux collants et dentelles !!!</t>
  </si>
  <si>
    <t>BON PRODUIT TRES BON PRODUIT</t>
  </si>
  <si>
    <t>Bien mais pas la qualité attendue pour le prix Lestissus sont de qualité correcte, mais les coutures laissent à désirer.. Il y a un petit défaut de coupe mais rien de grave. La taille L est un peu petite. Je ne rachèterai pas un article similaire.</t>
  </si>
  <si>
    <t>Recommandé Très solide, cependant il faut utiliser les ciseaux pour couper car impossible de couper avec un dérouleur. Cependant cela prouve bien que c'est du solide !</t>
  </si>
  <si>
    <t>Parfait!!!!!! Parfait</t>
  </si>
  <si>
    <t>Très bon rapport qualité-prix Très bon casque tape à l'oeil couleur or.  J'adore . Et les enfants aussi. La qualité est correcte pour le prix proposé. Les différentes fonctionnalités sont satisfaisantes. Les bras du casque sont solides et supportent bien le pliage. L'etui est  renforcé et solide :haute protection du casque. La qualité sonore est à la hauteur du prix. Ce produit reste donc intéressant (  rapport qualité prix)</t>
  </si>
  <si>
    <t>Très fonctionnel Le câble est vraiment nickel, il fonctionne parfaitement sur mon ampli, le bout coudé est très pratique. Je le recommande.</t>
  </si>
  <si>
    <t>Genial Ma fille les adore</t>
  </si>
  <si>
    <t>ADORABLE Adorable histoire qui change des banalités de Noël. Je la recommande dès l'âge de 3 - 4 ans. Images magnifiques.</t>
  </si>
  <si>
    <t>Douce La qualite est bon, douce,  2 ou 3 mins pour prechauffer est assez, je le recommande. la livraison est vite.</t>
  </si>
  <si>
    <t>J’adore Super gadget et pas cher !</t>
  </si>
  <si>
    <t>parfait Cable parfaitement conforme à ma demande. Il m'a permis de relier plusieurs pédale de guitare et de basse ils sont suffisamment solide est blindé pour ne pas générer de bruit.</t>
  </si>
  <si>
    <t>Soulage les migraines Moi qui a souvent des migraines je me suis laissé tenté par cette appareil qu’une amie m’avait parlé. Deux modes de vibration. Et une lumière rouge. Détend super bien &amp;amp; très agréable à faire. J’en suis ravie, ainsi que les autres membres de ma famille.</t>
  </si>
  <si>
    <t>Comme le sein C'est une amie qui m'avait conseillé cette marque lorsque j'attendais mon premier enfant, pour la similitude de forme entre ces tétines et le sein. J'ai maintenant arrêté d'allaiter, mais cette marque me paraît être la seule à si bien imiter la forme du sein, permettant une alternance sein/biberon très sereine.</t>
  </si>
  <si>
    <t>Sympa Ensemble magnifique</t>
  </si>
  <si>
    <t>Au top Super joli</t>
  </si>
  <si>
    <t>Excellent parfait Superbe produit j'adore. Marque super connue. Mais digne de sa réputation. A recommander. Agréable pour marcher mais aussi à porter.</t>
  </si>
  <si>
    <t>Pack familial parfait Ce lot de Frixion est idéal pour les besoins scolaires des enfants. Le prix proposé est bien plus économique qu'au supermarché pour la même quantité de stylos. Ce modèle avec bouchon est préféré par mes enfants comparé au modèle rétractable où la gomme et le poussoir pour sortir/rentrer la mine sont  plus fragiles et donc moins durables dans le temps.</t>
  </si>
  <si>
    <t>defaut  de mise à l'heure cette montre a un défaut et j'en suis très déçu,car le chagement d'heure ne s'est pas fait.Je regrette cet achat.Me dire pourquoi le changement d'heure ne s'est pas fait,rien ne si opposait..</t>
  </si>
  <si>
    <t>Taille grande. Bof bof bof Taille grande. Je n aimes pas trop car on est très a plat dedans. Il n y a pas trop non plus de voûte plantaire sur la semelle. Très déçu.</t>
  </si>
  <si>
    <t>MANTEAU IMPERMEABLE trés déçue par cet article, il n'est pas imperméable,on est mouillé par grandes pluies</t>
  </si>
  <si>
    <t>Problème avec le bouton marche arrêt Très bon  et bonne qualité par contre il as arrêté de s'allumer après la première semaine d'utilisation, si on appuie sur le bouton marche arrêt par erreur on peut jamais l'arrêter</t>
  </si>
  <si>
    <t>Beau design rétro. Cette cafetière  a un beau design rétro. S'intègre bien dans une cuisine vintage. Sans doute un peu chère. Livraison ultra rapide.</t>
  </si>
  <si>
    <t>Belles chaussures Belles chaussures hyper confortable , taille un peu petit mais top</t>
  </si>
  <si>
    <t>satisfaite Je recherchais un biberon en verre dans la gamma avent, ayant le tire lait. Le biberon peut en plus servir de petit pot plus tard avec des disques d'étanchéité.</t>
  </si>
  <si>
    <t>Amélioration à faire pour les lacets sion trés bon produit Pas mauvais, on à plutôt l'impression d’être en baskets sauf que l'on est sécurisé. Par contre les lacets ne sont pas terrible ils effiloche.</t>
  </si>
  <si>
    <t>Très bon produit Cartouche d’encre compatible à ma canon même si dans mon écran ça me marque qui il y a un problème d’imprimante,il faut pas tenir compte,ça fonctionne très bien ,cartouche d’excellente qualité ,livraison rapide ,je suis très satisfaite de mon achat.</t>
  </si>
  <si>
    <t>Tout Normalement pour le travail</t>
  </si>
  <si>
    <t>Rode videomicro + Iphone 6s+ Ce câble marche parfaitement pour utiliser mon rode video micro sur mon iPhone 6S+. Attention à bien mettre le coté gris sur la prise jack de votre smartphone !</t>
  </si>
  <si>
    <t>Prise en main immédiate, s’adapte parfaitement à mon oreille et très bon son C’est un excellent produit ! Les écouteurs s’adaptent parfaitement bien à mon oreille. Il y a deux autres paires pour des oreilles plus petites ou plus grosse au cas où. La connexion en Bluetooth se fait instantanément et la prise en main/utilisation est extrêmement intuitive.  Je souhaite souligner que le constructeur a mit un bouton on/off sur le boîtier pour que l’on puisse décider de charger ou non les écouteurs ! C’est peut être un détail mais extrêmement pratique et intelligent !!!  Concernant le son je l’utilise pour écouter de la musique et des vidéos et le son est excellent. Aucune coupure en faisant du sport grésillement.</t>
  </si>
  <si>
    <t>Super Parfait même une poche intérieur pour portable , la couleur du marron clair presque cannel canon!mon père la adoré !</t>
  </si>
  <si>
    <t>Très bon produit Va super les chaussettes très belle et vont très bien très bon produit aussi</t>
  </si>
  <si>
    <t>Douceur et fonctionnalités variées Ma fille demandait un réveil depuis un petit moment. Elle a du mal à s'endormir le soir, avec le mode veilleuse (réglable de 30 à 60 minutes), elle est apaisée. La fonction réveil est très simple à utiliser, plusieurs programmations d'horaires possibles. Les mélodies (plusieurs choix possibles également) sont douces et agréables. Elle se couche et se réveille en douceur depuis l'acquisition de ce super article. La lumière du réveil s'éteint au bout d'un moment et se rallume au simple toucher tactile. Fini les insomnies !!</t>
  </si>
  <si>
    <t>très bien l'article de très bon qualité, la taille est parfaite, puis reçu très rapidement, rien à dire. surtout que j'avais déjà eu une paire de chaussures similaires. donc je connaissais le produit</t>
  </si>
  <si>
    <t>Adidog Super beau</t>
  </si>
  <si>
    <t>parfait mon bébé adore ses tétine. avant je prenais les bébé confort avec débit 1 2 3 mais j'ai essayé suite à un cadeau que nous avons réussi et je n'en changerai plus.</t>
  </si>
  <si>
    <t>👍🏻 👍🏻</t>
  </si>
  <si>
    <t>Des sacs poubelle extrêmement résistants. La taille idéale pour ma poubelle Joseph Joseph Titan compacteur. Les sacs une fois chargés, et bien compacté, sont plus lourd que pour une poubelle normale. Les liens coulissants sont très résistants</t>
  </si>
  <si>
    <t>Parfait Très jolie montre</t>
  </si>
  <si>
    <t>legere satisfaite moins lourde que mon ancienne en inox</t>
  </si>
  <si>
    <t>Impeccabe Pour le prix ne pas hésiter, pour la qualité on les port peu alors ... De plus pour l'instant permet de faire vl'impasse sur le pull moche de Noël</t>
  </si>
  <si>
    <t>SUPER MA PETITE FILLE ADORE SAMI DONC LA LECTURE EN EST FACILITEE</t>
  </si>
  <si>
    <t>Bon produit, mais trop lent J'ai acheté ce produit en remplacement d'un précédent, c'est un bon produit de qualité mais le temps de chauffe est trop long, ne compter pas disposer d'un repas chaud en moins de vingt minutes. A reserver pour ceux qui ont le temps avant que bébé ait faim.</t>
  </si>
  <si>
    <t>Décevant Fragile +++ Je l’ai acheter pour un micro de casque de moto, mais le produit est trop petit.</t>
  </si>
  <si>
    <t>Bonne qualité de son, réduction de bruit convaincante sans être bluffante, pas d'embouts XL Ayant quitter ma tablette Xperia Z3 pour une Samsung à écran 4/3, je perds la réduction de bruit native à certains produits Sony, moyennant leurs écouteurs propriétaires plutôt convaincants. J'essaye donc cette paire d'écouteurs Taotronics plutôt bien noté par Les Numériques" malgré son prix plancher. Mais comme d'habitude avec les intras, aucuns embouts fournis ne me convient, il faudrait la taille XL. Je récupère les rares XL qui trainent chez moi, oh miracle, ils s'adaptent (les embouts sont ovales sur ce modèle). Ce n'est pas encore la perfection, je ne me retrouve pas complétement isolé de l’extérieur mais cela permet d'avoir un aperçu du son.... et il est plutôt bon! Les commandes sont pour moi bien situées, à l'intersection des câbles qui vont aux oreilles, à ne pas confondre avec d'autres modèles de la marque où les commandes se situent près d'une oreille. Bonne réponse des commandes sous Android, boutons volume + et - avec play/pause au milieu. Concernant la réduction du son, elle est convaincante sans être bluffante, légèrement moins bonne qu'avec le système Sony des Xperia mais le résultat est tout de même intéressant sur certaines fréquences. J'attends de faire un voyage en avion pour en dire plus, cela semble correct en train. Il ne faut pas en attendre des miracles, juste une diminution des bruits continus pour les rendre un peu plus supportables, à condition d'écouter de la musique en même temps. Dernier point, quand on active la réduction de bruit sur le petit boitier proche du jack, le son augmente... Régulièrement en vente flash, ces écouteurs font le boulot pour un prix imbattable. A voir dans le temps pour la qualité, et l'autonomie de la réduction de bruit. Le manque d'embouts XL m'empêche de profiter pleinement des qualités de ces écouteurs, dommage.</t>
  </si>
  <si>
    <t>Rapport qualité prix moyen Pas mal dans l'ensemble. Points positifs : - prix pas excessif, - livraison rapide,  Points négatifs : - Bryante, - Si on charge plus de 5 feuilles, on sent que la machine a beaucoup de mal et peut même s'arrêter au bout de 5 min d'utilisation. Dans ce cas il faut attendre 30 min qu'elle refroidisse ce qui est très gênant. - les découpes sont plutôt droites et non croisées ce qui n'est pas terrible.</t>
  </si>
  <si>
    <t>agréable a porter un soutien gorge taillé un peu grand mais je le trouve très confortable et surtout  bon maintien pour les poitrine un peu forte. je ne l'utilise pas pour le sport !</t>
  </si>
  <si>
    <t>Conforme Pratique mais un biberon (mam donc après plusieurs éléments) prend déjà quasi toute la place</t>
  </si>
  <si>
    <t>son j'ai acheté cet article pour pouvoir le connecter à ma tablette, pour pouvoir écouter mes films lorsque je suis en avion et ainsi ne pas déranger personnes par un son extérieur.</t>
  </si>
  <si>
    <t>Magnifique mais trop grand J'ai commandé ce bracelet pour un cadeau et quand je l'ai reçu je l'ai trouvé très beau. Il était dans un petit pochon avec du fil dedans et il y avait une pochette avec un petit chiffon. Hormis ça je trouve le bracelet un peu grand, c'est le seul point négatif que je trouve. Le lapis lazuli est très joli</t>
  </si>
  <si>
    <t>Leger et confortable Super chaussons minimalistes a tarif imbattable pour la qualité, attention prendre au moins une pointure  en dessous car taille tres grand et la matiere se détend a l usage</t>
  </si>
  <si>
    <t>Soutien-gorge Fitness Pour le sport , très bon maintien, ouverture pratique , mise en valeur des formes</t>
  </si>
  <si>
    <t>Petite presse , Cette petite presse à papier pour faire des buchettes ,et vraiment conforme à ;sa description .Elle est simple et facile d'utilisation ,pour un prix modique .Très satisfait</t>
  </si>
  <si>
    <t>Très satisfaite J'ai écouté tous vos commentaires est j'ai bien fait mon chéri fait du 44,1/2 donc je lui est commandé pour noel du 43,1/2 la taille lui va super bien. La qualité de cette chaussure est bien là, je le recommande</t>
  </si>
  <si>
    <t>Confortables bonne tenue Parfaites très confortables</t>
  </si>
  <si>
    <t>Belle lampe Très bien</t>
  </si>
  <si>
    <t>Excellent achat La discrétion de son format est top. Le son incroyablement net et clair. A peine reçu et testé, je pense qu'il saura m'accompagner efficacement. Très joli design.</t>
  </si>
  <si>
    <t>Toujours top les bensimonn J aimé depuis longtemps ces tennis très confortables j adooooorrreee Moins chère chez Amazon qu en magasin j’en ai recommandé une paire aujourd’hui !</t>
  </si>
  <si>
    <t>Biberons Très bon produit</t>
  </si>
  <si>
    <t>Très bon produit Le produit est conforme à mon attente le confort dépasse mon attente</t>
  </si>
  <si>
    <t>Écouteurs Bluetooth Bon produit conforme à la description je recommande sans hésitation, produit au top</t>
  </si>
  <si>
    <t>G shock pour les gros poignets G SHOCK KING, c'est un monstre, super stylée et massive au poignet.</t>
  </si>
  <si>
    <t>Très bon produit Bonnette de très bonne qualité, utiliser sur un micro, elle s'insère facilement et reste en place. Plus bruit entrant dans le micro (souffle, respiration,...) Je recommande ce produit et ce vendeur, qui fournit des instrument de musique de qualité.</t>
  </si>
  <si>
    <t>Tétines de bonne qualité Très bonnes tétines, douces et plates, idéales pour la petite bouche de bébé. Débit parfait pour bébé (même avec un lait anti-régurgitation qui est un peu épais).</t>
  </si>
  <si>
    <t>Beau pendule goutte commentaire du 10 janvier 2019 :Petite goutte de 2,5 cm de long, 20 g avec la chaîne. Chaîne de 19 cm. Bien réactif.  Commentaire du 3 juillet 2019 : ce pendule goutte est franchement min préféré, beau, bien équilibré, bien réactif. Il a de plus un atout important : son métal ne ternit pas en contact du soufre, et il est bien le seul de tous les pendules que j'avais acheté !</t>
  </si>
  <si>
    <t>Nice swatch Belle montre pour le sport. Très élégante et classe. Sobre et belle. Vous n'avez plus d'excuses pour faire du sport tout en étant beau.</t>
  </si>
  <si>
    <t>produit beaucoup trop petit cela ne vaut clairement pas le prix de base . Déjà la taille est un véritable problème, j'ai pourtant prit un 47/48 et je chausse du 46, s'est encore petit !!!!  Après j'ai une sangle qui est de travers surement dut au stockage , du coup cela me fait mal aux pieds . Bref cela ne vaut pas plus de 10 euro</t>
  </si>
  <si>
    <t>Papier qui bouloche et service consommateur Nul Papier qui bouloche..laisse plein de micro morceaux partout dans les toilettes. Service client SCA absent ou ineficace en plus de reserver un acceuil plus que limite!!!</t>
  </si>
  <si>
    <t>Défectueux A fonctionné quelques heures avant d’etre obligée  d’enlever les piles car un bruit très fort et désagréable en continue et impossible d’éteindre sans enlever les piles. Deuxième tentative, 5 minutes et jeux et c’est reparti. Je ne recommande absolument pas ce produit.</t>
  </si>
  <si>
    <t>nettoyage compliqué Bon article mais nettoyage compliqué de part sa forme.</t>
  </si>
  <si>
    <t>Joli mais fragile Joli bracelet et efficace, hormis sa fragilité, j'ai commandé déjà 3 bracelets sur le site, mais 2 ont déjà cassés (l'élastique de maintient des pierres est trop fragile !).</t>
  </si>
  <si>
    <t>Bien Ces bottes sont conformes à leur description, rien à redire!</t>
  </si>
  <si>
    <t>Bon Bon achat</t>
  </si>
  <si>
    <t>très bon rapport qualité prix cette lampe est très efficace et de plus son esthétique est tout çà fait acceptable malgré sa grande taille !  sa puissance est telle qu'il est possible de l'utiliser à une distance respectable d'au moins 2 mètres</t>
  </si>
  <si>
    <t>Colis Facile à brancher mais faut un peu bidouiller les réglages audios pour qu’il y ait une bonne qualité audio qui conviennent a l’utilisateur. Je recommande car pour peu cher on a un micro pieds qui marche du feu de dieu :)</t>
  </si>
  <si>
    <t>Écouteur Bluetooth sans fil Après m être acheter un kit Bluetooth pour la voiture , je me suis offert un kit d écouteurs bluetooth sans fil , ce kit est intéressant car il est composé d un boîtier de très bon goût dans lequel on range les écouteurs , en plus de cela il sert également à recharger ceux ci , un écran lcd indique le niveau de charge des écouteurs , quand la batterie interne du boitier est vide il suffit de la recharger avec un câble fourni . L appairage est simple , possibilité de se servir de seulement une oreillette ou des 2 ensemble . Les boutons possèdent un bouton tactile qui rendent simple les fonctions , par exemple en écoute de musique un appui long sur l oreillette gauche baisse le son , un appui long sur celle de droite le monte , un double click à gauche met la musique précédente , un click à droite je passe à la suivante  .... Un triple click à droite allume la commande vocale de votre téléphone . En fonction appel un click pour décrocher ect....je ne repasserais pas au écouteurs classiques ;)</t>
  </si>
  <si>
    <t>Écouteurs Bluetooth Écouteurs Bluetooth de très bonne qualité un son excellent Facile d’utilisation facile a ranger dans sa boîte charge rapide Très bon article Excellent</t>
  </si>
  <si>
    <t>Nickel. Rien à dire, tout est parfait.</t>
  </si>
  <si>
    <t>4mois avec le micro Cela fait 4mois que j'ai le micro rien a redire le micro fonctionne super bien 4mois encore aucun problème avec tu peu faire des vidéos de qualité de la musique ou autre chose le seul défaut que je peu donner est qui y a aucun défaut satisfait a 100% je vous recommande le produit !</t>
  </si>
  <si>
    <t>Produit de bonne qualité Pantalon de jogging agréable à porter et de bonne qualité.</t>
  </si>
  <si>
    <t>PARFAIT! Il est utilisé directement après son arrivée, il est très bien collé, pas mal.</t>
  </si>
  <si>
    <t>Très contente Toujours ravis de ces livres ( pourquoi, comment...). Mes enfants aiment que je leurs lise.</t>
  </si>
  <si>
    <t>Puma bordeau parfaite Très belle puma. La couleur est identique à la photo. Un tout petit peu grand en 37 mais je pense qu'en 36 cela aurait été trop petit.  Je fais du 36 1/2 avec un pied assez large. Il faut juste penser à bien imperméabiliser avant la première utilisation pour garder la jolie couleur bordeau.</t>
  </si>
  <si>
    <t>La qualité Je suis très satisfait de mon produit</t>
  </si>
  <si>
    <t>AUSSI BIEN ET MOINS CHER Après un haut de gamme HS, nous avons tenté ce produit similaire pour 4X moins cher et nous ne sommes pas décus.</t>
  </si>
  <si>
    <t>Produit ludique Produit très ludique mon petit fils est ravi Le micro marche très bien.</t>
  </si>
  <si>
    <t>Un micro de folie Pour un super cadeau !!! Et pour passer des bonnes soirées entre amis . Très joli couleur, bon son , on se prend très vite pour un DJ. Je recommande ce produit</t>
  </si>
  <si>
    <t>baskets Je me suis acheté ces chaussures pour faire de la marche et pour la vie de tous les jours, car je suis beaucoup debout. Elles sont très confortables et on ne transpire pas beaucoup dedans. Elles ont une belle couleur vive et sont discrètes à la fois, et elles ne donne pas l’impression d'avoir un grand pied.</t>
  </si>
  <si>
    <t>Qualité/prix Chaussures de taille comme prevut de bonne qualité et à très bon prix</t>
  </si>
  <si>
    <t>Très bon ecouteur Que dire ? Adapté pour le sport :oui Qualité du son :bonne Réduction de bruit :non Comptabilité Android:oui Qualité du son bonne</t>
  </si>
  <si>
    <t>Sympa ce collier mais... Au bout de 10 min tout s’emmele !!! Dommage</t>
  </si>
  <si>
    <t>2 pieds gauche G reçu 2 pied gauche super 😡😡</t>
  </si>
  <si>
    <t>Fournisseur cartouche HP suffisant dans leur propos et de mauvaise foi j,ais utilisé les cartouches d,encre sur une imprimante  HP photosmart C4680 apres une dizaines de photos copie noir et blanc et aucune couleur plus d,encre dans les cartouches j,ais acheter des cartouches chez un revendeur local et contrairement a ce que mon indiquer chez HP MON IMPRIMANTEFONCTIONNE TRES BIEN donc le probleme vient bien de la tres mauvaise qualité des cartouches Merci de faire le necessaire aupres de votre fournisseur pour remplacer les cartouches défaillantes</t>
  </si>
  <si>
    <t>conforme Les vis sont relativement fragiles.</t>
  </si>
  <si>
    <t>cadeau apprecié très joli et élégant mais un peu trop fragile au niveau du clou d' oreille et de la poussette trop dure</t>
  </si>
  <si>
    <t>Bon produit multipoches Conforme à la description. En toile qui semble solide. Couleur noire (plutôt gris foncé) un peu terne mais l'ensemble passe bien. Beaucoup de possibilités de rangement pour une sacoche assez petite. Solidité à voir dans la durée....</t>
  </si>
  <si>
    <t>Tres bon produit Extrêmement confortable avec un très bon amorti. L'avant de la chaussure un peu plus étroit que sur la gel nimbus16.</t>
  </si>
  <si>
    <t>Très bien arrivé rapidement ! Fabrication de papiers réutilisables et baume à lèvres</t>
  </si>
  <si>
    <t>bon produit le bras répond plutôt bien à mes attentes : il est facile à déplacer et à installer. Mon micro blue yéti a pu s'y accrocher grâce à l'embout donner et il est facile de mettre son micro où l'on veut une fois poser sur le bras. Vous pouvez faire passer un petit câble au milieu du bras même si ce n'est pas prévu et que ça empêche de replier totalement le bras (mais c'est léger). malheureusement il y a un petit défaut à ce produit... le filtre anti pop qui se place devant le micro doit être fixer sur une vice précise et ne tient pas très bien. J'ai résolu ce problème en enlevant le moyen de fixation et en enroulant le câble qui le tient autour du bras près du micro. Ce n'est pas spécialement gênant mais bon j'aurais préféré qu'il n'y ai pas ce problème ... Je recommande ce produit car le rapport qualité/prix est bon.</t>
  </si>
  <si>
    <t>Cafetiere Très bien</t>
  </si>
  <si>
    <t>Baskets ultra confortables Entièrement satisfaite du produit : le côté esthétique.  Le confort indiscutable et la respirabilite est également appréciable. Ayant des problèmes de dos ce modèle est vraiment bien adapté.</t>
  </si>
  <si>
    <t>Tres bien Joli et très original!! Un bon investissement pour soi ou pour offrir, avec la qualité des Zippo et garanti à vie</t>
  </si>
  <si>
    <t>Très bon produit Colis bien reçus comme sur la photo. Tres confortable je recommande ce produit. Merci</t>
  </si>
  <si>
    <t>top Survêtement à la fois classe et stylé. Très confortable, agréable à porter.</t>
  </si>
  <si>
    <t>casque pas de probleme pour l'instant a voir avec le temps tres bon son a recommander si probleme dans le futur je le dirait</t>
  </si>
  <si>
    <t>Réduction Mon bijoux n’etant Plus portable il est très simple de poser ce réducteur</t>
  </si>
  <si>
    <t>RAS Superbe chemise !!!</t>
  </si>
  <si>
    <t>Super Très jolie</t>
  </si>
  <si>
    <t>Bon produit Livraison rapide et fidèle a la description, basket légère et un bon rapport qualité prix</t>
  </si>
  <si>
    <t>Chaussures légères et confortables Chaussures très légères et confortables, je les porte pour aller au travail. Je souffre de douleurs au niveau des tendons d'Achille et avec cette paire pas de douleurs même en fin de journée. La semelle amortie bien et les matériaux utilisés permettent une finition irréprochable. La pointure à commander est votre pointure habituelle.</t>
  </si>
  <si>
    <t>Sublimissime Magnifique bijoux ma fille est ravie Dommage écrin arrivé cassé Dommage qu'il n'en resté qu'un lors de la commande je verrai si c'est possible pour en commander un autre</t>
  </si>
  <si>
    <t>Tres contente Grâce au biberon sortie mon fils accepte enfin les biberons après plusieurs essaie avec d'autre marque. Fabrication française très solide et facile à nettoyer on les a adopté en plus très joli modèle</t>
  </si>
  <si>
    <t>joli excellent rapport qualité/prix</t>
  </si>
  <si>
    <t>Très moyen Testé avec un Blue Yeti. Le pied à fixer sur/sous le bureau n'est pas possible sur un bureau (en bambou) avec arrondis chez Ikea, j'ai dû placer une plaque. Pour les 2 filtres anti-pop je ne suis pas convaincu du tout et celui à fixer sur le bras ne tiens pas quand on articule le bras, c'est vraiment pas pratique, si je devais en choisir un autre je n'hésiterais pas.</t>
  </si>
  <si>
    <t>Médiocre !! Ce pantalon est trop petit au niveaux de la longueur et la matière laisse à désirer...Je ne le conseille pas</t>
  </si>
  <si>
    <t>Médiocre Ne pas acheter sa déconne tout le temps</t>
  </si>
  <si>
    <t>J'attend de voir en verra la siite Elle sont belle mais cest vraiment dommage elle n'amortie vraiment pas les choc c'est trés dommage</t>
  </si>
  <si>
    <t>Taille correctement. Attention, très fin. Survêtement léger pour jouer au foot. Taille normale (taille M pour 1m74 et 65 kilos. Il n'a pas de doublure donc à éviter pour se protéger du froid.</t>
  </si>
  <si>
    <t>Joli chaussures pour ado Enchanté des chaussures  et livraison au top</t>
  </si>
  <si>
    <t>Très bien Produit conforme à la description et à la photo. Fixation pour le micro fournie, le pied est cependant un peu léger. Bon rapport qualité/prix pour un usage occasionnel</t>
  </si>
  <si>
    <t>Qualité Sacoche de très grande qualité. Je regrette qu'il n'y est pas une poche de plus pour par exemple séparer le porte feuille de mes clés de maison.</t>
  </si>
  <si>
    <t>mon fils l'adore mon fils adore chanter avec ce microphone. il a l’air comme un luxe pour un enfant. le son est super! le prix est correct.</t>
  </si>
  <si>
    <t>INTEMPORELLLES Couleur Sangria , nouvelle mais old school à la fois !  Que dire de plus, soit on aime soit on aime pas , mais elles resteront toujours à la mode !  Faites juste attention à la taille, les modèles américains sont toujours plus grands. Donc bien prendre une taille en dessous de la sienne. Je fais un 39 et ici , j'ai pris un 38. Elles sont parfaites .</t>
  </si>
  <si>
    <t>Très joli livre Le graphisme et l'histoire sont très jolis. Très belle qualité de l'ouvrage. Un joli livre à offrir aux tout petits.</t>
  </si>
  <si>
    <t>Le top en chaussure de sécurité De très bonne qualité et très confortable!!! Avec leurs souplesse puis leurs étanchéité. Ce fut un très très article. Je le conseil.</t>
  </si>
  <si>
    <t>Super ! Très content de ce casque ! A utiliser bien sur dans un endroit tranquille et avec une carte son adapter. J'ai l'impression de redécouvrir des sons, très bon en musique, mais aussi en films/jeux, dans lesquels la spatialisation est super !</t>
  </si>
  <si>
    <t>Très simple Pour couture et bricolage</t>
  </si>
  <si>
    <t>Ras Régulier</t>
  </si>
  <si>
    <t>Top Basket très confortable, qui taille exactement comme il faut, je fais le plus souvent du 41 mais pour les Reebok je prend du 40.5 ! sinon elles sont exactement comme sur la photo, rien à redire, je recommande.</t>
  </si>
  <si>
    <t>Je recommande Achete il y a maintant deux semaines. Pour une entrée de gamme chez Garmin elle a de quoi satisfaire les amateurs de course à pied avec son application tres complète. De plus il est très facile de venir personnaliser cette montre au goût et au couleur de chacun</t>
  </si>
  <si>
    <t>Excellentes tétines, aucun souci rencontré Ces deux tétines Sensation + sont plates, de débit moyen (numéro 2), et imitent un peu la forme du mamelon pendant la tétée, pour favoriser l’acceptation du biberon chez le très jeune enfant, jusqu’à 6 mois.  Elles possèdent des stries qui évitent que les parois ne se collent, même si le bébé aspire fort, et d’une double valve qui favorise la circulation de l’air, permettant de réduire l’aérophagie, les régurgitations et risques de coliques (veiller à bien incliner le biberon, pour que la tétine soit pleine de lait et limiter l’absorption d’air).  On peut déjà y mettre du lait un peu épaissi pour 1er âge, ça passe très bien. Il y a une vraie différence avec les tétines de débit 1. Ceci dit, ne cherchez pas à aller trop vite, il est important de ménager quelques pauses et que bébé boive à son rythme, sous peine d’avoir mal au ventre… Et n’oubliez pas de susciter un rototo à la fin, en redressant le bébé contre vous, et en lui tapotant doucement le dos.  Elles sont compatibles avec les biberons Dodie col large, Sensation + et Initiation + et se nettoient facilement. Oui, pourquoi pas, ça peut être une idée de cadeau… mais avec des biberons Dodie alors !</t>
  </si>
  <si>
    <t>Qualité Jadore</t>
  </si>
  <si>
    <t>Bouilloire puissante Certes, le prix est un peu élevé, mais c'est la bouilloire de 0,8l la plus puissante (2200w) et rapide que j'ai trouvée sur le marché. je l'ai depuis plusieurs années, pas de soucis, elle est restée nickel.</t>
  </si>
  <si>
    <t>Confortable Chaussures confortables, à l'aspect solide. Il est difficile de dire à coup sûr après aussi peu de temps, car les chaussures (quand on n'est pas trop préoccupé par leur look), ça se juge dans la durée, mais jusque-là, c'est très bien !</t>
  </si>
  <si>
    <t>EASTPAK mon pc 17 pouces rentre nickel il est vraiment bien fait</t>
  </si>
  <si>
    <t>Très bonnes bottes. Produit parfait à mes attentes.Très confortable et surtout très chaudes pour l hiver.</t>
  </si>
  <si>
    <t>Je ne recommande pas. Belles paire de baskets mais vraiment pas solide. Morte au bout de même pas deux mois!!! Elles se décollent sur le côté.</t>
  </si>
  <si>
    <t>piètre qualité, la peinture part au premier lavage Piète qualité, j'ai quelques doutes sur l'origine...  Un passage au lave vaisselle avant utilisation, et tout le chrome a disparu, laissant place à un métal piqueté. La pièce d'origine avait pourtant subi ce même lavage des dizaines de fois !</t>
  </si>
  <si>
    <t>Objet conforme Satisfaite, facile d’utilisation. Seul inconvénient, ne pas pouvoir mieux régler la luminosité du simulateur avec une lumière plus douce lorsqu’il se déclenche.</t>
  </si>
  <si>
    <t>Chaud Chaud</t>
  </si>
  <si>
    <t>Bon produit Ce Produit est de bonne qualité IL est très agréable aux pieds Je n'en attendais pas moins de cette marque de confiance</t>
  </si>
  <si>
    <t>Un poil trop chère  pour qualité de la matière employée Bon produit un peut léger  manque de poids  BOUTON paraît fragile et le couvercle aussi  pour l essemble manque de poids  paraît fragile</t>
  </si>
  <si>
    <t>bons produits comme cadeau...</t>
  </si>
  <si>
    <t>Super produit ! Mais attention... Super produit, bonne qualité, photos conformes, mais attention à la taille qui est parfois un peu grande... pensez à prendre 0.5 ou 1 taille en dessous (et en cas de semelle spécifique que vous devriez rajouter, prenez à votre taille habituelle car les semelles d'origine ne sont pas amovibles). Je le recommande !</t>
  </si>
  <si>
    <t>tres bien taille bien au niveau tour de rein, jambes un peu longues pour moi, coupe excellente, poches profondes qui ferment . Parfait</t>
  </si>
  <si>
    <t>Qualité rapport prix très content ,livraison Amazon (les seul vraiment rapide ) je regrette d'avoir écouté le conseille de prendre une taille au dessus ,car je fait du 43 normalement et j'ai pris  du 44 a ne pas faire ,mais c'est ma faute.ILS Tailles Juste !! Ils sont beaux ,élégante ,confortable ,belle finitions et la couleur correspond a la photo  .Pour moi donc 5/5 Je les recommande ,pour la taille :j'ai mise une semelle de bonne qualité ,et c'est impec.....</t>
  </si>
  <si>
    <t>avis Super chaussette  à acheter</t>
  </si>
  <si>
    <t>Jolies chaussettes - bonne qualité très bonne finition de ces chaussettes. taille légèrement plus petite.</t>
  </si>
  <si>
    <t>Très bon achat, la qualité Asics Très bon achat</t>
  </si>
  <si>
    <t>parfait S adapte a tous mes appareils de marques différentes, solide et très bon son</t>
  </si>
  <si>
    <t>Fonctionne sur blue yeti Je l’ai mis sur mon micro blue yeti et les pop sont aussi bien oublié qu’avec mon filtre anti pop classique du coup pour faire des vidéos c’est beaucoup plus classe :)  par contre prévoir des élastiques plus grand car avec le diamètre d’un blue yeti, un des élastique à cassé avec le temps ...</t>
  </si>
  <si>
    <t>Top Me convient mieu que le Bose sans fil. il ne fait pas mal car pas trop serré et atténue déjà assez le bruis extérieur donc pas besoin de filtre actif... Le son est claire et le volume est largement suffisant. stylé, léger et efficace</t>
  </si>
  <si>
    <t>Très pratique Doseur très pratique et peu encombrant pour amener partout. Convient très bien pour des doses de 8 à 10 au delà la taille est un peu juste.</t>
  </si>
  <si>
    <t>Fonctionne bien Je viens d'en changer 2 pour l'instant. Elles sont reconnus comme des originales ! Pour le reste on verra sur le long terme.  J'ai imprimé une page en nuance de gris et R.A.S</t>
  </si>
  <si>
    <t>Solide et doux avec la housse en tissu . J'ai hésité avant de le prendre car j'avais peur que ça se troue.  MAIS Non ! Je lai utiliser cela fait plusieurs jours avec de l eau bouillante et aucun problème.  Aucun trou au contraire ca a soigné mes douleurs de dos et de cou . En plus ça chauffe ... ici dans l'ouest il fait froid .. donc double usage Je recommande et merci Ca garde la chaleur longtemps....</t>
  </si>
  <si>
    <t>ça fonctionne ☺ produit offert pour la fête des mères qui jusqu'à la mettait des bas de contention. après une semaine d'utilisation elle les a enlevé. les jambes sont beaucoup moins gonflées elle fait 3 séances par jour une le matin une l'après-midi et une le soir. le gros bémol c'est qu'il n'y a pas de housse de rangement vu le prix de l'appareil.</t>
  </si>
  <si>
    <t>Chaussettes sport Produit de très bonne qualité et très confortable</t>
  </si>
  <si>
    <t>Top ! Câble d'enceinte d'excellente qualité pour un rapport qualité/prix incroyable et introuvable ailleurs que sur Amazon !  La gaine blanche est de bonne qualité et le fil noir est identifié clairement.  Très bon produit que je recommande.</t>
  </si>
  <si>
    <t>bonne brassière, à recommander. 1ère commande en taille XL, ce qui correspond à ma taille selon la grille des tailles recommandée, retour des articles, trop grands, ce qui n'aurait pas donné le maintien de la taille L. Lavage à 30 degrés dans un filet. Le tissu est doux et de bonne qualité, la dentelle habille bien. Les coques en tissu doux ne me sont pas utiles, elles peuvent se retirer grâce à un espace dans le bonnet fait pour ça. Donc on fait comme on veut :-) La brassière est bien confortable et maintient très bien, elle est respirante donc pas d'étuve due au tissu. Elle donne une jolie forme aux seins qui restent là où il faut, pas de look mémère, c'est même plutôt sexy. Après une journée à la porter, je recommande à qui hésite de ne pas hésiter, les bretelles ne font pas mal, confort et efficacité. je suis ravie. C'est la meilleure brassière que j'ai trouvée jusqu'ici. je peux allaiter en la soulevant, c'est parfait.</t>
  </si>
  <si>
    <t>micro basic Bonne réception tous près dès qu'on s’éloigne un peu on entends plus très bien, et si on parle trop prés ça grisaille et trop loin du micro on entends plus rien. durée des piles sur micro 2 a 3h et pour l’émetteur 4h a  max seulement. qualité micro plastique basique.</t>
  </si>
  <si>
    <t>Solidité double zéro Catastrophique. Couture de la fermeture éclair arrachée avant même mon départ. A éviter absolument !</t>
  </si>
  <si>
    <t>n'a fonctionné que moins de trois mois J'étais très content d'avoir trouvé cette cellule de lecture qui m'a été livrée très rapidement et qui a parfaitement fonctionné jusqu'à ce jour, 19 décembre 2015, soit pas tout à fait trois mois. Je l'avais installée sans difficulté sur le bras porte-cellule conformément aux indications du fabricant du tourne-disques (DENON). Mais aujourd'hui, alors que je venais d'écouter la première face d'un disque vinyle, au démarrage de la deuxième face, je n'entendais presque plus rien et j'ai constaté que la pointe s'était enfoncé dans la cellule et que celle-ci frottait le disque. La précédente tête de lecture que j'avais installée sur ce tourne-disques était identique (apparemment: même marque, mêmes références) et avait parfaitement fonctionné plusieurs années, jusqu'en septembre dernier.</t>
  </si>
  <si>
    <t>Super mais un peu gros Beau collier mais reste assez gros argent Et strass de  très bonne qualité Pour l'instant je n'ai pas d'allergie à voir avec le temps mais je ne pense pas</t>
  </si>
  <si>
    <t>Sympa Pour un cadeau, fait un peu «&amp;nbsp;toc&amp;nbsp;»</t>
  </si>
  <si>
    <t>bonne qualité très bien et bonne qualité je recommande à voir à la longue</t>
  </si>
  <si>
    <t>Produit nickel Bien</t>
  </si>
  <si>
    <t>Belle bouilloire et performante Très belle bouilloire d'un bel aspect. L'eau chauffe très rapidement avec une visibilité totale sur l'ébullition de l'eau. Petit bémol à mon gout, la poignet a tendance à chauffer si vous êtes en fin de volume d'eau car la vapeur d'eau dégagée s'engouffre alors autour de la poignet surtout lorsque la bouilloire s'approche de la position horizontale. En conclusion, je recommande cette bouilloire d'un bon rapport qualité/prix.</t>
  </si>
  <si>
    <t>un service au top La livraison a été rapide. Malheureusement une des deux chaussures avait un défaut. Avec le système Amazon, le retour est simple et gratuit. La paire est repartie le jour même et j'ai reçu l'échange quelques jours plus tard. La nouvelle paire est parfaite !</t>
  </si>
  <si>
    <t>Au top Amazon merci Elle sont magnifiques j'adore 😀 comme je voulais merci beaucoup 👍</t>
  </si>
  <si>
    <t>Ikeepi Masseur Ikeepi masseur électrique est super pratique un peu lourd ,je suis déçue de ne pas avoir une notice d'explication si vous pouviez en récupérer une  et me la faire parvenir merci</t>
  </si>
  <si>
    <t>Je recommande Je les ai achetés pour ma fille (d'où les photos avec les écouteurs encore dans leurs boîtes). Elle est ravie ! J'en ai déjà (pas de ceux la) et j'avoue que si j'ai pris ces écouteurs c'est pour qu'elle ne soit pas prise au dépourvu quand à la charge. Et elle en est bien contente.</t>
  </si>
  <si>
    <t>Genial Super produit Marche parfaitement très ergonomique Je recommande Très bien pour débuter dans le mix ou entre amis Très comptent :)</t>
  </si>
  <si>
    <t>Identique à la photo Chaussons très chaud parfait pour l’hiver bien qualité prix identique à la photo d’un gris passe partout rien dire de négatif</t>
  </si>
  <si>
    <t>Économique et écologique Je l'utilise dans un diffuseur d'huiles essentielles</t>
  </si>
  <si>
    <t>Taille et qualité Très bonne qualité et bien taillé.</t>
  </si>
  <si>
    <t>pull de qualite Très joli pull de bonne qualité. La couleur correspond bien à la photo，agréable à porter en mi saison. Bien penser à prendre une taille en dessous de sa taille habituelle. J'en suis très satisfaite.</t>
  </si>
  <si>
    <t>Une offre imbattable Acheté pour l'offre et le rapport qualité/prix qui est excellent. Le tarif proposé est bien moins cher qu'en magasin. Je recommande.</t>
  </si>
  <si>
    <t>Je recommande ce produit vraiment  hermétique, solide et qui dure longtemps Ce sont des sacs qui sont réellement hermétiques, et leur paroi assez épaisse les rend particulièrement solide. Je m’en sers pour mettre du pain frais au congélateur, que je sors tous les jours pour le faire griller. Par conséquent son système de fermeture est sollicité quotidiennement et à ce rythme là chaque ce sac dure environ six mois avant de casser ce qui est vraiment honorable.</t>
  </si>
  <si>
    <t>SUPER MERCI Super jolie et bien emballer je recommande ! Les tailles se vois bien , du coup on peut vraiment bien choisir sa brille beaucouo à voir sur la durée après .</t>
  </si>
  <si>
    <t>Belles qualité et finition Reçue avant la date prévue, super jolie gourmette de bonne qualité apparemment. Super contente de mon achat :)</t>
  </si>
  <si>
    <t>Nickel ! Superbe chaussure rien à dire!</t>
  </si>
  <si>
    <t>Très satisfait Je suis très surpris de la qualité du son pour un tel prix. L'isolation est excellente ce qui donne un bon rendu au niveau des basses. Très simple d'utilisation. Je recommande fortement ce produit.</t>
  </si>
  <si>
    <t>Regrets Quelle déception ! Il est trop serré, pourtant j ai pris une taille supplémentaire. Tissu désagréable au toucher et au porter. Pas très élastique en plus. Bref, très déçue</t>
  </si>
  <si>
    <t>inutilisable, de la merde en boite ou comment perdre +de 40€ ces écouteurs plutôt jolis  sont malheureusement inutilisable, une vraie galère a connecter, ils se désynchronisent tout seuls sans cette et  une fois connectes avec beaucoup de mal et de patience, aucun appel n est possible car le micro ne fonctionne pas toujours, impossible de lire une vidéo avec un décalage audio de plus de 2 sec!!! sur mobile comme sur pc! et quand bien même cela fonctionnerait au moins pour de la musique, la ridicule batterie qui doit tenir maximum 10 a 12 min vous donnera simplement l envie de les jeter ou les remettre dans la boite sans y retoucher  JE DECONSEILLE L ACHAT DE CES ECOUTEURS!</t>
  </si>
  <si>
    <t>Message Taille tres petit résulta il faudra  tout renvoyé</t>
  </si>
  <si>
    <t>problème garantie j'ai voulu envoyé ma montre en garantie chez un revendeur festina car on ne peut plus régler l'heure manuellement, mais rien n'est indiqué sur le certificat de garantie du coup, la vendeuse en bijouterie aimerait savoir ce qu'elle doit y noté pour pouvoir faire marcher ma garantie. Merci de me répondre au plus vite!!!</t>
  </si>
  <si>
    <t>Soundcore Liberty Air Reçus il y a même pas une semaine, j'ai remarqué que l'écouteur gauche était obstrué, est-ce la même chose pour vous ?</t>
  </si>
  <si>
    <t>Emballage correcte Utilisé surtout dans un premier temps pour réchauffer au Micro-Onde bonne tenue. L.C</t>
  </si>
  <si>
    <t>New balance mi574 Comme prévu pointure réelle</t>
  </si>
  <si>
    <t>bon produit Très bien pour la course à pied, un peu difficile à retirer après avoir  bien transpiré, mais il tient bien au corps et on ne le sent pas. Après plusieurs lavages, il n a pas  bougé. Je vais certainement en commander un deuxième</t>
  </si>
  <si>
    <t>Nickel Nickel taille bien jai pris un s je fait du 36 pour 1m59 très sexy mais pour le bleu on ne voit pas au travers</t>
  </si>
  <si>
    <t>top adidas top parfait , mais c est ma 5 paires !je connais !</t>
  </si>
  <si>
    <t>Qualité Génial</t>
  </si>
  <si>
    <t>Superbe à porter avec toutes les tenues Je l'adore. ! Il est élégant et très léger.  Le fil autour arrivé un peu plié à repris la bonne forme une fois porté.</t>
  </si>
  <si>
    <t>Top Genil,  design,  pas cher et très facile à nettoyer et ranger</t>
  </si>
  <si>
    <t>Jolie montre élégante Cette montre est très jolie et fonctionne très bien, l'emballage été super, c'était un cadeau pour mon fils et il adore sa montre, il est très ravi. Je recommande cet article</t>
  </si>
  <si>
    <t>Collection Téfal Noir/Inox Super produit, efficace, design et pratique! La bouilloire se range facilement dans la cuisine où elle trouve sa place peu importe le décor! Facile d'entretien et solide, son prix est des plus raisonnables et s'insère très bien dans un petit budget et le tout permet de faire une cuisine tout équipée de petits électroménagers forts agréables pour les petits budgets serrés</t>
  </si>
  <si>
    <t>Rien à dire Livraison rapide , le carton était légèrement abîmé mais le produit était Indemne. Cartouche originale et pas de soucis lors du remplacement.</t>
  </si>
  <si>
    <t>je le recommande je l'ai eu pour mon anniversaire part mes collègues et il a fait l'unanimité parmi eux. je ne m'en passe plus le seul petit bémol c'est qu'il ne tient pas tout seul sinon je le recommande vivement.</t>
  </si>
  <si>
    <t>Parfaite Une tuerie. Pointure au top. Je fais 37 parfois 38 et je les ai prise en 38 elles sont parfaites</t>
  </si>
  <si>
    <t>Ravie ! Comme d’habitude je n’en vais que faire des éloges sur la marque mam. Plus de deux ans que je l’utilise et ça ne bouge pas. Bébé n’accepte que ces biberons et ces tétines. Tétine x donc le plus gros débit et le bib est très joli. Je suis ravie et bébé aussi</t>
  </si>
  <si>
    <t>Excellent qualité et portée Nous avons acheyé ceci pour utiliser dans une église. Le qualité du son est excellent et aussi le distance que les micros continuent de fonctionner du récepteur. Raccomandé</t>
  </si>
  <si>
    <t>Deux en un Super rapide! Abordable ! Seule hic il s’entartre Vite ( prévoir du vinaigre blanc et le faire régulièrement) . Top le double branchage sur secteur et sur allume cigare de la voiture .</t>
  </si>
  <si>
    <t>Très belles paires de boucle d’oreille Très jolie</t>
  </si>
  <si>
    <t>super et solide merci beaucoup... très très bien super sac poubelle merci beaucoup M Blondel PATRICK...</t>
  </si>
  <si>
    <t>top pour un cadeau d anniversaire</t>
  </si>
  <si>
    <t>Bonne idée mal concue ! Ca part d'une bonne idée, permettre aux parents de préparer des brassés, compotes, purées... dans des petites gourdes réutilisables (Tellement pratique quand on bouge ou quand bébé arrive à se manger tout seul avec !)  Ca fait plusieurs semaines que j'ai testé le produit avec différents aliments.  Ce qui justifie mon avis négatif: -Le conteneur plastique et son petit bouchon: Quand vous remplissez le conteneur, un bouchon empêche que le mélange ne sorte tant que vous n'y avez pas mis la gourde (Si le mélange est un peu liquide genre que yaourt, sans pousser sur le piston ca coule déjà). Du coup, entre deux changement de gourdes il y'a toujours de la perte pour les mélanges liquides car que ce soit retirer la gourde pleine pour une vide ou le bouchon, ca coule... Ca aurait tellement plus simple, plus écolo et plus propre un petit robinet en plastique avec deux positions ouvert fermé qu'un pauvre bouchon (Une économie de bout de ficelle...). - Les gourdes réutilisables: Elles sont très difficiles  à nettoyer. En fait c'est comme si vous essayez de nettoyer une gourde du commerce. Il n'ya que le bout comme orifice pour faire entrer les aliments mais aussi laver la gourde!  Vous rincez à l'eau (chaude) pour nettoyer mais donc pas possible d'utiliser un goupillon et d'ouvrir la gourde pour bien nettoyer les petits coins. Je me suis rendu compte en faisant une compote à la vanille car les grains restaient et en y regardant de plus pret il restait toujours un peu d'eau squi ne sèche jamais (un vrai petit nid à bactérie). Vraiment deçus donc par cet aspect réutilisable vs hygiène qui n'est pas mieux que réutiliser une gourde du marché. Certaines ont en plus l'avantage d'etre en métal à l’intérieur et donc là vu que c'est du plastique on pourrait presque se dire que c'et aussi moins dangereux d'utiliser (Et c'est aussi moins cher!) que de réutiliser la gourde du commerce (Dommage le bol plastique et piston ne se vende pas seule je crois).  Je vais me mettre à la recherche d'un système de gourde mais sous vide pour augmenter la conservation des aliments et pouvoir esquiver en partie le frigo. En espérant que ca existe.</t>
  </si>
  <si>
    <t>Contrefaçon qui fait super mal au pied Ces chaussures n'ont pas du tout la forme des converses. Le devant est presque pointu et non arrondi et je sais de quoi je parle, je n'en suis pas à ma 1ère paire. Bref je les ai retourné. J'en rachèterai sûrement une autre paire sur un site concurrent parce que je suis bcp trop déçue surtout après avoir lu tous ces commentaires qui disent la même chose : contrefaçon...</t>
  </si>
  <si>
    <t>Moyen Je l'ai acheté pour l'utiliser dans la voiture le temps est interminable pour chauffer le biberon de plus le câble est bien trop court</t>
  </si>
  <si>
    <t>Beaucoup trop long Si vous achetez ce t shirt compter un supplément pour le retoucher sur sa longueur .  Dommage car bonne finition</t>
  </si>
  <si>
    <t>Je l'utilise avec une console de mixage J'ai branché le micro sur une table de mixage en XLR et le son est pas terrible. Déjà le micro capte beaucoup trop l'environnement et eles petits bruits. En comparaison, j'avais un blue yeti USB et ce dernier captait beaucoup moins les nuisances sonores. Au niveau de la finition rien a dire, il est fournit avec plein d'accessoires, un bras bas de gamme, une bonnette et un filtre anti pop.</t>
  </si>
  <si>
    <t>Excellent rapport qualité/prix Assez bluffant pour le prix, l'article dithyrambique des Numériques dit vrai : la qualité sonore de ces écouteurs est exceptionnelle. Elle se rapproche nettement de ce que peuvent offrir des modèles bien plus cher sans que ces derniers ne justifient l'écart de prix pour autant.  La réduction de bruit est correcte mais pas exceptionnelle. Elle est à son avantage avec les bruits graves, dans un contexte de bureau c'est idéal, dans les transports et en extérieur, elle est beaucoup moins à l'aise et on finit par entendre les bruits environnants qui sont seulement atténués.  Le tout reste assez ergonomique et peu encombrant. Sur la solidité j'attends de voir, j'ai visiblement reçu un modèle plus récent (TT-EP008 au lieu du TT-EP001). En espérant que les défauts pointés ça et là aient pu être corrigés.</t>
  </si>
  <si>
    <t>ras je recommande ce produit car il est très efficace notamment sur les bleus ou problème de circulation sanguie après une opération</t>
  </si>
  <si>
    <t>ras produit de bon facture</t>
  </si>
  <si>
    <t>Conforme Un chouïa grand</t>
  </si>
  <si>
    <t>C'est de soisir la bonne ponture Bonne paire de chaussure merci cordialement</t>
  </si>
  <si>
    <t>pile-poil... Exactement ce que j'attendais: tout terrain, multipoche et à la bonne taille! Les 2 grandes poches et les 2 moyennes permettent de s'adapter aux circonstances.</t>
  </si>
  <si>
    <t>super très fonctionnel et très pratique. je recommande fortement.</t>
  </si>
  <si>
    <t>Super Super produit!</t>
  </si>
  <si>
    <t>Parfait TRes belles couleurs Fonctionne parfaitement</t>
  </si>
  <si>
    <t>RAS Produit de bonne facture. Qd on a besoin de câble plus long faut pas se priver à ce prix là</t>
  </si>
  <si>
    <t>Parfait Correspond au prix et à la photo, la qualité est donc proportionnelle, bout des manches pas très solide, mais le tout est très correct.</t>
  </si>
  <si>
    <t>je recommande Depuis que je lès acheté à mon fils il les à bien amortie mais toujours intacte. Bonne qualité je recommande.</t>
  </si>
  <si>
    <t>Super bouilloire Après 3mois d utilisation je l adore !!!!! pas très grosse c est ce que je recherchais et 1l ca suffit . Elle est très jolie et silencieuse .Pratique et pas dangereuse je conseille !!!</t>
  </si>
  <si>
    <t>Top pour les bee wraps J'ai réalisé de nombreux bee wraps ou tissus cirés pour remplacer mes films alimentaires en plastique, je recommande !</t>
  </si>
  <si>
    <t>impeccable Achetée pour mon fils qui boit du thé le soir en internat, c'est juste ce qu'il faut. 0.6 litres pour 1-2 personnes c'est bien, bouilloire sans fil posée sur sa base (avec fil) extra il est ravi chauffage rapide, avec arrêt automatique quand l'eau est chaude impeccable</t>
  </si>
  <si>
    <t>Excellent produit J'utilise ce produit pour des wc chimiques de caravane. Je suis très satisfait de efficacité de ce produit.</t>
  </si>
  <si>
    <t>vraiment bien La qualité de ce polo est impeccable. Très bien coupé, finitions impeccables, jolie couleur de bleu marine. La taille L est parfaite. On se serait passé du logo mais il reste passe partout. Mon fils de 13ans l'a adopté tout de suite.</t>
  </si>
  <si>
    <t>Raffinées et prix intéressant J'ai acheté ces boucles d'oreilles pour un cadeau. J'ai été agréablement surprise, elles sont très jolies, raffinées et très élégantes. De taille correcte, j'avais peur qu'elles soit trop grandes. Elles sont discrètes. Mieux en vrai qu'en photo. Je recommande cet achat. Rapport qualité prix très intéressant.</t>
  </si>
  <si>
    <t>Top qualité de A a Z Très pratique pour le téléphone main libre et music pour le sport ou à tout endroit . Relativement discret comparer à un casque traditionnel vous suit partout et fonctionne à travers les murs . Étonnant comme produit juste attention au personne très fine au niveau du crâne et du coup car le contact oreille ne se fait pas correctement d’où perte de son . Pour moi parfait merci . Je kiffe</t>
  </si>
  <si>
    <t>A quoi sert la tablette souris Un produit pratique.facilement réglable mais la.molette de la.tablette souris empêche a la tablette elle-même d etre plane ....comme la molette se situe en dessous...et la tablette vient en butée sur le pied quand vous mettez la tablette en position lit...une mauvaise conception?</t>
  </si>
  <si>
    <t>Éviter de faire cette achat ⛔ Sans odeur 🤔😭</t>
  </si>
  <si>
    <t>Beaucoup trop grand Nous avons suivi l'échelle de grandeur (mesure en cm des pieds) founie par le vendeur, cela ne correspond pas du tout à la pointure !!!</t>
  </si>
  <si>
    <t>Mouai bof! J’ai acheté ce casque pour de l’enregistrement studio. Bien que fermé le son ressort et le micro le repique. Le son n’est pas extraordinaire. Le seul point fort est le confort sur les oreilles. Assez déçu de ce casque pourtant largement conseillé sur le net.</t>
  </si>
  <si>
    <t>Pratique La sacoche est pas mal, elle est jolie et pratique</t>
  </si>
  <si>
    <t>Rouleau de feuille de protection Colis arrivé plus vite que prévu. Produit confirme à la description. Pour la qualité, je n'ai pas encore essayé. On verra le moment venu</t>
  </si>
  <si>
    <t>bon produit tres bon produit mais cher pour sa manufacture... plastique très "cheap", contenance assez pauvre... dommage, ils auraient pu faire mieux pour ce prix la</t>
  </si>
  <si>
    <t>Facile à connecter avec son IPad Bon produit, fonctionne très bien</t>
  </si>
  <si>
    <t>Bon Rapport Qualité Prix Livraison un peu longue en cette période de Noël, cependant le colis est arrivé plus tôt que prévu. C'est déjà pas mal ! Je ne compte acheter cet article que sur Amazon, le prix est bien plus intéressant que chez les concurrents physiques.  Bon rapport qualité/prix pour une encre authentique. Je suis satisfait par la prestation générale et je donne un 5/5.</t>
  </si>
  <si>
    <t>délai respecté le produit correspond à mes attentes</t>
  </si>
  <si>
    <t>Must have Simple et efficace, quatre minutes suffisent après lavage des biberons. Même si certains médecins déconseillent le stérilisateur, ça ne fait pas de mal surtout les premiers mois. Bien mesurer son micro onde pour voir si ça rentre Un must have</t>
  </si>
  <si>
    <t>article conforme à notre attente Très bonne qualitée</t>
  </si>
  <si>
    <t>parfait parfait les chaussures me vont comme un gant j'adore je suis fan de ma part, je ne suis pas decue de l'avoir acheter</t>
  </si>
  <si>
    <t>Bonne huile de qualité Huile contenue dans une bouteille en verre ce qui est meilleur pour la conservation. Huile naturelle et bio, permettant de ralentir la pousse des poils. Cet effet est visible au bout de quelques semaines d'utilisation. Bon rapport qualité prix</t>
  </si>
  <si>
    <t>Tres bon produit Le produit correspond exactement à mes attentes. Le son est très bon avec ma chaîne hi fi Denon . Il faut réduire le son du casque et augmenter le son de La chaîne pour ne pas entendre de souffle dans les écouteurs.</t>
  </si>
  <si>
    <t>Bouilloire de voyage Petite bouilloire achetée pour un prochain voyage, testée avant de la mettre dans la valise. Elle chauffe très bien, petite quantité largement suffisante pour un petit déj' dans la chambre de l'hôtel, sa base se séparant de la bouilloire elle-même ce qui est un plus. Je ne regrette pas cet achat qui, de plus, a été livré très rapidement, la bouilloire était bien protégée dans sa boite.</t>
  </si>
  <si>
    <t>Bien Livre</t>
  </si>
  <si>
    <t>Casque à reduction de bruit active léger, confortable et facilement transportable &lt;div id="video-block-R1FDQDBBHH4X9Y"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id="15" preload="auto" src="https://images-eu.ssl-images-amazon.com/images/I/D1IbOBKnQQS.mp4" style="position: absolute; left: 0px; top: 0px; overflow: hidden; height: 1px; width: 1px;"&gt;&lt;/video&gt;&lt;/div&gt;&lt;div id="airy-slate-preload" style="background-color: rgb(0, 0, 0); background-image: url(&amp;quot;https://images-eu.ssl-images-amazon.com/images/I/91EfgEp7HSS.png&amp;quot;);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value="https://images-eu.ssl-images-amazon.com/images/I/D1IbOBKnQQS.mp4" class="video-url"&gt;&lt;input type="hidden" name="" value="https://images-eu.ssl-images-amazon.com/images/I/91EfgEp7HSS.png" class="video-slate-img-url"&gt;&amp;nbsp;J'ai testé le E8 de Cowin et je voulais in casque plus facilement transportable, j'ai donc commandé celui ci pour comparer. Celui ci est plus léger et plus compacte car il se plie. Les coussins d'oreille sont très moelleux et me conviennent mieux car j'ai des écarteurs et avec celui ci je ne suis pas obligé de les enlever. Concernant l' ANC il est plutôt pas mal. Le son est très bon, rien à redire sur ce point. La seule chose que je regrette par rapport au E8 c'est le système aimanté pour enlever les coussins d'oreilles. Globalement très satisfaite de ce casque à réduction de bruit active.</t>
  </si>
  <si>
    <t>Bonjour Tellement contente de ce nouvel outil. Non seulement le soin est relaxant et agréable, mais il fait un miracle pour mes cernes. Autre plus, il aide à détendre la mâchoire en fin de journée. Je conseille de l’utiliser avec un sérum pour bénéficier des avantages rajeunissant du rouleau de jade. J’en ai offert à toute ma famille, même aux hommes</t>
  </si>
  <si>
    <t>Belle sacoche solide et pratique Bonne qualité</t>
  </si>
  <si>
    <t>Bon produit Je fais peu de photocopies donc le coût plutôt élevé de cette mini cartouche n'est pas rédhibitoire ...encre de bonne qualité car ne sèche pas après une longue période sans utilisation .</t>
  </si>
  <si>
    <t>Super confort Très à l’aise, superbe qualité</t>
  </si>
  <si>
    <t>Ras Parfaite superbe</t>
  </si>
  <si>
    <t>Très surpris ! J'ai acheté ce casque en suivant les recommandations des autres acheteurs et à ce prix là, je me suis dit que je ne prenais pas un risque énorme. Je suis agréablement surpris par la qualité sonore de ce casque et par la batterie qui semble tenir ses promesses. J'utilise quasiment toute la journée un casque et d'habitude, j'ai une préférence pour mon BackBeat Pro de Plantronics : le MPOW n'a pas toutes les qualités de ce dernier, mais je peux vous dire qu'en terme de son, il ne fait aucunement pitié : il suffit d'écouter du Supertramp pour y trouver les petits sons que certains casques ont un mal de chien à restituer et vous comprendrez que vous avez ici quelque chose de bluffant pour le prix demandé ! Concrètement, foncez : au pire, vous aurez un casque de rechange, mais ici, on à du bon, mieux qu'une simple roue de secours !</t>
  </si>
  <si>
    <t>Couleur plus marron que verte Couleur reçue différente de celle présentée en photo: la couleur reçue est plus marron "caramel"</t>
  </si>
  <si>
    <t>Erreur J'ai reçu a la place un t-shirt bleu taille 12 ans. Je l'ai donné à mon neveu. Je n'avais plus le temps de recommander. Achat inutile...</t>
  </si>
  <si>
    <t>Non recommandé Déçu à la réception. Elles sont minuscules et pas aussi bien dessinées que sur la photo. Je ne recommande pas.</t>
  </si>
  <si>
    <t>Qualité correcte sans plus Un peu bruyante, assez jolie. Notice d'utilisation dans de nombreuses langues mais pas en français. Vraisemblablement fabriquée en Pologne.</t>
  </si>
  <si>
    <t>Aucun son ne sort sur Windows 10 Impossible de détecter le micro en entrée sur Windows 10.</t>
  </si>
  <si>
    <t>Très joli Très joli ensemble et très présentable pour faire un cadeau. Bien protégé dans un petit container en plastique sans risque de perte ou de détérioration Rapidité d'envoi Bon vendeur à recommander</t>
  </si>
  <si>
    <t>Efficace et classe Reconnu sans rien télécharger sous Windows 10, il fonctionne très bien. Le son est agréable et les bruits de frottement sur le bureau sont fortement réduits. Et puis son design en jette avec ton anti-puff rectangulaire même si le câble USB est le plus que je n'ai jamais vu :-)</t>
  </si>
  <si>
    <t>Montre altimètre complète et simple à l'usage Testée pendant 12 jours en randonnée sur terrain montagneux j'ai pu apprécier la fonction altimètre essentielle pour moi sur ce genre de parcours. Assez précise une fois étalonnée par rapport à un point sur la carte ou balisage (à 5 mètres près). Montre très légère, compacte et d'aspect robuste. Mise à jour des données aisée et pratique avec boutons assez gros pour la manipulation. La fonction température n'est vraiment utilisable qu'une fois otée du poignet. La fonction baromètre est plutôt "gadget". Avec les fonctions chronomètre en plus des fonctions habituelles d'une montre classique ce produit s'avère assez complet surtout à ce niveau de prix. Je recommande cet article à tous ceux qui n'ont que faire de produits "hight tech" sophistiqués et coûteux.</t>
  </si>
  <si>
    <t>Sac bandoulière en cuir rigide assez grand J'ai finalement retourné ce sac bandoulière car je l'ai trouvé un peu trop rigide et un peu trop grand par rapport à ce que je recherchais. Le rabat avant a une fermeture magnétique qui est beaucoup trop faible pour assurer un maintien de sécurité en position fermée.</t>
  </si>
  <si>
    <t>Parfait Boucles d’oreille conformes à la description. Livraison rapide et sérieuse! Je suis ravie!!</t>
  </si>
  <si>
    <t>Merci Amazon J'aime ça, j'ai acheté ces lampes UV avec mes amis, je suis très satisfait.Ce projecteur est très original et n’a rien à voir avec un éclairage traditionnel.C'est un puissant petit projecteur noir (ultraviolet).Il est idéal pour votre fête d'anniversaire de mariage et tout autre divertissement.Je recommande ce produit, grâce à Amazon.</t>
  </si>
  <si>
    <t>Baskets très légères et de bonne qualité ! Produit de très bonne qualité, léger avec une semelle parfaite pour tous les sols surtout humides.Je recommande ce produit très intéressant !</t>
  </si>
  <si>
    <t>Beau design Très belle cafetière</t>
  </si>
  <si>
    <t>Crocs Très agréable à porter tout les jours.dommage que le revêtement dessus sois très attrape poussiere.</t>
  </si>
  <si>
    <t>Lessive Pour faire ma lessive moi même</t>
  </si>
  <si>
    <t>Parfait Je recommande ce pull léger pour les sportifs parfait pour courir avec car on a ni trop chaud ni trop froid</t>
  </si>
  <si>
    <t>Super 👌 Au top. Parfait. Les écouteurs se sont connectés très facilement. J'ai rencontré aucune gêne. Plusieurs embouts pour s'adapter. Le son est très bon.</t>
  </si>
  <si>
    <t>Un excellent casque Produit conforme à mes attentes. Très agréable à porter, même sur une période longue. Le son est de bonne qualité et surtout neutre. Ajouter à cela une carte son (j'ai une asus strix) le son devient juste fabuleux. Que ce soit pour du gaming ou de l'écoute musical. Je recommande fortement le produit. Surtout que le prix peut parfois descendre dans les 50€.  merci de voter "utile" si cela l'a été pour vous, merci :)</t>
  </si>
  <si>
    <t>Converse Superbe couleur bleues pour mon petit  de 10 ans. J'ai commandé une pointure en dessous et c'est parfait. très confortable...il ne les quitte plus. Je recommande ce produit!</t>
  </si>
  <si>
    <t>Tres beau bracelet Magnifique bracelet, très bonne idée de cadeau, rapport qualité /  prix, top</t>
  </si>
  <si>
    <t>Simple et efficace Journaliere</t>
  </si>
  <si>
    <t>Parfait Léger et au look discret noir mat, ce bracelet métal se marie parfaitement avec la Fitbit Charge 2. Un outil est fourni pour ajuster la taille du bracelet. Il permet de retirer et de remettre sans effort, les rivets fixant les maillons . La fermeture du bracelet semble efficace (aucun décrochage constaté, même durant les activités sportives) et pourtant facile à ouvrir. La souplesse des maillons et la forme du bracelet permettent un maintien au poignet supérieur à celui du bracelet plastique d'origine. Je recommande cet article.</t>
  </si>
  <si>
    <t>Papier toilette Par rapport qualité-prix très bon papier toilette rempli son rôle</t>
  </si>
  <si>
    <t>Beau design Pas encore utilisé depuis l achat Facile à monter Beau design A voir dans le temps</t>
  </si>
  <si>
    <t>Mauvais contact au niveau de la télécommande ... HS de nouveau ! Siège confortable et relaxant malheureusement il existe une faiblesse au niveau du fil de la télécommande créant un faux contact et donc arrêtant le massage en pleine "séance". Nous avons déjà eu le cas avec le premier modèle reçu ... étant sous garantie il nous a été rapidement échangé mais cela recommence de nouveau sur le 2éme siège reçu. Vraiment dommage !!!</t>
  </si>
  <si>
    <t>Dommage que leq gourdes ne souvre pas par le bas! Je pense qu'il est plus judicieux d'acheter les gourdes qui s'ouvre par le bas. J'ai renvoyer le produit car je n'imagine pas nettoyer les gourdes! Comment les faire sécher? Franchement je pense que c'est un nid a microbe, pas très hygiénique. La machine en soi doit être sympa... Je ne recommande pas ces gourdes en tout cas!</t>
  </si>
  <si>
    <t>Produit a moitié vide Je ne recommanderais plus des cartouches sur le site car elles arrivent bien emballées de la marque HP mais elles ne dures pas longtemps,soit elles ne sont pas pleines volontairement pour de la vente par le net ou soit elles sont stockées pendant un certain temps et se dessèchent ,une grosse arnaque quoi,</t>
  </si>
  <si>
    <t>BOF J'ai pris ce livre pour mon fils qui vient de rentrer au CP, je suis plutôt déçue, je m'attendais à autre chose de ce livre mais en fait il s'agit d'une simple histoire à lire à son enfant en attendant qu'il sache le faire tout seul...</t>
  </si>
  <si>
    <t>Super Pratique on l utilise tous les jours . Par contre il ne faut rien laisser à terre. Cela aide beaucoup à l entretien de la maison en ne perdant pas de temps à passer l aspirateur je recommande et je pense que prochainement je d’ferais le même achat pour l etage</t>
  </si>
  <si>
    <t>Pratique Pratique pour une nouvelle maman</t>
  </si>
  <si>
    <t>Très satisfait, casque qui regroupe de nombreuses qualités Casque de bonne facture, blutooth performant, bonne portée, bonne qualité de son, très bonne isolation, il couvre bien les oreilles sans être douloureux. Un seul petit bémol, le simili cuir couvrant la mousse de l'arceau a tendance à se décoller, je lui retire une étoile pour ce problème, mais vraiment c'est un souci mineur qui se résoud avec un peu de glue, et qui n'entrave pas le bon fonctionnement du casque.</t>
  </si>
  <si>
    <t>Juste un petit bémol Un très bon 4 étoiles car niveau autonomie, confort, super qualité de son, et un prix vraiment très bien placé en fonction, le petit bémol pour moi est le micro qui à son plus d'être enlevable mais son moins a mon gout, d'être un poil trop court n'allant pas assez devant la bouche et si vous ne voulez pas parler fort et bien dur dur de vous faire entendre. Mis a part ça c'est the casque à prendre sans hésiter.</t>
  </si>
  <si>
    <t>identique à l'origine je n'ai changé que la partie cassée gardant l'autre en réserve au cas où, facile à faire et efficace</t>
  </si>
  <si>
    <t>Hyper confortables mais attention taillent grandes Je chausse habituellement du 39 et là un 38 me va parfaitement et je ne touche même pas le bout de la chaussure. Elles sont hyper légères au pied et la semelle à mémoire de forme font qu’elles sont très confortables. On l’impression d’etre dans des chaussons! Elles ne serrent pas le pied. La semelle intérieure est pré formée ce qui est très confortable lorsqu’on court ou même pour marcher. Mon fils qui a tendance à marcher avec le pied qui tourne vers l’intérieur, cette semelle lui redresse les pieds et il marche beaucoup mieux. Elles sont en tissu afin de laisser respirer le pied, le bout est en cuir alvéolé pour renforcer la solidité de la chaussure. La couleur est gris clair ce qui change du blanc ou du noir.</t>
  </si>
  <si>
    <t>Bel agenda, grande taille, très solide .... BIEN. Mon achat annuel d'agenda, toujours parfait.</t>
  </si>
  <si>
    <t>l'"excellence" La première remarque qui vient à l'esprit est: que c'est cher, pour des sacs poubelle ! Et puis vous placez le sac dans la poubelle idoine, il se fixe parfaitement; vous refermez la poubelle,le sac ne se voit pas. Quelques jours plus tard vous soulevez le sac, il ne se déchire pas, l'eau croupie (restes de sauce, de soupe, etc.) ne coule pas, le sac ne se déforme pas. En un mot, vous ne regrettez pas votre achat. A recommander sans hésiter.</t>
  </si>
  <si>
    <t>Stylos Très contente</t>
  </si>
  <si>
    <t>Très pratique Rempli parfaitement sa fonction. Idéal pour une sortie sur une journée complète, le bec verseur est très pratique. Utilisé depuis 6 mois et aucun défaut à signaler pour le moment.</t>
  </si>
  <si>
    <t>Très bon appareil Très bon appareil, fonctionne très bien, très simple d’utilisation, achat très récent donc à voir dans le temps :)  Je recommande</t>
  </si>
  <si>
    <t>Impeccable Sweat-shirt niquel</t>
  </si>
  <si>
    <t>Super produit Très bon rapport qualité prix pour ce casque qui n'a rien à envier à certaines marques. Il fonctionne très bien et le vendeur répond aux questions sans problème. J'ai eu un souci de micro qui venait en fait de la carte son de l'ordinateur qui n'était pas activée...Je recommande</t>
  </si>
  <si>
    <t>Magnifique boucle d’oreille Magnifique boucle d’oreille parfais correspond à mes attentes vendeur très sérieux.je recommande ce produit.</t>
  </si>
  <si>
    <t>Top Mon bébé les utilisent depuis sa naissance je recommande les yeux fermés.</t>
  </si>
  <si>
    <t>evaluation produit conforme à l'annonce correct satisfait</t>
  </si>
  <si>
    <t>Bon son et robuste Vraiment top Ma fille l'utilise depuis un  bon moment. Bonne qualité de son, robuste car elle n'est pas très soigneuse et tjrs en bon état. Pour un petit budget ya rien à dire je conseil ce produit</t>
  </si>
  <si>
    <t>totalement conforme produit qui révèle toute nos attentes . étanchéité prouvée et sa solidité n est plus a démontrer .seul bémol l l'éclaire n'est pas assez fort pour bien voir l heure de nuit</t>
  </si>
  <si>
    <t>Parfait ! Correspond pleinement à mes attentes. Libère de la place sur le bureau de façon organisée et au design agréable.</t>
  </si>
  <si>
    <t>Contrefaçons ! La toile semble bien "légère", la découpe de la toile fait des "bourrelets" sur les côtés du pieds au dessus de la semelle, la taille n'est pas semblable aux Converses que j'achète habituellement en magasins... Bref, c'est une contrefaçon !</t>
  </si>
  <si>
    <t>Conforme à mes attentes Ras</t>
  </si>
  <si>
    <t>Ne colle pas Ne colle pas très bien, tout ce que j'ai collé avec pour l'instant c'est décollé à la 1er utilisation.  Dommage pour cette marque connue!</t>
  </si>
  <si>
    <t>Joli petit bijou mais trop léger J’ai offert ce petit bijou. Il est joli mais très léger. Dommage que l’autre face soit creuse quand il se retourne ce n’est pas très esthétique</t>
  </si>
  <si>
    <t>bon produit huile à mettre le soir, ça reste une huile ;  reste un  peu gras sur la peau, mais efficace en complément d'une crème pour la couperose.</t>
  </si>
  <si>
    <t>La pointure Sport au basket</t>
  </si>
  <si>
    <t>Bien, tient bien au pied suf pour le running J'aurais préféré des chaussette qui bouchent encore moins, mais celle-ci ne sont pas mal pour marcher. Par contre pour courrir, elles peuvent descendre. Donc moi je les utilise pour me promener uniquement et il n'y a pas de problème.</t>
  </si>
  <si>
    <t>Fonctionne très bien bon son Ma fille de 9 ans l'utilise régulièrement pour ça tablette rien a dire fonctionne correctement, très bon son , le prix et un peut élevé nous avons trouvé le même en magasin 4euro moins chère</t>
  </si>
  <si>
    <t>très bien Cadeau</t>
  </si>
  <si>
    <t>Impeccable Très bien bonne qualité et bonne taille</t>
  </si>
  <si>
    <t>Très beau taille un petit peu grand Très belle matière je fais un 36 et le s met un peu grand mais il me va j’ai l’habitude juste d’avoir des legging sur de sport qui me sert dnavantage Belle couleur de qualitee</t>
  </si>
  <si>
    <t>Chaussures de sécurité Très satisfait...merci !</t>
  </si>
  <si>
    <t>super! Très belle bouilloire, fonctionnelle. Ok elle dépasse un peu les températures, alors quand on le sait, après on s'adapte. Super rapport qualité prix</t>
  </si>
  <si>
    <t>MAM au top Seule tétine que mon enfant accepte, comme chaque fois que je fais l'achat d'un produit Mam, c'est toujours solide et pratique.</t>
  </si>
  <si>
    <t>Super achat Je suis ravie de ses écouteurs. Non seulement,ils sont ultras pratiques. Je les ai testés à la course,en vélo et même en sauts: ils sont très stables! Ça fait plus de 4j que je les utilise et je n'ai pas encore eu besoin de les charger. Le Bluetooth est super: pas besoin d'avoir son portable sur soit pour être efficace.Même dans des pièces séparées,ça marche ! le boitier peut servir de charge pour le téléphone et le petit plus est la pochette de transport. Je recommande!</t>
  </si>
  <si>
    <t>Très bien Produit conforme à la description.</t>
  </si>
  <si>
    <t>PARFAIT Correspond tout à fait à mes attentes, se met à l'heure toute seule. Très légère, et facile d'utilisation. Très bon produit</t>
  </si>
  <si>
    <t>Très bien Livraison ultra rapide. Mon ancien chauffe biberon nous a lâcher et très satisfaite de cet achat de dernière minute. Confirme à sa description et remplie ses fonctions. Très bien.</t>
  </si>
  <si>
    <t>Beau, brillant, léger Magnifique collier en cœur rouge, avec les strass. Ce collier peut-être porter pour toute occasion. Il est léger, très beau et ne rouille pas. Je recommande totalement, ça peut faire un très beau cadeau.</t>
  </si>
  <si>
    <t>produit du grande utilité et très fonctionnel bonjour je recommande à toutes les mamans d'acheter ce produit pour faire des compotes en gourdes à ses enfants plus économes et plus écologiques prend peut de place première prise en mains très facile nettoyage facile possibilité de passer au congélateur au micro onde les gourdes se nettoie facilement  le seul point négatif le bouchon des gourdes aurais pu être attacher à la gourde par une ficelle pour ne pas les perdre</t>
  </si>
  <si>
    <t>Survêtement de bonne qualité Ce survêtement est de bonne qualité, il a été offert et la personne a été satisfaite de ce cadeau.</t>
  </si>
  <si>
    <t>Chaussettes douces et chaudes Chaussettes douce et agréable à porter Maintient au chaud et maintien excellent Envoi rapide et soigné</t>
  </si>
  <si>
    <t>Extra Mon bébé adoré. Et ça lui permet de découvrir de nouveau goût, sans en mettre partout et en mastiquant !</t>
  </si>
  <si>
    <t>pas pratique Dommage que le lait reste au fond de la boite, l'ouverture avec le petit capuchon rond permet difficilement de faire tomber tout le lait dans le biberon, il faut beaucoup secouer...et sans en mettre a coté...difficile..je suis très déçue de mon achat</t>
  </si>
  <si>
    <t>Tétines défectueuses Apparemment Avent a légèrement changé le modèle, et les tétines du nouveau modèle sont défectueuses et ne coulent pas du tout. J'ai tout renvoyé.</t>
  </si>
  <si>
    <t>Problème de batterie J'ai reçu le produit avec Batterie HS, j'en ai acheté une neuve qui a tenu 15 jours. J'en ai racheté une deuxieme neuve, pareil , HS apres deux semaines.</t>
  </si>
  <si>
    <t>Cartouche PG 540 et 541 Cartouches d'encre conforme à l'imprimante que j'utilise . Seule imprécision sur sur le volume d'encre et nombre de feuilles pour tel ou tel type de cartouches. Au vu du rapport qualité prix, on ne peut pas se sentir floué.</t>
  </si>
  <si>
    <t>Converse Lacet s’est cassé vite obligation de changer</t>
  </si>
  <si>
    <t>Adhésif très résistant Idéales pour coller les photos, l'adhésif résiste bien cependant à la longue c'est épuisant de devoir retirer les languettes de protection qui sont mal conçues.</t>
  </si>
  <si>
    <t>Excellent rapport qualité prix Micro qui fait son job, restitue bien le son, fait son job. Facile d'utilisation et facile a mettre en place. Ce n'est pas le meilleur, mais au niveau rapport qualité prix, vous pouvez aller les yeux fermés.</t>
  </si>
  <si>
    <t>Compagnon idéal des tout-petits Voilà une petite mallette de coloriage, solide et métallique, qui fait un joli cadeau de Noël : de taille modeste mais assez grande pour contenir 1 poster, 12 feutres BIC Kids (dont 2 effaceurs toujours très appréciés des enfants pour dessiner en blanc par dessus les aplats réalisés avec les feutres de couleur), 12 pastels et 6 "feutres" à paillettes (en séchant ces feutres peuvent servir de colles mais cela n'a pas d'intérêt si l'on veut voir les paillettes), mais point de stickers comme indiqué sur la fiche produit. Le poster est sympa, assez grand sur une feuille épaisse pliée en 16, et pourra occupé votre bambin pendant quelques heures, même si mon dernier préfère quant à lui se promener avec sa valise dont il raffole à l'intérieur et à l'extérieur de la maison. Le seul petit bémol concerne les feutres à paillettes qui ne sont pas très pratiques d'utilisation : peu précis, dégoulinants sous la pointe en cas de pression trop forte et dont le capuchon ne tient pas bien en place, ce qui les rend peu commodes en pratique puisque l'on en met partout. Mais les feutres Kids ont fait leur preuve et les pastels ont de belles couleurs sans être trop gras. Le prix devrait à mon humble avis se trouver davantage entre 15 et 20 euros pour être plus juste... mais cette mallette fera mouche à tous les coups chez les plus petits (3-8 ans).</t>
  </si>
  <si>
    <t>Très beau peigne. Beau peigne, plus petit qu'il ne semble sur la photo. Solidité à tester avec le temps.</t>
  </si>
  <si>
    <t>Joli legging. Je recommande Très beau taille bien. Ras</t>
  </si>
  <si>
    <t>bien bonne taille ,bonne coupe et matiere souple et assez epaisse pour masquer rondeurs.tres bien je le recommande pour sport et balade</t>
  </si>
  <si>
    <t>Top du top vpus pouvez l'acheter Petit trépied de très bonne conception de très très bonne qualité pour le petit prix je vous le conseil vivement pas du tout déçu après plusieurs mois de service</t>
  </si>
  <si>
    <t>super produit super produit!!! de très bonne qualité et conforme en tous points à la description! je recommande</t>
  </si>
  <si>
    <t>Super Super lampe de bureau pour n’importe qui dans la famille Jolie Pratique Belle Plusieurs lumière Plusieurs modes Mes enfants adorent</t>
  </si>
  <si>
    <t>Montre Casio AQ-230A-1DMQYES Je viens de remplacer la même montre reçue en cadeau d'anniversaire en 1976. Montre très robuste et fiable. A recommander sans restrictions</t>
  </si>
  <si>
    <t>Utile Bien</t>
  </si>
  <si>
    <t>comfirmé à la description je le porte chez moi il est bien chaud et confortable</t>
  </si>
  <si>
    <t>Super Mon fils de 19 mois adore, super prise en main pour un tout petit et de qualité.</t>
  </si>
  <si>
    <t>montre homme montre tres elegante et de bonne qualite le bracelet est reglable belles couleurs elle n est pas trop lourde bons materiaux elle set livvrer dans une belle boite ideal pour offrrir</t>
  </si>
  <si>
    <t>Le style est génial La taille recommandée par le service client est très appropriée,  le style est génial, c'est mon type préféré, le tissu est doux.</t>
  </si>
  <si>
    <t>Leger et sur joli J adore ce mélange plastique et metal. Ecouteurs hyper legers , hyper fonctionnel.</t>
  </si>
  <si>
    <t>Sublime ! Juste a dire que j'en suis ravie je m'attendais pas a cette qualité je les recommande vivement !!</t>
  </si>
  <si>
    <t>Papier très absorbant Papier très résistant ! Très contente de mon achat que je renouvelle régulièrement</t>
  </si>
  <si>
    <t>Bon produit Bonne qualité pour photos copies bien dans l l'ensemble</t>
  </si>
  <si>
    <t>Ne ferme pas bien L'idée est bonne, mon enfant adore cette grignoteuse. Malheureusement elle s'ouvre très facilement et bébé se retrouve avec le contenu dans les mains.</t>
  </si>
  <si>
    <t>Pas du cuir Pas du cuir ; ça sent très fort le produit chimique et pas du tout le cuir . D'ailleurs toutes les coutures cachent bien les cotés pour éviter qu'on s'en aperçoive. Remboursement demandé.</t>
  </si>
  <si>
    <t>Faut AKG Tout simplement ce ne sont pas des AKG la qualité du son est tout simplement pourri je ne recommande surtout pas d'acheter ses écouteurs mon achat et tout simplement aller direct à la poubelle</t>
  </si>
  <si>
    <t>Durée d'utilisation médiocre Qualité de son acceptable mais rien d'extraordinaire. Très bien pour l'activité physique. Gros bémol : la durée de l'utilisation. En 2j les écouteurs sont déchargés. Le pire c'est que le nombre de pourcentage affiché sur mon téléphone ne correspond pas à la réalité. Il est marqué 70% restant alors qu'en réalité les écouteurs vont s'éteindre sous peu. Après 2 "batterie faible" en l'espace de 5min, ils s'éteignent.</t>
  </si>
  <si>
    <t>usb adapter cest le seul adaptateur qui a vraiment 3 amperes les autres que jai acheté eteit fake je suis content de ce power supply merci</t>
  </si>
  <si>
    <t>très belle montre La fermeture du bracelet n'est pas aisée...</t>
  </si>
  <si>
    <t>Produit conforme Utilisation pour la maison</t>
  </si>
  <si>
    <t>Répond parfaitement aux attentes Répond parfaitement aux attentes</t>
  </si>
  <si>
    <t>Excellentes chaussures Utilisation pour la vie de tous les jours, chaussures souples</t>
  </si>
  <si>
    <t>impécable ! bonne taille pour du 41.5, je chausse du 41 ; pas trop étroites</t>
  </si>
  <si>
    <t>Parfait Très utile pour les tout petit bébé (biberon de 160ml mais réellement utilisable jusqu'à 120ml), concept anti colique réellement efficace. Tétine vraiment bien, tête beaucoup mieux avec celle ci comparé aux autres marques. De plus le design est génial, mais sa c'est un plus !</t>
  </si>
  <si>
    <t>Suis très à l’aise avec Très souple avec les chaussures de sécurité</t>
  </si>
  <si>
    <t>Très bon produit rapport qualité/prix Livraison impeccable dans les délais. Ce casque est destiné à une personne de 83 ans pour écouter la TV. La qualité est bonne pour ce type d'utilisation. Un autre commentaire : Je n'ai pas d'actions chez Amazon, mais j'apprécie le sérieux de cette entreprise</t>
  </si>
  <si>
    <t>Excellent Rien à dire ! Vraiment plus pratique qu'un goupillon classique au nettoyage ! Je recommande fortement ce produit sand exception</t>
  </si>
  <si>
    <t>bon outils top calculatrice très fonctionnelle, un peu grosse mais joli design. en remplacement de celle que mon fils c'est fait voler, elle accompagne votre enfant (largement) de la 2nd à la terminale voir plus car certains s'en servent encore en BTS. Dommage qu'Amazon en est augmenté le prix de 3€ en 1 an (comme bcp de ses produits d'aiileurs!)</t>
  </si>
  <si>
    <t>Chauffe Marcel !!! Un bon grille pain qui chauffe rapidement et de bonne qualité.  Je recommande</t>
  </si>
  <si>
    <t>Bien Rien à dire. Super !</t>
  </si>
  <si>
    <t>Très bien RAS</t>
  </si>
  <si>
    <t>Les étiquettes sont parfaites pour imprimer ses timbres avec le service d'impression Mon timbre en ligne de la poste Les étiquettes sont parfaites pour imprimer ses timbres avec le service d'impression Mon timbre en ligne de la poste sur mon imprimante laser. Penser à choisir l'impression en mode 100% sur aperçu sous Mac OS</t>
  </si>
  <si>
    <t>Bien choisir sa Taille en grand Tres rapide d'ouverte solide</t>
  </si>
  <si>
    <t>Confortable ! Au top ! Superbe basket bon rapport qualité prix très très confortable. Taille bien pas besoin de prendre une taille au dessus ou en dessous. Je recommande.</t>
  </si>
  <si>
    <t>Une grande découverte qui remplace les anciens écouteurs avec fil. Je suis très contente de cet achat. La livraison est super rapide. Dès le jour de réception , je commence à découvrir mes nouveaux écouteurs Bluetooth .  Les deux écouteurs sont petits ,légers et confortables. Le boîtier de chargement se présente sous forme de couvercle glissière , il est simple, élégant et pratique.  L’affichage numérique sur le boîtier nous permet de vérifier la capacité restante. Je porte ces écouteurs en faisant le sport, en faisant la course, en marchant, et en prenant le transport aucun soucis.  Le son est très claire et pas de trouble. Sur les deux écouteurs ,on a une fonction de type tactile ( lecture/pause de la musique, passer la musique suivante/précédente , augmenter ou baisser le son).  Donc c’est une grande découverte qui remplace les écouteurs avec fil.</t>
  </si>
  <si>
    <t>Sécurité Je les utilise pour le travail elle sont légère et confortable très agréable quand on marche beaucoup</t>
  </si>
  <si>
    <t>Rien à dire Comme tous les ans depuis.... je ne sais plus, ce format est vraiment celui qui me convient pour trimballer partout, pour les RV perso et professionnels. A la maison en complément nous avons le mémoniak qui sert à tout le monde.</t>
  </si>
  <si>
    <t>Canon? Quelle est donc cette politique du fournisseur qui consiste à retirer l'emballage ?Un mail de ce dernier m'a effectivement informé que je recevrai mon produit sans emballage mais quand même il y a de quoi s'interroger sur le produit (contrefaçon ou cartouche remplie avec encre bidon?) A vue d'oeil la cartouche ressemble bien à une originale Canon mais bon... Quand on achete du Canon on aime bien le recevoir dans son emballage d'origine Dans le doute 2 etoiles</t>
  </si>
  <si>
    <t>Pas genial Bon j etais decue c est ecrit super petit les images ne sont pas magnifiqyes a mon gout je ppense qu il y a des encyclopedies enfants plus agreables a lire</t>
  </si>
  <si>
    <t>Papier moyen Le papier est de tres moyenne qualité pour 80g! Mais le prix est attractif</t>
  </si>
  <si>
    <t>ne pas acheter ce coffret pour le porte feuille , mauvaise qualité petite qualité la fermeture du portefeuille était cassée</t>
  </si>
  <si>
    <t>Simple à utiliser La promesse du produit est de préparer un biberon en deux minutes, sans bactéries, à la température idéale, en gardant bébé dans les bras tellement c'est facile à utiliser... Le plus: il s'adapte à tous les biberons. Pas de crainte que bébé ne se brûle: le chauffe biberon a un signal lumineux pour prévenir si l’eau est surchauffée. Il est design et sobre Un signal nous indique si on n'a pas mis assez d'eau. Il filtre l'eau donc pas besoin d'acheter de l'eau en bouteille. Le moins: - l'appareil n'est pas fait pour être nomade. Il s'utilise à la maison et pas en voyage.  Au final, ce préparateur est plutôt pas mal et permet de gagner du temps en proposant un biberon sûr. Le concept est bon et la nuit, c'est plutôt sympa de ne pas se prendre la tête.</t>
  </si>
  <si>
    <t>Superbe Superbe objet . Fonctionne parfaitement</t>
  </si>
  <si>
    <t>Je recommande La fermeture est un peu spéciale mais sinon chaussure légère super agréable pour les cours de salsa.</t>
  </si>
  <si>
    <t>Vite vide ! L'écriture est agréable, le débit d'encre bien régulier. Par contre, les cartouches filent très vite si on en fait un usage quotidien.</t>
  </si>
  <si>
    <t>Bonne qualité Produit conforme à la commande</t>
  </si>
  <si>
    <t>Top! Super ! Je les ai achetées pour faire des activités manuelles avec mon fils d'un peu moins de 2 ans et je suis ravie ! Elles sont faciles à utiliser. Différentes tailles et formes (cercle et "baton").  Idéal pour travailler la pincée, la motricité fine et la créativité!</t>
  </si>
  <si>
    <t>Très bien Sympa doux</t>
  </si>
  <si>
    <t>Super.... Ne voulant pas me promener a l hôpital en pyjama, j ai décidé de prendre deux hauts plutôt cools.....je n aurais pas l air d une malade comme ça...la guérison par la motivation...</t>
  </si>
  <si>
    <t>Plastifieuse très pratique Cette plastifieuse est vraiment pratique et simple d'utilisation. Je m'en suis servi pour protéger certains documents et pour faire des sets de table personnalisé. Elle est fournie avec des pochettes et d'autres accessoires. Elle permet aussi de découper des feuilles et l'arrondisseur d'angle est très utile pour éviter de se blesser avec les coins des documents plastifiés.</t>
  </si>
  <si>
    <t>Super Les meilleurs biberons pour bébé, jamais eu de coliques depuis sa naissance. Le plus : facile à nettoyer grâce au démontage complet. On changera pas de marques pour les biberons.</t>
  </si>
  <si>
    <t>Parfait Rien à dire ... ce sont des charentaises ce qu'il y a de plus classiques. Confortables et chaudes c'est ce qu'on attend de ces pantoufles.  Livrées à la date prévue et bien emballées.</t>
  </si>
  <si>
    <t>La livraison Je l ai acheter pour faire un cadeau  magnifique montre et livraison ultra rapide</t>
  </si>
  <si>
    <t>Bien comme il faut Impeccable, très bonne qualité, la couleur était comme sur la photo, ça taille bien, j'ai commandé à temps pour le ce temps qui commence à faire froid.</t>
  </si>
  <si>
    <t>Top Rien à redire</t>
  </si>
  <si>
    <t>Bon produit et pas cher En étant fan de cette marque, j'ai toujours utilisé des baton de colle de Scotch, produit petit prix et de très bonne qualité, je recommande</t>
  </si>
  <si>
    <t>Jolies La folie de cette marque est juste incompréhensible mais je trouve qu'en noire, elles sont vraiment jolies. Je les trouve juste un peu trop plates mais bon c'est le modèle.</t>
  </si>
  <si>
    <t>Pardait Bon produit</t>
  </si>
  <si>
    <t>Très bon rapport qualité prix Montre simple d'utilisation avec de nombreuses fonctionnalités. Bracelet métallique solide, pile durée cinq an minimum, étanche. bonne lisibilité des informations, que demander de plus pour ce prix là. Pour résumé montre simple, jolie , efficace, fiable.</t>
  </si>
  <si>
    <t>FAKE TOUT DROIT SORTI DUN BAZAR ANGLAIS FAKE !! Les baskets arrive des BAZAR anglais et son de mauvaise qualite... Ils ont meme oublier l etiquette du magasin dans la boite ces cons (photo) Ayant acheter la version en noir directement chez adidas j ai pu voire la diference... Pour conclure ces baskets valent leur prix. pour info chez adidas.com elle sont a 90eu soit environ 30eu en plus mais la qualite est nikel ( basket bien ferme) est en plus personalisable a votre gout</t>
  </si>
  <si>
    <t>2 commandes donc 2 fois les frais de port régles mais un seul colis !!!!!! Vous abusez je n'ai pas pu modifier ma commande pour ajouter un article donc j'ai passé une seconde commande quelques minutes plus tard et j'ai donc payer 2 fois les frais de port !!! par contre cela ne vous a pas dérangé de faire un seul colis pour l'envoi de mes articles avec 2 factures bien évidement !!!! Vos procédés sont vraiment limites</t>
  </si>
  <si>
    <t>Très agréable mais un mois de durée de vie c’est un peu court Ne marche plus au bout d’un mois !</t>
  </si>
  <si>
    <t>tres solide tres bien pour des bottes car d habitude elles sont tres lourdes mais la non je recommande donc cet article a l achat</t>
  </si>
  <si>
    <t>Un peut déçu Aller je vais dire sans commentaires</t>
  </si>
  <si>
    <t>Oui mais... Coques trop épaisses dommage. Les bandeaux n’ont pas la même taille coté largeur avec un petit cm de difference. Matière pas trés agréable à porter. Bon rapport qualité prix pour un port occasionnel.</t>
  </si>
  <si>
    <t>Bien Le papier est très jolie, par contre, le papier contenait à certains endroits des micro taches bleus. Le seul problème à mes yeux c'est le fait que le papier soit fin, après je suis consciente que le prix n'est pas du tout excessif par rapport à la quantité vendue</t>
  </si>
  <si>
    <t>Boucles d’oreilles très jolies Les boucles d’oreilles sont superbes et toute petites ce qui correspond parfaitement à ma fille de 5 ans par exemple. Juste déçue , elle a perdu un petit cœur à l’école .</t>
  </si>
  <si>
    <t>vraiment bien ! pour le prix y a absolument rien à dire. le son est vraiment bien et suffisamment fort. les basses sont présentes. seul bémol, en mode téléphone, le micro semble un peu merdique, le correspondant entent un gros souffle.</t>
  </si>
  <si>
    <t>Très bien ! Très bien, je conseille !</t>
  </si>
  <si>
    <t>Solide Satisfait de mon achat.</t>
  </si>
  <si>
    <t>Nickel, pile ce que j'attendais Le bijoux est très beau, pile ce à quoi je m'attendais. Il a fait fureur auprès de la personne à qui je l'ai offert!</t>
  </si>
  <si>
    <t>Biberon Super biberon</t>
  </si>
  <si>
    <t>Qualité et confort Léger, à voir la résistance au fil du temps...</t>
  </si>
  <si>
    <t>Satisfaites J'ai acheter le lot de 3 biberons car je loue le tire lait électrique mais je n'avais pas assez de biberon. Comme çà je peut laisser le lait dans le biberon dans mon frigo jusqu'à ce que je le donne à mon fils fini la galère de courir après l'avoir nourri pour laver et sécher le biberon pour s'en resservir tout de suite</t>
  </si>
  <si>
    <t>Nickel J'ai acheté ce bouilloire car sa couleur, c’est un couleur on voit pas souvent pour les bouilloires et je l’ai bien.  Il est parfait pour chauffer l'eau pour les thés et infusions. Facile à utiliser et bon matériel de construction. Je suis satisfaite du produit pour le moment.</t>
  </si>
  <si>
    <t>Super! Super! Je m en sers tous les jours depuis 7 mois pour chaque biberon car lait epaissi. Absolument aucun grumeau. Top top top top</t>
  </si>
  <si>
    <t>. Au top</t>
  </si>
  <si>
    <t>Grand autonomie et qualités prix plus que satisfaisant Bonne prise en main .c'est se faire discret grace a sont poids minime .qualités prix rien a dire très bon produit</t>
  </si>
  <si>
    <t>Un vrai bonheur ! Taille parfait en 43/44 si vous faites du 43 après quelques jours de moulage de vos pieds. Tiennent chaud sans tenir trop chaud. On a l'impression d'enlever ses pieds lorsqu'on les enlève :) Je recommande et je reprendrai les mêmes la prochaine fois, le plus tard possible on verra.</t>
  </si>
  <si>
    <t>Rapport qualité-prix !!!!! Je suis  très surpris du son de ses p'tits écouteurs bluetooth.il sont confortables et leurs autonomie est correct et rechargeable n importe où grâce a son power bank intégrer au bioitier de rangement.il y a la petite pochette pour protéger tous ça . Et aussi des capuchons de remplacement . Garantie 2 ans !!!!</t>
  </si>
  <si>
    <t>Tennis de bonnes qualités Malgré que ce ne sont pas des vraies converses on dirait presque le contraire car elles sont très bien conçu. La couleur est jolie. Mon entourage pensent aussi la même chose que moi donc un bon article</t>
  </si>
  <si>
    <t>Trop contente J'ai profité de la journée spéciale du 17 juillet pour les commander â un prix battant tous les records et que dire sinon qu'elles sont trop belles et... que je les adore ! Merci Amazon</t>
  </si>
  <si>
    <t>Très bien pour la maison Parfait pour un usage domestique. Bonne qualité, plusieurs polices de caractère</t>
  </si>
  <si>
    <t>maintien insuffisant Trés beau produit mais le maintien n'est pas suffisant au delà d'un bonnet B si on veut courrir avec. Dommage.</t>
  </si>
  <si>
    <t>Pas une paire mais 2 pieds gauches Recevoir la paire chaussures puis se rendre compte qu’il s’agit en fait de deux chaussures pour le pied gauche... à 88€ la commande grosse déception, espère un remboursement ou un renvoi pour le pied droit dans les plus brefs délais. Erreur incompréhensible sachant que l’article est mentionné comme neuf alors que une des deux chaussures a déjà été porté car les lacets étaient faits et elle avait la forme du pied, tandis que l’autre n’était pas lacée de la même manière et neuve...</t>
  </si>
  <si>
    <t>Fragile Le rouleau est très bien mais la pierre pour le massage des contours est arrivée cassée dans l'emballage.</t>
  </si>
  <si>
    <t>Attention taille Attention prendre une taille au dessus</t>
  </si>
  <si>
    <t>Trop trop large La longueur  est bien , mais c'est très large ...un sac à patates douces n gros , dommage le tissu est agréable</t>
  </si>
  <si>
    <t>basket sympa jolie couleur, belle qualité et très légère. je recommande</t>
  </si>
  <si>
    <t>Très bonne qualité mais rapidement douloureux. Télévision,  douloureux après écoute prolongée (pression importante des embouts écouteurs).</t>
  </si>
  <si>
    <t>Avec prudence J'attribue  quatre étoiles pourquoi, reçu le 9 comme prévu (rien à dire). Je me réserve juste car, nous sommes le 11 je les portent depuis deux jours, je les réévaluerais  dans quelques temps pour voire la solidité de cette article (qui m'as l'air assez sympa!!!) juste faire poser des renforts aux talon pour éviter l'usure trop rapide.</t>
  </si>
  <si>
    <t>produit conforme Je viens de le recevoir donc ne peut juger la longev ite mais bon produit dans l'ensemble.</t>
  </si>
  <si>
    <t>Pratique Super pratique et jolie</t>
  </si>
  <si>
    <t>Montre parfaite pour moi. Après des montres avec boitier chromé, dont le laiton apparait vite sous la couche de chrome qui se raye ou s'use. Après des montres dont le verre finit toujours par se rayer. Après des montres dont il faut changer la pile tous les ans Après des montres qui retardent ou avance d'une minute tous les mois Après des montres que j'enlevais régulièrement pour cause de poids dès qu'on veut bouger plus rapidement Enfin voilà une montre à aiguille y compris trotteuse des secondes et qui a quand même date, chrono, etc... super légère, assez fine et d'un diamètre raisonnable, qui est toujours à l'heure, dont la pile se recharge toute seule (en fait sans même y faire attention, je n'ai jamais vu la batterie se décharger), avec un verre (saphir) que je n'ai pas encore réussi à rayer. Je pense qu'elle vaut largement son prix compte tenu de son confort et sa durabilité. Et je trouve son esthétique sobre (version cadran noir) plutôt élégant. Une montre vraiment réussie que j'apprécie toujours autant depuis 2 ans !</t>
  </si>
  <si>
    <t>Taille bien Pour ma fille pour son quotidien, elle ne veut pas les abîmer car "c est trop stylé", elle ne les mets pas pour le sport.</t>
  </si>
  <si>
    <t>Parfait Ce produit Réponds parfaitement à mes attentes</t>
  </si>
  <si>
    <t>Excellent produit et rapport qualité prix J'ai décidé d'acheter ces cartouches d'encre car les critiques étaient vraiment très bonnes et je confirme ! Ces cartouches s'adaptent parfaitement à mon imprimante Epson xp442. Évidemment un message d'erreur apparaît lorsqu'on les installe car elle ne sont pas d'origine, mais après validation  tout fonctionne parfaitement. Une sacrée économie en tout cas, du coup j'en ai même acheté 2 packs ! Je recommande vivement.</t>
  </si>
  <si>
    <t>Produit pour difficultés moyennes Ces chaussures semblent adaptées à une marche sur terrains modérément caillouteux. J'ai renforcé l'amorti qui semble moyen par une semelle spéciale dédiée aux pratiques sportives. Mai seul le test d'une semaine et 200 bornes de rando permet de juger la qualité et l'adaptabilité du produit au sujet !</t>
  </si>
  <si>
    <t>très bien bien et confortables</t>
  </si>
  <si>
    <t>parfait Je suis enseignante et maman d'une petite fille de 6 ans. J'ai commencé à lui apprendre à lire en grande section et j'ai opté pour la méthode Sami et Julie. Les petits livres venant en complément m'ont séduite. Je suis très satisfaite des textes utilisés. Le niveau 1 ne comprend que des sons simples. L'enfant le déchiffre facilement et est fier de lire pour la première fois un livre seul. J'adore et ma fille aussi. Des questions à la fin permettent de vérifier la compréhension. Je recommande vivement.</t>
  </si>
  <si>
    <t>parfait Trés bonne qualité du produit.bébé l'adopte dessuite .Juste un peu faible comme débit pour un bébé de 4 mois qui boit un peu épais.La taille au deçu est trop forte pour lui</t>
  </si>
  <si>
    <t>boucles d' oreilles Contente de mon achat ,j' adore ces boucles avec fermoirs en argent et un autre en plastique ,pas trop volumineuses ,donc ça me semble parfait</t>
  </si>
  <si>
    <t>Bon produit. Authentique. Ce produit correspond parfaitement à  mes attentes . Le parfum est naturel, pas trop marqué, juste bien. Le gommage est efficace.</t>
  </si>
  <si>
    <t>Top Très bonne odeur</t>
  </si>
  <si>
    <t>Impeccable avec iPhone X ou Macbook Retina - bonne tenue et bon son ! Dès le déballage la prise en main est agréable : boitier au toucher velouté, compact et sobre. Nickel. Un mode d’emploi et les embouts permettent de personnaliser et mettre en route l’ensemble très facilement. Apparaige conforme aux commentaires que j’avais pu lire : très simple et rapide.  Côté son : une bonne homogénéité. Du très bon pour des écouteurs de cette taille. Des basses bien présentes, des aigus maîtrisés et des médium / graves bien détaillés. Je n’ai pas ressenti le besoin d’aller jouer avec l’égaliseur du téléphone pour que ça sonne juste.  Les commandes tactiles s’appréhendent rapidement et deviennent vite indispensables. Monter / baisser le son avec un double tap droite ou gauche. Lecture pause d’un simple toucher. Touché long &amp;gt; changer de morceau : pratique.  Une fois en utilisation les écouteurs se font oublier et restent parfaitement dans l’oreille ! Jardin marche, bricolage ou légumer dans le canapé comme un athlète ;) Gros point notable : ce sont des intra auriculaires ce qui veux dire qu’à volume égal on entend beaucoup mieux car il n’y a pas (ou bcp moins) de bruits extérieurs. Mieux pour les oreilles car on écoute moins fort. Idéal transports (avion, train, métro) ou bricolage (le bruit de la scie sauteuse est étouffé et on continue à profiter de la musique). Enfin, il n’y a pas de son audible pour votre entourage.  L’autonomie est au rdv, comme annoncée, pas de déception de ce côté là ! L’état de la batterie facilement consultable sur l’iPhone : nickel. C'est donc à mon goût un sans faute avec une conception et un son sans faille. Je suis aussi surpris du rapport qualité / prix que satisfait du produit !  Si mon avis vous est utile, cliquez, ça fait toujours plaisir !</t>
  </si>
  <si>
    <t>sweat femmeJe Je n'ai pas encore offert ça sera offert dimanche ou lundi seulement je souris si ça va ou pas</t>
  </si>
  <si>
    <t>Génial C'est l'outil indispensable en tant que maman!!! Je suis ravis ! Plus aucun grumeaux !! Mon fils a un lait épaissi  + les céréales  donc sans ce mélangeur  c'est  une catastrophe.</t>
  </si>
  <si>
    <t>Fuite au bout de qqs mois L'appareil n'a pas l'air tres étanche dans la durée, il faut faire attention je met une coupelle dessous maintenant.</t>
  </si>
  <si>
    <t>Déçue Produit correcte mais uniquement quelques mois. En effet, ce produit n'a pas tenu longtemps. Le prix n'est pas élevé, en revanche, en vue de la durée du produit ce n'est pas un bon rapport qualité-prix. Au bout de quelques mois je ne pouvais plus rien contrôler grâce à la commande situé sur le haut des écouteurs, en revanche les écouteurs passaient les musiques, faisaient pose... sans que je n'y touche. Puis le sons commençait à disfonctionner pour enfin ne plus émettre de sons. Je suis très déçue de ce produit et le déconseille.</t>
  </si>
  <si>
    <t>A fuir !!!!! 14 feuilles imprimées en N&amp;amp;B seulement. J'ai envoyé un mail a " club d'encre" qui m'a répondu très rapidement et m'a envoyé une nouvelle cartouche. Et là, j'ai pu imprimer 2 feuilles !!!!!! Pour une cartouche XL, c'est peu ......... Je ne rachèterai plus chez eux</t>
  </si>
  <si>
    <t>produit un peu leger tapis de souris trop léger à mon gout pas grand maintient et pas assez épais</t>
  </si>
  <si>
    <t>Grille bien Pour les premiers mois d utilisation , il fonctionne très bien! A voir sur le long terme....</t>
  </si>
  <si>
    <t>Baskets compensées Jolies baskets pour la marche et pour avoir quelques centimètres de plus.  Chaussures à mettre plutôt au printemps ou en été. Donc j'attend les beaux jours pour mieux en profiter.</t>
  </si>
  <si>
    <t>Pantalons Casual Jeans Sport Jogging Slim Fit Militaire Cargo Montagne Baggy bonne reception ,merci</t>
  </si>
  <si>
    <t>Magnifique en vert pomme Très jolies, si on aime les couleurs, elle sont superbe. Je fait du 38, j' acheté en 38. 4 étoiles, juste parce que il y avais deux surplus de tissu au niveau des passants des lassés, c'était très difficile à enlever.</t>
  </si>
  <si>
    <t>Bonne qualite Livraison rapide Produit conforme</t>
  </si>
  <si>
    <t>Très bon article Excellente couverture que l'on peut utiliser avec chauffage ou même sans. Légère efficace et jolie. Très bien !</t>
  </si>
  <si>
    <t>Montre léger et robuste Rapport qualité prix au top ! La montre est belle, légère, agréable à porter, facile à régler l'heure et la date, je n'ai pas eu besoin de régler le bracelet, la taille était bonne tout de suite</t>
  </si>
  <si>
    <t>Super Très jolie bracelet très résistant vraiment jolie peut être juste un peut domage que ça accroche légèrement sur le rebord mais je suis vraiment pas déçu</t>
  </si>
  <si>
    <t>Superbe Ce modèle est emblématique de la marque il est de très bonne qualité le cuir est résistant et réellement waterproof à recommander</t>
  </si>
  <si>
    <t>de la qualité sacoche spacieuse , solide ,jolie , faite dans un cuir épais et mate : du style ! le cadeau a beaucoup plu</t>
  </si>
  <si>
    <t>Parfait ! Conforme</t>
  </si>
  <si>
    <t>Nike Conforme tres bon produit</t>
  </si>
  <si>
    <t>Qualité au top Enfin des écouteurs de bonne qualité, qui n'abîme pas l oreille. Et surtout, des écouteurs qui tiennent bien en place. Je peux faire mon sport avec et je ne les remets pas toutes les 2 minutes . Le son est très correct, ne grésille pas et la fonction stop est un plus non négligeable. Très bon rapport qualité, je vous les recommande sans hésiter</t>
  </si>
  <si>
    <t>Juste parfaite. J'ai rajouté une barre en métal de protection et j'ai changé le bracelet, et elle est simplement parfaite.  La pile tient bien, elle est toujours à l'heure exacte grâce au réglage de l'heure automatique par satellite, pas de gadgets inutiles...  l'ancienne m'avait résisté 12 ans.  Je l'avais amené à plus de 60 de profondeur en plongée, et maltraité comme pas possible.  J'ai l'impression que celle-ci va tenir au moins aussi longtemps.</t>
  </si>
  <si>
    <t>article de bonne facture et conforme au descriptif parfait à tout point de vue</t>
  </si>
  <si>
    <t>Super juste comme je l'attendais</t>
  </si>
  <si>
    <t>très bien Satisfait de mon achat confortables et sécurisantes sur sol humide</t>
  </si>
  <si>
    <t>Format XL Une boite peut contenir plus de 8 doses de lait cool pour 1 biberon de 330.  A prendre sans hésiter.</t>
  </si>
  <si>
    <t>Bon rapport qualité prix Jogging</t>
  </si>
  <si>
    <t>Désagréable de voir qu'on a pas un câble en cuivre, mais une alternative bon marché. Utilisé pour recâbler une résistance chauffante 12 V. Ce câble n'est pas en cuivre, mais probablement en aluminium cuivré (low cost). Cela devrait être indiqué, car un câble électrique, par défaut, doit être en cuivre.</t>
  </si>
  <si>
    <t>Pas satisfaite par le produit Les boucles d'oreilles font du vert de gris sur les lobes vraiment très decue</t>
  </si>
  <si>
    <t>Remboursement annoncé mais bloqué... L'étiqueteuse ainsi que les autres produits Dymo sont annoncés comme bénéficiant d'un remboursement sous réserve de faire des démarches, ce qui est bien normal. Sauf que... pour l'étiqueteuse, le numéro de série qui se trouve bien dans le compartiment de la cassette n'est pas valide, n'ayant pas le bon format. J'aimerais une réponse s'il vous plaît. Merci!</t>
  </si>
  <si>
    <t>Bon livre J'ai beaucoup aimer. Il est très bien écris pour les adultes . Un peu compliquer pour les enfants. Ma fille ne comprenez pas tout les mots. Mais bon. On va dire que c'est pour enrichir leur vocabulaire</t>
  </si>
  <si>
    <t>Ras Top bien</t>
  </si>
  <si>
    <t>un petit peu cours en jambe très bonne qualité , résistant aux griffes de chats, il ne se déforme pas malgré les nombreux lavages , le seul point négatif c'est qu'il est un peut cours en longueur  de jambe mais étant donné que c'est la mode d'aujourd'hui ça passe ni vu ni connu , je recommande cet article .</t>
  </si>
  <si>
    <t>satisfait livraison rapide en point relais, bien emballé, produit correspondant à la photo de présentation, plusieurs compartiments de rangement très pratique, reste à voir la résistance avec le temps. pour l'instant je conseillerais cet achat.</t>
  </si>
  <si>
    <t>Conforme aux attentes Conforme aux attentes élégantes et le 43 correspond bien à un 43. 4 étoiles car à voir la solidité dans le temps mais après 2 semaines tjs impeccable malgré le mauvais temps</t>
  </si>
  <si>
    <t>superbe il est super je l aime beaucoup j aime beaucoup les sacs carrés je le conseille à un ami voirle rachete et l offre</t>
  </si>
  <si>
    <t>Bon mais ... Bon mais faite attention si vous avez l'intention d'utiliser se ruban pour l'extérieur, si le soleil tape sur l'objet collé ça ne tient pas. Ensuite collé sur une petite "étagère" chez moi avec quelques objet dessus ça n'a pas bouger depuis plusieurs semaines.</t>
  </si>
  <si>
    <t>Une enorme surprise J'ai découvert ces écouteurs grâce à Les Numériques et je suis énormément surpris par leur qualité! + : * Le son est clair, très bien équilibré (surtout quand la correction active est allumée), les basses sont bien présentes sans être envahissantes et les mediums/aigus ne sont pas du tout agressifs ! Je suis vraiment très surpris !  * La correction active de bruit n'est pas parfaite mais permet d'enlever déjà une bonne partie du bruit extérieur, surtout les basses (moteur, ...). Au début, on ressent comme une pression sur les tympans mais on s'habitue vite et cette sensation disparait complètement.  * Les écouteurs ne sont pas désagréables dans l'oreille, surtout quand on a bien choisi la bonne taille d’oreillette - :  * Il manque un mode pour entendre les personnes qui vous parlent. Il a été ajouté sur la version 2 de ces écouteurs qui sont malheureusement beaucoup moins bien que ceux là...  * Ne s'adaptent pas aux toutes petites oreilles: je n'ai personnellement pas eu de problème mais un ami à moi ne peux pas les rentrer complètement dans ses oreilles.  En tout cas c'est un produit que je recommande les yeux fermés. Vivement une version 3 avec les écouteurs de la version 1 et le boitier du 2!</t>
  </si>
  <si>
    <t>Extrêment très pratique Infuse tous les thés comme je le désire.Très facile d'emploi, juste la programmation un peu compliquée au début besoin de la notice pour réaliser la programmation. Avec les thés que j'utilise pas eu de dépôt dans la théière. Rempli elle est un peu lourde du fait de sa conception. Pour le thé ne pas dépassé la capacité de 1.2 L comme précisé dans le manuel pour éviter que le panier touche l'eau. Pour l'eau chaude capacité de 1.5 L. La dosette fournie est très pratique. La mise en place ou le retrait du panier est vraiment facile. Théière très haut de gamme, finition irréprochable ce qui explique un tarif élevé.</t>
  </si>
  <si>
    <t>Bijou Surprise par la qualité. De plus livre avec une autre paire de boucle perle</t>
  </si>
  <si>
    <t>SUPER PRODUIT Très bon maintien pour la pratique du sport et bonne tenue au lavage Je recommande ce produit</t>
  </si>
  <si>
    <t>Top Conforme à la description vraiment des sont Prix au top !</t>
  </si>
  <si>
    <t>Rien à dire, c'est parfait Produit conforme à la description, de très bonne qualité. Pas encore utilisé beaucoup, donc si jamais l'usage ne sera pas à la hauteur, je reviendrai avec un autre commentaire.</t>
  </si>
  <si>
    <t>Produits de très bonne qualité même après plusieurs lavages ça reste impeccable Produits de très bonne qualité même après plusieurs lavages ça reste impeccable</t>
  </si>
  <si>
    <t>classique un brin rétro et toujours aussi belles elles font parfaitement le travail la finition est ce qu' il faut de "brut de fonderie" pour etre un accessoire de mode efficace je recommande</t>
  </si>
  <si>
    <t>Tres bien Chaussures égales à la photo. Je fais du 40 et elles me vont parfaitement bien. Couleur super. Répondent à mes attentes!</t>
  </si>
  <si>
    <t>belle montre parfait correspond à la notice du site l ensemble semble solide seul l éclairage nocturne est  particulier un bon achat à mon sens</t>
  </si>
  <si>
    <t>Bonne qualité Taille correcte livraison pas top par colis privé c’est long.</t>
  </si>
  <si>
    <t>Très facile d’utilisation!! Très bon produit! Très facile d’utilisation! Ne fait pas de bruit ! Grâce à la télécommande nous pouvons régler l’intensité de la lumière , la durée de diffusion ! Il se fond parfaitement grâce à sa couleur .</t>
  </si>
  <si>
    <t>Produit conforme à mes attentes Rien de tel que l'original ! Acheté pour un usage professionnel il est super confortable. A recommander sans aucun doute</t>
  </si>
  <si>
    <t>Bof Rien à dire, cela correspond à la description, mais ce ne sont pas mes préférées. Et attention : pas de facture possible, même sur demande !!! En ce qui me concerne, c'est problématique.</t>
  </si>
  <si>
    <t>Sympa mais sans plus ! Collier trop fin... Il s'emmêle tout le temps.. Et fait des nœuds !</t>
  </si>
  <si>
    <t>attention 15 jours d'utilisation et encore je faisais très attention car il est très fragile, un côté cassé du coup poubelle déçue je ne le recommande pas</t>
  </si>
  <si>
    <t>Erreur de conditionnement Colis bien reçu mais à l'ouverture je suis un peu  déçue. Dans le kit de départ il y a noté, 2 biberons de 130, 2 x 160 et 4 x 260 avec les accessoires mais après déballage je me suis rendue compte qu'il n'y avait aucuns biberons de 130 mais 4 x 160 c'est dommage car j'avais justement choisi ce kit pour avoir au moins un biberons de 130. Cependant, la couleur et le design est très agréable.</t>
  </si>
  <si>
    <t>Correct J'ai mis cette note car je trouve le produit correct, conforme à la description, pas de soucis au niveau des tailles annoncées et ce que j'ai reçu bref tout va bien. Pour ce qui est de la livraison, c'est un bon point, l'expédition/réception à été assez rapide et pour faire du sport, je suis contente d'être tombée sur ces T-shirts à prix abordables, voir pas cher. Pas de mauvais points à priori, sauf que le tissus n'est pas vraiment extensible, c'est du pur coton, donc faites attention aux tailles que vous choisirez. Je recommande.</t>
  </si>
  <si>
    <t>Bracelet Amazfit Je l’ ai acheté pour personnaliser mon Amazfit. Après 4,5 mois d’utilisation je ne suis pas déçu...je ne l’enleve quasiment jamais....même pas pour bricoler (sauf douche), et même si ce n’est pas du cuir véritable ça me suffit.</t>
  </si>
  <si>
    <t>Belle montre Ensemble qui peut être dissocié. La montre fait un bel effet au poignet. Les bracelets sont réglables. Bon rapport qualité prix.</t>
  </si>
  <si>
    <t>Taille normal Tissu très agréable. Belles couleurs, correspondent à la photo. Poches pratiques. J'ai pris du "L" suivant les commentaires qu'il valait mieux prendre plus grand. D'habitude je prend du 38/40 et j'aurais du prendre "M" pour ce legging car c'est un peu large au niveau du genou. Je recommande mais prenez votre taille habituelle.</t>
  </si>
  <si>
    <t>petit livre tout jolie magique féerique petit livre... La petite fille qui la reçue a été ravie!</t>
  </si>
  <si>
    <t>bien Excellent produit. système de fixation dans les oreilles très malin. son correct. bonne portée. Rien à redire pour le moment. Sauf peut-être la charge casque par prise micro USB un peu rikiki et difficile a repérer (tout noir) pour des mains malhabiles</t>
  </si>
  <si>
    <t>Sudation pantalon J’utilise ce pantalon de sudation avec le haut coordonnée et il est super pour faire du sport en salle</t>
  </si>
  <si>
    <t>Je préconise pour courrier ou en salle Pas de soucis pour la pointure au top !  par le footing et le sport de salle elles sont parfaites . Bon amortissement et pas de douleurs dans les lombaires après quelques kilomètres .La couleur flashy me plait bien et dans le rapport qualité prix elles sont dans la bonne moyenne  . Un bon choix je vante le mérite de ces baskets</t>
  </si>
  <si>
    <t>très pratique L'emballage est très pratique comme un rouleau de scotch. L' application est facile et rapide. L'adhésif tient bien. J'ai utilisé ce produit pour un album photo et je ne regrette pas mon achat.</t>
  </si>
  <si>
    <t>Très confortable Confortable</t>
  </si>
  <si>
    <t>Font le boulot pour de la course à pied 👟 Pour mes entraînements physiques (course à pied et exercices), je cherchais des écouteurs sans fils pour justement me passer du câble plus dérangeant qu'autre chose. J'utilise les écouteurs principalement pour écouter de la musique et les quelques informations des coachs virtuels de mes applications, pas d'autres utilisations prévues.  Mes critères étaient simples : sans fil (évidemment !), avec une autonomie correcte d'au moins 1h en continu, pour un budget d'environ 30€. Je n'ai pas besoin de Airpods à plus de 100 euros pour mon utilisation, ni besoin d'une qualité audio au top du top.  Mon choix s'est porté sur ce modèle, qui dispose de bons avis, de fonctionnalités tactiles, mais surtout d'un super tarif  : payé 24,99€ début juillet, sinon vendu à 36€ le reste du temps =&amp;gt; attention aux fluctuations de prix ! Pour le moment ces écouteurs me donnent satisfaction et répondent à mon besoin, même si ils ont quelques inconvénients.  Après je l'avoue, je pense commander plusieurs modèles pour les tester et renvoyer/prêter/donner/revendre ceux qui me conviennent le moins.  Retrouvez ci-dessous un peu plus de détail sur le produit. Si cet avis vous a été utile, n'hésitez pas à l'indiquer avec un clic sur le bouton "Oui" sous le commentaire, merci 👍 !  ----------------------------------  Contenu de la boite : Dans la boite, nous retrouvons les écouteurs dans leur boite de recharge. Est fourni un câble USB/micro-usb pour la recharge, des embouts de différentes tailles pour faire tenir les écouteurs dans l'oreille et une notice en chinois/anglais.  Les écouteurs : Les 2 écouteurs sont donc rangés dans leur étui en plastique qui permet de les recharger lorsque l'on ne les utilisent pas. Elle dispose d'une prise micro-USB, puisque c'est la boite qu'il faut recharger, qui à son tour charge les écouteurs. Les écouteurs sont maintenus en place dans la boite grâce à un aimant qui permet d'éviter qu'ils s'envolent à chaque ouverture de la boite, mais aussi les placer en face des cosses de recharge.  A l'ouverture de la boite, les écouteurs s'allument en mode appairage ou s'associent automatiquement au dernier appareil à portée. Pour finir un indicateur de batterie sur 4 niveaux donne une idée de la charge restante de la batterie du boitier.  A noter que j'ai parfois quelques problème d'affichage de niveau de batterie restant, puisque le vrai niveau s'affiche après quelques ouvertures/fermetures de la boite (il y a peut-être une astuce que je n'ai pas compris !).  A l'usage : A l'usage c'est très simple d'utilisation, puisqu'une fois appairés, les écouteurs sont reconnus automatiquement sur votre smartphone à l'ouverture de la boite et si ce dernier est à portée. Les écouteurs sont compatibles Bluetooth, donc associables avec n'importe quels appareils "connectables".  Les écouteurs ont aussi des fonctionnalités tactiles. Un simple, double ou triple "tap" sur l'écouteur de gauche ou de droite déclenche une action : monter le volume, piste suivante, recevoir un appel (car les écouteurs sont équipés d'un micro). Un appuis long permet aussi de lancer Siri sur mon iPhone 📱. C'est assez pratique, car il n'y a pas besoin de sortir son téléphone. Cependant la zone tactile est assez difficile à identifier, encore plus une fois les écouteurs dans l'oreille : il m'a fallu un peu d'entrainement et beaucoup de rater avant de trouver ou exactement mettre son doit pour effectuer la bonne action.  Autre point qui me dérange aussi, c'est que les écouteurs sont assez imposants : même si ils sont très légers et tiennent bien dans l'oreille, dans un miroir ça fait 2 gros machins blancs qui pendouille des oreilles et ce n'est pas très esthétique. Les AirPods officiels (à partir desquels tous ces modèles chinois sont copiés) me semble plus compacts.  Côté autonomie, ça tiens durant mes différentes séances de sport (environ 45-60 mins) de la semaine. La boite à rechargé les écouteurs durant 3 séances et après je l'ai rechargée, car il ne restait qu'un seul indicateur de charge. L'autonomie est donc convaincante pour le moment.  Un dernier point sur la qualité audio, qui franchement ne m'intéresse pas : j'ai juste besoin de musique "boom boom" en course à pied et qu'on m'indique les kilomètres. Et pour ça, c'est bon ça marche 👍 ! Par contre je les aient essayés pour regarder une vidéo et là c'est dérangeant car le son est décalé par rapport à l'image. C'est lié à la latence du sans fil. C'est suffisamment perturbant pour être signalé 😕.  Les + :  - Bonne autonomie  - L'étui de recharge est compact et de qualité correcte  - Fonctionnalités tactiles, pour peu que l'on arrive à prendre le coup de main  - Le prix attractif  Les - :  - Les écouteurs sont imposants  - Les fonctionnalités tactiles demandent un peu de pratique, je n'ai toujours pas 100% de réussite sur la commande à lancer  - Décalage du son quand on regarde une vidéo.  - Attention aux fluctuations de tarifs, surveillez bien !  En conclusion : Il s'agit de ma première paire d'écouteur sans fil, pour une utilisation sportive : un tarif correct, des écouteurs avec suffisamment d'autonomie et qui tiennent bien dans l'oreille. Je suis content, ça fait le boulot. Je regarde quand même des modèles plus compacts, mais qui malheureusement semble être plus chers.</t>
  </si>
  <si>
    <t>Legere et pratique bien Très bonnes chaussures commandées pour mon homme il y a 4 mois pour mécanique. Légère très pratique</t>
  </si>
  <si>
    <t>Bien Mon fils est aux anges et son prof d e math aussi elle est magnifique la calculatrice et conforme à la description tant esthétique que utilisation</t>
  </si>
  <si>
    <t>Super produit Ideal et confortable</t>
  </si>
  <si>
    <t>Belles Vans Je suis super contente de mes Vans couleur noir, elles sont belles, confortables et correspondent tout à fait à la description avec des petits trous perforés au dessus de la chaussure . Ma pointure est 40 mais il y était indiqué de commander une 1/2 pointure en dessous, j'ai préféré prendre du 39 et c'est parfait.</t>
  </si>
  <si>
    <t>Chaussure à mon pied C'est du converse, c'est à la mode, c'est à peu près confortable pour des parcours pas trop longs et cela se paie assez cher. Mais quand un retraité, comme c'est mon cas, veut rester dans le coup, c'est le prix à payer !</t>
  </si>
  <si>
    <t>Conforme à la photo Produit de bonne qualité, ma fille est heureuse. Cependant prendre une taille au dessus, elle chausse du 37 j'ai pris du 38.</t>
  </si>
  <si>
    <t>Très performant et confortable Ces écouteurs sont très léger, discret et il se commandent de manière intuitives. Le boitier est très pratique pour recharger les écouteurs et petit plus, dès que l'on sort les écouteurs ils se connectent directement au smartphone et en un clic on peut reprendre la lecture d'un podcast par exemple sans avoir besoin de relancer l'application. J'ai également été bleuffé par la qualité de l'écoute et du micro en utilisation téléphonique. Je recommande donc ce produit les yeux fermé!</t>
  </si>
  <si>
    <t>Petite paire de tongues détente Design sympa, passe partout en couleur marron. Idéal pour traîner l'été ou dans la maison. Bref, une marque de qualité pour un prix très doux au moment de la commande (moins de 7€).</t>
  </si>
  <si>
    <t>Je recommande Assez contente de cet achat, j'avais déjà acheté ce modèle en couleur chair. Très satisfaite, il n'est pas évident de trouver une brassière ou soutien Gorge de sport pour les fortes poitrines et lorsque j'en trouve, c'est hors de prix (Mini 70€!) alors la ravie de ces produits. Soutiennent très bien ma poitrine (fitness et running) , le dos "nageur" permet de mettre un débardeur sans qu'on voit les bretelles Seul point négatif : j'aurais voulu avoir le noir également mais victime de son succès je pense</t>
  </si>
  <si>
    <t>niquel niquel</t>
  </si>
  <si>
    <t>Trop fragile De très belles baskets, cependant il y a quelques trucs qui dérange. Elles font du bruit lorsque l'on marche avec (pas seulement le couinement classique)  Elles ce détériore très vite, en quelques mois j'ai déjà un trou qui ce forme au bout du pied et le logo Vans disparaît sur l'arrière. Pourtant je ne fais rien d'extraordinaire et ne fais pas de sport avec.  C'est dommage car elles sont agréables à porter et très jolie.</t>
  </si>
  <si>
    <t>En fin j’ai reçu le produit Après 4 jours de retard j’ai reçu enfin le produit La qualité de celui-ci est médiocre , les bulles très fragiles n’assure pas la protection annoncée par le vendeur. Moi personnellement je suis déçu.</t>
  </si>
  <si>
    <t>Ouvertu.e / Fermeture quasi impossible. Le sac est de bonne qualité mais le système de fermeture le rend inutilisable. Préférez le modèle manuel de la même marque.</t>
  </si>
  <si>
    <t>je conseille pour les enfants de plus de 6ans pratique mais pour un enfant de 3ans seche vite et vu que la pointe n'ai pas large s'abime vite ...</t>
  </si>
  <si>
    <t>Belle coupe mais déçu Déçue l’elastique Était décousue sur une chaussure</t>
  </si>
  <si>
    <t>Très jolie mais taillent petit Ma fille est entre le 29 et le 30 j'ai pris du 31 car elle porte des semelles mais impossible de rentrere le pied dabs la chaussure et pourtant elle a les pieds fins.</t>
  </si>
  <si>
    <t>Rapport qualite prix Ras</t>
  </si>
  <si>
    <t>bouilloire belle bouilloire qui correspond à mon attente.</t>
  </si>
  <si>
    <t>Bon achat Elles sont toute mignonne avec</t>
  </si>
  <si>
    <t>Sacs poubelles Sacs intérieurs grande poubelle automatique</t>
  </si>
  <si>
    <t>Parfait comme d'habitude Parfait comme d'habitude avec Vans. Tout est conforme : Taille, couleur etc ... Pas salissant Les ados adorent et les parents aussi!</t>
  </si>
  <si>
    <t>Satisfaite Tres bien!correspond a mes attentes</t>
  </si>
  <si>
    <t>Super Magnifique</t>
  </si>
  <si>
    <t>Parfait pour brancher le smarlav à mon reflex ! J'ai commandé cet adaptateur avec le Rode SmartLavPlus.  Il me permet de brancher mon micro à ma caméra (700d) ou encore sur un enregisteur externe comme le zoom H1.  Le smartlav étant en 3 branches que pour smartphone, on est obligé de passer par un adpatateur pour le passer en 2 branches.  Vraiment pratique, il ne prend pas de place, rien à faire en particulier, cela marche directement.  Encore un produit de qualité de chez RODE.  Je recommande !  Si vous avez jugé ce commentaire utile, merci de cliquer sur oui, vous me ferez plaisir :)</t>
  </si>
  <si>
    <t>Article qui correspond à l'image, bonne qualité Je suis ravie de cet achat conforme à la description et aux photos. Je trouve aussi ce produit agréable à l'usage et aussi pratique à stocker dans la douche.</t>
  </si>
  <si>
    <t>Parfait Rien à dire je suis une fan de cette marque</t>
  </si>
  <si>
    <t>Super Superbe, le globe est volumineux impeccable pour mon fils</t>
  </si>
  <si>
    <t>Bien recu Produit fidèle à la destruction</t>
  </si>
  <si>
    <t>Très beau bracelet ! Beau bracelet, solide, belles pierres. Il est vendu avec un autre élastique si jamais le premier vient à casser. Je recommande</t>
  </si>
  <si>
    <t>Bracelet très beau et s adapté bien S adapte bien  très bien sûr ma Fitbit charge 2 belle  qualité et rendu livraison très rapide</t>
  </si>
  <si>
    <t>Taille Grand Il s'agit bien d'une taille 8'5 correspondant à un 42 sur l'étiquette. Mais j'ai plus l'impression qu'il s'agit d'un 43. Résultat j'ai revendu la paire car elle est trop grande.</t>
  </si>
  <si>
    <t>feuilles idéale  pour tous plastifiée</t>
  </si>
  <si>
    <t>...' '.. '.. ......,....... .,.,.,..,......... ...... ..... ..... ... . ... ... ..... ...... .... .. ....... .. .. .....'... .',' .'.' '...</t>
  </si>
  <si>
    <t>Problème d'aiguilles Bonjour. Depuis plusieurs mois nous rencontrons des soucis avec les aiguilles qui ne fonctionnent plus correctement. L'affichage de l'heure fonctionne mais nous devons régler plusieurs fois par jour les aiguilles, chose insupportable. Merci de bien vouloir prendre contact avec nous pour voir ce qu'il est possible de faire. Cordialement</t>
  </si>
  <si>
    <t>ATTENTION PLACAGE Jai trouve ces bracelets tres jolis.Je les ai offert a ma fille .A ce jour les bracelets sont oxydes et laissent apparaitre ....DU CUIVRE . ce n est pas de l argent mais un placage!!! le probleme c est que je viens de acheter 6 autres multichaines pour offrir a mes nieces ce n est pas cher mais j ai ete trompee sur la marchandise bref j estime que c est tromperie!!! A EVITER  je souhaiterai contacter le marchand !Une cliente vraiment pas contente</t>
  </si>
  <si>
    <t>Livraison boite de rame papier HP complètement déchirée et ayant pris l’eau Colis reçu dans une boite non abîmée contenant une boite HP de feuilles déchirées et qui visible auraient pris l'eau (feuilles inférieures gondolées). Ce n'est pas un problème durant le transport, la boite de feuilles HP était endommagée avant emballage! Les photos parlent d'elles-mêmes.</t>
  </si>
  <si>
    <t>Léger et confortable Un casque léger et très confortable. On ne le sent quasiment pas, même durant une utilisation prolongée. Il s'agit d'un casque très basique avec un son convenable, sans être transcendant. Parfait pour un usage bureautique standard. J'apprécie l'adaptateur micro jack/jack fourni. Au niveau des bémols, je trouve que l'ensemble parait fragile (tout en plastique) et je crains que le moindre choc ait tendance à abimer (voire briser) le casque. A voir sur la durée, mais pour l'instant, je trouve que ce casque est d'un bon rapport qualité prix.  EDIT : aujourd'hui 9 mai 2019, le casque vient de lâcher au niveau de la petite pièce en plastique qui sert de pivot pour l'oreillette. Durée de vie = 9 mois ! Ça fait un peu court, tout de même. Par conséquent, j'enlève une étoile.</t>
  </si>
  <si>
    <t>Huile très grasse Plutôt efficace mais texture extrêmement grasse, il n'en faut pas beaucoup pour l'étaler sur le corps L'odeur est plutôt agréable</t>
  </si>
  <si>
    <t>Très souple Quand c'est un peu épais, bébé se fatigue et n'arrive pas à finir, je dirais plutôt débit lent que débit moyen</t>
  </si>
  <si>
    <t>bonnes chaussures Je les portes quotidiennement en démolition depuis 2 semaines maintenant et aucun problème. La coque est suffisamment large pour ne pas blesser les orteils et elles tiennent bien au pied. Seul bémol (d'où l'étoile en moins) les lacets à moitié "élastiques" qui sont clairement cheap, dommage, j'aurais clairement préféré payer 1 ou 2€ de plus et avoir des lacets à hauteur du reste de la chaussure.</t>
  </si>
  <si>
    <t>très jolie très belle,mais attention c est vraiment pour de la danse de salon sur parquet : la semelle ressemble a du daim (je pense que cela doit éviter de glisser) est j ai peur qu elles ne résistent pas au bitume extérieur. je vais faire mettre une semelle plus solide. A part cela elles sont très confortables, taillent bien et les lanières semblent assez solides. La couleur beige est en fait légèrement brillante et cela me convient tout à fait.</t>
  </si>
  <si>
    <t>très joli parfait convient parfaitement</t>
  </si>
  <si>
    <t>Pendentif amour infini Très beau pendentif à offrir pour l’être aimée Reçu rapidement rien à en dire. Je recommande sans hésitez</t>
  </si>
  <si>
    <t>Parfait Rien à dire, le tableau est parfait. Il y a 2 marqueurs, un effaceur et des émands et tout fonctionne très bien</t>
  </si>
  <si>
    <t>Parfait. C'est un très bon produit. Ma fille avait tendance à boir très vite et s'entruchait à chaque fois. Grâce à ces tétines plus aucun problème.</t>
  </si>
  <si>
    <t>Montre pouvant s’utiliser pour la baignade. Cette montre a été choisie pour son bracelet en métal et aussi pour pouvoir se baigner à la mer. Aussi j’aimerais recevoir un certificat de garantie. Je ne sais pas si la garantie est de 1 ou 2 ans ou plus.</t>
  </si>
  <si>
    <t>Top Envoi rapide. Produits de qualité, conforme à ce que j’attendais en les commandant. Merci !</t>
  </si>
  <si>
    <t>Montre exeptionnelle Service très rapide (arrivé en 3 jours la ou il était prévue une semaine de délai de livraison minimum). Montre bien protégée, boîte d'origine , avec certificat de garantie et étiquette d'origine.  Petit plus, il s'avère que le repère de 12h est en fait un diamant véritable ce qui n'était pas précisé dans la description du produit. Bracelet et fermoir très simple et néanmoins confortable et solide.  Je suis plus que satisfait de cet achat, je le recommande vivement</t>
  </si>
  <si>
    <t>Le grand classique de chez TIMB Grand classique, indémodable et d'excellente qualité. En coloris nubuck noir, un must à avoir dans votre dressing... Je conseille vivement.</t>
  </si>
  <si>
    <t>SUPER SWEAT UN VRAI SWEAT CHAMPION LA QUALITE EST AU RENDEZ VOUS TOUT EST PARFAIT SWEAT PARFAIT TANT SUR LA TAILLE QUE SUR LA QUALITÉ COUPE IMPECCABLE</t>
  </si>
  <si>
    <t>Biberons en verre. Produits en verre et en correspondances à nos attentes.</t>
  </si>
  <si>
    <t>Mes compagnons durant l'hiver Bonnes bouillottes (les deux sont identiques mais avec des couvertures de couleurs différentes). Il faut 1,5L pour les remplir complétement. Elles sont plutôt "jolies" (transparentes) déjà sans la protection. Le goulot est bien renforcé (rigide) et permet de tenir et verser l'eau chaude facilement sans se bruler, le bouchon ne fuit pas. Les housses sont faites dans une matière type pull pas spécialement doux mais qui laissent bien passer la chaleur sans bruler les mains/corps. Me convient parfaitement bien pour les temps de froid.</t>
  </si>
  <si>
    <t>Tres bon produit Bon produit taille L je fais 169cm pour 80kg</t>
  </si>
  <si>
    <t>le prix.Continuez à exploiter dans ce sens et vous etes surs de faire des heureux.Qualité pour une utilisation de photocopie et d'impression photo.</t>
  </si>
  <si>
    <t>excellent achat Cette montre d'une excellente qualité , remplace la même qui a parfaitement fonctionné pendant 21 ans ! J'ai repris le même modèle car je suis certain de faire le " bon choix " ! ! Le verre , légérement rayé par les années , justifie l'échange , mais l'ancienne fonctionne encore très bien ! !   Ce modèle est employé par des militaires a l'entrainement qui ne leur font pas de " cadeaux " ! ! ! ! ! !( chocs répétés , boue , sable , vibrations , etc . . )  Je recommande vivement cette montre aux personnes qui ont une vie " trépidante " ! !..........( mon cas ! ) .</t>
  </si>
  <si>
    <t>Sac à dos solide Très satisfaite de ce sac à dos que j’utilise pour l’école. Il est vraiment très solide et très pratique à utiliser. Si vous recherchez un sac pas trop cher et que vous voulez l’utiliser pendant plusieurs années, je vous conseille d’acheter celui-ci !</t>
  </si>
  <si>
    <t>Cogex 81556 presse à briquette défectueux le produit en photo semble correcte , en fait en livraison il est mal monté , faible , et le bras de pressage (le plus large) complétement tordu, je suis déçu Bravo au Photographe mais 0 pour la fabrication.</t>
  </si>
  <si>
    <t>Tâche Chaussure livré avec une tâche sur le bout de la chaussure ?????</t>
  </si>
  <si>
    <t>Petite doses pas cher, pas pour induction</t>
  </si>
  <si>
    <t>bon livre Je recherché un livre simple pour expliquer tout en douceur les choses à une jeune fille de 10 ans. Ce livre est bien fait car il explique en détail ce qui se passe dans le corps d'une jeune fille. En passant par les boutons d acné,le saut d'humeur et l évolution du corps.</t>
  </si>
  <si>
    <t>Couleur top les fluos sont bien et permettent de bien mettre en evidence la matiere que l on veut retenir. Le seul probleme c est qu ils ne durent pas assez à mon gout</t>
  </si>
  <si>
    <t>Qualité Commandé pour un cadeau.  Nous avons cousu un patch dessus pour le personnalisé.  Effet réussi. La marque est connue et reconnue.  Un bon produit.</t>
  </si>
  <si>
    <t>Produit conforme à l'image Ça fait juste 1 jour que je l'utilise et elle est parfaite. Avec le temps je verrais bien ce que ça donne.</t>
  </si>
  <si>
    <t>bonne longévité je m'en sert tout les jours pour allumer uniquement des batons d'encens, l'arc electrique est assez petit mais c'est suffisant et ca fonctionne, la tenue de la charge est tres bonne, je ne l'ai toujours pas recharger depuis l'achat, il y a plus d'un mois, et il dise pose d'une bonne securité pour empécher l'allumage accidentel.  tete flexible,  pour le prix c'est plus que correct.</t>
  </si>
  <si>
    <t>pull mon fils la recu en cadeau il est grand et tres mince il lui va comme un  gands tres belle couleur</t>
  </si>
  <si>
    <t>TRES UTILE TRES UTILE POUR LA PRIERE DU CHAPELLET ET DU ROSAIRE AU COUR DES CELEBRATION EUCARISTIQUE DANS TOUTES LES PARROISSES DE FRANCE</t>
  </si>
  <si>
    <t>Génial au chaud actuellement, super étanche, tient très bien la cheville et protège dans des endroits avec ronces ou très humides</t>
  </si>
  <si>
    <t>Bouilloire électrique design et sécurisée J’ai acheté cette bouilloire afin d’obtenir de la rapidité d’ébullition de l’eau pour le thé. Cette bouilloire en verre et inox d’une grande capacité (2 litres) est vraiment jolie, la montée en température de l’eau est très rapide (puissance de 2200 watts). De plus, elle est sécurisée, cette bouilloire possède une protection contre l’ébullition sèche et le thermostat s’éteint automatiquement lorsque l’eau est à la température maxi. Le nettoyage ou le détartrage du réservoir est très simple, l’ouverture du dessus étant assez large. La mise en fonction est très rapide, il suffit de brancher et d’appuyer sur l’interrupteur On. Une belle lumière à led bleue confirmera la mise en marche. Le réservoir possède également un petit filtre à mailles afin d’éliminer les résidus de thé ou autres particules présentes dans l’eau par exemple Très satisfait de ce produit vraiment utile avec une capacité idéale pour les familles nombreuses.</t>
  </si>
  <si>
    <t>Colorer la vie Ecriture dacile, couleurs superbes. Pour ecrire et illuminer la journée</t>
  </si>
  <si>
    <t>Calendrier bien fourni Ce calendrier est top. Il y a plein de chevaux, poulains, famille hérisson, une taupe trop mimi et des accessoires.</t>
  </si>
  <si>
    <t>très contente de cet achat cet article correspond bien à ce que j'en attends : prix compétitif, produit identique au produit initial. Seul bémol en changeant  la cassette noire, l'encre de celle ci s'est répandue et alors là  pour nettoyer problème!!!  j'ai eu les ongles noirs plusieurs jours!!! mais cela ne m'a pas empêchée d'en recommander!</t>
  </si>
  <si>
    <t>Doc martens Elles semblent etre comme dans mes souvenirs. Mais a voir avec le temps car les deux dernieres paires m'ont duré une annee avant de se percer sur la pliure... Donc en soit parfaite et toujours aussi agreable a porter!!!</t>
  </si>
  <si>
    <t>Belle finition Super montre , très bonne finition . Rapport qualité prix correct . La montre est bien emballer , le coffret est digne de la marque .</t>
  </si>
  <si>
    <t>SUPER PRODUIT IDEAL POUR REDONNER DU PEPS AUX VETEMENTS EN CUIR ET AUX BOTTES. RAPPORT QUALITE/PRIX AU TOP. PEU DE PRODUIT SUFFI. FACILITE D APPLICATIONT</t>
  </si>
  <si>
    <t>Magique! Ce produit nous a sauvé, est ce une coïncidence? Mais du jour où nous avons utilisé ces tétines plus de coliques!</t>
  </si>
  <si>
    <t>Bon rapport qualité/prix J’ai été très surprise de la qualité du casque pour ce prix. Sur le design il n’y a rien à dire , c’est un très beau casque , facilité de prise en main et détection du Bluetooth sans problème de plus l’autonomie impressionnante Vendeur sérieux et fiable. Arrivé un peu avant le délai produit conforme à sa description et bien emballé Excellent rapport qualité-prix.</t>
  </si>
  <si>
    <t>Impeccable Impeccable</t>
  </si>
  <si>
    <t>E Pantalon très agréable à porter,bien confectionné,j’ai pris une taille au dessus comme conseillé et  va parfaitement bien ,la longueur aussi . Suite à cela j’ai commandé la veste assortie avec capuche .Je recommande ce pantalon .</t>
  </si>
  <si>
    <t>Beau coffret Coffret offert à ma fille de 6 ans intéressée par l'astronomie, complété par des figurines représentants les planètes du système solaire, elle était ravie</t>
  </si>
  <si>
    <t>Vans 36,5 Produit conforme à mes attentes.</t>
  </si>
  <si>
    <t>Manque des perles Malheureusement manque des perl</t>
  </si>
  <si>
    <t>Déçu Casser par l'usure au bout de 6 mois...mon mari me la offert a noel très decu..j'ai beaucoup de bijoux et montre fossil et la très mauvaise qualité,  je suis degouter par la qualité du produit.</t>
  </si>
  <si>
    <t>dickies medway Croyant avoir acheté le bon produit car léger et suffisamment souple pour une chaussure de sécurité ,je suis très decu car ce matin je viens de me rendre compte que ma chaussure gauche est coupée au niveau de la jonction cuir et semelle sur le coté exterieur et que la droite est après faire de meme.</t>
  </si>
  <si>
    <t>Chaussure Taille petit prendre une pointure au dessus</t>
  </si>
  <si>
    <t>Chaussures de ville pas adapté pour le tennis Belle chaussure mais prévoir une taille supérieure à celle que l'on commande ordinairement</t>
  </si>
  <si>
    <t>totalement satisfait Je ne suis pas expert en câble audio, mais je suis parfaitement satisfait par ce câble (30m 2x2,5mm2) qui correspond à sa description. Il s'agit bien d'un câble cuivre OFC. La longueur est exactement celle indiquée. On peut séparer facilement les deux fils à la main en bout de câble. Une ligne rouge sur le côté permet de repérer la polarité.</t>
  </si>
  <si>
    <t>Joli bracelet Joli bracelet Chaîne très fine et un peu courte</t>
  </si>
  <si>
    <t>Très joli Très joli mais difficulté à changer les lanières</t>
  </si>
  <si>
    <t>Conforme Reçu rapidement et en bonne état. La taille correspond bien a la charte des tailles. Satisfaite de mon achat</t>
  </si>
  <si>
    <t>Moins d humidité dans la salle de bain Super absorbant</t>
  </si>
  <si>
    <t>Pratique et nomade Un chauffe biberon de voiture qui se branche sur l'allume cigare Il s'agit d'un étui en Néoprène dans lequel on glisse le biberon pour le réchauffer Ça rend le contenu tiède L'étui est particulièrement Bien conçu car il permet de ranger le câble dans une petite poche Ça ne prend pas de place et peut rester dans le vide poche On peut y mettre un biberon ou un petit pot c'est  pratique</t>
  </si>
  <si>
    <t>LE TOP mon garçon se pose des questions qu'il n'ose pas me poser je le sais bien. ses copains lui donnent peut être de mauvaises infos aussi. ce livre va lui permettre de trouver les bonnes réponses à toutes ses questions de pré ado / ado. il est hyper bien fait, au rythme de l'évolution de mon ado</t>
  </si>
  <si>
    <t>Conforme au attente Pumas très bonne tenu bon produit à voir dans le temp</t>
  </si>
  <si>
    <t>coussin chauffant Très pratique, très doux et léger, parfait et pas trop onéreux. Je conseille le produit en cas de contractures il détend très bien. Bien reçu dans les temps.</t>
  </si>
  <si>
    <t>Super Taille impécable sur chaud en plus semelle qui accroche bien super</t>
  </si>
  <si>
    <t>Excellent Agréablement surprise , apres avoir regarder les commentaires je penser qu'il y aurais un défaut sur l'article mais non. Taille tres bien pour ma part. Je recommande</t>
  </si>
  <si>
    <t>le vrai et à un prix compétitif ! rien à ajouter</t>
  </si>
  <si>
    <t>Super Je recommande a 100% très bonne qualité et super pratique</t>
  </si>
  <si>
    <t>Sweat a capuche La matière est très douce chaude et légère</t>
  </si>
  <si>
    <t>Parfait Le livre fait parti d'une trilogie qui raconte la mythologie grecque en petites histoires courtes mais passionnantes. Produit conforme, parfait.</t>
  </si>
  <si>
    <t>Indispensables ! Ces lingettes sont devenues indispensables et nous en plaçons une systématiquement au fond du tambour à chaque machine. Une demi-lingette (elles sont prédécoupées) suffit pour le linge peu coloré.  Adoptées chez nous à chaque machine, elles remplissent vraiment leur rôle et simplifie véritablement les lessives de par leur efficacité.</t>
  </si>
  <si>
    <t>Très bon casque JBL filaire noir ! Casque de très bonne qualité, le son est très bon, facile à plier, solide et léger. Joli design avec un rembourrage pour les oreilles donc confortable pendant l'écoute. Pour un casque JBL à ce prix, je ne suis pas déçu ! Reçu dans sa boîte d'origine et moins cher qu'en magasin. Produit vendu directement par Amazon, reçu dans les temps et conforme à la description ! Je recommande vivement !</t>
  </si>
  <si>
    <t>beau livret pour cadeau réussi je l'ai acheté pour offrir à ma belle fille qui adore les licorne, et elle a adoré ce livret. je ne regrette du coup pas cet achat</t>
  </si>
  <si>
    <t>Bon rapport qualité prix Jolie produit</t>
  </si>
  <si>
    <t>Il est bien Bonjour se produit bien mais pas comme je vais</t>
  </si>
  <si>
    <t>Bilan apres salle de fitness Esthetiquement parlant j etais conquise par ce produit. Je l ai achete en blanc, rose et j attends toujours le rouge. J ai teste le blanc en salle de sport 👍🏽👍🏽👍🏽. Aujourd hui j ai teste le rose en salle de fitness et je suis DECUE. Les coutures ne tiennent pas . Esthetisme : oui , qualite : non. Pourtant celui en blanc allie esthetisme et qualite.</t>
  </si>
  <si>
    <t>Déçue par cet brosse La petite brosse ne tient pas !  Je suis déçue par cet article car ça tombe sans arrêt , C est pénible</t>
  </si>
  <si>
    <t>Bonne tenue sur sol sec Agréable et très pratique à enfiler, bonne tenue du pied, confortable. Par contre semelle hyper glissante sur sol mouillé : bon sens de l'équilibre recommandé</t>
  </si>
  <si>
    <t>Bon produit mais pas de notice en français. Bon produit Permet d'écouter de la musique, de mettre sur pause en cliquant sur l'oreillette sans devoir sortir le téléphone. Idem pour décrocher et raccrocher un appel. Mais attention quand on vend un produit sur le sol Français on le livre avec une notice en Français chose qui n'est pas le cas. Donc soi vous apprenez a parler le japonais soi l'anglais.</t>
  </si>
  <si>
    <t>Sympa Petit la taille</t>
  </si>
  <si>
    <t>Efficaces et économiques J'ai toujours été satisfaites des cartouches compatibles achetées chez Amazon. Ce n'était pas le cas avec celles du commerce traditionnel.</t>
  </si>
  <si>
    <t>Pratique et esthétique. Bouilloire très pratique et esthétique - bonne contenance et réglages de température colorés d'un bel effet. Je l'ai offerte à Noël et elle donne toute satisfaction.</t>
  </si>
  <si>
    <t>R. a. s Il est correct rien à redire, enfin si mdrrr vérifier que votre livreur parle français !! (conseil😂😂)</t>
  </si>
  <si>
    <t>Boucles magnifiques ! Des boucles superbes avec un rapport qualité/prix imbattables. Assez grandes, elles se suffisent à elle mêmes … pas besoin de parer son cou d'un collier.</t>
  </si>
  <si>
    <t>Casio la perfection comme toujours... Légère, discrète, robuste, parfaitement bien conçue, et plus jolie en vrai que sur les photos. Et pour ceux qui disent que la batterie ne dure pas longtemps ne la laissez pas dans un tiroir quand vous ne vous en servez pas ce genre de montre aime la lumière... J'ai une Casio Protrek solaire depuis plus de 10ans jamais changé la batterie et elle fonctionne comme au premier jour.</t>
  </si>
  <si>
    <t>Indémodable Ce modèle de birkenstock fait partie des indémodables. Très confortable et d'une très bonne facture. La livraison fut très rapide (en fait, cela m'aurait pris plus de temps d'aller en magasin ... et plus cher aussi ). Attention à la taille cependant, je prends toujours une taille en dessous : je chausse habituellement du 41, voir, du 42 mais chez Birkenstock je prends du 40 (et je suis à l'aise)</t>
  </si>
  <si>
    <t>Parfait Article conforme à la description, odeur agréable dans les armoires, livraison rapide.</t>
  </si>
  <si>
    <t>Élégant Acheter pour ouvrir , je l ai gardé pour moi . Très  raffiné discret il fait plein d effet autour du cou</t>
  </si>
  <si>
    <t>Montre Le mouvement du mécanisme est envoûtant, on le voit également de l'autre côté. Bracelet facile à réglé grâce au petit appareil reçu avec. Très masculine et habille réellement le poignet.</t>
  </si>
  <si>
    <t>Bon achat Parfait pour protéger bébé et ses petits yeux fragiles. Pare soleil qui se repositionne facilement et sans aucune trace sur la vitre. Bon achat</t>
  </si>
  <si>
    <t>Chaussettes mixtes antidérapantes ! Bonne qualité + En premier lieu, elles ont été conçu pour faire du sport, grâce aux petites accroches caoutchouteuses et antidérapantes qui se situent sous la chaussette et qui empêchent aux pieds de glisser dans les chaussures de sport. Je trouve l'idée très ingénieuse et efficace ! Personnellement, je ne suis pas une accroc aux sports mais cela ne me dispensera de porter ces chaussettes ultra-confortables à la maison car je m'en servirais très bien comme chaussettes d'intérieur ..... Le fait qu'elles ne soient pas du tout glissantes me permet de marcher avec sur le carrelage sans aucun problème ! On y est vraiment bien et à l'aise. En plus, leur belle épaisseur sera idéale en hiver, que ce soit pour l'intérieur ou pour me garder les pieds bien au chaud lorsque je pars travailler ...... Je suis certaine de les apprécier ! Leur matière est respirante et le pourcentage en coton est largement suffisant pour une bonne absorption de l'humidité mais aussi pour un excellent confort ! Leur taille unique est idéale pour moi qui chausse du 38 et conviennent aussi parfaitement à mon mari qui chausse du 42. Leur jolie présentation dans une boite cartonnée très rigide convient très bien pour être offerte ! Ce sont des chaussettes que j'ai complétement adoptées et je les recommande à toutes et à tous sans distinction.</t>
  </si>
  <si>
    <t>Vraiment satisfait Je les utilise pour livrer du béton donc pour être sur les chantiers depuis une semaine et j’en suis vraiment très satisfait.</t>
  </si>
  <si>
    <t>Qualité Nickel</t>
  </si>
  <si>
    <t>Bien Les chaussures sont vraiment confortables et s'adaptent bien. La principale qualité de cette chaussure est sa légèreté et sa ventilation adéquate. Les chaussures sont bien fabriquées. Je l'utilise depuis un moment et c'est vraiment confortable. Je le recommanderais totalement</t>
  </si>
  <si>
    <t>au top super tétine qui laisse passer le liquide épaissi débit au top meme sur le numéro 3 ne coule pas trop vite</t>
  </si>
  <si>
    <t>Qualité et précision. Super qualité, beauté, précision et la classe : je recommande vivement à tous sans hésitation  Roland de Wavre.</t>
  </si>
  <si>
    <t>Produit conforme à l’annonce Parfait</t>
  </si>
  <si>
    <t>Odeur de plastique Tres pratique mais encore une fois le couvercle en plastique et odeur de plastique quand l’eau bouille</t>
  </si>
  <si>
    <t>Trop gros C était pour ma moto</t>
  </si>
  <si>
    <t>Rien de plus Longe côte</t>
  </si>
  <si>
    <t>Globe ludique mais de qualité moyenne Ce globe est bien conçu pour permettre l'apprentissage de la géographie, il est simple à utiliser et ludique, et qui plus est en Français (ce n'est pas toujours le cas avec ce genre de jouet).  L'ensemble des fonctions marchent parfaitement, cependant il faudra voir dans le temps à la vue des autres commentaires de nombreux acheteurs.  Cependant, je trouve que vu le prix du produit, la qualité aurait pu être un peu plus élevé. Si mon commentaire vous a été utile, n'hésitez pas à le mentionner :)</t>
  </si>
  <si>
    <t>Au meilleur prix Les cartouches d'encre de nos imprimantes coûtent tellement chères qu'au bout de 2 ou 3 achats on dépasse déjà le prix de l'imprimante en elle-même c'est ahurissant. Quoi qu'il en soit j'en achète régulièrement sur Amazon qui propose à chaque fois le meilleur prix à savoir 25,99€ avec la livraison gratuite et elles fonctionnent toujours parfaitement et immédiatement sur mon imprimante HP Officejet 5740 (achetée 70€ il y a 1 an et demi soit-dit en passant). En utilisation modérée ces cartouches d'encre tiennent environ 3 ou 4 mois avant d'être vides. J'enlève une étoile pour le prix disproportionné et injustifié et pour le fait que la livraison ait été un peu longue (commandée le jeudi 29 mars à 8h du matin et reçue le mercredi 4 avril).  En espérant sincèrement que ce commentaire saura vous guider dans votre achat. N'hésitez pas à cliquer sur commentaire "utile - oui" si tel est le cas ;) Merci</t>
  </si>
  <si>
    <t>Top Tout juste reçu, déjà installé et mes cervicales apprécient. Mon cou est enfin droit alors que je suis sur mon ordinateur portable. L'inclinaison n'empêche pas la frappe. A voir dans le temps du côté des poignets comment serai le ressenti. J'ai utilisé la pièce pour tenir le câble d'alimentation qui n'est plus en tension et donc est bien plus préservé. On choisi son inclinaison parmi les nombreuses proposées. Pour le moment ravie du produit qui remplit mes attentes. Je ne mets pas 5 étoiles car il faut voir dans le temps comment va "vieillir" le produit.</t>
  </si>
  <si>
    <t>deuxième acheté Matériel résistant sans aucun souci vu l'usage que j'en fais, pas de casse ou de dégradation malgré les traitements physiques et chimiques que je lui inflige régulièrement.</t>
  </si>
  <si>
    <t>SACOCHE PRATIQUE CETTE SACOCHE EST ESTHETIQUE ET PEUT CONTENIR PAS MAL DE CHOSES</t>
  </si>
  <si>
    <t>Bon résultat Assèche la peau</t>
  </si>
  <si>
    <t>Pour un bon départ ! Un kit presque indispensable ... Une qualité qui n'est plus à démontrer pour cette gamme Avent de chez Philips. Un coffret idéal donc avec un système anti colic qui reste assez efficace. C'est solide, léger et plutôt durable. Le tarif reste raisonnable. Fidèle de la marque depuis plusieurs années, j'ai pu en  essayer d'autres, de bonnes qualités également, mais Avent conserve ma préférence. A recommander sans problème.</t>
  </si>
  <si>
    <t>Satisfait Parfaite, très content de la qualité</t>
  </si>
  <si>
    <t>Ecouteurs de qualité Ces écouteurs sont très agréables à porter dans l'oreille. De plus, ils permettent une réduction du bruit extérieur incroyable car une fois mis on n'entend plus rien, ce qui est très satisfaisant ! Aussi, la qualité du son est très bonne. c'est un produit très pratique pour ne pas être gêner lors d'une activité physique car il n'a pas de fil et tiens parfaitement dans l'oreille. Pour finir, la boîte est très esthétique ce qui rajoute un plus.</t>
  </si>
  <si>
    <t>Conforme Produit conforme à description. Commandé pour un maniac de l'entretien de chaussures. Excellent produit. La commande est arrivée très rapidement, avant la date prévue. Je recommande.</t>
  </si>
  <si>
    <t>Rapidité efficacité Nettoyage sièges voiture, chaussures en nubbuck, sac à main, tapis</t>
  </si>
  <si>
    <t>J'adore Je l'utilise pour mes footings extérieur ou mes séances de sport en salle et super ne bouge pas reste bien calé sur mes oreilles (contrairement à mon précédent d'une autre marque)  j'adore la couleur qui correspond parfaitement à mon TPH Samsung.  Facile à appareillé. Utilisation sans-fil ou filaire si besoin. Le boitier de transport et protection est bien rigide pour bien protéger.</t>
  </si>
  <si>
    <t>Apple toujours parfait pour moi Rien à redire, il s'agit d'un authentique produit appel, livré en un éclair</t>
  </si>
  <si>
    <t>top ces biberons sont parmi les meilleurs du marché et non sans raison: beau plastique, tetine super, grand diametre pour ne pas mettre de la poudre partout... pour la partie anti colique... difficile à dire pour le moment... mais aucun problème en ce moment. Vraiment de la belle qualité qui justifie le prix plus élevé pour les acquérir</t>
  </si>
  <si>
    <t>Les gommettes Bon produit a utiliser a partir de 3 ans car les gommettes sont petites.les feuillets petits. Mon fils les adores ! Bon rapport qualité/prix , il y a de la quantité. Ca va durer un moment.je recommande.</t>
  </si>
  <si>
    <t>Super Bon produit</t>
  </si>
  <si>
    <t>Robe année 50 Magnifique🤩 taille correctement je regrette juste de ne pas avoir commander un jupon pour avoir l'effet plus volumineux</t>
  </si>
  <si>
    <t>Pratique Detend bien les yeux fatigué.</t>
  </si>
  <si>
    <t>TOP !!! Bon débit / utilisé depuis la naissance. Biberon léger, pratique à attraper pour bébé. Large ouverture : pratique pour les parents Avantage du verre (nettoyage nickel/ ne vieilli pas) mais ne pas faire tomber ...</t>
  </si>
  <si>
    <t>Top Mon petit fils de 20 mois adore</t>
  </si>
  <si>
    <t>Confortable, pratique et bon son. Le son est excellent, les écouteurs sont confortables et à pression, très utile quant il fait froid pour ne pas avoir à retirer ses gants. La batterie est légère, petite et dure longtemps. Les écouteurs s'allument et se connectent facilement au téléphone. Très facile de les prendre en main. Je recommande.</t>
  </si>
  <si>
    <t>Bof Elles ne sont pas confortables, trop larges et trop petites. Du coup elles ne servent pas au destinataires, mais à moi : je peux les mettre avec mes chaussons pour aller chercher le courrier... Ca fait cher pour l'utilisation</t>
  </si>
  <si>
    <t>Taille non conforme La taille commandée n est pas celle livree. Vous recevrez la taille en dessous.  2 paires commandées le même problème.  Alors pour un vrai 42 EU commander à minima le 44/45</t>
  </si>
  <si>
    <t>Tombée en panne Cassée au bout de 3 mois d'utilisation</t>
  </si>
  <si>
    <t>Correctes pour le prix Achetées pour mes vacances, afin de pouvoir combiner marche et nage avec dans criques caillouteuses. Un peu lourdes et on sent pas mal les cailloux. Elles taillent correctement. Je chausse du 36 pour tous types de chaussures, je les ai prises en 36 et c'est parfait, avec ou sans la semelle. Reçues plus rapidement que prévu!</t>
  </si>
  <si>
    <t>Ne tient pas bien Les branches ne sont pas stables du tout, c’est vraiment pénible.</t>
  </si>
  <si>
    <t>Très jolie chaussure Très jolie chaussure</t>
  </si>
  <si>
    <t>Bien Bien mais mon bouton a l'arrière a un petit défaut de fabrication, lors de l'utilisation le blocage du bouton en position 1 est très faible et remonte parfois en touchant simplement la bouilloire</t>
  </si>
  <si>
    <t>A ce prix-là, c'est une affaire. J'ai cette montre depuis presque un an. Elle est esthétique et fonctionne bien...pour l'instant. A ce prix, c'est une affaire!</t>
  </si>
  <si>
    <t>Bon produit Pour animer les soirées à l'improviste ça fonctionne très bien fou rire garentie....</t>
  </si>
  <si>
    <t>Bon casque Le seul bémol c'est le langage c'est en anglais autrement ce casque est parfait</t>
  </si>
  <si>
    <t>Fait le travail Avec ça, c'est sur que ca fait moins mal. Pour une maman qui allaite, ca soulage. Ne pas oublier d'appliquer aussi de la crème spécial allaitement pour bien protéger la peau.</t>
  </si>
  <si>
    <t>Je recommande Je recommande parfait pour se que je veux faire 👍 arriver avant la date prévue</t>
  </si>
  <si>
    <t>Une deuxième peau Super confortable pour danser matière souple qu’on ne s’en pas</t>
  </si>
  <si>
    <t>Biberon conforme a la description Nous avions deja la version plus petite des biberons medela dont notre bébé etait habitué. Rien de negatif a dire. Conforme a la description</t>
  </si>
  <si>
    <t>Super Super confortable bonne qualité je l’es porte depuis un bon mois pas tous les jours bien sure lol mais très bonne qualité</t>
  </si>
  <si>
    <t>Converse impeccable Achat entièrement satisfaisant et surtout à un excellent prix, raisons pour lesquelles j'en ai d'ailleurs acheté deux paires.  Article à recommander.</t>
  </si>
  <si>
    <t>montre casio belle montre bien en main elle est tres belle et facile a utiliser</t>
  </si>
  <si>
    <t>🍼 Le TOP 🍼 🍼 Il y a quelques années déjà, cette marque fut mon choix de prédilection à la naissance de ma fille, car "à l'époque" ils étaient les seuls en plastique sans BPA ! et surtout, les seuls à ne pas lui donner de colique. 🍼 Alors la, en verre bien plus écologique et toujours leurs supers tétines ! Je ne vois pas comment mettre moins de 5 étoiles...  🍼 Aller, pour chipoter, le demi goupillon n'est pas ma forme favorite...</t>
  </si>
  <si>
    <t>Bon produit Excellent</t>
  </si>
  <si>
    <t>Confort et amortissement Le produit acheté a été utilisé pour la pratique du running en forêt et sur route. Pas de remarques particulières à faire sur son utilisation. Il répond au besoin, amortit correctement la foulée, il est très léger et confortable et s'adapte parfaitement à mon pied.</t>
  </si>
  <si>
    <t>Trop contente Tendance, fonctionne bien et m’a servi à plusieurs courses et tous mes entrainements. Je la charge 1X/semaine. Les cadrans personnalisables sont trop cool !</t>
  </si>
  <si>
    <t>Parfait Produit conforme au besoin : il rentre dans tous les micro-ondes et permet de stériliser 4 biberons doodies de 240ml simultanément.</t>
  </si>
  <si>
    <t>Pas chère mais éfficace Une montre radio-pilotée? il n'y a rien de tel pour avoir l'heure précise. Elle est belle, légere, avec de la classe pour pas très cher. C'est une montre qui par rapport à ses  fonctionnalités, s'inscrit à mon avis dans la tranche des "haut de gamme". Je ne regrette pas de l'avoir acheté. Essayez là!!!</t>
  </si>
  <si>
    <t>Très bon produit Très bien.</t>
  </si>
  <si>
    <t>Déçu J'utilise ce produit depuis 3 mois toute marchait bien jusqu'au jour ou il a arrêté de fontionner sans raison...très déçu surtout venant d'une marque réputé fiable</t>
  </si>
  <si>
    <t>Pas bon ! Le diamètre du brise vent est trop petit !! C'est vraiment stupide  !!  A part le jeter je n'en vois pas d'autre utilisation *</t>
  </si>
  <si>
    <t>Mauvaise qualité, ne pas acheter! Prenez le nouveau modèle &lt;div id="video-block-RGR04UPYUIW9W" class="a-section a-spacing-small a-spacing-top-mini video-block"&gt;&lt;/div&gt;&lt;input type="hidden" name="" value="https://images-eu.ssl-images-amazon.com/images/I/B1cje6XHFyS.mp4" class="video-url"&gt;&lt;input type="hidden" name="" value="https://images-eu.ssl-images-amazon.com/images/I/71Kb-+7weLS.png" class="video-slate-img-url"&gt;&amp;nbsp;8 mois plus tard, ne marche plus! Buggue tout seul, obligé d’en retirer les piles. Voilà une vidéo montrant bien la situation, quoiqu’il a décidé de ne pas totalement planter jusqu’au retrait des piles juste quand je me mets à filmer.</t>
  </si>
  <si>
    <t>Trop cher Produits de bonne qualité mais beaucoup trop cher pour ce que c’est.  Le coût de fabrication et de transport doit être au moins 10 fois inférieur au prix de vente.</t>
  </si>
  <si>
    <t>Bof bof Quand je les ai acheter ils semblaient parfait et tous les leds fonctionnaient correctement.Sauf que j'ai acheter du 37 (comme c'est la pointure de ma fille) mais ils étaient un peu trop petits pour elle.  Mais petit a petit il y a eu des beug , les leds de la chaussure ne voulaient pas s'allumer ou s'eteindre , les couleurs commençaient a se mélanger (normalement quand on allume la chaussure la première couleur qui apparait est le rouge mais sur la chaussure il y avait certain leds qui étaient en rouge et certains leds qui étaient en vert) et aussi certain leds ne s'allumaient plus( pourtant la chaussure venait juste d'être charger) genre sur une couleur tous les leds fonctionnaient mais sur la prochaine deux trois leds ne fonctionnaient plus. Et aussi pour charger une chaussure (alors que l'autre se charger très facilement) il fallait bien apppuyer et mettre le chargeur dans une certaine position. Disons que je ne recommande pas ttrop ce produit</t>
  </si>
  <si>
    <t>Nettoyage Article très bien</t>
  </si>
  <si>
    <t>Excellente basket 2e paire pour ma part , excellente qualité , ne fais pas mal au pieds , trés bonne aération et protection contre la pluie J'enlève 1 étoile ^pour le prix</t>
  </si>
  <si>
    <t>Agréable ! Facile d'utilisation mais nécessite tout de meme une prise électrique proche. Pour bien sentir la chaleur il faut s'adosser sur qq chose. Agréable !</t>
  </si>
  <si>
    <t>le chaussant large et convient au coup de pied fort tout les jours , chaussures faciles à chausser et à fermer (scrach)</t>
  </si>
  <si>
    <t>👍🏻 Correspondent</t>
  </si>
  <si>
    <t>Excellent rapport qualité-prix, pour un produit de qualité J'ai acheté ces micros pour mon église, il en on déjà plusieurs micros d'une marque réputée, mais il leurs en fallait en plus pour la chorale, il ont été installé sur la table de mixage avec les autres micros du dispositif, il n'y à aucune interférence avec les autres micro du dispositif, qui fonctionne tous ensembles. Les micros sont de très bonne qualité, tout en métal, fournis avec leurs mousses et leurs support pour les faire tenir debout. Il ont une autonomie d'une bonne demi journée, une  avec les 2 piles nécessaire au fonctionnement de chaque micro, possibilité de régler le son de chaque micro indépendamment. On peut les utilisés dans une grande salle ou en extérieur à une distance maximum de 60 m. Il on un bon son clair surtout pour ce prix Il fonctionne tout aussi bien que d'autres micro de grande marque.</t>
  </si>
  <si>
    <t>Essentiel Je ne peux plus m en passer! Le linge sent bon. Le côté détachant n est pas flagrant surtout pour détacher les selles de bébé sur les vêtements. Mais ça fait le job pour le reste.</t>
  </si>
  <si>
    <t>Sacs résistants, conviennent à une poubelle brabantia 40L Ces sacs s'adaptent parfaitement à ma poubelle Brabantia 40L Touch Bin. Les poignées permettent de refermer le sac facilement et sont utiles également pour le sortir du seau de la poubelle. Ces sacs sont assez résistant ce qui est particulièrement important pour ce volume, les sacs étant souvent bien remplis.</t>
  </si>
  <si>
    <t>je l adore tout est tres bon, pour les commentaires de roue, c est pas roue chez moi - c est les residues de lait, il faut juste bien laver les biberon, je le fais avec bicarbonade</t>
  </si>
  <si>
    <t>excellent produit j avais déjà une maire précédente. une très bonne chaussure avec un très bon maintient. pour randonnée ou tout les jours je recommande vivement</t>
  </si>
  <si>
    <t>Impec Impec</t>
  </si>
  <si>
    <t>Satisfait Le préféré de ma fille. En fait c'est surtout du a la tetine plate et a la forme triangulaire qui le permet de le tenir toute seule. Tres bonne qualité de fabrication.</t>
  </si>
  <si>
    <t>Article impeccable et conforme Reçu comme prévu et conforme</t>
  </si>
  <si>
    <t>produit idéal Ce produit est le meilleur a ma connaissance pour le détartrage des machines a café  ou autres  appareils qui sont utilisés avec une eau calcaire</t>
  </si>
  <si>
    <t>Super Très jolies boucles pour soi ou pour un cadeau excellent rapport qualité prix. À recommander.</t>
  </si>
  <si>
    <t>satisfaction pour ce produit très très beau je le recommande très beau travail beau cadeau pour noêl très pratique et beau en même temps! continuez ainsi!</t>
  </si>
  <si>
    <t>belle petite chaîne Belle petite chaîne. Elle est plus petite que ce que je pensais, mais j'ai pu mettre 2 petits pendentifs sans problèmes. Seul petit bémol, l'anneau du fermoir est un peu aplati, et c'est parfois difficile de fermer la chaîne.</t>
  </si>
  <si>
    <t>papier photocopieuse je trouve que ce papier est tres performant, epaisseur parfaite , blancheur ideale, bref je le recommande a qui hesiterait a commander , d autant plus que le prix est tres attractif encore merci!</t>
  </si>
  <si>
    <t>J adoooore Une bague raiglable qui est en argent. Bague plume discret mignon. Rien à dire en négatif. Je l aime beaucoup</t>
  </si>
  <si>
    <t>Vous avez eu pour vos sous Ces bracelets sont  beaux  mais pas solides, dès que je les ai mis les brides se sont décollées...</t>
  </si>
  <si>
    <t>Cartouches d'encre pas compatible Non, ce produits est pas reconnu par l'imprimante Je suis très déçu  et pourtant j'ai commandé  imprimante plus cartouche donc je me suis pas trompé dans le choix des cartouches, j'espère que le problème ne vient pas de l'imprimante Je hausse pas commander d'autres cartouches sur amazon.</t>
  </si>
  <si>
    <t>Déconseillé à acheter Pourri tissu. Trop dessus. Rien avoir avec les photos de présentation. En effet c'est un pantalon de boulot pas de tout de ville. Tant pis que ne c'est pas possible de donner 0 étoile</t>
  </si>
  <si>
    <t>Super Super qualité/prix</t>
  </si>
  <si>
    <t>Belle paire de puma Courses quotidiennes</t>
  </si>
  <si>
    <t>Cuir Chaussure de belle qualité mais taille un peu petit</t>
  </si>
  <si>
    <t>détartrant J'ai essayé ce produit il est efficace mais ma machine à café doit être très entartrée car après l'opération c'est mieux mais pas encore tout à fait cela, je vais répéter l'opération pour avoir un résultat impeccable.</t>
  </si>
  <si>
    <t>indispensable un gros gain de temps avec cette machine , le biberon est dans la bouche de bébé en seulement 1mn30 , fini le bain marie et le micro ondes (soit trop chaud soit trop froid ) , avec cette machine l'eau est a la température du corps de la mère (j'ai vérifié au thermomètre ) , seul défaut un bip a chaque fin qui résonne dans la nuit .</t>
  </si>
  <si>
    <t>converse chuck taylor all star hi bleu ciel je ne porte pratiquement que des converses en cuir l hiver en toile l ete j ai meme adapte mes semelles orthopediques pour les converses donc celles ci sont pour le travail.je suis d autant plus contente qu on a du mal a trouver des demie pointures et chez vous pas de probleme</t>
  </si>
  <si>
    <t>Bien Adapter à la taille</t>
  </si>
  <si>
    <t>Très beau produit Sacoche de qualité, je craignais les commentaires qui précisés qu elle pouvait laisser des traces sur les vêtements, et ce n est pas le cas. Elle peut être portée dans tous les styles, aussi bien habillé que décontracté. Mon mari en est très content.</t>
  </si>
  <si>
    <t>Bouilloire tendance Très satisfaite puisque commandée une seconde fois..pour un 🎁 .Je suis certaine de faire plaisir... Un thé à la bonne température..c’est parfait ! J’aime le design..</t>
  </si>
  <si>
    <t>Juste parfaites !! Si comme moi, vous avez une grande famille, que vous passez votre temps à trier le linge pour effectuer des lessives efficaces mais économiques !! Les lingettes Decolor stop action sont faites pour vous simplifier la tâche !! J’ai des enfants qui me glissent parfois du linges dans un tambour prêt à démarrer ... et là surprise!!! Des vêtements roses à cause d’un polo rouge!!  Le produit n’est pas nouveau mais le principe de capter les pigments dans l’eau reste extra, la lingette ressort grise .. signe qu’elle a fait don job!!  Je ne peux que conseiller et recommander car j’ai essayé des sous marques.. le résultat est médiocre !!  Si cette évaluation a pu vous aider, likez, si bous aviez des questions, n’hesitez pas à les poser, merci.</t>
  </si>
  <si>
    <t>Juste top! Matière parfaite et taille niquel J’en ai recommandé deux autres !</t>
  </si>
  <si>
    <t>tout Parfait</t>
  </si>
  <si>
    <t>belle chaussure trés comfortable</t>
  </si>
  <si>
    <t>excellent son ecouteurs reçu rapidement et bien emballé.  facile à connecter grâce au mode d'emploi en français.  Très pratique les voyants de charge et décharge évite de se retrouver en rade.  Bonne tenue à l'oreille et excellent son</t>
  </si>
  <si>
    <t>Diffuseur fonctionnant parfaitement Bon produit , esthétique.  Simple d' utilisation , diffuse un parfum d' huile essentiel dans votre maison . On peut programmer jusqu' à 3h de diffusion , et il s' éteint automatiquement</t>
  </si>
  <si>
    <t>parfaite sur long terme elle est très bien. Fait ce qu'on lui demande depuis plus de 3 ans sans aucun problème: tous les matins mon eau est chaude !</t>
  </si>
  <si>
    <t>Original et joli Ça change des arbres a biberon et apporte un touche de vert bienvenue dans la cuisine. Tout le monde adore ! Les ustensiles tiennent bien dessus</t>
  </si>
  <si>
    <t>tasse a bec toute mignonne cette tasse est toute mignonne,elle est attirante pour l'enfant avec son joli dessin,ses poignées sont utiles pour manipuler la tasse, quand mon fils met la tasse a l'envers,pas de fuite d'eau,il peut la secouer dans tous les sens,si elle tombe par terre tout va bien,pas de soucis.</t>
  </si>
  <si>
    <t>super Goupillon plus cher que les autres mais très bonne qualité. Le bout en plastique me faisait peur pour le nettoyage mais en fin de compte nettoie très bien . Je recommande</t>
  </si>
  <si>
    <t>Oooh top ! Produit acheter en tant que Cadeau, il a beaucoup plus et je vois quelle est utilisé avec soin et bien souvent ! La taille n est pas trop grande comparé à ce que lon peut penser ~ et l intérieur possède plusieurs rangements, de plus le bleu à l intérieur la rend plus belle ;)</t>
  </si>
  <si>
    <t>Le son est mauvais Très mauvaise qualité de son, le son de la musique est plus fort que celui de la voix, et il faut quasiment coller sa bouche sur le micro pour avoir le son. Bref, gadget...</t>
  </si>
  <si>
    <t>PAS etanche du tout Montre soit disant étanche et quand vous la recevez dans la notice y a juste écrit résiste aux éclaboussures et aux gouttes de pluie</t>
  </si>
  <si>
    <t>Confoe Ca marche mais il n y as pas que la fuite Mince alors</t>
  </si>
  <si>
    <t>TRES BEAU MAIS PETIT POUR UN SAC DE SPORT CADEAU POUR LA FETE DES PERES Le sac a plu mais le papa n'a pas pu mettre toutes ses affaires de sport car trop petit Biensûr cela dépend du sport pratiqué</t>
  </si>
  <si>
    <t>Je recommande Bon produit de bonne qualité</t>
  </si>
  <si>
    <t>Top Enfin des chaussettes avec des coutures au-dessus des doigts de pieds, fini le mal aux pieds. Merci</t>
  </si>
  <si>
    <t>Bon livre Livre très intéressant... ce livre attend sous le sapin pour être ouvert le 24 au soir... je l'ai feuilleté et je sens que mon fils va l'adopter...c'est un livre pour " petit mecs" sans être grossier ou rébarbatif... il aborde les sujets avec une pointe d'humour et je suis contente de le lui offrir car je sens que j'aurais eu du mal à lui donner certaines explications. Évidement, il ne remplacera pas mon rôle mais je sens qu'il sera un bon soutien.</t>
  </si>
  <si>
    <t>Au top Excellent ! Léger , très simple a associer avec le telephone, bouton bien accessibles ! Boite de rangement tout est bon ... Un seul petit bémol a mon gout le casque ne sert pas énormément donc très confortable je pense même sur de la longue écoute mais sur de la course a pied JE PENSE que celui ci glissera légèrement</t>
  </si>
  <si>
    <t>Taille très bien Parfait</t>
  </si>
  <si>
    <t>Mon deuxième bracelet Fullmosa Je n'ai jamais entendu parler de Fullmosa avant de découvrir cette marque sur Amazon. J'ai acheté un bracelet, j'étais très content, donc j'ai acheté un deuxième. En cuir et acier, de beaux bracelets faciles à monter. Plusieurs tailles possibles, plusieurs couleurs. Recommandé!</t>
  </si>
  <si>
    <t>gymnastique douce J'avais du mal à trouver ce type de chaussons ...la plupart aussi chinoises probablement sentent mauvais...ici toutes celles reçue par la firme Beck me plaisent. et ma seule réflexion : sans chaussettes, ou avec chaussettes = une taille de plus. sinon elles sont parfaitement adaptées même si elles sont serrées aux premiers portages au niveaux des orteils...mais elles se "font" et de toute façon il faut qu'elles tiennent ....</t>
  </si>
  <si>
    <t>Super confortable Tres confort et résistante Super rapport qualité prix</t>
  </si>
  <si>
    <t>Très bon article Un très bon article, qui correspond parfaitement à nos attentes. Arrivé rapidement. En parfait état. Evidemment il faut bien choisir la longueur et le diamètre ainsi que le type de fil de cuivre. Une grande diversité de choix. Excellent service. Impeccable. Je recommande.</t>
  </si>
  <si>
    <t>Écouteur Samsung Chouette écouteur Samsung</t>
  </si>
  <si>
    <t>superbe superbe montre, elle attire l'oeil, elle fait classe. très bon produit</t>
  </si>
  <si>
    <t>Parfair Fidèle à la photo</t>
  </si>
  <si>
    <t>Produit bien emballé et parfaitement conforme Très jolies tongs</t>
  </si>
  <si>
    <t>très joli coloriage ma fille de 10 ans est ravie</t>
  </si>
  <si>
    <t>Confortable les scratchs sont vraiment très pratiques pour moi.</t>
  </si>
  <si>
    <t>Top Produit au top. Très pratique, peu encombrant et beaucoup plus facile d'utilisation que les modèles ou les compartiements s'empilent. Même avec une main on peut faire le biberon.</t>
  </si>
  <si>
    <t>Bonne qualité Bonne qualité et envoi rapide</t>
  </si>
  <si>
    <t>C est parfait Pour faire des la marche</t>
  </si>
  <si>
    <t>Bébé et parents contents :-) Ce kit de biberons et sucette fait très bien le boulot. Pour la santé, évidemment le verre est naturellement bien meilleur que le plastique. Côté solidité rien à redire, de petits accidents de la vie quotidienne ne leur feront rien. Bien entendu une chute depuis une table devrait leur être fatale. Côté ergonomie rien à redire non plus : aucun problème de succion pour le nourrisson. Les tétées se passent très bien. Bébé semble aussi apprécier la sucette ^^ Bref on a affaire à un kit biberon de qualité à un tarif abordable.</t>
  </si>
  <si>
    <t>Parfaite Huile qui remplit ses fonctions à merveille, un indispensable chez soi, l'odeur est puissante et agréable. Peu importe l'utilisation de celle ci vous ne serez pas déçu. Bon achat.</t>
  </si>
  <si>
    <t>Sans plus ! Fausse promotion car cet article coûte une trentaine d'Euros sur le site du fabriquant et non 80€. Joli sac mais absolument pas haute gamme. L'anneau rifté sur la sangle en cuir est abîmé et marqué, un pb d'emboutissage en usine très probablement, c'est fort dommage. Au final, il est bien mais sans plus.</t>
  </si>
  <si>
    <t>des preuves même commentaire que pour le MP3 auquel il est lié. je n'ai pas réussi à faire fonctionner le MP3, je n'ai pas réussi, donc à apparier les deux appareils. Je dois retaper sur Word, le mode d'emploi comme par le MP3. pour l'instant la note est zéro pointé. merci de demander au fournisseur de joindre des modes d'emploi séparés par langue au format A5 minimum</t>
  </si>
  <si>
    <t>Mauvaise qualité Tres fragile porte 3 fois et déchiré je les ai retourné car moin de 30 jours</t>
  </si>
  <si>
    <t>Trop petir Super produit, belles couleurs et confortable ! Dommage que la taille ne soit pas conforme, trop petite...</t>
  </si>
  <si>
    <t>Bien sauf pour le sport Chaussette assez peu adapté à la pratique sportive. Chauffe vite le pied et usure rapide en cas de frottement. Rien à redire pour une utilisation moins contraignante</t>
  </si>
  <si>
    <t>Bon rapport qualité prix Chaussures confortables, simples et jolies. J'ai pris ma pointure habituelle sans soucis.</t>
  </si>
  <si>
    <t>satisfaite Très bon goupillon qui m'a tenu bien plus longtemps que d'autres achetés plus cher. Le goupillon spécial tetines est rigide et permet un bon nettoyage.</t>
  </si>
  <si>
    <t>grande capacité sac pratique surtout si on a un ordi, a voir dans le temps si il est solide.</t>
  </si>
  <si>
    <t>Marche trés bien mais il y a une odeur ne qui part pas Le produit marche très bien, rien a dire! la seul chose qui me dérange ce que il y a un odeur industriel de métal (usine) après l’eau bouille. au début c'est a été pas agréable du tout. même aujourd’hui cet odeur existe toujours...ça fait plus que deux mois que j'utilise la bouilloire.</t>
  </si>
  <si>
    <t>Satisfaite Biberons de qualité...</t>
  </si>
  <si>
    <t>Meilleurs écouteurs bluetooth Excellent produit. Le rapport qualité/prix est bien. Le son est légèrement meilleur et plus fort que sur la version Lite. Petit hic : il arrive parfois que le son coupe une demi seconde pour reprendre juste après comme si les écouteurs rebootaient. Puis j'ai eu au début des soucis de variations de volume assez léger mais tout de même notable et agaçant.  Je mets tout de même 5 étoiles car c'est un excellent produit et les soucis techniques sont rares.</t>
  </si>
  <si>
    <t>Superbe Désign premium et élégant pour cet beau grille pain en inox brossé associé à des touches d'inox brillant. Il est particulièrement compact mais accepte quand même tous types de pains. Il fonctionne comme tout grille pain, avec une bonne rapidité mais surtout beaucoup plus d'options et un petit minuteur qui aide à vérifier la cuisson sans avoir à tout arrêter... Nombreux modes de cuisson comme décongélation ou simple réchauffage.  Très bien, bon rapport qualité prix en outre</t>
  </si>
  <si>
    <t>Excellent Ce biberon très épuré et très ergonomique se prend très bien en main. Très simple à nettoyer, il est très facile d'utilisation. C'est un produit d'excellente facture.</t>
  </si>
  <si>
    <t>enveloppes blanches J'avais besoin d'enveloppes blanches .Ce sont bien des enveloppes blanches qui ont été livrées . Elles sont conformes à la description et comme toujours avec Amazon livrées quasiment instantanément.</t>
  </si>
  <si>
    <t>bien Normal que c.est prévue pour 100vinyl simple et pas double simple je pense qui y vont selon épaisseur de la pochette bien autrement</t>
  </si>
  <si>
    <t>une montre de rando super fonction altitude que j'ai vérifié. Très pratique.</t>
  </si>
  <si>
    <t>Excellent produit acheté durant le black friday 5 étoiles tout simplement car le filtre rempli parfaitement sa fonction, testé avec un Bird UM1, le filtre se fixe sans problème sur un pied micro Amazon Basics rien à redire la finition est de très bonne qualité, et il se place très bien où on le souhaite bien meilleur en tout point que mon précédent filtre anti-pop "no name"</t>
  </si>
  <si>
    <t>Parfait diffuseur correspond a mes attentes , très joli . J ai un peu hésité pour le commander mais finalement aucun regret je l apprécie ,convient pour une grande piéce , la teinte est jolie , L'imitation bois est vraiment très réussie , silencieux Très facile à utiliser Donc pour l'instant pas déçu , a voir sur la durée  je le recommande</t>
  </si>
  <si>
    <t>Recommande ce vendeur Expédition rapide produit de bonne qualité</t>
  </si>
  <si>
    <t>St valentin Tres joli bracelet pour amoureux</t>
  </si>
  <si>
    <t>BON BASIQUE Commandé sur recommandation d'une personnes qui en en déjà commandé plusieurs et qui en est très content. utilisé pour travailler il est facile à entretenir. très bon rapport qualité prix</t>
  </si>
  <si>
    <t>Plastifieuse J'en suis très satisfaite. Fait son travail correctement</t>
  </si>
  <si>
    <t>Très bien ! Très reposant pour le poignet, je n'ai plus cette douleur chronique et la souris répond parfaitement.</t>
  </si>
  <si>
    <t>Très bien Conforme à la description. Agréable à porter. Bon maintient</t>
  </si>
  <si>
    <t>Rien Plutôt souple et simple et pas trop élégant</t>
  </si>
  <si>
    <t>Pas terrible Pas très efficace. Le tapis est trop petit. En utilisation prolongée le gele s'affaisse completement et du coup maintenant en plus de la douleur au coude j'ai une douleur au poignet</t>
  </si>
  <si>
    <t>pas du tout la couleur décrite!!! bien reçue dans les temps mais attention pas du tout la couleur décrite, j'ai reçu une paire bordeaux confort parfait mais très déçue de la couleur</t>
  </si>
  <si>
    <t>avis mitigé la forme des tétines est bien adaptée à l'enfant. Cependant le prix est excessif et les tétines s'usent très vite...</t>
  </si>
  <si>
    <t>SUPER TAPIS Produit de qualité que j'utilise presque tous les jours. Beaucoup moins cher que l"a marque" plus connue.... et à moins avis tout aussi efficace. Si ce tapis ne soigne pas, il me soulage énormément lors de mes crises de lombalgie et ces quelques heures de répit sont très très appréciables. La première fois est surprenante mais ensuite on ne sent plus les picots. Je recommande ce produit</t>
  </si>
  <si>
    <t>Très bien Même qualité et prix que j'achète habituellement. Donc pas très bonne, mais pour son utilisation et sa destination finale, c'est largement suffisant.</t>
  </si>
  <si>
    <t>belle baskets très confortable et les couleurs sont identique à la photo, je les recommande</t>
  </si>
  <si>
    <t>t shirt super t shirt super pour le body building pres du corq pas de regrets pour l achat tres léger bonne finition tip top</t>
  </si>
  <si>
    <t>Essentiel Produit de la marque, prix contenu idéal pour compléter une commande et lorsque vous n'avez plus d'intercalaires sous la main.</t>
  </si>
  <si>
    <t>Chaud et adorable Que vous soyez victime de maux de cou, ou frileux, vous devez essayer ce renard chauffant. Très confortable, deux minutes au four micro-ondes suffisent pour apporter une douce chaleur, jamais excessive, pendant une trentaine de minutes. Sa forme s'adapte autant aux adultes qu'aux enfants. Le maintient est bon que l'on soit debout, assis ou allongé. L'odeur ainsi que l'humidité sont propres à ce type de bouillotte, qui utilise des grains de blé bio pour stocker la chaleur. Je conçois que celles-ci puissent déranger, pour ma part, je trouve cela plutôt agréable.</t>
  </si>
  <si>
    <t>jolie, à la façon de.... achetée en reconditionné : modèle automatique, qui ravit mon mari. Sport et élégante à la fois. Un bémol sur le bracelet difficile à ajuster pour un novice. Le fond du boîtier est transparent, on voit le mouvement en marche. Portée au quotidien depuis son achat, elle donne toute satisfaction, visuelle et utilitaire.</t>
  </si>
  <si>
    <t>Parfait Cette sacoche est de très bonne qualité, et d'une taille permettant d'y mettre à l'intérieur sans aucun problème, portefeuille, portable, clefs etc ... Elle est d'une taille tout à fait convenable, ni trop petite, ni trop imposante. Reçue beaucoup plus rapidement que prévu, elle a énormément plu à mon petit fils qui m'a dit ravi, " elle est stylée" !!! Alors, Je recommande bien sûr !!!</t>
  </si>
  <si>
    <t>De très bonnes qualités Rien à dire sur le casque le son est présent ainsi que la qualité</t>
  </si>
  <si>
    <t>Ras Très belle bouilloire, marche très bien, je recommande</t>
  </si>
  <si>
    <t>Belles Super jolies</t>
  </si>
  <si>
    <t>Jolies bonnettes pour micro chant. Très efficaces S'adaptent très bien aux micros chant, évite parfaitement les "pop" et bruits environnants. Couleurs sympas. La qualité a l'air d'être au rendez vous. 10 bonettes pour le prix de deux en moyenne dans le commerce. A acheter en toute confiance.</t>
  </si>
  <si>
    <t>Wooah ! Ce crayon envoie du lourd, il est un tout en un qui permet de s'exprimer sur une multitude de supports (verre, papier, carton, bois, tableau blanc ou noir). Je passe sur l'étonnement des loulous quand je les ai invité à vandaliser créativement le vitrage des fenêtres de leur chambre. Cerise sur le gâteau un coup de chiffon et zou plus de traces. Trop fort ce woody.... woody ? A tester d'urgence</t>
  </si>
  <si>
    <t>ULTRA LEGERE Boucles achetées en doré et argent. Très légères et plus grosses que je croyais. Seul bémol, le crochet qui passe dans l'oreille est monté à l'envers. Le bombé de la boucle, donc le côté le plus joli, n'est pas de face mais de dos. Et cela sur les deux paires. Personne ne s'en est apperçu apparemment sauf si ce défaut ne concerne que moi. J'ai du ouvrir le petit anneau pour inverser les crochets. Sinon pour le prix rien à dire.</t>
  </si>
  <si>
    <t>Bijou pour femme Superbe bijou pour femme. Je l'ai offert à mon épouse elle était ravie. Le bijou est livré avec sa boîte bien emballé. Il est très joli. Pour ceux qui veulent offrir un cadeau c'est parfait je le recommande.</t>
  </si>
  <si>
    <t>c'est d'la chaussure im happy for the boot :)) très bonne adaptation de cet article je me sens bien quand je les portes , peut s'adapter par exemple pour de la marche tout comme de l'atelier pour bricolé .</t>
  </si>
  <si>
    <t>Bien J'ai hésité à enlever une étoile puisqu'elles prennent les poils, mais ce n'est finalement qu'un détail. Elles sont belles, rien à redire.</t>
  </si>
  <si>
    <t>Superbe sacoche en cuir J'adore cette sacoche d'ailleurs j'en ai acheté deux une maron  l'autre noir pour mon fils et moi je la porte tous les jours</t>
  </si>
  <si>
    <t>Beau et apaisant Tout est dit dans le titre ! Je l'ai reçu rapidement, dans un colis en bon état. Le diffuseur était très bien protégé, rien à dire. Je l'ai tout de suite fait fonctionner, et il est parfait. Très peu bruyant (petit ronronnement mais lèger). Plusieurs modes de lumières qui sont toutes belles avec cette couleur bois ! Bref je recommande vivement !</t>
  </si>
  <si>
    <t>Forte odeur de plastique Cette très forte odeur de plastique ne m'inspire pas confiance pour bébé, surtout qu'il va le mettre à la bouche....</t>
  </si>
  <si>
    <t>Pas top Rénove rien</t>
  </si>
  <si>
    <t>Un peu dessus Suis dessus  chaine trop fine en plus avait un noeud ai du l enlever avec une épingle dur dur sinon pendentif mignon</t>
  </si>
  <si>
    <t>Assez bien !! Bébé arrive à me la coller alors qu'il n'a que deux mois. Je pense que les biberons Mam ne sont pas fait pour lui.</t>
  </si>
  <si>
    <t>Une ado de bon humeur grace a ses baskets Ces chaussures sont très belle elle pointe bien Ma fille est ravie de ses baskets elles sont confortables et surtout à la mode comme elle aime</t>
  </si>
  <si>
    <t>très gros rouleau Papier cadeau très bien, il y en a pour un bon moment..... je viens de faire tous mes paquets de noël et il en reste encore plein Seul bémol la livraison ! le livreur n'a même pas attendu qu'on lui ouvre la porte pour nous donner le colis il l'a mis dans les volets et est partis ! Donc pas professionnel et mal polis !</t>
  </si>
  <si>
    <t>Avent = qualité Très pratique mais encombrant Très utile pour les premières semaines de bébé Facile à laver, très astucieux, permets de stériliser rapidement 4 biberons à la fois + accessoires. Attention moi il passe limite dans mon micro onde, donc attention aux dimensions de celui ci ... produit avent donc qualité !</t>
  </si>
  <si>
    <t>Bien Très bon produit</t>
  </si>
  <si>
    <t>mon fils adore acheté pour mon fils, il en est ravis, le style lui convient, la couleur est conforme, la dimension est parfaite (ni trop grande ni trop petite) lunette de soleil, porte carte, carte grise, permis, mouchoir....tout y rentre. Elle est solide, les fermeture eclaire tiennent bien</t>
  </si>
  <si>
    <t>tres bon produit tres bonne finition</t>
  </si>
  <si>
    <t>Chaussures impeccables De vraies pantoufles</t>
  </si>
  <si>
    <t>Très bon achat Fini les écouteurs à fil... Vraiment surpris par la qualité de ce produit au prix ou je l'ai acheté! Très facile d'utilisation, tient très bien à l'oreille avec un son de très bonnes qualités. 8ls sont vendus avec un petit câble USB pour les recharger.une boîte de rangement qui sert également de chargeur. Je l'utilise également pour faire du sport et ça tient très bien à l'oreille. Je recommande</t>
  </si>
  <si>
    <t>Pratiques et sympas Je suis fan de la couleur.  Je taille normalement 38 mais j'ai du commander des 39 pour être à l'aise, du coup elles sont tip top!</t>
  </si>
  <si>
    <t>Salomon Ce sont de très bonnes chaussures j'en suis à ma 7e père j'ai commencé par la SpeedCross 3 et maintenant je suis à la 4 je les mets du 1er janvier au 31 décembre, je l'aimais aussi quand je vais au sport d'hiver car elles sont étanches ,ce sont Gore-Tex, le serrage de ses chaussures est vraiment génial pour moi car je suis très feignant.</t>
  </si>
  <si>
    <t>Confortables, légère et apparemment solides Après quelques semaines à les porter en intérieur je peux évaluer ces chaussures comme un bon achat !</t>
  </si>
  <si>
    <t>Ras Efficace pour le stockage</t>
  </si>
  <si>
    <t>Efficace et fonctionnel Brosse à daim agréable en main efficace et fonctionnelle Je la conseille sans réserve Beau design Elle fonctionne correctement comme prévu</t>
  </si>
  <si>
    <t>Casque pour pc J’ai acheté ce casque sans fil car j’en ai marre d’entendre la musique de mon fils le soir à fond et pitié pour nos voisins aussi. Il est pliable ce qui est un plus et la connexion se fait en Bluetooth. Il est livré avec le câble et micro c’est bien pratique sûrement, très léger dommage qu’il ne soit pas réglable sur la tête mais il s’adapte bien. Le son est bon, il a l’air solide donc c’est adopté</t>
  </si>
  <si>
    <t>parfait ! Excellente qualité, beau cuir, comme toujours dans la marque Panerai. livré avec des pompes de différentes tailles et l'outil de démontage/montage.</t>
  </si>
  <si>
    <t>le collier blanc argent j'adore ce collier car il est discret mais en même temps voyant sa donne un charme autour du cou géniale</t>
  </si>
  <si>
    <t>Solide Cadeau pour l’enfant d’une amie ! Elle fut ravie. Pour en avoir acheté plusieurs sur internet, je trouve ce modèle solide, de plus il y a une tétine supplémentaire comprise avec.</t>
  </si>
  <si>
    <t>ça vaut le prix ça peut paraître un peu cher aux premiers abords, mais c'est de la qualité !!!</t>
  </si>
  <si>
    <t>Nice Rien a dire</t>
  </si>
  <si>
    <t>compliqué difficile de faire rentrer le stoppeur ds le bracelet j ai failli renoncé bon c est sur un fois en place on a pas très envie de de retirer pour changer les charms donc pas top</t>
  </si>
  <si>
    <t>Pacotille Pacotille</t>
  </si>
  <si>
    <t>Joli coffret mais montre pas top La montre fait bas de gamme sinon le coffret est joli pour offrir</t>
  </si>
  <si>
    <t>très bon produit simple efficace bien présenté ,solide ,petit ,et surtout très utile  je vais certainement recommander la même série  .bien imprimé et bien relié</t>
  </si>
  <si>
    <t>Ras Problèmes cutanés</t>
  </si>
  <si>
    <t>Petit mais costaud ! Aspirateur portable assez puissant avec son aspiration cyclonique. Son système d'accrochage au mur permet de toujours l'avoir à porter de main et en plus sans fil …. Idéal entre deux passages du gros aspirateur.</t>
  </si>
  <si>
    <t>Reçu rapidement cartouche bien niveau rapport qualité prix</t>
  </si>
  <si>
    <t>A utiliser avec parcimonie et  pas pour tous les vetêments Première utilisation . Le linge est propre et sens très bon. Mais je m'interroge pourquoi ne pas utiliser pour les produits délicats comme la laine et la soie? C'est pourquoi je n'ai pas mis toutes les étoiles. Je vais suivre les autres lessives pour compléter mon avis .</t>
  </si>
  <si>
    <t>Taille un peu grand Livraison rapide. Légèrement grand mais produit impeccable</t>
  </si>
  <si>
    <t>Splendide !! De la bombe !!! Je prends mon pieds à chaque utilisation. On dirait que le son sort de la tv et non du casque. Superbe effet. On ne ressent vraiment pas la sensation d'un son sortant d'un casque. Même à fort volume celui ci reste audible, de qualité avec des basses bien presentes et de qualité. Qualité de l'ensemble parfaite. Grand plus, les batteries sont de "simples" piles rechargeables (via la base) et donc amovibles et remplaçables. Vraiment très content de mon achat avec un prix canon</t>
  </si>
  <si>
    <t>Excellent Installation extra simple. Casque très léger et confortable. Atténuation du bruit efficace. Qualité sonore vraiment impressionnante. Les basses sont très présentes même sans le bass boost. Si vous mettez le son fort pour une première écoute, vous allez vous coller les tympans au cerveau....Très bonne tenue des piles en utilisation intensive, plusieurs heures d’écoute en continue (+ de 6 heures sans chute de performances).</t>
  </si>
  <si>
    <t>parfait c'est le deuxième que j'achète, un pour la maison et un pour le bureau! il fonctionne très bien et la diffusion des huiles est parfaite. l'utilisation est très simple et il ne fait pas de bruit. je l'utilise tous les jours depuis 6 mois je recommande ce produit</t>
  </si>
  <si>
    <t>Nickel Livraison rapide ce biberon et sa tétine sont top pour les bébés !</t>
  </si>
  <si>
    <t>Bonnes chaussures J'ai acheté ces chaussures pour un usage professionnel agricole. Les chaussures sont assez souples après une journée ou deux et elles sont assez basses ce qui me convient parfaitement.</t>
  </si>
  <si>
    <t>Bonne qualité Bonne qualité pour le prix</t>
  </si>
  <si>
    <t>Beau cadeau J'ai offer cela a un ami, Il est content, il m'a dit que c'est bien. merci</t>
  </si>
  <si>
    <t>Conforme à la description Prendre une taille en dessous , je l'avais lu dans les commentaires , j'ai pris un 40 au lieu d'un 41 c'est parfait . Les lacets satinées glissent un peu . Les autres parfait .</t>
  </si>
  <si>
    <t>Super rapport qualité prix Super montre, bon rapport qualité prix</t>
  </si>
  <si>
    <t>en plastique certes, mais un look surprenant style chromé années 80 Ce grille pain a toutes les fonctions ordinaires qu'on peut en attendre: chauffe croissant, chauffe normale, décongélation et chauffe. Passons là dessus.  Pour le reste, c'est un peu surprenant. Il a un look très élégant mais quand on le soulève c'est du trompe l'oeil. C'est du plastique. Par contre au regard il fait chromé et vraiment classe. J'avais un vieux grille-pain en plastique alors il fait du plus bel effet.  Il peut recevoir des tartines jusqu'à 2,5 cm  d'épaisseur et en gros un grand format carré. Il y a 6 puissances de chauffe différentes.  Le design est clairement indiqué comme un plastique avec un look élégant donc c'est sans surprise. Je trouve que le look fait un peu années 80. C'est franchement assez bluffant.</t>
  </si>
  <si>
    <t>Super Super produit</t>
  </si>
  <si>
    <t>Je recommande Pull de qualité , taille très bien</t>
  </si>
  <si>
    <t>Au top ! Super satisfait J'ai attendu 3 mois pour voir si le produit n'allait pas se dégrader avant de poster mon évaluation et franchement j'ai jamais été aussi satisfait. Le confort est au top la pointure est parfaite et c'est du solide ! bon investissement pour les petits peutons ^^</t>
  </si>
  <si>
    <t>Très pratique Très pratique pour le bureau, produit correspondant à ce que je recherchais. Je suis satisfaite de mon achat. Livraison rapide.</t>
  </si>
  <si>
    <t>Bracelet compatible SUUNTO Ambitz 2 Montage très facile et pratique avec l'outil fourni ainsi que ses vis, ce qui nous permet de repartir avec des vis neuves pour ce nouveau bracelet, douce attention. Le toucher et la texture de ce bracelet silicone sont très agréables. En revanche il semble moins "solide" que celui d'origine. Le passant sensé gardé le bracelet en place ne rempli pas son rôle correctement, le bracelet "sort" durant l'effort, non grave certes mais dérangeant.</t>
  </si>
  <si>
    <t>Manches trop courtes Manches trop courtes par rapport a la taille. N'est pas 100% cotton, comme dans la description.</t>
  </si>
  <si>
    <t>Plutôt déçu. Assez déçu par ces écouteurs. La mousse n'est pas si confortable, j'ai perdu une oreillette au bout de qqs semaines. J'ai remplacé avec d'autres que j'avais. Lors de mes appels, mes interlocuteurs me disent qu'ils m'entendent très mal. Je ne recommande pas.</t>
  </si>
  <si>
    <t>Innapropriee a long terme J'utilise ces chaussures sur mon lieu de travail. Mais les porter toute la journée, sans voute plantaire; les pieds chauffent et j'ai des douleurs dans les jambes  jolies chaussures mais peu confortable à long terme</t>
  </si>
  <si>
    <t>Il a (preque) tout pour plaire sauf le plus important (le son) Après des heures à rechercher le "meilleur" casque BT (s'il existe), je me décide enfin à prendre le Backbeat Pro 2 suite aux avis quasi-unanimes.  Honnêtement cela a été une grosse douche froide à la réception. J'ai absolument détesté le son qui m'a paru parfaitement plat voir très désagréable. Le son plat : les musiques que j'avais l'habitude d'écouter que ce soit métal (death, nu, etc.), électronique (downtempo, synthwave, etc.), ont grandement perdu en dimensionnalité. Ceci principalement dû à des basses assez dégueulasses qui étouffent les médiums. L'effet est des basses trop fortes, peu précises : comme si vous aviez l'oreiller coller à la membrane d'une grosse enceinte sur pied. On sent la "membrane" vibrer inlassablement même quand les lignes de basses doivent être fines et précises. Alors que beaucoup de musiques jouent sur la localisation des sons (droit/haut/bas/haut) dans les médiums et dans les aigus, le souffle des basses empêche réellement de prendre le plaisir de "voir" le son se déplacer cacher derrière ce mur gras.  Désagréable: Et pour moi cela à provoquer des gros maux de tête (une première). Ces maux sont encore plus fort avec la suppression active du bruit ambiant car les basses sont encore plus fortes et appuient violemment sur les tympans même quand la ligne de basse est sensée être effacée.  Pourtant et après une longue hésitation, je vais garder le casque... Pourquoi ? - Premièrement car notre cerveau s'adapte au timbre. Donc même si je peste encore par ces basses dégueulasses sur mon smartphone android (auquel je n'ai pas trouvé d'équalizer digne de ce nom), mon cerveau filtre les basses par habitudes et je réussis par entrainement à retrouver les médiums. -Sous windows, j'ai bien améliorer cela en installant EqualizerAPO+Peace sur Windows (en mettant un profil réduisant -6-3dB les basses, augmentant +3-6dB vers 166Hz pour retrouver la profondeur et les aigus &amp;gt;16khz pour la précision).  Mais surtout pour ses autres qualités qui pour mon utilité étaient exactement ce que je recherchais: - Une grande autonomie (24h sans soucis) - Une multi-connexion BT (PC windows + android tout le temps sans problème) - Une des meilleures réduction passive de bruit que j'ai connu (la réduction active étant réellement pâle en comparaison). - Extrêmement confortable, équilibré et plutôt esthétique (question de goût et taille de tête).  Donc après une très mauvaise première impression, j'apprends doucement à vivre avec. J'ai toujours quelques maux de taux après plusieurs heures d'écoute. Je déteste toujours certaines morceaux de musiques défigurés par les basses et par certains livres audios qui sonnent comme si l'acteur parlait dans un haut parleur de supermarché mais bon...  Si j'avais plus de temps et d'argent, j'aurai surement renvoyé le casque et cherché un son qui me convient mieux sur cette gamme de prix mais je vais m'adapter. Au moins, j'espère que cet avis vous sera utile car on est vite noyé sur l'effrayante unanimité d'avis positifs et trop peu mise en avant des défauts de ce casque.  Finalement, je vais conclure sur quelques bugs et mauvais designs qui justifieront cette note moyenne : - les capteurs pause/lecture automatique quand vous soulevez le casque marchent mal. Quand je me couche dans mon lit, il y a mauvaise détection très souvent rendant le son saccadé. - quand vous avez deux BT connecté (PC+android par exemple), l'entrée de l'une est très souvent perturbée par l'entrée de l'autre. Exemple : je déconnecte un des appareil (qui n'émet pas de son) et j'ai des saccades sur la musique pendant 10 secondes le temps que la deconnexion soit effective. même chose durant la connexion. C'est très embêtant car je m'éloigne souvent de mon PC au boulot en écoutant la musique sur android. - les boutons (volume notamment) sont nazes : imprécises, s'activant parfois au moins contact (col de manteau, oreiller).</t>
  </si>
  <si>
    <t>Bonne taille pour enfant Pour que ma fille puisse écouter sa musique ou des films tout en restant vers nous.</t>
  </si>
  <si>
    <t>Son ok Fonctionne bien mais à l'air fragile pour les enfants, faire attention en le pliant</t>
  </si>
  <si>
    <t>Paire de basket en bon état général Paire de Basket que je cherchais depuis longtemps cependant le daim était dej un peu usé par endroit mais rien de méchant, surtout pour le prix .</t>
  </si>
  <si>
    <t>Robe sans manche très agréable Je l'avais en coloris noir et l'ai commandée aussi en bleu. La robe est doublée et la coupe est parfaite (même si on a quelques formes, et pas besoin de prendre une taille au dessus). Le tissu est un peu épais mais la robe est agréable même s'il fait très chaud. Elle se lave facilement, et pas besoin de repassage (il suffit de la faire sécher sur un cintre).</t>
  </si>
  <si>
    <t>Conforme Conforme à l'utilisation, petite taille dommage.</t>
  </si>
  <si>
    <t>Rien d’autres Pratique</t>
  </si>
  <si>
    <t>Qualité supérieure Parfait répond tout à fait à ma demande la qualité est là, ma fille est ravie, alors n'hésitez pas Merci</t>
  </si>
  <si>
    <t>Super qualité Super chaussettes, aérée comme il faut. Leur qualité est exceptionnelle. J'en avait achetée il y a quelques années et elles n'ont pas bougé après un nombre impressionnant de portage et de lavage. Bravo à Head de maintenir ce produit incomparable avec tout ce qui existe par ailleurs sur le marché des chaussettes de sport. Enfin un produit durable. Merci pour la planète et pour notre confort !</t>
  </si>
  <si>
    <t>Étanchéité ok Très pratique pour transformer le bibi en petit pot!</t>
  </si>
  <si>
    <t>Bon produit Bonne qualité à un prix très serré. Dans mon cas, ils s’adaptent parfaitement quand je cours , le son est correct. Je vais l'acheter à nouveau sans aucun doute !</t>
  </si>
  <si>
    <t>Top Leger....robuste..</t>
  </si>
  <si>
    <t>tres bien mais trop grand ce produit est tres utile  et pratique ( réutilisable) lorsque j'ai mal au dos. Par contre sa grande taille n'est pas pratique pour le chauffer au micro onde. J'aurai du prendre la taille en dessous</t>
  </si>
  <si>
    <t>Parfait. C'est qui je besoin .un parfait cadeau de Noël  pour  mon petit amie .!!!mdr mdr mdr mdr mdr mdr mdr</t>
  </si>
  <si>
    <t>Parfaite Bouilloire très bien faite, thermostat précis et chauffe rapide.  Elle est un peu chère par rapport à d'autres produits, mais la différence est justifiée par la qualité du produit.</t>
  </si>
  <si>
    <t>Nikel Produit qui est vraiment de bonne qualité ! Notre bébé n'a aucune colique. Se démonte complètement donc extrêmement facile à nettoyer. Le tétines sont très solide. Bref c'est vraiment nikel ! Merci</t>
  </si>
  <si>
    <t>Parfait! Je me le suis achetée car il était vraiment très joli! je ne regrette absolument pas mon choix, je le porte même dans l'eau et ça ne craint pas. Le collier et le pendentif sont de très bonnes qualités !</t>
  </si>
  <si>
    <t>Super casque ! Je recommande ! A la recherches d'un casque bluetooth ANC, je me suis renseigné sur plusieurs produits et je me suis arrêter sur celui ci suite aux différents avis que j'ai pu lire dessus. Il faut dire que je n'en suis pas déçu ! Il est très confortable, agréable à porter (même sur une longue durée). La mousse est assez épaisse, elle contourne parfaitement mes oreilles. La réduction du bruit est très impressionnante et est excellente ! (testé en avion, train et en espace de travail, co-working) La qualité du son est satisfaisante, les parasites trouveront toujours quelque chose à redire mais le casque reste très bien. Son autonomie est plus que respectable je ne l'es pas encore amener au bout entre deux charges mais je ne me suis jamais inquiété de savoir sa ténacité dans le temps. Sa connexion en bluetooth est très simple et est reconnu très facilement et très rapidement par mon iPhone. Elle est stable et permanente contrairement à certain casque. Pour conclure depuis le temps que j'hésite à prendre ce genre de produit mon seul regret est de ne pas l'avoir acheter plus tôt.</t>
  </si>
  <si>
    <t>Très bien Les sacs sont épais et bien plus solides que les sacs que j'avais l'habitude de prendre; il semblent également un peu plus grand que mes 20l traditionnels et la fermeture tellement plus agréable le tout pas vraiment plus cher. Satisfait de mon achat.</t>
  </si>
  <si>
    <t>Biberons mam Tres bon produit !</t>
  </si>
  <si>
    <t>Ressemble montre enfant Un ecran Très fin pour un adulte ressemble plus a une montre enfant. Je l offrirait donc a un enfant au lieu d un homme</t>
  </si>
  <si>
    <t>à éviter !! Après 3 semaine  d'utilisation la semelle est usée anormalement (plus de cran+ semelle déchiré ) en plus elle se décolle. Déformation de la chaussure et de la forme du pied !! Ne vaut vraiment pas le prix qu'ils les vendent . à ne pas acheter. Une simple arnaque vendu au prix fort . Merci au gérant amazone de retirer ce type de produit de leur store !</t>
  </si>
  <si>
    <t>JE NE RECOMMANDE PAS CE PRODUIT S'USE TRES VITE ET SE CASSE FACILEMENT ET PAS TRES PRATIQUE AU NETTOYAGE DES BIBERONS CA NETTOIE PAS CORRECTEMENT</t>
  </si>
  <si>
    <t>Bien Utilisation personnelle Un peu petit par rapport aux photos</t>
  </si>
  <si>
    <t>A la fois pratique mais... Quatre étoiles car le diffuseur est très pratique d'utilisation,  presque silencieux, mais pour l'instant je n'arrive pas vraiment à doser les huiles, comme dans mon ancien en verre ( on versait les huiles pures); là, le mélange avec l'eau comme indiqué ne me convaint pas à 100 pour 100; qu'il fasse brumisateur aussi est un plus  ( d'où les quatre étoiles) mais je cherche encore sans avoir a verser ma bouteille d'huile entière, comment doser au mieux le rapport huile/eau; peut être que cela aurait été intéressant à indiquer dans la notice : tant de gouttes pour tant de millilitres pour obtenir tel ou tel résulat, car je tâtonne pas mal.... et je trouve qu'au final, les parfums des huiles sont tronquées; mais je reviendrai modifier mon commentaire si j'arrive à obtenir ce que je désire !</t>
  </si>
  <si>
    <t>oreillette bluetooth Je suis bluffé qu'une oreillette si petite et sans fil puisse donner une si bonne qualité de communication téléphonique. Car c'est bien son utilisation primaire. On peut évidemment écouter la musique de son portable, mais on n'aura pas la qualité des écouteurs MPOW que j'ai achetés. Ici,  les basses saturent vite en écoute musicale. Il faut donc jouer avec un equalizer. La batterie tient longtemps; je l'ai utilsé 3 heures en écoute musicale et elle n'est toujours pas vide (6h sont annoncés) Dommage qu'il n'y ait pas de réglage de volume sur l'oreillette. Le chargeur est aussi minuscule et aimanté, bonne idée</t>
  </si>
  <si>
    <t>Parfait Comme d’habitude reçu dans les délais 👏🏻Très belle montre pratique et simple d’utilisation avec tous ce qu’ il Faut pour régler le bracelet petit bémol une notice en français serait la bienvenue pour le réglage du bracelet c pour ça que j’ai mis 4 étoiles ⭐️</t>
  </si>
  <si>
    <t>Très correct Après avoir fait roaccutane j'ai une peau extrêmement sèche et fragile, je ne supporte que très peu de produits.  On commence par nettoyer le visage avec notre savon habituel, j'y vais très doucement sur cette étape car juste de me passer du savon hydratant bio et tout ce qui faut j'ai la peau qui tiraille horriblement après. Ensuite on met le masque, pas très facile à déplier, on s'en met partout ...  Il tient bien en place et ne bouge pas trop, ça picote un peu au début, mais pas longtemps, on le retire 15min après, on enlève l'excédent avec un coton. là la sensation n'est vraiment pas agréable : ça colle ... Au point d'effriter le coton sur le visage, cette sensation reste pendant 30min au moins avant la peau absorbe le reste. Ce qui est dommage c'est la quantité de produit qui reste dans le paquet en retirant le masque, ça donne envie de s'en resservir deux ou trois fois ...  Sans quoi effectivement la peau est bien hydratée et hyper douce, c'est agréable ! Je suis donc relativement satisfait par ce produit, chose rare avec ma peau !</t>
  </si>
  <si>
    <t>Très bien Très bonne basket comme des chaussons je recommande bon rapport qualité prix</t>
  </si>
  <si>
    <t>Rapport qualité prix Sans  commentaire</t>
  </si>
  <si>
    <t>Produit conforme Très bien</t>
  </si>
  <si>
    <t>Parfaite! Lampe achetée pour la chambre de ma fille qui est ravie. Éclairage tactile modulable 3 niveaux pour travailler et veilleuse à la couleur de votre choix pour les enfants qui ont peur du noir. Matériaux de qualité, finitions soignées. Rien à redire. C'est parfait!</t>
  </si>
  <si>
    <t>Même plus cher il n'y a pas mieux !!! C'est rare quand je suis autant satisfaite d'un achat, c'est pourquoi j'ai tenu à prendre le temps de mettre un commentaire. Après un mois d'utilisation le bilan et claire: cette bouilloire est tout simplement parfaite ! Chaque détail a été conçu avec beaucoup d'intelligence et de sens pratique:  Son poids à vide est léger et la matière tout inox inspire confiance., bonne prise en main même rempli à bloc. Très bonne visibilité du niveau d'eau avec large choix de la quantité d'eau à chauffer: de une tasse à une grande casserole pour chauffer l'eau des pâtes ou d'une bassine pour passer la serpillière. Choix de la température précise souhaitée ultra simple à programmer avec l'avantage de garder en mémoire le dernier choix qui sera proposé en premier. Visualisation de la température de l'eau en temps réel avec possibilité de retirer la bouilloire à tout moment. Après la chauffe il suffit d'appuyer sur un bouton pour maintenir indéfiniment l'eau à la même température. Bouilloire très puissante qui chauffe à 100 degrés en un clin d'œil. Un très court petit bip signale que l'eau est arrivée à  la température demandée. Nettoyage ultra facile que ce soit à l'extérieur ou à l'intérieur grâce à sa résistance cachée. On peut même faire cuire des légumes directement dans la bouilloire. En conclusion même deux fois plus cher je n'ai pas trouvé mieux.</t>
  </si>
  <si>
    <t>Extra ! Alors que dire de ses écouteurs ! Premièrement commander du lundi reçu le mardi en moins de 24 heures 👍  Le packaging est sobre propre et vraiment quali.  Passons aux écouteurs le son est vraiment très propre aucun décalage facile à appareiller sur son téléphone ou autre en bluetooth. Ils sont juste parfait.  Le boîtier de chargement reste vraiment très petit et très facile à transporter.  Pour le prix c'est vraiment juste extra ! 👍☺️ Vous pouvez y aller les yeux fermés le rapport qualité-prix es vraiment super !  Et que dire du service client qui est vraiment plus qu'au top et répond à toutes vos questions ! J'ai eu affaire à la même personne du début à la fin, et c'est vraiment un plaisir d'avoir un service client aussi à l'écoute et qui prend même des nouvelles de ses clients ☺️ Merci a V" spécialiste produit klim qui a été au top 👍</t>
  </si>
  <si>
    <t>Au top !!! Super beau bleu, la taille correspond nickel. La matière est très agréable. Chaude, parfaite pour automne / hiver. Je recommande a 100% mon achat. Je suis très satisfaite.</t>
  </si>
  <si>
    <t>chaussures TBS super j'avais déjà , mais comme j'avais besoin de renouveler j'ai essayé de commander sur AMAZON bien m'en a pris c'est exactement ma pointure . petit bémol la couleur n'est pas respectée (j'ais commander bleues marine et j'ai reçu grises ) mais elles me vont tellement bien que je garde ! et décidé que la prochaine fois je recommanderai les mêmes mais marines cette fois ( je compte sur amazon pour ne plus se tromper sur la couleur ) et merci pour votre rapidité de livraison fidel client je suis et client je resterai</t>
  </si>
  <si>
    <t>Adapté comme prévu Oui j’ai aimer</t>
  </si>
  <si>
    <t>très bon produit ! parfait comme micro directionnel. c'est léger et très professionel. il est un peu fragile, donc il faut faire attention quand on transporte le matériel</t>
  </si>
  <si>
    <t>Joli rendu Je les ai acheter pour offrir, le cadeau à beaucoup plus! Les couleurs sont vivent et vraiment jolies :) Je recommande</t>
  </si>
  <si>
    <t>Parfait Taille grand mais je le savais déjà donc j'ai pris un S alors que chez d'autre marque je mets du M, mais je me référence toujours au guide des tailles sur le site de la marque pour ne pas me faire zvoir,  a part ça c'est de la qualité, j'ai jamais était déçu chez Nike</t>
  </si>
  <si>
    <t>C'est un casque à couper le soufle C'est un casque excellent avec de la bonne bass. Très bon confort qui cache tout les petit bruit. J'ai été abasourdi quand je l'ai tester. C'est vrai qu'il est un peu chère mais il faut savoir que c'est un très bon casque JBL et que sa vaut le coups.</t>
  </si>
  <si>
    <t>Très bon appareil Super rapport qualité prix Kit pochettes de démarrage fourni. Rapide , efficace , fiable</t>
  </si>
  <si>
    <t>Très bien Conforme à la demande</t>
  </si>
  <si>
    <t>Chaussures kappa Oeillets qui se détachent de la chaussure dommage au bout de 10 ou 15 fois que je les met</t>
  </si>
  <si>
    <t>ne marche pas La montre a arrêté de fonctionner après seulement 2 jours .. argent jeté.</t>
  </si>
  <si>
    <t>Moyennement satisfaite Pour des documents textes, l'impression est correct même si l'encre est assez fluide et le niveau a tendance à descendre vite. Pour les impressions photos, sont à éviter en raison de l'encre qui n'est pas de bonne qualité et est trop fluide. Oh précision, ce pack est présenté comme adapté aux photos. Ce n'est pas le cas d'où ma note. Il y a 5 cartouches d'encre et rien de plus. Déception...</t>
  </si>
  <si>
    <t>sympa mais un peu juste au niveau taille sympa mais un peu juste au niveau taille</t>
  </si>
  <si>
    <t>pratique et design C’est un beau grille-pain qui se distingue par sa forme un peu carrée et son esthétisme très réussi. Solide et bien fini, il n’encombre pas le plan de travail car il est relativement compact. Il est pourvu d’une double fente permettant de griller aisément des petits pains coupés en deux sur la largeur ou deux grosses tranches de pain de mie et d’une grille pour chauffer les croissants. Il est également équipé d’une fonction permettant de lever le pain mais aussi de la fonction « Lift and Look «  qui permet de vérifier en cours de fonctionnement le degré de brunissage du pain, c’est très pratique et il permet d’utiliser du pain congelé grâce à sa fonction décongélation. Ses possibilités sont très complètes et l’ensemble est solide et bien fini, c’est parfait pour les petits déjeuners. Le design est très réussi et c’est important car c’est un appareil qui reste en permanence sur le plan de travail de la cuisine.</t>
  </si>
  <si>
    <t>Très confortables, semelles bien isolantes. Tennis agréables à porter au jardin comme dans la rue, bien taillées, les pieds épais ne sont pas serrés et c'est appréciable... Seul défaut : la démarcation entre le caoutchouc blanc et la toile bleue n'est pas nette, le blanc "bave" un peu sur le bleu.</t>
  </si>
  <si>
    <t>Pas cher peut contenir un ordinateur de 12p  et d'autre document pas mal! Un peu trop grand pour moi mais stylé</t>
  </si>
  <si>
    <t>Legging de bonne qualité Pour le prix le legging est de très bonne qualité agréablement surprise. Il taille correctement et serre bien au niveau des cuisse et des fesses prendre sa taille habituelle. Je fait 1m65 et la longueur est parfaite (pas trop courte). Il n'est pas transparent et à une épaisseur parfaite pour ne pas voir les coutures de culotte. Les poches latérales sont très pratiques lors de la pratique d'un sport comme par exemple le tennis ou bien tout simplement pour mettre des papiers ou le portable qui tiennent dedans. Il y a également une petite poche intérieur au niveau de la ceinture.  Le seul bémol est le frottement au niveau des cuisses qui fait un léger petit bruit mais rien de bien gênant. Et la partie qui est sur le ventre (legging taille haute) qui lors de mouvement telle que courir roule sur elle même donc mauvaise tenue de la ceinture. Personnellement ça ne me dérange pas et je recommanderais ces leggings car j'aime beaucoup cette matière qui me fait penser au mien que j'avais acheté aux Etats-Unis.</t>
  </si>
  <si>
    <t>Que l ont trouvé tout sur votre  site Bon produit</t>
  </si>
  <si>
    <t>une bonne resistance les feuilles retiennent bien les selles et se lavent plusieurs fois qd elles n'ont que du pipi, elles sont tres resistantes</t>
  </si>
  <si>
    <t>Parce que MAM n'a pas le monopole des tétines plates.. Bien avant la naissance de mon fils je voulais des biberons avec tétines plates. Sur le marché nous n'avions pas l'embarras du choix, seul MAM proposait ce type de produit. Mais voilà il faut encore aimer les biberons MAM et ce n'est pas mon cas! bien trop de pièces a nettoyer du fait que le fond  du biberon soit amovible, au total se sont 6 pièces à nettoyer. De plus je n'ai eu que de mauvais retours puisque s'ils sont mal vissé ils fuient... Alors forcement quand Dodie (marque que j'affectionne tout particulièrement) a sorti des biberons à tétines plates en deux clic ils étaient commandés!  Après 5 mois d'utilisation intensives du petit moyen et grand modèle je n'ai que des points forts à citer:  - Le lait ne coule jamais le long du cou de mon petit - Si l'on choisi la bonne tétine la vitesse est parfaite - Ils ne nettoient facilement - Tétines solides, ne se deforment pas lavage après lavage (et je peux vous assurer que le goupillon n'est pas ménager chez nous) - ne roule pas sur le sol quand ils tombent - Des couleurs sympas - un prix abordable</t>
  </si>
  <si>
    <t>Regalé tout mes matin Jolie et pratique.</t>
  </si>
  <si>
    <t>Parfait J'en suis ravie au départ ils paraissent tellement petit que j'ai eu peur de ne pas pouvoir l'enfiler. Mais non il s'adapte parfaitement et tient bien la poitrine. J'ai eu d'autres marques qui ne maintenaient rien du tout et de pire en pire au fil des lavages. Je le recommande sans hésitation. J'ai d'ailleurs l'intention d'en acheter d'autres le prix est aussi très attractif.</t>
  </si>
  <si>
    <t>Satisfaite Plastifieuse de bonne qualité, plusieurs accessoires fournis. Mise en marche facile, et utilisation rapide.</t>
  </si>
  <si>
    <t>sweat large sweat a capuche confortable. Il est ample et doux. A la première utilisation il lâche quelques peluche qui s’arrête après lavage.</t>
  </si>
  <si>
    <t>Facile d'utilisation. J'ai offert ce micro à ma fille pour ses 4 ans et j'avoue avoir été très agréablement surprise par sa qualité et ses fonctions. Le micro est de bonne qualité et le sons rien a dire. Ça reste un gadget mais vous pouvez vraiment vous amuser en sortant ça, Bien plus qu'un jouet même suffisamment résistant pour être utilisé par des petits.</t>
  </si>
  <si>
    <t>Ecouteur connecte Bon produit tres jolie mon fils aime Facile à connecter</t>
  </si>
  <si>
    <t>rien a dire ! très bon achat  j'ai pris la taille habituelle 45, article reçu, ni trop petit ni trop grand !  je méfie beaucoup d'habitude, et là très bonne surprise !</t>
  </si>
  <si>
    <t>Très bon micro. Utilisation en extérieur . Le micro fonctionne bien . Très bon rapport qualité prix.</t>
  </si>
  <si>
    <t>Recommande Ce produit est totalement magnifique de très bon qualité prix je le conseille fortement mon amie était très heureuse de l'avoir</t>
  </si>
  <si>
    <t>Montre top ! top pas de pile ce remonte grâce au mouvement. Design sympa et actuel, livré avec un bracelet (cadeau d’une vendeur ) et un appareil pour le réglage du bracelet. A ce prix là ne pas hésiter 😅</t>
  </si>
  <si>
    <t>Bon produit Bon produit. Matière bien épaisse et agréable. Je recommande :)</t>
  </si>
  <si>
    <t>Super tee shirt Très bon article</t>
  </si>
  <si>
    <t>calendrier bloc éphéméride le bloc éphéméride livré ne semble pas être un bloc exacompta, l'impression est trop claire, pas assez lisible! non conforme à la photo de présentation.</t>
  </si>
  <si>
    <t>Produit en panne après quelques utilisations. Au début, le produit semble correct mais après quelques cycles de rechargement, il ne fonctionne plus!</t>
  </si>
  <si>
    <t>Zip de mauvaise qualité Très déçu vue le prix le zip défectueux au bout de 3mois j'espère que le service client sera de qualité pour un échange car inacceptable pour un produit de la gamme lacoste .</t>
  </si>
  <si>
    <t>Attention, ça chausse grand ! Je chausse habituellement du 42 mais avec ces baskets c'est trop grand. Je viens de les renvoyer, je pense que je vais racheter une paire en 41. A part ce souci de taille, elles ont l'air très confortable.</t>
  </si>
  <si>
    <t>bien mais il y a plus esthétique Ces soutiens gorge sont agréables et confortables néanmoins leurs bretelles sont très larges (et je suis pas très grande donc ça tasse). J'ai trouvé plus esthétique (avec des bretelles plus fines).</t>
  </si>
  <si>
    <t>Design sympa prise en main facile Biberon vite pris en main par mon fils attention cependant le débit de la tétine est très rapide et il s amuse a vider son biberon en le tenant a l envers ;-)</t>
  </si>
  <si>
    <t>Conforme à la description Conforme à l attente et la description.</t>
  </si>
  <si>
    <t>très bien Indispensable en voyage. Fonctionne très bien et chauffe très vite. Malheureusement un peu lourd et le fil trop court, il faut que je trouve une petite rallonge pour le prochain voyage.</t>
  </si>
  <si>
    <t>Conforme Sympa mais manque de régidité</t>
  </si>
  <si>
    <t>Ras Pull conforme à la photo</t>
  </si>
  <si>
    <t>rapide!!!! chauffe bibi très rapide et efficace pour un tout petit prix! convient à tous les formats de biberons et chauffe 150m en 2 minutes!</t>
  </si>
  <si>
    <t>Cafetiere tres bien.livrer rapidememt come prevue.tres belle .fonctionne super. Cafetiere tres belle.fonctionne super.come sur la photo.livree come peu.tres satisfaite.tres bien emballee.</t>
  </si>
  <si>
    <t>Baskets top Très jolies baskets confortables, fines et féminines.</t>
  </si>
  <si>
    <t>Petit sac J ai acheté ce sac pour travailler tous les jours je prend le train super petit sac avec plein de rangement très pratique à l’air solide à voir dans le temps jolie couleur je recommande fidèle à la description reçu très rapidement</t>
  </si>
  <si>
    <t>Satisfait TETINES DODIES RONDES 3 VITESSES  : Reçues en debit rapide (vitesse 3) et debit liquide épais (vitesse 4) La qualité de la marque est bien là, les tétines sont résistantes et dures dans le temps. Les 3 vitesses sur la même tétine permettent de s'adapter plus facilement au débit du bébé.&amp;nbsp;»</t>
  </si>
  <si>
    <t>Discrète et élégante. Bien arrivé en temps et en heure, bien emballé. C'est boucles d'oreilles arrivent dans un bel écrin. Une boîte qui peut servir de rangement, de présentation, parfait pour offrir. Il y a la marque du produit écris en argent dessus.  À l'intérieur on retrouve les deux boucles d'oreilles, qui sont magnifiques, leurs​ designs est vraiment réussi. Discrète et élégante, avec une forme originale. Les pierres dessus ont un très beaux reflets.  Les matériaux utilisés ne sont pas les plus nobles, Mais son de très bonne qualité. Ma femme en est très satisfaite, voilà des boucles d'oreilles d'un bel effet à offrir avec sa boîte, pour un prix contenu.</t>
  </si>
  <si>
    <t>Cafetière rétro Très jolie cafetière,fonctionne très bien,le café est savoureux.Le look de cette cafetière est original et la teinte est tout à fait assortie à la décoration de ma cuisine</t>
  </si>
  <si>
    <t>agréablement surprise produit conforme et agréablement surprise, très contente de mon achat, c'est un cadeau de noel bien emballé dans une housse marron</t>
  </si>
  <si>
    <t>Ils sont parfaits !! Génial !! Je les adores !!</t>
  </si>
  <si>
    <t>Parfait Super produit</t>
  </si>
  <si>
    <t>bon produit bon produit</t>
  </si>
  <si>
    <t>Does exactly what it is supposed to Highly practicle when travelling in places where no kettle is available. Be careful about the type of container used with the thermoplongeur. The resistence is quite long so tend to touch the bottom of the container.</t>
  </si>
  <si>
    <t>Sympatique Bien recu joli colorie jeux de lumiere sympas pas de notise en francais mais on joue un.peu avec les boutons et on comprend assez vite</t>
  </si>
  <si>
    <t>perfecte sport bh Maat is precies goed, zit wel strak, maar dat moet ook zeker bij het hardlopen, anders bewegen ze nog teveel mee.</t>
  </si>
  <si>
    <t>Très bonne qualité ! Très bonne qualité !</t>
  </si>
  <si>
    <t>Odeur forte et tenace Les chaussons sont confortables et taillent effectivement petits (je chausse du 41 en chaussures de ville, du 43 en baskets et le 44 de ces chaussons me convient). En revanche, l’odeur de colle est insupportable. Après plusieurs jours d’utilisation, l’odeur me monte toujours à la tête ainsi qu’à mes proches. Pour vous donner une idée, l’odeur est plus prononcée que l’odeur d’une bouteille de dissolvant à ongles ouverte. C’est très désagréable.</t>
  </si>
  <si>
    <t>Un mode d'emploi en français Je ne peux pas employer ce produit pas de mode d'emploi en français</t>
  </si>
  <si>
    <t>Pas bonne qualité pour tableau veleda Sèchent trop vite en 2 jours plus rien !!!!</t>
  </si>
  <si>
    <t>Bon produit Ras. Produit correspondant à ce que je cherchais</t>
  </si>
  <si>
    <t>au top pour les petits ! Je ne regrette pas mon achat ! TOP : la solidité du bois, ils se nettoient très facilement (vêtements, murs, sol, meubles et bouche, mon fils a tout testé !), le choix des couleurs est plutôt pas mal. FLOP : le prix un peu élevé, la mine après le premier taillage n'est plus la même (moins solide, elle perd sa forme)</t>
  </si>
  <si>
    <t>petit et pratique petit sac pratique pour tout les jours pour mettre téléphone, papier, parapluie.</t>
  </si>
  <si>
    <t>Produit de qualité mais petit problème de taille Un produit adapté au fort froid. Une très bonne qualité et des finitions remarquables. Par contre, habituellement je prends une taille M dans cette marque, pour ce produit il m’a fallu une taille S.</t>
  </si>
  <si>
    <t>Confortables Les chaussons sont confortables, souples et légers. Elles tiennent bien chaud. Cependant, taille assez petit. Prendre un taille en plus.</t>
  </si>
  <si>
    <t>5kind hemp active gel Je confirme l'efficacité du gel contre les douleurs , très bon produit ,facile à appliquer , dépourvu de réaction allergique .</t>
  </si>
  <si>
    <t>Des Adidas… Produit classique</t>
  </si>
  <si>
    <t>Excellent produit. Top.</t>
  </si>
  <si>
    <t>Mon nouveau compagnon Il ne va plus me quitter. Aspire très bien entre les lattes du parquet, pools d’animaux, cheveux etc...peu bruyant. Je recommande sans hésiter. Et sachant que je l’ai eu en promo je suis ravie! Merci!</t>
  </si>
  <si>
    <t>Super Un cadeaux qui a eu grand succès.</t>
  </si>
  <si>
    <t>Top. Pas encore grattée mais le coffret et le papier est de bien meilleure qualité que ce que j’espérai.</t>
  </si>
  <si>
    <t>Confortable et chaud Sweet agréable et chaud, convient bien pour la période hiver, il est épais</t>
  </si>
  <si>
    <t>Bien Très facile a nettoyer mais certaines couleurs un peu transparentes dommage, très bien pour les enfants</t>
  </si>
  <si>
    <t>hyper confortable top pour pieds fragiles</t>
  </si>
  <si>
    <t>Parfait Après 5 ans de loyaux services, il me fallait une nouvelle paire de boots. Un peu septique devant le prix alléchant de ces chaussures, je me suis laissé tenter et je ne regrette pas. Elles sont magnifiques et très confortables et sans defaults ( pas déclassées ) Prevoir néanmoins 1/2 voir 1 pointure en moins.</t>
  </si>
  <si>
    <t>bonne qualité tres beau bracelet et de bonne qualité</t>
  </si>
  <si>
    <t>Conforme Arrivée rapidement, carton et emballage en bon état la montre est très bien, et pas aussi grosse que les G-shock habituelles, du coup plus discrète.</t>
  </si>
  <si>
    <t>très joli livre! En tant qu'enseignante de maternelle, je recommande vivement ce livre  qui aborde avec poésie et délicatesse le thème de la différence sur fond de fête de Noël.</t>
  </si>
  <si>
    <t>Du son bien pensé Le paquet est arrivé dans une boite assez grosse, bien calé et bien protégé.  On y trouve la paire d’écouteurs, le boitier de rangement/charge, un sac de transport, 2 paires d’adaptateurs d’oreille en plus, le cable de charge, et une notice multilingue dont le français.  Le produit semble de bonne qualité, les finitions sont jolies et les écouteur paraissent solides.  Le boitier de rangement/charge est assez massif par rapport a d’autres modèles du genre, mais il présente l’avantage d’avoir en plus de sa prise micro USB pour la charge une autre prise USB classique permettant de charger un autre appareil comme le téléphone, et ça c’est cool ! La batterie de 3000mAh permet de voir venir largement. Les écouteurs sont en charge dés leur rangement dans la boite et les voyant affichent l’autonomie restante. Pas d’affichage digital comme sur certains modèles, mais perso ça me semble inutile et énergivore pour rien.  La première connexion se fait très facilement. On choisit de pairer les 2 écouteurs ou juste l’un des 2… Contrairement a l’autre modèle dont je dispose, les protocoles Bluetooth sont distincts (L, R et L+R) si bien que les deux écouteurs peuvent par exemple être utilisés en même temps sur 2 appareils distincts mais proches. Une fois le premier pairage fait, il est automatique dés qu’on sort les écouteurs de leur boite, une petite voix annonce les opérations. Easy.  Le son est très correct sur des écouteurs de cette taille, les basses sont bien présentes et l’ensemble est équilibré. J’écoute beaucoup de musique électronique et même si le rendu n’est pas à la hauteur d’un casque avec de grosses gamelles (forcément), le son est agréable et bien restitué.  Les boutons tactiles demandent un peu de pratique (notamment pour sauter d’une plage à l’autre) mais sont réactifs. Ils font a eux 2 l’ensemble du job : réglage de volume, pause, navigation, prise ou rejet d’appel etc….  Je suis tout a fait satisfait de ce produit pour son prix. Je ne voulais pas mettre un prix de dingue, ni non plus me retrouver avec des trucs chinois premier prix avec un son merdique, je pense que c’est un excellent compromis.</t>
  </si>
  <si>
    <t>Sac tommy Conforme a la photo Super</t>
  </si>
  <si>
    <t>Très bien Chaussures bien arrivées, comme dit plusieurs fois dans les commentaires, assez serrées,  mais elles se détenderont au fur et à mesure. Elles sont peut être un peu plus fluo que sur les photos mais elles sont cool. Mon homme les aime.</t>
  </si>
  <si>
    <t>Pour opération non Salut surtout si c est après une opération mammaire ne l acheté surtout pas le bas tombe plilpoul sur les cicatrice moi j ai enlevé mon bandage pas le choix de le garder pour aujourd'hui mais des demain j en acheté un autre</t>
  </si>
  <si>
    <t>Couverture chauffante Je vous la déconseille le câble a cramé au bout de 2 jours</t>
  </si>
  <si>
    <t>bracelet début rien, au bout de quelques jours bien</t>
  </si>
  <si>
    <t>Qualité bien Produit bien</t>
  </si>
  <si>
    <t>Vraiment très content Vraiment très content du résultat. Ca donne vraiment un bon son. C'est impressionnant moi qui suit débutant de l audio. Incomparable entre le son de l ihone par exemple et ce micro. Vraiment résultat impressionnant. je recommande ce produit</t>
  </si>
  <si>
    <t>Aucune deception C était un cadeau pour offrir</t>
  </si>
  <si>
    <t>Kit indispensable Pour les chaussures en croute retournée c'est impeccable</t>
  </si>
  <si>
    <t>Tres bonne lampe Premier essai de lampe en luminothérapie et j'en suis ravi. Lumiére blanche, homogéne et pas éblouissante. Le seul soucis c'est que mon fils me la piquer... J'en ai commandé une autre chez un concurrent... et je l'ai renvoyée. Je recommande cet achat.</t>
  </si>
  <si>
    <t>convient très bien les chaussons sont très mimi et la taille est parfaite je suis ravie de mon achat et vous recommande complètement cet article</t>
  </si>
  <si>
    <t>cartouche Je préfère les cartouches HP véritables.  J'ai eu des réactions d'allergie avec des  copies moins chères</t>
  </si>
  <si>
    <t>Beau collier Très joli bijou, aux beaux éclats dorés. Ce n'est pas un ras de cou, on peut par ailleurs moduler la taille de la chaîne. Très fin et délicat.</t>
  </si>
  <si>
    <t>Très bonne baskets Achetées pour mon homme qui chausse du 47/48 et qui a du mal a trouver ce qu'il lui faut en magasin. La pointure est parfaite, un 47 assez large, il s'y sent bien dedans. Elles remontent suffisamment derrière le pied et le maintienne correctement. L'amorti est très bon et elles sont plutôt légères. Les couleurs vraiment sympas avec des effets très jolis.</t>
  </si>
  <si>
    <t>Bon appareil Arrivé depuis peu de temps, facile a apairer, le son semble bon. Le système de charge est très bien d'autant qu'il peut servir aussi pour le téléphone.</t>
  </si>
  <si>
    <t>Fonctionnent très bien Ils fonctionnent très bien sur mon tableau pour organiser les repas de la semaine, s'effacent avec un chiffon sec, bref rien à redire! Très bon achat!</t>
  </si>
  <si>
    <t>Bonne accroche Superbe chaussures vraiment le top je le conseille vraiment</t>
  </si>
  <si>
    <t>j'adore! Voilà que je craque de nouveau sur une paire de Kickers ... les basiques s'il vous plait! ma dernière paire remonte à plusieurs années mais lorsque j'ai remis celle ci, je me suis sentie avoir encore mes 14 ans, confortablement installée dans mes kickers, à déambuler dans la cour du collège... nostalgie des années insouciantes !</t>
  </si>
  <si>
    <t>Excellent Très bon sac de qualité.</t>
  </si>
  <si>
    <t>Taille parfaite Coupe très bien ajustée, Confortable +++ Je recommande ce pantalon, Très léger et flexible</t>
  </si>
  <si>
    <t>Bonne taille Ma fille adore confortable parfait</t>
  </si>
  <si>
    <t>CONFORME enveloppes de Belle qualité, conformes à la description, arrivées sans souci et pas abimées. 1+1+1.... le compte y est (ou pas) mais vu le contenu de la boite, j'en ai pour un moment ...</t>
  </si>
  <si>
    <t>C'est le bon Ce soutien est exactement celui qu'il me faut pour enfin faire du sport sans tenir ma poitrine, je suis fidèle à cette marque et j'ai gardé le premier durant 10 ans. Celui-ci est encore mieux que le précédent et parfaitement adapté à toutes activités physique, la poitrine est protégée et surtout on est à l'aise.</t>
  </si>
  <si>
    <t>Bon produit Bonne basse pour des écouteurs</t>
  </si>
  <si>
    <t>Satisfaite, semble très précis Très facile d'installation. Suis très contente de connaitre enfin sans sortir la température à l'extérieur et à l'intérieur d'un seul coup d'oeil.</t>
  </si>
  <si>
    <t>Bracelet trop fragile Bracelet trop fragile</t>
  </si>
  <si>
    <t>du plastique 1er prix cher pour ce bout de plastique qui ne laisse absolument pas respirer le pied, inconfort de la plante des pieds, on sent le moindre caillou et au bout d'une heure, les pieds massèrent dans leur jus.  retour rapide à la poubelle.</t>
  </si>
  <si>
    <t>Casque médiocre Casque à ne pas utiliser que je déconseille.</t>
  </si>
  <si>
    <t>pratique bien pratique pour pouvoir faire ses propres bijoux avec de différents modèles tiens bien en plus aux oreilles très contente</t>
  </si>
  <si>
    <t>Problème de son Acheté le 27 août, il y a 2 jours, j'ai déjà un problème avec le son des écouteurs. Le premier jour le son était parfait, mais aujourd'hui le son est étouffé. Même avec le volume à fond, le son qui sort est extrêmement et anormalement bas. Si vous pourriez m'aider à trouver une solution, sinon je vais devoir le renvoyer :/ J'ai déjà essayé d'utiliser une appli pour amplifier le son, de rallumer/d'éteindre portable et écouteurs mais rien ne fonctionne.</t>
  </si>
  <si>
    <t>Parfait J'adore la couleur, elle correspond complètement à ce que je voulais. J'aurais juste aimé qu'il soit plus épais. Je recommande ce produit.</t>
  </si>
  <si>
    <t>très bien rapide, efficace. Et une qualité de cuir meilleur que ce que je pensais. Ma sœur était ravi de son cadeau</t>
  </si>
  <si>
    <t>Pour une écoute de sons seulement !! J'ai acheté ce casque et il ne correspond pas du tout a mes attentes, voici quelques conseils pour les gens qui hésitent a l'acheter : A acheter si : - Vous voulez un casque très léger et suffisamment solide. - Vous voulez écouter du son dans un environnement normalement bruyant (La réduction de bruit est assez impressionnante le problème c'est que mon oreille droite entend très bien l'effet et j'ai l'impression qu'on me souffle dans l'oreille toute la journée). - Vous voulez profiter d'une écoute avec un casque sans fil (si c'est seulement le son qui vous intéresse je vous conseille néanmoins d'aller chercher ailleurs beyer dynamic par exemple).  A ne pas acheter si : - Vous voulez utiliser le microphone du casque (vous entendez un retour micro dans vos écouteurs et votre interlocuteur entend tout votre environnement). - Vous utilisez le casque principalement avec un ordinateur (J'utilise un logiciel pour émuler du son 7.1 (sur pc le son d'origine est beaucoup moins bon que sur téléphone) et c'est une horreur a configurer et les commandes du casque ne sont plus utilisables).  De plus, l'application permet très peu de paramétrages, le bluetooth Multi point est un gros plus, le partage de musique aussi.  Voila pour moi c'est un retour mais il pourra surement satisfaire les gens qui veulent écouter des sons sans interférences avec un casque très ergonomique et léger.</t>
  </si>
  <si>
    <t>Bon rapport qualité prix Convaincue par les avis positifs j’ai décidé d acheter ce tapis. Il tient ses promesses. Même de petite taille cela suffit pour obtenir les résultats. Ma première expérience: je n’ai ressenti que de la chaleur à la place de me sentir gênée par les picots. Par contre encore difficile de me sentir confortable pour le coussin de la nuque.</t>
  </si>
  <si>
    <t>brosse super pratique cette brosse est trés pratique car elle va dans toute sorte de bibi grâce à sont manche assez grand et c'est poele légerement courbé se qui fait que sa nettoye bien le fond du bibi,j'avais attendu de posé mon avis pour voir si elle durer dans le temps ,et oui elle dure trés longtemps car je l'utilise encore cela fait 3 mois voir plus rien à dire sur cette brosse trés utile ,je la recommande vivement pour les mamans vous ne serez pas déçu du tout ,ainsi que c'est belle couleur ,reçu rapidement aussi.</t>
  </si>
  <si>
    <t>A recommandé à toute les connaissances Le pratique sport coll habillé super. Je pense prendre les autres coloris. Geste commercial les mêmes en bleu Merci Amazone cadeau Papa Noël</t>
  </si>
  <si>
    <t>Joli petit moteur 3,5 cm de long tout compris sur 1 cm de large. Belle petite pièce d'horlogerie livrée bien emballée au moment prévu.</t>
  </si>
  <si>
    <t>Au top ! Très belles baskets. Je les adore !!</t>
  </si>
  <si>
    <t>bonne qualité de son J'en ai pris 2 pour mes 2 enfants. j'avais peur qu'il ne tiennent pas pour les enfants, mais finalement apres un mois d'utilisation je suis satisfait. je vous le conseille vivement. il a été très utile pour mes voyages.</t>
  </si>
  <si>
    <t>Très bon chauffe biberon Excellent chauffe biberon rapide effcicace et facile d'utilisation de plus on peut l'utiliser par la suite également pour chauffer les petits pots.</t>
  </si>
  <si>
    <t>Top Top pour faire sa lessive soit meme. Seul inconvenient c est que c est un article panier plus donc faut 25€ d achat en article plus pour qu il soit envoyé</t>
  </si>
  <si>
    <t>envoie arrivé dans le temps.  très contente Je suis super contente de cet achat. Ma maman a été très heureuse pour son anniversaire</t>
  </si>
  <si>
    <t>Chaussettes de qualité Chaussettes de qualité, confortable et chaude.</t>
  </si>
  <si>
    <t>Niquel Beau coussin confortable et doux ! Simple d'utilisation</t>
  </si>
  <si>
    <t>Très bien Bonne taille très bon produit</t>
  </si>
  <si>
    <t>Chaussure de sécurité Très confortable, seul bémol j'ai eu une chute au travail sur sol mouillé 🙄, dommage qu'elle glisse.</t>
  </si>
  <si>
    <t>sacs sacs poubelles très solides et tres pratique avec ses liens se serrage incorporés! j en rachete a chaque fois que mon stock descend</t>
  </si>
  <si>
    <t>Bonne restitution sonore Bonne restitution sonore très pratique avec ses doubles micros sur un seul jack</t>
  </si>
  <si>
    <t>Pratique Dommage que le flacon soit en plastique. Produit bon. Pipette très pratique et fonctionnelle.</t>
  </si>
  <si>
    <t>Bof Au début j ai été surpris par la qualité mais dans la durée et après quelques lavages des bouloches apparaissent je suis déçu</t>
  </si>
  <si>
    <t>HS après la deuxième utilisation Le premier acheté a fonctionné pendant 4 ans (avec 15j d'utilisation/an). Celui-ci a fonctionné une seule fois. Sans commentaire. Je change de marque.</t>
  </si>
  <si>
    <t>Très très très mauvaise qualité Deuxième montre LIGE, nul, produit de très mauvaise qualité, pour ce modèle le bracelet a tenue 15min, simplement collé, ça vaut rien, de plus une des aiguille est en mode libre, il y a un jeu, donc elle bouge toute seule... Vraiment une grosse déception</t>
  </si>
  <si>
    <t>bijou fantaisie répondant à la présentation faite sur le site petit bijou qui peut faire son effet on peut lire sur le verso le grammage 925 la chaîne maille vénitienne bien que très fine est estampillé Italie l'écrin est très correct.Je peux l'offrir!</t>
  </si>
  <si>
    <t>Bonne qualité Satisfait de ces pochettes. Facile d’utilisation et elles collent parfaitement à la feuille à plastifier.</t>
  </si>
  <si>
    <t>MONTRE HOMME BENYAR je suis tout à fait satisfait de cet achat. Tres belle montre chrono, modèle sport, élégante avec son bracelet couleur camel.</t>
  </si>
  <si>
    <t>Recommender Je ne peux pas imaginer me coucher par une nuit froide sans cela. Je l'allume 30 minutes avant le coucher et je l'éteins quand je me couche. J'ai utilisé plusieurs chauffe-lits au fil des ans et celui-ci fonctionne bien. Si seulement c'était un peu plus long. Je mesure 165 cm et ne réchauffe pas les zones de la tête et des pieds. Recommander.</t>
  </si>
  <si>
    <t>Très bien ! J'ai acheté ce goupillon parce que je connais bien la marque .. Solide ! Couleurs agréables Ça va faire 8 mois que je l'ai et j'en suis pleinement satisfaite</t>
  </si>
  <si>
    <t>Très satisfait de la facilité d'utilisation. Elle est très bien, le seule truc que je n'aime pas trop c'est qu'elle n'a pas de pieds et on est obligé de plus ou moins la tenir car elle glisse facilement. J'ai résolu le souci en collant 4 pieds auto collants. Impeccable. Très satisfait de la facilité d'utilisation.</t>
  </si>
  <si>
    <t>Parfait Super tétine !! Une vraie taille L donc pour le liquide bien épais. Petir prix donc que demander de plus ?! :D</t>
  </si>
  <si>
    <t>belle petite chaussette basse l'été arrive et les chaleurs aussi .. j'ai pris ces chaussettes basses pour garder un peu fraicheur sur les mollets l'été .. lavage effectué après réception en machine RAS ca tient la route .. elle sont fine mais bien élastique , très agréable a porter je recommande :)</t>
  </si>
  <si>
    <t>Simple et si jolie ! J'ai d'abord craqué pour le côté rétro. Elle est superbe. Après, elle fait son job. Chauffe rapidement une grande quantité d'eau. Très simple d'utilisation. Il n'y a qu'à appuyer sur le petit loquet lumineux. J'avais peur qu'elle soit très bruyante... Oui, elle l'est un peu mais ce n'est pas critique. Par contre le corps de la bouilloire devient très chaude. Tenez la bien par la poignée. C'est le seul hic pour moi.</t>
  </si>
  <si>
    <t>Nickel Super bonne affaire</t>
  </si>
  <si>
    <t>Génial Ouah. Utilisé sur un ampli pour chant en salle. Parfait. Voix non déformées, écho parfait, de la patate, le wireless un bonheur de liberté, les deux micros ensembles impeccables. Merci pour ce produit.</t>
  </si>
  <si>
    <t>Joli et très classe J’ai reçu ce bracelet dans une jolie boîte et bien protégé par un film transparent protecteur. Très joli bracelet conforme aux photos. Il fait très classe et sophistiqué. Même si ce n’est pas des vrais «&amp;nbsp;diamants&amp;nbsp;» il ne fait pas du tout «&amp;nbsp;fake&amp;nbsp;». À porter pour un joli look élégant j’adore!!</t>
  </si>
  <si>
    <t>Ravie de cet achat Produit correspondant parfaitement à mes attentes</t>
  </si>
  <si>
    <t>Un bon choix pour chauffer le lait de votre bébé Cet appareil à lait chaud est très joli il est  tout  blanc j’aime bien son style et de très bonne qualité. La température peut être ajustée. Le temps peut également être ajusté. L'effet de conservation de la chaleur est rapide. Le bébé peut manger le lait rapidement. Je suis très satisfait.</t>
  </si>
  <si>
    <t>Excellent Super pour un bébé allaité ! J’ai les biberons MAM avent et Lansinoh et je recommande grandement les MAM et Lansinoh débit 1 pour les Bebe allaités pour les premiers mois pour éviter les fausses routes !</t>
  </si>
  <si>
    <t>Je me sens vraiment bien dedans Commander en 42, la taille habituelle, j’ai eu un peur au déballage, elles me semblaient petite mais elle me vont parfaitement. Elles sont de très bonne qualité et les coutures sont bien faites. Elle est équipée d’une semelle qui semble est très confortable. Je me sens vraiment bien dedans</t>
  </si>
  <si>
    <t>Lingettes Elles sentent très très bon</t>
  </si>
  <si>
    <t>Nickel Impeccable ce produit correspondant à mes attentes, très bon rapport qualité-prix, je recommande ce produit.</t>
  </si>
  <si>
    <t>Shock Absorber Le meilleur soutien-gorge pour le running ! Excellent maintien, même pour les poitrines généreuses. Nombreux coloris disponibles, ce qui est plutôt agréable et permet d'assortir les tenues. La taille correspond parfaitment !</t>
  </si>
  <si>
    <t>Beau élégant Pour moi</t>
  </si>
  <si>
    <t>sympa article correspondant à commande et assorti à mon téléphone!</t>
  </si>
  <si>
    <t>je ne suis pas satisfaite C'est la première fois que j'achète les converses sur amazon J'ai porté 4 ou 5 fois, je les ai lavé comme d'habitude dans la machine, elles sont sorties de la machine toutes décollées tout le long du trait rouge. Elles sont bonnes à jeter. je vais retourner là ou je les achetais d'habitude.</t>
  </si>
  <si>
    <t>Article inutilisable Article reçu hier en très mauvais état cassé Donc inutilisable</t>
  </si>
  <si>
    <t>elle n'a tenue que 4 mois j'appréciais beaucoup cette montre.  casio est une marque que j'achète en toute confiance.  mais fin octobre j'ai réalisé qu'elle ne se charge plus quel que soit le temps où je la laisse à la lumière naturelle. alors que je ne l'ai que depuis juin.  ma solaire casio précédente avait tenue 10ans. et la solaire de sous marque 3ans.  je suppose que je n'ai juste pas de chance. mais je reste déçu.</t>
  </si>
  <si>
    <t>Montre SEIKO Les matériaux semblent de bonne qualité mais  il n'y a pas la précision du quartz car elle avance d'une minute par jour et elle s'arrête très vite si on ne la porte pas 24 à 36 heures de suite.</t>
  </si>
  <si>
    <t>Satisfaite Je le porte depuis plusieurs mois jour et nuit, aucun problème Produit totalement conforme</t>
  </si>
  <si>
    <t>cadeau pour mon fils Mon fils ( un ados :) ) est contant de ses écouteurs. donc je dirais qu'il est parfait !</t>
  </si>
  <si>
    <t>Trop bien (mais bouchon pas pratique) ca fait une semaine que j ai reçu ma bouteille et OMG c'est génial. Je m'en sers sur mon visage pour hydrater ma peau et réduire les imperfections, sur mes hanches et mon dos pour mon eczéma; et sur mes jambes car j'ai la peau sèche.  Visage : Application 1 fois / jour, le soir avant d'aller me coucher (1 ou 2 gouttes). Diminution assez massive des boutons sur mon visage, peau moins grasse, moins sèche et visiblement moins fatiguée. C'est simple, je n'ai plus l'air d'un zombie acnéique quand je me lève le matin et ça c'est chouette. J'ai hâte de voir les résultats sur le long terme  Eczéma : pas de miracles ici, j'ai toujours de l’eczéma par contre je ne me réveille plus pour me gratter et je ne passe plus la journée à m arracher l'épiderme. Plus efficace que les crèmes de pharmacie donc (par contre je continue mes anti-histaminiques pour le traitement de fond).  Jambes sèches : ma peau est devenue belle et douce. Là où la cr1eme Nivéa ne servais que de cache misère et ne traitais pas le problème, l'huile de jojoba a redonné sa douceur à ma peau. Super parce qu'en hiver c'est critique avec le froid.  Bilan : très bon produit. Une odeur légère mais pas dérangeante. J'enlève une étoile pour le bouchon vraiment pas pratique, qui ne permet pas de doser le produit et engendre des pertes (et vu le prix au litre c'est pas cool).  Je me permet de faire une update après quelques mois, donc  Visage : je l'utilise toujours quotidiennement (et n'ai pas racheté de bouteille depuis mon achat en Novembre!) et je n'ai plus de problème d'acnée, du tout. C'est juste parfait.  Eczéma : je suis toujours sous anti-histaminique et suis passée sur une autre crème d'herboriste pour soulager les grattements, mais j'utilise toujours de l'huile de jojoba en "urgence" si ma peau est très sèche. (demandez si il n'y a pas de contre-indications à appliquer 2 produits avant cependant)  Jambes : rien à ajouter par rapport à mon 1er commentaire.</t>
  </si>
  <si>
    <t>Beau bijoux Ce que j'aime le plus dans ce collier sont les reflets de la pierre. Ils passent du bleu au rose par le violet, c’est très beau. Il semble solide, la pierre est bien maintenue et le système d’attache est pratique. Il est livré dans une jolie boite en carton prêt à être offert ;) Ma femme est contente</t>
  </si>
  <si>
    <t>En complément de l"allaitement, pas de confusion. Gamme choisie pour mon premier, choisie pour le second aussi ! A voir a l'usage en complément de l'allaitement comme pour le grand frère.</t>
  </si>
  <si>
    <t>😘 Très bien</t>
  </si>
  <si>
    <t>Excellente montre connectée Je viens d'acheter cette montre connectée j'en avais déjà acheter une sur wish mais bon a peine je les allumé qu'elle a arrêter de fonctioner(15 euro).Bon j'ai voulu en acheter une autre sans compter ceux d'Apple et de Samsung qui coûte une blinde je me suis donc attardé sur celle ci 30 euro et avec beaucoup de fonction.  Cela fait environ 2 jour que je l'utilise son design et vraiment très bon rien à envier au montre de 200 euro , on peut mettre une carte sim ou le connecte en blutooth avec son tel ce qui est plutôt pas mal quand on a  la flemme d'enlever le téléphone de son cartable.Et en plus je  viens à peine d'essayer l'application mais elle nous dit tout nos effort physique .  On peut le dire elle en vaut le coup.</t>
  </si>
  <si>
    <t>Joli offert aujourd'hui, le bracelet a beaucoup plu! Il est très beau et livré dans un bel écrin, content de cet achat, je recommande.</t>
  </si>
  <si>
    <t>Excellent produit Excellente qualité de produit, rien à dire. La cire fond très bien et j'ai pu l'utiliser facilement et sans perte pour faire un revetement de conservation alimentaire. La cire est jaune (c'est normal) donc elle conserve cette couleur après avoir fondu. La démarche écologique est parfaite, emballage carton, je suis extremement satisfait!</t>
  </si>
  <si>
    <t>Super Produit efficace vendeur sympa</t>
  </si>
  <si>
    <t>Une occasion à saisir ! Que dire sur un bloc-note ?? c'est un bloc... pour prendre des notes... mais ça reste intéressent pour ce pack au niveau du prix, et il est toujours aussi agréable d'écrire sur une feuille de qualité Oxford</t>
  </si>
  <si>
    <t>Parfait Identique à la photo Agréable à porter</t>
  </si>
  <si>
    <t>parfait Correspond parfaitement au produit commandé. Je m'en sers au travail et ça me convient parfaitement</t>
  </si>
  <si>
    <t>Très bon produit Chaussures arrivées dans son emballage d’origine avec toutes les protections prévus. La taille (43 1/3) est parfaite et aucun défaut. Confortable et jolie couleur. Les moins chères que j’ai pu trouver. 1er fois que je commande des chaussures sur Amazon et j’en suis pas déçu.</t>
  </si>
  <si>
    <t>legeres c'est vraiment les sandales que je cherchais</t>
  </si>
  <si>
    <t>Très jolie Très jolie parure avec une paire de boucles d'oreilles en plus,en espérant que la couleur tienne avec le temps.</t>
  </si>
  <si>
    <t>Beau et tres pratique Vraiment extrêmement étonnée mes quelle merveille cette bouilloire tous fonctionnent parfaitement alors acheté la sans vous posez de questions</t>
  </si>
  <si>
    <t>Une merveille  !!!!!!! Ce petit objet est une merveille !! Beau, léger, peu encombrant et très intelligemment pensé et conçu. Ses performances sont tout simplement bluffante ! Aussi bien du point de vue de l'autonomie que du point de vue sonore ! Vos interlocuteurs vous entendront 5 sur 5 , et ce , même avec le toit est ouvert et un léger fond musical dans l'habitacle ! Pensez à l'éteindre au moment de ranger la voiture dans votre garage, car sa portée est de 10 mètres voir plus, votre téléphone risque de rester connecté si le garage est a moins de 10 mètres du canapé du salon....ce qui vous obligera à courir dans le garage pour répondre  a un appel. Pour le recharger, dans la boite est fourni un  chargeur allume-cigare dont la connectique est compatible avec mon HTC-HD2. Vous pouvez aussi recharger sur un PC, avec la fiche USB fournie. Bref...à conseiller vivement !!! Surtout à ce prix ! la moitié du prix d'une contravention pour GSM au volant !!</t>
  </si>
  <si>
    <t>Trop belle J'ai acheté cette chaussure sans vraiment trop croire à son côté sécurité et pourtant elle rempli parfaitement son rôle. De plus, son design fait bien habillé (professionnellement) par rapport aux chaussures de sécurité classique.</t>
  </si>
  <si>
    <t>Qualité très médiocre. Portées une dizaine de fois  pour des séances de sport de 2 heures avec lavage à 30 degrès après chaque utilisations et déjà à mettre à la poubelle usées et trouées.</t>
  </si>
  <si>
    <t>Chaussure beaucoup étroite en largeur malgré le choix d'une taille au dessus Habitué à la marqùe Salomon, j'ai choisi ce modèle pour des randonnées fréquentes de 12km en moyenne. J'ai dû abandonner l'utilisation de ces chaussures car elles sont trop étroites ce qui m'a occasionné des blessures au niveau du talon d'Achille, et des orteils (écrasés latéralement). De plus il est difficile de rentrer son pied dans la chassure malgré le choix d'une taille supérieure, 431/3 au lieu d'un petit 42.</t>
  </si>
  <si>
    <t>Peut aller Bof....article correspondant à la description . La taille convient bien mais le tissu n’est pas très confortable car un peu raide ....</t>
  </si>
  <si>
    <t>Bon produit mais assez cher voir concurrence Bon produit mais assez cher, voir concurrence</t>
  </si>
  <si>
    <t>Belle montre Montre impeccable  j espere qu elle tiendra dans le temps  , mais je me demande pourquoi payer 50 epour un an pour livraison prime alors que j ai attendu 3 jours ???normalement  prime c est livraison le lendemain  ,je ne renouvellerai pas mon prime</t>
  </si>
  <si>
    <t>Nickel Top</t>
  </si>
  <si>
    <t>En cuire Très content de mon achat Converse en cuire. La taille et parfaite (42.5) Très belle basket. Hélas très salissant Je les recommandes</t>
  </si>
  <si>
    <t>Utilisation limitée Comme son intitulé l'indique, ce mini-biberon a une contenance très limitée (50 ml). Il sert vraiment pour administrer des liquides en petite quantité. Par exemple, quand on donne un médicament à bébé, c'est utile car avec des biberons plus grand, il reste souvent du liquide au fond de la bouteille. Bébé prend bien en bouche la tétine, donc pas de problème de ce côté-là.  Il est très pratique d'avoir un biberon de ce type pour la prise de médicaments, mais ça reste quand même un achat dont on peut se passer, de part son utilisation limitée.</t>
  </si>
  <si>
    <t>bon rapport qualité prix bon rapport qualité prix</t>
  </si>
  <si>
    <t>De grosses basses dans des écouteurs compacts ! Je cherchais des écouteurs pour m’accompagner dans mes séances de running, alors il fallait qu’ils soient légers, avec une bonne tenue et surtout que le son soit suffisamment de qualité pour garder la motivation intacte. C’est mission accomplie avec ces écouteurs qui remplissent parfaitement le job, j’ai même été bluffé lorsque je les ai utilisés pour la première fois !</t>
  </si>
  <si>
    <t>très pratique s'éteint tout seul les pieds sont très stimulés. C'est fort agréable.</t>
  </si>
  <si>
    <t>Gadget adopté ! Moi qui ne suis pas trop gadgets, j'ai complétement adopté celui-ci !! Et j'en ai même acheté un deuxième pour le faire découvrir à ma mère.</t>
  </si>
  <si>
    <t>Rapport qualité / prix bonne Absorbant, ne se déchire mas</t>
  </si>
  <si>
    <t>Jolie, agréable et solide Baskets très jolie et agréable à porter et solide. Mon fils les adore. Très bon rapport qualité prix.</t>
  </si>
  <si>
    <t>Bonne lessive Super odeur, agréable, qui tient bien sûr les habits et lave bien. Bon rapport qualité prix</t>
  </si>
  <si>
    <t>Simple mais de bonne qualité ! Montre au look vintage de bonne qualité ! Simple mais efficace ! Pas de fioritures : heure, date, alarme, chrono, éclairage ; rien de plus ! Ni trop grosse, ni petite. La taille est parfaite pour moi, qui ai de petits poignets. Une étanchéité suffisante pour la pratique de la natation. De plus, c'est une g-shock, plus résistante que la normale ! Je l'utilise dans le cadre de mes activités professionnelles dites "opérationnelles". C'est parfait !</t>
  </si>
  <si>
    <t>POINTE DE LECTURE Très content de mon achat parfait ! Convient à la chaine HI FI STEREO  Philips AS 680 C.</t>
  </si>
  <si>
    <t>Produit de qualité Super qualité, confortable, taille parfaite comme indiqué, bon emballage, facile à entretenir, protection de sécurité très efficasse. Je suis très satisfait</t>
  </si>
  <si>
    <t>Tres bien Correspond parfaitement à la description rien à redire</t>
  </si>
  <si>
    <t>Montre CASIO Très bonne montre elle dure 10 ans bip sonnore audible et elle va dans l'eau</t>
  </si>
  <si>
    <t>Au top Super pratique, car il est assez grand pour pouvoir mettre toutes les doses, et je pourrait m en resservir par la suite pour y mettre une purée ou compote par la suite. Le capuchon ne s'ouvre pas dans le sac car se ferme solidement</t>
  </si>
  <si>
    <t>Bon Filtre normal</t>
  </si>
  <si>
    <t>Satisfait &lt;div id="video-block-R3LTC93QZCCM87"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id="78" preload="auto" src="https://images-eu.ssl-images-amazon.com/images/I/B1bCygc9jjS.mp4" style="position: absolute; left: 0px; top: 0px; overflow: hidden; height: 1px; width: 1px;"&gt;&lt;/video&gt;&lt;/div&gt;&lt;div id="airy-slate-preload" style="background-color: rgb(0, 0, 0); background-image: url(&amp;quot;https://images-eu.ssl-images-amazon.com/images/I/A1wzo0MyJUS.png&amp;quot;);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value="https://images-eu.ssl-images-amazon.com/images/I/B1bCygc9jjS.mp4" class="video-url"&gt;&lt;input type="hidden" name="" value="https://images-eu.ssl-images-amazon.com/images/I/A1wzo0MyJUS.png" class="video-slate-img-url"&gt;&amp;nbsp;J'ai changé les embouts qui pour moi étaient un peu gros je suis passé au s mais c'est cool ils sont fournis avec. Dans le manuel il y a une parties en Français ça aussi c'est bien. Sinon ils fonctionnent bien je suis satisfait.</t>
  </si>
  <si>
    <t>Douleur au pied Belle chaussure mais Rendu car douleur au bout du pied a cause de la coque de protection</t>
  </si>
  <si>
    <t>Bof Tres décevant car dans un sens marche bien mais quand ça marche! Je m’explique : acheté pour courir, c’est comme si il ne déconnectait régulièrement du téléphone donc pendant 5 minutes ça peut aller mais se couper par intermittence 15 fois sur un morceau. Mon téléphone se trouve à moins de 0,5 mètre des écouteurs puisqu’il est à la ceinture de mon short. En vacances je n’ai pas pu réitérer l’expérience mais suis très déçue car cela semblait facile d’installation et super ergonomique.  Je pense contacter le vendeur</t>
  </si>
  <si>
    <t>Déçu Utilisé pour travailler et première utilisation lacets cassés et semelle qui se décolle Bravo la qualité De plus le poids est assez important</t>
  </si>
  <si>
    <t>Excellent,.. Je l' est offert, et le résultat est bien, ..Tout en finesse, c'est la simplicité la beauté du bijou. alors.. Pourquoi s'en privé !!</t>
  </si>
  <si>
    <t>Bien mais bam... Bon produit d'après des avis que l'on trouve partout. Je commande et reçois le produit très vite, niquel ! À la seconde utilisation et à la sortie du chauffe-biberon, le verre m'a explosé dans la main alors que le verre et le contenu n'était pas chaud, wouahouu ! Contact pris avec le service client et comme toujours... Niquel !! Rien à redire sur le service. Je donne quand même 4 sur 5 car le produit a l'air de qualité et cela ne m'a pas empêcher d'en racheter un nouveau identique.</t>
  </si>
  <si>
    <t>Bonne qualité Polo avec une bonne coupe et l'ensemble est bien fini (pas de fils résiduels, etc.). Pour moi la Taille L est un peu grande. Il se porte agréablement. Pour conclure, bon rapport qualité prix (23€) pour ce polo.</t>
  </si>
  <si>
    <t>Conquise. Produit reçu à la date indiquée. Conforme à la description. Tout y est! Je ne met que 4 étoiles sur 5 car pas encore testé. Il manquera sûrement une ou deux culottes jetables histoire de partir à la maternité sereine. Mais je suis plutôt conquise.</t>
  </si>
  <si>
    <t>Bon produit Pour du 90D j'ai pris L, il ne faut sûrement pas plus grand. Il tient et maintient bien. Les coussinets sont amovibles facilement pour le lavage.</t>
  </si>
  <si>
    <t>Très bien mais longueur un peu trop généreuse Ces chaussettes de ski sont très bien, fines et vraiment très chaudes. Le rapport qualité prix est très bon. Seul bémol : elles sont hyper longues et montent plus haut que le genou (pourtant mon compagnon est grand, 1m84)</t>
  </si>
  <si>
    <t>Ravie Je viens de le recevoir 3 semaines en avance et avertie par Amazon encore ! Diffusion puissante qui exhale beaucoup mieux les arômes que sur d'autres marques. Très joli, petit. Bonne qualité, en métal, soigné. Pour fixer la couleur il suffit de presser la touche lumière pendant 3 secondes. Je pense que je vais en commander un autre, de la même marque. Merci Amazon pour la rapidité.</t>
  </si>
  <si>
    <t>Je recommande Super et pas cher</t>
  </si>
  <si>
    <t>Top Je l'utilise pour les biberons de ma fille il est top facile à utilise et rapide Par contre il faut mettre de l'eau en bouteille sinon vous allez le nettoyer souvent avec le calcaire qu'il y a dans les robinets</t>
  </si>
  <si>
    <t>Très bien Un peu lourd pour bebe il a du mal à le tenir seul mais très facile a nettoyer , hygiénique.</t>
  </si>
  <si>
    <t>Bracelet Montre article conforme à la demande facile à changer avec le kit de montage et il tiens bien fermé merci à vous</t>
  </si>
  <si>
    <t>R a s Pour la vie de tous les jours</t>
  </si>
  <si>
    <t>Vraiment très pratique La boîte est vraiment très pratique. On tire la bandelette et la pastille se décolle. Du coup on peut la coller très facilement sur notre support et grâce à l'encoche prévu la deuxième face est facile d'accès. Et ça colle très bien.</t>
  </si>
  <si>
    <t>correspond tout à fait à ce que je cherchais Très satisfaite de ma bouilloire russel hobs. Facile à programmer et rapide . je l'ai reçue rapidement et j'en suis très satisfaite.</t>
  </si>
  <si>
    <t>Très bonne qualité Excellent produit. Je suis bluffé par le résultat !</t>
  </si>
  <si>
    <t>Radicale !!! Dès que j'ai mal au genou (arthrose) en descendant les escaliers, j'en ai plusieurs couches en massant bien et 1 heure après la douleur a disparu... je suis scotchée de l'efficacité de ce produit Je vous le recommande ++++</t>
  </si>
  <si>
    <t>Parfait Super ces recharges pour stylo roller. Très belle couleur d'écriture turquoise. Cette encre qui s'efface est très pratique. Je les recommande</t>
  </si>
  <si>
    <t>Je recommande Il est très pratique d'utilisation et permet de laisser sécher tout en restant"propre" et sans que ça traîne sur le plan de travail. Je le recommande 😀</t>
  </si>
  <si>
    <t>Peinture doigt Pour une enfant de 15 mois, nettoyage facile</t>
  </si>
  <si>
    <t>Bon produit confrome aux attentes, attention aux petites boules de coton qui se forment derriere apres plusieurs mois d'utilisation. Sinon RAS livraison rapide</t>
  </si>
  <si>
    <t>On dirait un peu de la caille Bof assez petit</t>
  </si>
  <si>
    <t>Gilet et non manteau Très déçue. Ce n’est pas un manteau mais un gilet. C’est une belle arnaque pour 69€. Heureusement qu’il était en promo à 29€.</t>
  </si>
  <si>
    <t>pull large et trop court, et de mauvaise qualité n'ayant pas le temps de le renvoyer, ce pull va finir dans la benne à vêtements</t>
  </si>
  <si>
    <t>C’est une belle montre C’est une belle montre</t>
  </si>
  <si>
    <t>parfait grande capacite, port de differentes manieres. Le top</t>
  </si>
  <si>
    <t>bon bien</t>
  </si>
  <si>
    <t>Belles finitions D’un très bel effet plus de ville que sport belle finition mais je crains sur la longévité portée deux fois il y a la marque des plis</t>
  </si>
  <si>
    <t>Papiers d Arménie Ces produits sont conformes à l attente que j avais, si ce n'est qu'ils sont d une couleur beaucoup plus claire que celle des anciens papiers d Arménie.</t>
  </si>
  <si>
    <t>Simple et très bon marché ! Eclairage de la terrasse dans le jardin, la nuit, facilitant la déambulation nocturne. Dissuasif en cas d'intrusion intempestive... Seul regret, l'indice d'éclairage est assez faible. Un bon produit MPow comme de coutume !</t>
  </si>
  <si>
    <t>lot de deux paquets de 18 feutres français de qualité, top pour l'école Eh oui parce que BIC c'est produit en France. Et ça c'est déjà bien. Mais en prime c'est de la très bonne qualité.  Ce lot comprend deux paquets de 18 feutres avec une pointe médium bloquée adaptée aux enfants. Je la recommande pour l'école pour une raison bien précise en tant qu'enseignante: la pointe est de taille idéale et permet à la fois des tracés précis (et même écrire) mais aussi de remplir assez aisément une surface, c'est un bon compromis. Et à ce propos je déconseille surtout les pointes fines, c'est horrible sur les surfaces importantes.  Les crayons ont un corps fin ce qui les rend légers dans une trousse pour l'école également.  Les couleurs sont belles et ils durent longtemps sans sécher.  Je vais mettre ces paquets dans ma salle de classe pour les petits bouts qui n'ont pas les moyens d'être bien équipés (et oui ça existe).  En tout cas en tant qu'utilisatrice et enseignante, je les recommande sans hésiter. C'est d'ailleurs la marque que je choisis invariablement pour mon fils, peu importe le modèle car ils sèchent peu. On en a qui ont plus de 10 ans, bien encapuchonner ils ne perdent pas.</t>
  </si>
  <si>
    <t>Game Changer ! Tout comme l'annoncent bon nombres de youtubeurs, ce kit est discret et fiontionel dès la mise en service. Merci RODE!</t>
  </si>
  <si>
    <t>Super ! Le même que celui d'une grande marque bien connu pour enfant en moins cher. Top aucun problème dessus !</t>
  </si>
  <si>
    <t>Cartable Acheter pour mon anniversaire, sac très beau et solide Reste à voir dans le temps Idéal pour le boulot, ordinateur rentre</t>
  </si>
  <si>
    <t>conforme produit de bonne qualité fonctionne trés bien après quelques mois d'utilisation</t>
  </si>
  <si>
    <t>Parfait, comme toujours. De l'encre de qualité, brillante au niveau des couleurs, et bien noire pour le monochrome. Les cartouches XL sont bien adaptées à ma façon d'imprimer: plus de noir que de couleur.  Bon rendu pour les photos, ou les transferts pour t-shirts maison.</t>
  </si>
  <si>
    <t>Parfait pour la progression de bébé Idéal pour que bébé progresse dans l'autonomie des repas. S'adapte à tous les formats de biberon MAM. Bref un indispensable</t>
  </si>
  <si>
    <t>Produit recommande pour acheteur Très bon produit conforme au niveau sécurité appareil s arrête tout seul si il n y a plus d eau très satisfaite</t>
  </si>
  <si>
    <t>Rapport qualité prix +++ pour ce classique Rapport qualité prix +++ pour ce classique Dommage que ce ne soit pas la version Blu-ray</t>
  </si>
  <si>
    <t>Super Super, c'est le papier d'armenie original !</t>
  </si>
  <si>
    <t>Perles Très bien</t>
  </si>
  <si>
    <t>Sac isotherme pratique Je connaissais ce produit et je ne suis pas déçu. Il est vraiment très pratique, spacieux et avec une jolie déco.</t>
  </si>
  <si>
    <t>trés bon produit trés bon produit correct à la descriptions. trés bon emballage</t>
  </si>
  <si>
    <t>Feuilles A 4 Ces feuilles de papier sont de très bonne qualité. Elles sont epaisses. Attention si vous envoyez du courrier car elles sont lourdes.</t>
  </si>
  <si>
    <t>odeur particuliére j'ai reçu  le mien dans les temps, je voulais ce gommage pour compléter ma routine auto bronzant bon gommage, à laisser poser un peu après application avec le gant de gommage mais odeur trés désagréable pour moi, texture pateuse, difficile à étaler mais qui une fois un peu humide mousse bien, je suis contente dans l'ensemble à part l'odeur</t>
  </si>
  <si>
    <t>Joli mais très fragile. Le bracelet est sympa dommage que la durée de vie de vie du produit soit d'environ 5 minutes.</t>
  </si>
  <si>
    <t>Très esthetique l'utilisation du bouton de température peu commode</t>
  </si>
  <si>
    <t>Machine qui fuit au bout de 11 mois d'utilisation Le principe de cet appareil était génial. Sauf que la machine a commencé à fuir (par gouttelettes, mais de manière constante) dans sa partie basse, entre deux morceaux de plastique. Du coup le fait de devoir éponger toute l'eau sur le plan de travail supprime la facilité d'emploi qui était l'unique raison d'acheter ce produit par ailleurs très très cher.</t>
  </si>
  <si>
    <t>Ils sont jolies Pour des soirées</t>
  </si>
  <si>
    <t>Taille grand Un peu ferme Très belle. Taille grand, j'ai dû prendre une taille en dessous.</t>
  </si>
  <si>
    <t>Tres belle montre homme, beau design. Belle montre, avec précision. mais un peu grosse au poignet.</t>
  </si>
  <si>
    <t>Classe Tres belle montre qui correspond a mes attentes. Points negatifs l'affichage digital pas tres lisible et l eclairage trop faible. Livraison come prevu. Rien a dire.</t>
  </si>
  <si>
    <t>Top Biberon Mam jamais déçu.</t>
  </si>
  <si>
    <t>Je ne porte plus que ces chaussures ! J'en suis à la quatrième paire. 2 paires utilisée successivement en marche rapide sur sortie de 10 à 20 km sans aucune douleur. 2 autres paires gardées " propres" pour la ville et le travail. Je reste parfois debout 8h d'affilé, pas de douleurs aux pieds, jambes dos ou autre. J'ai les pieds  plutôt larges et elles sont super car ne me gênent pas du tout. Prendre 1/2 pointure au-dessus pour être bien. Je recommande à 100%</t>
  </si>
  <si>
    <t>Top Je m en sert pour fabriquer ma lessive, rapport qualité prix impec, le paquet va faire un moment, plus petits que des copeaux donc fond très rapidement,</t>
  </si>
  <si>
    <t>Parfait Je ne m’en passe plus pour dormir dans ma chambre peu chauffée l’hiver</t>
  </si>
  <si>
    <t>super &lt;div id="video-block-R1XBUMTQMJMQPJ"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id="7" preload="auto" src="https://images-eu.ssl-images-amazon.com/images/I/E1Z5y9y6sES.mp4" style="position: absolute; left: 0px; top: 0px; overflow: hidden; height: 1px; width: 1px;"&gt;&lt;/video&gt;&lt;/div&gt;&lt;div id="airy-slate-preload" style="background-color: rgb(0, 0, 0); background-image: url(&amp;quot;https://images-eu.ssl-images-amazon.com/images/I/81RYddnewMS.png&amp;quot;);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center;"&gt;4:48&lt;/div&gt;&lt;div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 style="width: 6.11556%;"&gt;&lt;/div&gt;&lt;div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value="https://images-eu.ssl-images-amazon.com/images/I/E1Z5y9y6sES.mp4" class="video-url"&gt;&lt;input type="hidden" name="" value="https://images-eu.ssl-images-amazon.com/images/I/81RYddnewMS.png" class="video-slate-img-url"&gt;&amp;nbsp;je pourrais ecrire des page et des pages pour du cable, mais lorsqu'il est bon pas besoin d'en faire des tonnes, ugreen assure encore une fois avec ce matériel, aucun problème.  le cable est lourd car blindé et en cuivre, la gaine en caoutchouc est elle aussi superbe, donc rien a dire un sans faute.</t>
  </si>
  <si>
    <t>Bonne qualité Je l'utilise quand je feus de la marche nordique très bon casque bon rapport qualité prix.</t>
  </si>
  <si>
    <t>Classic, fait l'affaire Modèle simple et basique, satisfait.</t>
  </si>
  <si>
    <t>Cable de qualité Très bon rapport qualité prix</t>
  </si>
  <si>
    <t>Impeccable ! J'adore ma bouilloire ! Maintenant 6 mois que je l'utilise et elle est parfaite. Je dois avouer qu'elle m'a semblé énorme quand je lai reçu et c'est vrai qu'elle prend plus de place que d'autre mais ce n'ai pas gênant au final. Chauffe vite et température fiable. S'accorde avec toute les préparations de boisson chaude grâce au choix de température (c'est le motif premier de mon choix pour ce produit). La petite sonnerie d'alerte n'est pas agressive et la fonction de maintient au chaud peut s'avérer pratique. Je l'ai acheter en noir car je trouve aberrant de mettre jusqu'à 30 euros de plus pour l'avoir en turquoise mais elle est très belle. Je recommande ce produit sans hésiter.</t>
  </si>
  <si>
    <t>The north face Conforme a la description..tient super chaud..</t>
  </si>
  <si>
    <t>comme prévu léger, matière douce et un peu épaisse, bonne coupe, agréable à porter, un pantalon de jogging comme on en attend.</t>
  </si>
  <si>
    <t>Parfait et à la bonne taille Short parfait pour mettre sous les robes, les jupes ou faire du sport par contre j'ai pris une taille au dessus enlisant les commentaires Et je n'aurai pas du les tailles sont parfaite et je me retrouve avec des shorts parfait mais un peu trop grand!!! Prenez votre taille et celle qui ont besoin de la taille au dessus c'est que vous faite la taille au dessus !</t>
  </si>
  <si>
    <t>Super Super pour mélanger le lait de bébé en poudre. Nous utilisons une poudre épaississantes et ça ne fait pas de grumeaux avec ce mélangeur</t>
  </si>
  <si>
    <t>Éfficace. J'ai acheté le vibromasseur noir (première version) en Mars et il fonctionne toujours correctement. Il tient assez longtemps et n'a pas besoin d'être rechargé à chaque fois. Je n'utilise que le mode continue, mais il y en a 10 différents pour que chacune y trouve son gout. La texture est agréable et n'a pas forcément besoin d'être lubrifiée. Il fait peu de bruits à l'utilisation et se nettoie très rapidement. Je recommande sans problème.</t>
  </si>
  <si>
    <t>Satisfait Utilisez pour maux de dos ,soulage le mal de dos</t>
  </si>
  <si>
    <t>Prend l'eau Très confortable super couleur mais pas du tout imperméable comme dit pied mouillé alors que ce n'était que la rosé du matin</t>
  </si>
  <si>
    <t>J'aime pas J'aime pas du tout je m'attendais pas à ça c'est énorme 😤</t>
  </si>
  <si>
    <t>Dommage que les pavés plastique se déboîtent de la semelle au bout de quelques jours, car  ces sabots plastique  sont agréables à porter.  Je les 'ai renvoyé à Amazon pour remboursement.</t>
  </si>
  <si>
    <t>Belles chaussures qui taillent trop grands. La paire de chaussures taille trop grand ce qu'il m'était jamais arrivé sinon elle est de belle qualité.</t>
  </si>
  <si>
    <t>Une fois recollé , basket très bien pour le prix . Se décolle au bout d une semaine sur le devant , obligé de recollé. sinon confortable . Tres bien .</t>
  </si>
  <si>
    <t>Bel achat Très bon</t>
  </si>
  <si>
    <t>Confortable, pratique Ce pantalon de sport est très confortable, il ne limite pas les mouvements, il est aussi molletonné donc utilisable en hiver et en demi-saison. La coupe au niveau du bassin est très basique, et pas super seyante sur moi, mais bon, ça ira. Je vous laisse juger sur les photos. Pour aller au tennis de table c'est impeccable.</t>
  </si>
  <si>
    <t>Sympa et joli pour le rapport qualité prix Ce haut est jolli et féminin, la matière très confortable. Taille normale à commander car n'est pas trop collant je recommande</t>
  </si>
  <si>
    <t>Roland RH-5 Casque Hi-Fi Ecoute impeccable à partir d'un piano numérique Roland F-140R mais j'aurais aimé pouvoir régler le volume avec une molette sur le câble . J'en suis très content ... mais il ne faut pas s'attendre à des harmoniques de Steinway ou Fazioli avec un piano numérique évidemment .</t>
  </si>
  <si>
    <t>produit correct produit correct</t>
  </si>
  <si>
    <t>Bon produit Ecouteurs sans fils au top. Connection facile au smartphone. Le son est bon pas trop fort. Ils sont confortables. Le chargeur est facile d accès et transportable.</t>
  </si>
  <si>
    <t>Aucun défaut et très pratique. Rien à redire, très utile dans le cas des cartes mères mini itx qui n'ont souvent que 2 prises de ventilateurs. Grâce au duplicateur,  tous les ventilos de mon Corsair Obsidian 250D se retrouvent commandés via la carte mère.  En plus, le gainage est d'assez bonne qualité et ajoute un avantage esthétique !</t>
  </si>
  <si>
    <t>efficace petit diffuseur mignon  beau  imitation beau  très facile d'utilisation efficace</t>
  </si>
  <si>
    <t>Très confortable et super design J'adore mes adidas que je porte avec mes jeans bleus pratiquement tous les jours. Vraiment pas chères.</t>
  </si>
  <si>
    <t>Excellent! Livraison rapide et le produit s'ajuste à la description. Merci!</t>
  </si>
  <si>
    <t>Super Marque que je connaissais déjà.... impeccable</t>
  </si>
  <si>
    <t>Livraison rapide Très bien, pratique, en revanche très bruyante ! Attention le pourtour est très chaud car en métal</t>
  </si>
  <si>
    <t>SUPERBE !! Reçue 36h après la commande, parfaitement emballée. Concernant la cafetière, elle est simplement MAGNIFIQUE!! Très jolie, très silencieuse, rapide, le petit plus, la programmation se fait en un clin d'œil… Je n'ai même pas ouvert le livret fourni. Merci RUSSEL HOBBS !!</t>
  </si>
  <si>
    <t>👍🏻 Super jolies . En plus de ça elle sont vraiment confortable et légère  . Je recommande !</t>
  </si>
  <si>
    <t>La qualité est au rendez vous Je suis un utilisateur quotidien de bouilloire compact 0,5l, au domicile et au travail, et je recherchais donc un modèle avec cuve en inox pour usage fréquent. La réception de l'objet met déjà en confiance, la qualité de fabrication est parfaite, ensuite le fonctionnement avec 4 niveaux de chauffe c'est génial, je l'utilise depuis 3 semaines avec grande satisfaction.  Un appel en garantie à cause d'une fissure dans la cuve après 2 mois d'usage a été parfaitement traité, très bon service après vente.</t>
  </si>
  <si>
    <t>A l'aise et bien maintenu Articles de très bonne facture, légèrement serrés au niveau taille, mais ce ne sont que des pantoufles...lorsqu'on les a au pied, la cambrure est idéale. Un autre tout petit défaut la matière textile peluche beaucoup au début et l'on sème des "minous" colorés dans toute la maison, mais ce ne sont là que de légers défauts bien vite oubliés</t>
  </si>
  <si>
    <t>Inimitable Grand classique, les converses ne déçoivent pas. Passe partout, elles sont vraiment agréables. Parfait pour travailler, se balader en ville, ... Attention, le modèle blanc est salissant.</t>
  </si>
  <si>
    <t>Lot de 8 paires de socquettes je recommande ce lot de socquettes. Le prix est satisfaisant et les chaussettes sont de bonne qualité et c'est costaud.</t>
  </si>
  <si>
    <t>Très bon cadeau Le bracelet est livré dans une jolie boîte Si on veut l’offrir, il est leger et facile à mettre ,très brillant il est juste parfait, il est pas trop grand convient pour les poignet des femmes</t>
  </si>
  <si>
    <t>Trop serrés ... malgré les différentes combinaisons possible ... Je n'ai pas pu trouver une configuration optimale pour ces lacets, ou trop serrés ou trop laches, en plus j'ai acheté plusieurs paires pour équiper toutes mes chaussures !!! J'ai du me tourner vers une autre marque avec des lacets élastiques de taille différentes qui serrent moins sans être trop lache et qui sont moins cher.</t>
  </si>
  <si>
    <t>surement une contrefaçon Je reçois cette montre que j'avais deja eu avant, j'ouvre l'emballage, sort cette dite montre et là....le chiffre pour le mois est illisible, le plus grand des cercles ne fonctionne pas et la led et plus que palote.... De là à penser que cette montre est une imitation casio.  Je ne conseil vraiment pas cet achat</t>
  </si>
  <si>
    <t>Produit tres faible Malheureusement j ete decu par la qualite de ces ecouteur . Le niveau maximal de son est trop bas . La qualite de voix recu par ton interloculeur non plus est bonne . A chaq appel mon interlocuteur reclame la qualote de ma voix qui est on dirai trop loin . La batterie se decharge tres vite . La force de connection de bleutheoot est tres faible . Mm pas 3 m ils commencent deja les coupures</t>
  </si>
  <si>
    <t>Très pratique et très léger, mais... On pourrait oublier qu'on a ces écouteurs dans chaque oreille ! Très légers et très stables, ils paraissent parfait pour faire du sport. J'ai couru et soulevé de la fonte avec, à aucun moment ils ne m'ont gêné. Malheureusement, la qualité du son n'est pas au rendez-vous : les aigus et médium sont prédominants et les basses quasi totalement absentes, ce malgré les réglages sur mon smartphone (auquel ils se sont appairés parfaitement). Dommage, car d'autres fabricants d'oreillettes proposent un meilleur son... Donc, produit pas mal, très pratique, bien conçu, mais la fonction première étant de restituer du son, c'est loin d'être parfait...</t>
  </si>
  <si>
    <t>Montre Casio homme f-91w-1dg Trois étoiles pour le bon rapport qualité/prix. Mais attention cette montre dite "pour homme" à un bracelet de longueur intermédiaires entre un modèle femme et un modèle homme. Je n'ai pas des poignets spécialement gros et suis sur les derniers centimètres du bracelet. La montre à tendance à être décalée et suis souvent en train de la replacer. Pour du pas chère qui ne sert qu'au boulot et que je ne pleurerais pas en cas de casse elle est très bien. Autre soucis,les boutons sont trop sensibles et l'éclairage est lui totalement inefficace.</t>
  </si>
  <si>
    <t>Cool Mariage</t>
  </si>
  <si>
    <t>rapide tb</t>
  </si>
  <si>
    <t>Super Pochette Cette pochette est parfaite pour mettre des cartes de service et u téléphone. Il y a plusieurs petits compartiment a l'intérieur c'est super pour ne pas que ça ne devienne pas le bazar dedans. Très discret sous un vêtement. Bref je recommande vivement.</t>
  </si>
  <si>
    <t>Très bon produit Très bon produit, la batterie tient plutôt 8h que 6h, ce qui est excellent ! Écouteurs qui fonctionne très très bien !! Je recommande</t>
  </si>
  <si>
    <t>Bonne surprise pour le prix Basket d'été en maille sur le dessus, très confortable, semelle à bulle d'air qui amortit bien le pied, et assez belle sur le pied, surpris de cette qualité à ce prix</t>
  </si>
  <si>
    <t>Délai correct Jolie montre esthetique  Jolie montre estherque</t>
  </si>
  <si>
    <t>bon casque c est un tres bon casque pour son prix ,dommage il a pas de micro pour communiquer avec un smartphone</t>
  </si>
  <si>
    <t>TRES DOUX PAS</t>
  </si>
  <si>
    <t>Jupon retro Je suis satisfaite de mon achat. Ce jupon est de belle qualité, la haut en tissus élastique est agréable à porter, le bas en tulle rigide pour donner du volume aux robes rétro.</t>
  </si>
  <si>
    <t>Taille conforme Dur à enfiler sinon superbe produit de qualité comme tout les produits de la marque</t>
  </si>
  <si>
    <t>converse blanche j adore les converses, modele super, confort, et taille parfaite reste salissant mais se lave en machine super bien a conseiller</t>
  </si>
  <si>
    <t>Montre sympas Tres jolie rapport qualite prix tres bien je re commande cadeau a petit prix identique a la description beau cadran wur fond orange je re commande</t>
  </si>
  <si>
    <t>Modèle certifié authentique chez Timberland Reçu il y a quelques jours, je suis satisfait du produit. Après lecture de certains commentaires, j'ai décidé d'aller dans un magasin Timberland pour m'assurer de l'authenticité des chaussures, confirmé en boutique. elles n'ont effectivement pas le r au dessus du logo, mais bons nombres ne l'ont pas en magasin également. Cela dépend des modèles. Je recommande.</t>
  </si>
  <si>
    <t>Simplicité d utilisation et sa boîte de rangement qui sert de socle de recharge Pour tout les jours très léger le son est de très bonne qualité de range bien dans sa boîte qui sert aussi a recharger les écouteurs,il y a les embouts de plusieurs taille pour s adapté à votre oreille,se connect facilement au téléphone je recommande</t>
  </si>
  <si>
    <t>PARFAIT Taille parfaite, matière très agréable à porter, bon maintient, très beau short, très satisfaite de mon achat, je recommande ce produit</t>
  </si>
  <si>
    <t>Très pratique Très pratique pour le jardin elles protègent très bien ! Elles chaussent un peu grand mais sont vraiment très résistante et de bonne qualité</t>
  </si>
  <si>
    <t>Conforme à la photo Conseil : Vous faites du 40 en chaussure - Prenez 41.</t>
  </si>
  <si>
    <t>Exactement ce que j'attendais Vraiment trop bien! Emballage en bonnes conditions. Le produit masse bien. En effet ça prends qq minutes pour chauffer mais ça va. Un peu bruillant mais le bon massage permet de faire abstraction. Massage nuque, haut et bas du dos vraiment efficace. Je recommande!</t>
  </si>
  <si>
    <t>Livraison ok mais étiquettes se décollent Étiquettes reçues dans les temps, bien emballées et de bonne qualité. Mais ne tiennent pas dans la durée. La plupart se sont décollées au bout de 3 lavages.</t>
  </si>
  <si>
    <t>Ne commandez pas pour la natation Je trouve incroyable que ce produit se retrouve en tête de beaucoup de comparatifs. Pour la natation, c’est un très mauvais produit. Le son est très très très faible. J’ai dû manuellement augmenter le volume des fichiers que j’écoute depuis mon ordinateur pour pouvoir vaguement les entendre en nageant. Il y a aucune basse. Le confort n’est pas aussi bon que ce que le design laisse penser. Bref, c’est très cher pour un produit de ce niveau...</t>
  </si>
  <si>
    <t>Pas terrible la qualité de cette montre Je viens de recevoir la mienne , ne correspond pas mais pas du tout a mes attentes , rien a voir avec mes précédentes GSCHOK!!!!</t>
  </si>
  <si>
    <t>Trop Juste Dommage que pr un bonnet I se soit aussi juste..au niveau tour de dos 3cm de moins que les mesures soutien gorge...sinon maintien ok</t>
  </si>
  <si>
    <t>pas de titre pour ce produit, beaucoup trop de choix surtout avec des prix avec des grosses différences. dificile de ce faire une idée pour faire un bon choix</t>
  </si>
  <si>
    <t>Bien adapté en taille mais pas très épais J'ai reçu ce leggings dans les délais hé oui !! Amazone. La taille est bonne, le tissu souple et très agréable. Il tient très bien à la taille et ne se déforme pas. Pas de risque de le voir descendre a chaque mouvement.  Pas de poche non plus aux genoux. Ce qui m'empêche de mettre les 5 étoiles c'est qu'il est un peu fin et pas très chaud.</t>
  </si>
  <si>
    <t>Au top Je conseil</t>
  </si>
  <si>
    <t>Lacoste sweat Produit authentique, qualité Lacoste irréprochable, a commandé les yeux fermés... Merci Amazon!!!</t>
  </si>
  <si>
    <t>PARFAIT ! Un bon casque qui vaut son prix,  Son correct et autonomie parfaite. Je l'ai depuis 6 mois et aucun problème.  À acheter sans hésitation !!!!</t>
  </si>
  <si>
    <t>Bien Petit bijoux fantaisie dur le temps d un été</t>
  </si>
  <si>
    <t>chaussettes top de qualité et sobres ces chaussettes de sport sont parfaites, à porter tous les jours elles sont discrètes et confortables</t>
  </si>
  <si>
    <t>Top ! Colis bien reçu dans les temps ! tres belle, légère et facile à laver.</t>
  </si>
  <si>
    <t>Trop chouette Super pratique pour moi qui utilise des biberons mam qui se démontent complètement très simple à nettoyer ça l’herbe se dissocie du fond blanc</t>
  </si>
  <si>
    <t>La surprise J'ai du matériel de sono pour animer des soirée entre amis, et j avais besoin de micro pour présenter ou animer pendant certaines soirées, d'ou ma suprise sur la qualité du son et le réglage des fréqences, je recommande ce produit il peut s'adapter sur toute sortes de tables ou appareils de sono, de plus je valide pour son rapport qualité prix</t>
  </si>
  <si>
    <t>Bien！ Produit charmant et pas de problèmes 2e paire que j'ai commandé pour un ami du même endroit et commanderai à nouveau. Très confortable et garde la charge.</t>
  </si>
  <si>
    <t>Magnifique Pour offrir très jolie couleur et belle qualité je suis ravie de ma commande et je recommande ce vendeur et cet article les yeux fermés</t>
  </si>
  <si>
    <t>répond aux attentes appareil très pratique; bon rapport qualité prix, peu encombrant, facile a ranger; Pas forcément intuitif comme mode d'emploi, mais facile quand on a pris l'habitude; Attention à la congélation des liquides ! il existe un forum d'utilisateurs !</t>
  </si>
  <si>
    <t>parfait Je possède toutes les couleurs de ce modèle converse que j'assortis à la la couleur de mes pantalons très confortable et taille parfaite le seul bémol les semelles s'usent assez vite aux talons</t>
  </si>
  <si>
    <t>Super Bonjour cest un bon produit. Super.. j'aime beaucoup. Ma copine aussi elle bien aime. Je recommande beaucoup Génial Pour Personnes</t>
  </si>
  <si>
    <t>Le prix.imbatable. Bjrs.tres satisfait de ce produit,c est celle que je prend regulierement et surtout parceq uelles sont mieux chere que dans les grandes surfaces.ici,j economise 6 euros a chaque commandes.ca vaut le coup.salutations.</t>
  </si>
  <si>
    <t>Très bien Ce coffret de biberons est très bien.  On trouve 2 biberons de 125ml et 2 de 260ml ainsi qu’une valve anti-colic qui s’adapte à chacun des biberons. Il y a aussi une tétine (pour 0/6 mois) avec un cache qui assure l’hygiène, et un goupillon/brosse pour nettoyer les biberons. Les tétines sont adaptées aux nouveaux nés (il faudra les changer avec l’âge du bébé). Le design est simple et sobre (mais ça ne va pas gêner bébé). Il n’y a qu’une valve anti-colic mais on peut en acheter 2 pour 6€ sur le site. En bref c’est un bon coffret pour faire un cadeau, pour un prix correct. Je recommande.</t>
  </si>
  <si>
    <t>Agréable surpris J'ai commandé ce radio-réveil pour ma fille qui rentre au collège afin qu'elle soit autonome pour le réveil. Les fonctions annoncées m'ont plu et le design aussi. Je ne suis pas déçu du tout, toutes les fonctions sont là. Il est simple d'utilisation (avec notice en français). J'ai de plus, découvert qu'il était alimenté par un chargeur USB standard et fourni (donc facilement remplaçable le cas échéant). Il y a un port USB sur le radio réveil pour pouvoir charger un téléphone ou autre objet alimenté en USB. Le seul reproche que je ferai est le scan des stations FM perfectible. Il scanne toute la bande FM mais mémorise aussi des fréquences avec des grésillements et donc inutiles. Heureusement, je ne change pas souvent de stations sur un radio réveil donc ce n'est pas trop grave pour moi. Toute la famille a aimé ce radio-réveil et nous savons lequel acheté a la moindre défaillance de ceux que nous avons actuellement.</t>
  </si>
  <si>
    <t>En panne Déjà en panne!! reçu le 13 janvier 2017 en remplacement de l'achat du 28 décembre 2016 Suite de ce mois d’août 2018 : La bouilloire est de nouveau en panne suite à une nouvelle fuite du joint du vase. Je dé-conseil ce produit de mauvaise qualité. Je l'ai traiter avec beaucoup de précautions en évitant de faire bouillir l'eau inutilement, je réglais à 85°C pour obtenir 94°C en fin de chauffe ! Je remplissais immédiatement avec de l'eau froid pour refroidir le vase et le joint ! malgré toutes ces précautions le joint a de nouveau lâché ! Je prends une nouvelle marque!  Première bouilloire, reçu le 30 décembre 2016 : Aujourd'hui le 7 février 2017, elle a rendu l'âme!! Je vais faire appel à la réparation sous garantie, j'espère que l'on va me la remplacer rapidement. Vous saurez la suite dès que j'en récupère une qui fonctionne. Cette bouilloire était relativement bien pratique lorsqu'elle fonctionnait. Dommage qu'il faille l'arrêter manuellement lorsque le sélecteur de température est activé (le réglage par défaut du mode ébullition l’arrêt définitivement), sinon elle maintien la température pendant 2 heures :( Après avoir contacté le service après vente, le 10 février, j'ai reçu la nouvelle bouilloire et elle fonctionne très bien :-) Merci AMAZON pour cette rapidité, je m'en rappellerai lors de mes futures achats.</t>
  </si>
  <si>
    <t>Déçu Je suis très déçu . J'ai reçu la boîte abimée et ouverte . Or j'ai commandé des stylos neufs et non d'occasions .</t>
  </si>
  <si>
    <t>Un produit adapté... pour les enfants. Une erreur d'inattention, un focus sur la pointure et c'est le drame ! ;-)  Il s'agit d'un modèle enfant (la semelle intérieure notamment permet de s'en rendre compte, ainsi qu'un cran de lacet en moins). Bref si vous êtes unE adulte à petite pointure , passez votre chemin ceci est un modèle enfant :-). Modèle renvoyé sans souci via Amazon.</t>
  </si>
  <si>
    <t>Ne permet pas de mixer depuis Deezer, ni Spotify !! Une jolie finition, produit de bonne qualité!! Attention cependant, gros quiproquo (pour rester poli..) car même sur le site d’hercules ils ventent ce produit comme étant capable de diffuser depuis n’importe quelle source de streaming...diffuser oui...mixer, non!! En effet le logiciel Djuced fourni avec ce contrôleur ne permet pas de charger depuis Spotify ni Deezer, il ne les reconnaît pas!! Il faudra donc, soit brancher la source en direct sur la platine pour simplement diffuser en passant pas le contrôleur (absolument inutile...) soit investir dans un autre logiciel (VDJ (une centaine d’€), par exemple) pour pouvoir charger depuis les plateformes de streaming et enfin mixer vos titres favoris !!</t>
  </si>
  <si>
    <t>super conforme a l annonce</t>
  </si>
  <si>
    <t>Très bon rapport qualité-prix Parfait pour le thé</t>
  </si>
  <si>
    <t>Je recommande Fonctionne très bien.  Très bien de pouvoir choisir la température de chauffe et de maintenir au chaud. Attention une fois bien rempli elle peut paraître plus lourde qu'une simple bouilloire en plastique.  Très belle en tout cas.</t>
  </si>
  <si>
    <t>Chaussures confortable Livraison assez rapide, les chaussures sont mignonnes, par contre la semelle en caoutchouc est un peu trop jaune par rapport la toile blanche.</t>
  </si>
  <si>
    <t>Satisfait Je les ai acheté pour mon mari, car je supporté plus de le voir avec des longue chaussettes en short. Donc celle si sont parfait. Après plusieurs lavages, ils tiennent encore et la petite languette est pratique, d'après mon mari, pour le tirer.</t>
  </si>
  <si>
    <t>basket Globe totalement satisfait. Je ne regrette pas cet achat. Bonne qualité je les porte tous les jours. J'ai même été livré avant la date prévue  ce qui m'arrangeait</t>
  </si>
  <si>
    <t>bonne paire de chaussures chaussure arrivée comme prévu. je prends toujours une poiture au-dessus pour éviter les mauvaises surprises.</t>
  </si>
  <si>
    <t>Conforme ! Sacoche répondant parfaitement à mes attentes, très belle couleur et beaucoup de rangement</t>
  </si>
  <si>
    <t>Légères et confortables Achetées pour un proche âgé qui a les pieds froids depuis le mois d'octobre mais qui aime faire ses promenades quotidiennes, par tous les temps. Ces chaussures (en synthétique avec fausse fourrure) sont confortablement chaudes, sans avoir une doublure trop épaisse. Ils sont légers et permettent de se promener de manière souple, facile et en même temps en toute sécurité car la semelle est réellement anti-dérapante et assure une bonne adhérence au sol. Le talon de 3 cm est agréable et participe au confort. Je n'ai eu que des retours positifs depuis qu'il les utilise, depuis une bonne quinzaine maintenant. Je suis ravie&amp;nbsp;: une bonne chaussure à un prix tout à fait raisonnable.</t>
  </si>
  <si>
    <t>NikeL Juste exelent.</t>
  </si>
  <si>
    <t>Qualité prix Sport bonne qualité confortable</t>
  </si>
  <si>
    <t>qualité bose on ne présente plus la marque, tout est nickel avec un petit hic, il en faut un  et il est perso, je trouve qu'il ne donne pas assez fort. voilà c'est tout ce dont je trouve de "moins bien".</t>
  </si>
  <si>
    <t>Chaussures au look sympa Je suis très satisfaite de cet achat, on est comme dans des pantoufles, c'est bien chaud, c'est un peu comme des baskets fourrées avec un côté sport sympathique. Chaussures au look sympa, très légères, souples, chaudes et extrêmement confortable. Ayant les pieds larges, j'ai pris une taille au dessus Le rapport qualité prix me semble là.</t>
  </si>
  <si>
    <t>Très beau bracelet cornaline Pour le plaisir de porter de  beau bijou fantaisie</t>
  </si>
  <si>
    <t>3 manières de mettre en couleurs ! Cette petite valisette est bien remplie et offre à l'enfant de quoi découvrir et expérimenter des techniques différentes pour colorier le grand poster plié au font de la boîte. Le poster regroupe des scènes, des personnages et des lieux de contes pour enfants en un grand format. Les dessins cernés noir sont à colorier selon les inspirations de l'artiste. Il y aura de la place pour deux "colorieurs", chacun à un bout du poster : ça va raconter et rigoler ! La mallette aura une longue durée de vie et à mon avis servira de grosse trousse à dessin pendant des années.  Joli cadeau créatif.</t>
  </si>
  <si>
    <t>Papier wc de qualité Acheté pour une perdonne âgée.</t>
  </si>
  <si>
    <t>Très bonne qualité Le produit est conforme et correspond totalement au descriptif. Il est joli et d'excellente qualité. Simple d'utilisation, silencieux et rapide. Livraison rapide et sans problème. Je le recommande !</t>
  </si>
  <si>
    <t>Nickel Franchement très à l'aise avec pendant mon travail</t>
  </si>
  <si>
    <t>Sympa J'avais déjà commandé une bague (argent + bleu) qui était très bien, j'en ai donc pris une 2ème. La noir et dorée. Dans l'ensemble c'est une bonne bague, elle taille correctement mais la couleur à tendance à partir. Je conseillerais plus de prendre une argenté avec une couleur à l'intérieur plutôt que d'avoir une couleur principale</t>
  </si>
  <si>
    <t>nul j'ai commander du 45 taille anglaise 11 et résultat une taille beaucoup trop grande c'est facilement un 47. je ne sais pas ou ils vont chercher leur tailles.article à ne pas commander</t>
  </si>
  <si>
    <t>Fragilité du produit Le pendentif s'est cassé au bout de 2 jours.</t>
  </si>
  <si>
    <t>Jolie, réalisation correcte mais des détails qui fâchent à ce prix Côté design rien à discuter, on aime ou on n'aime pas.  Avantages : - base sans fil - bien équilibrée avec la hanse au dessus - gros débit d'eau quand on verse - l'eau ne rentre en contact qu'avec des surfaces inox, donc pas de risque de goût de plastique  Inconvénients : - relativement encombrante - aucune visibilité sur le niveau d'eau de l'extérieure - fabrication perfectible : le corps est en inox peint (extérieur n'est pas émaillé), quelques pièces en plastique à l'extérieur, hanse en métal creux - bouton en plastique finition chromé (assez cheap) - LED bleue style jackie qui casse complètement le style rétro de l'ensemble (détail assez ridicule franchement) - aucune isolation : le corps devient brûlant  Au final une bouilloire mignone mais vaut plutôt 45-50 euros que 80.</t>
  </si>
  <si>
    <t>Bon produit Bon produit, pratique.</t>
  </si>
  <si>
    <t>Pantalon très confortable Pas de remarques particulières. Pantalon très souple. Pris 2 tailles au dessus (XL au lieu de M). J'apprécierai plus en inter-saisons.</t>
  </si>
  <si>
    <t>Bien Pour le prix c'est correct. Plutôt confortable et pas trop lourdes .</t>
  </si>
  <si>
    <t>bonne taille bonne taille je l'ai commandé en bordeaux conforme contente de cette article.</t>
  </si>
  <si>
    <t>Crocs : taille grand, très grand ! Ma taille de chaussures est habituellement 43/44, j'ai donc tout naturellement choisi cette taille... Hors, à la réception, je constate que c'est plutôt équivalent à du 45/46. Je les ai donc renvoyées (procédure nickel !) et j'ai recommandé d'autres 2 tailles en dessous, et là, parfait.  Un point auquel il faut porter attention : suivant la couleur, le lieu de fabrication n'est pas le même. Les noires sont fabriquées en Italie, ce qui d'après les commentaires, est un gage de meilleure qualité (confort, odeur,...) on trouve cette information dans les photos, sur le dessous de la semelle.</t>
  </si>
  <si>
    <t>Montre Invicta Une excellente montre de très bonne qualité, pas trop grosse au poignet, automatique qui conserve longtemps le mouvement. Très satisfait</t>
  </si>
  <si>
    <t>Bon produit Après avoir longuement hésité à acheter ces bottes (en lisant les commentaires pas toujours rassurants ) je me suis laissé tenter. Et voilà maintenant 3 semaines que je les mets tous les jours pour descendre et monter de mon engin, marcher sur le chantier dans l'eau et la boue. Et j'en suis satisfait elles sont étanches et coquées. En espérant que ça dure mais pas de signes de faiblesse pour le moment. En espérant que ça vous aidera dans votre choix.</t>
  </si>
  <si>
    <t>Très bonnes chaussures Bonne chaussures, très légères</t>
  </si>
  <si>
    <t>Très joli collier Très jolie collier, commandé pour un bébé de 5 mois, il lui va un petit peu grand, parfait pour les mois à venir.  Finition soignée, pas de risque que l'enfant ouvre le collier, la fermeture par visse est dissimulée dans les pierres. Je recommande</t>
  </si>
  <si>
    <t>Excellent sac! Bonjour C'est un très bon sac facil et pratique, je l'utilise tous les jours pour aller à l'unnif il me convient parfaitement et possède une fermeture "magnétique" très bien pensée.</t>
  </si>
  <si>
    <t>Simple et prix raisonnable J'avais besoin d'une étiqueteuse. Celle ci est pratique, simple et pas trop chère. 6 tailles de polices, nombreux symboles et icônes, vraiment pas déçu de mon achat.</t>
  </si>
  <si>
    <t>A recommander J'utilise ce produit pour des maux de tête à appliquer légèrement mais aussi pour soulager les piqûres de moustiques etc... Très bon produit. J'en achète régulièrement. Très efficace....</t>
  </si>
  <si>
    <t>Bralelet Je ne le quitte plus. Il est très beau</t>
  </si>
  <si>
    <t>Magnifique Magnifique, je l'ai offert pour l'anniversaire de ma mère et l'a adoré, les finitions sont juste remarquables</t>
  </si>
  <si>
    <t>le soleil de la provence les produits naissance sont de très bonne qualité et très économiques car concentrés. Quel plaisir de se croire sous le soleil provençal en mettant quelques gouttes de cette HE dans le diffuseur!</t>
  </si>
  <si>
    <t>Chaussons Moelleux,chaud et pas trop bruyant</t>
  </si>
  <si>
    <t>Bonne matière A la bonne taille bonne matière</t>
  </si>
  <si>
    <t>Ravie excellent rapport qualité prix Conforme à la description et aux photos, La chaîne est fine est semble assez fragile Le pendentif est magnifique discret mais assez voyant</t>
  </si>
  <si>
    <t>La marque CANSON toujours égale à elle-même. La qualité CANSON est réputée et ne change pas au fil du temps. Mon mari et moi dessinons beaucoup (notre loisir préféré) et utilisons différents grains selon la méthode de dessin. Depuis peu sommes passés aux mandalas que nous imprimons sur feuilles CANSON. Bien sûr c'est un support épais mais pas de soucis de traverser ou d'accrocher le papier avec les feutres. Je recommande ces blocs.</t>
  </si>
  <si>
    <t>J'aime bien Taille un peux petite</t>
  </si>
  <si>
    <t>info éronnées des mots , encore des mots , ( douceur extréme - toucher velours - très grande résistance ( qui s'arrache méme plié en deux ) mais en réalité c'est un classique &amp;amp; a 50 % plus cher que la grande surface . piégé une fois, mais pas deux . prenez le autre part que chez eux .</t>
  </si>
  <si>
    <t>mauvaise qualité je deconseille</t>
  </si>
  <si>
    <t>Produit non conforme à l'annonce, je pense qu'ils voulaient dire 120 g et non 120kg!!! Je déconseille pour des objets en kg Très déçu par ce produit! Malheureusement pour moi, sans tester le premier que j'avais acheté, j'ai commandé un second. Cela, afin d'en avoir suffisamment pour recoller mon miroir de douche (. Bien qu'ayant parfaitement recouvert les tous  cotés du miroir, celui-ci a cédé, éraflant au passage ma baignoire. Je regrette vraiment cet achat et ne recommande pas du tout, à moins que vous voulez coller des objets de quelques grammes! Je voulais faire des économies en l'achetant, au lieu de ça,je me retrouve à refaire ma baignoire!!! J'aurais dû racheter celui à 10€ chez Leroy-Merlin qui était très résistant !!!</t>
  </si>
  <si>
    <t>confortable Chausse correctement , l'expérience sportive de TBS en fait une chaussure confortable et adaptée aux marches non  urbaines . Fabrication semble correcte .</t>
  </si>
  <si>
    <t>Bien Bon rapport qualité/prix</t>
  </si>
  <si>
    <t>Se réveiller différemment ça marche ! J'ai choisi ce réveil simulateur d'aube afin de trouver un palliatif au syndrome "réveil qui sonne sur le téléphone portable, je l'éteins puis je me rendors à jamais". On peut être dubitatif au début mais il faut avouer que la lumière permet d'émerger et de se réveiller presque naturellement. Réglé sur une durée de 30 min, j'ouvre souvent les yeux naturellement une dizaine de minutes avant et j'attends patiemment le chant des oiseaux pour me lever. La fonction "Crépuscule" est aussi bien trouvée, je m'en sers comme deadline pour aller me coucher.  Pour le prix, j'espère que la durée de vie de l'ampoule est au moins de dix ans. C'est vrai que les boutons auraient mérités d'êtres plus gros ou mieux disposés surtout pour celui qui sert à allumer la lumière. Et le choix des sons est assez limité (parmi 3 seulement...). Je n'ai pas testé la réception radio pour l'instant.  Je pense que l'investissement vaut le coup si comme moi vous voulez tenir la semaine de travail sans être brusqué tous les matins ! Pour ceux qui trouvent le prix élevé, faites la division sur dix ans allez, croyons en la non-obsolescence pour ce genre de produit !</t>
  </si>
  <si>
    <t>Conformes au descriptif &lt;div id="video-block-RHHVQM12J82KI" class="a-section a-spacing-small a-spacing-top-mini video-block"&gt;&lt;/div&gt;&lt;input type="hidden" name="" value="https://images-eu.ssl-images-amazon.com/images/I/B1nFns9wlvS.mp4" class="video-url"&gt;&lt;input type="hidden" name="" value="https://images-eu.ssl-images-amazon.com/images/I/A1W92a5wM4S.png" class="video-slate-img-url"&gt;&amp;nbsp;Ce sont de bons petits écouteurs Bluetooth qui font bien leur job. Ils sont effectivement waterproof et le micro est de bonne qualité. Ils sont livrés avec un chouette étui de rangement et des embouts de rechange. L'apparaige est rapide et ils ont été reconnus par tous mes appareils récents et plus âgés. Le système de fixation fait qu'ils tiennent très bien sur les oreilles et se font vite oublier. La durée de vie de la batterie me semble des plus correctes : je ne l'ai pas encore rechargée après plusieurs heures d'écoute. :-) Ça me semble être un bon rapport qualité prix.</t>
  </si>
  <si>
    <t>Beau et bon produit Mon avis est celui d'un novice. Je me contenterai de dire que le produit est assez bluffant par son aspect et son côté pratique. Je ne connais rien en jog, en fader, et autres pitchs, mais le produit est livré avec un logiciel très bien documenté. Il comporte deux platines, c’est-à-dire deux entrées, soit deux pistes que l'on peut jouer successivement ou mélanger. Côté DJ, je ne sais pas, mais pour créer une bande son originale pour un diaporama ou un film, c'est plutôt pas mal. Ceci dit. Si vous ne saviez pas ce qu'est un loop, un effet, un sample, un cue, ce petit appareil fera une excellente animation pour une soirée entre amis, une réunion familiale, et j'en passe. Pour un vrai DJ, vous resterez sans doute un amateur, mais avec beaucoup plus de connaissances et d'habileté qu'auparavant. Pour moi, les potentiomètres sont bien dimensionnés, et chaque bouton (pad), jog wheel, ou crossfader, remplit ses tâches puisqu'elles varient en liaison avec d'autre (comme sur PC, ctrl +…) Le logiciel apporte d'autre fonctions (echo, flanger, reverberation, chorus), il permet également d'agir sur les aigus et les boutons de la platine évitent d'avoir à aller rechercher la souris. À moins d'être très doué, je ne pense pas qu'il soit possible d'animer une soirée sans un minimum de préparation, donc ce qui manque sur la platine elle-même n'est pas catastrophique. Elle peut ne pas être dissociée d'un portable. Beau cadeau et bonne mise en bouche pour les futurs DJs.</t>
  </si>
  <si>
    <t>Sac poubelle Bien</t>
  </si>
  <si>
    <t>Top Ecouteurs.</t>
  </si>
  <si>
    <t>Très bon rapport qualité prix Rien à redire, elle remplit son rôle à la perfection ! Le manque de jauge externe pourra en gêner certains, mais quand il s'agit de faire chauffer de l'eau sans chercher une quantité précise, c'est parfait. Attention à la nettoyer régulièrement si vous avez une eau dure (calcaire), le filtre fait bien son boulot, mais la bouilloire devient bruyante si elle est entartrée.</t>
  </si>
  <si>
    <t>Très bon kit pour chaussures Très bon kit a chaussures mutli usage enfin il y a une gomme pas compris a quoi elle servait mais bon tout les produits sont là et efficace et la présentation et la on peut garder la boîte je conseille</t>
  </si>
  <si>
    <t>Produit fidèle aux descriptions. Achat effectué pour fabrication de lessive maison et autres.... Je suis très satisfaite de ce produit. Produit fidèle aux photos.</t>
  </si>
  <si>
    <t>bouilloire trés sympa rapide pour chauffer l'eau, j'adore la Led bleue qui est du plus grand effet, trés joli j'aime aussi le verre du recipient livré avec manuel d'utilisation et conseils d'entretien meme si son utilisation est trés simple</t>
  </si>
  <si>
    <t>Je recommande Très belle et originale, comme indiqué dans plusieurs commentaires, prenez une pointure  en moins. C'est mon cas j'ai pris du 41.5 au lieu de 42 et c'est super</t>
  </si>
  <si>
    <t>Tres bon sac Vraiment bien ! Je peux y mettre beaucoup d'affaire et très pratique</t>
  </si>
  <si>
    <t>Nickel Basket conforme, taille bien, a laise dedans</t>
  </si>
  <si>
    <t>Super qualité prix. L'image de puma (foot et cyclisme) dans les années 80. Retour dans le passé pour ma part ! Les Puma Super Kong, les Magic !</t>
  </si>
  <si>
    <t>indispensable deux goupillons en un... hyper pratique ! Je lutilise tous les jours,  produit conforme à la description. Je recommande. Au top</t>
  </si>
  <si>
    <t>sans hésité tout à fait conforme à la description ; après lecture des commentaires , j'ai commandé une demie pointure en dessous de ma taille habituelle et ceci correspond tout à fait; esthétique et confort au RDV ; gros + la livraison a été très rapide ( 3 jours pour un produit venant d'Italie)</t>
  </si>
  <si>
    <t>Très bon adaptateur poyr enceinte bose Remplit ses fonctions. J'avais égaré l'adaptateur livré avec mon enceinte bose sans fil. Et là, je peux à nouveau profiter de l'enceinte bose pour écouter de la musique via bluetooth de mon iphone, ipad. Le son est super.</t>
  </si>
  <si>
    <t>Super solide Les sacs poubelles les plus résistant que j’ai trouvé, les seuls qui ne craque pas ne perce pas ! Ultra solide !</t>
  </si>
  <si>
    <t>sac en bandoullière jolie sac avec bandoullière bien pratique et matière solide rangement pour les papier et les  autres affairs bien satisfait</t>
  </si>
  <si>
    <t>Oui je n'aime pas ... le prix HP nous oblige à acheter ses produits si on ne veut pas changer son imprimante. Pas le choix, les compatibles ne fonctionnent pas à 80 %, "obsolescence programmée", quasi de date à date, beaucoup d'utilisateurs sont de cet avis. En plus, quitte à changer la cartouche noire, il vaut mieux acheter le kit avec la cartouche couleur, vu les prix. Pour une utilisation intensive, mieux vaut changer d'imprimante.</t>
  </si>
  <si>
    <t>Article incomplet et très médiocre Colis reçu dans le câble d’alimentation (chargeur) renvoyé le jour même. J’ai pu l’essayer car la batterie était chargée. Son médiocre, notice peu clair et très minime. Impossible de le relier à un PC. Bref très déçu même si je ne m’attendais pas à une grande qualité au vu du petit prix.</t>
  </si>
  <si>
    <t>pas la qualité espèrée les boucles perdent de leurs éclats</t>
  </si>
  <si>
    <t>Bien mais pourrait mieux faire Aspirateur qui fait énormément de bruit et pourtant la puissance de l’aspiration n’est pas très impressionnante. C’est parfait pour des cendres mais moi qui pensais aussi l’utiliser pour aspirer les saletés dans le garage(gravillons, petites herbes etc... ) c’est raté... je me contenterai des cendres.</t>
  </si>
  <si>
    <t>Bonne tenue Très bien</t>
  </si>
  <si>
    <t>Très bien J ai trou aimes le collier c bon qualité</t>
  </si>
  <si>
    <t>ariver comme. prévu tres bien</t>
  </si>
  <si>
    <t>recommandé correspond tout à fait au descriptif</t>
  </si>
  <si>
    <t>parfait Nickel comme d'habitude chez all star ! A quand des all star liberty avec des lacets de couleurs. ???? Je suis obligée de les customiser pr ma fille de 11 ans....</t>
  </si>
  <si>
    <t>Très bon produit Très efficace. Utilisé sur des traces de moisissures sur la banquette arrière de ma voiture.</t>
  </si>
  <si>
    <t>Superbe montre Je suis totalement amoureuse de cette montre, tout le monde dit qu’elle est très stylée, idéal pour jeunes aimant le vintage</t>
  </si>
  <si>
    <t>vinaigre pour le ménage C'est un article que j'aime beaucoup et j'en ai fait de la bonne publicité à mes amies. Très pratique, efficace, pas cher et de bonne qualité.</t>
  </si>
  <si>
    <t>facile d'utilisation Cette bouilloire est de bonne qualite, on peut controler la temperature, cela nous convient bien avec le bebe</t>
  </si>
  <si>
    <t>Bon produit Super plastifieuse avec le massicot et plein de petits objet pour faire des créations</t>
  </si>
  <si>
    <t>Pas cher et très bien Super et deux fois moins cher qu'en magasin</t>
  </si>
  <si>
    <t>Un bon achat Le sac est fait avec des matériaux de bonne qualité. Il contient un nombre des poches suffisant : deux petites (une de chaque côté), une grande poche principale avec une fermeture éclaire et qui contient une petite poche avec une fermeture éclaire à l'intérieur, il y a aussi une poche sur côté de la poche principale.</t>
  </si>
  <si>
    <t>Très costaud! Enfin un goupillon qui résiste et ne rend pas l'âme au bout d'un mois d'utilisation! Poils très costaud et qui restent en place. Je suis ravie de mon achat. La gamme Philips Avent (biberons, disques, pots, goupillon) est de très bonne qualité!</t>
  </si>
  <si>
    <t>Compacte et pratique Petite bouilloire efficace pour un prix honorable. Joli design. Bonne prise en main. Vitesse de chauffe très correcte, avec arrêt automatique à la fin. Filtre anti calcaire amovible au niveau du bec verseur. En bref,: cette bouilloire remplit parfaitement sa fonction et n'a rien à envier à d'autres de même gabarit..</t>
  </si>
  <si>
    <t>Super biberon Super biberon et bonne prise en main, très contente moi qui achète que la marque MAM pour les biberons et sucettes</t>
  </si>
  <si>
    <t>Diffuseur Utilisation personnel très beau produit</t>
  </si>
  <si>
    <t>Biberon Master class! Du très bon produit venant de Phillips et évite parfaitement la rentrée d'air quelque soit son inclinaison, en tous cas notre p'tit bout, l' a vite adopté.</t>
  </si>
  <si>
    <t>De belles chaussures Afin de courir sur la terre et sur la boue, je me suis procuré cette paire de chaussures de sport. Je les utilise depuis 2 jours et j'en suis satisfait.  La taille est bonne, parfaite pour mes pieds. Les chaussures sont d'assez bonne qualité pour le prix. Pas grand chose a redire.  Au top</t>
  </si>
  <si>
    <t>moins cher et au top ! Parfait</t>
  </si>
  <si>
    <t>look sympa, confortable, mais .......... Je cherchais des chaussures confortables, sures mais qui ne me serrent pas le pied. Je les ai trouvé en plus avec un joli look et pas trop cheres. Pendant 6 mois parfait, mais voila le tissu se déchire le carton intérieur se dégrade…. Voila, c'est foutu, et pourtant pas trop sollicitées, travail a mi-temps, pas de liquide , rien de corrosif, juste de la pompe chinoise vraiment pas solide, bon, on va en chercher d'autres.</t>
  </si>
  <si>
    <t>Déçu du système de montage J'ai acheté ce bracelet, alors il est bien, beau et a l'air solide, cependant le système de montage livré avec est une vraie mer**... les embouts chargés de pousser les tiges se cassent, le support est mal calibré et peu solide, bref... Du coup je suis déçu de mon achat.</t>
  </si>
  <si>
    <t>Tétines qui fuient Biberon avec tétine qui fuie pas mal (tous ceux que j'ai acheté de la gamme Avent présente ce "défaut"... Ce n'est peut être juste pas adapté à mon bébé...</t>
  </si>
  <si>
    <t>LACUNE La bandoulière est vraiment quelconque ce qui malheureusement diminue considérablement la sacoche esthétiquement</t>
  </si>
  <si>
    <t>Bouilloire. Article très silencieux à température variable. Degrés réglables de 5 en 5 avec maintien au chaud. Facile d'entretient pour l'habillage chromé, traces de doigts facilement effaçable. En revanche gros point négatif car non isotherme! Les parois sont brûlantes et c'est inadmissible pour un produit de se prix la!!</t>
  </si>
  <si>
    <t>Parfait et conforme Conforme a mes attentes .</t>
  </si>
  <si>
    <t>PAS MAL Mon fils utilise ce produit sur son téléphone Samsung pour écouter la musique et il en est très satisfait. Merci</t>
  </si>
  <si>
    <t>C'est de la colle ni plus ni moins Bâtons de colle classiques et bien pratiques à utiliser même si chaque bâton de colle ne dure pas très longtemps.</t>
  </si>
  <si>
    <t>Pinceaux d'artistes Excellent pinceau il faut juste apprivoiser</t>
  </si>
  <si>
    <t>Super le vendeur Arrivé à la date prévue, le colis était nickel.</t>
  </si>
  <si>
    <t>Conforme Design, de bonne contenance,  bon rapport qualité/ prix, robuste,conforme au descriptif. Je recommande</t>
  </si>
  <si>
    <t>Sublime subtil et classe !! je suis un collectionneur de belles montres et cette montre à vraiment quelque chose que les autres n"ont pas.elle à une vitre teintée mais pas de trop le cadran change de couleur ( rouge ou bordeau ) selon ou l"ont ce trouve.. sont bracelet et de bonne qualité ainsi que le chronographe qui estcreusé et en relief.. elle a des reflet or.. le bracelet et a le design des montres de grandes marques..je vous la conseil !!..</t>
  </si>
  <si>
    <t>Bottine De bonne qualité</t>
  </si>
  <si>
    <t>Parfait Il diffuse vraiment bien, même dans une grande pièce. Il est beau la couleur de la lumière est choisie selon ses goûts : vraiment bien.</t>
  </si>
  <si>
    <t>PRESQUE PARFAIT TAILLE UN PEU PETIT SINON PARFAIT</t>
  </si>
  <si>
    <t>Taille 45 , parfait. Chaussures de très bonne qualité, la taille est bonne.</t>
  </si>
  <si>
    <t>Parfait Belle qualité</t>
  </si>
  <si>
    <t>Belle couleur Pour mon bébé de 16mois c'est parfait . Les crayons et feutre ont de jolie couleurs. Tiens bien dans ses petit mains. Seul Bémol la boîte est arrivé casser a la livraison vraiment dommage du coup je peux plus la refermer.</t>
  </si>
  <si>
    <t>Parfait en prenant 1/2 pointure en dessous Ado ravie, très belle couleur rouge.Taille grand, j'ai pris 37.5 à la place de 38 et c'est nickel. En plus très bon tarif sur Amazon.</t>
  </si>
  <si>
    <t>UNE TIERCE PERSONNE SEDUITE..... Une de mes connaissances m'a demandé de servir d'intermédiaire afin de lui procurer cette cartouche Canon... J'en profitais, aussi, pour faire conna^itre Amazon... Cela a très bien fonctionné car cette personne a fini par ouvrir son propre compte ! Selon ses dires, cette cartouche est la moins chère qu'elle ait trouvé sur le marché, à marque égale...</t>
  </si>
  <si>
    <t>Sympa Tres bien pour voitire sur ventilation et y mettre la senteur désirée avec divers tempons je recommande</t>
  </si>
  <si>
    <t>Très bon produit Très beau produit, de bonne qualité! Qui diffuse les huiles essentielles très bien ! Mais de plus il sert d’élément de décoration. Je recommande ce produit sans hésiter. Rapport qualité prix au top!! On peux choisir le temps de diffusion, il change de couleurs mais peut rester fixe également.</t>
  </si>
  <si>
    <t>fonctionne bien pour faire du thé par ex ! pratique et esthétique.</t>
  </si>
  <si>
    <t>J'adore cette marque Simplement j'adore!!! Ces petites chaussures confortables s'accordent avec n'importe quelle tenue. De plus elles donnent un air d'été avant l'heure.</t>
  </si>
  <si>
    <t>Pour les experts aux doigts de fées Les boucles d’oreilles sont très difficile à ouvrir et encore plus à fermer surtout une fois positionnées (si tant est qu’on arrive à les positionner). C’est vrai que le prix n’est pas élevé donc on ne s’attend pas forcément à de là top qualité mais là ce qui est dommage c’est qu’elles sont presque inutilisables et s’abîment très vite si on force un peu trop de désespoir</t>
  </si>
  <si>
    <t>très fine qualité médiocre elles sont super fines</t>
  </si>
  <si>
    <t>Cartouche défectueuse ma cartouche n'a duré que 8 jours au lieu d'un mois en utilisation habituelle. produit défectueux??</t>
  </si>
  <si>
    <t>Montre loisir avec un étonnant défaut J'ai acheté cette montre pour les loisirs, le sport. Son look est conforme à l'image. De mon point de vue, elle a un vrai défaut, étonnant, surprenant quand on évoque une technologie japonaise. Son verre n'est pas affleurant ?? il dépasse d'un 1/2 millimètre, pourquoi ? il va ramasser de la poussière et quoi d'autre ? c'est bizarre et bien incompréhensible. Je verrai à l'usage. Mais je ne mets que 3*. Je ne recommande pas cet article, je pense que le verre se heurtera tôt ou tard à une table, un objet et qui sait ce qu'il va abîmer ? le verre lui-même ou l'objet.</t>
  </si>
  <si>
    <t>Bien mais pas top L'esthétique est correcte mais la qualité n'est pas au RDV, ça se ressent dès l'emballage, difficile en effet de faire glisser les ciseaux sans que le papier en vienne à se déchirer plutôt que de se couper en laissant filer.</t>
  </si>
  <si>
    <t>Presques parfaits Ils sont étanches contrairement aux pots de conservation de la marque A****. Par contre pas possible d'écrire quelque chose dessus (date de tirage, ...) ça s'efface vite, il faudrait une zone ou l'encre tient jusqu'au lavage.</t>
  </si>
  <si>
    <t>Excellent! Reçu rapidement. Dès réception je l'ai mis en charge et essayé je jour même pendant 4 heures. Pas de problème même lorsque je m'éloigne à plus de 7 mètres de la source Bluetooth (télévision). A cette distance, et ce même avec des murs entre, le bruit de fond est très réduit. Les écouteurs sont très confortables et je ne les sens pas sur les oreilles. Je recommande ce matériel sans aucun problème!</t>
  </si>
  <si>
    <t>une bonne odeur de frais à l'ouverture de la machine à laver j'ai essayé Lenor Unstoppables Aérien Parfum de Linge en Perles 285 g - Lot de 3 en respectant les doses prescrites (et sans mettre le bouchon dans la machine, comme conseillé par le fabricant!) et j'ai été surpris à l'ouverture de la machine à laver par la bonne odeur qui s'est alors répandu. aussitôt mis au sèche-linge, les vêtements ont gardé cette odeur rafraichissante, et vu les températures qui remontent ces jours-ci, j'aurai du linge propre et qui sent bon!</t>
  </si>
  <si>
    <t>Très stylé Design parfait comme sur la photo Léger très stylé. Mais prévoir une pointure supérieur La qualité se jugera sur l'usage</t>
  </si>
  <si>
    <t>Chausse un peu petit prendre une pointure au dessus Bonnes chaussures de randonnée pour petit parcours pas trop accidenté</t>
  </si>
  <si>
    <t>Parfait Envoi rapide et bottes conformes à la photo et au descriptif. Une paire de plus à ma collection. Le vendeur répond aux questions posées. Un + pour lui.</t>
  </si>
  <si>
    <t>super produit blanchissant et désinfectant Je n'ai jamais eu de linge aussi blanc depuis que j'ai découvert ce produit deuxième commande et toujours aussi satisfaite . Livraison très rapide et conditionnement parfait</t>
  </si>
  <si>
    <t>Joué pour adultes très bonne qualité Joué pour adultes de très bonne qualité. Facile à nettoyer, agréable à utiliser. Commande marche/arrêt très sensible !</t>
  </si>
  <si>
    <t>Excellent rapport qualité/prix ! J'ai acheté le diffuseur comme petit cadeau pour ma mère. Elle en voulait un dans cette couleur, car elle a un salon "couleur noisette" et il a l'air bien avec ça. En ce qui concerne l'emballage, je dois dire qu'il était drôle et drôle. Mais cela n'a pas affecté la fonctionnalité. Les éléments suivants étaient inclus: brosse de nettoyage, manuel en allemand, chargeur et kl. Réservoir d'eau. Toutefois, vous devez commander séparément les huiles, car elles ne sont pas incluses. Il est facile à utiliser. Intervalle réglable bsp. 1 h. / 2h etc. Vous pouvez changer les bandes de couleur dans de belles couleurs. Une fois que l'eau est vide, le diffuseur se ferme également pour protéger le moteur. Il a également l'air très élégant décoratif.</t>
  </si>
  <si>
    <t>Tres satisfait Mon fils les portent tous les jours il est ravis</t>
  </si>
  <si>
    <t>J’adore GÉNIALE</t>
  </si>
  <si>
    <t>Parfait Simple, jolie et pas trop gros, parfait pour offrir a une jeune fille/femme</t>
  </si>
  <si>
    <t>Tip Top Très Bon produit .. Donne vraiment l'effet d'une 2ème peau .. Vraiment très fin et chaud .Envoie rapide . Je recommande ce produit .</t>
  </si>
  <si>
    <t>imperméable je ne l'ai pas encore essayé par forte pluie puisque il fait en ce moment très chaud, mais la matière est très agréable à porter et il taille très bien, à recommander</t>
  </si>
  <si>
    <t>Top compression Exactement le tee-shirt de compression que je cherchais. Idéal pour éviter les frottements lors de les sorties running. Taille L parfaitement adaptée à mon 1m90.</t>
  </si>
  <si>
    <t>Bracelet Montre Cuir Commande et réception dans les temps. Bracelet montre d'une bonne qualité et facile à monter. Hélas pour moi, j'ai commandé le bracelet en 20mm alors qu'il me fallait un 18mm.</t>
  </si>
  <si>
    <t>Biberon pratique Biberon pratique d'utilisation. Se dévisse en 5 parties : le fond, le joint qui est dans le fond, le corps et le support de tétine et la tétine. Il y a aussi un couvercle. Suffisamment large pour nettoyer à la main, mais tout passe au lave-vaisselle. Il faut veiller à ne pas trop serrer le fond et la tétine en vissant de manière à ce que l'air puisse circuler quand le bébé boit. Plusieurs choix de tétines de cette marque qui sont toutes adaptables sur tous les biberons quand bébé grandit. Le fond en creux permet au bébé de l'attraper pour boire lui même lorsqu'il est plus grand. Je ne sais pas si c'est le système anti-colique mais mon fils n'en a effectivement jamais eu.</t>
  </si>
  <si>
    <t>Montre superbe et bracelet Superbe montre, gros cadran dans le style diesel</t>
  </si>
  <si>
    <t>Diffuse et garde mal la chaleur Joli lot de bouillotte  , j'étais contente au déballage car très peu d'odeur mais très déçue à l'usage  . Diffuse et garde très mal la chaleur. Je vais donc en acheter d'autres.</t>
  </si>
  <si>
    <t>N'achetez pas 1er lavage et toute les parties blanche se sont collées entre elles, impossibles de les décollés, bon pour la poubelle  En plus j'ai commandé un L qui s’avérait tailler comme un XS</t>
  </si>
  <si>
    <t>Surtout de pas acheter Rapport qualité très mauvais. Colis reçu avec emballage cassé sans protection colis ouvert. Très déçue de ce cadeau. Après le 1er utilisation tâches noires au fond de la bouilloire. Je ne suis pas difficile mais vu le prix on s'attend à de la qualité... Plus jamais aicok</t>
  </si>
  <si>
    <t>Bien Fait le travail mais le produit n'est pas d'une grande qualité</t>
  </si>
  <si>
    <t>👍🏻👍🏻 Collier très beau fermoir qui visse donc très bien pour bébé Mis en double autour de la cheville 👍🏻👍🏻</t>
  </si>
  <si>
    <t>Bon produit. Excellent rapport qualité/prix Montre sportive très complète, chiffres claires et visibles. Dommage que les variations de pression ne sont pas affichées en permanence sur la barre de milieu.</t>
  </si>
  <si>
    <t>Correct Bon produit pour son prix, avec ventilateurs intégrés pour le pc portables. Je l'utilise pour les claviers et souris d'un pc fixe depuis le canapé. Le gabarit est tout juste adapté pour le clavier, le plateau suffisament spacieux pour la souris. Seul petit bémol, un léger ressentis "bon marché" quant à la qualité des matériaux car légèrement bancale (mais cela reste négligeable), ne gêne pas l'utilisation, même pour le jeu au clavier et à la souris. Reste à voir la solidité au fil du temps.</t>
  </si>
  <si>
    <t>support scotch j'ai choisi cet objet parcque j'en avais besoin et qu'il est amusant avec de belles  couleurs ; pratique, j'ai tout de même un souci le pied qui sert à couper le scotch sort de son espace</t>
  </si>
  <si>
    <t>telecommande J'ai pris cette telecomande pour ma mere qui est professeur a l'universite. C'est un produit tres utile, facile a utiliser, a distance assez grand, peut etre recharge a l'ordinateur, montre l'heure et peut pointer avec du laser. Je recommande vraiment le produit 😍</t>
  </si>
  <si>
    <t>Top Très bonnes tétines. Convient très bien à un bébé de 1 mois et plus surtout si il boit vite.</t>
  </si>
  <si>
    <t>PARFAIT Chaussures de bonne qualité, mon mari amputé d'une jambe ne peut mettre que ces chaussures ! faciles à mettre, confortables et tiennent bien le pied.</t>
  </si>
  <si>
    <t>J’adore😍 J’avais tort la taille très bien la qualité aussi</t>
  </si>
  <si>
    <t>Super! Un très bon rapport qualité prix! Le plastique est très solide et résistant. Il est de qualité tout comme les finitions (en plus envoi vendeur très rapide!). A recommander sans soucis, ma carte grise est bien protégée! En plus comme il est transparent, si on est contrôlé pas besoin de le sortir de sa protection puisque tout est visible!</t>
  </si>
  <si>
    <t>Pochettes perforées usage intensif A4 Excellent produit. J'en suis tellement satisfait que j'en ai recommandé. Et la différence de prix se justifie par rapport à des pochettes de moins bonne facture, qui se froissent et se déchirent.</t>
  </si>
  <si>
    <t>Super basquettes Pointure comme souhaitée, pompes magnifiques</t>
  </si>
  <si>
    <t>beau et résistant! Très joli papier qui peut servir en toutes circonstances de par ces couleurs. Il est très beau et surtout de très bonne qualité par rapport au petits rouleaux vendus en grandes surfaces. Quant on connait aussi les prix des rouleaux de 2X0.70 m, on se dit qu'on va  vite le rentabilisé ! vu le nombre de paquets déjà emballés avec, je ne regrette pas mon achat loin de là! Je recommande vivement cet article.</t>
  </si>
  <si>
    <t>Super qualité à un super prix ! Article arrivé avec 1 jour d'avance Impeccablement emballé par le fabriquant. Très robuste et très facile à installer.. Contrairement à ce que j'ai pu lire dans un commentaire: les 2 moniteurs sont forcément réglés à la même hauteur et le bureau peut être pratiquement collé au mur, tout dépend de la grosseur des câbles qui descendent (pour ma part, ayant beaucoup de câbles, il y a un espace d'environ 2 cm entre le bord du bureau et le mur). J'avais des doutes car mon bureau n'est pas profond (60cm) mais le bras convient tout à fait même sur un espace réduit, les écrans ne sont pas trop avancés sur le bureau, il y a beaucoup de possibilité de réglages pour placer les écrans à sa convenance. Il fait effectivement gagner beaucoup de place sous les écrans !  Bref, je recommande vivement cet article !  Juste un bémol, le clips sur le bras principal a cassé lorsque j'ai voulu faire passer tous les câbles... Il faut dire que j'avais bien forcé. C'est un peu dommage,mais pas très genant..</t>
  </si>
  <si>
    <t>top top meme au lavage</t>
  </si>
  <si>
    <t>excellent rapport qualité-prix le cuir est d'une grande souplesse, mais solide, l'ensemble de la chaussure est très bien conçu.</t>
  </si>
  <si>
    <t>COOL BON PRODUIT</t>
  </si>
  <si>
    <t>Bonne tong Je suis content de mes tong crocs,elles sont agréables a porter et ne me font pas mal au terme de la journée.</t>
  </si>
  <si>
    <t>trés bonne alimentation après une livraison catastrophique 2 jours de retard , cette alim à redonné vie a mon raspbérry pi 3, elle supporte même un disque dur externe auto alimente . que du bonheur pour le moment.</t>
  </si>
  <si>
    <t>Bof Le verre trempé  ne fais pas tout l'écran donc cela a poser problème pour écrire  avec les lettres sur le coter</t>
  </si>
  <si>
    <t>Trop petit J'avais commencer une taille 42 on me renvoi du 41.</t>
  </si>
  <si>
    <t>bon produit Produit qui semble efficace , je ne sais pas si cela a un lien de cause a effet mais peu de temps aprés avoir vider un sachet de ce produit dans mes toilettes, ma fosse septique sentait beaucoup moins a l'exterieure.  par contre il faut tirer la chasse plusieurs fois pour que tous le produit soit évacué</t>
  </si>
  <si>
    <t>Il fait mal au dos Il fait mal au dos</t>
  </si>
  <si>
    <t>Conformes Taille un peu grand, je fais du 39, j'ai préféré garder cette pointure et une semelle pourrait être utile bien que je puisse les porter ainsi quand même. Couleur conforme.</t>
  </si>
  <si>
    <t>Top Même si ce n'est pas l'original, elle ce porte bien, parfaitement étanche le bracelet est costaud bref génial</t>
  </si>
  <si>
    <t>Pour les fans Le sweat a la mode pour la série à la mode</t>
  </si>
  <si>
    <t>confortable Ces chaussures sont confortables, et la couleur est sympa. Dommage qu'elles soient un peu chaudes avec la fourrure intérieure !</t>
  </si>
  <si>
    <t>Victoria Les chaussures sont magnifiques, je les adore!!</t>
  </si>
  <si>
    <t>A conseiller Des écouteurs arrivés complètement chargés ainsi que la base ( 100 % - indiqué sur le dessus) . Peu gourmande en énergie,  cela fait 2 semaines que j'ai ces écouteurs et je n'ai pas encore chargé la base ( actuellement elle est à 85%) j'utilise les écouteurs env 2 heures par jour puis je les range dans sa boîte qui fait chargeur.  quand on les mets dedans ils sont légèrement aimantés et donc se positionnent bien pour charger. On entend bien. Appairage facile avec un samsung s8+ Les embouts sont de bonne qualité et il y a des petits ou gros embouts. Livrés avec une sorte de pochette pour transporter le tout Très pratique le système bluetooth,  pourquoi je ne les ai pas acheté avant !</t>
  </si>
  <si>
    <t>Je recommande Bon confort très bonne adhérence sur sol mouillé.</t>
  </si>
  <si>
    <t>R.A.S Bon rapport qualité prix. Ni trop fins ni trop épais.</t>
  </si>
  <si>
    <t>Produit de qualité Reconmende</t>
  </si>
  <si>
    <t>Super Livraison rapide. Je l'utilise surtout en thermos pour transporter l'eau chaude pour faire les biberons. 24h après l'eau est toujours chaude! Super contente de mon achat!</t>
  </si>
  <si>
    <t>Évaluation Tout à fait conforme au descriptif, matière très agréable taille parfaite je le recommande très bon achat pour le prix qui est vraiment correct.</t>
  </si>
  <si>
    <t>Formidable Tres joli</t>
  </si>
  <si>
    <t>bon produit cette graisse est  très bien  car elle pénètre bien  en profondeur dans  ma veste en cuir , après un bon lustrage  elle est comme  neuve et je la recommande vivement  pour toute les vieille vestes ( blousons) en cuir .  c'est une graisse de qualité.</t>
  </si>
  <si>
    <t>Waouuuuu Formidable rien à dire</t>
  </si>
  <si>
    <t>Petit  et très pratique pour prendre cours en audio Quand j’ai reçu le produit j’ai eu peur en voyant la dimension ...très très petit . Je le mets dans ma trousse . Acheté pour prendre cours en amphi et TD il remplit parfaitement son travail . J’ai modifié la qualité des enregistrements au minimum pour augmenter ma capacité de stockage et c’est impeccable . La batterie tient très longtemps pour l’instant . En amphi , je précise je suis dans les premiers rangs évidemment. Le son est bon avec des écouteurs de préférence . Excellent rapport qualité prix et si petit que personne ne le voit Le point négatif c’est l’ecran tout petit et donc il faut avoir de très bon yeux pour le menu ! Je ne regrette pas mon achat</t>
  </si>
  <si>
    <t>A recommander Très bel article pratique avec ses nombreuses pochettes grande capacité et fermeture adaptée couleur très agréable et adaptée à l'homme</t>
  </si>
  <si>
    <t>super ! Super confortable et super look pour mon ado ! La chaussure est bien finie, assez épaisse pour tenir chaud pendant l'hiver. La marque est à la mode, tout pour plaire à cette tranche d'âge.</t>
  </si>
  <si>
    <t>Rapport qualité prix Très bon produit et à un bon prix</t>
  </si>
  <si>
    <t>tissus trop fin, aucun rembourrage qualité décevante !  je vois le jour au travers du fond. le dos n'est pas matelassé, le tissus est bien trop fin. TRES décevant, retour effectué !  acheté 28€ en promo, il en vaut moins...</t>
  </si>
  <si>
    <t>Très déçu Les coulisses glissent mal, impossible de bien refermer le sac. Je suis très déçu car de la même marque j'avais acheté des sacs à coulisses en supermarché qui se fermaient très bien.</t>
  </si>
  <si>
    <t>Ne pas acheter Rapport qualité prix nul. S'arrête tous seul sans de connection de la prise. Qualité du son très basse</t>
  </si>
  <si>
    <t>Tee-shirt vraiment basique et fragile Pas grand chose à dire, ne vaut pas plus de 15 euros. Le mien "bouloche" un peu après l'avoir porté à peine 3 fois. c'est du Nike mais ce n'est pas mieux que du produit de supermarché. Taille L OK pour moi qui mesure 1,83. J'en avais pris 2 j'en ai renvoyé un car pas vraiment d’intérêt (ni technique, ni beau ni pas cher)</t>
  </si>
  <si>
    <t>Son moyen Par rapport à une sous marque... ben y a pas de différence... je m attendais à mieux de JBL</t>
  </si>
  <si>
    <t>Efficace et pratique Arrivé rapidement, ce peigne- brosse est parfait pour enlever les poils et les petites brindilles qui s'accrochent...seul bemol: un petit dur pour les petits chiens peut-être un peu doudouille ; )</t>
  </si>
  <si>
    <t>Bien dans l'ensemble J'ai renvoyé la première paire , car le pied gauche s'est déformé au soleil . À part cela , dans l'ensemble , assez satisfaisant , une belle paire à petit prix .</t>
  </si>
  <si>
    <t>Super content ... à 90% Pourquoi 90% ? Simplement que la qualité du micro est vraiment déplorable , nul , je dirais même ! J'ai acheter un micro sur pied , a part . Maintenant , c'est mon avis , faites en ce que vous voulez ... Si non , faut dire , confort , génial , qualité de son ,génial ( les basses profondes sont très agréable , le câble peut-être un peu court . Voilà voilà ...</t>
  </si>
  <si>
    <t>Nickel Rempli son rôle Rapport qualité prix super</t>
  </si>
  <si>
    <t>pas de problème que demander à un sac poubelle? il est resistant, la taille convient, je ne mets pas 5 etoiles car il ne se ferme pas tout seul et ne va pas tout seul dans l benne à ordure ;-)</t>
  </si>
  <si>
    <t>Top Je recommande</t>
  </si>
  <si>
    <t>Sans problemes Comme toujour les produits NUK are bien accepté de notre baby.  Seulement les sugettes are tres ou tros cher.  Les reultat avec le NUK Biberon Nature Sense sont le meme.</t>
  </si>
  <si>
    <t>😉 Impeccable</t>
  </si>
  <si>
    <t>Commentaires L'appareil est conforme à mes attentes. Je le recommande à toutes personne pour les fêtes, les snack et augers festivities.</t>
  </si>
  <si>
    <t>Le compagnon du vidéo reporter sur smartphone Parfait je l'utile avec mon Xperia z5 pour utiliser un zoom h6 comme source audio. Son parfait et tout d'un coup mon mobile devient emetteur audio 4g avec 4 micro xlr.</t>
  </si>
  <si>
    <t>Bonne qualité Très bonne qualité, je ne suis absolument pas déçue du produit</t>
  </si>
  <si>
    <t>jean impeccable</t>
  </si>
  <si>
    <t>Un kit essentiel pour l'arrivée de bébé Si on ne peut pas ou on ne veut pas allaiter au sein ou tout simplement si l'on pratique l'allaitement mixte.  La forme de la tétine se rapproche bien de celle du sein maternel, ce qui facilite la transition entre le biberon et le sein. Les tétines sont vraiment à débit lent : un enfant ayant eu l'expérience de biberon à débit plus rapide aura peut-être du mal à téter dans un premier temps, par contre pour un bébé ayant l'habitude du sein (qui demande bien plus d'effort pour téter) c'est parfait !  Sinon le pack est très complet : 2 petits biberons, 2 grands, et une tutute et goupillon, vous avez tout pour vous lancer dès la réception (après stérilisation). Je regrette par contre, qu'à prix quasiment équivalent (2€ d'écart) Tommee Tippee vende ce kit coloré "fille" avec moins de pièces que le kit neutre, c'est un peu rude... Je trouve notamment dommageable, le fait qu'il n'y ait pas dans ce kit les tétines débit moyen proposées dans le kit neutre et qui permettent de changer la tétine des biberons si bébé n'a pas assez de force (ou de patience) pour les tétines à débit lent. C'est gonflé de la part de la marque de supprimer 2 tétines et une tutute et de vendre ce kit au même prix... çà fait cher la couleur !  Pour les parents, la forme des biberons Tommee Tippee est agréable et facile à tenir en main, même si on a de l'arthrose (ce n'est pas réservé qu'aux personnes âgées !), ils ont par ailleurs facile à nettoyer grand à leur large col.  Un achat basique qui permet d'attendre sereinement l'arrivée de bébé.</t>
  </si>
  <si>
    <t>Excellent rapport qualité-prix Super rapport qualité-prix ! Bon son, bonne portée, connexion facile à établir. L'adaptateur petit jack -&amp;gt; gros jack est un vrai plus. Je recommande !</t>
  </si>
  <si>
    <t>Très satisfait Très satisfait. Montre achetée il y a 2 ans, et toujours en parfait état, solide et précise. Je cherchais une montre, pas trop épaisse, des chiffres bien visibles... et cette montre correspond parfaitement.</t>
  </si>
  <si>
    <t>😭😍 Toujours aussi magnifique.</t>
  </si>
  <si>
    <t>Écouteurs agréables à mettre Écouteurs achetés pour faire du sport. Très satisfaite du son. La boîte de rangement et de chargement est bien faite et pratique.</t>
  </si>
  <si>
    <t>Super chauffe biberon ! Un peu septique avant l'achat après consultation des avis ... Je ne suis pas du tout déçu de cette achat ! Au contraire ! Il n'est peu être pas super sophistiquée avec 50 milles bouton mais il fait le Job ! Trouvé la bonne quantité d'eau selon la contenance de vos biberons et voilà, bébé peut dégusté tout de suite. Je le recommande à 200% !</t>
  </si>
  <si>
    <t>facile a utiliser simple et performant pour mon usage;pas trouvé réglage volume sur micro,</t>
  </si>
  <si>
    <t>J'aime le design de ce casque Très doux et léger. Amoureux de Bluetooth 5.0, qui se connecte instantanément avec mon téléphone. Toutes les fonctions de contrôle à partir du bouton fonctionnent en appuyant doucement. La qualité sonore est excellente et claire, avec des basses profondes. Mic fonctionne bien. Réduisez le son extérieur. Petite valise pouvant être conservée dans la poche. J'adore la structure, repose parfaitement dans mon oreille et ne tombe pas (je l'ai essayé en courant sur tapis roulant). Plus de 4 heures de vie de la batterie. Et des charges rapides en raison du type-C. L'ajout de touches tactiles serait parfait pour cet écouteur.</t>
  </si>
  <si>
    <t>sans plus je suis un peu deçu je ne vois pas de pouvoir détachant, encore moins désinfectant, mon linge est le même qu'avant , dommage</t>
  </si>
  <si>
    <t>Manque d'info sur votre site Bonjour, Je ne peux pas fournir une note objective car j'ai découvert sur Le petit livret fourni avec le produit que ce dernier n'était pas conseillé pour les porteurs de stents, de pacemaker et/ou de cancer. Il se trouve que je suis porteur des trois car j'ai en plus une leucémie. Je pense qu'il aurai été important de le signaler sur votre site car je n'aurai pas fait cet achat. Comment dois-je procéder pour vous retourner ce produit svp.  Je suis un de vos fidèle client et j'espère que vous me faciliterez la tâche? Cordialement</t>
  </si>
  <si>
    <t>Ne fonctionne pas avec une pédale de distortion Ne fonctionne pas entre ma pédale de distortion et mon ampli. Dommage...</t>
  </si>
  <si>
    <t>Juste et puis c’est tout. Ce microphone aurait pu être intéressant mais le son n’était pas à la hauteur de ses concurrents sur cette gamme de prix. A cela ce rajoute une qualité de son qui c’est largement détérioré au fil des mois après l’achat... Bref trop juste pour le conseiller. [EDIT] le micro est inutilisable, mieux vaut économiser pour un micro de meilleur qualité que celui ci.</t>
  </si>
  <si>
    <t>bon compromis La chaine fournie n'est pas la même que sur la photo mais le prix est très intéressant rien que pour le pendentif</t>
  </si>
  <si>
    <t>A offrir En association avec les boucles d'oreilles pour faire 1 jolie parure</t>
  </si>
  <si>
    <t>Qualité Casio ! Les plus : Très bon rapport qualité/prix comme souvent avec Casio. Le bracelet est très souple et aussi de bonne qualité.  Les moins : Les aiguilles ne sont pas phosphorescentes. La glace semble être en matière plastique et non pas minérale comme indiqué pourtant.</t>
  </si>
  <si>
    <t>Coussin massant très agréable pour se détendre Moi qui ai des problèmes de dos et de cervicales,je recommande vraiment ce produit. Un moment de détente parfait après une grosse journée. Le seul bémol c est qu il faut se caler le dos avec des coussins pour ne pas être trop appuyé sur les boules de massage au risque d être douloureuses. Mais tellement efficace pour dénouer les noeuds que l on arrive aisément à trouver une solution pour se caler</t>
  </si>
  <si>
    <t>Fait son affaire Juste dommage qu'ils ne soient pas repositionnables.. A la 1ère utilisation, j'ai voulu en décoller quelques uns collés par accident et ça a déchiré le (joli) papier cartonné auquel il s'était fixé. Au moins dirons nous, preuve qu'ils collent bien...</t>
  </si>
  <si>
    <t>Remplacement d'un bracelet d'origine de 18 mm de large encrage de la montre Je suis vraiment content de ce bracelet, pour remplacer mon bracelet d'origine d'une montre Casio, dont je n'ai pas pû trouver le bracelet d'origine, en plus tout les outils nécessaires inclus dans le kit, à recommander !</t>
  </si>
  <si>
    <t>Feutres de très bonne qualité et ne bavent pas sur les feuilles. J'utilise ces feutres pour faire de l'art thérapie sur des dessins a impression très fine. C'est un régal de les utiliser. J'aime bien cette marque car très bonne qualité. J'y acheté régulièrement maintenant.</t>
  </si>
  <si>
    <t>parfait fonctionne parfaitement. merci les génériques !!! marre des marques qui se gavent avec des marges de fou. on a ici un produit de remplacement qui fonctionne très bien, je recommande vivement. mon seul regret : j'aurai du en prendre plus pour réduire les coûts !!</t>
  </si>
  <si>
    <t>good vibrations 7ème ciel garanti</t>
  </si>
  <si>
    <t>Je conseille vivement Alors sans langue de bois, je m'attendais à une copie moyenne de airpods. Et bien deja rien à voir avec des airpods, le design est vraiment different, tres sobre. Je suis vraiment supris par la reduction du bruit qui est vraiment pas mal, mais surtout par la qualité de la musique, même si les basses pourraient être plus pêchues. Le fait qu'ils soient intra-auriculaire est un gros plus! Un peu difficile d'utilisation de manière instinctive, mais avec la notice c'est niquel! Je recommande.</t>
  </si>
  <si>
    <t>Biberon Nikel</t>
  </si>
  <si>
    <t>parfait J'ai acheter basket blanche pour ma petite sœur un taille plus petit que elle porte! et la livraison rapide, emballage  parfait, produit origine, propre neuf, très joli! je recommande la site amazon a tout le monde sans hésitation et les converse aussi! Merci</t>
  </si>
  <si>
    <t>Parfait Utilisées en complément de l'album photo Hama Jumbo Album-photo Fine Art, ces pastilles autocollantes sont géniales ! Faciles à décoller de leur support et à mettre en place derrière les photos, elles tiennent très bien place (à voir au fils des années mais bon). Je recommande !</t>
  </si>
  <si>
    <t>Très bien pour le prix. Impeccable !!! Attention toutefois, bien qu'elle ressemble à une G-Shock, elle n'en est pas une, pas de chrono ni de lumière non plus. Mis à part ça et vu le prix, excellente montre 👍</t>
  </si>
  <si>
    <t>Une bonne surprise Franchement pour une dizaine d'euros c'est une bonne surprise. La batterie est correcte, et bien que le son chargé de basse et mou en médium si caractéristiques des intra-auriculaires de qualité médiocre, faut avouer que ça fait le taf. Le micro est pas excellent non plus mais dépanne, et pour couronner le tout la latence générale de l'appareil est très correcte  Bref, je recommande</t>
  </si>
  <si>
    <t>Indémodable Un classic ...</t>
  </si>
  <si>
    <t>Super produits Chaussures au top pour le travail confortable solide et résistant</t>
  </si>
  <si>
    <t>Sacoche Lacoste Très jolie sacoche d'un bon format..pratique,ni trop grande ni trop petite..et comme toujours la qualité lacoste</t>
  </si>
  <si>
    <t>Bon rapport qualité prix épaisseur satisfaisante, bon prix, doux et agréable pour les petites fesses de toute la famille! lol Un paquet me tient 1 mois et demi, ce qui représente plus que je n'espérais à la base!</t>
  </si>
  <si>
    <t>Très bon bracelet. Bracelet reçu rapidement et dans d'excellentes conditions. Le bracelet est très bien protéger et il s'adapte parfaitement. Il contient trois attaches, le bracelet et deux outils pour régler ce dernier. Jusque là, je suis entièrement satisfait. Le bracelet alourdit la montre mais c'est normal étant donné qu'il est en métal.</t>
  </si>
  <si>
    <t>À fuir ! Produit arrivé sale. Travail bâclé, on voit toutes les bavures. De plus, la batterie est de 500mA et non pas comme les 1800mA annoncés.... La qualité sonore est mauvaise. Beaucoup trop cher pour la qualité (ou médiocrité) finale</t>
  </si>
  <si>
    <t>Grosse déception Une bassine simple aurait fait l'affaire. J'attendais mieux pour le prix, je trouve que c'est une honte. Aucun massage, vibration trop forte, impossible en appartement ça gênerait les voisins. Les composants à l'intérieur sont d'une part très mal placé et ne servent à rien. Trop dur pour le pied, gênant, au bout d'un moment ça fait presque mal. Les accessoires sont nul de chez nul ça ne sert strictement à rien. Je ne sais pas si je le renvoie ou j'en fait cadeau.</t>
  </si>
  <si>
    <t>Bof Bof</t>
  </si>
  <si>
    <t>Encre pour Canon Très bon produit évidemment mais cartouches d'encre vraiment trop chères! Dommage qu'il n'existe pas ces cartouches d'encre dans d'autres marques pour faire baisser le prix</t>
  </si>
  <si>
    <t>Simple et efficace Je l’ai offert pour l’anniversaire de ma mère et elle est ravie, simple efficace et plutôt zen avec de la luminotherapie. je trouve juste que les musiques de réveil sont un peu courtes et du coup répétitives. Mais sinon produits simple et efficace merci</t>
  </si>
  <si>
    <t>Bien Utilisation facile</t>
  </si>
  <si>
    <t>Utile Bon rapport qualité prix</t>
  </si>
  <si>
    <t>Bien Pour mon fils</t>
  </si>
  <si>
    <t>? Taille petit mais bon</t>
  </si>
  <si>
    <t>très belles créoles produit de belle qualité, conforme et même mieux que sur la photo. Feront un très beau cadeau avec un joli écrin</t>
  </si>
  <si>
    <t>Parfait Ce produit est l’une de mes meilleures trouvailles, pour ma part la taille correspondait parfaitement à mes attentes, ma plus grande crainte s’averait être la qualité du tissus (matière) et contre toute attente je n’en suis pas déçue. De plus je l'ai reçu en avance donc que demander de plus ?</t>
  </si>
  <si>
    <t>Leger et puissant concentré de technologie Un petit concentré de technologie il fait bluetooth  ,écouter la radio,recevoir des appel tout petit ne prend pas de place on peut le mettre dans la poche facile a utiliser je mens suis servie pour faire du sport nickel je vous le recommande au top</t>
  </si>
  <si>
    <t>TRES SURPRENANT... j'ai acheté ce casque car son apparence me plaisait et vu son prix ... jusqu'à présent j'utilisais des oreillettes et quand on écoute de la musique , le son semble etre entendu au sommet du crane ce qui est normal ; j'ai bien utilisé d'autres casques , certes bon marché mais pas mieux . Mais avec celui là , l'audition est très surprenante , la musique est bien entendue dans chaque oreille mais la voix du chanteur sur des vidéos comme dans The Voice par exemple est bien centrée et c'est comme si le son venait bien de sa bouche devant le micro ... je ne sais pas comment ça marche mais cela donne une toute autre écoute et de qualité en plus .... vu son prix vous pouvez tenter l'expérience .</t>
  </si>
  <si>
    <t>Bon produitBien Bien pour la pôle dance</t>
  </si>
  <si>
    <t>Produit réglable. Super Super produit réglable. Sélection de la température, récipient en verre. Très bon rapport qualité prix !</t>
  </si>
  <si>
    <t>rempli bien son rôle le poignet est bien soulagé, le gel à l'air d'être résistant et ne s'est pas trop creusé depuis 1 an, le tapis en lui-même reste en bon état et ne s'use pas trop</t>
  </si>
  <si>
    <t>Satisfaite Satisfaite. Le noir n’est absolument pas transparent 👍🏻. Taille bien adaptée. En revanche, je le trouve un peu court en longueur sur la jambe. Plutôt du 7/8ème. Seul petit défaut pour moi.</t>
  </si>
  <si>
    <t>Une très belle montre, agréable et légère Cette montre est excellente, elle est confortable, légère et une sensation de robustesse au niveau du cadran et des attaches du bracelet. Le bracelet en lui même est très "doux", rigide à l'arrivée mais après deux heures, il prend la forme du poignet. Le mécanisme automatique semble très bien fonctionner, beaucoup de détails qui attire l’œil. Montre très "tape-à-l’œil" du à son architecture "Skeleton" et sa grande taille (47mm pour le cadran). La montre est arrivé 3j en avance, dans un emballage Amazon adéquat et non abîmée, contre signature.</t>
  </si>
  <si>
    <t>parfait pour les petites mains De bons crayons pour les tous petits, facile à prendre en main, s'effacent facilement, la trace qu'ils laissent est lavable. On peut écrire sur une feuille, par terre, sur les vitres...  Je recommande!</t>
  </si>
  <si>
    <t>Perfecto Pablo Vraiment super ....je vais beaucoup plus vite avec ses bottes qu'avec mes anciennes j'ai gagné environ 15 km heure vitesse moyenne quand je me déplace dans mon jardin, seul petit problème tous les 4 tours il faut que je fasse un arrêt au stand</t>
  </si>
  <si>
    <t>Très agréable à porter Article acheté pour randonnée</t>
  </si>
  <si>
    <t>Qualité et confort. Suivant les autres avis j'ai pris une taille xl, mais je pense taille l aurait suffit. Très bonne qualité, confortable après une longue scéance de sport.</t>
  </si>
  <si>
    <t>Huile de ricin 1l Excellent produit sauf le Bouchon étais casser sur ceux tout est était parfait.</t>
  </si>
  <si>
    <t>probléme trop chiant les couleurs change un coup oui un coup non ces pénible on appuie rien ne se passe impossible de trouvez la couleur rouge bon vu le prixlol !!! dommage la lampe est jolie et sympa bien penser mais voila !!!!!!!</t>
  </si>
  <si>
    <t>Déja en panne Bonjour  Après 1 heure de marche le distributeur est déjà en panne!! Que dire de plus!! Fortement déçu par ce produit!! Je ne recommande pas ce produit .</t>
  </si>
  <si>
    <t>confortable mais attention pas en cuir! La qualité et le confort de la marque est là mais très déçue car le modèle n'est pas en cuir comme annoncé. Du coup le rendu est moins joli et le prix devient beaucoup moins intéressant.</t>
  </si>
  <si>
    <t>Cartouche Samsung MLT-D111S Cartouche imprime parfaitement très bon rendu, mais ne tiens pas ses promesses de nombres de pages imprimées. Sinon rien à redire</t>
  </si>
  <si>
    <t>Bijoux  d occasion très bon état Très joli tendances à mettre tout les jours.</t>
  </si>
  <si>
    <t>Très beauu La chaîne est très fine et  le pendentif est joli. C'était pour un cadeau d'anniversaire. Il a plu et elle l'a trouvé très beau. C'est livré dans un coffret.</t>
  </si>
  <si>
    <t>Ras Conforme à la commande livraison rapide manque un peu de confort</t>
  </si>
  <si>
    <t>Qualité irréprochable Ces écouteurs sont vraiment nomades, avec une durée de batterie et un son plus que correct, ils m'accompagnent au quotidien pour aller au travail !</t>
  </si>
  <si>
    <t>Tres bon produit! Livraison rapide! Tres satisfaite du produit!</t>
  </si>
  <si>
    <t>Chaussette livraison rapide Livraison rapide bien taillé , conforme a la photo et description .</t>
  </si>
  <si>
    <t>Excellent produit Excellent écouteur sans défaut notable. C'est du tout bon... À acheter les yeux fermés</t>
  </si>
  <si>
    <t>Bel effet Reçu tres rapidement ma commande. Correspond à mes attentes, reçu beaucoup de compliments sur mon collier.</t>
  </si>
  <si>
    <t>Le meilleur pour bébé ! Je suis adepte des biberons mam depuis la naissance de mon fils ! Et même si j'ai eu l'occasion de tester d'autres marques ... Rien à voir !</t>
  </si>
  <si>
    <t>Très bon produit J’avais besoin d’ecouteurs bleutooth pour pouvoir charger mon téléphone (iPhone X ) et écouter de la musique en même temps, et ces écouteurs correspondent parfaitement à mes attentes, petits prix et bon produit, ainsi que les couleurs du produit.Très facile d’utilisation.</t>
  </si>
  <si>
    <t>vans conforme Ma fille porte les Vans , elle très contente et pour ma part aussi vu le prix en promo et zéro frais de port, echange gratuit en cas ou. Chaussure confortable, chausse 39 et a pris du 39. Parfait.</t>
  </si>
  <si>
    <t>Excellent Rapport "Qualité/Prix" A l'ouverture du colis, j'ai déjà été séduit par la qualité de l'ensemble avant même de l'avoir utilisé. Le "Design" est top ! Ne bouge pas d'un poil dans les oreilles, pas de gênes après plusieurs heures d'écoutes. Il y a 3 tailles de "Bouchons". Très léger : moins de 5 grammes. Qualité de son très bonne par rapport au prix. Le contrôle tactile semble un peu compliqué à la première utilisation, mais après une bonne prise en main il permet beaucoup de choses : Lecture, Pause, Avant, Arrière, Rejet d'appel etc.... Attention à bien charger avant la première utilisation pour éviter les problèmes de connexion Bluetooth. Autres + : Le boitier peu servir de batterie de secours pour le Téléphone !!!, et petite pochette en tissu de transport dans le kit. Livraison très rapide et bien emballée : Merci Amazon !!!</t>
  </si>
  <si>
    <t>BEAU PRODUIT Ce sac répond à mes attente,il n'est ni trop grand ni trop petit. Le cuir est beau, la réalisation soigné et le style agréable.</t>
  </si>
  <si>
    <t>Bonne surprise Très sympathiques et relativement accessibles. Les basses sont bonnes et tapent bien. La boîte muni d’un port usb-c fait office de chargeur. La Boîte intègre une batterie pour ne pas avoir besoin de les laissés branchés, très pratique pour les charger en journée. La boîte dispose d’un port usb permettant aussi de charger son smartphone en cas de coup de pompe et c’est une excellente idée. L’affichage digital du pourcentage de batterie est bien vu ! Ils sont légers et agréables à porter. L’ensemble passe inaperçu dans son sac. Vaut largement ceux d’apple Pour 4x moins cher !</t>
  </si>
  <si>
    <t>TRES BEAU PRODUIT !!! Très content de notre achat, très belle et de bonne qualité !!!</t>
  </si>
  <si>
    <t>Puma noires. Taille 40 J’aime tout!!! Le modèle, la couleur, les larges lacets... je les porte quasiment tous les jours avec pantalons, jeans, jupes, robes ou même shorts. Je n’ai pas encore essayé les lacets en satin fournis mais dès que je le ferai, je mettrai un mise à jour. bien prendre votre taille car ça taille bien.</t>
  </si>
  <si>
    <t>Fossil bracelet Très bien Ne regrette pas ce petit plaisir dans cet achat Très léger à porter et discret Très bien emballé</t>
  </si>
  <si>
    <t>Superbe besace en cuir Besace en cuir que j'ai pris en couleur noir, le sac est composé de 2 parties, une partie centrale où l'on peut mettre un macbook pro sans aucun soucis, tablette tactile etc, l'autre partie est un peu plus petite, mais peut accueillir tout de même une tablette tactile, le cordon d'alimentation du portable, ou autre. Sur la premiere partie il y a une grande poche zippée, d'autres petits poches sont disponibles sur le devant de la sacoche, il y a suffisamment de poche pour pouvoir ranger une quantité d chose, smartphone, crayon stylo, porte feuille, batterie externe, etc..  Je trouve le design du sac vraiment réussi, un petit coté Vintage que j'aime beaucoup. A savoir que l'on peut ranger les anses du sac dans 2 poches zippées qui se trouvent sur chaque coté du sac, bien bonne idée. Il est fourni avec une bandoulière ajustable, on peut donc le porter soit sur l'épaule, soit à la main par ses anses. Niveau finition rien à redire, c'est soigné, les matériaux sont de bonne factures, le rapport qualité prix est très correcte.</t>
  </si>
  <si>
    <t>Superbe Montre Superbe montre acheté il y a plus de un an et qui ne m'a jamais fait défaut alors que je l'utilise Quotidiennement dans des contexte parfois assez rude..... Du pur G-shock ! Vous pouvez foncer!</t>
  </si>
  <si>
    <t>Bottes sécurité Bottes confortables mais au bout de 15 jours la semelle devant la botte ce coupe et du coup prend l’eau!!!vraiment déçu 😔</t>
  </si>
  <si>
    <t>Batterie défectueuse en moins de 2 mois Ce casque a bien fonctionné, s'est connecté facilement, mais le volume est toujours revenu à son maximum lorsqu'il a été rebranché, ce qui est une nuisance.  Cependant, la batterie est tombée en panne au bout d'environ 6 semaines - juste en dehors de la période de retour, et je n'ai pas pu trouver un moyen d'utiliser la garantie, ou même écrire au fabricant - alors j'ai dû les jeter.  Soyez averti - peu fiable, et je ne recommanderais certainement à personne de les acheter.</t>
  </si>
  <si>
    <t>Surtout pas Une étoile, c'est encore trop.  La lumière bleue est un gadget inutile, il aurait mieux valu prévoir un arrêt automatique et travailler davantage la conception de cet appareil qui s'avère non seulement insatisfaisant mais aussi, dangereux :  lorsque l'eau arrive à ébullition, même si la bouilloire n'est pas remplie au maximum (1l au lieu de 1,7l) elle déborde et inonde d'eau bouillante l'endroit où elle est posée. En plus, le couvercle ne s'ouvre pas complètement et le filtre est fixe, ce qui rend le nettoyage difficile . La notice en Français (!!) vaut le détour... Je déconseille absolument.</t>
  </si>
  <si>
    <t>Post it photo Pas tres epais pour la pose de photos sur le temps</t>
  </si>
  <si>
    <t>Attention au support utilise S'utilise sur les vitres, carrelages... Je l'avais acheter pour utiliser sur une peinture ardoise, mais après avoir effacer, il reste les traces visibles de ce qui était écrit! Cependant sur vitre ou carrelage, super</t>
  </si>
  <si>
    <t>Bon rapport qualité prix C'est la 2° montre identique que j'achète. La première a 5 ans et, portée tous les jours montre des signes d'usure sur le boitier: l'argenté laisse la place à la résine couleur rougeâtre. Pour le reste tout fonctionne bien après 5 ans. Dommage que le boitier ne soit pas en acier.</t>
  </si>
  <si>
    <t>Génial ! J'adore !!! Excellent et idéal pour faire du vélo ! (Aucun soucis avec le casque de vélo et les branches de lunettes.) Un peu cher mais je voulais pas prendre le risque d'être déçu par un produit bas de gamme. Son très bon (basses tout à fait correctes). On peut tenir une conversation téléphonique tout en roulant modérément. J'enlève une étoile pour le connecteur propriétaire ! même si la connectique aimantée est pratique et l'autonomie semble prometteuse vu que j'en ai pas encore vu la fin...</t>
  </si>
  <si>
    <t>Commentaires des autres acheteurs conformes au produit Très bien pour dormir ou à la maison. Commentaires des autres acheteurs conformes au produit</t>
  </si>
  <si>
    <t>chaleur les bottes sont très confortables, les finitions de belle qualité, et le confort dans la botte est superbe. elles tiennent très chaud. Vivement la neige !</t>
  </si>
  <si>
    <t>Parfait Super . Conforme a la description</t>
  </si>
  <si>
    <t>Bon produit Un produit pour de bonne qualité /prix. Les écouteurs ce rechargent viteb et dure assez longtemps. J'avais peur qu'ils ne tiennent pas mais au final je ne suis pas déçu.</t>
  </si>
  <si>
    <t>question Quelle taille faut il prendre pour quelqu'un comme moi qui fait 1m80 et 65 kilo??? Besoins d'avis et de renseignements svp ;)  ?</t>
  </si>
  <si>
    <t>Excellent produit Produit de marque réputée petit bémol Jack 6 alors que la plupart des appareils HIFI sont dotés de jack 3 J'ai du commander un adaptateur Sinon je suis satisfait d'Amazon</t>
  </si>
  <si>
    <t>parfait super tetine avec les 3 vitesses, convient dès la naissance de bébé , nettoyage facile avec goupillon ou dans le lave vaisselle, tenue parfaite, je recommande ce produit.</t>
  </si>
  <si>
    <t>Un super rapport qualité / prix Que dire, ci ce n'est que pour un pack micro "cheap", il vaux le coup ! Utilisé avec une carte son externe (ayant sa propre alimentation +48v), le micro est parfait ! Très bonne reproduction sonore, pas de saturation, l’alimentation fantôme livré avec fonctionne correctement également. Les accessoires inclut avec son bien également, bonne qualité, ce monte parfaitement sur un bureau !  Le seul point négatif que j'ai remarquer, c'est que le bras n'est pas rotatif ... (Ceci dit, si l'ont desserre légèrement la vis de maintient, sa fonctionne).</t>
  </si>
  <si>
    <t>Parfait Utilisation habituelle toujours parfaite</t>
  </si>
  <si>
    <t>💜👏♦♥ SUPERBE BIEN MIS CLASSE 3ième Paires ce mois ci ce sont mes première Timberland les Original et les Radford ce sont des chaussures ont ce sent comme dans une pantoufles où genre Basket 👏</t>
  </si>
  <si>
    <t>Je recommande basket issue du recyclage très classe Très belle basket de grande marque  très solide produit complètement fait à partir de recyclage un produit écologique issu du recyclage et facilementoi recyclable très légère et prix très attractif livraison rapide</t>
  </si>
  <si>
    <t>sac a dos parfait, beau, solide, avec pochette, prix super correct, ma fille est ravie, et il est des pratique pour l'école. je recommande,</t>
  </si>
  <si>
    <t>Feutres à tableau Feutres efficaces,bien effaçables sur les tableaux blancs et qui durent longtemps. Un peu gros pour les trousses et les ardoises des écoliers par contre,plutôt pour des grands tableaux.</t>
  </si>
  <si>
    <t>Chaussette Conforme à la commande le produit à l’air de qualité , j’aurai aimé avoir plus d’information sur les traitements chimiques effectué sur le textile</t>
  </si>
  <si>
    <t>Très sympathique Très beau bijoux!! Il est assez fin et la pierre n'est  pas très grande mais c'est assez beau et fait un bijoux délicat, discret et raffiné.  Attention la chaîne ne semble pas très grande ... pour les "gros" poignet il faut faire attention.  En se qui concerne les vertues de ce dernier, je vous en direz plus dans quelques mois mais je croise les doigts ...</t>
  </si>
  <si>
    <t>la qualite super je n attendaispas mieux</t>
  </si>
  <si>
    <t>Zippo Briquet super aucune fuite aucun défaut Je le conseille vivement aux collectionneurs et aux autres. La photo est conforme à l article reçu</t>
  </si>
  <si>
    <t>:( Très déçus de cette montre beaucoup trop grosse et nous fluorescente dans le noir je n'ai pas l'heure ce qui me dérange beaucoup</t>
  </si>
  <si>
    <t>Je vous les déconseille ! Jai achetée  2 écouteur et les deux  on même pas durée 2 semaine sans aucun problème  , très inquiétant ..</t>
  </si>
  <si>
    <t>Qualité moyenne Utilisé sur un bracelet Pandora. Le caoutchouc s est retiré de la partie argentée au bout de 15 jours...</t>
  </si>
  <si>
    <t>Agréable à porter... Maintien 👎 Très agréable à porter. Prix sympa. Bémol toutefois... Maintien pas terrible mais commun à ce genre de lingerie 🤷</t>
  </si>
  <si>
    <t>confortable c'est un petit peu trop grand, justes 2 doigts qui passent derrière, j'ai changé les lacets trop flachy pour une usine lol. Super confortable, je recommande pour ceux comme moi qui à des halgus valgus aux deux pieds ;)</t>
  </si>
  <si>
    <t>Tout y est !!! Montre acheter depuis peu, fonctionne très bien, et semble être ma préférée sur toute celle que j'ai acheté. Elle est de taille passe partout, discrète, et aussi légère. Résiste aux travaux extérieurs. Radio pilotée sans problème. Je suis satisfait.</t>
  </si>
  <si>
    <t>Très pratique Kit très pratique. Il suffit de les laver à l'eau chaude rapidement et c'est bon. Je n'ai jamais eu de soucis avec. Et avec cela pas de risque de fuite étant donné que l'ouverture se fait par le bouchon.</t>
  </si>
  <si>
    <t>Fini les tâches ! Qui ne veut pas un linge parfaitement propre en sortie de machine ? Vanish détachant  votre meilleur allier pour venir à bout de toutes sortes de tâches, graisses, vin, sucre etc... Plusieurs méthodes d'emploi sont prévues selon l'importance de la tâche, la plus radicale étant à froid de verser avec le doseur fourni une petite quantité de produit directement sur la tâche frotter légèrement et la vous êtes sur du résultat, plus de tâche sans décoloration du linge pour autant.L'autre méthode consiste à mettre une dose de Vanish directement en machine le résultat sera un peu plus aléatoire mais gommera les tâches moins rebelles. Un bon produit pour résoudre un problème récurent sur toute sorte de linge.</t>
  </si>
  <si>
    <t>Très jolie Chaussures de très bonne qualité! acheté pour les cours de sévillane de notre fille elles sont parfaites...</t>
  </si>
  <si>
    <t>LE STYLO GENIAL Sur des cartons d'invitations "étiquettes marron" il fait bel effet en blanc. Ne coule pas, écriture fine. A AVOIR EN PLUSIEURS COULEURS TOUJOURS SOUS LA MAIN.</t>
  </si>
  <si>
    <t>Très bien Pas cher et de bonne qualité. A conseiller</t>
  </si>
  <si>
    <t>Baskets Ras</t>
  </si>
  <si>
    <t>Impeccable Envoi rapide et soigné. Belle couleurs vives et bonnes glisse sur le papier (ça évite les dérapages et les ratures pour ma petite perfectionniste qui en ai très satisfaite) Pour ma part c'est le prix qui m'a le plus satisfaite surtout quand on connait la durée de vie de feutres entre les main d'enfants.</t>
  </si>
  <si>
    <t>Génial Au top !!! super confortable bel effet. Autant cool que classe Elle sont vraiment bien</t>
  </si>
  <si>
    <t>Ok Le cristal bleu en forme de cœur est brillant. Le petit animal est incrusté de cristaux qui font des reflets. Comme indiqué c'est un bijou fantaisie (pas en métal précieux). La chaine peut etre portée en "raz du cou" ou en collier normal (selon position de fermeture).</t>
  </si>
  <si>
    <t>Enfin un réveil en douceur Fini les réveils brusques avec sonnerie ou les pubs à la radio... même se réveiller en plein sommeil profond n est plus un problème. Je le recommande sans problème.  Je l ai acheté pour offrir et puis je m en suis offert un aussi</t>
  </si>
  <si>
    <t>Ma montre csio Tres bekke montre et moins chere</t>
  </si>
  <si>
    <t>Hyper pratique, discret et efficace - un must malgré le prix Je me suis bcp renseignée avant d investir dans le free style vu son prix. Aucun regret, pr moi c'est un indispensable pour peu qu'on désire allaiter un maximum malgré la reprise du boulot.  Hyper compact, discret et efficace Le grand plus : la liberté et possibilité de bouger qd on tire son lait. Batterie qui a une belle autonomie, cela m'a permis de tirer mon lait ds ma voiture entre 2 rendez vous et lorsque nous sommes partis en vacances en voiture j'ai pu tirer mon lait qd mon mari roulait et bebe dormait. Très Pratique aussi de pouvoir bouger facilement sans être reliée à une prise. Ex si je tire mon lait et l'entend pleurer je peux me rendre à son chevet sans avoir à arrêter l'expression du lait en plein milieu. Discrétion assurée grâce à la taille et le sac de rangement. On l'emporte facilement et discrètement partout et il est assez léger (on peut même le mettre dans sa poche) La tétine medela pour nous fonctionne super bien et je la recommande vivement contrairement à d'autres commentaires mais à vous de trouver ce qui convient le mieux à votre bébé. Pratique et discret le sac de rangement et la petite trousse avec glaçon pour garder le lait au fais. J'aime l'écran digital clair, la facilité d'utilisation pour augmenter ou diminuer la force de succion, personnellement je n'utilise pas l'enregistrement des données car je trouve plus facile de faire le réglage de l'intensité manuellement en fonction du moment. En 8 minutes on peut déjà avoir 100ml de lait exprime (dépend en fonction du moment, et des tétées précédentes) Pour moi le double pompage est de moindre utilité. Je ne l'utilise pas mais si vous avez le soutien gorge spécial ça peut être utile je pense. Le prix est élevé au départ, à considérer comme un investissement si vous comptez continuer à allaiter votre bébé. Je l'utilise depuis les 3 mois de mon fils que j'allaite à la demande, quand je suis avec lui il tête au sein et sinon il a mon lait tiré avec le free style. Il a 6 mois et grâce au tire lait on a pu continuer l'allaitement. Un des sets pr le pompage n'est plus aussi efficace qu'au départ, ce n'est plus aussi hermétique au niveau de l'air probablement dû à l'utilisation, donc il ses peut qu'a un moment il faille les remplacer.</t>
  </si>
  <si>
    <t>Article conforme au descriptif Vendeur serieux .Livraison rapide Très bien .</t>
  </si>
  <si>
    <t>Je recommande Impeccable</t>
  </si>
  <si>
    <t>taille grand prendre une pointure en dessous sinon c'est inutilisable, sinon ce sont de bonnes slipon vans qui vont bien pour le skate, la plage, la promenade pépouse ...</t>
  </si>
  <si>
    <t>Conforme a la description J'ai tester le produit qui est solide et fonctionnel, commande reçu rapidement.  Je recommande ce produit.  Bonne journée et merci bien.</t>
  </si>
  <si>
    <t>Très légère au pied J'utilise ces baskets quasiments tous les jours elles sont très légères au pieds je suis très bien dedans</t>
  </si>
  <si>
    <t>Bien mais trop bas Je viens de le recevoir et malheureusement le support est trop bas, quand je pose mon casque dessus (arctis pro) ça appuie sur la prise casque ce qui peut l'endommager avec le temps, je ne peux donc pas l'utiliser pour mon casque..  Sinon le support est léger et du coup il ne prend pas trop de place vu sa petite taille. Il serait top pour un casque sans fil</t>
  </si>
  <si>
    <t>Déçu Adapte comme prévu en taille mais après les avoir lavé à 30 degrés 2 taille en dessous C était la première fois que J achetais des vrai crocks mais je ne recommencerais pas puisque toutes mes autres paires n ont jamais bougés même sI il s agissait de sandale aussi de bonne qualité Super déçu avant de les laver je les trouvais très confortable Dommage</t>
  </si>
  <si>
    <t>Beau pendentif trois couleurs avec le strass au milieu Pendentif : Longueur 180mm et largeur 150 mm, les différents anneaux n'étant pas soudés ensemble cela donne un très beau volume au pendentif.  La chaine par contre est très fine et longue d'environ 45 cm s'emmêle facilement dans les anneaux et cela seulement après une journée ou je l'ai portée = raison des 3 étoiles uniquement.</t>
  </si>
  <si>
    <t>super Super produit très satisfaite marche tous les jours</t>
  </si>
  <si>
    <t>Livraison très rapide , bon prix et bon qualité Très bon qualité et  confortable</t>
  </si>
  <si>
    <t>Je recommande bon adhérence J'ai acheté ce produit pour fixer les moustiquaires</t>
  </si>
  <si>
    <t>Biberon en plastique, super tétine ! Les bib sont tout à fait conforment mais il d’agit de plastique et je voulais du verre. Je les ai renvoyé et j’ai pris ceux en verre. Les tétines sont parfaites. Aucun souci</t>
  </si>
  <si>
    <t>Super mais changement Toujours très confortable chaussure mais la languette n est plus en cuir !! Économies, économies .... c est un peu dommage.</t>
  </si>
  <si>
    <t>Ualité produit et sonnore parfaite J'ai acheté ces écouteurs par curiosité compte tenu de son prix extrêmement bas. J'avoue être "estomaqué', très léger, ils tiennent bien dans les oreilles et la sonorité est parfaite. Je n'ai, pour le moment écouté que 2 films. Je recommande.</t>
  </si>
  <si>
    <t>parfait commandé un 41 pour mon mari, et parfait aux pieds, un peu dur au départ, mais normal il faut que ses pieds se fassent à la chaussure, maintenant quand il rentre, il les met de suite :)</t>
  </si>
  <si>
    <t>Je le recommande Idem</t>
  </si>
  <si>
    <t>Super produit bémol sur le nettoyage !!!! Super produit pour viser le zéro déchet toutefois les gourdes ne sont pas faciles à nettoyer.</t>
  </si>
  <si>
    <t>A commander sans hésiter Reçu très rapidement, je suis content, la taille en 43 parfait pour moi, la couleur comme je voulais, confort comme prévu, bref tout va bien :)</t>
  </si>
  <si>
    <t>Conforme Beau rendu et conforme au descriptif.</t>
  </si>
  <si>
    <t>impeccable Je chausse du 43,j'ai commandé du 42 comme préconisé et elles me vont comme un gant :) Bref, je suis tout à fait satisfait de mon achat.</t>
  </si>
  <si>
    <t>Parfait Un transformateur qui transforme du courant..... pour alimenter un produit (enceintes bose) sensible. Je fais confiance dans la marque !</t>
  </si>
  <si>
    <t>Excellent sac "poitrine" Je cherchais une "banane" mais a poser sur sa poitrine (histoire d'avoir tout devant soi et à portée de mains) et je dois dire que celle-ci est réellement d'excellente qualité. D'allure robuste, bien finie, disposant d'un grand nombre de poches (2 en façade, 1 de côté très profonde et une petite pour le portable avec fermeture à lanière), elle ne me quitte plus. Je recommande vivement.</t>
  </si>
  <si>
    <t>Gros gros gros problème Collectionneur de casques AKG depuis longtemps et professionnel de l'Audio, je m'autorise à prétendre que ce casque est une tuerie pour un budget ridicule. Plusieurs points sont très très dangereux cependant : - la concurrence pourrai en mourir - ceux qui le trouvent nul pourront flatter leur surdité avec un Beat ou un Marshall avec toutes les basses baveuses qui leur iront bien - ideal pour savoir ce que l'on enregistre mais ne pardonne rien - tarif vraiment ridicule en rapport de la qualité de restitution hors norme.  Pour ceux qui souhaitent un boost dans les basses, il existe plusieurs méthodes, dont celle qui consiste à acheter une série spéciale Massdrop.  Mais tel quel, ce casque est démoniaque.</t>
  </si>
  <si>
    <t>Belle sacoche, nombreuses poches Sacoche avec de très nombreuses poches permettant d'y loger beaucoup de choses.</t>
  </si>
  <si>
    <t>Jolie bouilloire au Design vintage Très joli design. Efficace mais assez bruyante pendant le temps de chauffe. Je ne regrette pas mon achat. Ensuite Voir sur la durée...</t>
  </si>
  <si>
    <t>cartouche encre noire conforme à l'originale</t>
  </si>
  <si>
    <t>Cartouches J'achète toujours cette marque pour mon imprimante</t>
  </si>
  <si>
    <t>le tissu est léger et doux Le câblage est soigné, le tissu est léger et doux, l'élasticité et les respirabilités sont très bonnes, et le corps est usé pour modifier le corps et sera acheté à nouveau.</t>
  </si>
  <si>
    <t>Déçu Jai eu un faux très déçu. Et collier pas adapté</t>
  </si>
  <si>
    <t>Mauvaise qualité Jolies ... mais boucles d'oreilles de mauvaise qualité et tellement légères qu'elles se plient et se cassent.  Ce ne sont pas des cristaux Swarovski.  Une pierre est tombée la première fois que je les ai portées.</t>
  </si>
  <si>
    <t>Je ne recommande pas du tout Beaucoup trop petit Très mal taillé très mauvaise finition Et de plus cela fait bientôt 1 mois que j'attend mon remboursement</t>
  </si>
  <si>
    <t>Confortable Personnellement prendre une  taille au dessus , lanière un peu serré qui du coup fais reculer les pieds dans la chaussure . A l'air confortable.</t>
  </si>
  <si>
    <t>pas très répétable je pensais en achetant cette marque avoir quelque chose de plus sérieux concernant la répétabilité des mesures des écarts constatés de plus de 1° au même endroit à quelques secondes d'intervalle à éviter pour les bébés compte tenu de ces dérives pour les adultes, ma foi, ca donne déjà une indication</t>
  </si>
  <si>
    <t>Très satisfait Très jolie montre. J'aurai voulu une G-shock mais les prix n'était pas raisonnables. J'ai donc choisi celle-ci. Magnifique, assez simple d'utilisation, sobre et élégante. J'aurais aimé pouvoir choisir la langue des jours de la semaine et pouvoir "pousser" les aiguilles pour dégager les écrans numériques, mais à part cela, parfaite. J'ai aimé pouvoir régler la taille du bracelet moi même avec l'outil fourni. Très simple à faire, sans effort et sans connaissance particulière.</t>
  </si>
  <si>
    <t>Le top Efficace</t>
  </si>
  <si>
    <t>bon pour hivers ok chaud  au pied ;un  trop juste par rapport a taille indiquee  apres plusieurs lavage pas trop d efiloches  ; a conseiller</t>
  </si>
  <si>
    <t>Vraiment bien et facile à monter, mais... Si vous voulez monter 2 écrans de 27", ce modèle, est un peu "juste", si vous voulez vraiment changer l'orientation du deuxième écran, dans mon cas, j'ai un écran pile en face de moi, et l'autre déporté sur le coté.  Pour cette raison, je vais changer pour prendre le modéle qui accepte les écran 32"  2éme chose à savoir, si vos écrans son de la même marque, aucun problème pour les aligner, mais moi, j'ai un Dell et un AOC, bien que physiquement la taille des écrans soit la même, l'emplacement du support à 4cm d'écart sur la hauteur...  Soit je bricole mon support, soit il prendre des bras a ressort Gaz, pour compenser la différence, pour pouvoir les aligner...  a part ces deux "détails", je recommande cet achat, c'est solide, facile à monter, le résultat rend vraiment bien.</t>
  </si>
  <si>
    <t>Très bonne qualité pour le prix chaussures de tous les jours vieillit très bien</t>
  </si>
  <si>
    <t>Rock Solid ! Toujours fidèle à Citizen après 25 ans de plongée (et après avoir essayé d'autres marques). Qualité, solidité, esthétique sont bien là. Vendeur et livraison impeccables. Ces montres "Ecodrive" (elles ont une pile qui se recharge à la lumière du soleil) sont pour moi le meilleur rapport qualité/prix actuellement sur le marché pour les activités subaquatiques et de plein air.</t>
  </si>
  <si>
    <t>Au top Ecouteurs achetés pour ma fille pour son anniversaire .mon conjoint les a essayé et en est  ravis.E n plus d'un joli design, le son est bon .je pense que ma fille sera contente.</t>
  </si>
  <si>
    <t>Génial Très facile d’utilisation et petit format impeccable</t>
  </si>
  <si>
    <t>Satisfaite Très jolie Bola de grossesse. De bonne qualité et bien solide</t>
  </si>
  <si>
    <t>Pour le sport en résille ! Ce T-shirt à manches longues, avec passe doigt à chaque extrémité, est agrémenté de bandes façon "résille" aux avant-bras et en dessous du ras de cou.  Le joli flocon, sigle de la marque, donne une touche amusante à gauche du vêtement.  La matière, composée de 90% de polyamide et 10% d'élasthanne, est souple et très agréable à porter. Le lavage se fait à 30°. Il ne doit pas être repassé, ce qui serait d'ailleurs inutile au vu de la matière.  Il n'a pas de couture gênante et est idéal pour la gymnastique. Seyant, il se porte avec un short ou un legging de sport.&amp;nbsp;&lt;a data-hook="product-link-linked" class="a-link-normal" href="/Aurique-en-propose-d-ailleurs-un-assorti/dp/B07CQ6NCDZ/ref=cm_cr_arp_d_rvw_txt?ie=UTF8"&gt;Aurique en propose d'ailleurs un, assorti&lt;/a&gt;.</t>
  </si>
  <si>
    <t>parfait produit conforme tissu un peu fin mais très belle coupe</t>
  </si>
  <si>
    <t>Facile d'emploi et qui dure longtemps sans le recharger Rien à redire ! Ça marche très bien à chaque coup, et allume pratiquement presque n’importe quoi. Pas encore recharger depuis sa mise en route, et premier chargement. Facile à utiliser, et sur aussi, car pas de gaz dedans ! Niveau sécurité, c’est très bien. Pas de recharge de gaz à remplir, donc un cout pratiquement quasi nul, mis à part l’électricité pour le recharger. Presque parfait ; Il aurait été encore mieux si il y avait un petit anneau pour l’accrocher dans la cuisine….car debout il se tient pas trop bien et tombe souvent, si on le bouscule un peu. Ça se résout avec un petit crochet autocollant au dos, et un clou/visse sur le mur, et ça prends moins de place.</t>
  </si>
  <si>
    <t>Très bien, transporteur colis privé à proscrire La taille est parfaite et conforme à la description.  Cependant, Amazon est passé avec le transporteur colis privé, 2 semaines pour avoir le colis au lieu de 2 jours. Je déconseille fortement ce transporteur</t>
  </si>
  <si>
    <t>Correspond à la commande et livré  l’heure Je suis ravie</t>
  </si>
  <si>
    <t>Satisfait Produit conforme à la description, reçu bien emballé avec deux petits biberons tout mignons pour nouveau né et deux biberons un peu plus grand, ainsi que des tétines + tututes et bien sûr la brosse pour laver. Pas encore testé maisnje ne doute pas de la qualité des produits.</t>
  </si>
  <si>
    <t>bons câbles pas de surprises, bon câble milieu de gamme, solide, souple, conforme au prix et à l'attente, belle couleur, bon achat</t>
  </si>
  <si>
    <t>Ta mere Ne supporte pas trop les basses sinon excellent à conseiller</t>
  </si>
  <si>
    <t>Positivement surpris Très bonne qualité sonore, surtout lorsque la réduction de bruit est activé. De bonne basse, la voix est clair. J'utilise surtout dans les RER parisiens et la réduction est assez importante. En écoute à volume normale on entant très légèrement les annonces sonores, les trains font beaucoup de bruit mais ça réduit assez biens le bruit ambiant. Le seul soucis est le câble, je m'était habitué à du sans fil, mais j'aurais préférer un câble en nylon qui paraîtrait en tout cas plus résistant. Avec celui là j'ai peur que dans ma poche il se tord</t>
  </si>
  <si>
    <t>Parfait J'avais besoin de seulement quatre gros yeux pour faire des poupées "chaussette", il y en a 100 de plusieurs tailles différentes dans le paquet, il m'en reste donc 96... Sinon, ces yeux collent super bien sur du tissu, il est même pas évident de les enlever. Nickel.</t>
  </si>
  <si>
    <t>Son qui grésille à fond. Copie conforme des Soundpeats True Capsule. Tous ces écouteurs Bluetooth dans la même zone de prix proposent tous le même produit. Un son qui grésille qd on le met à fond. Une connexion un peu capricieuse et une qualité en appel très moyenne...</t>
  </si>
  <si>
    <t>Photo ne correspond pas à l’article Reçu une paire noire alors que la photo de l’article est une paire blanche. Je ne recommande pas du tout.</t>
  </si>
  <si>
    <t>Tres bonne qualité cependant taille trop petit Cette marque est connue pour sa qualité cependant je dépasse un peu alors que j'ai pris ma taille . j'an avait besoin en urgence donc je ne l'ai pas retourné sinon cela aurait été fait.</t>
  </si>
  <si>
    <t>Bébé aime, pas les parents L'ergonomie de ce biberon est parfaite pour notre fille. Elle arrive bien à le prendre dans ses petites mains, adore la tétine, et le préfère globalement aux Avent. MAIS nous, parents, déplorons la qualité des biberons Dodie: les tétines durent 3 semaines, la bague se casse (trop) facilement si le biberon tombe par terre. Déjà 3 bagues cassées en moins d'un an! Et je ne parle pas des tétines. De plus, c'est une catastrophe à laver. Il y a de petits interstices inatteignables dans la bague, et des champignons finissent par se former. Beurk.</t>
  </si>
  <si>
    <t>bien le prpoduit fonctionne</t>
  </si>
  <si>
    <t>Pour le sport J'ai acheté ces écouteurs pour le sport et éviter qu'ils ne tombent pour l'instant ça va. Mais je n'ai pas essayer pour une longue course. En revanche pour le prix ne vous attendez pas à un son d'une extrême qualité, je ne les utiliserais pas pour une utilisation de tous les jours mais pour l'instant j'en suis contente.</t>
  </si>
  <si>
    <t>Bon mais très très cher Tres surprise par la petite taille. Design sympa qui va bien dans ma cuisine.  Notice très succinctes avec des photos Bizarrement on ne nous demande pas de laver tous les éléments comme sur les nouveaux produits. Je l ai quand même fait au moins pour le réservoir a eau. Celui ci est d ailleurs assez grand pour faire beaucoup de taches. J aime pas trop son couvercle pas très pratique a mettre ou enlever. La machine chauffe vite par contre ça fait un peu un bruit de pompe quand l eau sort. C est plus bruyant qu une bouilloire. L eau est à bonne température pour moi mais dommage qu on ne puisse pas choisir la température car ma femme la trouve trop chaude.  Les dosettes se mettent et s enlèvent facilement en tombant dans le bac. Des dosettes de plusieurs parfum sont fournis pour pouvoir goûter. Dans mon magasin il ne vende que du thé à la menthe ou a la rose et de la tisane aussi  Par contre je ne m en servirais pas tous les jours c est super cher en dosette et il n existe même pas de dosettes de marques distributeur. Quand mes 20 sachets de the coûtent 2,60euos, les 10 capsules me courent 3,60 .autant dire que c c'est un produit de luxe ce qui est bien dommage</t>
  </si>
  <si>
    <t>Qualités à la hauteur, utilisation simple Points positifs : Qualités à la hauteur de ce qui est indiqué - utilisation par la commande plutôt simple - Matière de qualité - Coloris discret apprécié. Points faibles : peut-être juste l'assise un peu juste (arrive à mi cuisse (1,71m) - l'idéale serait une assise qui arriverait proche de la pliure du genoux. Produit bien pensé</t>
  </si>
  <si>
    <t>Joli livre pédagogique Superbe livre aux belles photos que ma fille prend plaisir à feuilleter depuis ses 6 ans</t>
  </si>
  <si>
    <t>A adopter ma fille grande prématurée les a accepté de suite et pourtant j'ai essayé une autre marque bien connue....tétine qui convient pour un lait épaissi anti-régurgitation. En clair AVENT reste un budget mais la qualité a fait sa réputation.</t>
  </si>
  <si>
    <t>c'est de la chance! Trouver encore de ces filtres ronds pour différents types de cafetières, en particulier le modèle de Krups T8! De toutes façons, c'est un produit authentique de Melitta, soigneusement conditionné: aucun problème et satisfaction garantie!</t>
  </si>
  <si>
    <t>Brosse pour biberon Pour les biberons, super qualité</t>
  </si>
  <si>
    <t>correspond parfaitement a nos attentes mon fils est ravi, et ce n'est pas facile de satisfaire un ado ! je recommande cet article, qui est beau et qui tient chaud</t>
  </si>
  <si>
    <t>Très bien Mule un peu particulière au début , mais très confortable au bout de deux trois jours. Pour les vacances ou la piscine c’est parfait . Très satisfait du produit.</t>
  </si>
  <si>
    <t>Esthétique et pratique Cafetière de grande capacité, pratique avec ses fonctions programmation et maintien au chaud...bon rapport qualité-prix. Elle s'accorde parfaitement avec ma déco et mon électroménager rétro, je suis ravie de mon achat !</t>
  </si>
  <si>
    <t>Exactement ce dont nous avions besoin Elle ne quitte plus notre valise au cas où l'hôtel choisi ne disposerait pas d'une bouilloire dans la chambre. Très pratique, surtout pour des courts ou longs WE à l'extérieur...</t>
  </si>
  <si>
    <t>Stop tout Dommage jai été obligée de changer le caoutchouc d'un stoppeur. Mais sinon sympa</t>
  </si>
  <si>
    <t>Rien à redire Le son est juste parfait, rien à redire de ce côté là.  L'oreillette gauche à tendance à se dévisser légèrement (à force de la tourner pour écouter d'une oreille), mais elle se revisse très facilement à la main. L'oreillette droite est stable.  Rien à redire sinon, juste parfait.</t>
  </si>
  <si>
    <t>Parfait Parfait, pour les bracelets en cuir comme les bracelets métalliques. Bloque bien les charms! Colis très bien emballé. Je suis ravie de mon achat.</t>
  </si>
  <si>
    <t>bien ras conforme</t>
  </si>
  <si>
    <t>Parfait! Très belle montre, très fine et discrete!  Je regrette juste que le bracelet marque si vite (pliage du cuir suite à l'attache)  Livrée en temps et en heure, très satisfaite!</t>
  </si>
  <si>
    <t>excellent Aigle fait toujours de belles et confortables bottes ....tres content</t>
  </si>
  <si>
    <t>RAS Très bon produit, niveau qualité prix rien à redire^^. Concernant le niveau de bruit, j'ai donné 3/5 car oui il fait du bruit, mais pas plus qu'une autre marque (bien plus chère). De plus le son ne me gene pas personnellement.</t>
  </si>
  <si>
    <t>Pas cher Rendus</t>
  </si>
  <si>
    <t>semble disfonctionner Je pense que l'adaptateur reçu ne fonctionne pas car le micro marche sur iphone mais pas sur mon Zoom (enregistreur). Si quelqu'un peut m'aider (je n'ai pas trouver où on posait les questions) : sur mac, est-ce qu'on doit brancher le micro avec l'adaptateur dans la prise casque du mac ? (ca me parait bien étrange…), si non, où le brancher ? et faut-il un adaptateur de plus ? Merci !</t>
  </si>
  <si>
    <t>Un casque Audio aux qualités bien décevantes J'ai acheté ce casque Gaming  pour son mode "super humain" qui permet la détection des adversaires et de leur placement. Ce mode est vraiment indispensable dans ce genre de jeu. (PUBG, FORTNITE...) Malheureusement dès que plusieurs adversaires s'approchent  tout devient imprécis et brouillon le casque n'est pas à la hauteur loin s'en faut impossible de localiser les joueurs c'est catastrophique et perturbant ... Je vous le déconseille</t>
  </si>
  <si>
    <t>Efficace mais bruyante Tout est dit, maxi puissance, ca veut dire maxi bruit. pour faire chauffer de l'eau le matin quand la maison dort encore, point de vue discrétion c'est simplement impossible. Donc jolie bouilloire, puissante, mais bruyante, d'où le 3 étoiles.</t>
  </si>
  <si>
    <t>Très bel esthétisme Achetée pour le thé ou les tisanes je m en sert très régulièrement pour préchauffer l eau des pâtes du riz ou légumes l eau chauffe plus vite que sur la plaque induction</t>
  </si>
  <si>
    <t>Très content du produit Pour un cadeau</t>
  </si>
  <si>
    <t>sans commentaire. J'ai acheté ce bijoux pour en faire un cadeau pour Noel. En esperant qu'ilplaira.</t>
  </si>
  <si>
    <t>Simple et fonctionnel Acheté pour tenir le planning de mon association, suffit à mes besoins.</t>
  </si>
  <si>
    <t>Jolie ambiance aux huiles essentielles Ce diffuseur en plus de diffuser une agréable odeur d'huile essentiel dans mon appartement, ajoute une touche décorative par sa forme vraiment sympa, les lumières réglables et la légère fumée blanche qui s'en dégage grâce à l'eau que l'on ajoute dans le recipiant. En plus de ça réception vraiment rapide. Je recommande !</t>
  </si>
  <si>
    <t>PERCOLATEUR Correspond tout à fait à la description, voir après utilisation</t>
  </si>
  <si>
    <t>Nickel Rien à dire à part bonne chaussure.</t>
  </si>
  <si>
    <t>Parfait Jolie montre.</t>
  </si>
  <si>
    <t>pantalon hyper confortable, vaut son prix Idéal en hiver et inter saison pour pédaler des heures sans attraper froid. pantalon très confortable, des poches amples. Il manque juste des tirette aux poches et ça aurait été extra.  Très bon rapport qualité prix.</t>
  </si>
  <si>
    <t>Montre au look élégant Montre élégante au style très épuré. J'aime son coté minimaliste et la couleur du cadrant bleu nuit est juste magnifique. Légère à porter son bracelet est aussi agréable. Idéale pour celle qui comme moi aime le style masculin/féminin. Produit totalement conforme à la description et à mes attentes je recommande.</t>
  </si>
  <si>
    <t>Baume du tigre Efficace !!!</t>
  </si>
  <si>
    <t>Éphéméride Produit conforme à mes attentes</t>
  </si>
  <si>
    <t>Facile à lire Petit livre sympa à lire quand on apprend.  Facile pour un milieu de CP.  Phrases courtes pour que l'enfant ne se lasse pas.</t>
  </si>
  <si>
    <t>Excellent achat... Superbes! Pochettes d'excellentes qualités... Lisses..  Brillantes... Et solides... Excellent rapport qualité prix... Je recommande</t>
  </si>
  <si>
    <t>Parfait pour biberons et joli Le seul egouttoir avec receptacle qui est joli sur le marché! Ca ne fait pas cheap et c'est la taille parfaite pour des biberons! (egalement pour des verres)</t>
  </si>
  <si>
    <t>Produit conforme à la description Produit conforme à la description</t>
  </si>
  <si>
    <t>Polivalent et très confortable J'utilise personnellement ce produit pour plusieurs sports (vélo, course à pied et natation). Je suis ravis de ce produit lors de la pratique de chacun d'entre eux. Le produit est robuste, bien fini et simple d'utilisation.  J'avais jusque là toujours couru et nagé sans musique mais je doit le reconnaitre, l'ajout de celle ci rend la tache moins monotone.  Pour ce qui est de la course à pieds, le produit tiens bien à la tête. La desactivation du micro permet vraiment de s'isoler, attention toutefois, ne pas entendre ça respiration peut avoir tendance à vous faire vous emballer.  Pour la natation, comme attendu, le bruit de l'eau est bien évidement toujours présent, cependant la musique reste clairement audible.  Pour le vélo, de jour sur piste cyclable pas de problèmes, cependant de nuit ou en ville attention aux voitures. Sans micro on est coupé du monde, et avec, le micro amplifie le bruit du vent.  Je recommande notamment vivement ce produit aux grand nageurs qui passe des heures et des heures dans l'eau.</t>
  </si>
  <si>
    <t>Délicat et bien travaillé. J'adore Très joli bracelet composé de 3 liens, fins mais il me semble néanmoins solides. Je suis très content de mon achat, je pense que ma chérie va adorer.  C'est joli, délicat, classe. Rires: si elle, elle n'aime pas, moi oui! Par contre je ne pourrai pas le porter.</t>
  </si>
  <si>
    <t>Livraison rapide et correcte Fuite au niveau du socle de ma cafetière Dolce Gusto de KRUPS</t>
  </si>
  <si>
    <t>Problème de qualité Les perforations ne tombent pas toujours aux même endroit donc cela décale les pochettes entre elle dans le classeur. Certainement un problème de production. De plus certaine pochette transparente sont collées aux 2 extrémités. C'est la première fois que je rencontre des pochettes de mauvaise qualité. Je déconseille cet achat.</t>
  </si>
  <si>
    <t>Arnaque La cartouche d'encre noir n'est pas pleine, au prix de l'encre la moindre des choses c'est de la remplir correctement. La c'est hp, la dernière fois c'était des génériques qui ont fonctionnees jusqu'à la moitié. C'est de l'arnaque</t>
  </si>
  <si>
    <t>C'est fun ! Pas forcément de besoin mais je voulais essayer pour des baskets. permet d'enfiler rapidement ses chaussures. bon maintien du pied. C'est assez efficace. Le rendu est bon. Les enfants en ont voulu du coup. achat de curiosité on va dire. Pas mal.</t>
  </si>
  <si>
    <t>fermeture difficile bon  produit mais l</t>
  </si>
  <si>
    <t>De bonne brosses Ces brosses sont de bonnes qualitées mais je m'attendais à ce qu'eles soient un peu plus grandes que cela, mais elles font très bien leurs travail étaler du cirage et faire briller les chaussures , mais je ne leurs met que 4 étoiles à cause de la taille</t>
  </si>
  <si>
    <t>Tres bien Tres bon son Assez solide Au debut il beugais un peu  Mais apres 3 semaines il fonctionne tjrs aussi bienn Je recommande tres bon raport qualite prix Recut assez rapidement</t>
  </si>
  <si>
    <t>Connaître sa pointure Pour une utilisation quotidienne</t>
  </si>
  <si>
    <t>Très bonne brosse pour biberons Nettoie super bien les bibersons, sauf que ça se déchire déjà un peu après environ 1 mois d'utilisation intensive.  Ca devrait se vendre plusierus ensemble (de couleurs différentes).</t>
  </si>
  <si>
    <t>le top du top mon fils, bassiste, n'en revient pas : le meilleur son du marché, une réduction active efficace, un confort total couplé avec une relative légèreté et compacité le système de "bouton"  par simple touché fonctionne très bien</t>
  </si>
  <si>
    <t>Top Ma fille ne s’en sépare jamais victime de son succès j’en ai 2 du coup</t>
  </si>
  <si>
    <t>Parfait pour tous les biberons Le temps de chauffe est plutôt court ce qui est parfait quand bébé cri famine. Le fait qu'il s'adapte à tout type de biberon est un vrai plus car nous avons du changer de marque en cours de route.</t>
  </si>
  <si>
    <t>VENDEUR SERIEUX MERCI RAS</t>
  </si>
  <si>
    <t>Parfaite Acheter à Noël pour mon conjoint qui avait perdu la sienne (ancien modèle G-shock). Il en est pleinement satisfait et ne la quitte plus!</t>
  </si>
  <si>
    <t>Très bon matériel Excellent matériel pour travailler chez soi. Un petit bémol : la notice ne comporte pas une seule page en français et les schémas ne sont pas super clairs. Mais la qualité est au rv, il ne reste plus qu'à s'entraîner !</t>
  </si>
  <si>
    <t>Super câbles Pour un tarif très intéressant ces câbles ont permis de relier des enceintes à plus de 20m de l'ampli. Aucune perte notable</t>
  </si>
  <si>
    <t>Bonne qualité Super. bien épais. belle qualité</t>
  </si>
  <si>
    <t>Très confortable Comme sur la photo, aucune mauvaise surprise... Il y avait des poils dessus, mais ce n'est pas grave, une fois enlevés, il est impeccable. La matière est vraiment confortable. Je recommande.</t>
  </si>
  <si>
    <t>Très bien Je l'ai acheté pour mon fils , il est content il dit qu'il est très beau de superbe couleurs et un mignon chat , c'est confortable et léger , doux à l'intérieur , la bonne  taille , tiens chaud ,  je suis contente de mon achat .</t>
  </si>
  <si>
    <t>Tout ce qu'on attend d'une NB Le gris sur le logo et à l'arrière de la chaussure est assez brillant et même réfléchissant dans la nuit, ce qui est une bonne surprise.</t>
  </si>
  <si>
    <t>bon produit très bon pour les cheveux en masque,mélangée avec un peu d'huile d'olive,cela rend les cheveux soyeux et ils poussent plus vite.l'huile de ricin a de nombreuses vertues</t>
  </si>
  <si>
    <t>Ultra lavable et pratique C’est ma marque préférée de peinture pour enfants. Ultra lavable sur les meubles, les tissus ou les mains.  jolies couleurs, texture pas trop épaisses ni trop liquide. Convient parfaitement aux jeunes enfants.</t>
  </si>
  <si>
    <t>Très bonnes feuilles laminées Elles sont suffisamment rigides. La lamination est parfaite. Ces feuilles me semblent clairement supérieures à celles vendues dans la même promo que la lamineuse.</t>
  </si>
  <si>
    <t>J'adore . Très joli collier et pendentif , je suis pas déçu du tout . Il me va à merveille et mon mari adore .</t>
  </si>
  <si>
    <t>Décevant! Produit décevant car le silence d'ébullition promis n'est pas du tout probant. De plus,une odeur de plastique persiste dans l'eau bouillie;ce qui est rédibitoire pour du thé de qualité. Dernier inconvénient,la bouilloire étant en inox,simple paroi,devient assez brûlante quand l'eau a bouilli.</t>
  </si>
  <si>
    <t>Qualités médiocre J’ai acheter ce model pour mon travail en usine elle on fais 3 jrs le dain sur le dessus c’est déchirer je vais essayer de le recoller mais je trouve que la qualité est médiocre pour un outils de travail elles son sence protéger mes pieds</t>
  </si>
  <si>
    <t>Attention !!! Cela va faire 3 semaine que j ai acheté cet article, après 5 appel sur deux semaines, je n ai toujours pas de facture a des fins de les faire passer en frais professionnel... je déconseille fortement cet achat moi qui suit un utilisateur régulier et assidue d Amazon je vous engage à vous méfier.</t>
  </si>
  <si>
    <t>Très léger Je m'attendais à un sweat, mais c'est beaucoup plus léger et le tissu est fin</t>
  </si>
  <si>
    <t>Colis incomplet Les biberons sont conformes à la description en revanche il n’y avait pas brosse!</t>
  </si>
  <si>
    <t>Bonne bouilloire Bonne bouilloire fait son travail seul point négatif le tartre qui s’installe assez fréquemment</t>
  </si>
  <si>
    <t>Joli belle petite paires de basket.legere pour la marche.</t>
  </si>
  <si>
    <t>Boule de lavage Livraison rapide et sans problème. Utilisation immédiate dans le tambour de ma machine. Pour le moment je suis plutôt satisfaite.</t>
  </si>
  <si>
    <t>Ludique Intéressant et permet d'apprendre de façon ludique.</t>
  </si>
  <si>
    <t>Bon compromis qualité prix Super sacoche très confortable.</t>
  </si>
  <si>
    <t>au poil tout simplement très bien</t>
  </si>
  <si>
    <t>C est parfait J'ai hésité à l'acheter vu le prix, mais je ne regrette pas. Ce tire-lait est vraiment performant. Je fais sans problème 200 ml le matin en 10 min. Parfait pour reprendre le travail. En plus il est tout petit ( quand je vois les autres modèles de tire-lait électrique,  je suis effrayée par leur taille) et facile d'utilisation. Son autonomie de batterie est grande. Je l'ai utilisé une semaine sans le recharger. Le nettoyage est simple. Le tire-lait est discret. Je n'imagine pas qu'un tire lait électrique fasse moins de bruit. Il est vendu avec tout l'équipement nécessaire : 4 biberons avec bouchon, une tétine calma, un sac isotherme pour 4 biberons et pain de glace, chargeur de batterie, 2 cal biberons pour poser les biberons sans risquer de les renverser. Attention lors de la stérilisation à la première utilisation. L'eau calcaire s infiltre dans le petit tuyau transparent et y reste lors du séchage. C est pas très beau.  Ce que je regrette :   - le prix. C est cher et je comprends que tout le monde ne puisse pas se le permettre. N'essayez pas de le chercher en location a la pharmacie. Ce tire-lait ne se loue pas, soit disant pour des question d'hygiène. Je ne comprends pas car on pourrait acheter un kit avec tuyau et embout individuel. Mais Medela ne le fait pas, dommage!   - la tétine Calma est nulle. Faut acheter d'autres biberons.   - ne vous embêtez pas avec le kit main libre. Il n'y est plus dans les boîtes,  mais franchement, il ne sert à rien! Le concept était absurde car au lieu de maintenir le tire-lait au niveau des tèterelles, il était maintenant à l arrière des têtes de biberon. Et c'était compliqué à mettre. Mieux vaut glisser les tèterelles dans le soutient gorge ou , si vous y tenez, acheter un soutient gorge spécial tire lait.</t>
  </si>
  <si>
    <t>Jolie gravure Super jolie bague reglable .. en acier . Qui ne bouge pas avec l eau de mer .. piscine et autre ...je recommande ce produit</t>
  </si>
  <si>
    <t>Conforme à l'image ! Bonnes chaussures, conformes à l'image, pas de problèmes de livraison.</t>
  </si>
  <si>
    <t>convient a mon imprimante! texte, courrier, photos, tout est ok!</t>
  </si>
  <si>
    <t>Super! Je suis une fan des timbres en ligne et je trouvais que les étiquettes étaient un peu chères. Là, rien à dire: le rapport quantité/prix est plus qu'excellent! Quand on sait le temps qu'on perd à attendre au bureau de poste pour un carnet de timbres....</t>
  </si>
  <si>
    <t>Super Très bien, confortable et tout doux, ne bouge pas au lavage</t>
  </si>
  <si>
    <t>Baume du tigre original il me semble Conforme à la commande ça sert pour tout effet chaud froid garanti Super vendeur attention pot de 30 parfois il existe des contenants plus important</t>
  </si>
  <si>
    <t>Magnifique! J ai adopté les casio vibrage depuis très peu de temps et je dois dire que celle ci m a beaucoup plus. Le cadran noir casse le côté un peu bling bling des montres dorées. Je la trouve très elegante! À porter en toute occasion! Je recommande!</t>
  </si>
  <si>
    <t>Super pour les gamins Les enfants s'éclatent à souffler dans les stylos pour dessiner. Bien protéger sa table quand on l'utilise car brumise un peu partout autour.</t>
  </si>
  <si>
    <t>Tres satisfaite Je suis tres sastifete</t>
  </si>
  <si>
    <t>Très satisfaite de cet achat Réception rapide et produit conforme à mes attentes. La pointure taille très bien.</t>
  </si>
  <si>
    <t>solide cette table est stable et a l'air solide le matelas est épais elle est un peu lourde mais on ne peut pas tout avoir.bon produit.</t>
  </si>
  <si>
    <t>Très jolie et confortable Superbe robe sweat. Ultra confortable, l'intérieur est en polaire très très doux. Elle tient super chaud. La couleur est éclatante. Ni trop longue ni trop courte. Vraiment idéale pour l'hiver avec des collants ou au printemps sans collant, avec des petites baskets. Les poches sont un vrai plus! Rares sont les robes qui ont des poches! Niveau taille, c'est nickel. Je mesure 1m60 et je fais du 32/34 et je suis bien à l'aise. Elle sera mon alliée pour les temps froids!</t>
  </si>
  <si>
    <t>LE prix soldé vrai ou faux manque un  connexion XLR POUR LA QUALITÉ RESTE AVOIR</t>
  </si>
  <si>
    <t>Contrefaçon de mauvaise conception, fuyez!!!! Très déçu,  il s'agit d une contrefaçon,  je demande le remboursement, car c'est illégal ,  le logo est simplement un "stickers" et l etiquette collee</t>
  </si>
  <si>
    <t>trop petit on a renvoyer ce produit trop petit</t>
  </si>
  <si>
    <t>Boite de carton amazon Tres déçut du contexte !!! Reçut dans une mini boite de carton à livraison MOi qui voulais l'offrir je suis embêté</t>
  </si>
  <si>
    <t>Pantoufles très confortables Ces pantoufles correspondent parfaitement à leur description.  Elles sont confortables, chaudes et bien adaptées. Le seul petit bémol, c'est un léger tassement qui survient assez rapidement au niveau des points d'appui du pied.</t>
  </si>
  <si>
    <t>cafetiere 14.10.2018 rien  a redire elle fonctionne tres bien  je la recommande</t>
  </si>
  <si>
    <t>Jolies baskets très voyantes Les baskets sont jolies,  un peu voyantes, beaucoup de paillettes et de bleu miroir. Elles sont confortables et les finitions sont bonnes, elles sont très jolies au soleil :))</t>
  </si>
  <si>
    <t>Simple et efficace Idéal pour le petit-déjeuner le tel café pour régler la température</t>
  </si>
  <si>
    <t>Le top pour la ville Mes baskets préféré depuis l'été dernier : sobre, classe, sportwear. ça change des vans old school et ça va à tous les styles je trouve.  Je me flingue plus dans mes longues sessions urbaines !</t>
  </si>
  <si>
    <t>article très satisfaisant , correspond a mes attentes Produit que j' achète depuis plusieurs années . très confortable , très résistant, revient comme neuf après nettoyage.</t>
  </si>
  <si>
    <t>cafetière Russel Hobbs Je me suis séparée de la précédente, de la même marque et qui avait dix ans, car j'ai cassé la verseuse et elle n'est plus en vente. Très satisfaite, j'ai acheté à nouveau une cafetière Russel Hobbs. Je ne suis pas déçue, elle est jolie, avec la possibilité d'une grosse capacité de café. Elle me convient tout-à-fait et j'espère qu'elle fera aussi ses dix ans ...</t>
  </si>
  <si>
    <t>PARFAIT Introuvable en supermarché dans ma région, ce produit est tout simplement génial. Aucun problème dans la livraison et un prix tout à fait correct. A recommander sans hésitation !</t>
  </si>
  <si>
    <t>NICKEL PARFAIT MERCI</t>
  </si>
  <si>
    <t>Très bonne produit Facile à connecter les  appareils tablettes téléphones, et avec la chargeur très satisfait  je vais racheter un autre</t>
  </si>
  <si>
    <t>Bien Très bien, mais manque un minuteur qui aurait été appréciable. Je recommande tout de meme</t>
  </si>
  <si>
    <t>Genial Mon bébé voit super bien avec ses biberon et le prix Amazon es vraiment super abordable moins de 10€ contre 20 en parapharmacie car on ne les trouve uniquement en parapharmacie et les desins sont mignon</t>
  </si>
  <si>
    <t>parfait montre parfaite. conçue pour les situations extrêmes. le bracelet est agréable à porter. au niveau des fonctionnalités : alarme, chrono et compte à rebours. détail important : pour le chrono et compte à rebours, l'heure est affichée en haut à droite. chose qui manque sur beaucoup de montres alors que ce modèle est l'un des premiers de la gamme g shock ! le rétro-éclairage est très visible la nuit. un bémol sur le bouton adjust (en haut à gauche) qui est raboté et de fait qui est assez difficile d'accès au début. c'est une montre homologuée par la NASA et l'OTAN. très rare pour une montre.</t>
  </si>
  <si>
    <t>Qualité Ras</t>
  </si>
  <si>
    <t>liqueur jaune En ce qui me concerne elle est parfaite. Que dire de plus...</t>
  </si>
  <si>
    <t>Génial Je les adore Je n’ai utilisé que cette marque depuis l'arrivée De ma fille En plus pas facile de nettoyer des biberons avec lait de riz mais avec cette brosse c'était Top</t>
  </si>
  <si>
    <t>Parfait Article conforme à mes attentes. Il est idéal pour protéger la carte grise.</t>
  </si>
  <si>
    <t>10/10, top Superbe basket puma pour utilisation courante.  Ma femme les adores confortable elles ont une belle finition...</t>
  </si>
  <si>
    <t>Nickel Chantier confortable</t>
  </si>
  <si>
    <t>Super Très belle, tres bonne qualité je la recommande.</t>
  </si>
  <si>
    <t>plus petit que la description mal compris la description</t>
  </si>
  <si>
    <t>Un côté du casque ne se plie pas !! Deux casques commandés en deux couleurs différentes et les modèles livrés sont differents, l'un est un JH812 l'autre un LH 811, l'un se plie bien l'autre à un côté bloqué, l'un semble être un modèle plus récent que l'autre.. Dommage. Les couleurs (rose et or) sont sympas.</t>
  </si>
  <si>
    <t>Belle basket Basket acheté pour ma fille des chaussures très jolie avec deux paires de lacets une en satin et l'autre normal par contre après 3 semaines d'utilisation pliure sur le devant de la chaussure au niveau de la jointure des doigts de pieds ce qui est dommage</t>
  </si>
  <si>
    <t>Bien Conforme à la photo. Joli t-shirt mais la qualité n'est pas parfaite. Les coutures tournent dès le premier lavage. Dommage.</t>
  </si>
  <si>
    <t>Nickel Bonne chaussure, bonne marque... resistante</t>
  </si>
  <si>
    <t>Absolument parfait pour l'ergonomie, quand on a un grand bureau Je n'ai absolument rien à dire. Le produit est conforme. Toutefois, je n'ai pas été assez vigilante sur la taille du tapis, qui est tout de même assez grand. Et sur mon petit bureau il devient vite encombrant. Je pense qu'un modèle supplémentaire avec 2/3 centimètres de moins ce serait parfait. Au niveau de l'adhésion, les bords n'agrippent pas bien (sachant que la surface sur laquelle je pose le tapis est du verre).</t>
  </si>
  <si>
    <t>Presque parfait ! Bouilloire très design, pas très bruyante et en verre (mon souhait). Temps de chauffe rapide. Les petits bémols (à l'attention du fabricant) : la bouilloire s'éteint seulement après 2h sans utilisation, ce qui est vraiment trop long. Les bips sont un peu trop nombreux. Et dommage qu'elle n'existe pas en volume moindre car même étant une famille de 5 personnes, on ne la remplit que très rarement à son maximum. Je recommande malgré tout ce produit !</t>
  </si>
  <si>
    <t>confortable mais pas très solide Je mets ses baskets quasi tous les jours. Elles sont très confortables. Malheureusement elles sont un peu fragiles, le décor argenté sur le côté au niveau de la pliure du pied est abîmé.</t>
  </si>
  <si>
    <t>news balance parfait</t>
  </si>
  <si>
    <t>Très bons micros Les micros fonctionnent parfaitement. Idéal pour l'animation de soirée, de réunions mais également pour le karaoké. Ils sont solides et les branchements faciles à réaliser.</t>
  </si>
  <si>
    <t>conforme C'est ce qu'il me fallait</t>
  </si>
  <si>
    <t>Montre Diesel Mon copain est super content de son cadeau, superbe montre, très stylée, la couleur est parfaite, comme il aime. La livraison était rapide... Merci...</t>
  </si>
  <si>
    <t>Confortables Les chaussettes sont de bonne qualité et confortables. La taille est parfaite. J'ai pris tailles 35-40 et je fais du 39. Top !</t>
  </si>
  <si>
    <t>Ensemble coccinelle Tres satisfaite de l'ensemble. Je recommande</t>
  </si>
  <si>
    <t>Super égouttoir Vraiment parfait, très facile à monter et super pratique.</t>
  </si>
  <si>
    <t>Très bon à utiliser Ce casque n’est pas cher, mais la qualité sonore est très bonne et la qualité est très bonne.</t>
  </si>
  <si>
    <t>Plus joli en vrai ! J'ai trouvé le biberon vraiment beau, bien plus que sur la photo. La fait qu'il soit en verre lui confère une belle allure, c'est assez chic pour bébé :)  Dodie est depuis très longtemps ma marque de prédilection dans le travail. Les tétines sont toujours bien acceptées.  Grande contenance qui permet de conserver le biberon au fil de l'évolution des repas.</t>
  </si>
  <si>
    <t>EXCELLENT TRES BIEN RECU AVANT LA DATE PREVU</t>
  </si>
  <si>
    <t>J'adore Acheté le 19/10/16 a 2,4€ pièce, je ne m'attendais pas à une aussi bonne qualité. La corvée de nettoyage est facilitée grâce a la manivelle, meme mon conjoint ne rechigne plus a s'y atteler. Le nettoyage est parfait, que ce soit pour les biberons ronds (type avent) ou a angles (type dodie). En photo le set après 3 mois d'utilisation : le goupillon est nickel, la brossette a tétine est quant a elle fatiguée. Je recommande chaudement.</t>
  </si>
  <si>
    <t>Le son est pas mauvais Qualité du son excellente, robustesse. Le rapport qualité/ prix est exceptionnel, il y a une bonne répartition entre les basses, les aigus ou encore les médium. En plus il y a encore une petite poche dedans où on peut mettre les écouteurs, c'est parfait!</t>
  </si>
  <si>
    <t>Recommandé Livraison rapide Contenant de bonne qualité</t>
  </si>
  <si>
    <t>addidas jolie tshirt, mais taille un peu grand pour un M au niveau des manches</t>
  </si>
  <si>
    <t>Pas terrible Je trouve que les gommettes ne sont pas de très bonne qualité. Trop petites et trop rapprochées on a tendance à les abimés en les retirants. La forme des gommettes mal dessinée pour certaines. Article pas cher mais la livraison 20€!!</t>
  </si>
  <si>
    <t>Tee shirt Taille corespond pas tissu mauvaise qualité</t>
  </si>
  <si>
    <t>collier inmettable Le collier en fil de nylon reste tout tortillé. Rien à faire pour le redresser. Dommage car la pierre est plutôt jolie. Fabrication à revoir. Non je ne conseille pas cet achat</t>
  </si>
  <si>
    <t>Three Stars super recu comme prévu rien à dire merci ;}</t>
  </si>
  <si>
    <t>Produit correcte Produit correcte</t>
  </si>
  <si>
    <t>Confortable mais taille petit. La qualité de ce chausson est excellente. Le pied y est au chaud, on n'y transpire pas et il est suffisamment léger pour ne pas devenir contraignant à porter toute une journée. Il faudra quelques jours pour le faire à votre pied, cependant veillez à prendre une pointure au dessus, ce chaussant taillant assez petit. Outre mesure, je recommande pour les hiver rigoureux.</t>
  </si>
  <si>
    <t>Nikel ! Pour le prix fait le job demandé : bloquer les autres Charms. A l'air de bonne qualité, n'a pas bougé en un mois d'utilisation non stop. Emballage soigné, livré dans une pochette velours.</t>
  </si>
  <si>
    <t>Bon produit Super doux et chaud! Attention taille petit. J ai prit du L pour un 38-40 et c est pile poil.</t>
  </si>
  <si>
    <t>très bien Pratique pour réaliser des cartes. Facilement transportable par sa petite taille. Attention tout de même, je ne sais pas si le produit est solide, le plastique semble assez léger.</t>
  </si>
  <si>
    <t>Rien à redire Produit officiel de la marque HP reconnu sans problème par l’imprimante.</t>
  </si>
  <si>
    <t>Sans surprise... du avent ... au top Super produit ... Rien à signaler</t>
  </si>
  <si>
    <t>Super Super chaussettes, qualité très bonnes</t>
  </si>
  <si>
    <t>Parfait Tout à fait conforme à mes attentes.</t>
  </si>
  <si>
    <t>Très bon matériel. Très bons écouteurs, le son est très bon mais manque de puissance. La batterie pourrait avoir une meilleure autonomie à avis. Je suis très content de cet achat.</t>
  </si>
  <si>
    <t>Sweat Bon rapport qualité prix après pas des plus épais mais bon sweat</t>
  </si>
  <si>
    <t>Beau produit Envoi rapide et soigné. Les boucles d'oreille correspondent tout à fait à la description et sont de bonne qualité. Une réussite.</t>
  </si>
  <si>
    <t>TRES JOLIE HOUSSE - UTILISABLE A L'INFINIE Un joli produit, j'aime beaucoup la housse bleu marine avec ses étoiles turquoises, elle est aussi bien pour un garçon que pour une fille je trouve  Je reconnais qu'il faut un peu de temps pour qu'elle chauffe mais celà fonctionne en TOUTE AUTONOMIE ! sinon, le sein maternelle, est le meilleur moyen pour avoir tout de suite le lait à bonne température dans la seconde. il reste que le biberon n'a pas besoin d'être très chaud donc, c'est très bien.  facile à utiliser pratique plutôt bien fait, à démonter et nettoyer EXPLICATIONS CLAIRES FACILE A APPREHENDER MATIERE AGREABLE ET JOLI RENDU un joli cadeau à faire à toutes jeunes mamans d'ailleurs.  DES PHOTOS PRISES ! ESPERANT QU'ELLES SE PUBLIENT ! des soucis récurrents avec Amazon pour la publication de ces dernières.. ET LA ! J'ai publiés plusieurs commentaires depuis quelques jours EN VAIN !?? pas de photos qui apparaissent Quelques photos SEULEMENT se publient voir parfois aucune ! hum ! (rires)  J'espère que mon commentaire vous aura été utile pour vous aider dans votre choix. Si vous avez une question N'hésitez pas, si je peux vous répondre.</t>
  </si>
  <si>
    <t>Parfait pour les petits appartements, Russell Hobbs nous propose ici une très belle cafetière compact de couleur grise en Inox. Elle a une capacité de 625ml, soit 5 tasses. Très rapide puisqu’en 7 minutes votre café est prêt.  Gros plus elle dispose d’une plaque de maintien au chaud et s’arrête automatiquement au bout de 40 min.</t>
  </si>
  <si>
    <t>Avis bracelet Beau bracelet pour beau rendu</t>
  </si>
  <si>
    <t>Parfait! Mieux que ce que je pensais</t>
  </si>
  <si>
    <t>La référence Très bien pour les vacances ou en utilisation du quotidien. Il faut prendre une taille au dessus.</t>
  </si>
  <si>
    <t>Sweet shirt peluche Très jolie pull bien chaud et bien douillet.doux comme une peluche très agréable à porter.pull de bonne qualité ne bouche pas au lavage</t>
  </si>
  <si>
    <t>Chaussures Taille parfaitement bien</t>
  </si>
  <si>
    <t>Sport Bon produit</t>
  </si>
  <si>
    <t>Le colier est tres beau et la longeur parfait Se colier est très beau la longueur et parfait le sel démo et la gravure sur les agneaux elle est pas visible c est pour quoi j ai mis 2étoile</t>
  </si>
  <si>
    <t>Durée de vie de moins d’un an La poignée se casse apres un mois d’utIlisation, très fragile  Une bande large et inutile entre la soudure et l’aspiration fait perdre beaucoup de longeur de sac</t>
  </si>
  <si>
    <t>très déçue paillettes savon qui ne sont pas du tout du savon  de Marseille véritable!! Je fais souvent de la lessive maison avec de vrais copeaux de Marseille et cela ne ressemble en rien à ça!! la lessive ne sent pas bon du tout et est très pâteuse blanche. Je connais bien la marque et les barres de savons à l'huile d'olive sont de très belles qualités. je fais de la lessive avec. Mais ces copeaux, je ne recommande pas du tout!!! là c'est franchement de l'arnaque...</t>
  </si>
  <si>
    <t>Bien, sauf détails génants Cela fait maintenant un peu plus de 1 an que j'utilise le réveil "Eveil Lumière - HF3531/01" de chez Philips. Je suis vraiment très satisfait de la fonction "lumineuse" (couché et réveil). Par contre il y a tellement de défauts de conception, que je me dois de partager mon expérience : * La radio est complètement polluée par la lumière. Il y a tellement d'interférences que dans ce cas il faut éteindre la lumière. Très dommage de devoir choisir entre lumière et radio ... * Les boutons sont très beaux, sur la tranche, design, intégrés en forme et couleur, mais quand la lumière est à fond, on est "aveuglé", et on ne peut plus les voir, par exemple pour éteindre la lumière ... * Les sons d'ambiance sont variés, mais tellement courts que je ne les utilise plus. Ils rebouclent sur eux même. Du coup on peut se retrouver avec un son qui reboucle toutes les 5 secondes. C'est à devenir fou ... Des détails, mais qui ont de l'importance, surtout en utilisation quotidienne comme moi.</t>
  </si>
  <si>
    <t>bien bien,mais a eviter quand il fait chaud</t>
  </si>
  <si>
    <t>Correct Le câble semble de bonne qualité. Sa longueur est agréable car permet de ne pas avoir un noeud de câble encombrant. J'enlève une étoile car son emballage était déchiré, donc inutile.</t>
  </si>
  <si>
    <t>Pratique. Bien pratique. Un petit défaut de couleur avec des traces de délavements... Mais non gênant.</t>
  </si>
  <si>
    <t>Joli Sympa mais l envoi fait bas de gamme prevoir une boite si cadeau</t>
  </si>
  <si>
    <t>Produit facile à utiliser Je m'attendais à ce que le film soit dans une boite solide, il est en fait dans un carton sur lequel il faut coller la glissière. Le film lui est de très bonne qualité, l'usage est facile et pratique et facilement réutilisable, c'est le plus important.</t>
  </si>
  <si>
    <t>Fort Très belle montre</t>
  </si>
  <si>
    <t>Simple mais efficace Cafetière filtre assez simple mais d'une grande efficacité pour un réveil en douceur le matin. La cafetière est de très bonne facture, avec en particulier des matériaux de qualité. Les fonctionnalités sont classiques, et le prix raisonnable. Un bon basique de qualité, avec un rapport qualité prix qui vaut le coup</t>
  </si>
  <si>
    <t>Pratique Boites doseuses très pratiques contrairement à une autre marque que j'utilisais. Pas besoin de dévisser puisqu'il y a un embout sur chaque boite, la transparence est un vrai plus pour vérifier quelle dosette est vide. Je recommande</t>
  </si>
  <si>
    <t>exeptionnel Pour le prix ce Micro à condensateur tres neutre est parfait pour une utilisation home studio. Le kit complet est super avec un tres long cable!  Pour la petite histoire je l'ai choisi apres avoir vu sur YT une comparaison avec le U87 Neumann et à l'ecoute le resultat est vraiment plus que impressionnant pour le rode.  Le micro est construit en australie et non en chine c'est interessant à noter pour un micro à ce prix.  Qualité du metal et finition sont au top.  Je recommande ce micro à tous ceux qui veulent le meilleur rapport qualité prix pour pour le chant, les cordes ,les guitares....thanks</t>
  </si>
  <si>
    <t>Top mais attention chausse grand Chausse assez grand. Une demi pointure au-dessus je dirais. Sinon top produit</t>
  </si>
  <si>
    <t>Plus grand que je ne pensais Mais solide.</t>
  </si>
  <si>
    <t>Parfait J'ai pris une taille "M" mesurant 1m79 et étant plutôt fin. Il me va parfaitement. Je n'ai que des compliments. Il est ni trop fin ni trop épais.</t>
  </si>
  <si>
    <t>très bon produit excellent pour les hématomes</t>
  </si>
  <si>
    <t>Bon choix Très jolie montre, simple, classique et élégante. J apprécie son bracelet qui pense aussi à ceux qui ont des poignets fins.</t>
  </si>
  <si>
    <t>Parfait Le parfait cadeau pour une ado de 12 ans.</t>
  </si>
  <si>
    <t>ADAPTé COMME PRéVU ADAPTé COMME PRéVU EN RAPPORT AVEC L'UTILISATION ATTENDUE DU PRODUIT ACHETé SUR INTERNET. PRODUIT FONCTIONNEL ET AU DESIGN CORRESPONDANT A LA PHOTO DIFFUSéE SUR INTERNET.</t>
  </si>
  <si>
    <t>rondinaud calmont, chaussons... Je suis très content de cette marque de chaussons, que j'adopte depuis longtemps. On y est bien et ils ne font pas de bruit, chauds et confortables en plus.</t>
  </si>
  <si>
    <t>Élégance et solidité Course marche ou pour le quotidien</t>
  </si>
  <si>
    <t>Super Papier de bonne qualité, compatible avec l'imprimante HP Sproket, donne un bon rendu. Seul reproche peut être, le prix, un peu cher pour une petite photo.</t>
  </si>
  <si>
    <t>Jolie cadeau pour les parents J’ai offert ce bain de pied à ma mère pour son anniversaire. Du coup elle l’utilise presque tout le temps maintenant</t>
  </si>
  <si>
    <t>Commode mais VRAIMENT  TRÈS CHER ! (et désinfectant seulement) Les deux pots assemblés = 900 g , or il faut 60 g pour une lessive en machine, donc pour 26,90 €, on désinfecte 15 lessives - contre 8,48 € pour 20 lessives avec les tablettes (qui fondent moins bien et ne sont pas utilisables à 20° ...)   Une version avec deux pots maxi propose 1700 g pour 44 € = 28/29 lessives -avec les tablettes, cela fait 12,70 € pour 30 lessives....   Attention : apparu dans un hypermarché après mon achat , ce produit  y est à 5,85 le pot, soit 11,70 € les deux pots... !!!   Pour ce qui est de détacher mieux que la lessive, aucun produit désinfectant (liquide, tablette ou poudre) Sanytol ne le fait = "faut pas rêver"  = javel incontournable sur ce point... si le tissu  et les précautions de l'utilisateur permettent son utilisation !!!!  par contre certaines couleurs non "grand teint" peuvent être altérées...</t>
  </si>
  <si>
    <t>bracelet perle Bonjour, je tiens a préciser que je ne suis pas contente du service, transporteur qui n'arrive pas a trouver l'adresse, bracelet avec default, la prochaine fois que vous fabriquer des bracelet vérifier que la perle est bien peinte et qu'il ne manque rien sur le bracelet. Très mécontente c'était pour offrir je vais devoir trouver un autre cadeau.</t>
  </si>
  <si>
    <t>Nul... J’avais commandé ces écouteurs pour mes trajets pédestres quotidiens et je suis clairement déçu : - le son est pas top, les basses quasi inexistantes, le volume maximal faible (on entend beaucoup trop les bruits extérieurs), saturation des HP à haut niveau de volume bref pas terrible du tout. - Niveau confort rien à dire ça fait le boulot de ce type de casque, sans plus - niveau utilisation, même si le jumelage avec mon iPhone s’est très bien déroulé, les boutons sont de très mauvaises qualités et ne reagissent pas tout de suite voir pas du tout. - en kit main libre, les gens ne vous entende pas bien mais pas grave de toute façon vous ne les entendez pas bien non plus... - enfin, le casque coupe tous les débuts de chanson, ce qui est assez énervant.  Je pense passer à un autre modèle rapidement et surtout fuir cette marque dorénavant.</t>
  </si>
  <si>
    <t>Satisfaite Le produit correspond à ce que j'attendais. Il est de bonne taille pour une cuisine petite. Plus compliqué si vous avez beaucoup de vaisselle.</t>
  </si>
  <si>
    <t>très bon design et très léger pas bon pour le nettoyage fin parce que pas trop peu puissant mais parfait pour le nettoyage journalier. très léger, très très très bon design, ça fait beaucoup de bruit et la charge en max puissance ça dure 25/30 min. très bon rapport qualité/prix. livraison comme prévue</t>
  </si>
  <si>
    <t>Ensemble plus que satisfaisant. Produit reçu dans les temps. Un petit mail du fournisseur nous expliquant les quelques réglages possible afin d'avoir une qualité de son et micro optimal notamment sur PS4. Qualité du produit très correct, même si le plasrique utiliser fait un peu made in China. La qualité du rembourrage autour des oreilles est comfortable et enveloppe parfaitement les oreilles et nous isole tes bien des bruits extérieur. Le son est nette, de bonne qualité avec des bons rendus stéréo et des basses présente mais pas exagéré. Il semble que le micro soit clair et offre un bon rendu. Pour le Prix, c'est un excellent produit.</t>
  </si>
  <si>
    <t>Joli et pratique Acheté pour parfumer ma voiture c’ est joli et avec tous les tampons différents je vais pouvoir changer de fragrance à chaque couleur</t>
  </si>
  <si>
    <t>ralentit la repouse ralentit la repousse des poils et les affaiblit mais il ne faut pas s'attendre  miracles il faut de la patience</t>
  </si>
  <si>
    <t>Super produit Je suis satisfaite et le maintien est vraiment bon. Lors de la première utilisation il faut prévoir de régler toutes les longueurs pour se sentir bien. Il y a des protections partout, comme un pad mou et doux pour ne pas sentir la fermeture dans le dos. Vraiment très confortable avec un maintien parfait. Je peux maintenant courir sans risque et sans frottement.</t>
  </si>
  <si>
    <t>Belles et confortables Belles et confortables.</t>
  </si>
  <si>
    <t>Qualité au rendez-vous Produit conforme à la légende! Idéal à toute saison ou presque! Le genre qui ne déçoit jamais, surtout quand on retrouve la marque après un certain temps.</t>
  </si>
  <si>
    <t>sweat shirt Ce sweat shirt me convient parfaitement. Il est agréable à porter et suffisamment chaud pour la saison actuelle. Merci AMAZONE.</t>
  </si>
  <si>
    <t>Trés satisfaisant Ravie de mon achat.</t>
  </si>
  <si>
    <t>Très bonne qualité ! Je suis bluffé ! Chaussures de très bonne qualité, d'un prix correct, et j'ai enfin trouvé des chaussures taille 47. A noter le délai de livraison de 4 jours. C'est juste exceptionnel ! Merci.</t>
  </si>
  <si>
    <t>Bien Ce que l'on attend du produit. Juste chère par rapport au nombre d'impressions</t>
  </si>
  <si>
    <t>Ergonomique Satisfaction</t>
  </si>
  <si>
    <t>Rad Ras</t>
  </si>
  <si>
    <t>Toujours à l'heure parfaite comme montre dans la vie actuelle, sa mise à l'heure automatique est très pratique.</t>
  </si>
  <si>
    <t>design C'est une Jolie brosse qui est Bien adapté et nettoie bien les biberons. Pas le choix pour la couleur lors de l'envoi.</t>
  </si>
  <si>
    <t>Très joli modèle, taille légèrement petite, bon rapport qualité/prix Très belles baskets, coloris conforme à la photo. Confortables et solides. Ce sont de vraies «&amp;nbsp;New Balance&amp;nbsp;» livrées dans la boîte de la marque. Pour la pointure, ce modèle de NB taille légèrement petit, pour du 41 j’ai commandé 41 1/2. Par précaution, sachant que d’un modèle à l’autre chez NB, les tailles ne sont pas uniformes, je vous conseille d’essayer un modèle similaire en boutique pour éviter les mauvaises surprises. Le prix est imbattable, 54,90€ au lieu de 80€ en magasin, c’est une très bonne affaire !!! Je les ai acheté pour faire un cadeau et la personne était ravie. Livraison soignée et rapide comme d’habitude avec Prime. Je recommande ce modèle sans problème !!!</t>
  </si>
  <si>
    <t>parfait Bon c'est du câble. Mais ça a l'air sérieux vu sont poids et sa gaine souple le rendant facilement manipulable. En tout cas il fonctionne parfaitement. Que demander de plus ... Livraison ultra rapide de surcroît.</t>
  </si>
  <si>
    <t>Super rapport qualité-prix ! Le son est vraiment bon, la charge tient assez longtemps, et le tout se recharge très rapidement. Pour le prix, c'est vraiment pas mal. Je suis totalement satisfait de cet achat. Je recommande totalement ces écouteurs.</t>
  </si>
  <si>
    <t>Parfait Bébé se débrouille comme un grand...il fait la joie de ses parents !!!! Nous sommes vraiment ravis de la marque Mam</t>
  </si>
  <si>
    <t>Achat bijoux pour enfant Bonjour,suite à mon achat,j’ai constaté des traces noir autour du doigt de ma fille dû à la bague,et la chaîne lui a fait des boutons autour du cou.C’est dommage c’est Jolie comme bijoux.</t>
  </si>
  <si>
    <t>déçu Déçu car ce sont des bracelets avec des perles en plastiques et pas de véritables pierres de Quartz, Rhodonite ou onyx noir. Bracelet un peu petit également.</t>
  </si>
  <si>
    <t>Globalement bien mais pas parfait Agréables dans les oreilles. Le son est bon et réducteur de bruit top. La batterie tient bien. Le principal gros défaut que je donnerais c'est qu'en conversation téléphonique on m'entend mal et ça c'est vraiment gênant.</t>
  </si>
  <si>
    <t>Produit conforme Produit expédié uniquement dans son carton d'emballage sans protection supplémentaire. Heureusement, rien de cassé</t>
  </si>
  <si>
    <t>très bon produit mais prévoir une taille au dessus Comme déjà signalé, et j'en ai tenu compte lors de ma commande, ce modèle taille un peu petit - l'idéal serait de prévoir 1/2 taille au dessus de sa pointure mais 1 taille au dessus fait l'affaire. Sinon très bonne fabrication</t>
  </si>
  <si>
    <t>parfait ! très pratique et solide article répondant à mes attentes</t>
  </si>
  <si>
    <t>Super Mémère à eau chaude! Fidèle aux produits Kitchen Aid, je suis encore satisfaite de cette acquisition dans la marque. Elle chauffe très très vite, elle dégage très très peu de vapeur, le bruit de chauffe est très discret et elle est rétro et moderne à la fois! Son petit bip en fin de chauffe m'intrigue car il ne se manifeste pas à chaque fois me semble-t-il? Est-ce selon le degré de chauffe? Je n'ai pas approfondi la question car la bouilloire s'arrête quand même! 2 remarques: - pleine, elle est un peu lourde. - côté choix de la t° de chauffe, il faut l'adapter aux usages personnels selon ses goûts pour le thé par exemple et ne pas forcément se fier aux t° données selon les types de thé. Elle vient de remplacer mon ancienne bouilloire Magimix que j'utilisais  pluri- quotidiennement depuis 2002 et qui a été parfaite! Mais elle s'est mise à fuir.... Que de différence de fonctionnement entre les 2!  Bruit, vapeur etc.... 15 ans d'écart et des progrès en plus!</t>
  </si>
  <si>
    <t>Lecture CE1 Je recommande ce livre pour des élèves de début d'année CE1, 6/7 ans car ils se régalent tant par l'histoire que par les images. L'exploitation en classe est très facile.</t>
  </si>
  <si>
    <t>détachant naturel nettoie parfaitement toutes taches tous tissus</t>
  </si>
  <si>
    <t>Très bon rapport qualité prix Très jolie avec le verre éclairé par les LEDs bleues. Chauffe rapidement, s'arrête toute seule. Toutefois, assez bruyante. Le plastique sent fort au départ, l'odeur disparaît au bout d'un moment. Cela fait plusieurs mois que je l'utilise et ça ne sent plus rien. Le support d'alimentation électrique est pratique et rapide d'accès.</t>
  </si>
  <si>
    <t>complément de bijoux convient parfaitement pour le bijoux</t>
  </si>
  <si>
    <t>Super resistant J avais peur que ce soit vraiment petit car je l utilisé pour mes élèves et franchement ils résistent bien comme il faut, ils sont scratchés et déscratchés pendant deux heures et sont toujours en place !!</t>
  </si>
  <si>
    <t>Joli et design ! Très facile d’utilisation, j’ai acheté ce diffuseur pour mon conjoint qui ronfle beaucoup en ce moment. Nous sommes content de notre achat. Il est joli et silencieux. Il fonctionne toute la nuit sur la table de nuit.</t>
  </si>
  <si>
    <t>Diffuseur d'huiles essentielles Très bon diffuseur d'huiles essentielles. Bruit agréable. Différentes fonctions possibles avec minuteur de 1, 2, 3 et 4. Possibilité de changer les couleurs de la plateforme. Livret explicatif très bien. Recommandation d'achat. Très bon rapport qualité prix.</t>
  </si>
  <si>
    <t>juste magnifique envois rapide soigné la bouilloire est magnifique elle complete avec le grille pain commandé avec N hésitez pas une seconde se sont des produits de qualité malgré le prix attractif</t>
  </si>
  <si>
    <t>Ras Pour tous les jours</t>
  </si>
  <si>
    <t>super ! de vrai chausson agréable a porter qui sont bien rembourrés qui maintiennent bien le pied mais qui le laisse respirer. attention au niveau de la pointure il taille vraiment juste moi un petit 41 donc ça vas mais suis comme même au bout et il serre vraiment le pied donc si on a un pied fort il faut je pense prendre une taille au dessus.  sinon je recommande ce produit moi en ai acheter 2 tellement que j'en étais content.</t>
  </si>
  <si>
    <t>Impeccable J'ai commandé ma taille habituelle, parfait rien a dire, ce sont bien celles a plateforme. Reçu vraiment rapidement, j'étais très surprise !</t>
  </si>
  <si>
    <t>Qualité prix Pour le prix c super</t>
  </si>
  <si>
    <t>très bon produit fastoche d'utilisation</t>
  </si>
  <si>
    <t>Très bon rapport qualité/prix Cette montre connectée est vraiment très sympa et facile d'utilisation. Celle-ci offre de nombreuses fonctionnalités, on peut recevoir ses appels et sms directement dessus et y répondre directement. On peut également accéder aux applications de messagerie ainsi qu'aux applications de réseaux sociaux directement dessus c'est vraiment pratique. Il y a même un moteur de recherche déjà installé. La première connexion et synchronisation avec le portable via le Bluetooth se fait en quelques minutes très rapidement et c'est très simple à faire. Si on ne l'utilise pas en tant que montre connectée, la fonction de montre à plusieurs type d'affichage qui permet de personnaliser la montre à votre goût.  Je recommande cette montre de super qualité à un très bon prix !</t>
  </si>
  <si>
    <t>Convient parfaitement pour mon parcours vélotaf Mon parcours est à 80% en pleine nature (Ravel voie sécurisée). Le casque me permet de ne pas être totalement isolé auditivement de mon environnement. Quel plaisir de rouler en écoutant mes podcasts préférés. La portée bluetooth est très bonne, ce qui n'était pas le cas avec d'autres appareils (=&amp;gt;pas de micro coupure).  Le bouton pour mettre en pause ou prendre un appel est juste parfait. En bref l'appareil correspond à mes attentes .... à voir évidemment si il va tenir dans le temps.</t>
  </si>
  <si>
    <t>Sobre, fonctionnelle Très belle bouilloire, rapide, facile à nettoyer, interface évidente, un très beau design.</t>
  </si>
  <si>
    <t>couleur différente sur la photo Livré en rose saumon, sur la photo il est rose pastel, l 'inscription est en noir sur la photo mais en blanc sur le produit. Il a beaucoup plu à une amie pour son anniversaire.</t>
  </si>
  <si>
    <t>Chaussure abîmée Bonjour, je viens d’ouvrir la boîte et une des chaussures est abîmée 😒 (voir photo)...</t>
  </si>
  <si>
    <t>Très cher Très cher pour une faible autonomie. Les cartouches CANON d'avant avaient une meilleure autonomie. Je n'imprime pas de photos mais uniquement du texte. Dommage.</t>
  </si>
  <si>
    <t>Inutile Utilisé pour éliminer des acariens de cuisines dans un petit studio, placé proche de la zone contaminée pendant 5h30 et quand j'ai fais le nettoyage après il y en avait encore qui bougeait partout. En plus reçu avec 4 jours de retard.</t>
  </si>
  <si>
    <t>jogging confortable et parfait pour trainer pour une pratique sportive, mieux vaut choisir des tenues adaptées  Taille grand, prévoir une taille en-dessous  choisi pour avoir une tenue confortable chez moi</t>
  </si>
  <si>
    <t>Bien Bonne tétite, le choix des vitesses est simple grâce à des petites boules qui ressortent, idéal la nuit ! Le lait AR de ma fille passe très bien à travers ! Facile à nettoyer !</t>
  </si>
  <si>
    <t>Tres Bien mais ... J'ai acheter c'est cartouches d'encre pour mon imprimante Epson xp-245 Et cela fonctionne sans problème ! Aucune erreur sur l'imprimante ça a juste était détecter que ce n'est pas les cartouches d'origine Epson mais il suffit de cliquer sur poursuivre l'impression et le messages disparaît !  attention toute fois la cartouche noir est pleine d'encre dans son sachet ... j'en ai eu pleins les doigt ...</t>
  </si>
  <si>
    <t>Cadeau anniversaire Offert pour l’annive D’une fillette de 5 ans. Nous cherchions une activité créative. Elle était ravie.</t>
  </si>
  <si>
    <t>Ok mais. Fonctionne comme attendu mais mon les écouteurs ne sont pas très confortables</t>
  </si>
  <si>
    <t>Bon rapport qualité prix Chaussettes jolies, confortables et chaudes</t>
  </si>
  <si>
    <t>Bien Bien, rien à dire... mais il faut être constante pour que ça marche Je pensait que en étant électrique serai plus facile... mais non...</t>
  </si>
  <si>
    <t>Très bonne veste Super veste , taille très bien et de bonne qualité , sait aussi bien tenir chaud les frais matins et rester fraîche pour l’apres Midi</t>
  </si>
  <si>
    <t>Bon rapport qualité/prix Appareil fonctionnel. Bon rapport qualité/prix, très recommandé!!!!!!</t>
  </si>
  <si>
    <t>Trop jolie bracelet type Swarovski Ce bracelet est trop jolie et très classe. J’avais craqué sur un modèle quasi identique chez Swarovski mais beaucoup plus cher donc quand j ai vu celui ci, j’ai cèdé à la tentation. Il est là touché finale à une tenue élégante mais même pr tout les jours il est magnifique et habille le poignet. J ai le poignet plutôt fin mais la taille et parfaite, c’etait ma seule peur. Je n’ai eu que des compliments sur sa beauté et son originalité. J ai énormément apprécié l attache aussi qui est sécurisé et solide.</t>
  </si>
  <si>
    <t>la qualité au RD Bonjour,  qualité audio exceptionnelle pour écouter la musique, téléphoner, danser !  connexion dans tout l'appartement meme avec le telephone dans une autre piece.  je recommande, belle qualité!</t>
  </si>
  <si>
    <t>taille super, rien a dire. :)</t>
  </si>
  <si>
    <t>Rien Confortable</t>
  </si>
  <si>
    <t>Superbe et livraison ultra rapide Sacoche offerte. Parfaite. Livraison ultra rapide.</t>
  </si>
  <si>
    <t>Parfait et très rapide Mauvaise taille, mais avec prime, pour le lendemain, les nouvelles était dans ma boîte au lettre. Vraiment très satisfait !</t>
  </si>
  <si>
    <t>Formidable Produit de bonne qualité, livrer dans les temps, correspond a ce que je recherchais pour mon fils. 3 eclairage different, a commande tactile bonne luminosité. Jeu de couleur a commande tactile aussi.</t>
  </si>
  <si>
    <t>la classe très belle montre très satisfait, seul point négatif qui ne mérite pas une baisse d'étoile. c'est juste que pour mettre le numéro du jour je n'arrive pas à le mettre, le nombre reste le même, pourtant je met le bon cran et j'ai beau tourner dans tous les sens je n'y arrive pas. alors je ne sais pas si c'est ou la montre, mais je le signale.</t>
  </si>
  <si>
    <t>Biberons Super biberon Bon profit Bébé a moins de coliques</t>
  </si>
  <si>
    <t>Parfaite et legere Très légère !! Elle est parfait pour une utilisation de tous les jours au travail. Elle ne fait pas transpirer le poignet</t>
  </si>
  <si>
    <t>Très bon rapport qualité/prix Un montre facilement remise à neuf avec ce bracelet de belle apparence et qui semble solide. On verra à l'usage ... A noter l'outil fourni avec très rapide pour démonter le bracelet !</t>
  </si>
  <si>
    <t>Grande capacité Cette cartouche de grande capacité est pratique lorsqu'on imprime souvent en noir, cela permet de la remplacer moins souvent et de faire également des économies.</t>
  </si>
  <si>
    <t>film de bonne qualité reçu dans les temps, très bien emballer aucun souci, film de bonne qualité, la photo ne correspond pas mais ce n'ai pas important je recommande</t>
  </si>
  <si>
    <t>Bof bof Un achat pas assez réfléchi. Le temps de chauffe est bon, et sans trop de bruit, mais le bec verseur  est mal étudié et le réservoir est extrêmement chaud et le reste longtemps ...</t>
  </si>
  <si>
    <t>Casquette ne fonctionne plus Bonjour voila j'avais commende cette article le moi de juillet le problème il ne marche plus ont entants plus rien il est toujours sur garantie alors que faire mer d'avance</t>
  </si>
  <si>
    <t>La fermeture ne tient pas Le sac est esthétiquement très bien mais le système de fermeture (deux aimants) ne tient pas dès qu'il est un peu chargé. Je suis très déçu car cela limite très fortement son utilisation.</t>
  </si>
  <si>
    <t>Pull très fin, synthetique.couleur belle. Couleur très bien Pull très fin</t>
  </si>
  <si>
    <t>Déçue par la taille des rouleaux Bien que le descriptif soit conforme, j'avais lu rapidement et m'étais aux nombreuses étoiles de ce lot ... En fait les rouleaux sont plus petits que ce croyais. Niveau qualité, rien à redire en revanche.</t>
  </si>
  <si>
    <t>Plus joli sur la photo qu'en vrai Egouttoir très pratique et plutôt esthétique, en revanche je le trouve plus joli sur la photo qu'en vrai, je pensais que le socle était en inox et c'est en fait en plastique blanc, le tout fait donc très "plastique".</t>
  </si>
  <si>
    <t>Date La date difficile à régler à part cela aucune problème la montre reste à la bonne heure. Désign classique, bon article</t>
  </si>
  <si>
    <t>bien bien adapté à la taille de ma femme</t>
  </si>
  <si>
    <t>Bouilloire 1,8l Bouilloire très jolie et très facile à utiliser  à voir combien de temps elle tient dans le temps</t>
  </si>
  <si>
    <t>Parfait pour bébé Ces biberons Mam qui se stérilisent au micro-onde sont très pratiques ! La partie inférieure dévissable permet un nettoyage en profondeur et réduit les coliques de bébé.</t>
  </si>
  <si>
    <t>Jolies gommettes Jolies gommettes toutes colorees et faciles a decoller. Je recmmande</t>
  </si>
  <si>
    <t>Mon fils les a adopté! J'ai commandé ces baskets pour mon fils de 9 ans qui fait de l'athletisme. Il chausse normalement du 34 j'ai pris du 35 elles sont impeccable elles chaussent tres bien. Il les adorent surtout a cause des bulles d'air et de la couleur multicolor en fond. Il a dit avec elle je vais pouvoir courir vite !</t>
  </si>
  <si>
    <t>Idéales pour le personnel travaillant dans le paramédical. Je n'ai jamais eu de chaussures aussi confortables! Si votre profession exige des stations debout prolongées et que vous êtes obligés de faire des kilomètres de couloirs, vous ne serez pas mieux que dans ces chaussures. J'ai également acheté le modèle en noir  pour les voyages et sorties touristiques. PARFAITES!!!!</t>
  </si>
  <si>
    <t>Parfait ! Très pratique. Connection rapide et c’est vraiment pratique de ne pas avoir de fil pour le sport. Je recommande !</t>
  </si>
  <si>
    <t>Je recommande vivement Très belle qualité, chaud confortable, bien ajusté</t>
  </si>
  <si>
    <t>super Super mais toujours ce problème pour adapter l es tailles.</t>
  </si>
  <si>
    <t>Très bien.. C'est la première fois que j'achète des tongs de cette marque. La qualité semble bonne, la semelle est bien épaisse et souple juste comme il faut, les lanières ont l'air solidement fixées, bref à voir dans le temps, mais elles paraissent solides. Sur le site, la couleur pourrai paraitre vert pistache, mais elles sont bien " jaune citron". Belle et longue vie à tous!</t>
  </si>
  <si>
    <t>Efficace Un tres bon melangeur. Ma fille a un lait avec epaississant du coup bcp plus facile de melanger.</t>
  </si>
  <si>
    <t>Ravie de ma Vans ! Commande et livraison au top! Le produit est réceptionné ds sa boite et conforme ! Rien à dire je valide complètement ma commande et vous recommande ce produit !</t>
  </si>
  <si>
    <t>TRes beau rendu Super crayon de couleur je m’en Sert pour le coloriage mystère Disney et c’est parfait le rendu est très jolie par contre les crayons s’use très vite</t>
  </si>
  <si>
    <t>Jolie Belle montre qui ne passe pas inaperçu avec sa superbe couleur rouge, (un peu plus pâle que sur la photo)</t>
  </si>
  <si>
    <t>Super produit Wawouuu qu’elle produit !!! Magique !! La détente se fait désormais à la maison grâce à cet objet juste révolutionnaire ! La chaleur est superbe , le massage fait du bien moi qui est mal au dos j’adore !! Je valide complètement cet objet ! On peut régler l’intensité du massage , inverser le sens du massage , super en tout cas je ne regrette pas mon achat je recommande</t>
  </si>
  <si>
    <t>Papier toilette haut de gamme Pour ce prix là, on a fini par n'acheter le papier toilette que sur Amazon. La qualité est top ! Je recommande.</t>
  </si>
  <si>
    <t>Parfait Superbes je vais encore acheter car j’en suis ravi de mon achat et de leur qualité, après tans de lavage aucune bouloche chapeaux</t>
  </si>
  <si>
    <t>très petit gant La taille est aussi petite que le prix.  Gant très léger, adapté au voyage mais pas à la maison. On en a pour son argent. Il a tendance à plucher. Espérons que cela va cesser au bout de quelques utilisations.</t>
  </si>
  <si>
    <t>Cartouche vide Tres deçu . depuis que j ai placé la nouvelle cartouche. Mon voyant reste allumé, et maintenant je ne peux pmus imprimer car on me demande de changer de cartouche! Alors qu'elle est neuve!!! Donc me voila obligé de racheter une nouvelle cartouche.</t>
  </si>
  <si>
    <t>Taille mal Gilet de mauvaise qualité très déçu</t>
  </si>
  <si>
    <t>superb Ces baskets sont très belles,Par contre attention, les gazelles chaussent très grands, n'hésitez pas à prendre une taille ou demi pointure en dessous. Pour du 39, prendre 38 c'est largement suffisant.Elles sont parfaites, hyper confortable et je les adore!!! Je recommande vivement!! Vous pouvez les acheter les yeux fermés!!!</t>
  </si>
  <si>
    <t>Conforme Conforme à mes attentes . La couleur est bien pétante et la taille super. Je recommande .</t>
  </si>
  <si>
    <t>Pas déçu de cet achat Très jolie montre qui fonctionne parfaitement et qui est même faiblement visible dans le noir complet. Bon emballage. Montre un peu bruyante au niveau de son mécanisme, bracelet en cuir trop rigide mais qui est résistant pour l'instant.</t>
  </si>
  <si>
    <t>Look vintage qui tue! Montre très agréable a porter avec un chouette look, un bracelet très confortable et un accès au piles très facile grâce a 4 vis cruciforme, donc pas de gros budget pour les changer chez l'horloger.  Cadrant plastique chromé mais la partie en contacte avec la peau est en métal également.  très bon produit pour le prix.</t>
  </si>
  <si>
    <t>le mode d'emploi Utilisation = étiquettes ! problème = j'ai du renvoyer la première étiqueteuse que j'avais reçue car je n'arrivais pas à la faire fonctionner ; la deuxième ne fonctionnait pas plus, j'ai appelé Amazon (numéro adhoc) qui m'a donné le téléphone de Dymo, et j'ai eu au tél une personne compétente (l'axe d'entrainement du ruban, quand il est neuf, est parfois trop dur et il faut le dégripper en le tournant quelques tours à la main), donc problème réglé. La réactivité d'Amazon est excellente.</t>
  </si>
  <si>
    <t>Un réveil en douceur Un réveil tout en douceur agréablement préparé par l'intensité lumineuse qui augmente progressivement, puis les chants d'oiseaux ou de coucou(radio aussi).Pour ceux qui sont fâchés comme moi avec le réveil traditionnel c'est l'idéal depuis que je l'ai je me lève plus "fraiche"! Le seul point négatif c'est la petite taille de la touche lumière quand on s'en sert en lampe de chevet ce qui est pratique car on n'a qu'un appareil sur la table de nuit.</t>
  </si>
  <si>
    <t>Bon Tout est ok</t>
  </si>
  <si>
    <t>Guguta Se produit est de qualité</t>
  </si>
  <si>
    <t>un beau design il est fourni avec une notice d'utilisation, pour faciliter l'usage. je le trouve joli et sobre. il diffuse de façon homogène les huiles essentielles, donc ca me va bien. Les différentes luminosité apportent un vrai plus.</t>
  </si>
  <si>
    <t>Impeccable Super! Baskets nickel, livrées bien plus tôt que la date de livraison indiquée - parfait! un bon prix comparé aux magasins. J'ai économisé environ 40€.</t>
  </si>
  <si>
    <t>Jolie bague Très jolie bague. La taille n'était pas la bonne et amazon proposait uniquement le remboursement. Le vendeur a alors pris les choses en main et s'est occupé de me renvoyer une bague à la bonne taille.</t>
  </si>
  <si>
    <t>Authentique Conforme et livraison rapide</t>
  </si>
  <si>
    <t>Produit conforme J'ai utilisé le papier à lettres pour rédiger des invitations. tout le monde est content.  (Demi-feuille A4)</t>
  </si>
  <si>
    <t>Très belle et très classe Livrée dans beau boîtier blanc Diesel avec à l'intérieur la montre accrochée à un petit coussin blanc.  Un manuel d'utilisation se trouve dans le fond de la boîte.  La montre et le bracelet sont d'un très beau gris ardoise foncé. Le cadran affiche la date, il est possible d'activer un chrono (affiché dans les 3 petits cadrans du milieu) et elle est étanche jusqu'à 100 mètres (10 ATM).  Le poids est correct et le tout semble assez robuste.  J'aime beaucoup cette montre de par sa couleur qui peut s'accorder avec tout type de vêtements, elle est vraiment très classe.  Avant de commander cette montre sur Amazon je l'ai vue en magasin au prix de 260€.</t>
  </si>
  <si>
    <t>Bien Arrivé rapidement et en bon état. Juste une rayure sur le socle. Je l'ai reçu directement en pommade au lieu de solide comme les autres commentaires. Sans doute la chaleur. Le pot de coco est aussi à moitié fondu. En tout cas sens très bon et à une couleur jaunâtre comme je voulais.</t>
  </si>
  <si>
    <t>Rien à dire Bouilloire qui joue bien son rôle, elle s'éteint lorsque l'eau est à température. Elle ne tient pas énormément de place et son look est sympa</t>
  </si>
  <si>
    <t>Extra S'adapte parfaitement à m'a Tassimo. De très bonne qualité et démontage pour un nettoyage des éléments. Rien à dire, le top</t>
  </si>
  <si>
    <t>Excellent ! Reçu le lendemain.  Bel objet, semble de qualité. J'attends ma Gopro 6 pour tester, mais je ne suis pas inquiet, je connais le sérieux et la qualité de cette marque.  Il est économique car n'utilise pas de piles, sa suspension est de très bonne qualité.</t>
  </si>
  <si>
    <t>Couture qui lâches Sac de bonne dimension, de nombreuses poches,mais les coutures ne tiennent pas ! Après seulement 2 jours d'utilisation la fermeture reste dans ma main! Je déconseille!</t>
  </si>
  <si>
    <t>Rien Je.suis  déçu de mon achat. Trop petit  le M c pour un enfant  de 14 ans ..et pas aussi  beau que dans la photo</t>
  </si>
  <si>
    <t>Écouteur Son pas top</t>
  </si>
  <si>
    <t>Bien mais très fin Bon produit mais un peu trop transparent : il suffit qu'il y ait un coup de froid et la forme des tétons devienne plus que visible, meme avec un tee shirt.</t>
  </si>
  <si>
    <t>Un chouette petit casque  portable OK ça manque de basses, mais au moins ça n'explose pas le tympan: le son est clair et les instruments audibles. Il couvre bien et confortablement l'oreille. il est suffisamment compact et se transporte aisément. Et puis bon, c'est du Marshall tout de même!!</t>
  </si>
  <si>
    <t>Casque de bon rapport qualité prix J'ai été à deux doigts de le retourner suite à un problème de coupure du son très désagréable, j'ai presque tout essayé ( éloignement de la base / prises et autres appareils, coupure du wifi de la box etc .. ) aucun résultat ! puis avant son emballage pour retour j'ai tout de même essayé de changer le cordon optique ( fourni avec le produit) et là,  miracle, plus aucune coupure et cela devient effectivement un casque d'excellente qualité acoustique, il faut tout de même le retirer quelques instants  après 2 heures d'utilisation ( les oreilles chauffes) Conclusion, il faut oublier le câble optique  fourni  qui coûte moins de 50 cts d'euro à la vente ! commandez un câble de bonne qualité pour moins de 10 euros</t>
  </si>
  <si>
    <t>Correct Très mimi, bouillotte toute douce mais assez petite ! La qualité est moyenne. Je recommande</t>
  </si>
  <si>
    <t>calculatrice lycée Cela nous fut demandé par le lycée avec une vente groupée possible mais à 20 euros plus cher que sur amazon. J'ai donc fait le choix logique de la commander sur ce site qui ne m'a jamais déçu et avec l'offre de remboursement de Casio tout était fait pour une rentrée économique. Côté utilisation, mon fils la trouve simple d'utilisation et les fonctions sont amplement suffisantes.</t>
  </si>
  <si>
    <t>super basket VICTORIA Une très belle paire de chaussure, très confortable, et super jolie. je suis ravie de mon achat, je ne regrette rien !!!</t>
  </si>
  <si>
    <t>tres bien Les imprimante HP aiment les cartouches de la marque et vous le font savoir. Facile d'utilisation et jamais de mauvaise surprise avec cette cartouche</t>
  </si>
  <si>
    <t>Bonne qualité Bottes de très bonne qualité..vivant en montagne telle est parfaitement adaptée..petit bémol la semelle est un peu lisse..conforme à la description et aux photos</t>
  </si>
  <si>
    <t>Très bonne qualité Très bonne qualité, conforme a la description, confortables, correspondant ssons aux attentes</t>
  </si>
  <si>
    <t>Très bon produit Ce scratch est vraiment pratique à installer et la colle au dos pour le fixer est de bonne qualité. J'avais déjà commandé en noir, là j'ai commandé en blanc et je ne suis toujours pas déçu de la qualité.</t>
  </si>
  <si>
    <t>vraiment bien superbe produit, avec emballage en coton et pochette plastique ! bien emballé</t>
  </si>
  <si>
    <t>Bon rapport qualité/prix Je cherchais pour offrir des écouteurs assez similaires à ceux de la marque à pomme mais pour Android.  [+] Les Plus : + Boîte compacte, design et esthétique + Qualité des basses satisfaisante en volume standard + Ecouteurs légers + Autonomie d'au moins 3h + Bluetooth 5 : moins gourmand en batterie, meilleure qualité audio  [-] Les moins : - Packaging ultra simpliste - Attache du couvercle fragile - Autonomie de la boîte de 2-3 charges max  Pour le prix, la qualité est bonne. Le packaging est très simple, la notice est en anglais et la boîte a été conçu pour être juste suffisante. Des efforts de coûts ont été faits sur les annexes ce qui permet d'avoir des écouteurs d'une bonne qualité à un prix hautement compétitif.</t>
  </si>
  <si>
    <t>Bracelet fin et élégant Très joli bracelet fin et élégant Style jeune et très tendance Cadeau parfait pour les fêtes de fin d’année à un coût raisonnable</t>
  </si>
  <si>
    <t>Top Montre de qualité, l’ecran Avec tout les cadrans apparement est sublime, mon homme est fan de montre et le résultat est vraiment identique à la photo</t>
  </si>
  <si>
    <t>Bien Cela nous a beaucoup aidé dans l’apprentissage de la propreté pour mon fils de 2 ans et demi. La qualité et la taille du livre sont parfaite</t>
  </si>
  <si>
    <t>aussi confortable que looké j adooooooooore  !</t>
  </si>
  <si>
    <t>Impeccable J'ai hésité un bon moment avant d'acheter ce produit mais finalement le prix m'a incitée à tenter le coup... les divers commentaires positifs aussi... et je ne suis pas du tout déçue. Les cartouches se sont installées sans problème ni aucune résistance de la part de mon imprimante ; la qualité n'en pâtit pas, du moins à mon niveau, c.a.d. du traitement de texte. Je recommande ce produit pour un travail courant. Pour les pros, je ne suis pas en mesure de me prononcer.</t>
  </si>
  <si>
    <t>Envoi rapide et conforme Machine repartie pour un tour !</t>
  </si>
  <si>
    <t>très bien je suis satisfait, elles ont l'air très solides, pour les travaux extérieurs elles sont parfaites, de très bonne qualité. Je donnerai un autre avis quand je les aurais utilisées plus longtemps.</t>
  </si>
  <si>
    <t>Très agreable :) J'ai  commandé cette bouillotte pour ma fille qui l'adore. Elle chauffe en quelques minutes au micro ondes et reste chaude plusieurs heures. L'extérieur est en tissus doux comme une peluche ce qui est super agréable :)</t>
  </si>
  <si>
    <t>Efficace, gain de temps !!!! maison de 150 M2 toujours nickel ! Cafetière qui ne  reste au chaud que 40 mn, après c'est micro ondes....</t>
  </si>
  <si>
    <t>Obsolescence bien programmée Incroyable ! Acheté le 23 oct 2017, cette bouilloire se met depuis 2 jours en marche toute seule sans eau avec le risque de mettre le feu à la maison. Heureusement que j'étais là pour sentir l'odeur du plastique brûlé. Donc je ne la conseille pas sauf si vous voulez une bouilloire qui vous lâche juste après la garantie ;)</t>
  </si>
  <si>
    <t>Bracelet C'est de la camelote. Ne pas acheter</t>
  </si>
  <si>
    <t>Pas mal mais pas encore le top Protège les pieds mais le sable y entre avec l'eau ... désagréable ! Pas assez souple même si hyper légère. Je cherche encore un chausson qui collerait plus au pied, comme une seconde peau</t>
  </si>
  <si>
    <t>semelles bruillante produit conforme à la commande mais les semelles antidérapantes, sont très bruyantes . les personnes vous entendent arriver de très loin !</t>
  </si>
  <si>
    <t>Bien mais attention peut glisser Les chaussures sont bien mais attention glisse sur plaque en fer mouillé</t>
  </si>
  <si>
    <t>Bon produit Une bonne bouilloire éléctrique, conforme à sa description. Je la recommande. Elle fait bien son devoir. Et en plus elle est belle.</t>
  </si>
  <si>
    <t>Cartouche type originale Utilisation perso</t>
  </si>
  <si>
    <t>parfait Je suis maçon. Il me fallait de bonne chaussettes pour moi qui porte des chaussures de sécurité sur chantier. J'ai commandé 2x 3 paires. Elles sont confortables et ont l'air solides. J'espère que ça va durer plusieurs mois. Presque pas de transpiration après des journées de 12 heures très actives. Taille juste ce qu'il me fallait. Je chausse du 43 et j'ai pris des 43-47. La tige de la chaussette monte juste ce qu'il faut pour la cheville ( pas trop haute ). Elles sont superbes en gris ou noir ! Continuez comme ça</t>
  </si>
  <si>
    <t>Bobine pour cigarette électronique Déjà commandé plusieurs fois jamais de soucis. Je recommande cet article</t>
  </si>
  <si>
    <t>Taille bien et agréable à porté toute la journée sans avoir mal au pied. J'ai choisi cette paire de sécurité car je suis agent d'entretien dans un lycée.  Chaussure agréable à porter toute la journée. Je recommande au personne pour avoir un confort absolu.</t>
  </si>
  <si>
    <t>Bon rapport qualité prix Il est bien et s adapte à la dernière canon</t>
  </si>
  <si>
    <t>Bien Très beau</t>
  </si>
  <si>
    <t>Parfait! Je cherchais des câbles pour connecter ma table de mixage et je suis tombé sur ces modèles Stagg avec anneau de couleur qui permettent aisément d'identifier les canaux droits et gauches en leur associant une couleur (Bleu= droite, Vert=gauche). Et je confirme que le choix était le bon, ce sont des câbles de qualité et qui remplissent parfaitement leur rôle :-) Juste une remarque, pourquoi les fabricants, Stagg mais pas seulement, s'acharnent ils à identifier ces câbles comme "pour microphone" alors que ce sont des câbles "signal" qui peuvent aussi bien être utilisés pour connecter un micro à une table, qu'une table à un ampli (sorties lignes)...</t>
  </si>
  <si>
    <t>bien ne pas hésiter à prendre une taille supplémentaire si vous avez un bon coup de pied</t>
  </si>
  <si>
    <t>Super kit Super kit. Je l’ai achetée pour bébé allaite au sein et au biberon et ça marche très bien</t>
  </si>
  <si>
    <t>Légère, petite et utile Reçue aujourd'hui et opérationnelle pour 1 heure de laminage. Je l'a trouve pratique, petite et utile pour mes cours et le peu de place que j'ai dans mon appartement.</t>
  </si>
  <si>
    <t>Les pieds au chaud Pensez à les jeter à la poubelle à la fin de l'hiver, ce n'est pas vraiment prévu pour être lavé plus d'une fois.</t>
  </si>
  <si>
    <t>Très bon casque J'ai acheter ce casque pour un cadeau, et bah c'est une très bonne réussite. J'ai pus le tester et honnêtement je ne regrette en rien mon achat. Bonne qualité de micro et un très bon son. Je recommande ce casque de chez Razer.</t>
  </si>
  <si>
    <t>Vive Amazon ! J ai reçu ma montre hier et quoi dire a part que je suis heureux! Embalage parfait mais le principal c est ma montre a mon poignet. C est par hasard que je suis tombé sur cette montre casio vintage plus precisement je errais sur amazon comme souvent :) Mon fils de 12 ans a aussi beaucoup aimé donc je viens de lui commander le model en noir, sur Amazon bien sure. Je n ai aucun regret bien au contraire. Elle est parfaite. Je l a conseil sans hesiter.</t>
  </si>
  <si>
    <t>Très joli produit. C'est absolument magnifique. Le prix est très abordable. La surface de est lisse et bien proportionnée. Je le recommande vivement à ceux qui aiment ce style.</t>
  </si>
  <si>
    <t>C'est une belle montre Elle est parfaite pour un poignet d'homme. Elle est parfaitement juste. Il faut la placer au soleil au début pendant 15 minutes et elle part. C'est vrai qu'il manque une trotteuse mais même les cartier à 12000 euros n'en ont pas, la trotteuse c'est un manque de confiance.</t>
  </si>
  <si>
    <t>très bonnes chaussettes/ de qualité Paires de chaussettes de course / marche très confortable Ne coupent pas la circulation, Plus de douleur en bas du pied à voir après lavage Je recommande.</t>
  </si>
  <si>
    <t>survêtement Alors, c'est pas cher, ça taille petit,  le tissus est très fin et  ne semble pas très solide. le survet à un aspect brillant  qui ne ressemble pas vraiment à la photo. la capuche est tellement grande que votre tête disparais  lorsqu'on la porte!. Ne vaut pas plus que le prix auquel il est vendu.</t>
  </si>
  <si>
    <t>Mécontente Très très très déçus de l’achats de ces paires de chaussettes, à leurs arrivées les chaussettes sont deux à trois fois trois grandes ! Alors que j’ai pris ma pointure je fait un 39-42 et là je nage littéralement dedans ..</t>
  </si>
  <si>
    <t>INVICTA c'est très mauvais J'ai un problème également sur une 8926 0B ! Nickel pendant 4 mois et subitement la montre s'arrête, même au poignet, même après avoir été "remontée" en faisant tourner le rotor ! Très mauvais produit, de piètre qualité ! J'attends des infos d'AMAZON pour la marche à suivre car j'ai dépassé le délai de 30 jours !  :-( Pour une montre qui est affichée à 320 dollars c'est un scandale !</t>
  </si>
  <si>
    <t>Corps gras Pour le moment, je n' est pas encore utilisé ce produit, mais étant a base de plante, je pense que cela devrait faire du bien.</t>
  </si>
  <si>
    <t>Super bouilloire Température idéale enfin une infusion top top rapide en chauffe je recommande ce produit</t>
  </si>
  <si>
    <t>fiabilité acheté en dépannage (changement de piles de la montre principale et petit entretien) je cherchais une montre lisible fiable sans trop de gadgets. Depuis deux semaines elle me suit dans des environnements pas très surs (manutention et livraison) et je n'ai pas a m'en plaindre. Juste un petit regret au niveau esthétique c'est l'épaisseur du verre de protection mais on s'y fait !</t>
  </si>
  <si>
    <t>un peu plus grande que se qu'elle parait! parait un peu plus petite sur la photo</t>
  </si>
  <si>
    <t>Très bien Bon gommage, pas trop agressif, la texture est bonne, le produit ne sent pas fort, c'est un bon gommage quand on a la peau sèche.</t>
  </si>
  <si>
    <t>Ce produti répond aux normes de l'éducation nationale pour année scolaire 2019-2020 Adaptée pour Lycée année scolaire 2019-2020</t>
  </si>
  <si>
    <t>Bon produit Lot de 3 biberons et une sucette pour bébés de 0 à 6 mois. Il y a 2 biberons de 240ml et 1 biberon de 120ml, ils sont en verre et on évite ainsi d'avoir des biberons avec du plastique. Le verre est épais et il résiste aux chocs thermiques on peut sans problèmes les mettre au réfrigérateur, au micro onde ou au stérilisateur. Les tétines des biberons ont une valve anti coliques et elles imitent la forme du sein, elles sont également bien adaptées pour les laits infantiles. Mon bébé n'a pas eu de problèmes pour passer d'un autre biberon à ceux-là. Cela fait un cadeau de naissance très utile pour une fille ou un garçon car les biberons sont blancs et donc neutres. Je recommande.</t>
  </si>
  <si>
    <t>Excellent excellent</t>
  </si>
  <si>
    <t>Écouteur Bluetooth batterie En cherchant des écouteurs Bluetooth, j’ai vu ça ! Des écouteurs qui fait recharge téléphone en même temps, j’ai tout de suite acheté . Et après une semaine d’essais je trouve que les écouteurs à un son très net et bien en plus je sers comme un batterie de secours très pratique quand on est en court-circuit 😂😂</t>
  </si>
  <si>
    <t>très bien pour le travail Achetées pour mon fils de 18 ans qui travaille en extérieur, il en est ravi. Elles sont basses et les couleurs rendent ces chaussettes de travail plus sympas. De plus il dit qu'elles sont très douces à l'intérieur et pour le prix il ne faut pas hésiter</t>
  </si>
  <si>
    <t>Très content Achetées il y a un mois, je les porte parfois 10h par jour, elle relativement légère et très confortable. Je recommande.</t>
  </si>
  <si>
    <t>Juicy Trendz Femmes Dames Imprimé Sweat à Capuche La combinaison Juicy Trendz Femmes Dames Imprimé Sweat à Capuche est très confortable à porter et très pratique avec toutes ses poches.</t>
  </si>
  <si>
    <t>Dimension du sac Dimensions idéales pour un voyage cabine ryanair. Super pratique pour un cours séjour</t>
  </si>
  <si>
    <t>Quelle chaussure pour mon pied ? J'ai un pied difficile (large) à chausser et depuis des années je ne porte que des GEOX de ce modèle.</t>
  </si>
  <si>
    <t>100 GERMANUS Cure Pipe Blanc Employé tout simplement pour curer mes pipes. Excellent résultat.</t>
  </si>
  <si>
    <t>Parfait Conforme à mes attentes. Aux futurs acheteurs, faites attention à la conversion US - FR Prenez une demie taille au dessus. Livraison rapide.</t>
  </si>
  <si>
    <t>Cher mais efficace Ces sacs sont effectivement chers vu l'utilisation finale... Mais en 3 mois je n'ai pas eu à déplorer de fuite ou de déchirure. Tandis qu'auparavant en cas de fuite je devais doubler voire tripler ! Pas économique du tout ! La poubelle utilisée n'est pas la même marque et pourtant ils s'y ajustent parfaitement :)</t>
  </si>
  <si>
    <t>Très bonne qualité &lt;div id="video-block-R1P948C9SY6YXE" class="a-section a-spacing-small a-spacing-top-mini video-block"&gt;&lt;div tabindex="0" class="airy airy-svg vmin-supported airy-skin-beacon" style="background-color: rgb(0, 0, 0); position: relative; width: 100%; height: 100%; font-size: 0px; overflow: hidden; outline: none;"&gt;&lt;div class="airy-renderer-container" style="position: relative; height: 100%; width: 100%;"&gt;&lt;video id="31" preload="auto" src="https://images-eu.ssl-images-amazon.com/images/I/81hxAOySZ5S.mp4" style="position: absolute; left: 0px; top: 0px; overflow: hidden; height: 1px; width: 1px;"&gt;&lt;/video&gt;&lt;/div&gt;&lt;div id="airy-slate-preload" style="background-color: rgb(0, 0, 0); background-image: url(&amp;quot;https://images-eu.ssl-images-amazon.com/images/I/91A2ml2R7dS.png&amp;quot;); background-size: contain; background-position: center center; background-repeat: no-repeat; position: absolute; top: 0px; left: 0px; visibility: visible; width: 100%; height: 100%;"&gt;&lt;/div&gt;&lt;iframe scrolling="no" frameborder="0" src="about:blank" style="display: none;"&gt;&lt;/iframe&gt;&lt;div tabindex="-1" class="airy-controls-container" style="opacity: 0; visibility: hidden;"&gt;&lt;div tabindex="-1" class="airy-screen-size-toggle airy-fullscreen"&gt;&lt;/div&gt;&lt;div tabindex="-1" class="airy-container-bottom"&gt;&lt;div tabindex="-1" class="airy-track-bar-spacer-left" style="width: 11px;"&gt;&lt;/div&gt;&lt;div tabindex="-1" class="airy-play-toggle airy-play" style="width: 12px; margin-right: 12px;"&gt;&lt;/div&gt;&lt;div tabindex="-1" class="airy-audio-elements" style="float: right; width: 34px;"&gt;&lt;div tabindex="-1" class="airy-audio-toggle airy-on"&gt;&lt;/div&gt;&lt;div tabindex="-1" class="airy-audio-container" style="opacity: 0; visibility: hidden;"&gt;&lt;div tabindex="-1" class="airy-audio-track-bar" style="height: 80%;"&gt;&lt;div tabindex="-1" class="airy-audio-scrubber-bar" style="height: 85%;"&gt;&lt;/div&gt;&lt;div tabindex="-1" class="airy-audio-scrubber" style="height: 12px; bottom: 85%;"&gt;&lt;/div&gt;&lt;/div&gt;&lt;/div&gt;&lt;/div&gt;&lt;div tabindex="-1" class="airy-duration-label" style="float: right; width: 26px; margin-right: 4px; text-align: center;"&gt;0:00&lt;/div&gt;&lt;div tabindex="-1" class="airy-track-bar-spacer-right" style="float: right; width: 11px;"&gt;&lt;/div&gt;&lt;div tabindex="-1" class="airy-track-bar-container" style="margin-left: 35px; margin-right: 75px;"&gt;&lt;div tabindex="-1" class="airy-track-bar airy-vertical-centering-table"&gt;&lt;div tabindex="-1" class="airy-vertical-centering-table-cell"&gt;&lt;div tabindex="-1" class="airy-track-bar-elements"&gt;&lt;div tabindex="-1" class="airy-progress-bar"&gt;&lt;/div&gt;&lt;div tabindex="-1" class="airy-scrubber-bar"&gt;&lt;/div&gt;&lt;div tabindex="-1" class="airy-scrubber"&gt;&lt;div tabindex="-1" class="airy-scrubber-icon"&gt;&lt;/div&gt;&lt;div tabindex="-1" class="airy-adjusted-aui-tooltip" style="opacity: 0; visibility: hidden;"&gt;&lt;div tabindex="-1" class="airy-adjusted-aui-tooltip-inner"&gt;&lt;div tabindex="-1" class="airy-current-time-label"&gt;0:00&lt;/div&gt;&lt;/div&gt;&lt;div tabindex="-1" class="airy-adjusted-aui-arrow-border"&gt;&lt;div tabindex="-1" class="airy-adjusted-aui-arrow"&gt;&lt;/div&gt;&lt;/div&gt;&lt;/div&gt;&lt;/div&gt;&lt;/div&gt;&lt;/div&gt;&lt;/div&gt;&lt;/div&gt;&lt;/div&gt;&lt;/div&gt;&lt;div tabindex="-1" class="airy-age-gate airy-stage airy-vertical-centering-table airy-dialog" style="opacity: 0; visibility: hidden;"&gt;&lt;div tabindex="-1" class="airy-age-gate-vertical-centering-table-cell airy-vertical-centering-table-cell"&gt;&lt;div tabindex="-1" class="airy-vertical-centering-wrapper airy-age-gate-elements-wrapper"&gt;&lt;div tabindex="-1" class="airy-age-gate-elements airy-dialog-elements"&gt;&lt;div tabindex="-1" class="airy-age-gate-prompt"&gt;This video is not intended for all audiences. What date were you born?&lt;/div&gt;&lt;div tabindex="-1" class="airy-age-gate-inputs airy-dialog-inner-elements"&gt;&lt;select tabindex="-1" class="airy-age-gate-month"&gt;&lt;option value="1"&gt;January&lt;/option&gt;&lt;option value="2"&gt;February&lt;/option&gt;&lt;option value="3"&gt;March&lt;/option&gt;&lt;option value="4"&gt;April&lt;/option&gt;&lt;option value="5"&gt;May&lt;/option&gt;&lt;option value="6"&gt;June&lt;/option&gt;&lt;option value="7"&gt;July&lt;/option&gt;&lt;option value="8"&gt;August&lt;/option&gt;&lt;option value="9"&gt;September&lt;/option&gt;&lt;option value="10"&gt;October&lt;/option&gt;&lt;option value="11"&gt;November&lt;/option&gt;&lt;option value="12"&gt;December&lt;/option&gt;&lt;/select&gt;&lt;select tabindex="-1" class="airy-age-gate-day"&gt;&lt;option value="1"&gt;1&lt;/option&gt;&lt;option value="2"&gt;2&lt;/option&gt;&lt;option value="3"&gt;3&lt;/option&gt;&lt;option value="4"&gt;4&lt;/option&gt;&lt;option value="5"&gt;5&lt;/option&gt;&lt;option value="6"&gt;6&lt;/option&gt;&lt;option value="7"&gt;7&lt;/option&gt;&lt;option value="8"&gt;8&lt;/option&gt;&lt;option value="9"&gt;9&lt;/option&gt;&lt;option value="10"&gt;10&lt;/option&gt;&lt;option value="11"&gt;11&lt;/option&gt;&lt;option value="12"&gt;12&lt;/option&gt;&lt;option value="13"&gt;13&lt;/option&gt;&lt;option value="14"&gt;14&lt;/option&gt;&lt;option value="15"&gt;15&lt;/option&gt;&lt;option value="16"&gt;16&lt;/option&gt;&lt;option value="17"&gt;17&lt;/option&gt;&lt;option value="18"&gt;18&lt;/option&gt;&lt;option value="19"&gt;19&lt;/option&gt;&lt;option value="20"&gt;20&lt;/option&gt;&lt;option value="21"&gt;21&lt;/option&gt;&lt;option value="22"&gt;22&lt;/option&gt;&lt;option value="23"&gt;23&lt;/option&gt;&lt;option value="24"&gt;24&lt;/option&gt;&lt;option value="25"&gt;25&lt;/option&gt;&lt;option value="26"&gt;26&lt;/option&gt;&lt;option value="27"&gt;27&lt;/option&gt;&lt;option value="28"&gt;28&lt;/option&gt;&lt;option value="29"&gt;29&lt;/option&gt;&lt;option value="30"&gt;30&lt;/option&gt;&lt;option value="31"&gt;31&lt;/option&gt;&lt;/select&gt;&lt;select tabindex="-1" class="airy-age-gate-year"&gt;&lt;option value="2019"&gt;2019&lt;/option&gt;&lt;option value="2018"&gt;2018&lt;/option&gt;&lt;option value="2017"&gt;2017&lt;/option&gt;&lt;option value="2016"&gt;2016&lt;/option&gt;&lt;option value="2015"&gt;2015&lt;/option&gt;&lt;option value="2014"&gt;2014&lt;/option&gt;&lt;option value="2013"&gt;2013&lt;/option&gt;&lt;option value="2012"&gt;2012&lt;/option&gt;&lt;option value="2011"&gt;2011&lt;/option&gt;&lt;option value="2010"&gt;2010&lt;/option&gt;&lt;option value="2009"&gt;2009&lt;/option&gt;&lt;option value="2008"&gt;2008&lt;/option&gt;&lt;option value="2007"&gt;2007&lt;/option&gt;&lt;option value="2006"&gt;2006&lt;/option&gt;&lt;option value="2005"&gt;2005&lt;/option&gt;&lt;option value="2004"&gt;2004&lt;/option&gt;&lt;option value="2003"&gt;2003&lt;/option&gt;&lt;option value="2002"&gt;2002&lt;/option&gt;&lt;option value="2001"&gt;2001&lt;/option&gt;&lt;option value="2000"&gt;2000&lt;/option&gt;&lt;option value="1999"&gt;1999&lt;/option&gt;&lt;option value="1998"&gt;1998&lt;/option&gt;&lt;option value="1997"&gt;1997&lt;/option&gt;&lt;option value="1996"&gt;1996&lt;/option&gt;&lt;option value="1995"&gt;1995&lt;/option&gt;&lt;option value="1994"&gt;1994&lt;/option&gt;&lt;option value="1993"&gt;1993&lt;/option&gt;&lt;option value="1992"&gt;1992&lt;/option&gt;&lt;option value="1991"&gt;1991&lt;/option&gt;&lt;option value="1990"&gt;1990&lt;/option&gt;&lt;option value="1989"&gt;1989&lt;/option&gt;&lt;option value="1988"&gt;1988&lt;/option&gt;&lt;option value="1987"&gt;1987&lt;/option&gt;&lt;option value="1986"&gt;1986&lt;/option&gt;&lt;option value="1985"&gt;1985&lt;/option&gt;&lt;option value="1984"&gt;1984&lt;/option&gt;&lt;option value="1983"&gt;1983&lt;/option&gt;&lt;option value="1982"&gt;1982&lt;/option&gt;&lt;option value="1981"&gt;1981&lt;/option&gt;&lt;option value="1980"&gt;1980&lt;/option&gt;&lt;option value="1979"&gt;1979&lt;/option&gt;&lt;option value="1978"&gt;1978&lt;/option&gt;&lt;option value="1977"&gt;1977&lt;/option&gt;&lt;option value="1976"&gt;1976&lt;/option&gt;&lt;option value="1975"&gt;1975&lt;/option&gt;&lt;option value="1974"&gt;1974&lt;/option&gt;&lt;option value="1973"&gt;1973&lt;/option&gt;&lt;option value="1972"&gt;1972&lt;/option&gt;&lt;option value="1971"&gt;1971&lt;/option&gt;&lt;option value="1970"&gt;1970&lt;/option&gt;&lt;option value="1969"&gt;1969&lt;/option&gt;&lt;option value="1968"&gt;1968&lt;/option&gt;&lt;option value="1967"&gt;1967&lt;/option&gt;&lt;option value="1966"&gt;1966&lt;/option&gt;&lt;option value="1965"&gt;1965&lt;/option&gt;&lt;option value="1964"&gt;1964&lt;/option&gt;&lt;option value="1963"&gt;1963&lt;/option&gt;&lt;option value="1962"&gt;1962&lt;/option&gt;&lt;option value="1961"&gt;1961&lt;/option&gt;&lt;option value="1960"&gt;1960&lt;/option&gt;&lt;option value="1959"&gt;1959&lt;/option&gt;&lt;option value="1958"&gt;1958&lt;/option&gt;&lt;option value="1957"&gt;1957&lt;/option&gt;&lt;option value="1956"&gt;1956&lt;/option&gt;&lt;option value="1955"&gt;1955&lt;/option&gt;&lt;option value="1954"&gt;1954&lt;/option&gt;&lt;option value="1953"&gt;1953&lt;/option&gt;&lt;option value="1952"&gt;1952&lt;/option&gt;&lt;option value="1951"&gt;1951&lt;/option&gt;&lt;option value="1950"&gt;1950&lt;/option&gt;&lt;option value="1949"&gt;1949&lt;/option&gt;&lt;option value="1948"&gt;1948&lt;/option&gt;&lt;option value="1947"&gt;1947&lt;/option&gt;&lt;option value="1946"&gt;1946&lt;/option&gt;&lt;option value="1945"&gt;1945&lt;/option&gt;&lt;option value="1944"&gt;1944&lt;/option&gt;&lt;option value="1943"&gt;1943&lt;/option&gt;&lt;option value="1942"&gt;1942&lt;/option&gt;&lt;option value="1941"&gt;1941&lt;/option&gt;&lt;option value="1940"&gt;1940&lt;/option&gt;&lt;option value="1939"&gt;1939&lt;/option&gt;&lt;option value="1938"&gt;1938&lt;/option&gt;&lt;option value="1937"&gt;1937&lt;/option&gt;&lt;option value="1936"&gt;1936&lt;/option&gt;&lt;option value="1935"&gt;1935&lt;/option&gt;&lt;option value="1934"&gt;1934&lt;/option&gt;&lt;option value="1933"&gt;1933&lt;/option&gt;&lt;option value="1932"&gt;1932&lt;/option&gt;&lt;option value="1931"&gt;1931&lt;/option&gt;&lt;option value="1930"&gt;1930&lt;/option&gt;&lt;option value="1929"&gt;1929&lt;/option&gt;&lt;option value="1928"&gt;1928&lt;/option&gt;&lt;option value="1927"&gt;1927&lt;/option&gt;&lt;option value="1926"&gt;1926&lt;/option&gt;&lt;option value="1925"&gt;1925&lt;/option&gt;&lt;option value="1924"&gt;1924&lt;/option&gt;&lt;option value="1923"&gt;1923&lt;/option&gt;&lt;option value="1922"&gt;1922&lt;/option&gt;&lt;option value="1921"&gt;1921&lt;/option&gt;&lt;option value="1920"&gt;1920&lt;/option&gt;&lt;option value="1919"&gt;1919&lt;/option&gt;&lt;option value="1918"&gt;1918&lt;/option&gt;&lt;option value="1917"&gt;1917&lt;/option&gt;&lt;option value="1916"&gt;1916&lt;/option&gt;&lt;option value="1915"&gt;1915&lt;/option&gt;&lt;option value="1914"&gt;1914&lt;/option&gt;&lt;option value="1913"&gt;1913&lt;/option&gt;&lt;option value="1912"&gt;1912&lt;/option&gt;&lt;option value="1911"&gt;1911&lt;/option&gt;&lt;option value="1910"&gt;1910&lt;/option&gt;&lt;option value="1909"&gt;1909&lt;/option&gt;&lt;option value="1908"&gt;1908&lt;/option&gt;&lt;option value="1907"&gt;1907&lt;/option&gt;&lt;option value="1906"&gt;1906&lt;/option&gt;&lt;option value="1905"&gt;1905&lt;/option&gt;&lt;option value="1904"&gt;1904&lt;/option&gt;&lt;option value="1903"&gt;1903&lt;/option&gt;&lt;option value="1902"&gt;1902&lt;/option&gt;&lt;option value="1901"&gt;1901&lt;/option&gt;&lt;option value="1900"&gt;1900&lt;/option&gt;&lt;/select&gt;&lt;div tabindex="-1" class="airy-age-gate-submit airy-submit airy-button airy-submit-disabled"&gt;Submit&lt;/div&gt;&lt;/div&gt;&lt;/div&gt;&lt;/div&gt;&lt;/div&gt;&lt;/div&gt;&lt;div tabindex="-1" class="airy-install-flash-dialog airy-stage airy-vertical-centering-table airy-dialog airy-denied" style="opacity: 0; visibility: hidden;"&gt;&lt;div tabindex="-1" class="airy-install-flash-vertical-centering-table-cell airy-vertical-centering-table-cell"&gt;&lt;div tabindex="-1" class="airy-vertical-centering-wrapper airy-install-flash-elements-wrapper"&gt;&lt;div tabindex="-1" class="airy-install-flash-elements airy-dialog-elements"&gt;&lt;div tabindex="-1" class="airy-install-flash-prompt"&gt;Adobe Flash Player is required to watch this video.&lt;/div&gt;&lt;div tabindex="-1" class="airy-install-flash-button-wrapper airy-dialog-inner-elements"&gt;&lt;div tabindex="-1" class="airy-install-flash-button airy-button"&gt;Install Flash Player&lt;/div&gt;&lt;/div&gt;&lt;/div&gt;&lt;/div&gt;&lt;/div&gt;&lt;/div&gt;&lt;div tabindex="-1" class="airy-video-unsupported-dialog airy-stage airy-vertical-centering-table airy-dialog airy-denied" style="opacity: 0; visibility: hidden;"&gt;&lt;div tabindex="-1" class="airy-video-unsupported-vertical-centering-table-cell airy-vertical-centering-table-cell"&gt;&lt;div tabindex="-1" class="airy-vertical-centering-wrapper airy-video-unsupported-elements-wrapper"&gt;&lt;div tabindex="-1" class="airy-video-unsupported-elements airy-dialog-elements"&gt;&lt;div tabindex="-1" class="airy-video-unsupported-prompt"&gt;&lt;/div&gt;&lt;/div&gt;&lt;/div&gt;&lt;/div&gt;&lt;/div&gt;&lt;div tabindex="-1" class="airy-loading-spinner-stage airy-stage"&gt;&lt;div tabindex="-1" class="airy-loading-spinner-vertical-centering-table-cell airy-vertical-centering-table-cell"&gt;&lt;div tabindex="-1" class="airy-loading-spinner-container airy-scalable-hint-container"&gt;&lt;div tabindex="-1" class="airy-loading-spinner-dummy airy-scalable-dummy"&gt;&lt;/div&gt;&lt;div tabindex="-1" class="airy-loading-spinner airy-hint" style="visibility: hidden;"&gt;&lt;/div&gt;&lt;/div&gt;&lt;/div&gt;&lt;/div&gt;&lt;div tabindex="-1" class="airy-ads-screen-size-toggle airy-screen-size-toggle airy-fullscreen" style="visibility: hidden;"&gt;&lt;/div&gt;&lt;div tabindex="-1" class="airy-ad-prompt-container" style="visibility: hidden;"&gt;&lt;div tabindex="-1" class="airy-ad-prompt-vertical-centering-table airy-vertical-centering-table"&gt;&lt;div tabindex="-1" class="airy-ad-prompt-vertical-centering-table-cell airy-vertical-centering-table-cell"&gt;&lt;div tabindex="-1" class="airy-ad-prompt-label"&gt;&lt;/div&gt;&lt;/div&gt;&lt;/div&gt;&lt;/div&gt;&lt;div tabindex="-1" class="airy-ads-controls-container" style="visibility: hidden;"&gt;&lt;div tabindex="-1" class="airy-ads-audio-toggle airy-audio-toggle airy-on" style="visibility: hidden;"&gt;&lt;/div&gt;&lt;div tabindex="-1" class="airy-time-remaining-label-container"&gt;&lt;div tabindex="-1" class="airy-time-remaining-vertical-centering-table airy-vertical-centering-table"&gt;&lt;div tabindex="-1" class="airy-time-remaining-vertical-centering-table-cell airy-vertical-centering-table-cell"&gt;&lt;div tabindex="-1" class="airy-vertical-centering-wrapper airy-time-remaining-label-wrapper"&gt;&lt;div tabindex="-1" class="airy-time-remaining-label" style="visibility: hidden;"&gt;&lt;/div&gt;&lt;div tabindex="-1" class="airy-ad-skip" style="visibility: hidden;"&gt;&lt;/div&gt;&lt;div tabindex="-1" class="airy-ad-end" style="visibility: hidden;"&gt;&lt;/div&gt;&lt;/div&gt;&lt;/div&gt;&lt;/div&gt;&lt;/div&gt;&lt;div tabindex="-1" class="airy-learn-more" style="visibility: hidden;"&gt;&lt;/div&gt;&lt;/div&gt;&lt;div tabindex="-1" class="airy-play-toggle-hint-stage airy-stage airy-cursor"&gt;&lt;div tabindex="-1" class="airy-play-toggle-hint-vertical-centering-table-cell airy-vertical-centering-table-cell airy-cursor"&gt;&lt;div tabindex="-1" class="airy-play-toggle-hint-container airy-scalable-hint-container"&gt;&lt;div tabindex="-1" class="airy-play-toggle-hint-dummy airy-scalable-dummy"&gt;&lt;/div&gt;&lt;div tabindex="-1" class="airy-play-toggle-hint airy-hint airy-play-hint" style="opacity: 1; visibility: visible;"&gt;&lt;/div&gt;&lt;/div&gt;&lt;/div&gt;&lt;/div&gt;&lt;div tabindex="-1" class="airy-replay-hint-stage airy-stage" style="visibility: hidden;"&gt;&lt;div tabindex="-1" class="airy-replay-hint-vertical-centering-table-cell airy-vertical-centering-table-cell airy-cursor"&gt;&lt;div tabindex="-1" class="airy-replay-hint-container airy-scalable-hint-container"&gt;&lt;div tabindex="-1" class="airy-replay-hint-dummy airy-scalable-dummy"&gt;&lt;/div&gt;&lt;div tabindex="-1" class="airy-replay-hint airy-hint"&gt;&lt;/div&gt;&lt;/div&gt;&lt;/div&gt;&lt;/div&gt;&lt;div tabindex="-1" class="airy-autoplay-hint-stage airy-stage" style="visibility: hidden;"&gt;&lt;div tabindex="-1" class="airy-autoplay-hint-vertical-centering-table-cell airy-vertical-centering-table-cell airy-cursor"&gt;&lt;div tabindex="-1" class="airy-autoplay-hint-container airy-scalable-hint-container"&gt;&lt;div tabindex="-1" class="airy-autoplay-hint-dummy airy-scalable-dummy"&gt;&lt;/div&gt;&lt;/div&gt;&lt;/div&gt;&lt;/div&gt;&lt;/div&gt;&lt;/div&gt;&lt;input type="hidden" name="" value="https://images-eu.ssl-images-amazon.com/images/I/81hxAOySZ5S.mp4" class="video-url"&gt;&lt;input type="hidden" name="" value="https://images-eu.ssl-images-amazon.com/images/I/91A2ml2R7dS.png" class="video-slate-img-url"&gt;&amp;nbsp;L'utilisation des écouteurs est très intuitive. J'aime bien la qualité du son et la porté à distance, jusqu'à 10m dans un appartement avec des murs épais. J'ai pu en tester d'autres et ceux ci sont les plus agréables à utiliser.</t>
  </si>
  <si>
    <t>Parfait Je le acheter pour mes journées de travaux, Trés chouette, belle produit, efficace, étanche et pas chère..... et c' est une Edifice Recommendable</t>
  </si>
  <si>
    <t>Pour ce prix là, il ne faut pas trop s'interroger... Livraison le lendemain de la commande, la taille est parfaite, le produit est de bonne qualité avec un look sympa et le prix est très acceptable.</t>
  </si>
  <si>
    <t>Faible qualité Les perles sont de qualité moyenne, le fil élastique est très fin et cassera dans peu de temps. Je ne recommande pas cet achat de faible qualité</t>
  </si>
  <si>
    <t>Commande décevante !!! Je suis très déçu de ma commande faite ce mois ci. Ayant eu l'expérience de ce produit je constate une négligence constante à plusieurs reprises. Une semelle qui se décolle et des fissures sur la chaussure. À cette dernière commande je constate un passant de lacet décalé des autres ce qui constitue un défaut majeur entraînant une douleur au pied lors de la marche. Cela fait beaucoup. Changer tous les 4 mois pour autant de défauts, c'est un budget.</t>
  </si>
  <si>
    <t>Bien Bien globalement j'aurais peut être du commander 38.5</t>
  </si>
  <si>
    <t>Bof Annonce pour 40/45 jours, j’ai du recharger au bout de la moitié du temps</t>
  </si>
  <si>
    <t>chaine argent la chaine correspond bien à la photo , elle est fine et jolie (à poter avec une petite médaille ) ; je suis satisfaite de mon achat</t>
  </si>
  <si>
    <t>Bonne qualité d'enregistrement. Bonjour. J'ai acheté ce dictaphone récemment. La qualité d'enregistrement est très bonne ! Seulement j'ai du le retourner car il y avait un défaut de fabrication. Autrement j'ai songé à m'en procurer une nouvelle fois.</t>
  </si>
  <si>
    <t>Taille petit Taille petit mais très douce et très chaude je recommande</t>
  </si>
  <si>
    <t>Robuste et élégant ... ... bonne contenance, idéal pour embarquer quelques kilos supplémentaires lors de mes voyages en avion et ne pas avoir à farfouiller dans les compartiments bagages.  Tablette, téléphone, batterie, e-cig, porte monnaie, passeport, stylos et j'en passe, pour tous les hommes qui veulent concurencer les femmes et leur légendaire sac à main fourre tout ...</t>
  </si>
  <si>
    <t>Au top ! Super contente ,elles correspondent parfaitement à la description, livrée en moins d une semaine et elles me vont comme un gant !</t>
  </si>
  <si>
    <t>Parfait Très bonne chaussure rien à redire</t>
  </si>
  <si>
    <t>Sacoche Pas mal et pratique</t>
  </si>
  <si>
    <t>Diffuseur d'huiles essentielles Tenswall Je ne suis pas déçu de ce diffuseur d'huiles essentielles, il est vraiment top,très facile d'utilisation et léger,je peux le deplacer facilement et surtout j'adore sa forme.</t>
  </si>
  <si>
    <t>Nos artisans sont les meilleurs ! Une poule avait de la gale aux pattes à un stade important. J'ai passé les pattes au pinceau pour bien étaler le produit, deux jours après plus rien. Je compte refaire des commandes auprès de ce fournisseur pour d'autres produits.</t>
  </si>
  <si>
    <t>La Rolls du sac poubelle Parfaitement adapté à ma poubelle SimpleHumain Sac très solide et parfaitement étanche</t>
  </si>
  <si>
    <t>Superbe Bouilloire Très belle bouilloire. Ne pas hésiter à commander. Vous pouvez me poser des questions, je vous répondrai avec plaisir. Béa</t>
  </si>
  <si>
    <t>montre casio j'adore ma montre trop belle et super original la couleur</t>
  </si>
  <si>
    <t>Good product design Je l’ai acheté pour mon cours de langue et c’est très pratique d’avoir un casque confortable avec un micro qui n’occupe pas beaucoup de place. Les accessoires (différentes tailles d'écouteurs) permettent à l'utilisateur de choisir en fonction de ses propres besoins. Le sac de rangement est très pratique pour ranger soigneusement le casque dans mon sac à dos. Je recommande le produit.</t>
  </si>
  <si>
    <t>Bonne protection Rien a dire, un seul rouleau m'a suffit pour faire un déménagement. Il fait parfaitement son travail et la qualité est suffisante.</t>
  </si>
  <si>
    <t>MOYEN ayant l'habitude d'en utiliser, j'ai trouvé que la longévité a été écourtée</t>
  </si>
  <si>
    <t>Bien J'utilise ce casque depuis plusieurs mois, le son est bon, le bluetooth fonctionne bien. La batterie a une bonne durée de vie, il coupe assez bien les sons extérieur même si il n'a pas de fonction anti bruit. Un bon investissement. Seul point noir, quand on le charge, le bluetooth est coupé, obligé d'utiliser le fil dont la longueur est vraiment limite et bruits parasite dans les écouteurs quand il charge et qu'on l'utilise avec le fil, très désagréable. Egalement, le fil pour le charger fournit avec est ridicule tellement il est petit. La house est pratique si on le balade.</t>
  </si>
  <si>
    <t>A acheter absolument ! Si vous cherchez une bouilloire, c'est celle-ci qu'il vous faut !!!! A acheter les yeux fermés.... Ce produit est vraiment top !!!!</t>
  </si>
  <si>
    <t>Bon produit Produit conforme. Je recommande.</t>
  </si>
  <si>
    <t>Decu Perte du brillant centrale au bout de 1 mois</t>
  </si>
  <si>
    <t>la fermeture ne maintien pas le pied, ben c'est des pantoufles, mais le pied navigue, la fermeture ne sert a rien</t>
  </si>
  <si>
    <t>Sitôt déballé, sitôt cassé Ces câbles sont réputés fiables, j'en ai déjà possédé par le passé et tous eu un honorable temps de vie. Je comprend qu'un câble jack, ça soit un peu la loterie parfois, mais la il ne faut pas se moquer du client.  Je l'ai branché, il faisait déjà des faux contacts, et à la seconde utilisation il ne donnait plus de signes de vie....</t>
  </si>
  <si>
    <t>Dommage j'ai choisis ces colles car packaging sympa pour les enfants (têtes de monstre) mais malheureusement, reçu bâtons standards.. donc si vous choisissez pour ça, passez votre tour.</t>
  </si>
  <si>
    <t>bien Bonjour, je suis très satisfait de ma commande , le produit est conforme à la description, je conseil les yeux fermé, enfin pas trop car il faut quand même lire la description et les critiques des consommateurs.</t>
  </si>
  <si>
    <t>Très bon micro pour débuter Le micro possède une qualité impeccable, et l'antipop fait bien son taff Le micro est arrivé bien protégé et sans pet, et il est bien stable Je l'utilise depuis 2 mois, les potards de volume sont pratiques (une qui jongle entre le retour micro et le son de l'ordinateur et l'autre qui sert juste à doser le niveau sonore du tout)  Attention cependant: le gain n'est pas ajustable! Pour les streamers, mettez-le entre vous et votre clavier (le plus pratique étant un bras articulé en hauteur, mais personnellement je n'en ai pas et ça passe encore), sinon tout le monde entendra votre clavier (et surtout si c'est un mécanique) Ah et petit tip: ne vous mettez pas à plus de 15-20cm du micro quand vous parlez, et mettez-vous bien en face, le micro n'est pas omnidirectionnel (et tant mieux)</t>
  </si>
  <si>
    <t>Pas mal Bon livre avec de belles illustrations mais je pense qu'il ne s'adresse pas aux enfants de moins de 6 ans. Mon fils qui a 3 ans ne s'y intéresse pas du tout.</t>
  </si>
  <si>
    <t>Bien pensé, tommee tippee nous propose ici un préparateur de Biberon de couleur noire. Ce produit permet de chauffer l’eau à température idéale pour bébé en 2 minutes seulement. Cette machine accepte tous les biberons sans problème. Très facile d’utilisation. Tous les 3 mois le filtre est à changer et ceux-ci se trouvent facilement sur Amazon.</t>
  </si>
  <si>
    <t>Rien à dire correspond parfaitement à la description sur le site Très satisfait correspond parfaitement à mes attentes je le recommande à tous les amoureux du son</t>
  </si>
  <si>
    <t>RAS correspond parfaitement à la description. Plutot de bonne qualité. merci amazon pour la livraison rapide.</t>
  </si>
  <si>
    <t>Super Pouvoir effacer et réécrire sans conséquences sur la présentation... j’adore. Fini l’effaceur, fini le blanco qui tachent et raturent les devoirs. Je n’utilise plus que ce stylo !</t>
  </si>
  <si>
    <t>Bonne affaire Rien a dire, correct!</t>
  </si>
  <si>
    <t>J'AIME Très content de ma nouvelle montre.</t>
  </si>
  <si>
    <t>Avis achat puma smash v2 Chaussures arrivées à la date prévue et à la taille prévue. Pas du tout déçu de mon achat !</t>
  </si>
  <si>
    <t>Satisfaite Produit conforme et de bonne qualité</t>
  </si>
  <si>
    <t>Un cadeau qui a fait plaisir Ma femme était très contente</t>
  </si>
  <si>
    <t>bien,sans plus un pull bien taillé,tient assez chaud,agréable sur la peau est  tout doux. Son prix est  attractif,Très agréable à porter.je recommande</t>
  </si>
  <si>
    <t>Très bon produit Bien que le prix soit assez élevé pour un bras micro, la qualité est au rendez-vous en plus d'être très pratique. Le blue yeti s'adapte parfaitement, possibilité d'y ajouter un autre pied micro comme un radius mais pas nécessaire. Un filtre anti-pop pour accompagner ce bras micro est conseillé</t>
  </si>
  <si>
    <t>Parfait Bonjour. J’ai reçu mes deux tubes ce matin. Livraison dans les délais. Le gommage sent bon. Il a une bonne texture avec des gros grain, il rend la peau très douce. Prix intéressant. Je l’utilise avec un gant de gommage (kessa essence of maroco) et c’est encor mieu. Je vous recommande.</t>
  </si>
  <si>
    <t>Des nombreuses poches Beaucoup de place car de très nombreuses poches de rangements. Je suis content de mon achat, je vous le conseil.</t>
  </si>
  <si>
    <t>super Tapis de souris tres confortable et agréable. maintien bien le poignée avec souplesse . couleur magnifique</t>
  </si>
  <si>
    <t>Excellents biberons 🍼👍 Superbes biberons en verre, donnant une belle impression de qualité. La tétine est bien souple, la tenue en main ergonomique. Rien à redire, 5 étoiles !</t>
  </si>
  <si>
    <t>Très bon achat Bouilloire parfaite ! Je l'adore. Très simple d'utilisation, l'eau chauffe vite. Nettoyage très facile. Prend peu de place sur le plan de travail. Design épuré. Et la passoire intégrée est très pratique.</t>
  </si>
  <si>
    <t>Qualité prix au top! Très pratique Très pratique quand on part en balade pour les biberons de bébé. Bonne qualité prix</t>
  </si>
  <si>
    <t>rétrécie au soleil a passer son chemin ,ou ne pas les laissée au soleil ,rétrécie a ne plus pouvoir les mettre</t>
  </si>
  <si>
    <t>Jolies mais pas du tout solides Elles sont jolies et très confortables certes mais ne sont pas solides . 1mois et demi que je les portent et elles sont déchirées au niveau des doigts de pieds . Je vais en prendre en cuir car en tissu ça se déchire trop vite . Je ne les recommande pas du tout .</t>
  </si>
  <si>
    <t>HP 932XL/933XL Pack de 4 Cartouches d'Encre Noir/Cyan/Magenta/Jaune. Le vendeur présente une seule boîte de 4 cartouches et vous envoie 4 cartouches individuelles avec dates de péremptions différentes et très courtes pour des cartouches XL! Le but de prendre une seule boîte en XL, c'est que la date soit assez longue et qu'elle soit identique à toutes les cartouches!!! J'ai reçu : - Jaune XL 933 Décembre 2018 - Noir XL 932 Février 2019 - Cyan XL 933 (bleu) Mai 2019 - Magenta XL 933 (Mauve) Mai 2019.  C'est inadmissible, sur la base de la photo d'une seule boîte avec 4 cartouches intégrées et non pas individuelles. Je m'attendais à une date de péremption au moins d'un an pour des cartouches XL et surtout pour une utilisation privée...!!!! Vendeur à ne pas recommander... J'ai en plus du attendre presque 2 semaines pour la livraison....</t>
  </si>
  <si>
    <t>sac homme j ai acheté ce  produit pour offrir et il n est pas comme sur la photo. je suis assez déçue</t>
  </si>
  <si>
    <t>Pas mal Parfait pour un enfant à partir de 3 ans</t>
  </si>
  <si>
    <t>QUALITE/PRIX TRES SATISFAIT La paire de basket est très satisfaisante. Très content de l'achat</t>
  </si>
  <si>
    <t>produit conforme à mon attente Je n'ai mis que 4 étoiles car ce n'est tout de même pas la même qualité que les bonnettes Rycottes !! Cela dit, le produit est conforme à ce que j'attendais et pas cher. Quelques poils s'arrachent assez souvent, mais bon !! produit correct quand même dans l'ensemble.</t>
  </si>
  <si>
    <t>Super chaussettes Très bon produit. Chaussettes très agréable à porter et solide. Je recommande</t>
  </si>
  <si>
    <t>Impeccable Facile à régler. Très agréable à porter. Quel plaisir de retrouver une automatique de qualité à ce prix !</t>
  </si>
  <si>
    <t>Chic et efficace Cafetière de belle qualité, facile à programmer , elle tient au chaud le café 40 mn. Parfait .</t>
  </si>
  <si>
    <t>Sympa taille correct Très confortable. Taille bien car les commentaires indiqués que cela taillé petit du coup j'ai pris une taille au dessus et du acheter des semelles pour compenser Par contre delais de livraison presque 2 mois</t>
  </si>
  <si>
    <t>Idéal pour retrouver un confort perdu Très bon produit qui permet de faire des massages de qualité à condition de dépasser le seuil de la première douleur car les picots sont quand même pointus. Mais l'effet est immédiat, on ne sent plus la douleur que du bien pour les parties du corps qui étaient douloureuses.</t>
  </si>
  <si>
    <t>Évaluation Tres sympa arrivee rapidement</t>
  </si>
  <si>
    <t>Très bien Papier de très bonne qualité!! Plutôt épais et légèrement satinée. J’ai été agréablement surprise</t>
  </si>
  <si>
    <t>Pas cher et tres chic A porter tous les jours tres chic et tres tendance</t>
  </si>
  <si>
    <t>Très bon Paradoxalement, bien plus solide que le rouleau de la marque acheté à Carlouf !  et moins cher !</t>
  </si>
  <si>
    <t>Rien à redire. Très bon produit</t>
  </si>
  <si>
    <t>Au top Parfait</t>
  </si>
  <si>
    <t>Top, rapide, conforme Top, rapide, conforme</t>
  </si>
  <si>
    <t>top fonctionne très bien , qualité de son excellente, tiennent bien en place dans l'oreille, ne tombe pas, la couleur est très sympa ca change des noirs ou des blancs classique que l'on voit partout. Bon rapport qualité prix</t>
  </si>
  <si>
    <t>Fourniture bureau L'encre ne desseche pas. bonne qualité. Je suis satisfaite.</t>
  </si>
  <si>
    <t>Taille très petit Elles sont belle mais taille très petite j'ai pris une pointure au dessus et retour à l'expéditeur pour passer commande avec 2 pointures de plus...</t>
  </si>
  <si>
    <t>Bien Acheté pour la randonnée, très agréable.</t>
  </si>
  <si>
    <t>Déçue car tombe en panne Mon fils est frileux et c'était pour réchauffer son  lit. Mais il est tombé déjà en panne.. Direction le Constructeur...</t>
  </si>
  <si>
    <t>très bon article pour mon mari faire ses séances de kiné</t>
  </si>
  <si>
    <t>Confortable mais taille grand Je fais du 40, mais j'aurai du commander du 39. Elles sont bien chaudes mais trop grandes et le "lassage" est trop lâche.</t>
  </si>
  <si>
    <t>Dommage Pas de notice papier Bon rapport qualité-prix.</t>
  </si>
  <si>
    <t>Bon rapport qualité prix Mon bébé n'a pas adhéré avec les tétines</t>
  </si>
  <si>
    <t>Impeccable A toute celle qui font du sport ou qui supporte difficilement les soutients gorges (femmes enceintes, ces brassières sont pour vous!) ces brassières sont vraiment confortable. Elle tiennent bien au lavage. Très contente de mon achat. Le prix est très attractif et la qualité est correct!</t>
  </si>
  <si>
    <t>bien je suis satisfaite, cadeau pour mon papa qui voulait des chiffres bien lisibles sans lunettes, toute fois attention les chiffres sont couleur chrome et pas blanc comme je le pensais, mais elle est très joli et rempli très bien son office, je recommande</t>
  </si>
  <si>
    <t>reçu bien</t>
  </si>
  <si>
    <t>Hydratant Fais le Job. Prix intéressant. Bémol pour le déversoir qui n'est pas du tout pratique</t>
  </si>
  <si>
    <t>Basket addidas Chaussure confortable conforme bon produit merci</t>
  </si>
  <si>
    <t>Chaussures De Randonnée Chaussures De Randonnée vraiment très solides, vraiment adaptées à la rando</t>
  </si>
  <si>
    <t>Nice shoes Habitué aux chaussures en cuir cousu : En plastique/toile mais respirantes. Se lavent facilement (vu ce qu'elles ont subi en sorties). Elles semblent solides et bien collées. Ce sont des bonnes chaussures.</t>
  </si>
  <si>
    <t>Audrey Tétines de tres nonne qualité ma fille n'a jamais aussi bien pris ses biberons que depuis que je les ai. Je recommande à 100%</t>
  </si>
  <si>
    <t>. Trop beau</t>
  </si>
  <si>
    <t>Ludique Super pour initiation peinture pour petit enfant</t>
  </si>
  <si>
    <t>Très bon produit douceur J'ai testé ce produit et j'aime beaucoup. Il est très doux, pratique pour les enfants, laisse une sensation de propreté.</t>
  </si>
  <si>
    <t>la meilleure calculatrice scientifique sur le marché pour le collège Je suis professeur de mathématique en Belgique. J'ai testé plusieurs machines à calculer mais je n'utilise plus que la casio fx 92 .... et ce pour 3 raisons : premièrement elle couvre bien la matière abordée dans ces années collège, deuxièmement elle est d'une utilisation facile et même très intuitive pour nos adolescents ( nés avec un smartphone dans les mains ) et dernièrement son rapport qualité prix est incomparable . Les élèves n'ayant pas choisi une section forte en mathématique, peuvent même l'utiliser jusqu'au bout de leurs études secondaires ( le bac en France ). Ma fille, à l'université, l'utilise toujours ( les calculatrices graphiques étant interdites). Cette machine est donc un bon investissement pour nos ados, de plus elle résiste à plusieurs chutes...</t>
  </si>
  <si>
    <t>Pour séparer les charms Pour un bracelet</t>
  </si>
  <si>
    <t>Confortable Chaussures très confortable, légères, idéal pour moi qui les garde au pieds pendant 8h à mon travail.</t>
  </si>
  <si>
    <t>Très bon désinfectant Produit pas toujours évident à trouver en magasin, il est légèrement moins cher sur Amazon. Il remplit tout à fait sa fonction de désinfectant et ne laisse aucune odeur désagréable sur le linge. Je l'utilise essentiellement pour laver les vêtements de sport et je ne peux plus m'en passer !</t>
  </si>
  <si>
    <t>Bon produit Écouteurs bluetooth de grande qualité. Le son est très nitide et la conexion est simplement parfaite. Quand tu les portes, auqu'un problème, ils restent parfaitement à sa place. En plus la boîte est très confortable grâce à sa grandeur, c'est vraiment petite. Sans oublier que la batterie vous tient parfaitement bien la journée .Un très bon achat</t>
  </si>
  <si>
    <t>Réponse de satisfaction Les chaussures  ainsi que le gant pour toiletter, le tunnel pour mon chat, l'étui pour mon portable , tout est OK sauf le correcteur pour le dos beaucoup trop petit, je ne peux même pas enfiler les bras sans doute aurait il fallu que je précise une taille, c'est ma faute; sinon j'ai toujours été satisfaite des achats que j'ai fait à Amazon MERCI</t>
  </si>
  <si>
    <t>Taille très petit Malgré une taille au dessus ces chaussures sont vraiment très mérités un conseil prendrez 2 tailles au dessus pour ne pas avoir de problème</t>
  </si>
  <si>
    <t>Ce vidéoprojecteur ne correspond pas du tout à la description Je voulais m'assurer que le produit vendu correspondait bien à ce qui était décrit, mais ce n'est pas du tout le cas. Le produit en lui-même fait très très bas de gamme que ça soit au niveau du plastique ou de la lentille. La qualité de l'image est médiocre en n’excédant pas les 480p contrairement aux 1080p attendus, certes on peut choisir la résolution 1920 x 1080, mais c'est un leurre.  De plus, la soi-disant luminosité de 2400 Lumens doit seulement s'arrêter à 240 sans abus.  Les photos prises avec mon reflex Nikon D5100 parlent d'elles-mêmes. Images très pixelisées, très faible luminosité, rien n'est présent. NE COMMANDEZ PAS CE PRODUIT ET CONSERVEZ VOTRE ARGENT !</t>
  </si>
  <si>
    <t>? Aucune idée de la qualité du produit bloqué en douanes</t>
  </si>
  <si>
    <t>Mscope Très difficile d’utilisation</t>
  </si>
  <si>
    <t>1 seul suffit Taille bien mais vraiment court au niveau de la taille Tissus de bonne qualité</t>
  </si>
  <si>
    <t>JOLI COLLIER Joli collier dans une belle boite, idéal pour faire un cadeau. Correspond à l'image, belle grosseur du pendentif. Tout pour faire plaisir à votre femme ou maman.</t>
  </si>
  <si>
    <t>Bracelet séduction Bon produit</t>
  </si>
  <si>
    <t>excellent très satisfaite de ses bottines et très bon rapport qualité prix - très bon look - je les recommande fortemment</t>
  </si>
  <si>
    <t>Genial Parfait ! Rien à  redire, article conforme de A à Z. Livraison dans les temps et colis super. J'ai pris les mêmes en blanches tip top aussi ! Je vais en recommandait pour mon conjoint !.</t>
  </si>
  <si>
    <t>Je recommande Super! Va avec la description 😉</t>
  </si>
  <si>
    <t>Produits de qualité produits de qualité bien emballé, bien présenté. Le prix est certes légèrement élevés mais ça reste très correct au vu de la qualité.</t>
  </si>
  <si>
    <t>Cable de qualité Cable résistant, que j'ai utilisé pour des enceintes de voiture. La qualité du son était très bonne, rien à dire de plus !</t>
  </si>
  <si>
    <t>parfait J'ai pris ces tétines pour la prise de médicament épais. Bébé ne s'étouffe pas et il n'y en a pas partout sur le bavoir. Je n'ai pas essayé pour les soupes ou purées liquides, mais ça devrait bien marcher.</t>
  </si>
  <si>
    <t>Comme j'aime théière  très jolie, pratique, et chauffe très rapide.  Comme je voulais l'avoir rapidement je n'ai pas fait attention à la contenance.  Un peu grande pour moi</t>
  </si>
  <si>
    <t>Parfait Encore comme neuf apres un an d'utilisation intensive (festival, grande marches, etc). Un peu d'entretiens et elles vous tiennent très longtemps</t>
  </si>
  <si>
    <t>Satisfaite du produit Reçu rapidement, le produit est très doux et qualitatif, le col roulé est idéal pour les températures très basses. Je suis satisfaite de mon achat.</t>
  </si>
  <si>
    <t>Utilité Pratique pour des contours, ou faire des bulles, mais bémol, faut s’y habituer, secouer le feutre et appuyer sur la mine pour faire sortir l’ancre, mais pas trop appuyer pas comme un forcené.</t>
  </si>
  <si>
    <t>Baskettes tres confortables avec un très bon amorti Baskettes à prendre 1 taille de plus que vos chaussures habituelles.Tres confortables légères mais avec un bon amorti pour courses sur le bitume</t>
  </si>
  <si>
    <t>top! chaussettes très confortables, qui tiennent bien le pied, parfait pour le sport!</t>
  </si>
  <si>
    <t>tres bien couleur et taille impeccable</t>
  </si>
  <si>
    <t>Achat recommandé Vu le prix très bon produit</t>
  </si>
  <si>
    <t>Pratique mais vraiment déçu à l'usage ! Ce sac est vraiment pratique à l'usage, il est volumineux et très bien pensé:  il dispose de nombreuses poches de rangement le seul hic c'est qu'il n'est pas fiable à l'usage ! au bout de 2 semaines l'une des fermetures éclair est restée dans mes doigts ... ça peut arriver ... sauf que quelques jours plus tard il a commencé à se découdre de toutes parts ! alors de deux choses l'une soit c'est un cas unique soit c'est la qualité qui n'est pas au rdv ... en tout cas c'est bien dommage car je l'aimais bien ce sac !!! ;-(</t>
  </si>
  <si>
    <t>Retour. J aimerai un retour mon appareil se bloque par moment que faire ??</t>
  </si>
  <si>
    <t>Honteux Au vu des commentaires ci dessous je n’ai pas dû avoir de chance , car le pull que j’ai reçu est une catastrophe . Les poches ont été cousues par erreur dans le dos , photo à l’appui . C’est tout simplement honteux .</t>
  </si>
  <si>
    <t>Bon rapport quaité prix Excellent rapport qualité prix. Les biberons sont facils à prendre pour bébé. Petit bémol: le bouchon est un peu dur à retirer.</t>
  </si>
  <si>
    <t>Fonctionne bien mais vitesses difficilement lisibles Les tétines fonctionnent bien avec du lait épaissi, le trou ne s'élargit pas au fil des lavages... Mais hélas une fois que le lait épaissi  a rempli la tétine, ses traces rendent les vitesses difficilement lisibles.</t>
  </si>
  <si>
    <t>Super Conforme à la photo. Bonne taille.</t>
  </si>
  <si>
    <t>Très élégant Assortiment très élégant, fin, raffiné. Attention aux boucles d'oreilles qui s'échappe facilement. Un frein de boucle n'est pas de trop !</t>
  </si>
  <si>
    <t>Très belle montre Je suis très content je l’ai trouver comme la description et j’aime bien</t>
  </si>
  <si>
    <t>Bonne peinture Ma fille de 20 mois s'eclare zvec cette peinture qui ne tache pas ( ni sur la peau, ni sur les vetements, ni sur les meubles) C'est génial pour tous le monde... Je recommande cette peinture</t>
  </si>
  <si>
    <t>Superbe idée cadeau Un cadeau qui a fait très plaisir.</t>
  </si>
  <si>
    <t>Petit pratique et chic Petit sac très pratique et très bien conçu. Indispensable pour les beaux jours ou les vestes sont au placard. Sécurisant par sa bandoulière ou la possibilité de le porter à la ceinture. Élégant ,pour celui qui sensible à sa silhouette , le porte par la poignée. Je suis ravi.</t>
  </si>
  <si>
    <t>Rien à dire!! Les meilleures biberons qu'il puisse exister! Facile a nettoyer car démontable entièrement. Et zéro colliques pour mon bebe de 2 mois. J adore et je recommande !</t>
  </si>
  <si>
    <t>efficace parfait pour mon imprimante canon, bonne qualité et efficace! pas trouver moins cher...</t>
  </si>
  <si>
    <t>Conforme à l'original. Cartouches d'encre Canon conforment à l'original. Elles sont rapidement reconnues par mon imprimante Canon. J'ai acheté ces 2 cartouches fin septembre. Les impressions sont de qualité. Rien à signaler. A voir dans le temps.</t>
  </si>
  <si>
    <t>Vraiment parfait pour tout ... Parfait pour la livraison ; vraiment amazon j'en suis super satisfaite  , jamais déçue !!! Pour les chaussures je me suis fiée aux autres commentaires : j'ai pris du 38 alors que je fais du 37 et c'est parfait pour ce modele la de kickers ( des bottes de çette meme marque achetées cet hiver j'ai pris ma taille habituelle ) . Sinon couleur ... Idem à la description et kickers jamais déçue, chaussures super confortables  , j'espère qu'elle me dureront plus de 10 ans comme les précédentes ! Lol</t>
  </si>
  <si>
    <t>Parfait Juste parfaites !</t>
  </si>
  <si>
    <t>Biberons adoptées  par bébé Biberon très  bien avec les tetines qui plaisent enfin a ma fille pour commencer la transition du sein au biberon. Apres avoir essayer les tommy tipie et avene j ai trouve les tetines et biberon adaptes. Ils sont très mignon et peu cher. Ils sont assez difficles a ouvrir et il faut un chauffe biberon adapté.</t>
  </si>
  <si>
    <t>Topissime Incroyable. Comme dans des chaussons.  Je les ai eu lors d une vente flash. Vivement la prochaine.</t>
  </si>
  <si>
    <t>Aspiration forte, prix impressionnant, rien à nettoyer Acheté cela il y a une semaine, je l'aime vraiment. Je l'utilise presque tout pour le nettoyage, du canapé au lit en passant par le sol. Cet appareil pratique est sans fil, ce qui me permet de nettoyer facilement mon lit et mon canapé. Je peux aussi nettoyer le sol avec ça. Je pense que c'est un produit alternatif pour les personnes qui recherchent le dyson. C'est comme un dyson, un moteur puissant, parfait pour le nettoyage à la maison. Je le recommande fortement à tout le monde.</t>
  </si>
  <si>
    <t>baume du cheval pour chauffer ça chauffe, rien a dire, m'a bien soulagé de mes douleurs lombaires, gaffe à pas trop en mettre ...</t>
  </si>
  <si>
    <t>sacoche sacoche tres pratique pour le travail bonne qualite  espace de rangement important a achete</t>
  </si>
  <si>
    <t>Génial c'est cartouche Comme d'habitude ce sont des supers cartouches un prix raisonnable je recommande</t>
  </si>
  <si>
    <t>Envoi rapide et objet conforme à l'annonce Envoi rapide et objet conforme à l'annonce</t>
  </si>
  <si>
    <t>Très belles la couleur est très belle la coupe... converse classique donc à la mode ! attention à la taille : prises pour un 41, changées en 40, elles restent un peu grandes</t>
  </si>
  <si>
    <t>A éviter Les chaussures sont arrivé avec plein d’accros sur le cuir</t>
  </si>
  <si>
    <t>Cardio peu fiable Acheté pour surveillance du pouls. La mesure peut être aléatoire et donc peu fiable. Montre retournée rapidement.</t>
  </si>
  <si>
    <t>Très déçu Belle montre mais pas la boîte ni la notice !!! Très déçu...</t>
  </si>
  <si>
    <t>Problème de couture ! Dommage.... Livraison rapide mais une chaussure a un défaut de couture sur le haut de la coque... dommage !!!taille grand.. merci</t>
  </si>
  <si>
    <t>Biberon/ tasse d 'apprentissage top Mon fils avait du mal avec diverses tasses, il ne comprenait pas qu'il fallait aspirer mais avec celle ci pas besoin trop d'effort!! Il joue encore un peu avec mais boit un petit peu, avec le temps ça va venir!!! je confirme bien anti fuite je recommande</t>
  </si>
  <si>
    <t>N'hésitez pas !!!! Montre achetee dans le but d'un séjour balnéaire donc l'étanchéité pas encore testée par contre  jolie au poignet, automatique ce qui n'est pas negliable pour une montre étanche, rapport qualité prix intéressant  , de  plus accessoire fourni pour diminuer le bracelet, À conseiller</t>
  </si>
  <si>
    <t>sent super bon ! Lessive Super Croix  liquide hyper concentrée qui laisse une bonne odeur du linge, odeur fraîche et pas trop forte, donc n'incommodant pas. Le parfum perdure assez longtemps durant le séchage du linge. Pour un lavage en machine à 30  degrés le linge ressort bien. Elle remplit bien son office comme toute lessive liquide. Le lot comprend deux bidons et un doseur, avec un prix non excessif et de marque. Personnellement j'ai apprécié l'odeur, comparativement à d'autres marques testées ; ainsi que la forme du flacon. Ma note se situe à quatre étoiles.</t>
  </si>
  <si>
    <t>Pratique mais attention à la taille Très vite reçu, le lendemain avec prime, petit bémol j'ai pris la taille standard et ils sont un peu trop gros pour moi je vais me recommander la plus petite taille. Il faudrait un meilleur moyen pour permettre de choisir sa taille sinon je recommande</t>
  </si>
  <si>
    <t>Bonne experience Experience tres simpatique, ca change des casque classique a l'interieur des oreilles et permet d'entendre ce qui ce passe autour de nois tous en continuant a ecouter</t>
  </si>
  <si>
    <t>Top! Bon produit. Je recommande</t>
  </si>
  <si>
    <t>Parfait Un cadeau qui a beaucoup plu , c'est un modèle très pratique . Attention à la taille pour le porter en bandoulière . Le fini est impeccable.  Très joli cuir . Très satisfaite de mon achat . Pratique pour les deux-roues.</t>
  </si>
  <si>
    <t>Très importent Très bien je confirme</t>
  </si>
  <si>
    <t>Top Impeccable</t>
  </si>
  <si>
    <t>Comme prévu Déjà acheté les yeux fermés</t>
  </si>
  <si>
    <t>Calendrier efficace. Tres bien.resistant.tres satisfaite.</t>
  </si>
  <si>
    <t>pratique très bien le beep de fin il est suffisamment fort pour l'entendre depuis une autre pièce.  Je trouvais inutile la fonctionnalité de maintien au chaud automatique, mais en faut c'est super pratique</t>
  </si>
  <si>
    <t>Agréable Bonjour, j’apprécie de faire la course à pied avec, très agréable à porter, j’ai pris une taille au dessus et suis ravie</t>
  </si>
  <si>
    <t>Super pochettes transparentes Pochettes de très bonne qualité et avec une très belle transparence. Assez épaisses pour recevoir plusieurs feuilles, A conseiller vivement</t>
  </si>
  <si>
    <t>Super! Veste de bonne qualité la couleur est fidèle à la photo aucun problème de taille. Très agréable à porter très douce à l’intérieur. J’adore !</t>
  </si>
  <si>
    <t>sacoche shomme bon produit</t>
  </si>
  <si>
    <t>service rapide et suivi pour un anniversaire</t>
  </si>
  <si>
    <t>Parfumé et pratique Franchement j'avais un gros doute sur ce produit mais j'ai été bluffé par son ergonomie et son efficacité et en plus c'est légèrement parfumé donc très agréable</t>
  </si>
  <si>
    <t>Parfait chaussures et chaussons! C'est parfait</t>
  </si>
  <si>
    <t>PAS EFFICACE Je ne sais pas si cela venait des stylos que j’utilisais ou de la brosse mais elle n'éfface pas bien. Je préfère une brosse avec un chiffon interchangeable plutôt que ce type de brosse en mousse.</t>
  </si>
  <si>
    <t>Incompatibilité à ce certain smartphone Les écouteurs qui sont annoncés comme compatible avec les téléphones Android ne fonctionne pas sur mon Honor 8. Alors que des écouteurs de diverses marques ont toujours très bien fonctionné. Un peu déçu de mon achat même si après un essaie sur le telephone d'un ami le son semble d'excellente qualité.</t>
  </si>
  <si>
    <t>Achat sans mauvaise surprise Petit prix pour un leggings simple et sobre. Pas de mauvaises surprises suite aux lavages. Acheté en couleur grise et reçu rapidement.</t>
  </si>
  <si>
    <t>trop court !!! Achetez pour ma carte grise de voiture et il révèle être trop petit de 1 cm ce qui m'a obliger à plier un peu ma carte grise , pas terrible !!!</t>
  </si>
  <si>
    <t>Bon rapport qualité/prix Très bon rapport qualité/prix, le système de pliage ne m’a pas l’air très solide mais à voir dans le temps. Casque trop grand pour ma fille de 3ans, on le garde pour plus tard du coup.</t>
  </si>
  <si>
    <t>Un Pense - Bête très Intelligent Un Tableau blanc magnétique est entouré d'un cadre en aluminium Il est est livré  avec un porte-marqueurs qui accueille 2 stylos  effaçable à sec,  Il est situé sur le bord inférieur du tableau Il mesure  60 cm x 45 cm  Il est à fixer au mur, c'est la seule contrainte.  Les vis et les chevilles sont livrées avec.  Il sera parfait dans un bureau, pour noter les RDV importants et les effacer au fur et à mesure. 6 plots magnétiques accueilleront ordonnances, papiers administratifs ou non.  la liste n'est pas exhaustive ! En fait il trouvera sa place dans mille et un endroits,entrée, cuisine...  Le prix n'est pas connu à ce jour, mais Amazon Basics est toujours d'un très bon rapport.</t>
  </si>
  <si>
    <t>Super rapport qualité-prix Je cherchais un cherche biberon à moindre coût et simple d'utilisation et ce produit rempli très bien tous mes critères.  Il suffit de mettre une dose d'eau dans la cuve, dose indiquée au préalable sur une petite notice (toujours accrochée au frigo!), suivant la quantité et la température du produit. Puis il suffit de mettre le biberon de mettre en marche l'appareil et c'est prêt! Nous n'avons plus peur de la température, souvent trop chaude ou trop froide au micro onde... Je l'ai utilisé assez tardivement et je regrette de ne pas l'avoir eu lorsqu'il fallait réchauffer les biberons de lait maternel! Les petits pots n'ont pas encore été testés mais je n'ai aucun doute sur l'efficacité pour les réchauffer. Malgré le prix qui peut inquiéter lorsqu'on voit les gammes que proposent d'autres fabricants voilà quasiment trois mois qu'il marche non stop (de 6 à 8 fois par jour) et nous n'avons jamais eu de mauvaises surprises. Par contre, je ne sais pas si c'est normal mais à force un petit dépôt rouge apparaît au fond (de la rouille?) mais il suffit de passer un coup de chiffon et il est comme neuf. Je recommande fortement ce produit !!</t>
  </si>
  <si>
    <t>Confortables et classiques Comme d'habitude avec Geox, tous les modèles sont aussi confortables. Utilisées au bureau et pour de la marche sur une courte distance en extérieur. Velcro très résistant.</t>
  </si>
  <si>
    <t>Très satisfait Très bon écouteur Bluetooth très confortable à porter avec un son net et parfait très content de mon achat</t>
  </si>
  <si>
    <t>ultra pratique ce qui est génial avec médéla, c'est que tous les biberons se vissent avec les mêmes tétines, donc quand une tétine va bien, on la garde il suffit juste de la visser sur l'un ou l'autre des biberons et s'adapte même sur le tire lait. En plus léger, sans bisphénol A, en ait acheté pour la crèche et pour papi et mamie comme ça bébé retrouve toujours les mêmes biberons que se ferment avec un couvercle pour le transfert de lait maternel si besoin et pour lequel on ne galère pas pour chercher la bonne tétine qui s'adapte</t>
  </si>
  <si>
    <t>Ecoute Pratiques</t>
  </si>
  <si>
    <t>Bien Produit conforme à la description. Rien à dire</t>
  </si>
  <si>
    <t>Excellent produit Excellent bras de micro. Je l'ai tester avec 2 micro comme le Rode NT1 et un micro chinois et dans les cas ce bras est parfait, rien à redire. Il permet de régler parfaitement la distance, la hauteur .... Il est pas chère, livraison rapide, installation rapide je ne peut que le recommander.</t>
  </si>
  <si>
    <t>Belles bottes bien chaude J'ai acheté ces bottes pour ma mère pour voyager dans un pays très froid, -13° elle est très satisfaite car elles sont très chaude même avec des chaussettes très légères, mais prenez toujours une taille de plus car ça taille petit, elle sont très légères et très belle, je recommande vivement cet article très féminin et agréable à porter</t>
  </si>
  <si>
    <t>attention, elles taillent grand prendre 1/2 pointure à une pointure en dessous votre pointure habituelle. Sinon, elle sont très confortable et leurs look est vraiment sympa.</t>
  </si>
  <si>
    <t>Basket de courses Très comfortable liveraison rapide je suis contente de mon achat</t>
  </si>
  <si>
    <t>cadeau de noel 2017 sacoche offerte a noel 2017... papa heureux ... et pour le peu qu'un mec met a l'interieur cela suffit largement</t>
  </si>
  <si>
    <t>Je recommande Super produit</t>
  </si>
  <si>
    <t>Magnifique Très joli mais taille très grand et pas très chaud</t>
  </si>
  <si>
    <t>fiabilité produit adapté : taille, coupe, tenue conforme</t>
  </si>
  <si>
    <t>livraison très rapide boucles d'oreille originales et de bonne qualité</t>
  </si>
  <si>
    <t>Apaisant Impeccable. Apaise les douleurs musculaires et articulaires apres une longue session de course à pieds</t>
  </si>
  <si>
    <t>Avis éclairé de la bouilloire éléctrique Ariete 2877 Vintage Mesdames et messieurs , bonjour.  Après avoir commander cette bouilloire sur Amazone.fr et avoir tester cette ustensile pendant une semaine , je puis vous donner un avis définitif.  Le principale problème est que la bouilloire fuit !  En effet , la coque externe qui deviens brûlante s'accommode mal avec le niveau d'eau en plastique , qui se déforme à loisir lorsque cette dernière est mis en marche.  Je précise en l'occurrence qu'il ne s'agit pas d'un problème spécifique à mon appareil , mais bien d'un soucis de conception de série.  Pour valoir ce que de droit.</t>
  </si>
  <si>
    <t>Produit arrivé avec l'emballage déchiré livraison médiocre Livraison rapide mais de bien piètre qualité . Le produit est bon mais la livraison est très très mauvaise Carton effondré avec la ramette de papier un peu écorné. Je recommande pas cet article.</t>
  </si>
  <si>
    <t>Boules de massages Les boules de massages font bien trop mal au dos , dommage.  Même ressenti pour 4 personnes. On ne s'habitue pas . Retour demandé .</t>
  </si>
  <si>
    <t>Le problème du branchement. Le charger reste compliqué quand il n'est pas noté, comment retirer la protection pour effectuer le branchement. Fait malheureusement beaucoup de bruit mais est très agréable pour ce qui est du reste.</t>
  </si>
  <si>
    <t>Il y a mieux je pense Pas de réponse du vendeur, livraison tres longue et le rendu est cheap. Je ne suis pas sur qu'elle sont imperméables. Une fois les pieds dedans cela reste confortable.</t>
  </si>
  <si>
    <t>MONTRE CONFORTABLE ET ADAPTEE POUR UN HOMME Montre bien adaptée aux utilisations décrites dans l'offre -- Très bon rapport qualité/prix - Produit de bonne qualité au toucher et facile à comprendre Je recommande -</t>
  </si>
  <si>
    <t>Confortable et très solide très bien pour l'hiver Je les avais achetées pour l"hiver, elles sont très confortables et ne s'usent peu au niveau de la semelle... Je les recommande</t>
  </si>
  <si>
    <t>Rapport qualité / prix indéniable Un destructeur de documents qui bénéficie d'un très bon rapport qualité / prix. Les documents sont parfaitement détruits, et l'insertion de ceux-ci est facile. Le bac s'ouvre facilement et délicatement, et il n'y a pas d'"envol" de particules dans tous les sens. Le destructeur chauffe peu, et ne produit pas un bruit élevé. Seul bémol, si elle se bourre, il faut retirer méticuleusement les morceaux de papiers entre les dents, sinon elle ne redémarre pas. Il faut enlever le moindre papier ! Il suffit cependant de faire attention et cela n'arrive pas souvent. Très satisfaite de cet achat et de la qualité, donc. Je recommande vivement !</t>
  </si>
  <si>
    <t>Bien Le son est correct, sans plus. Je suis globalement satisfait pour le prix. Confort, connexion bluetooth, autonomie, c'est très bien. Mais attention, si vous recherchez un son d'excellente qualité, et que le son est votre critère le plus important, vous risquez d'être déçu(e). Il manque de profondeur, de basses, d'amplitude. En revanche, j'en suis très content pour 40 €.</t>
  </si>
  <si>
    <t>Excellent rapport qualité prix Le produit est bon, toutefois c'est dommage qu'il du micro USB pour chargeur le boîtier, au lieu de USB-c</t>
  </si>
  <si>
    <t>Étanchéité parfaite ! Je l’utilise pour fermer les biberons de lait maternelle après pour le transport chez la nounou. Ils font leurs travailles et s’adapteN’y mêle sur les biberons dodie en verre.</t>
  </si>
  <si>
    <t>Papier photo Parfait j ai obtenue de magnifique photo le papier est bien brillant.  Je possede une imprimmante toute simple et le papier convient parfaitment je recommande vraiement.</t>
  </si>
  <si>
    <t>La montre est sublime et fonctionne parfaitement! C'est la première fois que je commandé une montre sur le site. J'étais septique, j'ai toujours pris des montres de marque assez cher et finalement je ne suis pas déçu que du contraire. Pour mettre le bracelet a la bonne taille, c'est assez simple, les outils son fournit avec une belle boîte et le mode d'emploi. Elle est magnifique, je l'ai a mon poignet tout les jours, sous la douche ou en pendant que je dors, la montre fonctionne parfaitement, aucune griffures, tout est nickel! La seule différence c'est quelle est plus légère.</t>
  </si>
  <si>
    <t>conforme à la description conforme et agréable, taille correct. A voir avec le temps.</t>
  </si>
  <si>
    <t>Conforme à mon attente Pas de problème particulier, conforme à l'annonce.</t>
  </si>
  <si>
    <t>Produit parfait avec l'evolution de la reglementation Je me suis dit que pour le prix, je ne risquais ps grand chose. Un très bon produit, facile d'utilisation et fonctionne très bien avec mon Samsung S575 et maintenant avec mon Sony Xpéria T3. Dès que je le met en route, l'appareil se connecte automatiquement, on l'entend par un bip. A l'arrivée, tout y est: qualité, son, Hp,mise en route facile, quelques difficulté à appairer un deuxième téléphone - certainement du au type de téléphone, prix. Il peut-être recharger facilement derrière un PC, grâce la prise USB. Un produit que je vous recommande si vous vous voulez plus être embêter par l'oreillette.  Complémenent du prédédent commentaire : Je l'utilise, maintenant, depuis plusieurs jours. C'est vraiment super avec le pied pour le téléphone. Je suis, vraiement, très content de mon achat.....</t>
  </si>
  <si>
    <t>belles chaussures taille idéal pas trop grand pas trop petit . voir a la longue, moi je l'ai porte tout les jours on verra plus tard. autrement livraison rapide . rien a dire.</t>
  </si>
  <si>
    <t>Qualité top ! Micro de tres bonne qualité ! Rode nous propose un produit très performant pour un prix plutôt raisonnable ! Je conseil ce micro à toute personne voulant ce lancer avec un matériel de pro !</t>
  </si>
  <si>
    <t>Unique Sa senteur est unique ! J'adore les encens japonais mais j'aime tellement revenir à l'éternel et unique papier d'Arménie !</t>
  </si>
  <si>
    <t>Pour notre petite fille Bien livrée, bien joli, vive les lions et les singes et les elefants! Vivement que notre petite fille sera sevr&amp;amp;ée afin de pouvoir l'utiliser!</t>
  </si>
  <si>
    <t>Très bien Pour le travail</t>
  </si>
  <si>
    <t>Top confort Vraiment confortable !</t>
  </si>
  <si>
    <t>Top Très satisfaite mon fils adore</t>
  </si>
  <si>
    <t>ç'est de l'original l'origine fonctionne toujours bien, mais vraiment c’est de l'arnaque vu le prix ! pas le choix avec hp, j'ai tester des copies et ça ne marche pas !</t>
  </si>
  <si>
    <t>N'adhère pas Je suis très déçue. J'avais acheté les mêmes à Leroy Merlin qui adheraient  parfaitement ...ceux ci n'adhèrent pas du tout au mur</t>
  </si>
  <si>
    <t>Fragile Sa fais peu de temps que j'ai acheter cette article et malheuresement je ne suis pas satisfait....cela fait pas 1 mois que je la porte quotidiennement et elle est deja craqué sur le coté droit</t>
  </si>
  <si>
    <t>Non conforme à la commande Je suis décue j’ai commandé un 39 et j’ai eu un 40! C’est inadmissible!!!!! Je ne recommande absolument pas!!!!! Malgré tous les avis positifs, attention je me suis fiée aussi mais j’ai eu un mauvais retour!!!!! Ne pas commander</t>
  </si>
  <si>
    <t>Bon produit Produit correspond aux attentes</t>
  </si>
  <si>
    <t>Bon son Léger avec un son assez correct</t>
  </si>
  <si>
    <t>tres bien mais emballage tres abimé tres bien, tres solide, installation facile mais j aurais preferé qu Amazon mette l emballage dans un carton de protection car il est arrivé abimé et presque ouvert (photo) heureusement le materiel a l interieur etait complet et intact</t>
  </si>
  <si>
    <t>Appouvé Produit conforme à mes attentes, taille, coupe, la matière est douce sans être épaisse mais tient le corps au chaud.</t>
  </si>
  <si>
    <t>dock violettes La peinture part un petit peu trop vite cela est dommage mais ca tient tres bien !!! Vivements de nouvelles collections</t>
  </si>
  <si>
    <t>la godasse le cuir ces le cuir!!!!et le prix ces le prix malgré la vache fol!!! LOL Livraison bien couleur bien et aigle ces de la qualité mes le prix est la pour le rappeler;;;</t>
  </si>
  <si>
    <t>Magic Juste magique !Enlève les tâches bien incrustées</t>
  </si>
  <si>
    <t>Parfait Conforme à ceux achetés chez les buralistes. Très économique car environ 0,60 centimes le paquet contre 1euros 10 en bureau de tabac.</t>
  </si>
  <si>
    <t>efficacité lave vaisselle</t>
  </si>
  <si>
    <t>Dr. Martens 1460, Bottes Classiques mixte adulte,... quel plaisir de retrouver des "docs" toujours de bonne qualité, agréables à l'œil et si confortables, cependant si vous investissez dans les docs faites bien attention, la pointure est tout juste, je suis porteuse de semelles orthopédiques, que je ne peux insérer dans la chaussure... dommage mais en même temps la semelle de la chaussure est confortable et le cuir extérieur d'aspect glacé facilite l'entretien...</t>
  </si>
  <si>
    <t>Facile à installer Utile pour avoir la conscience tranquille, j'ai installé cet écran de protection il y a 3 mois. Je ne sens plus la différence avec l'écran d'origine et j'ai la conscience plus tranquille. Une bulle s'est formée lors de l'installation mais j'ai réussi à la faire disparaître à force de pousser dessus.</t>
  </si>
  <si>
    <t>Super pratique et excellent produit  ! Solide, simple et efficace, c'est ce que je recherchais depuis longtemps. Et en plus la marque est française, une raison de plus pour recommander cet excellent produit  !</t>
  </si>
  <si>
    <t>Parfait Ils sont vraiment parfait 😄 Je suis Super contente de mon achat 😁 Moi qui chercher des shirt pour mettre en dessous des robes à ma tailles j'étais septique au debut vu que je fais un 46-48 Et franchement pas dessus du tout 😁 J'ai pris en XL Et en Plus de ça il monte bien Haut donc fais effet gaine en même temps . j'adore 👍🏻</t>
  </si>
  <si>
    <t>superbe sweat je gardais une certaine apréhension pour ce sweat car avant je commandé chez les hommes car je n'aime pas que les vetements me collent a la peau , celui ci est parfait et de plus il ne bouloche pas je le recommanderai en d'autre couleurs ,tres satisfaite piur ma part</t>
  </si>
  <si>
    <t>Très jolie Ces baskets sont super jolie et Confortable, mon fils les adore. Par instant sont bien, à voir avec le temp.</t>
  </si>
  <si>
    <t>Je rachèterai sans problème Bonne qualité</t>
  </si>
  <si>
    <t>Recommande Reçue en avant, rien à dire toute est niquel</t>
  </si>
  <si>
    <t>ras très confortable pour mes pieds bonne voute plantaire . idéal pour les personnes piétinent devant un poste de travail .</t>
  </si>
  <si>
    <t>Très bonne qualité. Ces plastiques sont vraiment très très résistants et d'excellent qualité. Ils sont bien épais et ne se déchirent pas. Très satisfaite.</t>
  </si>
  <si>
    <t>Basket Rebook Très on qualité prix</t>
  </si>
  <si>
    <t>Bracelet trop clinquant Un peu déçus</t>
  </si>
  <si>
    <t>Catastrophique Trop fragile et catastrophique j'ai commandé ce produit 4 fois j'était satisfait que une seule fois, après la livraison très lente, il fait que tomber en panne apres quelques jours d'utilisation.</t>
  </si>
  <si>
    <t>Déception Bof</t>
  </si>
  <si>
    <t>A l'air bien. Attenttion a la taille Priduit un peu grand pour la taille normal. Testé une fois puis fin dutilisation car l'allaitement se passait bien mieux et sans douleur. Plastique type tétine.</t>
  </si>
  <si>
    <t>Bonne taille Conforme a la photo .taille bien mais attention pour les pieds fin elle sont un peu large.</t>
  </si>
  <si>
    <t>bracelet top j adore ce bracelet</t>
  </si>
  <si>
    <t>Très bien Bonne qualité. A voir dans le temps</t>
  </si>
  <si>
    <t>A recommander bien-sûr !!! Très sympa pour toute circonstance ! Habillé ou pas .. Très confortable et très esthétique. Basquettes à recommander bien-sûr pour soi ou un cadeaux.</t>
  </si>
  <si>
    <t>Peut re-chauffer automatiquement Je l’achetée il y a deux semaines, je me sers régulièrement de cette bouilloire électrique et théière. Elle chauffe assez vite et elle peut garde au chaud en mode. Lorsqu’on prend un the, si la température est baisse, la théière va re-chauffer automatiquement, c est une super fonction. Rien à dire, un produit qui fait ce qu'on attend de lui et à prix très abordable.</t>
  </si>
  <si>
    <t>Livre magnifique Livre magnifique autant à l'extérieur qu'à l'intérieur! Le design est super et la texture est différente sur la couverture. À l'intérieur du livre il y à toutes les explications détaillé sur le chemin de traverse avec sur certaine pages des enveloppes, des petit poster ... l'intérieur est difficile à expliquer mais il est juste sublime est plein de surprise je le recommande grandement.</t>
  </si>
  <si>
    <t>très bien produit comme indiqué sur le descriptif, reçu rapidement et en état</t>
  </si>
  <si>
    <t>Très jolie Je suis contente de mon achat et surtout du prix payé 33€ ;) je recommande Les lacets en satin sont inclus</t>
  </si>
  <si>
    <t>Très Jolie Fait son effet</t>
  </si>
  <si>
    <t>Super J'avais une vielle paire de marque inconnu avec les qu'elles je souffrais le martyre, du fait des picot mal fait . Mes la tout va a merveille, je me sans bien et sa soulage mes pied gonflé et fatiguer en fin de journée</t>
  </si>
  <si>
    <t>Compatible biberon Nuk Mon fils utilise son bib lansinoh en allaitement mixte depuis ces 3 mois. En grandissant il a eu besoin d’un plus gros débit. En revanche impossible de trouver un second bib lansinoh pour la crèche dans les magasins. Heureusement ces tétines s’adaptent très bien sûr les biberons Nuk First Choice. Je recommande pour un allaitement mixte. Elles ne fuient pas et bébé doit vraiment «&amp;nbsp;aspirer&amp;nbsp;» comme au sein.</t>
  </si>
  <si>
    <t>Super très satisfait de mon achat</t>
  </si>
  <si>
    <t>TB mais chère Pratique et surtout silencieuse</t>
  </si>
  <si>
    <t>excellent produit Etiqueteuse qui vient en remplacement de mon ancienne machine. Elle fonctionne très, agréable en main. aucun pb de livraison si j'ai besoin d'autre matériel de ce type je passerai par le même vendeur.</t>
  </si>
  <si>
    <t>Article conforme et plus léger que le produit original Achat effectué pour remplacer une prise d'alimentation pour une enceinte Soundlink II égarée. Article d'un très bon rapport qualité prix par rapport au dispositif proposé en accessoire de la marque concernée. Produit léger, techniquement conforme, avec un témoin lumineux permettant d'objectiver la marche / la mise en charge de l'appareil sur secteur. Très satisfait de ma commande avec livraison efficace et emballage soigné.</t>
  </si>
  <si>
    <t>Parfaite. Achetée pour changer de la routine de ma G-Shock M5610 cette montre s'est avérée parfaite, surtout pour un modèle à 30 euros.  -Boutons faciles d'accès -Suffisamment de fonctions, les différentes timezones accessibles avec le bouton inférieur droit est une excellente feature -Éclairage de qualité comme Casio sait si bien les faire. Jaune et configurable entre 1 et 3 secondes de durée. -Un look relativement rétro avec sa map-monde et son cadran digital LCD plutôt inutile mais si agréable à observer. -Accepte les Natos 18mm sans aucun accessoire requis outre un Bergeon pour retirer les pompes  Le verre plastique et la boucle ardillon elle aussi plastique est assez dommage cependant...</t>
  </si>
  <si>
    <t>Superbe montre Montre stylé. Bracelet en cuir. Enfin une montre qui indique le jour qu'on est. Ça fesait longtemps que j'en cherchais une de très bonne qualité, jolie et surtout qui me plaise. Ça y est je l'ai trouvé. Elle a l'air très solide, a voir avec le temps. Je la garde sous la douche, pour le moment elle n'a pas pris l'eau,pareil a voir avec le temps.  En tous cas, j'en suis super content,je la quitte plus</t>
  </si>
  <si>
    <t>Mauvaise qualité Chaussettes qui "boulochent" que ce soit après une séance de sport ou une journée normale. A moins d'un manque de chance, ce produit est à éviter à tout prix !</t>
  </si>
  <si>
    <t>le tapis Je ne vous aucun résultats pour les douleurs de dos.un produit donc je regrette avoir acheter.cher pour ce que sas</t>
  </si>
  <si>
    <t>pac convaincu chaussettes qui manquent d'épaisseur pour être vraiment chaudes.J'ai froid aux pieds...</t>
  </si>
  <si>
    <t>Sympa Reçu ce jour !! Très rapide !!! Très bien dedans !!! Y a plus qu'à tester demain pour mon cours de danse !!!!!</t>
  </si>
  <si>
    <t>Tenue d’interieure. Tenue d’interieure de bonne qualité chaude.</t>
  </si>
  <si>
    <t>Chaussures bon qualité prix Chaussures de sécurité costaud de l'extérieur mais un peut juste au niveau des semelles mais quand même confortables</t>
  </si>
  <si>
    <t>Bien mais pas bon pour tous les sports. La chaussure est pas mal pour son prix, mais attention, il ne s'agit pas d'une chaussure avec un bon maintien. Attention donc !</t>
  </si>
  <si>
    <t>Pour le moment je n'ai pas besoins Chaque  fois que je dois faire une photocopie l'encre de la photocopieuse est vide alors je n'ai pris pour la voir plus Par contre aux niveaux de la livraison le livreur la laisse tout on hauteur du boitier des boîtes au lettre heureusement que j'ai levé la tête</t>
  </si>
  <si>
    <t>Au top Super casque seul modification envisageable ses davoir un cordon plus long pour le recharger</t>
  </si>
  <si>
    <t>Bracelet simple et fonctionnel Ça fait le boulot. Rien à dire !</t>
  </si>
  <si>
    <t>Du suunto .... Très agréable . Deuxième Suunto et très belle réussite . Vient remplacer la première que j'avais depuis quelques années . Bonne autonomie . La nouvelle application est plus fiable .</t>
  </si>
  <si>
    <t>merci à tous merci à tous</t>
  </si>
  <si>
    <t>C'est le cœur qui me les a fait acheter Merveilleuxxxxxx, j'ai attendu 1 semaine avant de les prendre. Je m'étais dis que j'allais encore faire un achat compulsif..Qui sert à rien... mais après une semaine, je rêvais encore de cette paire et du coup , je l'ai acheté.. (j'avoue ca reste compulsif) mais elles sont vraiment top, trop à l'aise dedans! Je recommande pour les gens qui aiment ces genre de boots!</t>
  </si>
  <si>
    <t>Taille petit Taille petit je  chausse du 43 et le 44,5 me va pile poil. Sinon la claquette est confortable et ne fait pas mal au pied</t>
  </si>
  <si>
    <t>Sterilisateur rapide Sterilisateur rapide efficace facile a nettoyer</t>
  </si>
  <si>
    <t>bibliothéque Commande pour mes nièces qui ont adoré. Livraison très rapide. Les livres sont épais donc très solide lors de choc ! Je recommande cette bibliothéque au jeune parents qui prenne le temps de raconter une histoire le soir a leurs enfants, ils vont adorer. Je recommande cette achat très instructif.</t>
  </si>
  <si>
    <t>Très pratique Je suis ravi de mon achat les tailles effectivement sont un peu plus grande mais ça permet le confort de la chaussure</t>
  </si>
  <si>
    <t>Eastpak Bon sac Eastpak acheté à bas prix ici. Finitions toujours au top, la qualité est aussi toujours au RDV. J'utilise les sacs Eastpak pour tout et ils ne m'ont jamais laché. La couleur de celui-ci est sympa.</t>
  </si>
  <si>
    <t>Parfaite Bon produit. Chaud et froide</t>
  </si>
  <si>
    <t>parfait j'ai acheté ce sac pour mon fils de 20ans, cette été et il ne l'a pas quitté!!!! très pratique , il met ses papiers et harmonica,très contente!!! et l'emballage etait super avec le petit cirage!!!!!!!</t>
  </si>
  <si>
    <t>Fait parfaitement le travail! Super produit plutôt, bon marché mais de qualité. Je le recommande vivement.</t>
  </si>
  <si>
    <t>pas satisfaite de ce produit. Bonjour, achetées le 19 février, ces cartouches sont déjà vides ce jour 04 mars 2016 - et je ne fais pas collection de feuilles imprimées - comment savoir à qui acheter pour avoir de la qualité ? cordialement - md.</t>
  </si>
  <si>
    <t>Erreur de taille Déçue de recevoir un 36 à la place d'un 38 sachant qu'il s'agissait d'un cadeau... Surprise tombée à l'eau !</t>
  </si>
  <si>
    <t>Produit peu fiable Oreillette correct au début , malgré quelques larsens. Puis hors service Produit pas fiable A éviter</t>
  </si>
  <si>
    <t>Beau produit mais taillé petit Très belle qualité mais taillées trop petites c'est dommage, prévoir une pointure voire deux pointures au-dessus. Il fallait le savoir!!</t>
  </si>
  <si>
    <t>Belle chaussure bien finie mais.... pour les pieds étroits... Très belle chaussure, bien finie mais trop étroit par rapport à mon cou de pied large (pointure 44). Ces chaussures de bain sont adaptés à des pieds plus fin et étroit. À l'essayage, j'ai craint de déchirer la chaussure au niveau du cou de pied. Donc demande de retour logique et raisonnable.</t>
  </si>
  <si>
    <t>commande qui répond à mes attentes ai eu un problème avec la première commande:mauvaise connexion électrique pour une des 2 places. Ai renvoyé l'ensemble pour échange reçu 48h après! et maintenant pas de problème</t>
  </si>
  <si>
    <t>Ok Correspond à la description</t>
  </si>
  <si>
    <t>Album photo gris Bonne qualité</t>
  </si>
  <si>
    <t>Bon rapport qualité prix. Ces pantoufles sont confortables mais un peu large .Elles sont donc réservées à un usage en intérieur.</t>
  </si>
  <si>
    <t>Petit 39 Quand on fait un petit 39 et que l'on est du sexe masculin il est évident qu'un 39, même en Converse est légèrement trop grand. Mais ce n'est pas grave. Envoi rapide, bon état des "petits souliers" à l'arrivée. D'ailleurs je les porte.</t>
  </si>
  <si>
    <t>parfait idéales pour 2 ans et +</t>
  </si>
  <si>
    <t>Ttes bonne chaussure Tres confortable</t>
  </si>
  <si>
    <t>Bon rapport qualité prix J'ai ces écouteurs pour travailler avec mon téléphone portable. Jusqu'ici, j'ai testé plusieurs types de musique, du hip hop au rock classique, et il semble que le bon mélange de musique sonne bien, avec une bonne séparation et une bonne clarté des instruments.</t>
  </si>
  <si>
    <t>BIEN COMME D HABITUDE</t>
  </si>
  <si>
    <t>Très belle Je suis en fan de cette marque les baskets  sont belle. Petit bémol je chausse du 37 et la le 37 et un peu grand. Mais bon mes pieds  respire dedans même si j'aime bien que mes baskets chausse juste. Mais sinon avec la promo French days je les ai eu à un super prix.</t>
  </si>
  <si>
    <t>Top Livraison très rapide et facile. Les écouteurs sont bien emballés et guérissent avec moi. Ils sont dans une boîte stable, qui est également la boîte de chargement. Si le boîtier de chargement est vide, il doit être chargé via le port USB. Ceci est très simple et fonctionne parfaitement. Ils sont très confortables à porter et ont trois inserts en caoutchouc différents pour assurer un bon ajustement dans l'oreille. Le son est clair et agréable, même si vous le mettez un peu plus fort. La connexion Bluetooth au téléphone s’est bien déroulée et a été immédiatement reconnue. Conclusion: un excellent casque complètement sans déranger le câble. Forte vie de la batterie. Haut confort. Siège ferme dans l'oreille.</t>
  </si>
  <si>
    <t>Très bien Essayé une fois, impeccable.</t>
  </si>
  <si>
    <t>Confort et chaleur Chaleur et confort, très bon maintien du pied à la marche avec une vraie semelle assez rigide. Le genre de chaussons que l’on oublierai d’enlever pour aller faire ses course !</t>
  </si>
  <si>
    <t>Très bien Très bon produit. Le son est propre. Je l’utilise beaucoup pour la musique et aussi pour regarder des films et des séries. Le seul bémol, pour moi, mais je suis exigeant. Ce sont les graves, ils ne sont pas assez présents, mais le sont reste propre.</t>
  </si>
  <si>
    <t>Super Chaussures arriver très rapidement ma fille est aux anges elle les adores super produit</t>
  </si>
  <si>
    <t>top cable de très bonne qualité grâce a ce cable j'ai plus brancher deux enceinte a ma platine dj ddi-sr de pioneer je vous le recommande</t>
  </si>
  <si>
    <t>Je ne regrette absolument pas d avoir choisi cette paire en plus la couleur est super !! Très belles baskets vont parfaitement bien avec ma taille je recommande vivement ce produit !!</t>
  </si>
  <si>
    <t>Excellent produit Colis réceptionné très rapidement, le produit est parfait : compact, puissant, il a une grande autonomie et 8g de mémoire. La qualité d’enreg Est très bonne et la prise en main rapide et facile!</t>
  </si>
  <si>
    <t>Converse marron et non grises ! Elles sont grises à l'écran, "Charcoal" (charbon en anglais) sur le site et sur l'étiquette boîte, mais à la sortie de la boîte, des Converse totalement marron ! Est-ce une erreur de boîte, un retour mal fait (le papier de soie était tout déchiré" ? Je demande un retour.</t>
  </si>
  <si>
    <t>Gadget Pas bonne qualité Et un fermoir d un bracelet arrivé cassé Je ne recimmande pas Catégorie gadget</t>
  </si>
  <si>
    <t>Mauvaise tetines Très déçue par les tétines! Elles ne conviennent pas à ma fille qui est allaitée, je n'ai pas réussi à faire la transition avec ses biberons alors j'ai pris une autre marque ou Le débit est bien plus rapide.</t>
  </si>
  <si>
    <t>Trop grand Ensemble trop grand</t>
  </si>
  <si>
    <t>Description "Massage 4 mains" trompeuse.... En lisant la description "Massage 4 mains" et en regardant les photos, on pourrait croire qu'il y a 2 zones distinctes de massages, mais il n'y a un bien qu'UNE serie de boules de massage qui se déplace sur toute la hauteur. Dommage d'autant que c'est cette description hasardeuse qui a fait penché mon choix vers ce siège plutôt que le Naipo (massage nuque ET dos en même temps).  Sinon a part ca, il masse bien, la chaleur fait du bien, les "doigts" de massage sont assez gros et font moins mal que sur d'autres sièges, et pouvoir insister sur des zones précises est un atout indispensable pour un siège de massage.</t>
  </si>
  <si>
    <t>contente Je le recommande, Il est comme dans le descriptif. A utilisé soit même ou à offrir :)</t>
  </si>
  <si>
    <t>joli et rentable Malgré un petit souci de livraison, tres contente d avoir acheter ce papier il semblerai que j en ai pour lontemps et quand je vois en grande surface les 2m pour 3e je suis encore plus satisfaite.</t>
  </si>
  <si>
    <t>Bon produit Pour le travail, le pied est bien maintenu.</t>
  </si>
  <si>
    <t>la simplicité Cette machine est une merveille pour les jeunes parents, ceux qui sont fatigués débordé ou seulement ceux qui veulent se simplifier la vie. La machine est ultra simple et rapide ( ideal pour les nuit en pointillées quand les neuronnes dorment encore mais que bébé à faim)  il suffit de presser une seule fois le bouton tactile pour distribuer une quantité d'eau exacte à température du corps (37°c) et tout cela en moins de 2 minutes ! Ce model est en plus doté d'un système de filtration, le perfect prep permet de filtrer l'eau du robinet afin d'ôter les impuretés et les bactéries présentes dans l'eau et de garder les éléments nutritifs nécessaires à la croissance de bébé. ca pour moi c'est plutot gadget car suivant la ou vous habitez ça ne sera pas nécessaire.  Le système est dit "parfaitement adapté à tout type de lait en poudre" en tout cas pour le galiagest qui est une formule épaissi pas de soucis m'enfin quoi qu'il en soit le mélange sera a faire par vos soin donc bon... Le machine délivre un hot shot; c'est un jet d’eau chaude qui tue toutes les bactéries potentiellement présentes dans le biberon et le lait en poudre ( quoi qu'il en soit le nettoyage du biberon au préalable est a faire très consciencieusement et au goupillon) . Le nettoyage et le détartrage est simple. Le filtre est a 12,30 euros actuellement sur Amazon, il est a changer tous les 150 litres ce qui équivaut a environ 3 mois d'utilisation ( c'est un consommable non négligeable et une dépense supplémentaire a prévoir ) En bref c'est une super machine qui simplifiera les choses</t>
  </si>
  <si>
    <t>Wanderlust Poster Le poster est parfait, les couleurs différentes dans chaque continent et pays sont géniales, hâte de faire le tour du monde pour tout gratter haha, qualité au top, je recommande à 100%</t>
  </si>
  <si>
    <t>Parfait Si bien</t>
  </si>
  <si>
    <t>Satisfait Très bonne odeur</t>
  </si>
  <si>
    <t>Pas mal du tout ces écouteurs ;-) Je souhaitais M affranchir des fils pour les sorties, je fais beaucoup de course à pied et ce produit répondait à mes attentes.  La tenue dans les oreilles est bonne, le son à un très bon rendu, le boîtier est vraiment bien pensé et visuellement c'est joli!  Le top pour moi ces écouteurs!</t>
  </si>
  <si>
    <t>Prendre une taille en dessous pour porter moulant ou taille normale possible Jogging magnifique, agréable et chaud à la fois.</t>
  </si>
  <si>
    <t>Bouillotte électrique Indispensable pour réchauffer les lits froids</t>
  </si>
  <si>
    <t>Produit lerfomant sauf le prix teop elevé Produit tres perfomant mais le prix est un peu avuse</t>
  </si>
  <si>
    <t>Bon produit Produit qui correspond à ce que je cherchais : possibilité de modifier la température de chauffe de l'eau selon l'usage. Bonne lisibilité de l'écran et du niveau d'eau grâce au rétroéclairage. Le bruit est supportable et ne dure pas longtemps car la bouilloire est puissante.</t>
  </si>
  <si>
    <t>Ne recommande pas Il était très bien pour les douleurs cervicales mais de très mauvaise qualité car il a tenu à peine 6 mois</t>
  </si>
  <si>
    <t>Parfait pour les peaux sensibles J'ai une peau très réactives concernant les lessives ordinaires et la lessive en paillettes LECHAT me permet enfin de laver mes sous vêtements et le linge délicat sans soucis. Le linge est propre et souple. Et  ça sent bon le propre comme on dit ^^ EN deux mots : je revis !!</t>
  </si>
  <si>
    <t>Parfait En remplacement de la sacoche de mon mari, il en est très content !! Grande capacité de rangement, plusieurs poches et pochettes, sangle réglable, design plutôt "jeune", que de qualités !! Je recommande vivement !</t>
  </si>
  <si>
    <t>2eme achetee du meme modele... Je les trouve jolies sur mon bureau avec tous le materiel Apple aux dominante Aluminium/Blanc. La douceur de la lumiere en mode "lumiere du jour" est tres reposante pour les yeux. Et le port de charge USB 5V 1A est toujours utile pour charger un appareil meme si c'est un peu lent.</t>
  </si>
  <si>
    <t>Super Livrées très rapidement Conformes à la photo. A voir dans qq temps si elles sont solides.</t>
  </si>
  <si>
    <t>A quoi ça  sert? Je pensais que ça s allumait et non donc ça sert à rien</t>
  </si>
  <si>
    <t>Quelle déception! Après 2 mois d'utilisation, de la rouille a commencé à apparaître sur le fond de la bouilloire qui ne sera plus guère utilisable d'ici quelques semaines (je ne connais pas réellement la toxicité du phénomène mais je ne pense pas que cela soit très bon pour la santé...). Je suis extrêmement déçue car je prends soins de mes appareils, ai l'habitude de les détartrer régulièrement  et me sert quotidiennement de ma bouilloire (thé et tisanes). Donc, après une utilisation de quelques mois un constat s'impose : c'est un produit de qualité déplorable!</t>
  </si>
  <si>
    <t>Commander la bonne taille Chaussures conformes à la photo et très chaudes mais taille grand. Le problème est sur le retour pour un changement de taille. Si le prix est monté entre temps, on peut pas les retourner pour échange. Amazon vous oblige donc au remboursement pour les recommander, plus chères. C'est un peu l'arnaque.</t>
  </si>
  <si>
    <t>je recommande ce jolie bracelet Un jolie bracelet qui fait de l'effet, les couleurs sont vives. Agréable à porter</t>
  </si>
  <si>
    <t>très bien article de qualité à premiere vue n bien qu'un peu cher quand bébé ne l'accepte pas ... On verra peut etre plus tard mais en tout cas à mon sens joli produit !</t>
  </si>
  <si>
    <t>ACHAT CORRECT Très à l'aise , esthétique réussi acheté il y a un an malheureusement pas faite pour un usage quotidien s'use très rapidement</t>
  </si>
  <si>
    <t>bien pedagogie</t>
  </si>
  <si>
    <t>Montre adaptée à la Randonnée en montagne Montre légère et simple d’utilisation Parfaite pour la randonnée</t>
  </si>
  <si>
    <t>parfait niveau qualité /prix chaussures très bien. correspond a mes attentes</t>
  </si>
  <si>
    <t>Top Article parfait qui détend les muscles du dos. Certaines personnes plus sensibles ont du mal a rester dessus, moi je peux m'y endormir. Pour un résultat optimum il faut l'utiliser à même la peau</t>
  </si>
  <si>
    <t>Montre superbe ! Je pensais qu'elle allait être trop grosse, car c'est une montre automatique, elle n'a pas de pile, mais finalement elle s'avère d'une épaisseur tout à fait normale. Elle est sublime. Le colis est arrivé une journée plutôt que prévue, dans un emballage soigné.Je recommande vivement cette montre.</t>
  </si>
  <si>
    <t>Vans Sk8 magnifique Les Vans Sk8 sont magnifiques, la taille correspond comme prévu. Les couleurs sont très belles.</t>
  </si>
  <si>
    <t>Très bons ecouteurs sympas ! Je les ai acheté pour mon fils.. Il les utilise sur son portable et sa tablette.. Ils marchent très bien et ont un style sympa !</t>
  </si>
  <si>
    <t>impressionnant! Un collègue avait acheté ce modèle, il me l'a fait essayer et j'ai été bluffé par le résultat! je me suis acheté l'article et depuis je l'utilise quasi tous les jours car en plus de la réduction de bruit, les écouteurs intra-auriculaires sont confortables (j'en ai essayé 4 marques différentes avant d'en trouver qui me conviennent) et le système de rétention est efficace car les écouteurs ne tombent pas! je dirais simplement que pour 25€ le rapport qualité-prix est présent.</t>
  </si>
  <si>
    <t>produit ok Bon produit</t>
  </si>
  <si>
    <t>Très bien Très bon produit</t>
  </si>
  <si>
    <t>Super Produit de qualité, je suis une inconditionnelle des huiles et essences naturelles et suis très satisfaites de cet achat pratique pour mes mixtures</t>
  </si>
  <si>
    <t>Très bonne qualité Marcher dans la boue  surtout quand on pratique la chasse.</t>
  </si>
  <si>
    <t>Satisfaction Pratique, bon secharge des biberons et esthetique</t>
  </si>
  <si>
    <t>rien à redire toute ma famille à pris les mêmes d une autre couleur....</t>
  </si>
  <si>
    <t>beau et pratique acheté pour ma femme pour nos séjours à l'étranger, elle ne s'en sépare plus, même au quotidien.</t>
  </si>
  <si>
    <t>Très contente Comme sur la photo excellent</t>
  </si>
  <si>
    <t>Super contente La matières en tissus épais est vraiment bien, les couleurs sublimes et surtout très légères et très confortables. Pour l'instant elles ont l'air de bonne qualité; en tout cas, elles sont confortables car en mailles. je recommande vivement ses chaussures elles sont légères.</t>
  </si>
  <si>
    <t>tape à l'oeil Joli design mais peu commode car n'accepte pas toutes les tailles de pain, difficile à nettoyer et est tombé en panne après 6 mois d'utilisation</t>
  </si>
  <si>
    <t>Dommage commandé deux fois et deux fois trop grande mais très belle bague .</t>
  </si>
  <si>
    <t>Déçue sur la taille réelle des pierres Déçue, l'image n'aide pas à se faire une idée de la taille réelle des pierres et du bracelet en général. Du coup c'est minuscule! Les pierres sont trop trop trop petites !</t>
  </si>
  <si>
    <t>Bel objet mais très complexe d'utilisation Il y a des boutons partout autour du réveil très difficile d'utilisation que ce soit pour régler l'heure, allumer la lampe... Pour le réglage du réveil il faut d'abord régler l'heure, la lumière, son intensité, le mode de son, la station de radio... Même avec la notice c'est compliqué les icônes sont toutes petites. Et le port USB à l'arrière ne charge pas. Je l'ai retourné.</t>
  </si>
  <si>
    <t>belles chaussures belles chaussures mais côté entretien pas terrible...supporte mal la moindre égratignure... confort moyen (chaussure de gauche me fait un peu de mal en bout de pied).</t>
  </si>
  <si>
    <t>bien pour pas cher... bon rapport qualité-prix,écran très lisible, beau rétro éclairage, mais le bracelet fait très cheap...</t>
  </si>
  <si>
    <t>Très légère agréable à porter Pour le travail de tous les jours</t>
  </si>
  <si>
    <t>Au top J'ai acheté ce chauffe biberon après avoir eu quelques difficultés avec un autre d'une autre marque. Celui-ci est très facile d'utilisation, le timing de chauffe est simple et correspond à la réalité (environ 2min pour un biberon de 120 ml). Le gros plus, le fait qu'il y ait une cloche. Le must aurait été qu'elle fut en verre. De plus, je sterilise aussi biberon et tétine avec. Je suis ravie de mon achat. N'hésitez pas à cliquer si mon commentaire vous a été utile ! :)</t>
  </si>
  <si>
    <t>Pièces Merci pour les pièces détachées car autrement je j'étais ma cafetiere</t>
  </si>
  <si>
    <t>Handy Bag Rouleau de 10 Sacs Poubelle 50 L, P super</t>
  </si>
  <si>
    <t>Confort Deux paires offertes qui font le bonheur des quatre pieds qui ne peuvent plus les quitter.</t>
  </si>
  <si>
    <t>J'adore Très belles finition, petit poid donc léger à porter</t>
  </si>
  <si>
    <t>Parfait Impec!</t>
  </si>
  <si>
    <t>Très bon livre Livre parfait pour apprendre à lire</t>
  </si>
  <si>
    <t>Parfait Sac acheté pour un ami et bien génial très élégant et spacieux Il ne la quitte plus!!!! 👍👍👍👍👍 je recommande</t>
  </si>
  <si>
    <t>Bonne qualité Sport</t>
  </si>
  <si>
    <t>On lit souvent qu'il faut prendre une taille en dessous, ce n'est pas forcément le cas! C'est du blanc, donc les chaussures peuvent se salir vite, en revanche les traces de salissure partent très bien au lavage. Attention: on lit souvent dans les commentaires qu'il faut prendre la taille en dessous, ce qui n'est pas forcément le cas pour tout le monde! (j'ai dû renvoyer la première paire commandée pour reprendre ma pointure habituelle)</t>
  </si>
  <si>
    <t>conforme et pratique Conforme et pratique</t>
  </si>
  <si>
    <t>Produits correspondant aux critères Sortie</t>
  </si>
  <si>
    <t>Trop beaux 😍 Je viens de les recevoir. Très confortables, fidèles à la photo et juste magnifiques 😍</t>
  </si>
  <si>
    <t>Colle très résistante à l'arrachement sans avoir besoin d'une température élevée Un fer à repasser en température moyenne suffit et le collage est très bon</t>
  </si>
  <si>
    <t>Ras confirme à ce qui est décrit Tétines bec utilisées sur une timbale deuxième fois que je commande et RAS un peu fragile mais fonctionne très bien contente de l’achat.</t>
  </si>
  <si>
    <t>Très bon achat Super simple et humer pratique On l'utilise tous les jours Elle rempli très bien sa fonction Bonne qualité Je recommande</t>
  </si>
  <si>
    <t>Pas adapté J'ai pris la taille 6 mois + préparation épaissie car en passant au lait 2ème âge, les tétines de taille plus petites se bouchaient. Impossible de les utiliser car le bout de la tétine est plus gros et le trou central trop grand, bébé rejette la tétine alors qu'il a très bien pris les autres tailles. Du coup j'ai gardé les tailles 3 en agrandissant le trou au couteau...</t>
  </si>
  <si>
    <t>Déçu Déçu ! Les poignets sont toutes petites et ne s’adaptent pas sur les petits biberons de 130 ml que moi j’utilise pour lui mettre son eau !</t>
  </si>
  <si>
    <t>Contrefaçon Je pense que se produit est une contrefaçon,j'ai déjà une paire de stan smith à la même pointure et celle si taille beaucoup plus petit et la qualité n'est pas bonne</t>
  </si>
  <si>
    <t>taille très mal Ce bas de jogging est très mal taille j'ai dû changer l'article car pour un M il était trop grand j'ai dû prendre un S</t>
  </si>
  <si>
    <t>Jeu de société Commandé pour noël cette année et donc pas encore ouvert j'ai cru comprendre que c'était un ancêtre du célèbre Pictionary. A la place du sablier la mine du stylo rentre toute seule lorsque le temps est écoulé.  Je recommande ce jeu pour les enfants</t>
  </si>
  <si>
    <t>Budermmy Low Cut Pro Running Chaussettes, Acheté pour mon mari mais aussi pour moi, on se sent bien dans ces soquettes, la hauteur est bien et la texture agréable. Je conseille ces articles</t>
  </si>
  <si>
    <t>Très Bel Objet Très bel appareil, efficace, chauffe rapide, pas d arrière goût de plastique... Esthétique et finition soignée. Seul bémol, l extérieur chauffe fort, mais ça n est pas fait pour poser les mains ;-)</t>
  </si>
  <si>
    <t>La définition du produit Idéal pour les massages</t>
  </si>
  <si>
    <t>Produit très satisfaisant En remplacement de mon ancienne bouilloire en plastique. Très facile d'utilisation. Il est appréciable de pouvoir choisir la température pour la préparation du thé par exemple. Nettoyage facile. Il ne faut pas reposer la bouilloire sur le socle si on veut qu'il soit éteint, mais c'est juste une question d'habitude.</t>
  </si>
  <si>
    <t>Très bon casque Il n'est pas facile d'évaluer un casque. D'abord il faut s'y habituer (ce qui prend du temps) et d'autre part on ne peut donner qu'une appréciation très personnelle (en fonction de son ouïe et aussi de ses préférences musicales). Ceci dit je trouve ce casque quasiment parfait à condition d'écouter uniquement des fichiers d'excellente qualité (pas forcément du Hi-Res mais pour le moins du Flac). J'apprécie tout particulièrement sa neutralité (donc pas de basses renforcées) qui permet d'écouter du classique (ou du jazz) dans des conditions optimales. On entend tous les détails et c'est donc l'occasion de redécouvrir ses morceaux préférés. Il est certes un peu volumineux mais néanmoins confortable. On peut le porter longtemps sans être nullement incommodé.</t>
  </si>
  <si>
    <t>Agréable et grande Prête pour les vacances!!assez grande pour mettre le nécessaire et ne pas être encombré!très agréable à porter,peut même être porté autour de votre taille selon votre gabarit.</t>
  </si>
  <si>
    <t>Très bon rapport qualité prix Un excellent produit, très facile d'utilisation, discret et léger avec un très bon son !</t>
  </si>
  <si>
    <t>pull Pull conforme à la photo. Lavé déjà à plusieurs reprises et ne bouge pas. Prendre une taille de + par contre.</t>
  </si>
  <si>
    <t>Top ! Super produit qualité-prix, confortable et bonne semelles anti derapante.</t>
  </si>
  <si>
    <t>conforme a la description conforme a la description</t>
  </si>
  <si>
    <t>Très bien Très confortable, un super prix.</t>
  </si>
  <si>
    <t>Une marque de qualité supérieure avec le style. Sweat-shirt de qualité vraiment supérieure broder il est vraiment très beau je mesure un mètre 80 allure athlétique et j'ai acheté la taille l qui à mon goût taille un tout petit peu grand sinon je recommande vivement ce produit je ne regrette vraiment pas mon achat au contraire je remercie le vendeur le produit est arrivé un jour avant très rapidement merci.</t>
  </si>
  <si>
    <t>Conforme à la description sur la photo Conforme à la description je n'ai pas le recul pour pouvoir dire si les solides ou pas en tout cas il est très bien plusieurs poches on peut mettre des stylos attacher ses clés bref très correct pour le prix</t>
  </si>
  <si>
    <t>confortables tendance à déteindre au niveau de la languette (en particulier si on porte des chaussettes blanches !)</t>
  </si>
</sst>
</file>

<file path=xl/styles.xml><?xml version="1.0" encoding="utf-8"?>
<styleSheet xmlns="http://schemas.openxmlformats.org/spreadsheetml/2006/main" xmlns:x14ac="http://schemas.microsoft.com/office/spreadsheetml/2009/9/ac" xmlns:mc="http://schemas.openxmlformats.org/markup-compatibility/2006">
  <fonts count="2">
    <font>
      <sz val="10.0"/>
      <color rgb="FF000000"/>
      <name val="Arial"/>
    </font>
    <font/>
  </fonts>
  <fills count="2">
    <fill>
      <patternFill patternType="none"/>
    </fill>
    <fill>
      <patternFill patternType="lightGray"/>
    </fill>
  </fills>
  <borders count="1">
    <border/>
  </borders>
  <cellStyleXfs count="1">
    <xf borderId="0" fillId="0" fontId="0" numFmtId="0" applyAlignment="1" applyFont="1"/>
  </cellStyleXfs>
  <cellXfs count="3">
    <xf borderId="0" fillId="0" fontId="0" numFmtId="0" xfId="0" applyAlignment="1" applyFont="1">
      <alignment readingOrder="0" shrinkToFit="0" vertical="bottom" wrapText="0"/>
    </xf>
    <xf borderId="0" fillId="0" fontId="1" numFmtId="0" xfId="0" applyAlignment="1" applyFont="1">
      <alignment readingOrder="0"/>
    </xf>
    <xf quotePrefix="1" borderId="0" fillId="0" fontId="1"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1" t="s">
        <v>0</v>
      </c>
      <c r="B1" s="1" t="s">
        <v>1</v>
      </c>
      <c r="C1" s="1" t="s">
        <v>2</v>
      </c>
    </row>
    <row r="2">
      <c r="A2" s="1">
        <v>2.0</v>
      </c>
      <c r="B2" s="1" t="s">
        <v>3</v>
      </c>
      <c r="C2" t="str">
        <f>IFERROR(__xludf.DUMMYFUNCTION("GOOGLETRANSLATE(B2, ""fr"", ""en"")"),"Not super hot Small heating mat, nice texture. By cons, takes a long time to heat up. And mode 3, the highest, I think it is not very hot .... I expected more anyway ...")</f>
        <v>Not super hot Small heating mat, nice texture. By cons, takes a long time to heat up. And mode 3, the highest, I think it is not very hot .... I expected more anyway ...</v>
      </c>
    </row>
    <row r="3">
      <c r="A3" s="1">
        <v>1.0</v>
      </c>
      <c r="B3" s="1" t="s">
        <v>4</v>
      </c>
      <c r="C3" t="str">
        <f>IFERROR(__xludf.DUMMYFUNCTION("GOOGLETRANSLATE(B3, ""fr"", ""en"")"),"Keep Driving At first glance, good article, comply with the order. After one week of use, inside the liner tears. Not to be buying.")</f>
        <v>Keep Driving At first glance, good article, comply with the order. After one week of use, inside the liner tears. Not to be buying.</v>
      </c>
    </row>
    <row r="4">
      <c r="A4" s="1">
        <v>3.0</v>
      </c>
      <c r="B4" s="1" t="s">
        <v>5</v>
      </c>
      <c r="C4" t="str">
        <f>IFERROR(__xludf.DUMMYFUNCTION("GOOGLETRANSLATE(B4, ""fr"", ""en"")"),"Middle solid. But one of the pocket is too tight to put anything in the interior")</f>
        <v>Middle solid. But one of the pocket is too tight to put anything in the interior</v>
      </c>
    </row>
    <row r="5">
      <c r="A5" s="1">
        <v>4.0</v>
      </c>
      <c r="B5" s="1" t="s">
        <v>6</v>
      </c>
      <c r="C5" t="str">
        <f>IFERROR(__xludf.DUMMYFUNCTION("GOOGLETRANSLATE(B5, ""fr"", ""en"")"),"conforms to the image will be necessary to achieve some big pus Good product aesthetical appreciated gift")</f>
        <v>conforms to the image will be necessary to achieve some big pus Good product aesthetical appreciated gift</v>
      </c>
    </row>
    <row r="6">
      <c r="A6" s="1">
        <v>5.0</v>
      </c>
      <c r="B6" s="1" t="s">
        <v>7</v>
      </c>
      <c r="C6" t="str">
        <f>IFERROR(__xludf.DUMMYFUNCTION("GOOGLETRANSLATE(B6, ""fr"", ""en"")"),"Barefoot but with a good pair of shoes since the summer, I have not left them an inch! Beyond reasonable price, these shoes are very comfortable to wear even on stony ground ... Really the feeling of being barefoot, walking becomes less tiring. If you are"&amp;" ""drummer"", it will be the top (I know who plays in socks to reduce their feet especially the double pedaling): these ""pumps"" are perfect, they will ensure you a perfect grip and a comfortable typing all offering you the feeling of lightness. Another "&amp;"thing, the size is perfect, no surprises.")</f>
        <v>Barefoot but with a good pair of shoes since the summer, I have not left them an inch! Beyond reasonable price, these shoes are very comfortable to wear even on stony ground ... Really the feeling of being barefoot, walking becomes less tiring. If you are "drummer", it will be the top (I know who plays in socks to reduce their feet especially the double pedaling): these "pumps" are perfect, they will ensure you a perfect grip and a comfortable typing all offering you the feeling of lightness. Another thing, the size is perfect, no surprises.</v>
      </c>
    </row>
    <row r="7">
      <c r="A7" s="1">
        <v>5.0</v>
      </c>
      <c r="B7" s="1" t="s">
        <v>8</v>
      </c>
      <c r="C7" t="str">
        <f>IFERROR(__xludf.DUMMYFUNCTION("GOOGLETRANSLATE(B7, ""fr"", ""en"")"),"Great gift Very nice watch man, very classy. It is a gift that my husband enjoyed. A deluxe breakfast!")</f>
        <v>Great gift Very nice watch man, very classy. It is a gift that my husband enjoyed. A deluxe breakfast!</v>
      </c>
    </row>
    <row r="8">
      <c r="A8" s="1">
        <v>5.0</v>
      </c>
      <c r="B8" s="1" t="s">
        <v>9</v>
      </c>
      <c r="C8" t="str">
        <f>IFERROR(__xludf.DUMMYFUNCTION("GOOGLETRANSLATE(B8, ""fr"", ""en"")"),"The Perfect Sound Quality Easy to connect to the phone. They allow me to answer my calls hands free kit mode and back to listen to my music. Easy handling. Very good sound quality, it is isolated from the rest of the world.")</f>
        <v>The Perfect Sound Quality Easy to connect to the phone. They allow me to answer my calls hands free kit mode and back to listen to my music. Easy handling. Very good sound quality, it is isolated from the rest of the world.</v>
      </c>
    </row>
    <row r="9">
      <c r="A9" s="1">
        <v>5.0</v>
      </c>
      <c r="B9" s="1" t="s">
        <v>10</v>
      </c>
      <c r="C9" t="str">
        <f>IFERROR(__xludf.DUMMYFUNCTION("GOOGLETRANSLATE(B9, ""fr"", ""en"")"),"Perfect Not very thick but my daughter immediately loved !!!")</f>
        <v>Perfect Not very thick but my daughter immediately loved !!!</v>
      </c>
    </row>
    <row r="10">
      <c r="A10" s="1">
        <v>5.0</v>
      </c>
      <c r="B10" s="1" t="s">
        <v>11</v>
      </c>
      <c r="C10" t="str">
        <f>IFERROR(__xludf.DUMMYFUNCTION("GOOGLETRANSLATE(B10, ""fr"", ""en"")"),"Beautiful Super devised for births and other celebrations. With small sweets to share with loved ones.")</f>
        <v>Beautiful Super devised for births and other celebrations. With small sweets to share with loved ones.</v>
      </c>
    </row>
    <row r="11">
      <c r="A11" s="1">
        <v>5.0</v>
      </c>
      <c r="B11" s="1" t="s">
        <v>12</v>
      </c>
      <c r="C11" t="str">
        <f>IFERROR(__xludf.DUMMYFUNCTION("GOOGLETRANSLATE(B11, ""fr"", ""en"")"),"Simple for beginners readers for not discourage Garcon early PC")</f>
        <v>Simple for beginners readers for not discourage Garcon early PC</v>
      </c>
    </row>
    <row r="12">
      <c r="A12" s="1">
        <v>5.0</v>
      </c>
      <c r="B12" s="1" t="s">
        <v>13</v>
      </c>
      <c r="C12" t="str">
        <f>IFERROR(__xludf.DUMMYFUNCTION("GOOGLETRANSLATE(B12, ""fr"", ""en"")"),"On Super cable mixer")</f>
        <v>On Super cable mixer</v>
      </c>
    </row>
    <row r="13">
      <c r="A13" s="1">
        <v>5.0</v>
      </c>
      <c r="B13" s="1" t="s">
        <v>14</v>
      </c>
      <c r="C13" t="str">
        <f>IFERROR(__xludf.DUMMYFUNCTION("GOOGLETRANSLATE(B13, ""fr"", ""en"")"),"very well and easy to use for middle school works well for middle school I myself bought for my son it works very well")</f>
        <v>very well and easy to use for middle school works well for middle school I myself bought for my son it works very well</v>
      </c>
    </row>
    <row r="14">
      <c r="A14" s="1">
        <v>5.0</v>
      </c>
      <c r="B14" s="1" t="s">
        <v>15</v>
      </c>
      <c r="C14" t="str">
        <f>IFERROR(__xludf.DUMMYFUNCTION("GOOGLETRANSLATE(B14, ""fr"", ""en"")"),"Great Value Jai tested for my migraines peppermint oil and it worked, happy with my purchase and the storage case is very convenient jadore")</f>
        <v>Great Value Jai tested for my migraines peppermint oil and it worked, happy with my purchase and the storage case is very convenient jadore</v>
      </c>
    </row>
    <row r="15">
      <c r="A15" s="1">
        <v>5.0</v>
      </c>
      <c r="B15" s="1" t="s">
        <v>16</v>
      </c>
      <c r="C15" t="str">
        <f>IFERROR(__xludf.DUMMYFUNCTION("GOOGLETRANSLATE(B15, ""fr"", ""en"")"),"Good This device is very satisfied, there's speed. One side is soft and easy leather cleaned, the other side is breathable net .It included a Charger and Car Charger, a practice put in the car.")</f>
        <v>Good This device is very satisfied, there's speed. One side is soft and easy leather cleaned, the other side is breathable net .It included a Charger and Car Charger, a practice put in the car.</v>
      </c>
    </row>
    <row r="16">
      <c r="A16" s="1">
        <v>5.0</v>
      </c>
      <c r="B16" s="1" t="s">
        <v>17</v>
      </c>
      <c r="C16" t="str">
        <f>IFERROR(__xludf.DUMMYFUNCTION("GOOGLETRANSLATE(B16, ""fr"", ""en"")"),"Consistent with the description, good quality consistent with the description, good quality")</f>
        <v>Consistent with the description, good quality consistent with the description, good quality</v>
      </c>
    </row>
    <row r="17">
      <c r="A17" s="1">
        <v>5.0</v>
      </c>
      <c r="B17" s="1" t="s">
        <v>18</v>
      </c>
      <c r="C17" t="str">
        <f>IFERROR(__xludf.DUMMYFUNCTION("GOOGLETRANSLATE(B17, ""fr"", ""en"")"),"Very powerful. Weight adapted, easy grip, even hold a charge. The vibrations are very powerful and effective. The 25 modes are fun, and it is simple to clean. In short, no complaints :)")</f>
        <v>Very powerful. Weight adapted, easy grip, even hold a charge. The vibrations are very powerful and effective. The 25 modes are fun, and it is simple to clean. In short, no complaints :)</v>
      </c>
    </row>
    <row r="18">
      <c r="A18" s="1">
        <v>5.0</v>
      </c>
      <c r="B18" s="1" t="s">
        <v>19</v>
      </c>
      <c r="C18" t="str">
        <f>IFERROR(__xludf.DUMMYFUNCTION("GOOGLETRANSLATE(B18, ""fr"", ""en"")"),"La Perle Rare to have always ... Feel Self effective from the first use, oral lightness you invade for happiness never to lose that nice healthy mouth sensation and free of impurities. All these years looking for something to clean my tongue, make it pink"&amp;", brushing the latter, with various products etc ... This is the product I needed, thank you to his Creator And on Amazon shop selling this product ...")</f>
        <v>La Perle Rare to have always ... Feel Self effective from the first use, oral lightness you invade for happiness never to lose that nice healthy mouth sensation and free of impurities. All these years looking for something to clean my tongue, make it pink, brushing the latter, with various products etc ... This is the product I needed, thank you to his Creator And on Amazon shop selling this product ...</v>
      </c>
    </row>
    <row r="19">
      <c r="A19" s="1">
        <v>5.0</v>
      </c>
      <c r="B19" s="1" t="s">
        <v>20</v>
      </c>
      <c r="C19" t="str">
        <f>IFERROR(__xludf.DUMMYFUNCTION("GOOGLETRANSLATE(B19, ""fr"", ""en"")"),"No worries, shoes conform to the description and Warerproof No worries, they are true. These are leather shoes, so stiff at first. The logo is the right size. Nothing suspicious about the shoe. Comes in a Timberland box. Tim possessor before, I'm happy to"&amp;" get me again and especially at this price. I put on the Nike 42 which corresponds to 41 Timberland (guide comparing sizes of 2 brands) so I also advise to take a size smaller.")</f>
        <v>No worries, shoes conform to the description and Warerproof No worries, they are true. These are leather shoes, so stiff at first. The logo is the right size. Nothing suspicious about the shoe. Comes in a Timberland box. Tim possessor before, I'm happy to get me again and especially at this price. I put on the Nike 42 which corresponds to 41 Timberland (guide comparing sizes of 2 brands) so I also advise to take a size smaller.</v>
      </c>
    </row>
    <row r="20">
      <c r="A20" s="1">
        <v>5.0</v>
      </c>
      <c r="B20" s="1" t="s">
        <v>21</v>
      </c>
      <c r="C20" t="str">
        <f>IFERROR(__xludf.DUMMYFUNCTION("GOOGLETRANSLATE(B20, ""fr"", ""en"")"),"Bluetooth Earpiece without queue, Willful &lt;div id = ""video-block-RMY88ODQAX96W"" class = ""a-section-spacing-small in-spacing-top mini video-block""&gt; &lt;/ div&gt; &lt;input type = ""hidden ""name ="" ""value ="" https://images-eu.ssl-images-amazon.com/images/I/C"&amp;"1eGUu2XbaS.mp4 ""class ="" video-url ""&gt; &lt;input type ="" hidden ""name ="" ""value ="" https://images-eu.ssl-images-amazon.com/images/I/91D79GluimS.png ""class ="" video-slate-img-url ""&gt; &amp; nbsp; I bought these headphones because the my phone port stops w"&amp;"orking m, well these headphones are fine. These headphones take the load well the song is more clear I did not care for the calls they have a built-in microphone. I'm really happy with my purchase and highly recommend. In the delivery I received it in 24 "&amp;"hours.")</f>
        <v>Bluetooth Earpiece without queue, Willful &lt;div id = "video-block-RMY88ODQAX96W" class = "a-section-spacing-small in-spacing-top mini video-block"&gt; &lt;/ div&gt; &lt;input type = "hidden "name =" "value =" https://images-eu.ssl-images-amazon.com/images/I/C1eGUu2XbaS.mp4 "class =" video-url "&gt; &lt;input type =" hidden "name =" "value =" https://images-eu.ssl-images-amazon.com/images/I/91D79GluimS.png "class =" video-slate-img-url "&gt; &amp; nbsp; I bought these headphones because the my phone port stops working m, well these headphones are fine. These headphones take the load well the song is more clear I did not care for the calls they have a built-in microphone. I'm really happy with my purchase and highly recommend. In the delivery I received it in 24 hours.</v>
      </c>
    </row>
    <row r="21">
      <c r="A21" s="1">
        <v>5.0</v>
      </c>
      <c r="B21" s="1" t="s">
        <v>22</v>
      </c>
      <c r="C21" t="str">
        <f>IFERROR(__xludf.DUMMYFUNCTION("GOOGLETRANSLATE(B21, ""fr"", ""en"")"),"Indispensable Excellent product! Convenient and easy to use ... I pass by me ^^")</f>
        <v>Indispensable Excellent product! Convenient and easy to use ... I pass by me ^^</v>
      </c>
    </row>
    <row r="22">
      <c r="A22" s="1">
        <v>2.0</v>
      </c>
      <c r="B22" s="1" t="s">
        <v>23</v>
      </c>
      <c r="C22" t="str">
        <f>IFERROR(__xludf.DUMMYFUNCTION("GOOGLETRANSLATE(B22, ""fr"", ""en"")"),"gadget gift idea is nice, but the quality slippers and even the cover is not qualitative. But the effect was present there!")</f>
        <v>gadget gift idea is nice, but the quality slippers and even the cover is not qualitative. But the effect was present there!</v>
      </c>
    </row>
    <row r="23">
      <c r="A23" s="1">
        <v>1.0</v>
      </c>
      <c r="B23" s="1" t="s">
        <v>24</v>
      </c>
      <c r="C23" t="str">
        <f>IFERROR(__xludf.DUMMYFUNCTION("GOOGLETRANSLATE(B23, ""fr"", ""en"")"),"Not terrible exact Size Matter - not practical because of the dust. They get dirty easily and can be cleaned very easily. Price - a bit expensive for such finishes - disappointed because normally produced well worked. Already damaged because of finishes -"&amp;" after just two months of use")</f>
        <v>Not terrible exact Size Matter - not practical because of the dust. They get dirty easily and can be cleaned very easily. Price - a bit expensive for such finishes - disappointed because normally produced well worked. Already damaged because of finishes - after just two months of use</v>
      </c>
    </row>
    <row r="24">
      <c r="A24" s="1">
        <v>3.0</v>
      </c>
      <c r="B24" s="1" t="s">
        <v>25</v>
      </c>
      <c r="C24" t="str">
        <f>IFERROR(__xludf.DUMMYFUNCTION("GOOGLETRANSLATE(B24, ""fr"", ""en"")"),"shoes like slippers! I have problems with a foot (onion), so it takes me very soft shoes. With these (I had tried in stores before) I have no douleur.C'est pure pleasure of souplesse.Je love them for that. However, the sole is a little lighter and not sop"&amp;"histicated. What makes a summer shoe a little lightly.")</f>
        <v>shoes like slippers! I have problems with a foot (onion), so it takes me very soft shoes. With these (I had tried in stores before) I have no douleur.C'est pure pleasure of souplesse.Je love them for that. However, the sole is a little lighter and not sophisticated. What makes a summer shoe a little lightly.</v>
      </c>
    </row>
    <row r="25">
      <c r="A25" s="1">
        <v>4.0</v>
      </c>
      <c r="B25" s="1" t="s">
        <v>26</v>
      </c>
      <c r="C25" t="str">
        <f>IFERROR(__xludf.DUMMYFUNCTION("GOOGLETRANSLATE(B25, ""fr"", ""en"")"),"Good socks I wear them for a year when it's hot, and they have aged well. No pilling, no holes, no discoloration. 4 stars because of the composition (65% cotton), which may make them a little uncomfortable.")</f>
        <v>Good socks I wear them for a year when it's hot, and they have aged well. No pilling, no holes, no discoloration. 4 stars because of the composition (65% cotton), which may make them a little uncomfortable.</v>
      </c>
    </row>
    <row r="26">
      <c r="A26" s="1">
        <v>4.0</v>
      </c>
      <c r="B26" s="1" t="s">
        <v>27</v>
      </c>
      <c r="C26" t="str">
        <f>IFERROR(__xludf.DUMMYFUNCTION("GOOGLETRANSLATE(B26, ""fr"", ""en"")"),"Convenient for trips and night awakenings metering boxes handy for outings because avoids carry whole milk pot well as awakenings at night as possible to go fast when you're tired and baby crying for his bottle. For the moment I have set maximum 6 doses b"&amp;"ecause baby has not yet reached the 9 indicated dose max; but the capacity does allow to + 6 doses. The spout is very useful because avoids reverse side. The boxes are easy to clean and dry, so far they have never loosened during transport. The only drawb"&amp;"ack is that it must maintain the right boxes for the fit and well screwed together. Except as value therefore satisfied the purchase price.")</f>
        <v>Convenient for trips and night awakenings metering boxes handy for outings because avoids carry whole milk pot well as awakenings at night as possible to go fast when you're tired and baby crying for his bottle. For the moment I have set maximum 6 doses because baby has not yet reached the 9 indicated dose max; but the capacity does allow to + 6 doses. The spout is very useful because avoids reverse side. The boxes are easy to clean and dry, so far they have never loosened during transport. The only drawback is that it must maintain the right boxes for the fit and well screwed together. Except as value therefore satisfied the purchase price.</v>
      </c>
    </row>
    <row r="27">
      <c r="A27" s="1">
        <v>4.0</v>
      </c>
      <c r="B27" s="1" t="s">
        <v>28</v>
      </c>
      <c r="C27" t="str">
        <f>IFERROR(__xludf.DUMMYFUNCTION("GOOGLETRANSLATE(B27, ""fr"", ""en"")"),"Comfortable Good buy, however, requires the heat for three to four minutes to get the right température.je took it out of the microwave every minute to mix the seeds and prevent burning.")</f>
        <v>Comfortable Good buy, however, requires the heat for three to four minutes to get the right température.je took it out of the microwave every minute to mix the seeds and prevent burning.</v>
      </c>
    </row>
    <row r="28">
      <c r="A28" s="1">
        <v>4.0</v>
      </c>
      <c r="B28" s="1" t="s">
        <v>29</v>
      </c>
      <c r="C28" t="str">
        <f>IFERROR(__xludf.DUMMYFUNCTION("GOOGLETRANSLATE(B28, ""fr"", ""en"")"),"Small but nice Very very small very discreet. But pretty.")</f>
        <v>Small but nice Very very small very discreet. But pretty.</v>
      </c>
    </row>
    <row r="29">
      <c r="A29" s="1">
        <v>5.0</v>
      </c>
      <c r="B29" s="1" t="s">
        <v>30</v>
      </c>
      <c r="C29" t="str">
        <f>IFERROR(__xludf.DUMMYFUNCTION("GOOGLETRANSLATE(B29, ""fr"", ""en"")"),"Very good product Good product - sending fast - I recommend")</f>
        <v>Very good product Good product - sending fast - I recommend</v>
      </c>
    </row>
    <row r="30">
      <c r="A30" s="1">
        <v>5.0</v>
      </c>
      <c r="B30" s="1" t="s">
        <v>31</v>
      </c>
      <c r="C30" t="str">
        <f>IFERROR(__xludf.DUMMYFUNCTION("GOOGLETRANSLATE(B30, ""fr"", ""en"")"),"To my great job not heavy and very convenient means Super great heavy and not very well adapted to my ear")</f>
        <v>To my great job not heavy and very convenient means Super great heavy and not very well adapted to my ear</v>
      </c>
    </row>
    <row r="31">
      <c r="A31" s="1">
        <v>5.0</v>
      </c>
      <c r="B31" s="1" t="s">
        <v>32</v>
      </c>
      <c r="C31" t="str">
        <f>IFERROR(__xludf.DUMMYFUNCTION("GOOGLETRANSLATE(B31, ""fr"", ""en"")"),"I recommend Gift which made its effect! Very good sound, comfortable ear. Nothing to say I highly recommend it!")</f>
        <v>I recommend Gift which made its effect! Very good sound, comfortable ear. Nothing to say I highly recommend it!</v>
      </c>
    </row>
    <row r="32">
      <c r="A32" s="1">
        <v>5.0</v>
      </c>
      <c r="B32" s="1" t="s">
        <v>33</v>
      </c>
      <c r="C32" t="str">
        <f>IFERROR(__xludf.DUMMYFUNCTION("GOOGLETRANSLATE(B32, ""fr"", ""en"")"),"Perfect Very good product. It is perfect for the neck or skull back. I really recommend")</f>
        <v>Perfect Very good product. It is perfect for the neck or skull back. I really recommend</v>
      </c>
    </row>
    <row r="33">
      <c r="A33" s="1">
        <v>5.0</v>
      </c>
      <c r="B33" s="1" t="s">
        <v>34</v>
      </c>
      <c r="C33" t="str">
        <f>IFERROR(__xludf.DUMMYFUNCTION("GOOGLETRANSLATE(B33, ""fr"", ""en"")"),"Flawless Very nice product, purchased version of ""wood"" the device is plastic with a wood aesthetic appearance. This diffuser is very effective and the game very visually pleasing light")</f>
        <v>Flawless Very nice product, purchased version of "wood" the device is plastic with a wood aesthetic appearance. This diffuser is very effective and the game very visually pleasing light</v>
      </c>
    </row>
    <row r="34">
      <c r="A34" s="1">
        <v>5.0</v>
      </c>
      <c r="B34" s="1" t="s">
        <v>35</v>
      </c>
      <c r="C34" t="str">
        <f>IFERROR(__xludf.DUMMYFUNCTION("GOOGLETRANSLATE(B34, ""fr"", ""en"")"),"Perfect is perfect very beautiful and elegant I have been able to offer a wrist adornment necklace Christmas. Mom love it is beautiful to wear. I recommend it without hesitation.")</f>
        <v>Perfect is perfect very beautiful and elegant I have been able to offer a wrist adornment necklace Christmas. Mom love it is beautiful to wear. I recommend it without hesitation.</v>
      </c>
    </row>
    <row r="35">
      <c r="A35" s="1">
        <v>5.0</v>
      </c>
      <c r="B35" s="1" t="s">
        <v>36</v>
      </c>
      <c r="C35" t="str">
        <f>IFERROR(__xludf.DUMMYFUNCTION("GOOGLETRANSLATE(B35, ""fr"", ""en"")"),"Pleasantly surprised I have a -brachiale neuralgia. With stress and anxiety after a day of work I need to relieve my neck and trapezius muscles. I bought this rug reading the reviews. When I test the first time for 30 minutes I have not felt the sensation"&amp;" of well being. But from the second time I was overwhelmed by an intense feeling of well being to have a broad smile. For me it's mostly the cushion that I appreciate the most. However it is the carpet does not reach the trapezoids. Il.y has un.vide betwe"&amp;"en the cushion and carpet. So I place a small pillow underneath. In addition, the carpet is not wide enough. My arms do not benefit. In any case it is a discovery bonne.n especially since I was very skeptical.")</f>
        <v>Pleasantly surprised I have a -brachiale neuralgia. With stress and anxiety after a day of work I need to relieve my neck and trapezius muscles. I bought this rug reading the reviews. When I test the first time for 30 minutes I have not felt the sensation of well being. But from the second time I was overwhelmed by an intense feeling of well being to have a broad smile. For me it's mostly the cushion that I appreciate the most. However it is the carpet does not reach the trapezoids. Il.y has un.vide between the cushion and carpet. So I place a small pillow underneath. In addition, the carpet is not wide enough. My arms do not benefit. In any case it is a discovery bonne.n especially since I was very skeptical.</v>
      </c>
    </row>
    <row r="36">
      <c r="A36" s="1">
        <v>5.0</v>
      </c>
      <c r="B36" s="1" t="s">
        <v>37</v>
      </c>
      <c r="C36" t="str">
        <f>IFERROR(__xludf.DUMMYFUNCTION("GOOGLETRANSLATE(B36, ""fr"", ""en"")"),"very happy These sealing discs can be transported empty and sterile bottles or containing baby milk with a ring and not with the nipple. Moreover, these drives are designed to fit all types of bottles Advent (old and new model), while the former do not go"&amp;" on natural models. Thus we can carry the bottle quietly in the diaper bag until the warm up for giving a baby. I am very satisfied and recommend it to all moms who like to walk with their baby.")</f>
        <v>very happy These sealing discs can be transported empty and sterile bottles or containing baby milk with a ring and not with the nipple. Moreover, these drives are designed to fit all types of bottles Advent (old and new model), while the former do not go on natural models. Thus we can carry the bottle quietly in the diaper bag until the warm up for giving a baby. I am very satisfied and recommend it to all moms who like to walk with their baby.</v>
      </c>
    </row>
    <row r="37">
      <c r="A37" s="1">
        <v>5.0</v>
      </c>
      <c r="B37" s="1" t="s">
        <v>38</v>
      </c>
      <c r="C37" t="str">
        <f>IFERROR(__xludf.DUMMYFUNCTION("GOOGLETRANSLATE(B37, ""fr"", ""en"")"),"Perfect!!! Great value for money, I am highly satisfied with the product and the speed of delivery ...")</f>
        <v>Perfect!!! Great value for money, I am highly satisfied with the product and the speed of delivery ...</v>
      </c>
    </row>
    <row r="38">
      <c r="A38" s="1">
        <v>5.0</v>
      </c>
      <c r="B38" s="1" t="s">
        <v>39</v>
      </c>
      <c r="C38" t="str">
        <f>IFERROR(__xludf.DUMMYFUNCTION("GOOGLETRANSLATE(B38, ""fr"", ""en"")"),"Paper of Armenia Paris' La Rose This nifty little notebook (8 x 5.5 cm) carries the scent of incense, a rose scent added to that of benzoin. It is in a dozen layers, each pre-cut into three strips. Simply detach one, fold it accordion, gently put the fire"&amp;" and blow over quickly to extinguish the flame. The paper should smolder in a saucer. Between the bottom of the support and the paper, I have small pebble glass. Thus, the paper burns better, in full. He comes to the end of difficult to remove odors. Thos"&amp;"e of a raclette eg 'The brown leaves give off an aroma of rose. As well enjoy simply by storing them in the linen closet. By burning it fades while spreading the delicate flowery effluvium. The volatilized odors, I open large windows. Nothing beats the gr"&amp;"eat outside air for ventilation of an interior. The scent of residue remains when one is in its immediate vicinity. Do not hesitate to make a turn in organic stores, drugstore occasionally. It is found easily for less than three euros. This is an old way,"&amp;" very simple, ingenious, efficient, economical, to flavor and / or clean rooms. The only drawback: strong enough, it is not to everyone's liking. If you do not like the scent of roses Paper triple Armenia, the original. &lt;A data-hook = ""product-link-linke"&amp;"d"" class = ""a-link-normal"" href = ""/ PAPER-ARMENIA-TRIPLE-book-of-12 / dp / B00ECV0S1Y / ref = cm_cr_getr_d_rvw_txt? Ie = UTF8"" &gt; PAPER ARMENIA TRIPLE book 12 &lt;/a&gt; Paper of Armenia, softer and less heady than the original. &lt;A data-hook = ""product-li"&amp;"nk-linked"" class = ""a-link-normal"" href = ""/ PAPER D-ARMENIA-book-of-12 greens / dp / B0017DPRVQ / ref = cm_cr_getr_d_rvw_txt? Ie = UTF8 ""&gt; PAPER oF ARMENIA 12 sheets of notebook &lt;/a&gt;")</f>
        <v>Paper of Armenia Paris' La Rose This nifty little notebook (8 x 5.5 cm) carries the scent of incense, a rose scent added to that of benzoin. It is in a dozen layers, each pre-cut into three strips. Simply detach one, fold it accordion, gently put the fire and blow over quickly to extinguish the flame. The paper should smolder in a saucer. Between the bottom of the support and the paper, I have small pebble glass. Thus, the paper burns better, in full. He comes to the end of difficult to remove odors. Those of a raclette eg 'The brown leaves give off an aroma of rose. As well enjoy simply by storing them in the linen closet. By burning it fades while spreading the delicate flowery effluvium. The volatilized odors, I open large windows. Nothing beats the great outside air for ventilation of an interior. The scent of residue remains when one is in its immediate vicinity. Do not hesitate to make a turn in organic stores, drugstore occasionally. It is found easily for less than three euros. This is an old way, very simple, ingenious, efficient, economical, to flavor and / or clean rooms. The only drawback: strong enough, it is not to everyone's liking. If you do not like the scent of roses Paper triple Armenia, the original. &lt;A data-hook = "product-link-linked" class = "a-link-normal" href = "/ PAPER-ARMENIA-TRIPLE-book-of-12 / dp / B00ECV0S1Y / ref = cm_cr_getr_d_rvw_txt? Ie = UTF8" &gt; PAPER ARMENIA TRIPLE book 12 &lt;/a&gt; Paper of Armenia, softer and less heady than the original. &lt;A data-hook = "product-link-linked" class = "a-link-normal" href = "/ PAPER D-ARMENIA-book-of-12 greens / dp / B0017DPRVQ / ref = cm_cr_getr_d_rvw_txt? Ie = UTF8 "&gt; PAPER oF ARMENIA 12 sheets of notebook &lt;/a&gt;</v>
      </c>
    </row>
    <row r="39">
      <c r="A39" s="1">
        <v>5.0</v>
      </c>
      <c r="B39" s="1" t="s">
        <v>40</v>
      </c>
      <c r="C39" t="str">
        <f>IFERROR(__xludf.DUMMYFUNCTION("GOOGLETRANSLATE(B39, ""fr"", ""en"")"),"Meets Dress classy, ​​good size greenhouse")</f>
        <v>Meets Dress classy, ​​good size greenhouse</v>
      </c>
    </row>
    <row r="40">
      <c r="A40" s="1">
        <v>5.0</v>
      </c>
      <c r="B40" s="1" t="s">
        <v>41</v>
      </c>
      <c r="C40" t="str">
        <f>IFERROR(__xludf.DUMMYFUNCTION("GOOGLETRANSLATE(B40, ""fr"", ""en"")"),"Very good quality Very good warned however that slightly small size anyway for the top")</f>
        <v>Very good quality Very good warned however that slightly small size anyway for the top</v>
      </c>
    </row>
    <row r="41">
      <c r="A41" s="1">
        <v>5.0</v>
      </c>
      <c r="B41" s="1" t="s">
        <v>42</v>
      </c>
      <c r="C41" t="str">
        <f>IFERROR(__xludf.DUMMYFUNCTION("GOOGLETRANSLATE(B41, ""fr"", ""en"")"),"bluetooth headphones Seeing everyone with wireless headphones I wanted to try. I chose the black color, they are beautiful and I love the texture. The sound quality is ok for the price, I had a little trouble with the touch at first but now it's good.")</f>
        <v>bluetooth headphones Seeing everyone with wireless headphones I wanted to try. I chose the black color, they are beautiful and I love the texture. The sound quality is ok for the price, I had a little trouble with the touch at first but now it's good.</v>
      </c>
    </row>
    <row r="42">
      <c r="A42" s="1">
        <v>5.0</v>
      </c>
      <c r="B42" s="1" t="s">
        <v>43</v>
      </c>
      <c r="C42" t="str">
        <f>IFERROR(__xludf.DUMMYFUNCTION("GOOGLETRANSLATE(B42, ""fr"", ""en"")"),"Basic but effective Easy to install just a black cartridge and a color")</f>
        <v>Basic but effective Easy to install just a black cartridge and a color</v>
      </c>
    </row>
    <row r="43">
      <c r="A43" s="1">
        <v>5.0</v>
      </c>
      <c r="B43" s="1" t="s">
        <v>44</v>
      </c>
      <c r="C43" t="str">
        <f>IFERROR(__xludf.DUMMYFUNCTION("GOOGLETRANSLATE(B43, ""fr"", ""en"")"),"Produced at the top I am very satisfied with this product. I am delighted by its quality and means they can work in programming level for my son. I highly recommend this product as a solid and as much for its price / quality ratio.")</f>
        <v>Produced at the top I am very satisfied with this product. I am delighted by its quality and means they can work in programming level for my son. I highly recommend this product as a solid and as much for its price / quality ratio.</v>
      </c>
    </row>
    <row r="44">
      <c r="A44" s="1">
        <v>2.0</v>
      </c>
      <c r="B44" s="1" t="s">
        <v>45</v>
      </c>
      <c r="C44" t="str">
        <f>IFERROR(__xludf.DUMMYFUNCTION("GOOGLETRANSLATE(B44, ""fr"", ""en"")"),"Being good in it is not the qua She too bad his foot")</f>
        <v>Being good in it is not the qua She too bad his foot</v>
      </c>
    </row>
    <row r="45">
      <c r="A45" s="1">
        <v>1.0</v>
      </c>
      <c r="B45" s="1" t="s">
        <v>46</v>
      </c>
      <c r="C45" t="str">
        <f>IFERROR(__xludf.DUMMYFUNCTION("GOOGLETRANSLATE(B45, ""fr"", ""en"")"),"Scam I have received one of 5 reams of paper scam huge. The photo is against cardboard 5x500 sheets, it is not up to me to tell me that the picture of the product shown is not the product. pathetic and incompetent company.")</f>
        <v>Scam I have received one of 5 reams of paper scam huge. The photo is against cardboard 5x500 sheets, it is not up to me to tell me that the picture of the product shown is not the product. pathetic and incompetent company.</v>
      </c>
    </row>
    <row r="46">
      <c r="A46" s="1">
        <v>3.0</v>
      </c>
      <c r="B46" s="1" t="s">
        <v>47</v>
      </c>
      <c r="C46" t="str">
        <f>IFERROR(__xludf.DUMMYFUNCTION("GOOGLETRANSLATE(B46, ""fr"", ""en"")"),"Perfect to start. Very good package to start with our baby cabbage and decor is nice !! Not worth taking boxes with more bottles to start.")</f>
        <v>Perfect to start. Very good package to start with our baby cabbage and decor is nice !! Not worth taking boxes with more bottles to start.</v>
      </c>
    </row>
    <row r="47">
      <c r="A47" s="1">
        <v>4.0</v>
      </c>
      <c r="B47" s="1" t="s">
        <v>48</v>
      </c>
      <c r="C47" t="str">
        <f>IFERROR(__xludf.DUMMYFUNCTION("GOOGLETRANSLATE(B47, ""fr"", ""en"")"),"good quality ! for proffessionellles reason ..")</f>
        <v>good quality ! for proffessionellles reason ..</v>
      </c>
    </row>
    <row r="48">
      <c r="A48" s="1">
        <v>4.0</v>
      </c>
      <c r="B48" s="1" t="s">
        <v>49</v>
      </c>
      <c r="C48" t="str">
        <f>IFERROR(__xludf.DUMMYFUNCTION("GOOGLETRANSLATE(B48, ""fr"", ""en"")"),"Good product good product in relation to the quality and price.")</f>
        <v>Good product good product in relation to the quality and price.</v>
      </c>
    </row>
    <row r="49">
      <c r="A49" s="1">
        <v>4.0</v>
      </c>
      <c r="B49" s="1" t="s">
        <v>50</v>
      </c>
      <c r="C49" t="str">
        <f>IFERROR(__xludf.DUMMYFUNCTION("GOOGLETRANSLATE(B49, ""fr"", ""en"")"),"Fast delivery, nice shoes to wear ...... and low price. Comfortable shoes at low prices. ...")</f>
        <v>Fast delivery, nice shoes to wear ...... and low price. Comfortable shoes at low prices. ...</v>
      </c>
    </row>
    <row r="50">
      <c r="A50" s="1">
        <v>4.0</v>
      </c>
      <c r="B50" s="1" t="s">
        <v>51</v>
      </c>
      <c r="C50" t="str">
        <f>IFERROR(__xludf.DUMMYFUNCTION("GOOGLETRANSLATE(B50, ""fr"", ""en"")"),"Quite a bit big but nice")</f>
        <v>Quite a bit big but nice</v>
      </c>
    </row>
    <row r="51">
      <c r="A51" s="1">
        <v>5.0</v>
      </c>
      <c r="B51" s="1" t="s">
        <v>52</v>
      </c>
      <c r="C51" t="str">
        <f>IFERROR(__xludf.DUMMYFUNCTION("GOOGLETRANSLATE(B51, ""fr"", ""en"")"),"SOOTHING MOISTURE AND CORRECTED DEFECTS Ideal when you have imperfections due to dry skin. In an application in the evening, they are gone !! Please note that this oil stain clothing and bedding irreversibly and that's the only negative I found ... I reco"&amp;"mmend this purchase, which for me is perfect for me.")</f>
        <v>SOOTHING MOISTURE AND CORRECTED DEFECTS Ideal when you have imperfections due to dry skin. In an application in the evening, they are gone !! Please note that this oil stain clothing and bedding irreversibly and that's the only negative I found ... I recommend this purchase, which for me is perfect for me.</v>
      </c>
    </row>
    <row r="52">
      <c r="A52" s="1">
        <v>5.0</v>
      </c>
      <c r="B52" s="1" t="s">
        <v>53</v>
      </c>
      <c r="C52" t="str">
        <f>IFERROR(__xludf.DUMMYFUNCTION("GOOGLETRANSLATE(B52, ""fr"", ""en"")"),"The article description Ras")</f>
        <v>The article description Ras</v>
      </c>
    </row>
    <row r="53">
      <c r="A53" s="1">
        <v>5.0</v>
      </c>
      <c r="B53" s="1" t="s">
        <v>54</v>
      </c>
      <c r="C53" t="str">
        <f>IFERROR(__xludf.DUMMYFUNCTION("GOOGLETRANSLATE(B53, ""fr"", ""en"")"),"Glad I ordered the nipple is beautiful I recommend it to all !! And I want to know if I recommend a second are that I have a different color than I have because I have to have a still afraid I love orange purple thank you a pacifier")</f>
        <v>Glad I ordered the nipple is beautiful I recommend it to all !! And I want to know if I recommend a second are that I have a different color than I have because I have to have a still afraid I love orange purple thank you a pacifier</v>
      </c>
    </row>
    <row r="54">
      <c r="A54" s="1">
        <v>5.0</v>
      </c>
      <c r="B54" s="1" t="s">
        <v>55</v>
      </c>
      <c r="C54" t="str">
        <f>IFERROR(__xludf.DUMMYFUNCTION("GOOGLETRANSLATE(B54, ""fr"", ""en"")"),"Very happy very satisfied with my product we do come back regularly. So far we have always been pleased with our orders.")</f>
        <v>Very happy very satisfied with my product we do come back regularly. So far we have always been pleased with our orders.</v>
      </c>
    </row>
    <row r="55">
      <c r="A55" s="1">
        <v>5.0</v>
      </c>
      <c r="B55" s="1" t="s">
        <v>56</v>
      </c>
      <c r="C55" t="str">
        <f>IFERROR(__xludf.DUMMYFUNCTION("GOOGLETRANSLATE(B55, ""fr"", ""en"")"),"Very good helmet. Wonderful wireless headset. First time that I use, I do not change for a wireless headset.")</f>
        <v>Very good helmet. Wonderful wireless headset. First time that I use, I do not change for a wireless headset.</v>
      </c>
    </row>
    <row r="56">
      <c r="A56" s="1">
        <v>5.0</v>
      </c>
      <c r="B56" s="1" t="s">
        <v>57</v>
      </c>
      <c r="C56" t="str">
        <f>IFERROR(__xludf.DUMMYFUNCTION("GOOGLETRANSLATE(B56, ""fr"", ""en"")"),"The style I love the top super-light, pleasant to walk, you would not think of safety shoes, too well with gauchos")</f>
        <v>The style I love the top super-light, pleasant to walk, you would not think of safety shoes, too well with gauchos</v>
      </c>
    </row>
    <row r="57">
      <c r="A57" s="1">
        <v>5.0</v>
      </c>
      <c r="B57" s="1" t="s">
        <v>58</v>
      </c>
      <c r="C57" t="str">
        <f>IFERROR(__xludf.DUMMYFUNCTION("GOOGLETRANSLATE(B57, ""fr"", ""en"")"),"These good perfume perfumes smell good smell They have a very good performance. Also the bottles are actually very good super easy safe door was everywhere")</f>
        <v>These good perfume perfumes smell good smell They have a very good performance. Also the bottles are actually very good super easy safe door was everywhere</v>
      </c>
    </row>
    <row r="58">
      <c r="A58" s="1">
        <v>5.0</v>
      </c>
      <c r="B58" s="1" t="s">
        <v>59</v>
      </c>
      <c r="C58" t="str">
        <f>IFERROR(__xludf.DUMMYFUNCTION("GOOGLETRANSLATE(B58, ""fr"", ""en"")"),"TOP Great value for money")</f>
        <v>TOP Great value for money</v>
      </c>
    </row>
    <row r="59">
      <c r="A59" s="1">
        <v>5.0</v>
      </c>
      <c r="B59" s="1" t="s">
        <v>60</v>
      </c>
      <c r="C59" t="str">
        <f>IFERROR(__xludf.DUMMYFUNCTION("GOOGLETRANSLATE(B59, ""fr"", ""en"")"),"warm and comfortable equipped for winter with these turnovers filled. Thank you and I hope in the spring.")</f>
        <v>warm and comfortable equipped for winter with these turnovers filled. Thank you and I hope in the spring.</v>
      </c>
    </row>
    <row r="60">
      <c r="A60" s="1">
        <v>5.0</v>
      </c>
      <c r="B60" s="1" t="s">
        <v>61</v>
      </c>
      <c r="C60" t="str">
        <f>IFERROR(__xludf.DUMMYFUNCTION("GOOGLETRANSLATE(B60, ""fr"", ""en"")"),"GOOD PRODUCT Very good and economical. Adopted for many years ............")</f>
        <v>GOOD PRODUCT Very good and economical. Adopted for many years ............</v>
      </c>
    </row>
    <row r="61">
      <c r="A61" s="1">
        <v>5.0</v>
      </c>
      <c r="B61" s="1" t="s">
        <v>62</v>
      </c>
      <c r="C61" t="str">
        <f>IFERROR(__xludf.DUMMYFUNCTION("GOOGLETRANSLATE(B61, ""fr"", ""en"")"),"Good sound. Perfect for listening to the stereo, I'm not disappointed with the product.")</f>
        <v>Good sound. Perfect for listening to the stereo, I'm not disappointed with the product.</v>
      </c>
    </row>
    <row r="62">
      <c r="A62" s="1">
        <v>5.0</v>
      </c>
      <c r="B62" s="1" t="s">
        <v>63</v>
      </c>
      <c r="C62" t="str">
        <f>IFERROR(__xludf.DUMMYFUNCTION("GOOGLETRANSLATE(B62, ""fr"", ""en"")"),"awesome best sprinklers beyond dispute! practice with the small brush to the nipple; hygienic because standing stands on the edge of the sink, effective to clean and solid.")</f>
        <v>awesome best sprinklers beyond dispute! practice with the small brush to the nipple; hygienic because standing stands on the edge of the sink, effective to clean and solid.</v>
      </c>
    </row>
    <row r="63">
      <c r="A63" s="1">
        <v>5.0</v>
      </c>
      <c r="B63" s="1" t="s">
        <v>64</v>
      </c>
      <c r="C63" t="str">
        <f>IFERROR(__xludf.DUMMYFUNCTION("GOOGLETRANSLATE(B63, ""fr"", ""en"")"),"Super shoes Finally really comfortable safety footwear you'd sneakers, very light, really disappointed especially during my working 7am I walk a lot, I highly recommend.")</f>
        <v>Super shoes Finally really comfortable safety footwear you'd sneakers, very light, really disappointed especially during my working 7am I walk a lot, I highly recommend.</v>
      </c>
    </row>
    <row r="64">
      <c r="A64" s="1">
        <v>5.0</v>
      </c>
      <c r="B64" s="1" t="s">
        <v>65</v>
      </c>
      <c r="C64" t="str">
        <f>IFERROR(__xludf.DUMMYFUNCTION("GOOGLETRANSLATE(B64, ""fr"", ""en"")"),"Comfort, warmth and waterproofing proven Hue compliant and come with an extra pair of laces, red. Very appreciated, the color contrast resulting to better orient themselves in the lacing. Footwear usually of 40, but knowing that they are filled and I want"&amp;"ed to hiking socks, I opted for a size 41, and took me well. That said, once received, immediately ""baptized"" in a walk of about an hour and a half with my dog, in pouring rain. The effectiveness of anti-slip soles have also proven, not on snow but on w"&amp;"aterlogged roads, particularly muddy. It was the feeling of wearing slippers, as they are comfortable while having well kept feet warm and dry. Back from the walk, I noticed that the inside showed no moisture, dries out quickly. In conclusion, conquered b"&amp;"y these shoes, though remains to be seen what this will give life side. At your disposal for any questions, go through the ""Comment"", I will answer with pleasure.")</f>
        <v>Comfort, warmth and waterproofing proven Hue compliant and come with an extra pair of laces, red. Very appreciated, the color contrast resulting to better orient themselves in the lacing. Footwear usually of 40, but knowing that they are filled and I wanted to hiking socks, I opted for a size 41, and took me well. That said, once received, immediately "baptized" in a walk of about an hour and a half with my dog, in pouring rain. The effectiveness of anti-slip soles have also proven, not on snow but on waterlogged roads, particularly muddy. It was the feeling of wearing slippers, as they are comfortable while having well kept feet warm and dry. Back from the walk, I noticed that the inside showed no moisture, dries out quickly. In conclusion, conquered by these shoes, though remains to be seen what this will give life side. At your disposal for any questions, go through the "Comment", I will answer with pleasure.</v>
      </c>
    </row>
    <row r="65">
      <c r="A65" s="1">
        <v>5.0</v>
      </c>
      <c r="B65" s="1" t="s">
        <v>66</v>
      </c>
      <c r="C65" t="str">
        <f>IFERROR(__xludf.DUMMYFUNCTION("GOOGLETRANSLATE(B65, ""fr"", ""en"")"),"100 bags with zip closure 60x80 mm Bags qualities. solid, tight, practice. I'm not disappointed with my purchase as much as the price is really reasonable. I recommend these small zip bags.")</f>
        <v>100 bags with zip closure 60x80 mm Bags qualities. solid, tight, practice. I'm not disappointed with my purchase as much as the price is really reasonable. I recommend these small zip bags.</v>
      </c>
    </row>
    <row r="66">
      <c r="A66" s="1">
        <v>2.0</v>
      </c>
      <c r="B66" s="1" t="s">
        <v>67</v>
      </c>
      <c r="C66" t="str">
        <f>IFERROR(__xludf.DUMMYFUNCTION("GOOGLETRANSLATE(B66, ""fr"", ""en"")"),"Jacket Disappointed we would rather sweat jacket coat")</f>
        <v>Jacket Disappointed we would rather sweat jacket coat</v>
      </c>
    </row>
    <row r="67">
      <c r="A67" s="1">
        <v>1.0</v>
      </c>
      <c r="B67" s="1" t="s">
        <v>68</v>
      </c>
      <c r="C67" t="str">
        <f>IFERROR(__xludf.DUMMYFUNCTION("GOOGLETRANSLATE(B67, ""fr"", ""en"")"),"Down after 30 minutes! Out of the box, barely used and already stopped. The little that I could test machine very slow, presence sensor not reactive paper and given the not clean cut paper, before the failure, I do not think in time this machine can do th"&amp;"e job.")</f>
        <v>Down after 30 minutes! Out of the box, barely used and already stopped. The little that I could test machine very slow, presence sensor not reactive paper and given the not clean cut paper, before the failure, I do not think in time this machine can do the job.</v>
      </c>
    </row>
    <row r="68">
      <c r="A68" s="1">
        <v>3.0</v>
      </c>
      <c r="B68" s="1" t="s">
        <v>69</v>
      </c>
      <c r="C68" t="str">
        <f>IFERROR(__xludf.DUMMYFUNCTION("GOOGLETRANSLATE(B68, ""fr"", ""en"")"),"Bose very disappointing product I use for cycling actité; mowing the lawn etc .... tips hurt the ears after a temps.on still feel we will lose the sound is OK but not exceptional. Point Plus they do not completely isolate the extérieurce which is a plus w"&amp;"hen we biked through against compelled to mow the grass up the volume loud enough .Before I possessed MPOW bluethoo 20 euros.Autant say I am very disappointed for 166 € I expected another chose.Réputation Bose overrated on this produit.Mon small son to bo"&amp;"ught MPOW same system that bose with charging station 49 € .Honnétement I saw difference with the bose.Pour a 3 * prices cheaper.")</f>
        <v>Bose very disappointing product I use for cycling actité; mowing the lawn etc .... tips hurt the ears after a temps.on still feel we will lose the sound is OK but not exceptional. Point Plus they do not completely isolate the extérieurce which is a plus when we biked through against compelled to mow the grass up the volume loud enough .Before I possessed MPOW bluethoo 20 euros.Autant say I am very disappointed for 166 € I expected another chose.Réputation Bose overrated on this produit.Mon small son to bought MPOW same system that bose with charging station 49 € .Honnétement I saw difference with the bose.Pour a 3 * prices cheaper.</v>
      </c>
    </row>
    <row r="69">
      <c r="A69" s="1">
        <v>4.0</v>
      </c>
      <c r="B69" s="1" t="s">
        <v>70</v>
      </c>
      <c r="C69" t="str">
        <f>IFERROR(__xludf.DUMMYFUNCTION("GOOGLETRANSLATE(B69, ""fr"", ""en"")"),"Good product The product is what I expected, a good value for money. The sizes correspond well as colors. After 3 washes, socks pilling a little bit but at this price, I can not find much to complain about.")</f>
        <v>Good product The product is what I expected, a good value for money. The sizes correspond well as colors. After 3 washes, socks pilling a little bit but at this price, I can not find much to complain about.</v>
      </c>
    </row>
    <row r="70">
      <c r="A70" s="1">
        <v>4.0</v>
      </c>
      <c r="B70" s="1" t="s">
        <v>71</v>
      </c>
      <c r="C70" t="str">
        <f>IFERROR(__xludf.DUMMYFUNCTION("GOOGLETRANSLATE(B70, ""fr"", ""en"")"),"Nice for original creations but ... The Blopens now you're famous: plastic refill teams pencils, in which one breath to perform stenciling with a blurred effect. This box corresponds as much as everyone else in this description. But this new version offer"&amp;"s interesting new features: - a BOX which serves DESK: it keeps the drawing sheet and also serves as a pencil holder; Attention therefore well open the box without damaging it! We can then put it all stencils and achievements; - the MOBILE to manufacture "&amp;"and decorate; - multicolored GLITTER for DECOR achievements. On this point, attention glue provided to tend to flow too fast, so the flakes are ""packages"" it is better that it is an adult who applies glue. The contrast flake do not go too fast the tube,"&amp;" it's pretty easy to apply. So far, everything is rather positive, but there in my black bridge: stencils are reusable certainly, but they are not easy to clean. While it is easy to do from the ink with a cloth, a damp cloth or sponge, but as they are fra"&amp;"gile, we must be very careful not to damage them: do not let the children! Furthermore, after cleaning, the ink was hands full: even if the ink hand after rubbing two or three hands, it is still unpleasant!")</f>
        <v>Nice for original creations but ... The Blopens now you're famous: plastic refill teams pencils, in which one breath to perform stenciling with a blurred effect. This box corresponds as much as everyone else in this description. But this new version offers interesting new features: - a BOX which serves DESK: it keeps the drawing sheet and also serves as a pencil holder; Attention therefore well open the box without damaging it! We can then put it all stencils and achievements; - the MOBILE to manufacture and decorate; - multicolored GLITTER for DECOR achievements. On this point, attention glue provided to tend to flow too fast, so the flakes are "packages" it is better that it is an adult who applies glue. The contrast flake do not go too fast the tube, it's pretty easy to apply. So far, everything is rather positive, but there in my black bridge: stencils are reusable certainly, but they are not easy to clean. While it is easy to do from the ink with a cloth, a damp cloth or sponge, but as they are fragile, we must be very careful not to damage them: do not let the children! Furthermore, after cleaning, the ink was hands full: even if the ink hand after rubbing two or three hands, it is still unpleasant!</v>
      </c>
    </row>
    <row r="71">
      <c r="A71" s="1">
        <v>4.0</v>
      </c>
      <c r="B71" s="1" t="s">
        <v>72</v>
      </c>
      <c r="C71" t="str">
        <f>IFERROR(__xludf.DUMMYFUNCTION("GOOGLETRANSLATE(B71, ""fr"", ""en"")"),"Size Warning !!! Quality and consistent delivery but attention to size when ordering! For example the predicted size ""BR 37-38 (39-40 EUR)"" is actually a good EUR 37-38 !!! There is an error on the site because I think the same with another different pa"&amp;"ir Havainas controlled.")</f>
        <v>Size Warning !!! Quality and consistent delivery but attention to size when ordering! For example the predicted size "BR 37-38 (39-40 EUR)" is actually a good EUR 37-38 !!! There is an error on the site because I think the same with another different pair Havainas controlled.</v>
      </c>
    </row>
    <row r="72">
      <c r="A72" s="1">
        <v>4.0</v>
      </c>
      <c r="B72" s="1" t="s">
        <v>73</v>
      </c>
      <c r="C72" t="str">
        <f>IFERROR(__xludf.DUMMYFUNCTION("GOOGLETRANSLATE(B72, ""fr"", ""en"")"),"PRODUCT COMPLIANCE product conforms to the description - I use in the studio on keyboards. no reliability problems. exact description unsurprisingly")</f>
        <v>PRODUCT COMPLIANCE product conforms to the description - I use in the studio on keyboards. no reliability problems. exact description unsurprisingly</v>
      </c>
    </row>
    <row r="73">
      <c r="A73" s="1">
        <v>5.0</v>
      </c>
      <c r="B73" s="1" t="s">
        <v>74</v>
      </c>
      <c r="C73" t="str">
        <f>IFERROR(__xludf.DUMMYFUNCTION("GOOGLETRANSLATE(B73, ""fr"", ""en"")"),"Great value for money is at the top !!! I had one before that did not work the right side and had a sound quality during calls rather poor. With this one sound is clear and good quality. One can increase the sound from the headset, change songs when liste"&amp;"ning to music clinch hang and so on. In the end my husband stung me I'll have to buy another for me")</f>
        <v>Great value for money is at the top !!! I had one before that did not work the right side and had a sound quality during calls rather poor. With this one sound is clear and good quality. One can increase the sound from the headset, change songs when listening to music clinch hang and so on. In the end my husband stung me I'll have to buy another for me</v>
      </c>
    </row>
    <row r="74">
      <c r="A74" s="1">
        <v>5.0</v>
      </c>
      <c r="B74" s="1" t="s">
        <v>75</v>
      </c>
      <c r="C74" t="str">
        <f>IFERROR(__xludf.DUMMYFUNCTION("GOOGLETRANSLATE(B74, ""fr"", ""en"")"),"Sock very comfortable and good size. Buy to go with my white vapormax, it really is the perfect top for comfortable low sneakers. And the big plus in the evening sock residue is not everywhere on the foot which to me is very important and shows that the s"&amp;"ock and quality. In short I recommend very good sock.")</f>
        <v>Sock very comfortable and good size. Buy to go with my white vapormax, it really is the perfect top for comfortable low sneakers. And the big plus in the evening sock residue is not everywhere on the foot which to me is very important and shows that the sock and quality. In short I recommend very good sock.</v>
      </c>
    </row>
    <row r="75">
      <c r="A75" s="1">
        <v>5.0</v>
      </c>
      <c r="B75" s="1" t="s">
        <v>76</v>
      </c>
      <c r="C75" t="str">
        <f>IFERROR(__xludf.DUMMYFUNCTION("GOOGLETRANSLATE(B75, ""fr"", ""en"")"),"Baby bottle teat has soft This bottle is designed in soft plastic so that when the baby puts in the mouth that does not bother the overlooked breast mom. the grip is also very simple, my baby's accepted immediately.")</f>
        <v>Baby bottle teat has soft This bottle is designed in soft plastic so that when the baby puts in the mouth that does not bother the overlooked breast mom. the grip is also very simple, my baby's accepted immediately.</v>
      </c>
    </row>
    <row r="76">
      <c r="A76" s="1">
        <v>5.0</v>
      </c>
      <c r="B76" s="1" t="s">
        <v>77</v>
      </c>
      <c r="C76" t="str">
        <f>IFERROR(__xludf.DUMMYFUNCTION("GOOGLETRANSLATE(B76, ""fr"", ""en"")"),"Pretty pretty")</f>
        <v>Pretty pretty</v>
      </c>
    </row>
    <row r="77">
      <c r="A77" s="1">
        <v>5.0</v>
      </c>
      <c r="B77" s="1" t="s">
        <v>78</v>
      </c>
      <c r="C77" t="str">
        <f>IFERROR(__xludf.DUMMYFUNCTION("GOOGLETRANSLATE(B77, ""fr"", ""en"")"),"firm and tonic massages There are five different types of massage, with or without air pressure (5 15 mins programs). The rolls pass under the arch and the air bags inflate around the foot. One can also choose to heat. Massages are rather firm and support"&amp;"ed shiatsu and reflexology kind. The camera takes a little space by cons but not too noisy.")</f>
        <v>firm and tonic massages There are five different types of massage, with or without air pressure (5 15 mins programs). The rolls pass under the arch and the air bags inflate around the foot. One can also choose to heat. Massages are rather firm and supported shiatsu and reflexology kind. The camera takes a little space by cons but not too noisy.</v>
      </c>
    </row>
    <row r="78">
      <c r="A78" s="1">
        <v>5.0</v>
      </c>
      <c r="B78" s="1" t="s">
        <v>79</v>
      </c>
      <c r="C78" t="str">
        <f>IFERROR(__xludf.DUMMYFUNCTION("GOOGLETRANSLATE(B78, ""fr"", ""en"")"),"Compact and functional I chose this model for use in ""alarm clock"" function connected to my GSM. The BT connection is almost instantaneous, the connection is complete (USB, AUX and micro SD card). The light function is really fun and easy to use 48 diff"&amp;"erent colors and 4 modes to choose which also allows use in small pilot light or lamp of extra atmosphere. Power is typically a micro USB cable which avoids yet another specific diet. Fast delivery and consistent")</f>
        <v>Compact and functional I chose this model for use in "alarm clock" function connected to my GSM. The BT connection is almost instantaneous, the connection is complete (USB, AUX and micro SD card). The light function is really fun and easy to use 48 different colors and 4 modes to choose which also allows use in small pilot light or lamp of extra atmosphere. Power is typically a micro USB cable which avoids yet another specific diet. Fast delivery and consistent</v>
      </c>
    </row>
    <row r="79">
      <c r="A79" s="1">
        <v>5.0</v>
      </c>
      <c r="B79" s="1" t="s">
        <v>80</v>
      </c>
      <c r="C79" t="str">
        <f>IFERROR(__xludf.DUMMYFUNCTION("GOOGLETRANSLATE(B79, ""fr"", ""en"")"),"I recommend Good quality")</f>
        <v>I recommend Good quality</v>
      </c>
    </row>
    <row r="80">
      <c r="A80" s="1">
        <v>5.0</v>
      </c>
      <c r="B80" s="1" t="s">
        <v>81</v>
      </c>
      <c r="C80" t="str">
        <f>IFERROR(__xludf.DUMMYFUNCTION("GOOGLETRANSLATE(B80, ""fr"", ""en"")"),"This helmet perfect for children works very well and is adjustable to fit all heads (even adults!)")</f>
        <v>This helmet perfect for children works very well and is adjustable to fit all heads (even adults!)</v>
      </c>
    </row>
    <row r="81">
      <c r="A81" s="1">
        <v>5.0</v>
      </c>
      <c r="B81" s="1" t="s">
        <v>82</v>
      </c>
      <c r="C81" t="str">
        <f>IFERROR(__xludf.DUMMYFUNCTION("GOOGLETRANSLATE(B81, ""fr"", ""en"")"),"healthy Kettle effective at significant design I find this perfect for those looking for a BPA product at an affordable price while being drawn well. Anyway, I am very satisfied.")</f>
        <v>healthy Kettle effective at significant design I find this perfect for those looking for a BPA product at an affordable price while being drawn well. Anyway, I am very satisfied.</v>
      </c>
    </row>
    <row r="82">
      <c r="A82" s="1">
        <v>5.0</v>
      </c>
      <c r="B82" s="1" t="s">
        <v>83</v>
      </c>
      <c r="C82" t="str">
        <f>IFERROR(__xludf.DUMMYFUNCTION("GOOGLETRANSLATE(B82, ""fr"", ""en"")"),"comfortable and original shoe law great product. comfortable. easy to put on. Keeps well in front. Also perfect for paddle.")</f>
        <v>comfortable and original shoe law great product. comfortable. easy to put on. Keeps well in front. Also perfect for paddle.</v>
      </c>
    </row>
    <row r="83">
      <c r="A83" s="1">
        <v>5.0</v>
      </c>
      <c r="B83" s="1" t="s">
        <v>84</v>
      </c>
      <c r="C83" t="str">
        <f>IFERROR(__xludf.DUMMYFUNCTION("GOOGLETRANSLATE(B83, ""fr"", ""en"")"),"Running shoes do not hoard foam ---- [] No more slipping on the stones of the river, it is not at the top of the fashion haha ​​but that quest, they are effective and reassuring to walk in areas who may be at risk for sores may. (Sharp rocks, waterfalls ."&amp;"..)")</f>
        <v>Running shoes do not hoard foam ---- [] No more slipping on the stones of the river, it is not at the top of the fashion haha ​​but that quest, they are effective and reassuring to walk in areas who may be at risk for sores may. (Sharp rocks, waterfalls ...)</v>
      </c>
    </row>
    <row r="84">
      <c r="A84" s="1">
        <v>5.0</v>
      </c>
      <c r="B84" s="1" t="s">
        <v>85</v>
      </c>
      <c r="C84" t="str">
        <f>IFERROR(__xludf.DUMMYFUNCTION("GOOGLETRANSLATE(B84, ""fr"", ""en"")"),"converse very nice shoes, perfect color, as in the photo. fits with many held the converse quality recommend prize promo, really interesting")</f>
        <v>converse very nice shoes, perfect color, as in the photo. fits with many held the converse quality recommend prize promo, really interesting</v>
      </c>
    </row>
    <row r="85">
      <c r="A85" s="1">
        <v>5.0</v>
      </c>
      <c r="B85" s="1" t="s">
        <v>86</v>
      </c>
      <c r="C85" t="str">
        <f>IFERROR(__xludf.DUMMYFUNCTION("GOOGLETRANSLATE(B85, ""fr"", ""en"")"),"Excellent bluetooth headphones I received these headphones for a test. I had never used this type of device previously. Delivery was fast, the headphones are goods packed in a box. There is a detailed leaflet and in French. The commissioning during the fi"&amp;"rst use as in the following, is very simple. Pairing with my Android smartphone is made in seconds. The storage box is well designed. It is solid and firm. It serves as a mobile charger for headphones. In use, these headphones are forgotten so they are li"&amp;"ghtweight and comfortable to the ear. The sound quality is very good and it is not necessary to push too much volume to benefit from a rich bass and midrange. Yet I do not have a ""premium"" smartphone. I listened to many styles of music (classical, moder"&amp;"n, jazz, rock, film, etc.) and songs (opera, variety, pop singers to severe acute or more powerful voice). Overall, the result is still very good, although the sound quality is inferior to that of my living room speakers. However, I find that these headph"&amp;"ones are better than I used to date (wired headset). For exercise, again, they are comfortable (I practice Nordic walking). They do not fear moisture. For use in telephony, or to browse the music library is very simple and well explained in the instructio"&amp;"ns. In the end, I was pleasantly surprised by the ease of use, quality of finishes and sound output. These headphones seem to be a good compromise between price, sound quality and ease of use in everyday life.")</f>
        <v>Excellent bluetooth headphones I received these headphones for a test. I had never used this type of device previously. Delivery was fast, the headphones are goods packed in a box. There is a detailed leaflet and in French. The commissioning during the first use as in the following, is very simple. Pairing with my Android smartphone is made in seconds. The storage box is well designed. It is solid and firm. It serves as a mobile charger for headphones. In use, these headphones are forgotten so they are lightweight and comfortable to the ear. The sound quality is very good and it is not necessary to push too much volume to benefit from a rich bass and midrange. Yet I do not have a "premium" smartphone. I listened to many styles of music (classical, modern, jazz, rock, film, etc.) and songs (opera, variety, pop singers to severe acute or more powerful voice). Overall, the result is still very good, although the sound quality is inferior to that of my living room speakers. However, I find that these headphones are better than I used to date (wired headset). For exercise, again, they are comfortable (I practice Nordic walking). They do not fear moisture. For use in telephony, or to browse the music library is very simple and well explained in the instructions. In the end, I was pleasantly surprised by the ease of use, quality of finishes and sound output. These headphones seem to be a good compromise between price, sound quality and ease of use in everyday life.</v>
      </c>
    </row>
    <row r="86">
      <c r="A86" s="1">
        <v>5.0</v>
      </c>
      <c r="B86" s="1" t="s">
        <v>87</v>
      </c>
      <c r="C86" t="str">
        <f>IFERROR(__xludf.DUMMYFUNCTION("GOOGLETRANSLATE(B86, ""fr"", ""en"")"),"Although good product I'm happy with my purchase and recommend carefree happy with my purchase what! !")</f>
        <v>Although good product I'm happy with my purchase and recommend carefree happy with my purchase what! !</v>
      </c>
    </row>
    <row r="87">
      <c r="A87" s="1">
        <v>5.0</v>
      </c>
      <c r="B87" s="1" t="s">
        <v>88</v>
      </c>
      <c r="C87" t="str">
        <f>IFERROR(__xludf.DUMMYFUNCTION("GOOGLETRANSLATE(B87, ""fr"", ""en"")"),"conforms to my requests. conforms to my requests.")</f>
        <v>conforms to my requests. conforms to my requests.</v>
      </c>
    </row>
    <row r="88">
      <c r="A88" s="1">
        <v>2.0</v>
      </c>
      <c r="B88" s="1" t="s">
        <v>89</v>
      </c>
      <c r="C88" t="str">
        <f>IFERROR(__xludf.DUMMYFUNCTION("GOOGLETRANSLATE(B88, ""fr"", ""en"")"),"Disappointed If you have the habit of mam bottles with valves anticolique I would not recommend this product. When baby is drinking nipple remains ""depressed."" Shame their deco is pretty cool.")</f>
        <v>Disappointed If you have the habit of mam bottles with valves anticolique I would not recommend this product. When baby is drinking nipple remains "depressed." Shame their deco is pretty cool.</v>
      </c>
    </row>
    <row r="89">
      <c r="A89" s="1">
        <v>1.0</v>
      </c>
      <c r="B89" s="1" t="s">
        <v>90</v>
      </c>
      <c r="C89" t="str">
        <f>IFERROR(__xludf.DUMMYFUNCTION("GOOGLETRANSLATE(B89, ""fr"", ""en"")"),"Genial I l love so much that I bought the double Very elegant end it is sufficient in itself The crystal light is superb recommend ..")</f>
        <v>Genial I l love so much that I bought the double Very elegant end it is sufficient in itself The crystal light is superb recommend ..</v>
      </c>
    </row>
    <row r="90">
      <c r="A90" s="1">
        <v>3.0</v>
      </c>
      <c r="B90" s="1" t="s">
        <v>91</v>
      </c>
      <c r="C90" t="str">
        <f>IFERROR(__xludf.DUMMYFUNCTION("GOOGLETRANSLATE(B90, ""fr"", ""en"")"),"My research on Amazon was ""without elastic socks."" These socks have. In fact, I was looking for socks without elastic (because end of the day, elastic ""strangle"" the ankle and it is unpleasant to see his leg ""distorted"" there.) Amazon has listed you"&amp;"r product in the category ""without elastic ""this is why I ordered but I am disappointed.")</f>
        <v>My research on Amazon was "without elastic socks." These socks have. In fact, I was looking for socks without elastic (because end of the day, elastic "strangle" the ankle and it is unpleasant to see his leg "distorted" there.) Amazon has listed your product in the category "without elastic "this is why I ordered but I am disappointed.</v>
      </c>
    </row>
    <row r="91">
      <c r="A91" s="1">
        <v>3.0</v>
      </c>
      <c r="B91" s="1" t="s">
        <v>92</v>
      </c>
      <c r="C91" t="str">
        <f>IFERROR(__xludf.DUMMYFUNCTION("GOOGLETRANSLATE(B91, ""fr"", ""en"")"),"LITTLE GRILL Montee temperature laborious operation Works well after an initial phase that i useful")</f>
        <v>LITTLE GRILL Montee temperature laborious operation Works well after an initial phase that i useful</v>
      </c>
    </row>
    <row r="92">
      <c r="A92" s="1">
        <v>4.0</v>
      </c>
      <c r="B92" s="1" t="s">
        <v>93</v>
      </c>
      <c r="C92" t="str">
        <f>IFERROR(__xludf.DUMMYFUNCTION("GOOGLETRANSLATE(B92, ""fr"", ""en"")"),"malgrés shoes from China beautiful finish. Delivery on time and comfortable shoes.")</f>
        <v>malgrés shoes from China beautiful finish. Delivery on time and comfortable shoes.</v>
      </c>
    </row>
    <row r="93">
      <c r="A93" s="1">
        <v>4.0</v>
      </c>
      <c r="B93" s="1" t="s">
        <v>94</v>
      </c>
      <c r="C93" t="str">
        <f>IFERROR(__xludf.DUMMYFUNCTION("GOOGLETRANSLATE(B93, ""fr"", ""en"")"),"Expenses I work in a gym, it is very fresh and pleasant though a little big but")</f>
        <v>Expenses I work in a gym, it is very fresh and pleasant though a little big but</v>
      </c>
    </row>
    <row r="94">
      <c r="A94" s="1">
        <v>4.0</v>
      </c>
      <c r="B94" s="1" t="s">
        <v>95</v>
      </c>
      <c r="C94" t="str">
        <f>IFERROR(__xludf.DUMMYFUNCTION("GOOGLETRANSLATE(B94, ""fr"", ""en"")"),"Very good diffuser Diffuser very simple to use. We can choose whether we want that the LEDs are on or off. We have 2 programs, 1h or 3h. Rather convenient! In terms of design, it is very pretty! By cons, it makes a little noise.")</f>
        <v>Very good diffuser Diffuser very simple to use. We can choose whether we want that the LEDs are on or off. We have 2 programs, 1h or 3h. Rather convenient! In terms of design, it is very pretty! By cons, it makes a little noise.</v>
      </c>
    </row>
    <row r="95">
      <c r="A95" s="1">
        <v>4.0</v>
      </c>
      <c r="B95" s="1" t="s">
        <v>96</v>
      </c>
      <c r="C95" t="str">
        <f>IFERROR(__xludf.DUMMYFUNCTION("GOOGLETRANSLATE(B95, ""fr"", ""en"")"),"Compliant Compliant Product, a little late for me ... I still recommend.")</f>
        <v>Compliant Compliant Product, a little late for me ... I still recommend.</v>
      </c>
    </row>
    <row r="96">
      <c r="A96" s="1">
        <v>5.0</v>
      </c>
      <c r="B96" s="1" t="s">
        <v>97</v>
      </c>
      <c r="C96" t="str">
        <f>IFERROR(__xludf.DUMMYFUNCTION("GOOGLETRANSLATE(B96, ""fr"", ""en"")"),"Good product Good value and pleasant fragrance")</f>
        <v>Good product Good value and pleasant fragrance</v>
      </c>
    </row>
    <row r="97">
      <c r="A97" s="1">
        <v>5.0</v>
      </c>
      <c r="B97" s="1" t="s">
        <v>98</v>
      </c>
      <c r="C97" t="str">
        <f>IFERROR(__xludf.DUMMYFUNCTION("GOOGLETRANSLATE(B97, ""fr"", ""en"")"),"Great book is great! Spiral more. It is also interesting for young and old")</f>
        <v>Great book is great! Spiral more. It is also interesting for young and old</v>
      </c>
    </row>
    <row r="98">
      <c r="A98" s="1">
        <v>5.0</v>
      </c>
      <c r="B98" s="1" t="s">
        <v>99</v>
      </c>
      <c r="C98" t="str">
        <f>IFERROR(__xludf.DUMMYFUNCTION("GOOGLETRANSLATE(B98, ""fr"", ""en"")"),"Although I like the model ... baya taken as garden shoes")</f>
        <v>Although I like the model ... baya taken as garden shoes</v>
      </c>
    </row>
    <row r="99">
      <c r="A99" s="1">
        <v>5.0</v>
      </c>
      <c r="B99" s="1" t="s">
        <v>100</v>
      </c>
      <c r="C99" t="str">
        <f>IFERROR(__xludf.DUMMYFUNCTION("GOOGLETRANSLATE(B99, ""fr"", ""en"")"),"practice headbands are especially practical to hide a plunging neckline too. The material is nice but they cut still large enough so provide one size smaller if you want them to squeeze hard.")</f>
        <v>practice headbands are especially practical to hide a plunging neckline too. The material is nice but they cut still large enough so provide one size smaller if you want them to squeeze hard.</v>
      </c>
    </row>
    <row r="100">
      <c r="A100" s="1">
        <v>5.0</v>
      </c>
      <c r="B100" s="1" t="s">
        <v>101</v>
      </c>
      <c r="C100" t="str">
        <f>IFERROR(__xludf.DUMMYFUNCTION("GOOGLETRANSLATE(B100, ""fr"", ""en"")"),"Excellent value for money. Professionalism. quality loops, and punched and real money. impeccable finishes and beautiful stones. It was well worth the money.")</f>
        <v>Excellent value for money. Professionalism. quality loops, and punched and real money. impeccable finishes and beautiful stones. It was well worth the money.</v>
      </c>
    </row>
    <row r="101">
      <c r="A101" s="1">
        <v>5.0</v>
      </c>
      <c r="B101" s="1" t="s">
        <v>102</v>
      </c>
      <c r="C101" t="str">
        <f>IFERROR(__xludf.DUMMYFUNCTION("GOOGLETRANSLATE(B101, ""fr"", ""en"")"),"Returning damage because it was too large foresaw a size smaller.")</f>
        <v>Returning damage because it was too large foresaw a size smaller.</v>
      </c>
    </row>
    <row r="102">
      <c r="A102" s="1">
        <v>5.0</v>
      </c>
      <c r="B102" s="1" t="s">
        <v>103</v>
      </c>
      <c r="C102" t="str">
        <f>IFERROR(__xludf.DUMMYFUNCTION("GOOGLETRANSLATE(B102, ""fr"", ""en"")"),"Intended use for baby It does not reacting nickel pleasant fragrance Good value Warning very damaged package I had a can who fled ...")</f>
        <v>Intended use for baby It does not reacting nickel pleasant fragrance Good value Warning very damaged package I had a can who fled ...</v>
      </c>
    </row>
    <row r="103">
      <c r="A103" s="1">
        <v>5.0</v>
      </c>
      <c r="B103" s="1" t="s">
        <v>104</v>
      </c>
      <c r="C103" t="str">
        <f>IFERROR(__xludf.DUMMYFUNCTION("GOOGLETRANSLATE(B103, ""fr"", ""en"")"),"Comfortable product received quickly. Very comfortable and seemingly solid. We will see the use.")</f>
        <v>Comfortable product received quickly. Very comfortable and seemingly solid. We will see the use.</v>
      </c>
    </row>
    <row r="104">
      <c r="A104" s="1">
        <v>5.0</v>
      </c>
      <c r="B104" s="1" t="s">
        <v>105</v>
      </c>
      <c r="C104" t="str">
        <f>IFERROR(__xludf.DUMMYFUNCTION("GOOGLETRANSLATE(B104, ""fr"", ""en"")"),"not disappointed at all, unlike exactly what I wanted, perfect !!!")</f>
        <v>not disappointed at all, unlike exactly what I wanted, perfect !!!</v>
      </c>
    </row>
    <row r="105">
      <c r="A105" s="1">
        <v>5.0</v>
      </c>
      <c r="B105" s="1" t="s">
        <v>106</v>
      </c>
      <c r="C105" t="str">
        <f>IFERROR(__xludf.DUMMYFUNCTION("GOOGLETRANSLATE(B105, ""fr"", ""en"")"),"Beautiful Beautiful effect. Light. included discrete brilliant. A offer and to offer!")</f>
        <v>Beautiful Beautiful effect. Light. included discrete brilliant. A offer and to offer!</v>
      </c>
    </row>
    <row r="106">
      <c r="A106" s="1">
        <v>5.0</v>
      </c>
      <c r="B106" s="1" t="s">
        <v>107</v>
      </c>
      <c r="C106" t="str">
        <f>IFERROR(__xludf.DUMMYFUNCTION("GOOGLETRANSLATE(B106, ""fr"", ""en"")"),"Very satisfied Being a familiar brand as Clairefontaine, I think this paper is very satisfying with a true white. top")</f>
        <v>Very satisfied Being a familiar brand as Clairefontaine, I think this paper is very satisfying with a true white. top</v>
      </c>
    </row>
    <row r="107">
      <c r="A107" s="1">
        <v>5.0</v>
      </c>
      <c r="B107" s="1" t="s">
        <v>108</v>
      </c>
      <c r="C107" t="str">
        <f>IFERROR(__xludf.DUMMYFUNCTION("GOOGLETRANSLATE(B107, ""fr"", ""en"")"),"Good product, I recommend Good cut, took size L, no complaints, mold well as the picture, I recommend the color is as the picture :)")</f>
        <v>Good product, I recommend Good cut, took size L, no complaints, mold well as the picture, I recommend the color is as the picture :)</v>
      </c>
    </row>
    <row r="108">
      <c r="A108" s="1">
        <v>5.0</v>
      </c>
      <c r="B108" s="1" t="s">
        <v>109</v>
      </c>
      <c r="C108" t="str">
        <f>IFERROR(__xludf.DUMMYFUNCTION("GOOGLETRANSLATE(B108, ""fr"", ""en"")"),"super paper armeni of the rose smells very good")</f>
        <v>super paper armeni of the rose smells very good</v>
      </c>
    </row>
    <row r="109">
      <c r="A109" s="1">
        <v>5.0</v>
      </c>
      <c r="B109" s="1" t="s">
        <v>110</v>
      </c>
      <c r="C109" t="str">
        <f>IFERROR(__xludf.DUMMYFUNCTION("GOOGLETRANSLATE(B109, ""fr"", ""en"")"),"Perfect Meets description and photo, niquel! Fast delivery, received colie 1 day before the date")</f>
        <v>Perfect Meets description and photo, niquel! Fast delivery, received colie 1 day before the date</v>
      </c>
    </row>
    <row r="110">
      <c r="A110" s="1">
        <v>5.0</v>
      </c>
      <c r="B110" s="1" t="s">
        <v>111</v>
      </c>
      <c r="C110" t="str">
        <f>IFERROR(__xludf.DUMMYFUNCTION("GOOGLETRANSLATE(B110, ""fr"", ""en"")"),"city ​​bag Very good product that exactly matches the description Not disappointed with this purchase I recommend it to other!")</f>
        <v>city ​​bag Very good product that exactly matches the description Not disappointed with this purchase I recommend it to other!</v>
      </c>
    </row>
    <row r="111">
      <c r="A111" s="1">
        <v>2.0</v>
      </c>
      <c r="B111" s="1" t="s">
        <v>112</v>
      </c>
      <c r="C111" t="str">
        <f>IFERROR(__xludf.DUMMYFUNCTION("GOOGLETRANSLATE(B111, ""fr"", ""en"")"),"Comfortable but too ""&amp; nbsp; soft &amp; nbsp;"" Very comfortable and light Helas after qq uses the lateral buttresses leave already gone Aunsi that the insole")</f>
        <v>Comfortable but too "&amp; nbsp; soft &amp; nbsp;" Very comfortable and light Helas after qq uses the lateral buttresses leave already gone Aunsi that the insole</v>
      </c>
    </row>
    <row r="112">
      <c r="A112" s="1">
        <v>1.0</v>
      </c>
      <c r="B112" s="1" t="s">
        <v>113</v>
      </c>
      <c r="C112" t="str">
        <f>IFERROR(__xludf.DUMMYFUNCTION("GOOGLETRANSLATE(B112, ""fr"", ""en"")"),"Part cook ridiculous. Buy this product and very disappointed. I do not use I made a direct reference. The piece of cooked faur 3cm 1.5cm hard. No wonder the color and more. The product and not be effective. I not try to understand I made a comeback.")</f>
        <v>Part cook ridiculous. Buy this product and very disappointed. I do not use I made a direct reference. The piece of cooked faur 3cm 1.5cm hard. No wonder the color and more. The product and not be effective. I not try to understand I made a comeback.</v>
      </c>
    </row>
    <row r="113">
      <c r="A113" s="1">
        <v>3.0</v>
      </c>
      <c r="B113" s="1" t="s">
        <v>114</v>
      </c>
      <c r="C113" t="str">
        <f>IFERROR(__xludf.DUMMYFUNCTION("GOOGLETRANSLATE(B113, ""fr"", ""en"")"),"Good Very good for baby bottles up to 150ml. But more or so for my small pots, it's not the top. My son does not eat if it's warm, it's either a little bit hotter. I have to be heated in the microwave ...")</f>
        <v>Good Very good for baby bottles up to 150ml. But more or so for my small pots, it's not the top. My son does not eat if it's warm, it's either a little bit hotter. I have to be heated in the microwave ...</v>
      </c>
    </row>
    <row r="114">
      <c r="A114" s="1">
        <v>3.0</v>
      </c>
      <c r="B114" s="1" t="s">
        <v>115</v>
      </c>
      <c r="C114" t="str">
        <f>IFERROR(__xludf.DUMMYFUNCTION("GOOGLETRANSLATE(B114, ""fr"", ""en"")"),"skeptical I put only 3 * as they correspond to the description, only I find no difference that I wash or not!")</f>
        <v>skeptical I put only 3 * as they correspond to the description, only I find no difference that I wash or not!</v>
      </c>
    </row>
    <row r="115">
      <c r="A115" s="1">
        <v>4.0</v>
      </c>
      <c r="B115" s="1" t="s">
        <v>116</v>
      </c>
      <c r="C115" t="str">
        <f>IFERROR(__xludf.DUMMYFUNCTION("GOOGLETRANSLATE(B115, ""fr"", ""en"")"),"high-end headphones After using it for almost 6 months, I confirm that by headphones is excellent. Sound quality, robustness, quality of material. The only downside, if you paired your headset with a very pro MixAmp Astros, you risk to have echo problems "&amp;"in the party on ps4 with your contacts.")</f>
        <v>high-end headphones After using it for almost 6 months, I confirm that by headphones is excellent. Sound quality, robustness, quality of material. The only downside, if you paired your headset with a very pro MixAmp Astros, you risk to have echo problems in the party on ps4 with your contacts.</v>
      </c>
    </row>
    <row r="116">
      <c r="A116" s="1">
        <v>4.0</v>
      </c>
      <c r="B116" s="1" t="s">
        <v>117</v>
      </c>
      <c r="C116" t="str">
        <f>IFERROR(__xludf.DUMMYFUNCTION("GOOGLETRANSLATE(B116, ""fr"", ""en"")"),"Although Good product. A bit narrow in width for wide feet!")</f>
        <v>Although Good product. A bit narrow in width for wide feet!</v>
      </c>
    </row>
    <row r="117">
      <c r="A117" s="1">
        <v>4.0</v>
      </c>
      <c r="B117" s="1" t="s">
        <v>118</v>
      </c>
      <c r="C117" t="str">
        <f>IFERROR(__xludf.DUMMYFUNCTION("GOOGLETRANSLATE(B117, ""fr"", ""en"")"),"Too bad the quality is quite good but the size is not good .. Slightly too big .. Too bad!")</f>
        <v>Too bad the quality is quite good but the size is not good .. Slightly too big .. Too bad!</v>
      </c>
    </row>
    <row r="118">
      <c r="A118" s="1">
        <v>4.0</v>
      </c>
      <c r="B118" s="1" t="s">
        <v>119</v>
      </c>
      <c r="C118" t="str">
        <f>IFERROR(__xludf.DUMMYFUNCTION("GOOGLETRANSLATE(B118, ""fr"", ""en"")"),"Comfortable warm slippers and hot, they are useful winter months. I find that the shape is a little too strong Egyptian foot, but it's not serious.")</f>
        <v>Comfortable warm slippers and hot, they are useful winter months. I find that the shape is a little too strong Egyptian foot, but it's not serious.</v>
      </c>
    </row>
    <row r="119">
      <c r="A119" s="1">
        <v>5.0</v>
      </c>
      <c r="B119" s="1" t="s">
        <v>120</v>
      </c>
      <c r="C119" t="str">
        <f>IFERROR(__xludf.DUMMYFUNCTION("GOOGLETRANSLATE(B119, ""fr"", ""en"")"),"A great gift idea Moonstone lucky and full of reflections, earrings and a simple style that does not hurt.")</f>
        <v>A great gift idea Moonstone lucky and full of reflections, earrings and a simple style that does not hurt.</v>
      </c>
    </row>
    <row r="120">
      <c r="A120" s="1">
        <v>5.0</v>
      </c>
      <c r="B120" s="1" t="s">
        <v>121</v>
      </c>
      <c r="C120" t="str">
        <f>IFERROR(__xludf.DUMMYFUNCTION("GOOGLETRANSLATE(B120, ""fr"", ""en"")"),"Superb! This pendant is very pretty. The pearl is bright white and is carefully set with money. I am particularly satisfied with its size: it's not a tiny gem. The quality is there, it is obvious.")</f>
        <v>Superb! This pendant is very pretty. The pearl is bright white and is carefully set with money. I am particularly satisfied with its size: it's not a tiny gem. The quality is there, it is obvious.</v>
      </c>
    </row>
    <row r="121">
      <c r="A121" s="1">
        <v>5.0</v>
      </c>
      <c r="B121" s="1" t="s">
        <v>122</v>
      </c>
      <c r="C121" t="str">
        <f>IFERROR(__xludf.DUMMYFUNCTION("GOOGLETRANSLATE(B121, ""fr"", ""en"")"),"Product that does the job! Perfect for storing my new card, it's the job and the price is right. Plastic is good so you will not take no risk in buying this product.")</f>
        <v>Product that does the job! Perfect for storing my new card, it's the job and the price is right. Plastic is good so you will not take no risk in buying this product.</v>
      </c>
    </row>
    <row r="122">
      <c r="A122" s="1">
        <v>5.0</v>
      </c>
      <c r="B122" s="1" t="s">
        <v>123</v>
      </c>
      <c r="C122" t="str">
        <f>IFERROR(__xludf.DUMMYFUNCTION("GOOGLETRANSLATE(B122, ""fr"", ""en"")"),"ras very functional large gauge but that's what I was looking for")</f>
        <v>ras very functional large gauge but that's what I was looking for</v>
      </c>
    </row>
    <row r="123">
      <c r="A123" s="1">
        <v>5.0</v>
      </c>
      <c r="B123" s="1" t="s">
        <v>124</v>
      </c>
      <c r="C123" t="str">
        <f>IFERROR(__xludf.DUMMYFUNCTION("GOOGLETRANSLATE(B123, ""fr"", ""en"")"),"Really nice They look great my girls ass is already tight n awesome. This helps a lot too! Do not like that you can see through them a little bit and I really do not want it there too lol so jealous! There, she likes them because they also aspire guts.")</f>
        <v>Really nice They look great my girls ass is already tight n awesome. This helps a lot too! Do not like that you can see through them a little bit and I really do not want it there too lol so jealous! There, she likes them because they also aspire guts.</v>
      </c>
    </row>
    <row r="124">
      <c r="A124" s="1">
        <v>5.0</v>
      </c>
      <c r="B124" s="1" t="s">
        <v>125</v>
      </c>
      <c r="C124" t="str">
        <f>IFERROR(__xludf.DUMMYFUNCTION("GOOGLETRANSLATE(B124, ""fr"", ""en"")"),"All good ! Kit ideal for first baby bottles 4 bottles in 2 sizes with nipples, bottle brush, and lollipop. Perfect for a gift. I used this brand for all my children and I am fully satisfied. The large bottles are easy to clean and are dishwasher-safe. The"&amp;"ir shape is comfortable to handle and they age very well in time. All good !")</f>
        <v>All good ! Kit ideal for first baby bottles 4 bottles in 2 sizes with nipples, bottle brush, and lollipop. Perfect for a gift. I used this brand for all my children and I am fully satisfied. The large bottles are easy to clean and are dishwasher-safe. Their shape is comfortable to handle and they age very well in time. All good !</v>
      </c>
    </row>
    <row r="125">
      <c r="A125" s="1">
        <v>5.0</v>
      </c>
      <c r="B125" s="1" t="s">
        <v>126</v>
      </c>
      <c r="C125" t="str">
        <f>IFERROR(__xludf.DUMMYFUNCTION("GOOGLETRANSLATE(B125, ""fr"", ""en"")"),"Super lightweight Very nice and good size I recommend without hesitation")</f>
        <v>Super lightweight Very nice and good size I recommend without hesitation</v>
      </c>
    </row>
    <row r="126">
      <c r="A126" s="1">
        <v>5.0</v>
      </c>
      <c r="B126" s="1" t="s">
        <v>127</v>
      </c>
      <c r="C126" t="str">
        <f>IFERROR(__xludf.DUMMYFUNCTION("GOOGLETRANSLATE(B126, ""fr"", ""en"")"),"Essential for breastfed babies! 3 month old baby was found in his taste for more ... Great anticolique thought the system and the nipple which mimics the nipple.")</f>
        <v>Essential for breastfed babies! 3 month old baby was found in his taste for more ... Great anticolique thought the system and the nipple which mimics the nipple.</v>
      </c>
    </row>
    <row r="127">
      <c r="A127" s="1">
        <v>5.0</v>
      </c>
      <c r="B127" s="1" t="s">
        <v>128</v>
      </c>
      <c r="C127" t="str">
        <f>IFERROR(__xludf.DUMMYFUNCTION("GOOGLETRANSLATE(B127, ""fr"", ""en"")"),"I recommend this product Very good product easy to use, nice to be able to see things that we had not seen. Very fast delivery and the goods conform to the description and in perfect operation")</f>
        <v>I recommend this product Very good product easy to use, nice to be able to see things that we had not seen. Very fast delivery and the goods conform to the description and in perfect operation</v>
      </c>
    </row>
    <row r="128">
      <c r="A128" s="1">
        <v>5.0</v>
      </c>
      <c r="B128" s="1" t="s">
        <v>129</v>
      </c>
      <c r="C128" t="str">
        <f>IFERROR(__xludf.DUMMYFUNCTION("GOOGLETRANSLATE(B128, ""fr"", ""en"")"),"adjusting the light intensity reading light, great!")</f>
        <v>adjusting the light intensity reading light, great!</v>
      </c>
    </row>
    <row r="129">
      <c r="A129" s="1">
        <v>5.0</v>
      </c>
      <c r="B129" s="1" t="s">
        <v>130</v>
      </c>
      <c r="C129" t="str">
        <f>IFERROR(__xludf.DUMMYFUNCTION("GOOGLETRANSLATE(B129, ""fr"", ""en"")"),"Well Good Show product for my child PS: attention is a wrist for children, not for adults ...!")</f>
        <v>Well Good Show product for my child PS: attention is a wrist for children, not for adults ...!</v>
      </c>
    </row>
    <row r="130">
      <c r="A130" s="1">
        <v>5.0</v>
      </c>
      <c r="B130" s="1" t="s">
        <v>131</v>
      </c>
      <c r="C130" t="str">
        <f>IFERROR(__xludf.DUMMYFUNCTION("GOOGLETRANSLATE(B130, ""fr"", ""en"")"),"Good price / quality ratio Good product. Practical, fits perfectly in my bag")</f>
        <v>Good price / quality ratio Good product. Practical, fits perfectly in my bag</v>
      </c>
    </row>
    <row r="131">
      <c r="A131" s="1">
        <v>5.0</v>
      </c>
      <c r="B131" s="1" t="s">
        <v>132</v>
      </c>
      <c r="C131" t="str">
        <f>IFERROR(__xludf.DUMMYFUNCTION("GOOGLETRANSLATE(B131, ""fr"", ""en"")"),"Beautiful and comfortable sneakers look very nice and very comfortable side. Take a size more as shown and they go perfectly!")</f>
        <v>Beautiful and comfortable sneakers look very nice and very comfortable side. Take a size more as shown and they go perfectly!</v>
      </c>
    </row>
    <row r="132">
      <c r="A132" s="1">
        <v>5.0</v>
      </c>
      <c r="B132" s="1" t="s">
        <v>133</v>
      </c>
      <c r="C132" t="str">
        <f>IFERROR(__xludf.DUMMYFUNCTION("GOOGLETRANSLATE(B132, ""fr"", ""en"")"),"Very good quality for the price I love this hoody. J'le not feel, but when I take it off, it makes a good chill. ^^ The sleeves are too long for me (under 1m60), but it is not disturbing for the home. I think it is appropriate for the size if you take the"&amp;" right size. Personally, I took too much, but of my own accord. Overall, very pleased with my purchase.")</f>
        <v>Very good quality for the price I love this hoody. J'le not feel, but when I take it off, it makes a good chill. ^^ The sleeves are too long for me (under 1m60), but it is not disturbing for the home. I think it is appropriate for the size if you take the right size. Personally, I took too much, but of my own accord. Overall, very pleased with my purchase.</v>
      </c>
    </row>
    <row r="133">
      <c r="A133" s="1">
        <v>5.0</v>
      </c>
      <c r="B133" s="1" t="s">
        <v>134</v>
      </c>
      <c r="C133" t="str">
        <f>IFERROR(__xludf.DUMMYFUNCTION("GOOGLETRANSLATE(B133, ""fr"", ""en"")"),"PERFECT Good headphones but I can not use my cell phone on my TV just honor crackling .. this is it normal ?? A Lack of explanations based and helmet if I put 5 * More crackling everywhere I simply dropped the sound based on where the TV and mounted on hi"&amp;"s helmet impeccable !!! In addition I have it connected with my cell phone and answer a call impromptu .. Thanks it deserves 5🌟")</f>
        <v>PERFECT Good headphones but I can not use my cell phone on my TV just honor crackling .. this is it normal ?? A Lack of explanations based and helmet if I put 5 * More crackling everywhere I simply dropped the sound based on where the TV and mounted on his helmet impeccable !!! In addition I have it connected with my cell phone and answer a call impromptu .. Thanks it deserves 5🌟</v>
      </c>
    </row>
    <row r="134">
      <c r="A134" s="1">
        <v>2.0</v>
      </c>
      <c r="B134" s="1" t="s">
        <v>135</v>
      </c>
      <c r="C134" t="str">
        <f>IFERROR(__xludf.DUMMYFUNCTION("GOOGLETRANSLATE(B134, ""fr"", ""en"")"),"I do not recommend I'm sorry I'm disappointed with my purchase I find the headphones have no class is big in your ears no discretion I chose it because it is sony sound is poor me that follows a follower of his good I contact a helmet 10 € at a better qua"&amp;"lity. I wonder is it that this is really a Sony headset is made to see your inquiry Amaron")</f>
        <v>I do not recommend I'm sorry I'm disappointed with my purchase I find the headphones have no class is big in your ears no discretion I chose it because it is sony sound is poor me that follows a follower of his good I contact a helmet 10 € at a better quality. I wonder is it that this is really a Sony headset is made to see your inquiry Amaron</v>
      </c>
    </row>
    <row r="135">
      <c r="A135" s="1">
        <v>1.0</v>
      </c>
      <c r="B135" s="1" t="s">
        <v>136</v>
      </c>
      <c r="C135" t="str">
        <f>IFERROR(__xludf.DUMMYFUNCTION("GOOGLETRANSLATE(B135, ""fr"", ""en"")"),"Crap Do not walk more than a dozen times. After dismantling the mechanism, all plastic, no longer holds. A beautiful bouze in summary. The first was replaced. The second part in the trash.")</f>
        <v>Crap Do not walk more than a dozen times. After dismantling the mechanism, all plastic, no longer holds. A beautiful bouze in summary. The first was replaced. The second part in the trash.</v>
      </c>
    </row>
    <row r="136">
      <c r="A136" s="1">
        <v>1.0</v>
      </c>
      <c r="B136" s="1" t="s">
        <v>137</v>
      </c>
      <c r="C136" t="str">
        <f>IFERROR(__xludf.DUMMYFUNCTION("GOOGLETRANSLATE(B136, ""fr"", ""en"")"),"Wanderlust scratch off map No explanation for how to scratch. Very difficult to scratch with a coin, the paper tears, we must scratch like crazy. Overpriced, very bad product. Not recommended.")</f>
        <v>Wanderlust scratch off map No explanation for how to scratch. Very difficult to scratch with a coin, the paper tears, we must scratch like crazy. Overpriced, very bad product. Not recommended.</v>
      </c>
    </row>
    <row r="137">
      <c r="A137" s="1">
        <v>3.0</v>
      </c>
      <c r="B137" s="1" t="s">
        <v>138</v>
      </c>
      <c r="C137" t="str">
        <f>IFERROR(__xludf.DUMMYFUNCTION("GOOGLETRANSLATE(B137, ""fr"", ""en"")"),"Not suitable This pacifier was not suitable for our son who has always only drinks with a pacifier birth of this same brand. This may be due to breastfeeding and not the quality of the nipple. Indeed, the pacifier has too much speed for him and ""choking"&amp;""" ...")</f>
        <v>Not suitable This pacifier was not suitable for our son who has always only drinks with a pacifier birth of this same brand. This may be due to breastfeeding and not the quality of the nipple. Indeed, the pacifier has too much speed for him and "choking" ...</v>
      </c>
    </row>
    <row r="138">
      <c r="A138" s="1">
        <v>4.0</v>
      </c>
      <c r="B138" s="1" t="s">
        <v>139</v>
      </c>
      <c r="C138" t="str">
        <f>IFERROR(__xludf.DUMMYFUNCTION("GOOGLETRANSLATE(B138, ""fr"", ""en"")"),"Very Good Very nice 3 weeks ago no say door daily 8 to 10 hours light and comfortable")</f>
        <v>Very Good Very nice 3 weeks ago no say door daily 8 to 10 hours light and comfortable</v>
      </c>
    </row>
    <row r="139">
      <c r="A139" s="1">
        <v>4.0</v>
      </c>
      <c r="B139" s="1" t="s">
        <v>140</v>
      </c>
      <c r="C139" t="str">
        <f>IFERROR(__xludf.DUMMYFUNCTION("GOOGLETRANSLATE(B139, ""fr"", ""en"")"),"puma socks lovely socks that go to mid comfortable ankles. cotton in time does not wear s fast enough. for the price and I think the lot in back")</f>
        <v>puma socks lovely socks that go to mid comfortable ankles. cotton in time does not wear s fast enough. for the price and I think the lot in back</v>
      </c>
    </row>
    <row r="140">
      <c r="A140" s="1">
        <v>4.0</v>
      </c>
      <c r="B140" s="1" t="s">
        <v>141</v>
      </c>
      <c r="C140" t="str">
        <f>IFERROR(__xludf.DUMMYFUNCTION("GOOGLETRANSLATE(B140, ""fr"", ""en"")"),"well but then I think we should immediately talk about the limits of this bib heater! as any material limitations are sometimes intimidating, but here it is: it is long (about 10 minutes) for a warm milk is a shot (no 2nd heater can then pay attention lon"&amp;"g drive must ""recharge"" by boiling then!. ..) is not always the right size bib (I have several sizes and some are too large!) if everything is as it is very convenient when you leave a few hours!")</f>
        <v>well but then I think we should immediately talk about the limits of this bib heater! as any material limitations are sometimes intimidating, but here it is: it is long (about 10 minutes) for a warm milk is a shot (no 2nd heater can then pay attention long drive must "recharge" by boiling then!. ..) is not always the right size bib (I have several sizes and some are too large!) if everything is as it is very convenient when you leave a few hours!</v>
      </c>
    </row>
    <row r="141">
      <c r="A141" s="1">
        <v>4.0</v>
      </c>
      <c r="B141" s="1" t="s">
        <v>142</v>
      </c>
      <c r="C141" t="str">
        <f>IFERROR(__xludf.DUMMYFUNCTION("GOOGLETRANSLATE(B141, ""fr"", ""en"")"),"flexible and resistant design and great fun Very nice and resistant to skate, I recommend")</f>
        <v>flexible and resistant design and great fun Very nice and resistant to skate, I recommend</v>
      </c>
    </row>
    <row r="142">
      <c r="A142" s="1">
        <v>5.0</v>
      </c>
      <c r="B142" s="1" t="s">
        <v>143</v>
      </c>
      <c r="C142" t="str">
        <f>IFERROR(__xludf.DUMMYFUNCTION("GOOGLETRANSLATE(B142, ""fr"", ""en"")"),"good quality well cut trousers man, pretty colors and very good husband qualité.mon is delighted.")</f>
        <v>good quality well cut trousers man, pretty colors and very good husband qualité.mon is delighted.</v>
      </c>
    </row>
    <row r="143">
      <c r="A143" s="1">
        <v>5.0</v>
      </c>
      <c r="B143" s="1" t="s">
        <v>144</v>
      </c>
      <c r="C143" t="str">
        <f>IFERROR(__xludf.DUMMYFUNCTION("GOOGLETRANSLATE(B143, ""fr"", ""en"")"),"Very nice article sweatshirt well-cut, sober and elegant. Very comfortable, soft, warm but not stifling, it is an article which I highly recommend.")</f>
        <v>Very nice article sweatshirt well-cut, sober and elegant. Very comfortable, soft, warm but not stifling, it is an article which I highly recommend.</v>
      </c>
    </row>
    <row r="144">
      <c r="A144" s="1">
        <v>5.0</v>
      </c>
      <c r="B144" s="1" t="s">
        <v>145</v>
      </c>
      <c r="C144" t="str">
        <f>IFERROR(__xludf.DUMMYFUNCTION("GOOGLETRANSLATE(B144, ""fr"", ""en"")"),"ca glue well ras")</f>
        <v>ca glue well ras</v>
      </c>
    </row>
    <row r="145">
      <c r="A145" s="1">
        <v>5.0</v>
      </c>
      <c r="B145" s="1" t="s">
        <v>146</v>
      </c>
      <c r="C145" t="str">
        <f>IFERROR(__xludf.DUMMYFUNCTION("GOOGLETRANSLATE(B145, ""fr"", ""en"")"),"Stickers heart, round and smileys Comet super there are little large, it is very easy to take off my kids adored Have smilies. Products compliant and very satisfying.")</f>
        <v>Stickers heart, round and smileys Comet super there are little large, it is very easy to take off my kids adored Have smilies. Products compliant and very satisfying.</v>
      </c>
    </row>
    <row r="146">
      <c r="A146" s="1">
        <v>5.0</v>
      </c>
      <c r="B146" s="1" t="s">
        <v>147</v>
      </c>
      <c r="C146" t="str">
        <f>IFERROR(__xludf.DUMMYFUNCTION("GOOGLETRANSLATE(B146, ""fr"", ""en"")"),"really good. Size small. I am very happy of these booties, soft and pleasant. I size 39/40, I took 41, but the 42 could go, since I like adding a sole. Sole not essential, either. So, it's OK. Thank you.")</f>
        <v>really good. Size small. I am very happy of these booties, soft and pleasant. I size 39/40, I took 41, but the 42 could go, since I like adding a sole. Sole not essential, either. So, it's OK. Thank you.</v>
      </c>
    </row>
    <row r="147">
      <c r="A147" s="1">
        <v>5.0</v>
      </c>
      <c r="B147" s="1" t="s">
        <v>148</v>
      </c>
      <c r="C147" t="str">
        <f>IFERROR(__xludf.DUMMYFUNCTION("GOOGLETRANSLATE(B147, ""fr"", ""en"")"),"Sockette good Sockette")</f>
        <v>Sockette good Sockette</v>
      </c>
    </row>
    <row r="148">
      <c r="A148" s="1">
        <v>5.0</v>
      </c>
      <c r="B148" s="1" t="s">
        <v>149</v>
      </c>
      <c r="C148" t="str">
        <f>IFERROR(__xludf.DUMMYFUNCTION("GOOGLETRANSLATE(B148, ""fr"", ""en"")"),"Although Will test at birth")</f>
        <v>Although Will test at birth</v>
      </c>
    </row>
    <row r="149">
      <c r="A149" s="1">
        <v>5.0</v>
      </c>
      <c r="B149" s="1" t="s">
        <v>150</v>
      </c>
      <c r="C149" t="str">
        <f>IFERROR(__xludf.DUMMYFUNCTION("GOOGLETRANSLATE(B149, ""fr"", ""en"")"),"Very good product supert Although my works great")</f>
        <v>Very good product supert Although my works great</v>
      </c>
    </row>
    <row r="150">
      <c r="A150" s="1">
        <v>5.0</v>
      </c>
      <c r="B150" s="1" t="s">
        <v>151</v>
      </c>
      <c r="C150" t="str">
        <f>IFERROR(__xludf.DUMMYFUNCTION("GOOGLETRANSLATE(B150, ""fr"", ""en"")"),"Jewelry Very nice parure.conforme to the photo.")</f>
        <v>Jewelry Very nice parure.conforme to the photo.</v>
      </c>
    </row>
    <row r="151">
      <c r="A151" s="1">
        <v>5.0</v>
      </c>
      <c r="B151" s="1" t="s">
        <v>152</v>
      </c>
      <c r="C151" t="str">
        <f>IFERROR(__xludf.DUMMYFUNCTION("GOOGLETRANSLATE(B151, ""fr"", ""en"")"),"Super Super Fast I am delighted")</f>
        <v>Super Super Fast I am delighted</v>
      </c>
    </row>
    <row r="152">
      <c r="A152" s="1">
        <v>5.0</v>
      </c>
      <c r="B152" s="1" t="s">
        <v>153</v>
      </c>
      <c r="C152" t="str">
        <f>IFERROR(__xludf.DUMMYFUNCTION("GOOGLETRANSLATE(B152, ""fr"", ""en"")"),"nickel works !! I bought this blue tooth kit for my old car. it works perfectly: we hear very well our interlocutors that we also hear very well. the battery takes several days without recharging and discreet kit can be hidden behind the sun visor. I gave"&amp;" mine to my niece changing car, and I have bought one for my sister. Very good value for money")</f>
        <v>nickel works !! I bought this blue tooth kit for my old car. it works perfectly: we hear very well our interlocutors that we also hear very well. the battery takes several days without recharging and discreet kit can be hidden behind the sun visor. I gave mine to my niece changing car, and I have bought one for my sister. Very good value for money</v>
      </c>
    </row>
    <row r="153">
      <c r="A153" s="1">
        <v>5.0</v>
      </c>
      <c r="B153" s="1" t="s">
        <v>154</v>
      </c>
      <c r="C153" t="str">
        <f>IFERROR(__xludf.DUMMYFUNCTION("GOOGLETRANSLATE(B153, ""fr"", ""en"")"),"Nothing to do with phone headset. The headphones come in beautiful packaging and a handy pocket for storing. They are rechargeable using the provided USB cable and several size found there to rubber feet to suit our ear following its morphology. The headp"&amp;"hones rather tight fit, I've tested yesterday during my jogging for 1 hour. The document is in English but unfortunately getting started is easy, simply press the round button three seconds to start bluetooth sync. There are also 2 other button that can c"&amp;"hange the volume and change audio tracks, it works even with Deezer, it's perfect. In terms of sound, I am amazed !!!. The bass are present and relief sonor well balanced. The volume and also very powerful. At independence I can not say anything because I"&amp;" have not tested long enough. They also Handsfree but I have not tested nonplus. I recommend these headphones have a quality / price at the top.")</f>
        <v>Nothing to do with phone headset. The headphones come in beautiful packaging and a handy pocket for storing. They are rechargeable using the provided USB cable and several size found there to rubber feet to suit our ear following its morphology. The headphones rather tight fit, I've tested yesterday during my jogging for 1 hour. The document is in English but unfortunately getting started is easy, simply press the round button three seconds to start bluetooth sync. There are also 2 other button that can change the volume and change audio tracks, it works even with Deezer, it's perfect. In terms of sound, I am amazed !!!. The bass are present and relief sonor well balanced. The volume and also very powerful. At independence I can not say anything because I have not tested long enough. They also Handsfree but I have not tested nonplus. I recommend these headphones have a quality / price at the top.</v>
      </c>
    </row>
    <row r="154">
      <c r="A154" s="1">
        <v>5.0</v>
      </c>
      <c r="B154" s="1" t="s">
        <v>155</v>
      </c>
      <c r="C154" t="str">
        <f>IFERROR(__xludf.DUMMYFUNCTION("GOOGLETRANSLATE(B154, ""fr"", ""en"")"),"Perfect for coffee plunger Bialetti Bought it a few months ago now, replacing the filter of my coffee press Bialetti (coffee maker 3 cups) which had ripped, I'm very satisfied. It is even much better than the original Bialetti filter!")</f>
        <v>Perfect for coffee plunger Bialetti Bought it a few months ago now, replacing the filter of my coffee press Bialetti (coffee maker 3 cups) which had ripped, I'm very satisfied. It is even much better than the original Bialetti filter!</v>
      </c>
    </row>
    <row r="155">
      <c r="A155" s="1">
        <v>5.0</v>
      </c>
      <c r="B155" s="1" t="s">
        <v>156</v>
      </c>
      <c r="C155" t="str">
        <f>IFERROR(__xludf.DUMMYFUNCTION("GOOGLETRANSLATE(B155, ""fr"", ""en"")"),"Magnificent Do not shine as much in true but the collar remains still wonderful")</f>
        <v>Magnificent Do not shine as much in true but the collar remains still wonderful</v>
      </c>
    </row>
    <row r="156">
      <c r="A156" s="1">
        <v>5.0</v>
      </c>
      <c r="B156" s="1" t="s">
        <v>157</v>
      </c>
      <c r="C156" t="str">
        <f>IFERROR(__xludf.DUMMYFUNCTION("GOOGLETRANSLATE(B156, ""fr"", ""en"")"),"shapely gorgeous bag and realized I had acquired by mistake the smaller model, but I keep it as beautiful and has utility, and then saw that the size above existed. . as I found the photo very nice coffee color and strong satisfaction on cuila I resisted."&amp;" . 3 weeks to crack. So strangely they are presented as identical at the same price it myself (also very well positioned for this bag here, not the other two) actually commonalities in addition to the previously mentioned, are of course the capacity and d"&amp;"rawing. For the rest strictly, but strictly not comparable, here beautiful leather, soft touch robust as the smallest model, except for a zip I retimed, and that seems to hold blameless finish, perceived quality and auscultated upon receipt, even more per"&amp;"fect than the small model I believe 47 euros I believe, that I am very happy to have finally kept because the leather, although beautiful both are of a slightly different tone, so no duplicate. and just as little is beautiful sunny day, beautiful quality "&amp;"leather scent. No addition to be made to images well illustrated, according to the product, I still think we are winning to 6 euros more because it is much more roomy than the small but if you're really minimalist. A big ladle, I have not watched the devi"&amp;"ces for a long time, but in the small porteuille, key papers (ds pocket phone..) More easily two Galaxy Note 4. In this one, (the great) still no galaxy Note in the top pocket. ..) down or iPad or Galaxy Note 10, subject because not tried but return the e"&amp;"quivalent Galaxy Note 8 mini and iPad 4, even all I think, depending on the hull. Attention, zippers, it's tough. ., They show the teeth. .. Here. I will comment not because the other two colors because regarded as equivalent models in reality I returned "&amp;"in 30 min coffee, without regret, as STRICTLY NOTHING TO DO qualitatively. Leather disgusting, slimy, smelly diesel, nothing to touch, turn red, and the cake I brought a finger around the eyes. . Bath look. No comment. Well after the tastes and colors. So"&amp;"me will love it very soft, his sweaty hand side or oily hair, subway grime. I stop. After all I had 2x can be lucky and 1xpas. ..moais")</f>
        <v>shapely gorgeous bag and realized I had acquired by mistake the smaller model, but I keep it as beautiful and has utility, and then saw that the size above existed. . as I found the photo very nice coffee color and strong satisfaction on cuila I resisted. . 3 weeks to crack. So strangely they are presented as identical at the same price it myself (also very well positioned for this bag here, not the other two) actually commonalities in addition to the previously mentioned, are of course the capacity and drawing. For the rest strictly, but strictly not comparable, here beautiful leather, soft touch robust as the smallest model, except for a zip I retimed, and that seems to hold blameless finish, perceived quality and auscultated upon receipt, even more perfect than the small model I believe 47 euros I believe, that I am very happy to have finally kept because the leather, although beautiful both are of a slightly different tone, so no duplicate. and just as little is beautiful sunny day, beautiful quality leather scent. No addition to be made to images well illustrated, according to the product, I still think we are winning to 6 euros more because it is much more roomy than the small but if you're really minimalist. A big ladle, I have not watched the devices for a long time, but in the small porteuille, key papers (ds pocket phone..) More easily two Galaxy Note 4. In this one, (the great) still no galaxy Note in the top pocket. ..) down or iPad or Galaxy Note 10, subject because not tried but return the equivalent Galaxy Note 8 mini and iPad 4, even all I think, depending on the hull. Attention, zippers, it's tough. ., They show the teeth. .. Here. I will comment not because the other two colors because regarded as equivalent models in reality I returned in 30 min coffee, without regret, as STRICTLY NOTHING TO DO qualitatively. Leather disgusting, slimy, smelly diesel, nothing to touch, turn red, and the cake I brought a finger around the eyes. . Bath look. No comment. Well after the tastes and colors. Some will love it very soft, his sweaty hand side or oily hair, subway grime. I stop. After all I had 2x can be lucky and 1xpas. ..moais</v>
      </c>
    </row>
    <row r="157">
      <c r="A157" s="1">
        <v>2.0</v>
      </c>
      <c r="B157" s="1" t="s">
        <v>158</v>
      </c>
      <c r="C157" t="str">
        <f>IFERROR(__xludf.DUMMYFUNCTION("GOOGLETRANSLATE(B157, ""fr"", ""en"")"),"Chausse Chausse little small take half a size or more")</f>
        <v>Chausse Chausse little small take half a size or more</v>
      </c>
    </row>
    <row r="158">
      <c r="A158" s="1">
        <v>1.0</v>
      </c>
      <c r="B158" s="1" t="s">
        <v>159</v>
      </c>
      <c r="C158" t="str">
        <f>IFERROR(__xludf.DUMMYFUNCTION("GOOGLETRANSLATE(B158, ""fr"", ""en"")"),"Nice and quiet but not solid After 1 use .. The kettle HS ... Chopped glass at the handle Return to sender")</f>
        <v>Nice and quiet but not solid After 1 use .. The kettle HS ... Chopped glass at the handle Return to sender</v>
      </c>
    </row>
    <row r="159">
      <c r="A159" s="1">
        <v>3.0</v>
      </c>
      <c r="B159" s="1" t="s">
        <v>160</v>
      </c>
      <c r="C159" t="str">
        <f>IFERROR(__xludf.DUMMYFUNCTION("GOOGLETRANSLATE(B159, ""fr"", ""en"")"),"Good but ... well Corresponds to the photo, the color orange is orange, however, easy to put on shoes for my son and size n is not necessarily appropriate, his shoes are ultimately more difficult to put that before ...")</f>
        <v>Good but ... well Corresponds to the photo, the color orange is orange, however, easy to put on shoes for my son and size n is not necessarily appropriate, his shoes are ultimately more difficult to put that before ...</v>
      </c>
    </row>
    <row r="160">
      <c r="A160" s="1">
        <v>3.0</v>
      </c>
      <c r="B160" s="1" t="s">
        <v>161</v>
      </c>
      <c r="C160" t="str">
        <f>IFERROR(__xludf.DUMMYFUNCTION("GOOGLETRANSLATE(B160, ""fr"", ""en"")"),"Not practical. Beautiful kettle with defects not lose it every time without filter when trying to clean the boiler by donating water. The cover also hold water when you leave it ajar there is water leaking and long runs of plain tea you put everywhere. So"&amp;" whenever you grasp the kettle base remains attached and falls afterwards, doing his job.")</f>
        <v>Not practical. Beautiful kettle with defects not lose it every time without filter when trying to clean the boiler by donating water. The cover also hold water when you leave it ajar there is water leaking and long runs of plain tea you put everywhere. So whenever you grasp the kettle base remains attached and falls afterwards, doing his job.</v>
      </c>
    </row>
    <row r="161">
      <c r="A161" s="1">
        <v>4.0</v>
      </c>
      <c r="B161" s="1" t="s">
        <v>162</v>
      </c>
      <c r="C161" t="str">
        <f>IFERROR(__xludf.DUMMYFUNCTION("GOOGLETRANSLATE(B161, ""fr"", ""en"")"),"Choose the size I bought these shoes to walk barefoot like! They are great! I am very happy. I put on the 38 and I took the 36/38 size. For 36 they must be a little larger. For the 38, it's perfect!")</f>
        <v>Choose the size I bought these shoes to walk barefoot like! They are great! I am very happy. I put on the 38 and I took the 36/38 size. For 36 they must be a little larger. For the 38, it's perfect!</v>
      </c>
    </row>
    <row r="162">
      <c r="A162" s="1">
        <v>4.0</v>
      </c>
      <c r="B162" s="1" t="s">
        <v>163</v>
      </c>
      <c r="C162" t="str">
        <f>IFERROR(__xludf.DUMMYFUNCTION("GOOGLETRANSLATE(B162, ""fr"", ""en"")"),"Super Fast Heat up quickly. Thanks to the water vapor not using a lot of water. Easy of use and cleaning with a damp cloth")</f>
        <v>Super Fast Heat up quickly. Thanks to the water vapor not using a lot of water. Easy of use and cleaning with a damp cloth</v>
      </c>
    </row>
    <row r="163">
      <c r="A163" s="1">
        <v>4.0</v>
      </c>
      <c r="B163" s="1" t="s">
        <v>164</v>
      </c>
      <c r="C163" t="str">
        <f>IFERROR(__xludf.DUMMYFUNCTION("GOOGLETRANSLATE(B163, ""fr"", ""en"")"),"Friendly but a close up Pretty cap, but up too late. This explains the price.")</f>
        <v>Friendly but a close up Pretty cap, but up too late. This explains the price.</v>
      </c>
    </row>
    <row r="164">
      <c r="A164" s="1">
        <v>4.0</v>
      </c>
      <c r="B164" s="1" t="s">
        <v>165</v>
      </c>
      <c r="C164" t="str">
        <f>IFERROR(__xludf.DUMMYFUNCTION("GOOGLETRANSLATE(B164, ""fr"", ""en"")"),"Very good report quality price Very good experience. the price is low and the quality very well. better than some brands (Sony and others) more expensive. headphones are delivered in a spherical iron box, original for this kind of product. the box contain"&amp;"ing a small bag to put his headphones and several plastic foam of various sizes to better adapt to the ears. there among them forms of memory foams. I prefer the classics that hold better to the ears, but you can choose. the thread looks solid and the two"&amp;" headphones are magnetized, thus when do not used, not to lug around in all directions. the sound is good to see very good. good bass but do not alter the pieces and clear treble. a brief are balanced. I listen to lots of music and am a musician. I eat re"&amp;"gularly headphones because they become defective generally after six months, and by comparison, I have not found better value for money. to see over time if it will take more than six months but I will redeem if this is not the case, probably. more specia"&amp;"l (great) to the email they sent to each order. read on, you'll see it's good to see startup that can not be taken seriously while doing serious work. hat.")</f>
        <v>Very good report quality price Very good experience. the price is low and the quality very well. better than some brands (Sony and others) more expensive. headphones are delivered in a spherical iron box, original for this kind of product. the box containing a small bag to put his headphones and several plastic foam of various sizes to better adapt to the ears. there among them forms of memory foams. I prefer the classics that hold better to the ears, but you can choose. the thread looks solid and the two headphones are magnetized, thus when do not used, not to lug around in all directions. the sound is good to see very good. good bass but do not alter the pieces and clear treble. a brief are balanced. I listen to lots of music and am a musician. I eat regularly headphones because they become defective generally after six months, and by comparison, I have not found better value for money. to see over time if it will take more than six months but I will redeem if this is not the case, probably. more special (great) to the email they sent to each order. read on, you'll see it's good to see startup that can not be taken seriously while doing serious work. hat.</v>
      </c>
    </row>
    <row r="165">
      <c r="A165" s="1">
        <v>4.0</v>
      </c>
      <c r="B165" s="1" t="s">
        <v>166</v>
      </c>
      <c r="C165" t="str">
        <f>IFERROR(__xludf.DUMMYFUNCTION("GOOGLETRANSLATE(B165, ""fr"", ""en"")"),"OK but not great in comparison to a 'old solar Casio Wave: The buzzer is not very strong and bracelet and less flexible in adjusting between two links. Autonomy also seems less but can be load was not complete. By cons, better finish and sapphire glass (t"&amp;"hat's a big plus). Too bad that only 3 buttons for settings.")</f>
        <v>OK but not great in comparison to a 'old solar Casio Wave: The buzzer is not very strong and bracelet and less flexible in adjusting between two links. Autonomy also seems less but can be load was not complete. By cons, better finish and sapphire glass (that's a big plus). Too bad that only 3 buttons for settings.</v>
      </c>
    </row>
    <row r="166">
      <c r="A166" s="1">
        <v>5.0</v>
      </c>
      <c r="B166" s="1" t="s">
        <v>167</v>
      </c>
      <c r="C166" t="str">
        <f>IFERROR(__xludf.DUMMYFUNCTION("GOOGLETRANSLATE(B166, ""fr"", ""en"")"),"Watch casio Bought for my son. He had another casio for 6 years and that's bracelet that no longer held. The battery was impeccable ... He liked the blue and he wants the casio.")</f>
        <v>Watch casio Bought for my son. He had another casio for 6 years and that's bracelet that no longer held. The battery was impeccable ... He liked the blue and he wants the casio.</v>
      </c>
    </row>
    <row r="167">
      <c r="A167" s="1">
        <v>5.0</v>
      </c>
      <c r="B167" s="1" t="s">
        <v>168</v>
      </c>
      <c r="C167" t="str">
        <f>IFERROR(__xludf.DUMMYFUNCTION("GOOGLETRANSLATE(B167, ""fr"", ""en"")"),"Now let's the effect from the first session. The light is intense. I'll use all winter to reduce the effects of seasonal depression.")</f>
        <v>Now let's the effect from the first session. The light is intense. I'll use all winter to reduce the effects of seasonal depression.</v>
      </c>
    </row>
    <row r="168">
      <c r="A168" s="1">
        <v>5.0</v>
      </c>
      <c r="B168" s="1" t="s">
        <v>169</v>
      </c>
      <c r="C168" t="str">
        <f>IFERROR(__xludf.DUMMYFUNCTION("GOOGLETRANSLATE(B168, ""fr"", ""en"")"),"Crocs impeccable, nothing to say, I suggest.")</f>
        <v>Crocs impeccable, nothing to say, I suggest.</v>
      </c>
    </row>
    <row r="169">
      <c r="A169" s="1">
        <v>5.0</v>
      </c>
      <c r="B169" s="1" t="s">
        <v>170</v>
      </c>
      <c r="C169" t="str">
        <f>IFERROR(__xludf.DUMMYFUNCTION("GOOGLETRANSLATE(B169, ""fr"", ""en"")"),"Nickel earphones handy good wife my ear and impeccable sound quality ideal for listening to music or watching a movie call")</f>
        <v>Nickel earphones handy good wife my ear and impeccable sound quality ideal for listening to music or watching a movie call</v>
      </c>
    </row>
    <row r="170">
      <c r="A170" s="1">
        <v>5.0</v>
      </c>
      <c r="B170" s="1" t="s">
        <v>171</v>
      </c>
      <c r="C170" t="str">
        <f>IFERROR(__xludf.DUMMYFUNCTION("GOOGLETRANSLATE(B170, ""fr"", ""en"")"),"Perfect &lt;div id = ""video-block-R36NX1HULG5BC9"" class = ""a-section-spacing-small in-spacing-top mini video-block""&gt; &lt;/ div&gt; &lt;input type = ""hidden"" name = """" value = ""https://images-eu.ssl-images-amazon.com/images/I/71tmmJlr9gS.mp4"" class = ""video"&amp;"-url""&gt; &lt;input type = ""hidden"" name = """" value = ""https : //images-eu.ssl-images-amazon.com/images/I/917-U3OIkqS.png ""class ="" video-slate-img-url ""&gt; &amp; nbsp; Excellent! The dream became reality! This massager is just perfect for my feet super tire"&amp;"d, my good stimulates blood circulation. Not noisy at all to my ears: p Anyway I could write a long chapter of the benefits of this massage device, but it'll be too long ... :) All I can say is that I really recommend to fans of foot massage, it's just a "&amp;"wonder !!! Thank you for all these small technological inventions I love it!")</f>
        <v>Perfect &lt;div id = "video-block-R36NX1HULG5BC9" class = "a-section-spacing-small in-spacing-top mini video-block"&gt; &lt;/ div&gt; &lt;input type = "hidden" name = "" value = "https://images-eu.ssl-images-amazon.com/images/I/71tmmJlr9gS.mp4" class = "video-url"&gt; &lt;input type = "hidden" name = "" value = "https : //images-eu.ssl-images-amazon.com/images/I/917-U3OIkqS.png "class =" video-slate-img-url "&gt; &amp; nbsp; Excellent! The dream became reality! This massager is just perfect for my feet super tired, my good stimulates blood circulation. Not noisy at all to my ears: p Anyway I could write a long chapter of the benefits of this massage device, but it'll be too long ... :) All I can say is that I really recommend to fans of foot massage, it's just a wonder !!! Thank you for all these small technological inventions I love it!</v>
      </c>
    </row>
    <row r="171">
      <c r="A171" s="1">
        <v>5.0</v>
      </c>
      <c r="B171" s="1" t="s">
        <v>172</v>
      </c>
      <c r="C171" t="str">
        <f>IFERROR(__xludf.DUMMYFUNCTION("GOOGLETRANSLATE(B171, ""fr"", ""en"")"),"Very good quality socks. Bought for my daughter who is very satisfied. Very good value for money. Do not deny it!")</f>
        <v>Very good quality socks. Bought for my daughter who is very satisfied. Very good value for money. Do not deny it!</v>
      </c>
    </row>
    <row r="172">
      <c r="A172" s="1">
        <v>5.0</v>
      </c>
      <c r="B172" s="1" t="s">
        <v>173</v>
      </c>
      <c r="C172" t="str">
        <f>IFERROR(__xludf.DUMMYFUNCTION("GOOGLETRANSLATE(B172, ""fr"", ""en"")"),"Nikel Very happy for my purchase")</f>
        <v>Nikel Very happy for my purchase</v>
      </c>
    </row>
    <row r="173">
      <c r="A173" s="1">
        <v>5.0</v>
      </c>
      <c r="B173" s="1" t="s">
        <v>174</v>
      </c>
      <c r="C173" t="str">
        <f>IFERROR(__xludf.DUMMYFUNCTION("GOOGLETRANSLATE(B173, ""fr"", ""en"")"),"Top These are perfect bottle to keep giving her maternal milk when in returning to work! The only bib accept it live!")</f>
        <v>Top These are perfect bottle to keep giving her maternal milk when in returning to work! The only bib accept it live!</v>
      </c>
    </row>
    <row r="174">
      <c r="A174" s="1">
        <v>5.0</v>
      </c>
      <c r="B174" s="1" t="s">
        <v>175</v>
      </c>
      <c r="C174" t="str">
        <f>IFERROR(__xludf.DUMMYFUNCTION("GOOGLETRANSLATE(B174, ""fr"", ""en"")"),"very effective mask! I usually avoid this kind of products that are far from natural, but I admit that I'm addicted to this mask. I suffer from a few pimples on the chin (for almost 30 years ...) With this mask they significantly reduced! I use about 2 ti"&amp;"mes a week when I found that I look bad, he leaves me soft skin and a brighter complexion. When I feel that a button will appear, I apply with a cotton swab on the relevant button and left to stand overnight, the next day I do not have to worry about it! "&amp;"I even used a herpes button, it has almost disappeared in 2 days, amazing! The product tingles a little, but despite my very sensitive skin, no redness after removal. I highly recommend trying and think the other masks in the range.")</f>
        <v>very effective mask! I usually avoid this kind of products that are far from natural, but I admit that I'm addicted to this mask. I suffer from a few pimples on the chin (for almost 30 years ...) With this mask they significantly reduced! I use about 2 times a week when I found that I look bad, he leaves me soft skin and a brighter complexion. When I feel that a button will appear, I apply with a cotton swab on the relevant button and left to stand overnight, the next day I do not have to worry about it! I even used a herpes button, it has almost disappeared in 2 days, amazing! The product tingles a little, but despite my very sensitive skin, no redness after removal. I highly recommend trying and think the other masks in the range.</v>
      </c>
    </row>
    <row r="175">
      <c r="A175" s="1">
        <v>5.0</v>
      </c>
      <c r="B175" s="1" t="s">
        <v>176</v>
      </c>
      <c r="C175" t="str">
        <f>IFERROR(__xludf.DUMMYFUNCTION("GOOGLETRANSLATE(B175, ""fr"", ""en"")"),"Unbeatable Value. So far I have not needed to print enough documents to get enough perspective, this feedback can thus be biased. Nothing to report for printing text. The images I printed - on good quality paper - have some minor flaws, but I suspect that"&amp;" the printer starts to date in this logic of planned obsolescence. Too little hindsight to judge the level of ink, but I doubt that these cartridges suffer from the comparison with ""&amp; nbsp; &amp; nbsp official,"" as these are expensive and print few leaves. "&amp;"When installing the cartridges were recognized as ""&amp; nbsp; non-"" brand. After restarting the printer, an error message appeared. The point may be the most important: the price, the manufacturer's borders on indecency, and here there is a four to five ti"&amp;"mes lower price. In short: a highly substitutable product, and significantly cheaper. You are free to demonstrate snobbery.")</f>
        <v>Unbeatable Value. So far I have not needed to print enough documents to get enough perspective, this feedback can thus be biased. Nothing to report for printing text. The images I printed - on good quality paper - have some minor flaws, but I suspect that the printer starts to date in this logic of planned obsolescence. Too little hindsight to judge the level of ink, but I doubt that these cartridges suffer from the comparison with "&amp; nbsp; &amp; nbsp official," as these are expensive and print few leaves. When installing the cartridges were recognized as "&amp; nbsp; non-" brand. After restarting the printer, an error message appeared. The point may be the most important: the price, the manufacturer's borders on indecency, and here there is a four to five times lower price. In short: a highly substitutable product, and significantly cheaper. You are free to demonstrate snobbery.</v>
      </c>
    </row>
    <row r="176">
      <c r="A176" s="1">
        <v>5.0</v>
      </c>
      <c r="B176" s="1" t="s">
        <v>177</v>
      </c>
      <c r="C176" t="str">
        <f>IFERROR(__xludf.DUMMYFUNCTION("GOOGLETRANSLATE(B176, ""fr"", ""en"")"),"Beautiful book Beautiful. Beautiful designs, well written ... to offer to your children (boy or girl)")</f>
        <v>Beautiful book Beautiful. Beautiful designs, well written ... to offer to your children (boy or girl)</v>
      </c>
    </row>
    <row r="177">
      <c r="A177" s="1">
        <v>5.0</v>
      </c>
      <c r="B177" s="1" t="s">
        <v>178</v>
      </c>
      <c r="C177" t="str">
        <f>IFERROR(__xludf.DUMMYFUNCTION("GOOGLETRANSLATE(B177, ""fr"", ""en"")"),"Shoes speedcross4 product according to the command. Beautifully crafted and very comfortable to use. A super flu during use in forest land, mountain. Arrived very quickly and very well packed!")</f>
        <v>Shoes speedcross4 product according to the command. Beautifully crafted and very comfortable to use. A super flu during use in forest land, mountain. Arrived very quickly and very well packed!</v>
      </c>
    </row>
    <row r="178">
      <c r="A178" s="1">
        <v>5.0</v>
      </c>
      <c r="B178" s="1" t="s">
        <v>179</v>
      </c>
      <c r="C178" t="str">
        <f>IFERROR(__xludf.DUMMYFUNCTION("GOOGLETRANSLATE(B178, ""fr"", ""en"")"),"Effective Effective at any point: colds, muscle pain and headache. I recommand it")</f>
        <v>Effective Effective at any point: colds, muscle pain and headache. I recommand it</v>
      </c>
    </row>
    <row r="179">
      <c r="A179" s="1">
        <v>5.0</v>
      </c>
      <c r="B179" s="1" t="s">
        <v>180</v>
      </c>
      <c r="C179" t="str">
        <f>IFERROR(__xludf.DUMMYFUNCTION("GOOGLETRANSLATE(B179, ""fr"", ""en"")"),"Tb Tb")</f>
        <v>Tb Tb</v>
      </c>
    </row>
    <row r="180">
      <c r="A180" s="1">
        <v>5.0</v>
      </c>
      <c r="B180" s="1" t="s">
        <v>181</v>
      </c>
      <c r="C180" t="str">
        <f>IFERROR(__xludf.DUMMYFUNCTION("GOOGLETRANSLATE(B180, ""fr"", ""en"")"),"I love their fragrance I swore by soupline and disappointed not to have bought earlier Cajoline because I love perfume")</f>
        <v>I love their fragrance I swore by soupline and disappointed not to have bought earlier Cajoline because I love perfume</v>
      </c>
    </row>
    <row r="181">
      <c r="A181" s="1">
        <v>5.0</v>
      </c>
      <c r="B181" s="1" t="s">
        <v>182</v>
      </c>
      <c r="C181" t="str">
        <f>IFERROR(__xludf.DUMMYFUNCTION("GOOGLETRANSLATE(B181, ""fr"", ""en"")"),"bottle excellent value for money, ease with a full disassembly, very practical baby love, and mom too. I highly recommend it.")</f>
        <v>bottle excellent value for money, ease with a full disassembly, very practical baby love, and mom too. I highly recommend it.</v>
      </c>
    </row>
    <row r="182">
      <c r="A182" s="1">
        <v>2.0</v>
      </c>
      <c r="B182" s="1" t="s">
        <v>183</v>
      </c>
      <c r="C182" t="str">
        <f>IFERROR(__xludf.DUMMYFUNCTION("GOOGLETRANSLATE(B182, ""fr"", ""en"")"),"factory problem? The black cartridge has never functioned properly. Despite several attempts nozzle cleaning and alignment heads it never worked properly")</f>
        <v>factory problem? The black cartridge has never functioned properly. Despite several attempts nozzle cleaning and alignment heads it never worked properly</v>
      </c>
    </row>
    <row r="183">
      <c r="A183" s="1">
        <v>1.0</v>
      </c>
      <c r="B183" s="1" t="s">
        <v>184</v>
      </c>
      <c r="C183" t="str">
        <f>IFERROR(__xludf.DUMMYFUNCTION("GOOGLETRANSLATE(B183, ""fr"", ""en"")"),"handling suction cups! I would like to have a manual in French, essential!")</f>
        <v>handling suction cups! I would like to have a manual in French, essential!</v>
      </c>
    </row>
    <row r="184">
      <c r="A184" s="1">
        <v>1.0</v>
      </c>
      <c r="B184" s="1" t="s">
        <v>185</v>
      </c>
      <c r="C184" t="str">
        <f>IFERROR(__xludf.DUMMYFUNCTION("GOOGLETRANSLATE(B184, ""fr"", ""en"")"),"REFILLS OF WORKS DAY These refills are not working for a few hours .. it's a shame I keep changing ... is understandable why a lot as advantageous")</f>
        <v>REFILLS OF WORKS DAY These refills are not working for a few hours .. it's a shame I keep changing ... is understandable why a lot as advantageous</v>
      </c>
    </row>
    <row r="185">
      <c r="A185" s="1">
        <v>3.0</v>
      </c>
      <c r="B185" s="1" t="s">
        <v>186</v>
      </c>
      <c r="C185" t="str">
        <f>IFERROR(__xludf.DUMMYFUNCTION("GOOGLETRANSLATE(B185, ""fr"", ""en"")"),"Middle Overall okay, however I find it is not practical when we want to open it with one hand (and that was the baby in the other), and I've had trouble with the temperature ...")</f>
        <v>Middle Overall okay, however I find it is not practical when we want to open it with one hand (and that was the baby in the other), and I've had trouble with the temperature ...</v>
      </c>
    </row>
    <row r="186">
      <c r="A186" s="1">
        <v>3.0</v>
      </c>
      <c r="B186" s="1" t="s">
        <v>187</v>
      </c>
      <c r="C186" t="str">
        <f>IFERROR(__xludf.DUMMYFUNCTION("GOOGLETRANSLATE(B186, ""fr"", ""en"")"),"Basic effective Sweat classic comfortable fit, take a size below")</f>
        <v>Basic effective Sweat classic comfortable fit, take a size below</v>
      </c>
    </row>
    <row r="187">
      <c r="A187" s="1">
        <v>4.0</v>
      </c>
      <c r="B187" s="1" t="s">
        <v>188</v>
      </c>
      <c r="C187" t="str">
        <f>IFERROR(__xludf.DUMMYFUNCTION("GOOGLETRANSLATE(B187, ""fr"", ""en"")"),"useful, I recommended good product")</f>
        <v>useful, I recommended good product</v>
      </c>
    </row>
    <row r="188">
      <c r="A188" s="1">
        <v>4.0</v>
      </c>
      <c r="B188" s="1" t="s">
        <v>189</v>
      </c>
      <c r="C188" t="str">
        <f>IFERROR(__xludf.DUMMYFUNCTION("GOOGLETRANSLATE(B188, ""fr"", ""en"")"),"Quality Comment late, because I expected to make use of these cartridges! They are perfect, quickly installed and recognized by the printer immediately. authentic colors, excellent use, and above all excellent value -Price! But disaster to install the yel"&amp;"low cartridge, which at first was not recognized then as used ... failure")</f>
        <v>Quality Comment late, because I expected to make use of these cartridges! They are perfect, quickly installed and recognized by the printer immediately. authentic colors, excellent use, and above all excellent value -Price! But disaster to install the yellow cartridge, which at first was not recognized then as used ... failure</v>
      </c>
    </row>
    <row r="189">
      <c r="A189" s="1">
        <v>4.0</v>
      </c>
      <c r="B189" s="1" t="s">
        <v>190</v>
      </c>
      <c r="C189" t="str">
        <f>IFERROR(__xludf.DUMMYFUNCTION("GOOGLETRANSLATE(B189, ""fr"", ""en"")"),"They are comfortable to wear Great for the sport or another I recommend")</f>
        <v>They are comfortable to wear Great for the sport or another I recommend</v>
      </c>
    </row>
    <row r="190">
      <c r="A190" s="1">
        <v>4.0</v>
      </c>
      <c r="B190" s="1" t="s">
        <v>191</v>
      </c>
      <c r="C190" t="str">
        <f>IFERROR(__xludf.DUMMYFUNCTION("GOOGLETRANSLATE(B190, ""fr"", ""en"")"),"Although familiar with. To check the time. I like the model, the setting of the watch is not easy. What I do not like against it by lighting the time, a simple ignition of the screen and no backlight.")</f>
        <v>Although familiar with. To check the time. I like the model, the setting of the watch is not easy. What I do not like against it by lighting the time, a simple ignition of the screen and no backlight.</v>
      </c>
    </row>
    <row r="191">
      <c r="A191" s="1">
        <v>5.0</v>
      </c>
      <c r="B191" s="1" t="s">
        <v>192</v>
      </c>
      <c r="C191" t="str">
        <f>IFERROR(__xludf.DUMMYFUNCTION("GOOGLETRANSLATE(B191, ""fr"", ""en"")"),"QUALITY AVENT ally the glass! TOP Formula bi berons glass is the SAFETY hygiene this will not move! Durable QUALITY ++++++")</f>
        <v>QUALITY AVENT ally the glass! TOP Formula bi berons glass is the SAFETY hygiene this will not move! Durable QUALITY ++++++</v>
      </c>
    </row>
    <row r="192">
      <c r="A192" s="1">
        <v>5.0</v>
      </c>
      <c r="B192" s="1" t="s">
        <v>193</v>
      </c>
      <c r="C192" t="str">
        <f>IFERROR(__xludf.DUMMYFUNCTION("GOOGLETRANSLATE(B192, ""fr"", ""en"")"),"Comfort Nothing to say! Comfort absolute, they can be machine no problem!")</f>
        <v>Comfort Nothing to say! Comfort absolute, they can be machine no problem!</v>
      </c>
    </row>
    <row r="193">
      <c r="A193" s="1">
        <v>5.0</v>
      </c>
      <c r="B193" s="1" t="s">
        <v>194</v>
      </c>
      <c r="C193" t="str">
        <f>IFERROR(__xludf.DUMMYFUNCTION("GOOGLETRANSLATE(B193, ""fr"", ""en"")"),"red shorts my daughter made the 34/36 and it suits him perfectly, not too hot end ideal for summer or under a skirt")</f>
        <v>red shorts my daughter made the 34/36 and it suits him perfectly, not too hot end ideal for summer or under a skirt</v>
      </c>
    </row>
    <row r="194">
      <c r="A194" s="1">
        <v>5.0</v>
      </c>
      <c r="B194" s="1" t="s">
        <v>195</v>
      </c>
      <c r="C194" t="str">
        <f>IFERROR(__xludf.DUMMYFUNCTION("GOOGLETRANSLATE(B194, ""fr"", ""en"")"),"The most convenient Very convenient thanks to the rotating brush")</f>
        <v>The most convenient Very convenient thanks to the rotating brush</v>
      </c>
    </row>
    <row r="195">
      <c r="A195" s="1">
        <v>5.0</v>
      </c>
      <c r="B195" s="1" t="s">
        <v>196</v>
      </c>
      <c r="C195" t="str">
        <f>IFERROR(__xludf.DUMMYFUNCTION("GOOGLETRANSLATE(B195, ""fr"", ""en"")"),"Farewell pain Doing a lot of exercise, I had upper back pain. Using this pillow at night before bed, I have no more pain. The movement is nice. The pillow is perfect for those who, like me, prefer massages ""hard""")</f>
        <v>Farewell pain Doing a lot of exercise, I had upper back pain. Using this pillow at night before bed, I have no more pain. The movement is nice. The pillow is perfect for those who, like me, prefer massages "hard"</v>
      </c>
    </row>
    <row r="196">
      <c r="A196" s="1">
        <v>5.0</v>
      </c>
      <c r="B196" s="1" t="s">
        <v>197</v>
      </c>
      <c r="C196" t="str">
        <f>IFERROR(__xludf.DUMMYFUNCTION("GOOGLETRANSLATE(B196, ""fr"", ""en"")"),"I love Jolie schoolboy ideal for my son he 2in1 😁😁")</f>
        <v>I love Jolie schoolboy ideal for my son he 2in1 😁😁</v>
      </c>
    </row>
    <row r="197">
      <c r="A197" s="1">
        <v>5.0</v>
      </c>
      <c r="B197" s="1" t="s">
        <v>198</v>
      </c>
      <c r="C197" t="str">
        <f>IFERROR(__xludf.DUMMYFUNCTION("GOOGLETRANSLATE(B197, ""fr"", ""en"")"),"very nice watch After more than a month of use, I have to say I'm really happy with my purchase. This watch is really good, neither too big nor too small and I don 't have a big wrist ... Aesthetically it's beautiful !!")</f>
        <v>very nice watch After more than a month of use, I have to say I'm really happy with my purchase. This watch is really good, neither too big nor too small and I don 't have a big wrist ... Aesthetically it's beautiful !!</v>
      </c>
    </row>
    <row r="198">
      <c r="A198" s="1">
        <v>5.0</v>
      </c>
      <c r="B198" s="1" t="s">
        <v>199</v>
      </c>
      <c r="C198" t="str">
        <f>IFERROR(__xludf.DUMMYFUNCTION("GOOGLETRANSLATE(B198, ""fr"", ""en"")"),"These aquatic light and strong shoes are very comfortable and pleasant to wear. They are made of neoprene, the fabric is soft and stretchy. These soles are thick convoluted foam and super soft. It was like walking on a cloud ... Side look, these shoes are"&amp;" also very pretty with their assorted soles. Very well finished, right size, quality product.")</f>
        <v>These aquatic light and strong shoes are very comfortable and pleasant to wear. They are made of neoprene, the fabric is soft and stretchy. These soles are thick convoluted foam and super soft. It was like walking on a cloud ... Side look, these shoes are also very pretty with their assorted soles. Very well finished, right size, quality product.</v>
      </c>
    </row>
    <row r="199">
      <c r="A199" s="1">
        <v>5.0</v>
      </c>
      <c r="B199" s="1" t="s">
        <v>200</v>
      </c>
      <c r="C199" t="str">
        <f>IFERROR(__xludf.DUMMYFUNCTION("GOOGLETRANSLATE(B199, ""fr"", ""en"")"),"Beautiful sweatshirt Sweat very light but pleasant enough to the touch, J adore the pattern that's why I have it to buy I am very satisfied")</f>
        <v>Beautiful sweatshirt Sweat very light but pleasant enough to the touch, J adore the pattern that's why I have it to buy I am very satisfied</v>
      </c>
    </row>
    <row r="200">
      <c r="A200" s="1">
        <v>5.0</v>
      </c>
      <c r="B200" s="1" t="s">
        <v>201</v>
      </c>
      <c r="C200" t="str">
        <f>IFERROR(__xludf.DUMMYFUNCTION("GOOGLETRANSLATE(B200, ""fr"", ""en"")"),"Excellent in terms of sound (complement) After weeks of running, my opinion on this helmet is confirmed. It's excellent. The sound is balanced, no record is highlighted. The veracity of the stamps, the finesse, the polyphony of precision are at the rendez"&amp;"vous. The only sad point in my case, is in comfort: the tightening is not really adjustable, it hurts me around the left ear. Then the faux leather is unpleasant. It looked much improved by replacing it with velvet. But the value is very very supportive. "&amp;"Complement added a month later: I replaced the leatherette ear by ear velvet found on Amazon: the contribution is very important for comfort, it's not worth the trouble without it. Again, shame qu'AKG does not offer this option. Be careful to choose these"&amp;" headphones, not all agree: some are too thick and too far removed the ear of the active membrane.")</f>
        <v>Excellent in terms of sound (complement) After weeks of running, my opinion on this helmet is confirmed. It's excellent. The sound is balanced, no record is highlighted. The veracity of the stamps, the finesse, the polyphony of precision are at the rendezvous. The only sad point in my case, is in comfort: the tightening is not really adjustable, it hurts me around the left ear. Then the faux leather is unpleasant. It looked much improved by replacing it with velvet. But the value is very very supportive. Complement added a month later: I replaced the leatherette ear by ear velvet found on Amazon: the contribution is very important for comfort, it's not worth the trouble without it. Again, shame qu'AKG does not offer this option. Be careful to choose these headphones, not all agree: some are too thick and too far removed the ear of the active membrane.</v>
      </c>
    </row>
    <row r="201">
      <c r="A201" s="1">
        <v>5.0</v>
      </c>
      <c r="B201" s="1" t="s">
        <v>202</v>
      </c>
      <c r="C201" t="str">
        <f>IFERROR(__xludf.DUMMYFUNCTION("GOOGLETRANSLATE(B201, ""fr"", ""en"")"),"Very good quality / price for all day")</f>
        <v>Very good quality / price for all day</v>
      </c>
    </row>
    <row r="202">
      <c r="A202" s="1">
        <v>5.0</v>
      </c>
      <c r="B202" s="1" t="s">
        <v>203</v>
      </c>
      <c r="C202" t="str">
        <f>IFERROR(__xludf.DUMMYFUNCTION("GOOGLETRANSLATE(B202, ""fr"", ""en"")"),"Very good microphone Before I used the microphone in my headphones but this TV reception all the sounds of my keyboard even testing different settings. So I decided to buy a microphone separately. I am absolutely delighted with this article. The fact that"&amp;" he waited way to the sounds of my keyboard is heard almost at all. My voice is much clearer, so that it seems that I speak directly into the ears of my interlocutors.")</f>
        <v>Very good microphone Before I used the microphone in my headphones but this TV reception all the sounds of my keyboard even testing different settings. So I decided to buy a microphone separately. I am absolutely delighted with this article. The fact that he waited way to the sounds of my keyboard is heard almost at all. My voice is much clearer, so that it seems that I speak directly into the ears of my interlocutors.</v>
      </c>
    </row>
    <row r="203">
      <c r="A203" s="1">
        <v>5.0</v>
      </c>
      <c r="B203" s="1" t="s">
        <v>204</v>
      </c>
      <c r="C203" t="str">
        <f>IFERROR(__xludf.DUMMYFUNCTION("GOOGLETRANSLATE(B203, ""fr"", ""en"")"),"Top Top")</f>
        <v>Top Top</v>
      </c>
    </row>
    <row r="204">
      <c r="A204" s="1">
        <v>5.0</v>
      </c>
      <c r="B204" s="1" t="s">
        <v>205</v>
      </c>
      <c r="C204" t="str">
        <f>IFERROR(__xludf.DUMMYFUNCTION("GOOGLETRANSLATE(B204, ""fr"", ""en"")"),"Practice Nice design, big enough to do everything, very convenient to carry")</f>
        <v>Practice Nice design, big enough to do everything, very convenient to carry</v>
      </c>
    </row>
    <row r="205">
      <c r="A205" s="1">
        <v>5.0</v>
      </c>
      <c r="B205" s="1" t="s">
        <v>206</v>
      </c>
      <c r="C205" t="str">
        <f>IFERROR(__xludf.DUMMYFUNCTION("GOOGLETRANSLATE(B205, ""fr"", ""en"")"),"Very good Excellent product to clean the bottles, much less a foaming detergent and rinses better. Be careful, though, not to let the bottle in the sun the day because otherwise the liquid ""&amp; nbsp; &amp; nbsp turns"" and may be good to throw!")</f>
        <v>Very good Excellent product to clean the bottles, much less a foaming detergent and rinses better. Be careful, though, not to let the bottle in the sun the day because otherwise the liquid "&amp; nbsp; &amp; nbsp turns" and may be good to throw!</v>
      </c>
    </row>
    <row r="206">
      <c r="A206" s="1">
        <v>2.0</v>
      </c>
      <c r="B206" s="1" t="s">
        <v>207</v>
      </c>
      <c r="C206" t="str">
        <f>IFERROR(__xludf.DUMMYFUNCTION("GOOGLETRANSLATE(B206, ""fr"", ""en"")"),"Sustainable Gros obre equipment tros feble but comfortable")</f>
        <v>Sustainable Gros obre equipment tros feble but comfortable</v>
      </c>
    </row>
    <row r="207">
      <c r="A207" s="1">
        <v>1.0</v>
      </c>
      <c r="B207" s="1" t="s">
        <v>208</v>
      </c>
      <c r="C207" t="str">
        <f>IFERROR(__xludf.DUMMYFUNCTION("GOOGLETRANSLATE(B207, ""fr"", ""en"")"),"Bad Disappointed +++ No information that if it were basketball leather, not canvas. Poor product description.")</f>
        <v>Bad Disappointed +++ No information that if it were basketball leather, not canvas. Poor product description.</v>
      </c>
    </row>
    <row r="208">
      <c r="A208" s="1">
        <v>1.0</v>
      </c>
      <c r="B208" s="1" t="s">
        <v>209</v>
      </c>
      <c r="C208" t="str">
        <f>IFERROR(__xludf.DUMMYFUNCTION("GOOGLETRANSLATE(B208, ""fr"", ""en"")"),"Not compliant too small Sweatshirt Size S and L equivalent 10 and 12 years. Failure to manufacture very fine and not conform to its description. I request the return and refund of my 2 items no answers to date. Absolutely not recommended")</f>
        <v>Not compliant too small Sweatshirt Size S and L equivalent 10 and 12 years. Failure to manufacture very fine and not conform to its description. I request the return and refund of my 2 items no answers to date. Absolutely not recommended</v>
      </c>
    </row>
    <row r="209">
      <c r="A209" s="1">
        <v>3.0</v>
      </c>
      <c r="B209" s="1" t="s">
        <v>210</v>
      </c>
      <c r="C209" t="str">
        <f>IFERROR(__xludf.DUMMYFUNCTION("GOOGLETRANSLATE(B209, ""fr"", ""en"")"),"Watch fob pocket watch Very nice overall, there is the chain that I dislike, pity she is not in the same tone of yellow as the watch.")</f>
        <v>Watch fob pocket watch Very nice overall, there is the chain that I dislike, pity she is not in the same tone of yellow as the watch.</v>
      </c>
    </row>
    <row r="210">
      <c r="A210" s="1">
        <v>3.0</v>
      </c>
      <c r="B210" s="1" t="s">
        <v>211</v>
      </c>
      <c r="C210" t="str">
        <f>IFERROR(__xludf.DUMMYFUNCTION("GOOGLETRANSLATE(B210, ""fr"", ""en"")"),"Good shoes good shoes but very thin soles.")</f>
        <v>Good shoes good shoes but very thin soles.</v>
      </c>
    </row>
    <row r="211">
      <c r="A211" s="1">
        <v>4.0</v>
      </c>
      <c r="B211" s="1" t="s">
        <v>212</v>
      </c>
      <c r="C211" t="str">
        <f>IFERROR(__xludf.DUMMYFUNCTION("GOOGLETRANSLATE(B211, ""fr"", ""en"")"),"Nice and light. Beautiful design but apparently un.peu fragile. To see over time.")</f>
        <v>Nice and light. Beautiful design but apparently un.peu fragile. To see over time.</v>
      </c>
    </row>
    <row r="212">
      <c r="A212" s="1">
        <v>4.0</v>
      </c>
      <c r="B212" s="1" t="s">
        <v>213</v>
      </c>
      <c r="C212" t="str">
        <f>IFERROR(__xludf.DUMMYFUNCTION("GOOGLETRANSLATE(B212, ""fr"", ""en"")"),"Beautiful bracelets product conform to its description, and fast delivery and on time.")</f>
        <v>Beautiful bracelets product conform to its description, and fast delivery and on time.</v>
      </c>
    </row>
    <row r="213">
      <c r="A213" s="1">
        <v>4.0</v>
      </c>
      <c r="B213" s="1" t="s">
        <v>214</v>
      </c>
      <c r="C213" t="str">
        <f>IFERROR(__xludf.DUMMYFUNCTION("GOOGLETRANSLATE(B213, ""fr"", ""en"")"),"Pretty nice but without quite large ... damage.")</f>
        <v>Pretty nice but without quite large ... damage.</v>
      </c>
    </row>
    <row r="214">
      <c r="A214" s="1">
        <v>4.0</v>
      </c>
      <c r="B214" s="1" t="s">
        <v>215</v>
      </c>
      <c r="C214" t="str">
        <f>IFERROR(__xludf.DUMMYFUNCTION("GOOGLETRANSLATE(B214, ""fr"", ""en"")"),"happy with my purchase half-season trousers, light and warm enough at a time (not recommended for winter). good performance and makes a pretty feminine silhouette. maybe making for a large size 36 will be a bit short because I measure 1.56 and I find it j"&amp;"ust right in length.")</f>
        <v>happy with my purchase half-season trousers, light and warm enough at a time (not recommended for winter). good performance and makes a pretty feminine silhouette. maybe making for a large size 36 will be a bit short because I measure 1.56 and I find it just right in length.</v>
      </c>
    </row>
    <row r="215">
      <c r="A215" s="1">
        <v>5.0</v>
      </c>
      <c r="B215" s="1" t="s">
        <v>216</v>
      </c>
      <c r="C215" t="str">
        <f>IFERROR(__xludf.DUMMYFUNCTION("GOOGLETRANSLATE(B215, ""fr"", ""en"")"),"very easy to use, comes with batteries and sector. Provides reliable temperature and good quality product.")</f>
        <v>very easy to use, comes with batteries and sector. Provides reliable temperature and good quality product.</v>
      </c>
    </row>
    <row r="216">
      <c r="A216" s="1">
        <v>5.0</v>
      </c>
      <c r="B216" s="1" t="s">
        <v>217</v>
      </c>
      <c r="C216" t="str">
        <f>IFERROR(__xludf.DUMMYFUNCTION("GOOGLETRANSLATE(B216, ""fr"", ""en"")"),"Printer cartridge ink to print .Conforme the description by the seller")</f>
        <v>Printer cartridge ink to print .Conforme the description by the seller</v>
      </c>
    </row>
    <row r="217">
      <c r="A217" s="1">
        <v>5.0</v>
      </c>
      <c r="B217" s="1" t="s">
        <v>218</v>
      </c>
      <c r="C217" t="str">
        <f>IFERROR(__xludf.DUMMYFUNCTION("GOOGLETRANSLATE(B217, ""fr"", ""en"")"),"Nickel Bought for a quality microphone during my play sessions with friends, this microphone is top. The arm is very provided the microphone itself has a great quality. The volume buttons work well and are also used to switch off the microphone, handy for"&amp;" privacy when connected constantly to the computer.")</f>
        <v>Nickel Bought for a quality microphone during my play sessions with friends, this microphone is top. The arm is very provided the microphone itself has a great quality. The volume buttons work well and are also used to switch off the microphone, handy for privacy when connected constantly to the computer.</v>
      </c>
    </row>
    <row r="218">
      <c r="A218" s="1">
        <v>5.0</v>
      </c>
      <c r="B218" s="1" t="s">
        <v>219</v>
      </c>
      <c r="C218" t="str">
        <f>IFERROR(__xludf.DUMMYFUNCTION("GOOGLETRANSLATE(B218, ""fr"", ""en"")"),"Very nice cut Very nice cut. By cons, it is not leather or not so good")</f>
        <v>Very nice cut Very nice cut. By cons, it is not leather or not so good</v>
      </c>
    </row>
    <row r="219">
      <c r="A219" s="1">
        <v>5.0</v>
      </c>
      <c r="B219" s="1" t="s">
        <v>220</v>
      </c>
      <c r="C219" t="str">
        <f>IFERROR(__xludf.DUMMYFUNCTION("GOOGLETRANSLATE(B219, ""fr"", ""en"")"),"Pleasant bought for a gift and the person is happy, little noise and pleasant relaxation")</f>
        <v>Pleasant bought for a gift and the person is happy, little noise and pleasant relaxation</v>
      </c>
    </row>
    <row r="220">
      <c r="A220" s="1">
        <v>5.0</v>
      </c>
      <c r="B220" s="1" t="s">
        <v>221</v>
      </c>
      <c r="C220" t="str">
        <f>IFERROR(__xludf.DUMMYFUNCTION("GOOGLETRANSLATE(B220, ""fr"", ""en"")"),"RAS Ultra cheap, tells the time correctly. Perfect for the holidays for not killing my beautiful watch at the beach. yay")</f>
        <v>RAS Ultra cheap, tells the time correctly. Perfect for the holidays for not killing my beautiful watch at the beach. yay</v>
      </c>
    </row>
    <row r="221">
      <c r="A221" s="1">
        <v>5.0</v>
      </c>
      <c r="B221" s="1" t="s">
        <v>222</v>
      </c>
      <c r="C221" t="str">
        <f>IFERROR(__xludf.DUMMYFUNCTION("GOOGLETRANSLATE(B221, ""fr"", ""en"")"),"Product top for J hobby uses this bottle heart forLa resinet inclusion and Deco on the creation and Fimo c is quite what I wanted the colors are at the top there for a creative moment I thank you advice")</f>
        <v>Product top for J hobby uses this bottle heart forLa resinet inclusion and Deco on the creation and Fimo c is quite what I wanted the colors are at the top there for a creative moment I thank you advice</v>
      </c>
    </row>
    <row r="222">
      <c r="A222" s="1">
        <v>5.0</v>
      </c>
      <c r="B222" s="1" t="s">
        <v>223</v>
      </c>
      <c r="C222" t="str">
        <f>IFERROR(__xludf.DUMMYFUNCTION("GOOGLETRANSLATE(B222, ""fr"", ""en"")"),"diffuser for essential oils Low Price for lot but I do not think that the oils are really quality extracts as little scent")</f>
        <v>diffuser for essential oils Low Price for lot but I do not think that the oils are really quality extracts as little scent</v>
      </c>
    </row>
    <row r="223">
      <c r="A223" s="1">
        <v>5.0</v>
      </c>
      <c r="B223" s="1" t="s">
        <v>224</v>
      </c>
      <c r="C223" t="str">
        <f>IFERROR(__xludf.DUMMYFUNCTION("GOOGLETRANSLATE(B223, ""fr"", ""en"")"),"perfect perfect")</f>
        <v>perfect perfect</v>
      </c>
    </row>
    <row r="224">
      <c r="A224" s="1">
        <v>5.0</v>
      </c>
      <c r="B224" s="1" t="s">
        <v>225</v>
      </c>
      <c r="C224" t="str">
        <f>IFERROR(__xludf.DUMMYFUNCTION("GOOGLETRANSLATE(B224, ""fr"", ""en"")"),"They are perfect even prettier in person than in the picture. They carve well and are comfortable. The material above is dirty too quickly.")</f>
        <v>They are perfect even prettier in person than in the picture. They carve well and are comfortable. The material above is dirty too quickly.</v>
      </c>
    </row>
    <row r="225">
      <c r="A225" s="1">
        <v>5.0</v>
      </c>
      <c r="B225" s="1" t="s">
        <v>226</v>
      </c>
      <c r="C225" t="str">
        <f>IFERROR(__xludf.DUMMYFUNCTION("GOOGLETRANSLATE(B225, ""fr"", ""en"")"),"Super super practical when you have to move and avoid taking big box of milk! I also use it for the night to have already prepared dosages and gain precious seconds on the preparation of Bibi !! I love the little spout to avoid to put everywhere, especial"&amp;"ly at night when you're not awake!")</f>
        <v>Super super practical when you have to move and avoid taking big box of milk! I also use it for the night to have already prepared dosages and gain precious seconds on the preparation of Bibi !! I love the little spout to avoid to put everywhere, especially at night when you're not awake!</v>
      </c>
    </row>
    <row r="226">
      <c r="A226" s="1">
        <v>5.0</v>
      </c>
      <c r="B226" s="1" t="s">
        <v>227</v>
      </c>
      <c r="C226" t="str">
        <f>IFERROR(__xludf.DUMMYFUNCTION("GOOGLETRANSLATE(B226, ""fr"", ""en"")"),"👍 👍 Magnificent")</f>
        <v>👍 👍 Magnificent</v>
      </c>
    </row>
    <row r="227">
      <c r="A227" s="1">
        <v>5.0</v>
      </c>
      <c r="B227" s="1" t="s">
        <v>228</v>
      </c>
      <c r="C227" t="str">
        <f>IFERROR(__xludf.DUMMYFUNCTION("GOOGLETRANSLATE(B227, ""fr"", ""en"")"),"Satisfied These shoes are very light and well espouse the shape of the foot to see in everyday use")</f>
        <v>Satisfied These shoes are very light and well espouse the shape of the foot to see in everyday use</v>
      </c>
    </row>
    <row r="228">
      <c r="A228" s="1">
        <v>5.0</v>
      </c>
      <c r="B228" s="1" t="s">
        <v>229</v>
      </c>
      <c r="C228" t="str">
        <f>IFERROR(__xludf.DUMMYFUNCTION("GOOGLETRANSLATE(B228, ""fr"", ""en"")"),"My new allies every day. I struggled to get used to foam the early days. Once she took the form of my ears, it was perfect! The sound is really good, the wheel will turn down the sound without having to leave their phone or iPod or other. I was pleasantly"&amp;" surprised to discover that they used hands-free kit with which you can answer and end calls. The magnets avoids nodes. But above the material makes them almost impossible son was tangled. I recommend.")</f>
        <v>My new allies every day. I struggled to get used to foam the early days. Once she took the form of my ears, it was perfect! The sound is really good, the wheel will turn down the sound without having to leave their phone or iPod or other. I was pleasantly surprised to discover that they used hands-free kit with which you can answer and end calls. The magnets avoids nodes. But above the material makes them almost impossible son was tangled. I recommend.</v>
      </c>
    </row>
    <row r="229">
      <c r="A229" s="1">
        <v>5.0</v>
      </c>
      <c r="B229" s="1" t="s">
        <v>230</v>
      </c>
      <c r="C229" t="str">
        <f>IFERROR(__xludf.DUMMYFUNCTION("GOOGLETRANSLATE(B229, ""fr"", ""en"")"),"Perfect ! These teats correspond to those I usually use, we find the number 4 for the fast flow. I am very satisfied with my purchase.")</f>
        <v>Perfect ! These teats correspond to those I usually use, we find the number 4 for the fast flow. I am very satisfied with my purchase.</v>
      </c>
    </row>
    <row r="230">
      <c r="A230" s="1">
        <v>2.0</v>
      </c>
      <c r="B230" s="1" t="s">
        <v>231</v>
      </c>
      <c r="C230" t="str">
        <f>IFERROR(__xludf.DUMMYFUNCTION("GOOGLETRANSLATE(B230, ""fr"", ""en"")"),"No basketball Adidas When signals a brand I would only have this one .. and not something else. ..")</f>
        <v>No basketball Adidas When signals a brand I would only have this one .. and not something else. ..</v>
      </c>
    </row>
    <row r="231">
      <c r="A231" s="1">
        <v>1.0</v>
      </c>
      <c r="B231" s="1" t="s">
        <v>232</v>
      </c>
      <c r="C231" t="str">
        <f>IFERROR(__xludf.DUMMYFUNCTION("GOOGLETRANSLATE(B231, ""fr"", ""en"")"),"Do not worth price are poor quality leather! Damaged after only 3 days with its slide system rape her leather disappointed ..")</f>
        <v>Do not worth price are poor quality leather! Damaged after only 3 days with its slide system rape her leather disappointed ..</v>
      </c>
    </row>
    <row r="232">
      <c r="A232" s="1">
        <v>1.0</v>
      </c>
      <c r="B232" s="1" t="s">
        <v>233</v>
      </c>
      <c r="C232" t="str">
        <f>IFERROR(__xludf.DUMMYFUNCTION("GOOGLETRANSLATE(B232, ""fr"", ""en"")"),"bad quality sound I was completely disappointed with the sound quality for these headphones, there is no basis and parasites in her ....... I did not valid !!!!!")</f>
        <v>bad quality sound I was completely disappointed with the sound quality for these headphones, there is no basis and parasites in her ....... I did not valid !!!!!</v>
      </c>
    </row>
    <row r="233">
      <c r="A233" s="1">
        <v>3.0</v>
      </c>
      <c r="B233" s="1" t="s">
        <v>234</v>
      </c>
      <c r="C233" t="str">
        <f>IFERROR(__xludf.DUMMYFUNCTION("GOOGLETRANSLATE(B233, ""fr"", ""en"")"),"Although small size but good quality Beautiful bracelet. Only flat, small size")</f>
        <v>Although small size but good quality Beautiful bracelet. Only flat, small size</v>
      </c>
    </row>
    <row r="234">
      <c r="A234" s="1">
        <v>4.0</v>
      </c>
      <c r="B234" s="1" t="s">
        <v>235</v>
      </c>
      <c r="C234" t="str">
        <f>IFERROR(__xludf.DUMMYFUNCTION("GOOGLETRANSLATE(B234, ""fr"", ""en"")"),"Very light to try but a little small")</f>
        <v>Very light to try but a little small</v>
      </c>
    </row>
    <row r="235">
      <c r="A235" s="1">
        <v>4.0</v>
      </c>
      <c r="B235" s="1" t="s">
        <v>236</v>
      </c>
      <c r="C235" t="str">
        <f>IFERROR(__xludf.DUMMYFUNCTION("GOOGLETRANSLATE(B235, ""fr"", ""en"")"),"Pleasantly surprised to 7euros Frankly I was not expecting that at all. The sound quality and really well, maintaining cool but good for running is not practical then personally I have never seen earphone wire with practice to run. But really Super listen"&amp;"er")</f>
        <v>Pleasantly surprised to 7euros Frankly I was not expecting that at all. The sound quality and really well, maintaining cool but good for running is not practical then personally I have never seen earphone wire with practice to run. But really Super listener</v>
      </c>
    </row>
    <row r="236">
      <c r="A236" s="1">
        <v>4.0</v>
      </c>
      <c r="B236" s="1" t="s">
        <v>237</v>
      </c>
      <c r="C236" t="str">
        <f>IFERROR(__xludf.DUMMYFUNCTION("GOOGLETRANSLATE(B236, ""fr"", ""en"")"),"Beautiful necklace Very satisfied necklace quite what I expected and more !!! I recommend it to all my ladies ..")</f>
        <v>Beautiful necklace Very satisfied necklace quite what I expected and more !!! I recommend it to all my ladies ..</v>
      </c>
    </row>
    <row r="237">
      <c r="A237" s="1">
        <v>4.0</v>
      </c>
      <c r="B237" s="1" t="s">
        <v>238</v>
      </c>
      <c r="C237" t="str">
        <f>IFERROR(__xludf.DUMMYFUNCTION("GOOGLETRANSLATE(B237, ""fr"", ""en"")"),"perfect for traveling small footprint and does his job.")</f>
        <v>perfect for traveling small footprint and does his job.</v>
      </c>
    </row>
    <row r="238">
      <c r="A238" s="1">
        <v>5.0</v>
      </c>
      <c r="B238" s="1" t="s">
        <v>239</v>
      </c>
      <c r="C238" t="str">
        <f>IFERROR(__xludf.DUMMYFUNCTION("GOOGLETRANSLATE(B238, ""fr"", ""en"")"),"Floor lamp Delivered very quickly with Prime, this lamp is what I was looking at the right price. The height is well suited for use near a sofa, brightness adjustment is significant for a good reading comfort. In addition, consumption is low thanks to LED"&amp;"s. Very happy with my new lamp!")</f>
        <v>Floor lamp Delivered very quickly with Prime, this lamp is what I was looking at the right price. The height is well suited for use near a sofa, brightness adjustment is significant for a good reading comfort. In addition, consumption is low thanks to LEDs. Very happy with my new lamp!</v>
      </c>
    </row>
    <row r="239">
      <c r="A239" s="1">
        <v>5.0</v>
      </c>
      <c r="B239" s="1" t="s">
        <v>240</v>
      </c>
      <c r="C239" t="str">
        <f>IFERROR(__xludf.DUMMYFUNCTION("GOOGLETRANSLATE(B239, ""fr"", ""en"")"),"Command beautiful hoodie impeccable in terms of size and quality .Epais and keeps warm. Thank you also for packaging. Congratulations to the entire team AMAZON;")</f>
        <v>Command beautiful hoodie impeccable in terms of size and quality .Epais and keeps warm. Thank you also for packaging. Congratulations to the entire team AMAZON;</v>
      </c>
    </row>
    <row r="240">
      <c r="A240" s="1">
        <v>5.0</v>
      </c>
      <c r="B240" s="1" t="s">
        <v>241</v>
      </c>
      <c r="C240" t="str">
        <f>IFERROR(__xludf.DUMMYFUNCTION("GOOGLETRANSLATE(B240, ""fr"", ""en"")"),"safe values. Great")</f>
        <v>safe values. Great</v>
      </c>
    </row>
    <row r="241">
      <c r="A241" s="1">
        <v>5.0</v>
      </c>
      <c r="B241" s="1" t="s">
        <v>242</v>
      </c>
      <c r="C241" t="str">
        <f>IFERROR(__xludf.DUMMYFUNCTION("GOOGLETRANSLATE(B241, ""fr"", ""en"")"),"Nothing wrong Value / price, especially if one has both a blue card reader and other VITAL card. Whatever the quality of the paper we get dabs a bit on the edges!")</f>
        <v>Nothing wrong Value / price, especially if one has both a blue card reader and other VITAL card. Whatever the quality of the paper we get dabs a bit on the edges!</v>
      </c>
    </row>
    <row r="242">
      <c r="A242" s="1">
        <v>5.0</v>
      </c>
      <c r="B242" s="1" t="s">
        <v>243</v>
      </c>
      <c r="C242" t="str">
        <f>IFERROR(__xludf.DUMMYFUNCTION("GOOGLETRANSLATE(B242, ""fr"", ""en"")"),"Super My son loves the cake is the book jumped for joy upon receipt A real pleasure as the rest of the collection and especially quality for the price. I highly recommend")</f>
        <v>Super My son loves the cake is the book jumped for joy upon receipt A real pleasure as the rest of the collection and especially quality for the price. I highly recommend</v>
      </c>
    </row>
    <row r="243">
      <c r="A243" s="1">
        <v>5.0</v>
      </c>
      <c r="B243" s="1" t="s">
        <v>244</v>
      </c>
      <c r="C243" t="str">
        <f>IFERROR(__xludf.DUMMYFUNCTION("GOOGLETRANSLATE(B243, ""fr"", ""en"")"),"hs hs")</f>
        <v>hs hs</v>
      </c>
    </row>
    <row r="244">
      <c r="A244" s="1">
        <v>5.0</v>
      </c>
      <c r="B244" s="1" t="s">
        <v>245</v>
      </c>
      <c r="C244" t="str">
        <f>IFERROR(__xludf.DUMMYFUNCTION("GOOGLETRANSLATE(B244, ""fr"", ""en"")"),"Super nice shoes nice and light to wear safety")</f>
        <v>Super nice shoes nice and light to wear safety</v>
      </c>
    </row>
    <row r="245">
      <c r="A245" s="1">
        <v>5.0</v>
      </c>
      <c r="B245" s="1" t="s">
        <v>246</v>
      </c>
      <c r="C245" t="str">
        <f>IFERROR(__xludf.DUMMYFUNCTION("GOOGLETRANSLATE(B245, ""fr"", ""en"")"),"Having great many worries back, this mattress is perfect. It relaxes me and I even manage to sleep m above. I recommend")</f>
        <v>Having great many worries back, this mattress is perfect. It relaxes me and I even manage to sleep m above. I recommend</v>
      </c>
    </row>
    <row r="246">
      <c r="A246" s="1">
        <v>5.0</v>
      </c>
      <c r="B246" s="1" t="s">
        <v>247</v>
      </c>
      <c r="C246" t="str">
        <f>IFERROR(__xludf.DUMMYFUNCTION("GOOGLETRANSLATE(B246, ""fr"", ""en"")"),"good good bags bags comply, not fragile (I do not understand the negative comments about it). strong ties and that work well")</f>
        <v>good good bags bags comply, not fragile (I do not understand the negative comments about it). strong ties and that work well</v>
      </c>
    </row>
    <row r="247">
      <c r="A247" s="1">
        <v>5.0</v>
      </c>
      <c r="B247" s="1" t="s">
        <v>248</v>
      </c>
      <c r="C247" t="str">
        <f>IFERROR(__xludf.DUMMYFUNCTION("GOOGLETRANSLATE(B247, ""fr"", ""en"")"),"Super nothing negative to say. these cartridges are just great. How I have thought of it before buying it. Epson is so expensive. YES gift I recommend this pack ... bravo !!!")</f>
        <v>Super nothing negative to say. these cartridges are just great. How I have thought of it before buying it. Epson is so expensive. YES gift I recommend this pack ... bravo !!!</v>
      </c>
    </row>
    <row r="248">
      <c r="A248" s="1">
        <v>5.0</v>
      </c>
      <c r="B248" s="1" t="s">
        <v>249</v>
      </c>
      <c r="C248" t="str">
        <f>IFERROR(__xludf.DUMMYFUNCTION("GOOGLETRANSLATE(B248, ""fr"", ""en"")"),"To open easily, slide the zipper between the thumb and forefinger (do not pull) The quality is good and the thickness is correct and sufficient for my use I use them to store and classify especially electronic components such as resistors ( see photo) I r"&amp;"ecommend")</f>
        <v>To open easily, slide the zipper between the thumb and forefinger (do not pull) The quality is good and the thickness is correct and sufficient for my use I use them to store and classify especially electronic components such as resistors ( see photo) I recommend</v>
      </c>
    </row>
    <row r="249">
      <c r="A249" s="1">
        <v>5.0</v>
      </c>
      <c r="B249" s="1" t="s">
        <v>250</v>
      </c>
      <c r="C249" t="str">
        <f>IFERROR(__xludf.DUMMYFUNCTION("GOOGLETRANSLATE(B249, ""fr"", ""en"")"),"Chausson City This is the best! I put on the 45 so I followed the recommendations and ordered above. Comfortable as ever. I feel already be doing me in later life. But they are excellent for walking.")</f>
        <v>Chausson City This is the best! I put on the 45 so I followed the recommendations and ordered above. Comfortable as ever. I feel already be doing me in later life. But they are excellent for walking.</v>
      </c>
    </row>
    <row r="250">
      <c r="A250" s="1">
        <v>5.0</v>
      </c>
      <c r="B250" s="1" t="s">
        <v>251</v>
      </c>
      <c r="C250" t="str">
        <f>IFERROR(__xludf.DUMMYFUNCTION("GOOGLETRANSLATE(B250, ""fr"", ""en"")"),"quality earphones quality wireless. They are stylish design. The cargo box is very beautiful and the materials are of quality. The headphones perform their role, music and phone calls are very good. We can answer or hang from the headphones. Similarly, it"&amp;" is possible to manage music from the headphones. Equally important, the headphones tight fit in the ears. pads of various sizes come with headphones, which makes finding an appropriate size to his ears. In short, well finished, nice and very convenient.")</f>
        <v>quality earphones quality wireless. They are stylish design. The cargo box is very beautiful and the materials are of quality. The headphones perform their role, music and phone calls are very good. We can answer or hang from the headphones. Similarly, it is possible to manage music from the headphones. Equally important, the headphones tight fit in the ears. pads of various sizes come with headphones, which makes finding an appropriate size to his ears. In short, well finished, nice and very convenient.</v>
      </c>
    </row>
    <row r="251">
      <c r="A251" s="1">
        <v>5.0</v>
      </c>
      <c r="B251" s="1" t="s">
        <v>252</v>
      </c>
      <c r="C251" t="str">
        <f>IFERROR(__xludf.DUMMYFUNCTION("GOOGLETRANSLATE(B251, ""fr"", ""en"")"),"I'm glad the 37 usual size. Fast delivery nothing to say. The basketball and like the picture")</f>
        <v>I'm glad the 37 usual size. Fast delivery nothing to say. The basketball and like the picture</v>
      </c>
    </row>
    <row r="252">
      <c r="A252" s="1">
        <v>5.0</v>
      </c>
      <c r="B252" s="1" t="s">
        <v>253</v>
      </c>
      <c r="C252" t="str">
        <f>IFERROR(__xludf.DUMMYFUNCTION("GOOGLETRANSLATE(B252, ""fr"", ""en"")"),"Epatant Epatant for a disabled person who can now walk in a more assured manner.")</f>
        <v>Epatant Epatant for a disabled person who can now walk in a more assured manner.</v>
      </c>
    </row>
    <row r="253">
      <c r="A253" s="1">
        <v>2.0</v>
      </c>
      <c r="B253" s="1" t="s">
        <v>254</v>
      </c>
      <c r="C253" t="str">
        <f>IFERROR(__xludf.DUMMYFUNCTION("GOOGLETRANSLATE(B253, ""fr"", ""en"")"),"Comfort A little disappointed by the size")</f>
        <v>Comfort A little disappointed by the size</v>
      </c>
    </row>
    <row r="254">
      <c r="A254" s="1">
        <v>1.0</v>
      </c>
      <c r="B254" s="1" t="s">
        <v>255</v>
      </c>
      <c r="C254" t="str">
        <f>IFERROR(__xludf.DUMMYFUNCTION("GOOGLETRANSLATE(B254, ""fr"", ""en"")"),"Attention scam I have ordered 4 pairs received only a pair of socks and bath s has nothing to do with the pictures of the product as rigid sole attention not on the bad experience with this merchant phototrès")</f>
        <v>Attention scam I have ordered 4 pairs received only a pair of socks and bath s has nothing to do with the pictures of the product as rigid sole attention not on the bad experience with this merchant phototrès</v>
      </c>
    </row>
    <row r="255">
      <c r="A255" s="1">
        <v>3.0</v>
      </c>
      <c r="B255" s="1" t="s">
        <v>256</v>
      </c>
      <c r="C255" t="str">
        <f>IFERROR(__xludf.DUMMYFUNCTION("GOOGLETRANSLATE(B255, ""fr"", ""en"")"),"Beautiful watch It reminds me watch my mother's child. So I bought it. I previously had another casio with plastic bracelet that irritated me. No problem with this one. Too bad the backlight is not present. Difficult to see in the morning in the winter. E"&amp;"specially when one has been accustomed by another Casio. The digital screen is too small and I'm using that for the date.")</f>
        <v>Beautiful watch It reminds me watch my mother's child. So I bought it. I previously had another casio with plastic bracelet that irritated me. No problem with this one. Too bad the backlight is not present. Difficult to see in the morning in the winter. Especially when one has been accustomed by another Casio. The digital screen is too small and I'm using that for the date.</v>
      </c>
    </row>
    <row r="256">
      <c r="A256" s="1">
        <v>3.0</v>
      </c>
      <c r="B256" s="1" t="s">
        <v>257</v>
      </c>
      <c r="C256" t="str">
        <f>IFERROR(__xludf.DUMMYFUNCTION("GOOGLETRANSLATE(B256, ""fr"", ""en"")"),"Quite small size provide half size up .. Resistant year")</f>
        <v>Quite small size provide half size up .. Resistant year</v>
      </c>
    </row>
    <row r="257">
      <c r="A257" s="1">
        <v>4.0</v>
      </c>
      <c r="B257" s="1" t="s">
        <v>258</v>
      </c>
      <c r="C257" t="str">
        <f>IFERROR(__xludf.DUMMYFUNCTION("GOOGLETRANSLATE(B257, ""fr"", ""en"")"),"Very correct. I bought these headphones to listen to the TV without being bothered by noisy neighbors. Reduction of acceptable noise (except for the dog lol), his very correct stereo (with a 4K Ultra HD TV), it connects easily and quickly. It's just a lit"&amp;"tle big, it would be perfect if we could tighten the helmet. I recommend for big heads or men.")</f>
        <v>Very correct. I bought these headphones to listen to the TV without being bothered by noisy neighbors. Reduction of acceptable noise (except for the dog lol), his very correct stereo (with a 4K Ultra HD TV), it connects easily and quickly. It's just a little big, it would be perfect if we could tighten the helmet. I recommend for big heads or men.</v>
      </c>
    </row>
    <row r="258">
      <c r="A258" s="1">
        <v>4.0</v>
      </c>
      <c r="B258" s="1" t="s">
        <v>259</v>
      </c>
      <c r="C258" t="str">
        <f>IFERROR(__xludf.DUMMYFUNCTION("GOOGLETRANSLATE(B258, ""fr"", ""en"")"),"Although Despite its size a little smaller than expected for the 43 1/3, these hiking boots if really nice outside, I recommend very strongly to the track or flat surfaces because the spikes degrades very quickly")</f>
        <v>Although Despite its size a little smaller than expected for the 43 1/3, these hiking boots if really nice outside, I recommend very strongly to the track or flat surfaces because the spikes degrades very quickly</v>
      </c>
    </row>
    <row r="259">
      <c r="A259" s="1">
        <v>4.0</v>
      </c>
      <c r="B259" s="1" t="s">
        <v>260</v>
      </c>
      <c r="C259" t="str">
        <f>IFERROR(__xludf.DUMMYFUNCTION("GOOGLETRANSLATE(B259, ""fr"", ""en"")"),"Very comfortable and aesthetic rather Footwear 42.5 I did not take any risks by buying this pair 43. The price was good and the shoes are comfortable! I recommend.")</f>
        <v>Very comfortable and aesthetic rather Footwear 42.5 I did not take any risks by buying this pair 43. The price was good and the shoes are comfortable! I recommend.</v>
      </c>
    </row>
    <row r="260">
      <c r="A260" s="1">
        <v>4.0</v>
      </c>
      <c r="B260" s="1" t="s">
        <v>261</v>
      </c>
      <c r="C260" t="str">
        <f>IFERROR(__xludf.DUMMYFUNCTION("GOOGLETRANSLATE(B260, ""fr"", ""en"")"),"good product ca returned too happy with the product, beautiful and con fortable but for the larger size than expected since I put the usual 38 while damage")</f>
        <v>good product ca returned too happy with the product, beautiful and con fortable but for the larger size than expected since I put the usual 38 while damage</v>
      </c>
    </row>
    <row r="261">
      <c r="A261" s="1">
        <v>5.0</v>
      </c>
      <c r="B261" s="1" t="s">
        <v>262</v>
      </c>
      <c r="C261" t="str">
        <f>IFERROR(__xludf.DUMMYFUNCTION("GOOGLETRANSLATE(B261, ""fr"", ""en"")"),"According to the product description Super")</f>
        <v>According to the product description Super</v>
      </c>
    </row>
    <row r="262">
      <c r="A262" s="1">
        <v>5.0</v>
      </c>
      <c r="B262" s="1" t="s">
        <v>263</v>
      </c>
      <c r="C262" t="str">
        <f>IFERROR(__xludf.DUMMYFUNCTION("GOOGLETRANSLATE(B262, ""fr"", ""en"")"),"Great! Mules very pleasant both for the home as for sport or went to the pool. Good resistance and comfortable walking!")</f>
        <v>Great! Mules very pleasant both for the home as for sport or went to the pool. Good resistance and comfortable walking!</v>
      </c>
    </row>
    <row r="263">
      <c r="A263" s="1">
        <v>5.0</v>
      </c>
      <c r="B263" s="1" t="s">
        <v>264</v>
      </c>
      <c r="C263" t="str">
        <f>IFERROR(__xludf.DUMMYFUNCTION("GOOGLETRANSLATE(B263, ""fr"", ""en"")"),"Excellent walking shoes (no hiking) I bought these shoes for my trip to Israel, wanting to take the opportunity to change shoes. I was totally satisfied because doing more than 10km walk early days, these shoes were perfectly comfortable and resistant. I "&amp;"now bears almost daily and the result is just as satisfying. Excellent walking shoes. But these are not hiking shoes course, however.")</f>
        <v>Excellent walking shoes (no hiking) I bought these shoes for my trip to Israel, wanting to take the opportunity to change shoes. I was totally satisfied because doing more than 10km walk early days, these shoes were perfectly comfortable and resistant. I now bears almost daily and the result is just as satisfying. Excellent walking shoes. But these are not hiking shoes course, however.</v>
      </c>
    </row>
    <row r="264">
      <c r="A264" s="1">
        <v>5.0</v>
      </c>
      <c r="B264" s="1" t="s">
        <v>265</v>
      </c>
      <c r="C264" t="str">
        <f>IFERROR(__xludf.DUMMYFUNCTION("GOOGLETRANSLATE(B264, ""fr"", ""en"")"),"Top I bought this mic he came good mic super good quality sound good condition ideal for karaoke worth it for reccomend")</f>
        <v>Top I bought this mic he came good mic super good quality sound good condition ideal for karaoke worth it for reccomend</v>
      </c>
    </row>
    <row r="265">
      <c r="A265" s="1">
        <v>5.0</v>
      </c>
      <c r="B265" s="1" t="s">
        <v>266</v>
      </c>
      <c r="C265" t="str">
        <f>IFERROR(__xludf.DUMMYFUNCTION("GOOGLETRANSLATE(B265, ""fr"", ""en"")"),"Excellent quality Frankly, I do not regret this purchase! Excellent acoustic quality, and really hearing protection (the simple act of putting on the ears: amazing, almost mean nothing around you). I used it when there was a lot of noise around me, and I "&amp;"could not hear anything but the movie I was watching. In addition, the headset is very strong and very wearable")</f>
        <v>Excellent quality Frankly, I do not regret this purchase! Excellent acoustic quality, and really hearing protection (the simple act of putting on the ears: amazing, almost mean nothing around you). I used it when there was a lot of noise around me, and I could not hear anything but the movie I was watching. In addition, the headset is very strong and very wearable</v>
      </c>
    </row>
    <row r="266">
      <c r="A266" s="1">
        <v>5.0</v>
      </c>
      <c r="B266" s="1" t="s">
        <v>267</v>
      </c>
      <c r="C266" t="str">
        <f>IFERROR(__xludf.DUMMYFUNCTION("GOOGLETRANSLATE(B266, ""fr"", ""en"")"),"Great ! Fits the description, no worries")</f>
        <v>Great ! Fits the description, no worries</v>
      </c>
    </row>
    <row r="267">
      <c r="A267" s="1">
        <v>5.0</v>
      </c>
      <c r="B267" s="1" t="s">
        <v>268</v>
      </c>
      <c r="C267" t="str">
        <f>IFERROR(__xludf.DUMMYFUNCTION("GOOGLETRANSLATE(B267, ""fr"", ""en"")"),"Perfect. Perfect.")</f>
        <v>Perfect. Perfect.</v>
      </c>
    </row>
    <row r="268">
      <c r="A268" s="1">
        <v>5.0</v>
      </c>
      <c r="B268" s="1" t="s">
        <v>269</v>
      </c>
      <c r="C268" t="str">
        <f>IFERROR(__xludf.DUMMYFUNCTION("GOOGLETRANSLATE(B268, ""fr"", ""en"")"),"Bluetooth headphones bluetooth headphones grandd quality with good ergonomics. The design is comfortable and does not interfere during Leport. The sound quality is excellent. The functions are classic but functional.")</f>
        <v>Bluetooth headphones bluetooth headphones grandd quality with good ergonomics. The design is comfortable and does not interfere during Leport. The sound quality is excellent. The functions are classic but functional.</v>
      </c>
    </row>
    <row r="269">
      <c r="A269" s="1">
        <v>5.0</v>
      </c>
      <c r="B269" s="1" t="s">
        <v>270</v>
      </c>
      <c r="C269" t="str">
        <f>IFERROR(__xludf.DUMMYFUNCTION("GOOGLETRANSLATE(B269, ""fr"", ""en"")"),"Perfect Very happy! The plastic film adheres well and is easy to use")</f>
        <v>Perfect Very happy! The plastic film adheres well and is easy to use</v>
      </c>
    </row>
    <row r="270">
      <c r="A270" s="1">
        <v>5.0</v>
      </c>
      <c r="B270" s="1" t="s">
        <v>271</v>
      </c>
      <c r="C270" t="str">
        <f>IFERROR(__xludf.DUMMYFUNCTION("GOOGLETRANSLATE(B270, ""fr"", ""en"")"),"Beautiful ear loop My wife loved")</f>
        <v>Beautiful ear loop My wife loved</v>
      </c>
    </row>
    <row r="271">
      <c r="A271" s="1">
        <v>5.0</v>
      </c>
      <c r="B271" s="1" t="s">
        <v>272</v>
      </c>
      <c r="C271" t="str">
        <f>IFERROR(__xludf.DUMMYFUNCTION("GOOGLETRANSLATE(B271, ""fr"", ""en"")"),"Very nice bag good finish. To see in the time but I'm satisfied with my purchase. The iPad Pro comes in so I'm happy. I advise.")</f>
        <v>Very nice bag good finish. To see in the time but I'm satisfied with my purchase. The iPad Pro comes in so I'm happy. I advise.</v>
      </c>
    </row>
    <row r="272">
      <c r="A272" s="1">
        <v>5.0</v>
      </c>
      <c r="B272" s="1" t="s">
        <v>273</v>
      </c>
      <c r="C272" t="str">
        <f>IFERROR(__xludf.DUMMYFUNCTION("GOOGLETRANSLATE(B272, ""fr"", ""en"")"),"as planned I have found the ones I had in years!")</f>
        <v>as planned I have found the ones I had in years!</v>
      </c>
    </row>
    <row r="273">
      <c r="A273" s="1">
        <v>5.0</v>
      </c>
      <c r="B273" s="1" t="s">
        <v>274</v>
      </c>
      <c r="C273" t="str">
        <f>IFERROR(__xludf.DUMMYFUNCTION("GOOGLETRANSLATE(B273, ""fr"", ""en"")"),"Soda Very good value for money. Buy to do my laundry. It performs these functions. A pod is in the box.")</f>
        <v>Soda Very good value for money. Buy to do my laundry. It performs these functions. A pod is in the box.</v>
      </c>
    </row>
    <row r="274">
      <c r="A274" s="1">
        <v>5.0</v>
      </c>
      <c r="B274" s="1" t="s">
        <v>275</v>
      </c>
      <c r="C274" t="str">
        <f>IFERROR(__xludf.DUMMYFUNCTION("GOOGLETRANSLATE(B274, ""fr"", ""en"")"),"My father love it! A perfect gift for my dad, that's chic!")</f>
        <v>My father love it! A perfect gift for my dad, that's chic!</v>
      </c>
    </row>
    <row r="275">
      <c r="A275" s="1">
        <v>5.0</v>
      </c>
      <c r="B275" s="1" t="s">
        <v>276</v>
      </c>
      <c r="C275" t="str">
        <f>IFERROR(__xludf.DUMMYFUNCTION("GOOGLETRANSLATE(B275, ""fr"", ""en"")"),"well flush")</f>
        <v>well flush</v>
      </c>
    </row>
    <row r="276">
      <c r="A276" s="1">
        <v>2.0</v>
      </c>
      <c r="B276" s="1" t="s">
        <v>277</v>
      </c>
      <c r="C276" t="str">
        <f>IFERROR(__xludf.DUMMYFUNCTION("GOOGLETRANSLATE(B276, ""fr"", ""en"")"),"1 microphone already operates more Hello shame equipment used little faith microphone does not work. what should I do ? I refer you? The life is not correct. cordially")</f>
        <v>1 microphone already operates more Hello shame equipment used little faith microphone does not work. what should I do ? I refer you? The life is not correct. cordially</v>
      </c>
    </row>
    <row r="277">
      <c r="A277" s="1">
        <v>1.0</v>
      </c>
      <c r="B277" s="1" t="s">
        <v>278</v>
      </c>
      <c r="C277" t="str">
        <f>IFERROR(__xludf.DUMMYFUNCTION("GOOGLETRANSLATE(B277, ""fr"", ""en"")"),"Too thin thickness of 50 microns is too late! and the zip is not close.")</f>
        <v>Too thin thickness of 50 microns is too late! and the zip is not close.</v>
      </c>
    </row>
    <row r="278">
      <c r="A278" s="1">
        <v>1.0</v>
      </c>
      <c r="B278" s="1" t="s">
        <v>279</v>
      </c>
      <c r="C278" t="str">
        <f>IFERROR(__xludf.DUMMYFUNCTION("GOOGLETRANSLATE(B278, ""fr"", ""en"")"),"Cardigan coat too small rather a vest")</f>
        <v>Cardigan coat too small rather a vest</v>
      </c>
    </row>
    <row r="279">
      <c r="A279" s="1">
        <v>3.0</v>
      </c>
      <c r="B279" s="1" t="s">
        <v>280</v>
      </c>
      <c r="C279" t="str">
        <f>IFERROR(__xludf.DUMMYFUNCTION("GOOGLETRANSLATE(B279, ""fr"", ""en"")"),"end model and pretty but disappointing matter. order arrived quickly, but disappointed by the product, intended as a Christmas gift. The model is nice for a girl, but money gives an impression of stainless ... therefore feel ""cheap"". Gift returned, dama"&amp;"ge ....")</f>
        <v>end model and pretty but disappointing matter. order arrived quickly, but disappointed by the product, intended as a Christmas gift. The model is nice for a girl, but money gives an impression of stainless ... therefore feel "cheap". Gift returned, damage ....</v>
      </c>
    </row>
    <row r="280">
      <c r="A280" s="1">
        <v>4.0</v>
      </c>
      <c r="B280" s="1" t="s">
        <v>281</v>
      </c>
      <c r="C280" t="str">
        <f>IFERROR(__xludf.DUMMYFUNCTION("GOOGLETRANSLATE(B280, ""fr"", ""en"")"),"prodiut good use every day, I walk a lot.")</f>
        <v>prodiut good use every day, I walk a lot.</v>
      </c>
    </row>
    <row r="281">
      <c r="A281" s="1">
        <v>4.0</v>
      </c>
      <c r="B281" s="1" t="s">
        <v>282</v>
      </c>
      <c r="C281" t="str">
        <f>IFERROR(__xludf.DUMMYFUNCTION("GOOGLETRANSLATE(B281, ""fr"", ""en"")"),"Fabrice Good product and great price value. The strap is a bit less flexible than the original pattern")</f>
        <v>Fabrice Good product and great price value. The strap is a bit less flexible than the original pattern</v>
      </c>
    </row>
    <row r="282">
      <c r="A282" s="1">
        <v>4.0</v>
      </c>
      <c r="B282" s="1" t="s">
        <v>283</v>
      </c>
      <c r="C282" t="str">
        <f>IFERROR(__xludf.DUMMYFUNCTION("GOOGLETRANSLATE(B282, ""fr"", ""en"")"),"good product this revival looks good and is very aesthetic; pilot function is very convenient at bedtime and it also lights up when it rings; it is fairly simple to use, it is the first awakening of my 6 year old son and he chose the ""ringing"" of birds "&amp;"to wake up, it is very happy.")</f>
        <v>good product this revival looks good and is very aesthetic; pilot function is very convenient at bedtime and it also lights up when it rings; it is fairly simple to use, it is the first awakening of my 6 year old son and he chose the "ringing" of birds to wake up, it is very happy.</v>
      </c>
    </row>
    <row r="283">
      <c r="A283" s="1">
        <v>4.0</v>
      </c>
      <c r="B283" s="1" t="s">
        <v>284</v>
      </c>
      <c r="C283" t="str">
        <f>IFERROR(__xludf.DUMMYFUNCTION("GOOGLETRANSLATE(B283, ""fr"", ""en"")"),"Good product Good product very attractive The chain length is perfect and beautiful pendant It has many more once offered")</f>
        <v>Good product Good product very attractive The chain length is perfect and beautiful pendant It has many more once offered</v>
      </c>
    </row>
    <row r="284">
      <c r="A284" s="1">
        <v>5.0</v>
      </c>
      <c r="B284" s="1" t="s">
        <v>285</v>
      </c>
      <c r="C284" t="str">
        <f>IFERROR(__xludf.DUMMYFUNCTION("GOOGLETRANSLATE(B284, ""fr"", ""en"")"),"Compliant. Cartridges line with my expectations with the little extra: an envelope to recycle those old cartridges. For this you just need to drag your old cartridges in these envelopes. Shut up and post here ... No stamps, no complications!")</f>
        <v>Compliant. Cartridges line with my expectations with the little extra: an envelope to recycle those old cartridges. For this you just need to drag your old cartridges in these envelopes. Shut up and post here ... No stamps, no complications!</v>
      </c>
    </row>
    <row r="285">
      <c r="A285" s="1">
        <v>5.0</v>
      </c>
      <c r="B285" s="1" t="s">
        <v>286</v>
      </c>
      <c r="C285" t="str">
        <f>IFERROR(__xludf.DUMMYFUNCTION("GOOGLETRANSLATE(B285, ""fr"", ""en"")"),"Comment on my purchase I did not read this book but arrived in good condition, that's exactly what I expected.")</f>
        <v>Comment on my purchase I did not read this book but arrived in good condition, that's exactly what I expected.</v>
      </c>
    </row>
    <row r="286">
      <c r="A286" s="1">
        <v>5.0</v>
      </c>
      <c r="B286" s="1" t="s">
        <v>287</v>
      </c>
      <c r="C286" t="str">
        <f>IFERROR(__xludf.DUMMYFUNCTION("GOOGLETRANSLATE(B286, ""fr"", ""en"")"),"Great show! It is now 4 months that I have this watch and I can tell you that I am absolutely not on! The watch is very nice, super well finished and is rather accurate. Excellent value. Watch higher as a 2ER0001B East for connoisseurs. To buy eyes closed"&amp;".")</f>
        <v>Great show! It is now 4 months that I have this watch and I can tell you that I am absolutely not on! The watch is very nice, super well finished and is rather accurate. Excellent value. Watch higher as a 2ER0001B East for connoisseurs. To buy eyes closed.</v>
      </c>
    </row>
    <row r="287">
      <c r="A287" s="1">
        <v>5.0</v>
      </c>
      <c r="B287" s="1" t="s">
        <v>288</v>
      </c>
      <c r="C287" t="str">
        <f>IFERROR(__xludf.DUMMYFUNCTION("GOOGLETRANSLATE(B287, ""fr"", ""en"")"),"Really good! Good size does not slip! Perfect!!")</f>
        <v>Really good! Good size does not slip! Perfect!!</v>
      </c>
    </row>
    <row r="288">
      <c r="A288" s="1">
        <v>5.0</v>
      </c>
      <c r="B288" s="1" t="s">
        <v>289</v>
      </c>
      <c r="C288" t="str">
        <f>IFERROR(__xludf.DUMMYFUNCTION("GOOGLETRANSLATE(B288, ""fr"", ""en"")"),"Good product A nice pair of shoes size as provided for usually I need time to adapt, blisters, sore feet But then none of these problems they are very comfortable for the quality or time Dams")</f>
        <v>Good product A nice pair of shoes size as provided for usually I need time to adapt, blisters, sore feet But then none of these problems they are very comfortable for the quality or time Dams</v>
      </c>
    </row>
    <row r="289">
      <c r="A289" s="1">
        <v>5.0</v>
      </c>
      <c r="B289" s="1" t="s">
        <v>290</v>
      </c>
      <c r="C289" t="str">
        <f>IFERROR(__xludf.DUMMYFUNCTION("GOOGLETRANSLATE(B289, ""fr"", ""en"")"),"Perfect Very good brushes. With both pallets that's great. It is suitable for any kind of paintings in the consistent descriptions. I recommend them delivered quickly.")</f>
        <v>Perfect Very good brushes. With both pallets that's great. It is suitable for any kind of paintings in the consistent descriptions. I recommend them delivered quickly.</v>
      </c>
    </row>
    <row r="290">
      <c r="A290" s="1">
        <v>5.0</v>
      </c>
      <c r="B290" s="1" t="s">
        <v>291</v>
      </c>
      <c r="C290" t="str">
        <f>IFERROR(__xludf.DUMMYFUNCTION("GOOGLETRANSLATE(B290, ""fr"", ""en"")"),"That life is very short is far from the number of photo-copy described by the manufacturer; Personally I do a lot of copies version ""draft"" and I can not get the quantity set by the manufacturer, while version ""optimal"" I will not tell. cordially")</f>
        <v>That life is very short is far from the number of photo-copy described by the manufacturer; Personally I do a lot of copies version "draft" and I can not get the quantity set by the manufacturer, while version "optimal" I will not tell. cordially</v>
      </c>
    </row>
    <row r="291">
      <c r="A291" s="1">
        <v>5.0</v>
      </c>
      <c r="B291" s="1" t="s">
        <v>292</v>
      </c>
      <c r="C291" t="str">
        <f>IFERROR(__xludf.DUMMYFUNCTION("GOOGLETRANSLATE(B291, ""fr"", ""en"")"),"Top frankly for the price it's a whole bunch of different color, there is a good amount of paint in each pot, it still has not finished a pot despite that we often paint. The painting goes back very well in cleaning the clothes or other attention through "&amp;"against if unfortunately you have put on the wood must be cleaned quickly because the color will sink into matter")</f>
        <v>Top frankly for the price it's a whole bunch of different color, there is a good amount of paint in each pot, it still has not finished a pot despite that we often paint. The painting goes back very well in cleaning the clothes or other attention through against if unfortunately you have put on the wood must be cleaned quickly because the color will sink into matter</v>
      </c>
    </row>
    <row r="292">
      <c r="A292" s="1">
        <v>5.0</v>
      </c>
      <c r="B292" s="1" t="s">
        <v>293</v>
      </c>
      <c r="C292" t="str">
        <f>IFERROR(__xludf.DUMMYFUNCTION("GOOGLETRANSLATE(B292, ""fr"", ""en"")"),"Super nice Vans thank you")</f>
        <v>Super nice Vans thank you</v>
      </c>
    </row>
    <row r="293">
      <c r="A293" s="1">
        <v>5.0</v>
      </c>
      <c r="B293" s="1" t="s">
        <v>294</v>
      </c>
      <c r="C293" t="str">
        <f>IFERROR(__xludf.DUMMYFUNCTION("GOOGLETRANSLATE(B293, ""fr"", ""en"")"),"My good father loves them too. She is super mega solid. It has been already 3 months without any modification.")</f>
        <v>My good father loves them too. She is super mega solid. It has been already 3 months without any modification.</v>
      </c>
    </row>
    <row r="294">
      <c r="A294" s="1">
        <v>5.0</v>
      </c>
      <c r="B294" s="1" t="s">
        <v>295</v>
      </c>
      <c r="C294" t="str">
        <f>IFERROR(__xludf.DUMMYFUNCTION("GOOGLETRANSLATE(B294, ""fr"", ""en"")"),"Very good very good silky reinforcement and washing remains")</f>
        <v>Very good very good silky reinforcement and washing remains</v>
      </c>
    </row>
    <row r="295">
      <c r="A295" s="1">
        <v>5.0</v>
      </c>
      <c r="B295" s="1" t="s">
        <v>296</v>
      </c>
      <c r="C295" t="str">
        <f>IFERROR(__xludf.DUMMYFUNCTION("GOOGLETRANSLATE(B295, ""fr"", ""en"")"),"better than VideoMic Pro Rode more convenient, more accurate, a semi-professional camera at an affordable price")</f>
        <v>better than VideoMic Pro Rode more convenient, more accurate, a semi-professional camera at an affordable price</v>
      </c>
    </row>
    <row r="296">
      <c r="A296" s="1">
        <v>5.0</v>
      </c>
      <c r="B296" s="1" t="s">
        <v>297</v>
      </c>
      <c r="C296" t="str">
        <f>IFERROR(__xludf.DUMMYFUNCTION("GOOGLETRANSLATE(B296, ""fr"", ""en"")"),"well made light Perfect for elderly")</f>
        <v>well made light Perfect for elderly</v>
      </c>
    </row>
    <row r="297">
      <c r="A297" s="1">
        <v>5.0</v>
      </c>
      <c r="B297" s="1" t="s">
        <v>298</v>
      </c>
      <c r="C297" t="str">
        <f>IFERROR(__xludf.DUMMYFUNCTION("GOOGLETRANSLATE(B297, ""fr"", ""en"")"),"Beautiful colors and pigmented pencil Beautiful, beautiful colors, the color of flesh so rare in children pencil boxes. All support side and aquarelable gives them more.")</f>
        <v>Beautiful colors and pigmented pencil Beautiful, beautiful colors, the color of flesh so rare in children pencil boxes. All support side and aquarelable gives them more.</v>
      </c>
    </row>
    <row r="298">
      <c r="A298" s="1">
        <v>5.0</v>
      </c>
      <c r="B298" s="1" t="s">
        <v>299</v>
      </c>
      <c r="C298" t="str">
        <f>IFERROR(__xludf.DUMMYFUNCTION("GOOGLETRANSLATE(B298, ""fr"", ""en"")"),"very elegant great size and sublime rendering. My 12 year old loves. Warning size just taken 36 while she wears jeans size 34. I recommend")</f>
        <v>very elegant great size and sublime rendering. My 12 year old loves. Warning size just taken 36 while she wears jeans size 34. I recommend</v>
      </c>
    </row>
    <row r="299">
      <c r="A299" s="1">
        <v>2.0</v>
      </c>
      <c r="B299" s="1" t="s">
        <v>300</v>
      </c>
      <c r="C299" t="str">
        <f>IFERROR(__xludf.DUMMYFUNCTION("GOOGLETRANSLATE(B299, ""fr"", ""en"")"),"Bracelet imitation leather, demand a real leather strap as in descrip I'm not sure that the bracelet or genuine leather ?? Thank you so much . Request a strap conforms to the sale ie leather")</f>
        <v>Bracelet imitation leather, demand a real leather strap as in descrip I'm not sure that the bracelet or genuine leather ?? Thank you so much . Request a strap conforms to the sale ie leather</v>
      </c>
    </row>
    <row r="300">
      <c r="A300" s="1">
        <v>1.0</v>
      </c>
      <c r="B300" s="1" t="s">
        <v>301</v>
      </c>
      <c r="C300" t="str">
        <f>IFERROR(__xludf.DUMMYFUNCTION("GOOGLETRANSLATE(B300, ""fr"", ""en"")"),"Counterfeiting possible! As I have read in previous reviews, it seems that the shoes that I received are also counterfeit. Flashcodes behind the tabs have been burned in four points (soldering iron I think) and the serial numbers also, more leather qualit"&amp;"y is very plastic / synthetic. Finally the shape of the shoe seems wider than the original Converse. Apart from that, they are pretty well finished, they will hold up walking three times a week? I'm disappointed because even though I was looking for the c"&amp;"heapest price I would not end up with imitations. The removal process seemed too restrictive so I abdicated. It is me repeat in the future.")</f>
        <v>Counterfeiting possible! As I have read in previous reviews, it seems that the shoes that I received are also counterfeit. Flashcodes behind the tabs have been burned in four points (soldering iron I think) and the serial numbers also, more leather quality is very plastic / synthetic. Finally the shape of the shoe seems wider than the original Converse. Apart from that, they are pretty well finished, they will hold up walking three times a week? I'm disappointed because even though I was looking for the cheapest price I would not end up with imitations. The removal process seemed too restrictive so I abdicated. It is me repeat in the future.</v>
      </c>
    </row>
    <row r="301">
      <c r="A301" s="1">
        <v>3.0</v>
      </c>
      <c r="B301" s="1" t="s">
        <v>302</v>
      </c>
      <c r="C301" t="str">
        <f>IFERROR(__xludf.DUMMYFUNCTION("GOOGLETRANSLATE(B301, ""fr"", ""en"")"),"Seems consistent I bought this filter holder to replace the previous, which gave signs of oxidation. Apparently, it is identical to the original. Is the verroullage will hold up? This is the future that will tell.")</f>
        <v>Seems consistent I bought this filter holder to replace the previous, which gave signs of oxidation. Apparently, it is identical to the original. Is the verroullage will hold up? This is the future that will tell.</v>
      </c>
    </row>
    <row r="302">
      <c r="A302" s="1">
        <v>3.0</v>
      </c>
      <c r="B302" s="1" t="s">
        <v>303</v>
      </c>
      <c r="C302" t="str">
        <f>IFERROR(__xludf.DUMMYFUNCTION("GOOGLETRANSLATE(B302, ""fr"", ""en"")"),"Delicate and lightweight Not very good quality")</f>
        <v>Delicate and lightweight Not very good quality</v>
      </c>
    </row>
    <row r="303">
      <c r="A303" s="1">
        <v>4.0</v>
      </c>
      <c r="B303" s="1" t="s">
        <v>304</v>
      </c>
      <c r="C303" t="str">
        <f>IFERROR(__xludf.DUMMYFUNCTION("GOOGLETRANSLATE(B303, ""fr"", ""en"")"),"Good value For now quality product. Hoping that it continues with the passage of time. Anyway excellent value.")</f>
        <v>Good value For now quality product. Hoping that it continues with the passage of time. Anyway excellent value.</v>
      </c>
    </row>
    <row r="304">
      <c r="A304" s="1">
        <v>4.0</v>
      </c>
      <c r="B304" s="1" t="s">
        <v>305</v>
      </c>
      <c r="C304" t="str">
        <f>IFERROR(__xludf.DUMMYFUNCTION("GOOGLETRANSLATE(B304, ""fr"", ""en"")"),"Pink Shoes Getting by has new plastic smell that persists I am satisfied with my purchases. They are very comfortable")</f>
        <v>Pink Shoes Getting by has new plastic smell that persists I am satisfied with my purchases. They are very comfortable</v>
      </c>
    </row>
    <row r="305">
      <c r="A305" s="1">
        <v>4.0</v>
      </c>
      <c r="B305" s="1" t="s">
        <v>306</v>
      </c>
      <c r="C305" t="str">
        <f>IFERROR(__xludf.DUMMYFUNCTION("GOOGLETRANSLATE(B305, ""fr"", ""en"")"),"Helmet for girls I like pink is girly pretty helmet against I think we should handle the bow gently as seems fragile to see the time")</f>
        <v>Helmet for girls I like pink is girly pretty helmet against I think we should handle the bow gently as seems fragile to see the time</v>
      </c>
    </row>
    <row r="306">
      <c r="A306" s="1">
        <v>4.0</v>
      </c>
      <c r="B306" s="1" t="s">
        <v>307</v>
      </c>
      <c r="C306" t="str">
        <f>IFERROR(__xludf.DUMMYFUNCTION("GOOGLETRANSLATE(B306, ""fr"", ""en"")"),"jogging jogging trousers or tea Fruit Loom ordered XL but a little big, take a size below, if not all cotton lint made some I put 4 stars.")</f>
        <v>jogging jogging trousers or tea Fruit Loom ordered XL but a little big, take a size below, if not all cotton lint made some I put 4 stars.</v>
      </c>
    </row>
    <row r="307">
      <c r="A307" s="1">
        <v>4.0</v>
      </c>
      <c r="B307" s="1" t="s">
        <v>308</v>
      </c>
      <c r="C307" t="str">
        <f>IFERROR(__xludf.DUMMYFUNCTION("GOOGLETRANSLATE(B307, ""fr"", ""en"")"),"His top Good but di headphone headband is a headache when worn long (after 45 min train I start to feel)")</f>
        <v>His top Good but di headphone headband is a headache when worn long (after 45 min train I start to feel)</v>
      </c>
    </row>
    <row r="308">
      <c r="A308" s="1">
        <v>5.0</v>
      </c>
      <c r="B308" s="1" t="s">
        <v>309</v>
      </c>
      <c r="C308" t="str">
        <f>IFERROR(__xludf.DUMMYFUNCTION("GOOGLETRANSLATE(B308, ""fr"", ""en"")"),"steal The order arrived super fast. The sandals are perfect to size and with a nice matte finish. I recommend this purchase.")</f>
        <v>steal The order arrived super fast. The sandals are perfect to size and with a nice matte finish. I recommend this purchase.</v>
      </c>
    </row>
    <row r="309">
      <c r="A309" s="1">
        <v>5.0</v>
      </c>
      <c r="B309" s="1" t="s">
        <v>310</v>
      </c>
      <c r="C309" t="str">
        <f>IFERROR(__xludf.DUMMYFUNCTION("GOOGLETRANSLATE(B309, ""fr"", ""en"")"),"ideal for calls A good headset for calls because the voice is clear and the microphone works well. it is easy to pair with any device and can be recharged simply by placing it on the dock and it recharges. Batery lasts about 5-6 hours of continuous use. T"&amp;"he music quality is also good, but as it is only mono, I advise you not to use it to listen to music or watching movies.")</f>
        <v>ideal for calls A good headset for calls because the voice is clear and the microphone works well. it is easy to pair with any device and can be recharged simply by placing it on the dock and it recharges. Batery lasts about 5-6 hours of continuous use. The music quality is also good, but as it is only mono, I advise you not to use it to listen to music or watching movies.</v>
      </c>
    </row>
    <row r="310">
      <c r="A310" s="1">
        <v>5.0</v>
      </c>
      <c r="B310" s="1" t="s">
        <v>311</v>
      </c>
      <c r="C310" t="str">
        <f>IFERROR(__xludf.DUMMYFUNCTION("GOOGLETRANSLATE(B310, ""fr"", ""en"")"),"Okay Perfect")</f>
        <v>Okay Perfect</v>
      </c>
    </row>
    <row r="311">
      <c r="A311" s="1">
        <v>5.0</v>
      </c>
      <c r="B311" s="1" t="s">
        <v>312</v>
      </c>
      <c r="C311" t="str">
        <f>IFERROR(__xludf.DUMMYFUNCTION("GOOGLETRANSLATE(B311, ""fr"", ""en"")"),"Good amount satisfied, pretty good size and I valid")</f>
        <v>Good amount satisfied, pretty good size and I valid</v>
      </c>
    </row>
    <row r="312">
      <c r="A312" s="1">
        <v>5.0</v>
      </c>
      <c r="B312" s="1" t="s">
        <v>313</v>
      </c>
      <c r="C312" t="str">
        <f>IFERROR(__xludf.DUMMYFUNCTION("GOOGLETRANSLATE(B312, ""fr"", ""en"")"),"well for 10 years offered a small scientific, children and very happy parents of this gift that has served this summer")</f>
        <v>well for 10 years offered a small scientific, children and very happy parents of this gift that has served this summer</v>
      </c>
    </row>
    <row r="313">
      <c r="A313" s="1">
        <v>5.0</v>
      </c>
      <c r="B313" s="1" t="s">
        <v>314</v>
      </c>
      <c r="C313" t="str">
        <f>IFERROR(__xludf.DUMMYFUNCTION("GOOGLETRANSLATE(B313, ""fr"", ""en"")"),"Perfect Super product !!!")</f>
        <v>Perfect Super product !!!</v>
      </c>
    </row>
    <row r="314">
      <c r="A314" s="1">
        <v>5.0</v>
      </c>
      <c r="B314" s="1" t="s">
        <v>315</v>
      </c>
      <c r="C314" t="str">
        <f>IFERROR(__xludf.DUMMYFUNCTION("GOOGLETRANSLATE(B314, ""fr"", ""en"")"),"Superb Superb damage some great take one size smaller than you usually put")</f>
        <v>Superb Superb damage some great take one size smaller than you usually put</v>
      </c>
    </row>
    <row r="315">
      <c r="A315" s="1">
        <v>5.0</v>
      </c>
      <c r="B315" s="1" t="s">
        <v>316</v>
      </c>
      <c r="C315" t="str">
        <f>IFERROR(__xludf.DUMMYFUNCTION("GOOGLETRANSLATE(B315, ""fr"", ""en"")"),"..And very cheap sound quality is very good, clear enough with lots of bass. The helmet is closed and can not hear too much outside even with sustained volume. Can deliver more of his that my ears do support ... I will be deaf before saturate ...; o)")</f>
        <v>..And very cheap sound quality is very good, clear enough with lots of bass. The helmet is closed and can not hear too much outside even with sustained volume. Can deliver more of his that my ears do support ... I will be deaf before saturate ...; o)</v>
      </c>
    </row>
    <row r="316">
      <c r="A316" s="1">
        <v>5.0</v>
      </c>
      <c r="B316" s="1" t="s">
        <v>317</v>
      </c>
      <c r="C316" t="str">
        <f>IFERROR(__xludf.DUMMYFUNCTION("GOOGLETRANSLATE(B316, ""fr"", ""en"")"),"Unisex shoes fangs product complies !!! and above all original .. which is not often the case .. anyway I recommend !!!")</f>
        <v>Unisex shoes fangs product complies !!! and above all original .. which is not often the case .. anyway I recommend !!!</v>
      </c>
    </row>
    <row r="317">
      <c r="A317" s="1">
        <v>5.0</v>
      </c>
      <c r="B317" s="1" t="s">
        <v>318</v>
      </c>
      <c r="C317" t="str">
        <f>IFERROR(__xludf.DUMMYFUNCTION("GOOGLETRANSLATE(B317, ""fr"", ""en"")"),"Meets Good product")</f>
        <v>Meets Good product</v>
      </c>
    </row>
    <row r="318">
      <c r="A318" s="1">
        <v>5.0</v>
      </c>
      <c r="B318" s="1" t="s">
        <v>319</v>
      </c>
      <c r="C318" t="str">
        <f>IFERROR(__xludf.DUMMYFUNCTION("GOOGLETRANSLATE(B318, ""fr"", ""en"")"),"Perfect Nothing to say. The tool is very good and more enjoyable than the original strap. No big problem. Really perfect. A facelift for my watch")</f>
        <v>Perfect Nothing to say. The tool is very good and more enjoyable than the original strap. No big problem. Really perfect. A facelift for my watch</v>
      </c>
    </row>
    <row r="319">
      <c r="A319" s="1">
        <v>5.0</v>
      </c>
      <c r="B319" s="1" t="s">
        <v>320</v>
      </c>
      <c r="C319" t="str">
        <f>IFERROR(__xludf.DUMMYFUNCTION("GOOGLETRANSLATE(B319, ""fr"", ""en"")"),"What impeccable as no need to buy shoes 200 € 33,99 more than enough I love")</f>
        <v>What impeccable as no need to buy shoes 200 € 33,99 more than enough I love</v>
      </c>
    </row>
    <row r="320">
      <c r="A320" s="1">
        <v>5.0</v>
      </c>
      <c r="B320" s="1" t="s">
        <v>321</v>
      </c>
      <c r="C320" t="str">
        <f>IFERROR(__xludf.DUMMYFUNCTION("GOOGLETRANSLATE(B320, ""fr"", ""en"")"),"Perfect I have not installed yet because the previous bought earlier this year still works and I said that I use a lot.")</f>
        <v>Perfect I have not installed yet because the previous bought earlier this year still works and I said that I use a lot.</v>
      </c>
    </row>
    <row r="321">
      <c r="A321" s="1">
        <v>5.0</v>
      </c>
      <c r="B321" s="1" t="s">
        <v>322</v>
      </c>
      <c r="C321" t="str">
        <f>IFERROR(__xludf.DUMMYFUNCTION("GOOGLETRANSLATE(B321, ""fr"", ""en"")"),"I recommend Super bottle, I'll buy a second batch")</f>
        <v>I recommend Super bottle, I'll buy a second batch</v>
      </c>
    </row>
    <row r="322">
      <c r="A322" s="1">
        <v>5.0</v>
      </c>
      <c r="B322" s="1" t="s">
        <v>323</v>
      </c>
      <c r="C322" t="str">
        <f>IFERROR(__xludf.DUMMYFUNCTION("GOOGLETRANSLATE(B322, ""fr"", ""en"")"),"Beautiful shoes and comfort shoes guaranteed good quality and very comfortable, good price, I received the product into the desired colors, received quickly, what more, satisfied")</f>
        <v>Beautiful shoes and comfort shoes guaranteed good quality and very comfortable, good price, I received the product into the desired colors, received quickly, what more, satisfied</v>
      </c>
    </row>
    <row r="323">
      <c r="A323" s="1">
        <v>2.0</v>
      </c>
      <c r="B323" s="1" t="s">
        <v>324</v>
      </c>
      <c r="C323" t="str">
        <f>IFERROR(__xludf.DUMMYFUNCTION("GOOGLETRANSLATE(B323, ""fr"", ""en"")"),"Disappointed I already bought a ""Pants Sports Leggings woman sports jogging Gray Capri pants running YOGA, L"" It's great. I wanted to take the same black. On the same line of product, in the same reference, I thought this one was the same in another col"&amp;"or. Mistake ! Even XL is too small, while the L gray suits me very well, and the material is very unpleasant. Very disappointed and no way to contact the seller to know why the two references are different when they are sold on the same designation.")</f>
        <v>Disappointed I already bought a "Pants Sports Leggings woman sports jogging Gray Capri pants running YOGA, L" It's great. I wanted to take the same black. On the same line of product, in the same reference, I thought this one was the same in another color. Mistake ! Even XL is too small, while the L gray suits me very well, and the material is very unpleasant. Very disappointed and no way to contact the seller to know why the two references are different when they are sold on the same designation.</v>
      </c>
    </row>
    <row r="324">
      <c r="A324" s="1">
        <v>1.0</v>
      </c>
      <c r="B324" s="1" t="s">
        <v>325</v>
      </c>
      <c r="C324" t="str">
        <f>IFERROR(__xludf.DUMMYFUNCTION("GOOGLETRANSLATE(B324, ""fr"", ""en"")"),"Wand massager. Since I have received, this unit does not support the load. Once branch flashing a while and then stops without vibrate by pressing the power button stop.")</f>
        <v>Wand massager. Since I have received, this unit does not support the load. Once branch flashing a while and then stops without vibrate by pressing the power button stop.</v>
      </c>
    </row>
    <row r="325">
      <c r="A325" s="1">
        <v>1.0</v>
      </c>
      <c r="B325" s="1" t="s">
        <v>326</v>
      </c>
      <c r="C325" t="str">
        <f>IFERROR(__xludf.DUMMYFUNCTION("GOOGLETRANSLATE(B325, ""fr"", ""en"")"),"Small! The loops are really small, on aphotos they seemed a little larger. They are all really small")</f>
        <v>Small! The loops are really small, on aphotos they seemed a little larger. They are all really small</v>
      </c>
    </row>
    <row r="326">
      <c r="A326" s="1">
        <v>3.0</v>
      </c>
      <c r="B326" s="1" t="s">
        <v>327</v>
      </c>
      <c r="C326" t="str">
        <f>IFERROR(__xludf.DUMMYFUNCTION("GOOGLETRANSLATE(B326, ""fr"", ""en"")"),"It is very good and practical with two brushes, one for bottles and small for teats 5 months since I use it and still as good.")</f>
        <v>It is very good and practical with two brushes, one for bottles and small for teats 5 months since I use it and still as good.</v>
      </c>
    </row>
    <row r="327">
      <c r="A327" s="1">
        <v>3.0</v>
      </c>
      <c r="B327" s="1" t="s">
        <v>328</v>
      </c>
      <c r="C327" t="str">
        <f>IFERROR(__xludf.DUMMYFUNCTION("GOOGLETRANSLATE(B327, ""fr"", ""en"")"),"Once and then leaves Single use sponge nor bad it is a sponge that cleans well and produces lightweight and comfortable to handle")</f>
        <v>Once and then leaves Single use sponge nor bad it is a sponge that cleans well and produces lightweight and comfortable to handle</v>
      </c>
    </row>
    <row r="328">
      <c r="A328" s="1">
        <v>4.0</v>
      </c>
      <c r="B328" s="1" t="s">
        <v>329</v>
      </c>
      <c r="C328" t="str">
        <f>IFERROR(__xludf.DUMMYFUNCTION("GOOGLETRANSLATE(B328, ""fr"", ""en"")"),"Very nice Here is an ideal book to tempt your children to invent and create their own comics. Book purchased for a birthday of a child of 9 years and it really hooked. Sometimes it is necessary that the adult is present to explain a bit but the book is ve"&amp;"ry accessible and progressive. Especially it stimulates their creativity other than always playing the game console :-) In short a very good buy; if you have several children are copying and rainy days the kids will want more.")</f>
        <v>Very nice Here is an ideal book to tempt your children to invent and create their own comics. Book purchased for a birthday of a child of 9 years and it really hooked. Sometimes it is necessary that the adult is present to explain a bit but the book is very accessible and progressive. Especially it stimulates their creativity other than always playing the game console :-) In short a very good buy; if you have several children are copying and rainy days the kids will want more.</v>
      </c>
    </row>
    <row r="329">
      <c r="A329" s="1">
        <v>4.0</v>
      </c>
      <c r="B329" s="1" t="s">
        <v>330</v>
      </c>
      <c r="C329" t="str">
        <f>IFERROR(__xludf.DUMMYFUNCTION("GOOGLETRANSLATE(B329, ""fr"", ""en"")"),"Great value for Practice by its quick drying.")</f>
        <v>Great value for Practice by its quick drying.</v>
      </c>
    </row>
    <row r="330">
      <c r="A330" s="1">
        <v>4.0</v>
      </c>
      <c r="B330" s="1" t="s">
        <v>331</v>
      </c>
      <c r="C330" t="str">
        <f>IFERROR(__xludf.DUMMYFUNCTION("GOOGLETRANSLATE(B330, ""fr"", ""en"")"),"As usual excellent product with pascde converse problem. Right size parfaitement.rien to say that good and quality")</f>
        <v>As usual excellent product with pascde converse problem. Right size parfaitement.rien to say that good and quality</v>
      </c>
    </row>
    <row r="331">
      <c r="A331" s="1">
        <v>4.0</v>
      </c>
      <c r="B331" s="1" t="s">
        <v>332</v>
      </c>
      <c r="C331" t="str">
        <f>IFERROR(__xludf.DUMMYFUNCTION("GOOGLETRANSLATE(B331, ""fr"", ""en"")"),"More than satisfied - Very good pair of shoes that are expected size (I Done 43) .I've taken because it is cheaper and more original than the nike air force one.Avec a vintage style I recommend")</f>
        <v>More than satisfied - Very good pair of shoes that are expected size (I Done 43) .I've taken because it is cheaper and more original than the nike air force one.Avec a vintage style I recommend</v>
      </c>
    </row>
    <row r="332">
      <c r="A332" s="1">
        <v>5.0</v>
      </c>
      <c r="B332" s="1" t="s">
        <v>333</v>
      </c>
      <c r="C332" t="str">
        <f>IFERROR(__xludf.DUMMYFUNCTION("GOOGLETRANSLATE(B332, ""fr"", ""en"")"),"comfortable Top")</f>
        <v>comfortable Top</v>
      </c>
    </row>
    <row r="333">
      <c r="A333" s="1">
        <v>5.0</v>
      </c>
      <c r="B333" s="1" t="s">
        <v>334</v>
      </c>
      <c r="C333" t="str">
        <f>IFERROR(__xludf.DUMMYFUNCTION("GOOGLETRANSLATE(B333, ""fr"", ""en"")"),"Very pretty ! I put on the May 40 I took 40.5 and it's perfect!")</f>
        <v>Very pretty ! I put on the May 40 I took 40.5 and it's perfect!</v>
      </c>
    </row>
    <row r="334">
      <c r="A334" s="1">
        <v>5.0</v>
      </c>
      <c r="B334" s="1" t="s">
        <v>335</v>
      </c>
      <c r="C334" t="str">
        <f>IFERROR(__xludf.DUMMYFUNCTION("GOOGLETRANSLATE(B334, ""fr"", ""en"")"),"basketball glossy black puma super happy with these beautiful shiny black puma sneakers come with two pairs of laces: a classic and another pair of lace ribbon! they are very comfortable, it is very comfortable in, the only concern for me is the size: I t"&amp;"ook a 37 but they are a little larger, a 36.5 would have been enough, but with a sole to inside it's good bonus and faster delivery than expected and top price 29 euros instead of 69 euros!")</f>
        <v>basketball glossy black puma super happy with these beautiful shiny black puma sneakers come with two pairs of laces: a classic and another pair of lace ribbon! they are very comfortable, it is very comfortable in, the only concern for me is the size: I took a 37 but they are a little larger, a 36.5 would have been enough, but with a sole to inside it's good bonus and faster delivery than expected and top price 29 euros instead of 69 euros!</v>
      </c>
    </row>
    <row r="335">
      <c r="A335" s="1">
        <v>5.0</v>
      </c>
      <c r="B335" s="1" t="s">
        <v>336</v>
      </c>
      <c r="C335" t="str">
        <f>IFERROR(__xludf.DUMMYFUNCTION("GOOGLETRANSLATE(B335, ""fr"", ""en"")"),"Great Service Very satisfied with these batteries .....")</f>
        <v>Great Service Very satisfied with these batteries .....</v>
      </c>
    </row>
    <row r="336">
      <c r="A336" s="1">
        <v>5.0</v>
      </c>
      <c r="B336" s="1" t="s">
        <v>337</v>
      </c>
      <c r="C336" t="str">
        <f>IFERROR(__xludf.DUMMYFUNCTION("GOOGLETRANSLATE(B336, ""fr"", ""en"")"),"good price / quality value / price")</f>
        <v>good price / quality value / price</v>
      </c>
    </row>
    <row r="337">
      <c r="A337" s="1">
        <v>5.0</v>
      </c>
      <c r="B337" s="1" t="s">
        <v>338</v>
      </c>
      <c r="C337" t="str">
        <f>IFERROR(__xludf.DUMMYFUNCTION("GOOGLETRANSLATE(B337, ""fr"", ""en"")"),"The Excellent rode VideoMic me excellent sound quality I am very satisfied with this product")</f>
        <v>The Excellent rode VideoMic me excellent sound quality I am very satisfied with this product</v>
      </c>
    </row>
    <row r="338">
      <c r="A338" s="1">
        <v>5.0</v>
      </c>
      <c r="B338" s="1" t="s">
        <v>339</v>
      </c>
      <c r="C338" t="str">
        <f>IFERROR(__xludf.DUMMYFUNCTION("GOOGLETRANSLATE(B338, ""fr"", ""en"")"),"Delighted with this purchase Stunning socks with a nice foot support I highly recommend this product I took three lots for my man and I think I'll take my son also")</f>
        <v>Delighted with this purchase Stunning socks with a nice foot support I highly recommend this product I took three lots for my man and I think I'll take my son also</v>
      </c>
    </row>
    <row r="339">
      <c r="A339" s="1">
        <v>5.0</v>
      </c>
      <c r="B339" s="1" t="s">
        <v>340</v>
      </c>
      <c r="C339" t="str">
        <f>IFERROR(__xludf.DUMMYFUNCTION("GOOGLETRANSLATE(B339, ""fr"", ""en"")"),"Quality watch The black background on display is not very easy to read at first kick but by tilting the watch is good! Appearance very solid, the temperature is correct Once set! precision between 0.2 and 0.5 degrees near !! if the door must take into acc"&amp;"ount the T wrist so subtract degrees for the exact T !! air !! Bracelet very good!")</f>
        <v>Quality watch The black background on display is not very easy to read at first kick but by tilting the watch is good! Appearance very solid, the temperature is correct Once set! precision between 0.2 and 0.5 degrees near !! if the door must take into account the T wrist so subtract degrees for the exact T !! air !! Bracelet very good!</v>
      </c>
    </row>
    <row r="340">
      <c r="A340" s="1">
        <v>5.0</v>
      </c>
      <c r="B340" s="1" t="s">
        <v>341</v>
      </c>
      <c r="C340" t="str">
        <f>IFERROR(__xludf.DUMMYFUNCTION("GOOGLETRANSLATE(B340, ""fr"", ""en"")"),"Nothing to say Easy to clean and assemble, enough to branch égouter several bottles / teats / cap. Think to clean the party or listening to the water not it languishes!")</f>
        <v>Nothing to say Easy to clean and assemble, enough to branch égouter several bottles / teats / cap. Think to clean the party or listening to the water not it languishes!</v>
      </c>
    </row>
    <row r="341">
      <c r="A341" s="1">
        <v>5.0</v>
      </c>
      <c r="B341" s="1" t="s">
        <v>342</v>
      </c>
      <c r="C341" t="str">
        <f>IFERROR(__xludf.DUMMYFUNCTION("GOOGLETRANSLATE(B341, ""fr"", ""en"")"),"Perfect Very good value for money. They are very comfortable and the visual and consistent with the picture. Very satisfied. I recommend.")</f>
        <v>Perfect Very good value for money. They are very comfortable and the visual and consistent with the picture. Very satisfied. I recommend.</v>
      </c>
    </row>
    <row r="342">
      <c r="A342" s="1">
        <v>5.0</v>
      </c>
      <c r="B342" s="1" t="s">
        <v>343</v>
      </c>
      <c r="C342" t="str">
        <f>IFERROR(__xludf.DUMMYFUNCTION("GOOGLETRANSLATE(B342, ""fr"", ""en"")"),"Perfect for baby! My daughter with GERD since birth, she drinks milk AR and I have to add him a thickening (MAGIC MIX) so to get it all in a pacifier I will not tell the story but with no worries these nipples! The mixture goes perfectly and the speed is "&amp;"not too fast nor too slow. She uses it for his 3 months. Beware though because when I happened to forget to put the MAGIC MIX flow was too fast for her (she was 4 months) so I suggest these pacifiers for babies who drink milk AR + thickener otherwise it i"&amp;"s better stay on flow 2. Product received in good condition and the scheduled day.")</f>
        <v>Perfect for baby! My daughter with GERD since birth, she drinks milk AR and I have to add him a thickening (MAGIC MIX) so to get it all in a pacifier I will not tell the story but with no worries these nipples! The mixture goes perfectly and the speed is not too fast nor too slow. She uses it for his 3 months. Beware though because when I happened to forget to put the MAGIC MIX flow was too fast for her (she was 4 months) so I suggest these pacifiers for babies who drink milk AR + thickener otherwise it is better stay on flow 2. Product received in good condition and the scheduled day.</v>
      </c>
    </row>
    <row r="343">
      <c r="A343" s="1">
        <v>5.0</v>
      </c>
      <c r="B343" s="1" t="s">
        <v>344</v>
      </c>
      <c r="C343" t="str">
        <f>IFERROR(__xludf.DUMMYFUNCTION("GOOGLETRANSLATE(B343, ""fr"", ""en"")"),"beautiful I have bought the DVD for my nephew who is 4 years so ever seen, he loved it makes me one now and it's already looking 4 times so that it s like I bought him the lion king 2")</f>
        <v>beautiful I have bought the DVD for my nephew who is 4 years so ever seen, he loved it makes me one now and it's already looking 4 times so that it s like I bought him the lion king 2</v>
      </c>
    </row>
    <row r="344">
      <c r="A344" s="1">
        <v>5.0</v>
      </c>
      <c r="B344" s="1" t="s">
        <v>345</v>
      </c>
      <c r="C344" t="str">
        <f>IFERROR(__xludf.DUMMYFUNCTION("GOOGLETRANSLATE(B344, ""fr"", ""en"")"),"Perfect take one size bigger. Super, we must actually take a size above the usual but good quality item.")</f>
        <v>Perfect take one size bigger. Super, we must actually take a size above the usual but good quality item.</v>
      </c>
    </row>
    <row r="345">
      <c r="A345" s="1">
        <v>5.0</v>
      </c>
      <c r="B345" s="1" t="s">
        <v>346</v>
      </c>
      <c r="C345" t="str">
        <f>IFERROR(__xludf.DUMMYFUNCTION("GOOGLETRANSLATE(B345, ""fr"", ""en"")"),"Super comfortable top. I took my size 42 and they go very well. Real slippers to walk. Very comfortable.")</f>
        <v>Super comfortable top. I took my size 42 and they go very well. Real slippers to walk. Very comfortable.</v>
      </c>
    </row>
    <row r="346">
      <c r="A346" s="1">
        <v>5.0</v>
      </c>
      <c r="B346" s="1" t="s">
        <v>347</v>
      </c>
      <c r="C346" t="str">
        <f>IFERROR(__xludf.DUMMYFUNCTION("GOOGLETRANSLATE(B346, ""fr"", ""en"")"),"Okay lamp and diffuses a pleasant scent")</f>
        <v>Okay lamp and diffuses a pleasant scent</v>
      </c>
    </row>
    <row r="347">
      <c r="A347" s="1">
        <v>2.0</v>
      </c>
      <c r="B347" s="1" t="s">
        <v>348</v>
      </c>
      <c r="C347" t="str">
        <f>IFERROR(__xludf.DUMMYFUNCTION("GOOGLETRANSLATE(B347, ""fr"", ""en"")"),"Elastic poor quality very poor. The trousers eased immediately after a few days and even before having washed. I lose then it's my size")</f>
        <v>Elastic poor quality very poor. The trousers eased immediately after a few days and even before having washed. I lose then it's my size</v>
      </c>
    </row>
    <row r="348">
      <c r="A348" s="1">
        <v>1.0</v>
      </c>
      <c r="B348" s="1" t="s">
        <v>349</v>
      </c>
      <c r="C348" t="str">
        <f>IFERROR(__xludf.DUMMYFUNCTION("GOOGLETRANSLATE(B348, ""fr"", ""en"")"),"Not bad advice Quality")</f>
        <v>Not bad advice Quality</v>
      </c>
    </row>
    <row r="349">
      <c r="A349" s="1">
        <v>1.0</v>
      </c>
      <c r="B349" s="1" t="s">
        <v>350</v>
      </c>
      <c r="C349" t="str">
        <f>IFERROR(__xludf.DUMMYFUNCTION("GOOGLETRANSLATE(B349, ""fr"", ""en"")"),"Disappointed Order March 24 and already disjointed very disappointed .. I thought it was the quality ... How ???")</f>
        <v>Disappointed Order March 24 and already disjointed very disappointed .. I thought it was the quality ... How ???</v>
      </c>
    </row>
    <row r="350">
      <c r="A350" s="1">
        <v>3.0</v>
      </c>
      <c r="B350" s="1" t="s">
        <v>351</v>
      </c>
      <c r="C350" t="str">
        <f>IFERROR(__xludf.DUMMYFUNCTION("GOOGLETRANSLATE(B350, ""fr"", ""en"")"),"Bad size. How to measure? The ring is beautiful but too big :( I have respected the photo explaining how to measure the finger of my man and yet it is not. How ?? I just ask for a return to order re smaller")</f>
        <v>Bad size. How to measure? The ring is beautiful but too big :( I have respected the photo explaining how to measure the finger of my man and yet it is not. How ?? I just ask for a return to order re smaller</v>
      </c>
    </row>
    <row r="351">
      <c r="A351" s="1">
        <v>3.0</v>
      </c>
      <c r="B351" s="1" t="s">
        <v>352</v>
      </c>
      <c r="C351" t="str">
        <f>IFERROR(__xludf.DUMMYFUNCTION("GOOGLETRANSLATE(B351, ""fr"", ""en"")"),"Take discreet sweater size and more. If the quality is not very good but for a night, it makes much effect!")</f>
        <v>Take discreet sweater size and more. If the quality is not very good but for a night, it makes much effect!</v>
      </c>
    </row>
    <row r="352">
      <c r="A352" s="1">
        <v>4.0</v>
      </c>
      <c r="B352" s="1" t="s">
        <v>353</v>
      </c>
      <c r="C352" t="str">
        <f>IFERROR(__xludf.DUMMYFUNCTION("GOOGLETRANSLATE(B352, ""fr"", ""en"")"),"RAS Okay")</f>
        <v>RAS Okay</v>
      </c>
    </row>
    <row r="353">
      <c r="A353" s="1">
        <v>4.0</v>
      </c>
      <c r="B353" s="1" t="s">
        <v>354</v>
      </c>
      <c r="C353" t="str">
        <f>IFERROR(__xludf.DUMMYFUNCTION("GOOGLETRANSLATE(B353, ""fr"", ""en"")"),"Although I liked")</f>
        <v>Although I liked</v>
      </c>
    </row>
    <row r="354">
      <c r="A354" s="1">
        <v>4.0</v>
      </c>
      <c r="B354" s="1" t="s">
        <v>355</v>
      </c>
      <c r="C354" t="str">
        <f>IFERROR(__xludf.DUMMYFUNCTION("GOOGLETRANSLATE(B354, ""fr"", ""en"")"),"Very soft and sporty chic even with a pencil skirt")</f>
        <v>Very soft and sporty chic even with a pencil skirt</v>
      </c>
    </row>
    <row r="355">
      <c r="A355" s="1">
        <v>4.0</v>
      </c>
      <c r="B355" s="1" t="s">
        <v>356</v>
      </c>
      <c r="C355" t="str">
        <f>IFERROR(__xludf.DUMMYFUNCTION("GOOGLETRANSLATE(B355, ""fr"", ""en"")"),"very pretty curls for summer go with everything!")</f>
        <v>very pretty curls for summer go with everything!</v>
      </c>
    </row>
    <row r="356">
      <c r="A356" s="1">
        <v>5.0</v>
      </c>
      <c r="B356" s="1" t="s">
        <v>357</v>
      </c>
      <c r="C356" t="str">
        <f>IFERROR(__xludf.DUMMYFUNCTION("GOOGLETRANSLATE(B356, ""fr"", ""en"")"),"A pretty functional kettle must first read the user manual. the basic information found there. I mention this is that I have read other reviews which obviously had forgotten the French pages 2 specification. No, the wire is not too short, it must be condu"&amp;"cted under the base. Do not let water after use. Do not heat the contents of a cup, but the graduated minimum amount (0.80l). Do not clean your kettle with an abrasive fabric. There is an anti-scale filter to clean regularly after 10 or 15 uses. These are"&amp;" some small details to get the maximum result of this very beautiful facilities.")</f>
        <v>A pretty functional kettle must first read the user manual. the basic information found there. I mention this is that I have read other reviews which obviously had forgotten the French pages 2 specification. No, the wire is not too short, it must be conducted under the base. Do not let water after use. Do not heat the contents of a cup, but the graduated minimum amount (0.80l). Do not clean your kettle with an abrasive fabric. There is an anti-scale filter to clean regularly after 10 or 15 uses. These are some small details to get the maximum result of this very beautiful facilities.</v>
      </c>
    </row>
    <row r="357">
      <c r="A357" s="1">
        <v>5.0</v>
      </c>
      <c r="B357" s="1" t="s">
        <v>358</v>
      </c>
      <c r="C357" t="str">
        <f>IFERROR(__xludf.DUMMYFUNCTION("GOOGLETRANSLATE(B357, ""fr"", ""en"")"),"Finally a book that meets Why Small children encyclopedia raises critical issues for small")</f>
        <v>Finally a book that meets Why Small children encyclopedia raises critical issues for small</v>
      </c>
    </row>
    <row r="358">
      <c r="A358" s="1">
        <v>5.0</v>
      </c>
      <c r="B358" s="1" t="s">
        <v>359</v>
      </c>
      <c r="C358" t="str">
        <f>IFERROR(__xludf.DUMMYFUNCTION("GOOGLETRANSLATE(B358, ""fr"", ""en"")"),"very reliable seller twelve o'clock cables to connect an electric piano to Inbox amp in a quick time")</f>
        <v>very reliable seller twelve o'clock cables to connect an electric piano to Inbox amp in a quick time</v>
      </c>
    </row>
    <row r="359">
      <c r="A359" s="1">
        <v>5.0</v>
      </c>
      <c r="B359" s="1" t="s">
        <v>360</v>
      </c>
      <c r="C359" t="str">
        <f>IFERROR(__xludf.DUMMYFUNCTION("GOOGLETRANSLATE(B359, ""fr"", ""en"")"),"Good small support Good little support that a small effect on my desk at work. do not take place and allows to put his helmet in peace")</f>
        <v>Good small support Good little support that a small effect on my desk at work. do not take place and allows to put his helmet in peace</v>
      </c>
    </row>
    <row r="360">
      <c r="A360" s="1">
        <v>5.0</v>
      </c>
      <c r="B360" s="1" t="s">
        <v>361</v>
      </c>
      <c r="C360" t="str">
        <f>IFERROR(__xludf.DUMMYFUNCTION("GOOGLETRANSLATE(B360, ""fr"", ""en"")"),"Very nice Perfect. They carve fine letting my 37 thick enough sock. In addition they are very pretty. thick sole. Super padded. Génial👍")</f>
        <v>Very nice Perfect. They carve fine letting my 37 thick enough sock. In addition they are very pretty. thick sole. Super padded. Génial👍</v>
      </c>
    </row>
    <row r="361">
      <c r="A361" s="1">
        <v>5.0</v>
      </c>
      <c r="B361" s="1" t="s">
        <v>362</v>
      </c>
      <c r="C361" t="str">
        <f>IFERROR(__xludf.DUMMYFUNCTION("GOOGLETRANSLATE(B361, ""fr"", ""en"")"),"Good quality and price. I just recently acquire these small bluetooth earphone and I must say I'm delighted! They have everything from some headphones found to sometimes more expensive rates. Here is my review after a short test: Advantages: - Touch this "&amp;"on the headphones (some have nasty pimples) - The sound is very nice, it lacks a little low in my (avid bass) - Insulation is good - Weight up to what is on the market - good audio quality during calls. - Battery level indicator with 3 LEDs Disadvantage: "&amp;"- Not applicable for best configure his headphones. - box lid a little steep for the opening. To conclude this is a very good pair of bluetooth earphone which have the merit of not being loved and all that have a good sound and virtually all qualities pre"&amp;"sent in the market, I recommend !!")</f>
        <v>Good quality and price. I just recently acquire these small bluetooth earphone and I must say I'm delighted! They have everything from some headphones found to sometimes more expensive rates. Here is my review after a short test: Advantages: - Touch this on the headphones (some have nasty pimples) - The sound is very nice, it lacks a little low in my (avid bass) - Insulation is good - Weight up to what is on the market - good audio quality during calls. - Battery level indicator with 3 LEDs Disadvantage: - Not applicable for best configure his headphones. - box lid a little steep for the opening. To conclude this is a very good pair of bluetooth earphone which have the merit of not being loved and all that have a good sound and virtually all qualities present in the market, I recommend !!</v>
      </c>
    </row>
    <row r="362">
      <c r="A362" s="1">
        <v>5.0</v>
      </c>
      <c r="B362" s="1" t="s">
        <v>363</v>
      </c>
      <c r="C362" t="str">
        <f>IFERROR(__xludf.DUMMYFUNCTION("GOOGLETRANSLATE(B362, ""fr"", ""en"")"),"Micro Wireless Bluetooth 4.1 Animation Club elders.")</f>
        <v>Micro Wireless Bluetooth 4.1 Animation Club elders.</v>
      </c>
    </row>
    <row r="363">
      <c r="A363" s="1">
        <v>5.0</v>
      </c>
      <c r="B363" s="1" t="s">
        <v>364</v>
      </c>
      <c r="C363" t="str">
        <f>IFERROR(__xludf.DUMMYFUNCTION("GOOGLETRANSLATE(B363, ""fr"", ""en"")"),"perfect no complaints, lightweight comfortable, wearable even all day")</f>
        <v>perfect no complaints, lightweight comfortable, wearable even all day</v>
      </c>
    </row>
    <row r="364">
      <c r="A364" s="1">
        <v>5.0</v>
      </c>
      <c r="B364" s="1" t="s">
        <v>365</v>
      </c>
      <c r="C364" t="str">
        <f>IFERROR(__xludf.DUMMYFUNCTION("GOOGLETRANSLATE(B364, ""fr"", ""en"")"),"vga cable moniteur1.8m good product I recommend those that should change it or bought a new vga cable")</f>
        <v>vga cable moniteur1.8m good product I recommend those that should change it or bought a new vga cable</v>
      </c>
    </row>
    <row r="365">
      <c r="A365" s="1">
        <v>5.0</v>
      </c>
      <c r="B365" s="1" t="s">
        <v>366</v>
      </c>
      <c r="C365" t="str">
        <f>IFERROR(__xludf.DUMMYFUNCTION("GOOGLETRANSLATE(B365, ""fr"", ""en"")"),"Perfect thank you I love to draw and that's exactly what I was missing I was afraid that it will have duplicates in colors but it's not! Big choice! Nothing to say without hesitation order ... very good price is more than reasonable")</f>
        <v>Perfect thank you I love to draw and that's exactly what I was missing I was afraid that it will have duplicates in colors but it's not! Big choice! Nothing to say without hesitation order ... very good price is more than reasonable</v>
      </c>
    </row>
    <row r="366">
      <c r="A366" s="1">
        <v>5.0</v>
      </c>
      <c r="B366" s="1" t="s">
        <v>367</v>
      </c>
      <c r="C366" t="str">
        <f>IFERROR(__xludf.DUMMYFUNCTION("GOOGLETRANSLATE(B366, ""fr"", ""en"")"),"Great product I bought this product in a supermarket the first time, it took a long time, whenever I had more I ordered on Amazon. This body scrub is really great! It smells good, the grains are an excellent size, it makes the skin smooth as silk. I recom"&amp;"mend !")</f>
        <v>Great product I bought this product in a supermarket the first time, it took a long time, whenever I had more I ordered on Amazon. This body scrub is really great! It smells good, the grains are an excellent size, it makes the skin smooth as silk. I recommend !</v>
      </c>
    </row>
    <row r="367">
      <c r="A367" s="1">
        <v>5.0</v>
      </c>
      <c r="B367" s="1" t="s">
        <v>368</v>
      </c>
      <c r="C367" t="str">
        <f>IFERROR(__xludf.DUMMYFUNCTION("GOOGLETRANSLATE(B367, ""fr"", ""en"")"),"Great I love them. They are simple, the pacifier I do not mind my little that is exclusively breastfed from birth (bottles used to dad can give the milk that I previously draws) Reasonable price Pass the dishwasher But better wash by hand anyway Small con"&amp;"venient size for the start (125mL) just Be careful not to let them down, no surprise they break into pieces: /")</f>
        <v>Great I love them. They are simple, the pacifier I do not mind my little that is exclusively breastfed from birth (bottles used to dad can give the milk that I previously draws) Reasonable price Pass the dishwasher But better wash by hand anyway Small convenient size for the start (125mL) just Be careful not to let them down, no surprise they break into pieces: /</v>
      </c>
    </row>
    <row r="368">
      <c r="A368" s="1">
        <v>5.0</v>
      </c>
      <c r="B368" s="1" t="s">
        <v>369</v>
      </c>
      <c r="C368" t="str">
        <f>IFERROR(__xludf.DUMMYFUNCTION("GOOGLETRANSLATE(B368, ""fr"", ""en"")"),"Good product Good product")</f>
        <v>Good product Good product</v>
      </c>
    </row>
    <row r="369">
      <c r="A369" s="1">
        <v>5.0</v>
      </c>
      <c r="B369" s="1" t="s">
        <v>370</v>
      </c>
      <c r="C369" t="str">
        <f>IFERROR(__xludf.DUMMYFUNCTION("GOOGLETRANSLATE(B369, ""fr"", ""en"")"),"Very good comfortable trres")</f>
        <v>Very good comfortable trres</v>
      </c>
    </row>
    <row r="370">
      <c r="A370" s="1">
        <v>5.0</v>
      </c>
      <c r="B370" s="1" t="s">
        <v>371</v>
      </c>
      <c r="C370" t="str">
        <f>IFERROR(__xludf.DUMMYFUNCTION("GOOGLETRANSLATE(B370, ""fr"", ""en"")"),"Just great For a long time I wanted to buy an electric diffuser but I never really wanted model that would please me. When I came across it, and reading the positive reviews, I wanted to test it ... hey well I do not regret one second my purchase! Besides"&amp;" I recommend another soon to offer so it's great. Very easy to use, perfectly diffuse the oils that I put in and it is very enjoyable to watch as the many colors that parade during the broadcast. Really I recommend this product 100%")</f>
        <v>Just great For a long time I wanted to buy an electric diffuser but I never really wanted model that would please me. When I came across it, and reading the positive reviews, I wanted to test it ... hey well I do not regret one second my purchase! Besides I recommend another soon to offer so it's great. Very easy to use, perfectly diffuse the oils that I put in and it is very enjoyable to watch as the many colors that parade during the broadcast. Really I recommend this product 100%</v>
      </c>
    </row>
    <row r="371">
      <c r="A371" s="1">
        <v>5.0</v>
      </c>
      <c r="B371" s="1" t="s">
        <v>372</v>
      </c>
      <c r="C371" t="str">
        <f>IFERROR(__xludf.DUMMYFUNCTION("GOOGLETRANSLATE(B371, ""fr"", ""en"")"),"Very well designed These headphones are wonderful. I can use it when there is noise around and the noise is low. The downstairs is very good. Putting in charge of these helmets is fast and it is possible to know the state of charge of the base to the aid "&amp;"of an indicator. The compacted storage boxes are solid but lightweight, which facilitates simultaneous charging headphones. They do not move when used for running. I recommend a perfect sound quality!")</f>
        <v>Very well designed These headphones are wonderful. I can use it when there is noise around and the noise is low. The downstairs is very good. Putting in charge of these helmets is fast and it is possible to know the state of charge of the base to the aid of an indicator. The compacted storage boxes are solid but lightweight, which facilitates simultaneous charging headphones. They do not move when used for running. I recommend a perfect sound quality!</v>
      </c>
    </row>
    <row r="372">
      <c r="A372" s="1">
        <v>2.0</v>
      </c>
      <c r="B372" s="1" t="s">
        <v>373</v>
      </c>
      <c r="C372" t="str">
        <f>IFERROR(__xludf.DUMMYFUNCTION("GOOGLETRANSLATE(B372, ""fr"", ""en"")"),"Too bad, broken! Hello, I received broken unfortunately the damage had stick look pretty ... So I recommend the product if you're not afraid to receive it in pieces.")</f>
        <v>Too bad, broken! Hello, I received broken unfortunately the damage had stick look pretty ... So I recommend the product if you're not afraid to receive it in pieces.</v>
      </c>
    </row>
    <row r="373">
      <c r="A373" s="1">
        <v>1.0</v>
      </c>
      <c r="B373" s="1" t="s">
        <v>374</v>
      </c>
      <c r="C373" t="str">
        <f>IFERROR(__xludf.DUMMYFUNCTION("GOOGLETRANSLATE(B373, ""fr"", ""en"")"),"D The microphone is not working")</f>
        <v>D The microphone is not working</v>
      </c>
    </row>
    <row r="374">
      <c r="A374" s="1">
        <v>1.0</v>
      </c>
      <c r="B374" s="1" t="s">
        <v>375</v>
      </c>
      <c r="C374" t="str">
        <f>IFERROR(__xludf.DUMMYFUNCTION("GOOGLETRANSLATE(B374, ""fr"", ""en"")"),"renapur No action on maintenance leather sofa.")</f>
        <v>renapur No action on maintenance leather sofa.</v>
      </c>
    </row>
    <row r="375">
      <c r="A375" s="1">
        <v>3.0</v>
      </c>
      <c r="B375" s="1" t="s">
        <v>376</v>
      </c>
      <c r="C375" t="str">
        <f>IFERROR(__xludf.DUMMYFUNCTION("GOOGLETRANSLATE(B375, ""fr"", ""en"")"),"Good but .... The smell puzzles me ... but very nice and undeniable efficiency.")</f>
        <v>Good but .... The smell puzzles me ... but very nice and undeniable efficiency.</v>
      </c>
    </row>
    <row r="376">
      <c r="A376" s="1">
        <v>3.0</v>
      </c>
      <c r="B376" s="1" t="s">
        <v>377</v>
      </c>
      <c r="C376" t="str">
        <f>IFERROR(__xludf.DUMMYFUNCTION("GOOGLETRANSLATE(B376, ""fr"", ""en"")"),"super nice super nice sweater! My teen girl fan Harry is delighted :-) By cons attention to size: very small! I took that M fits him perfectly she usually puts 16!")</f>
        <v>super nice super nice sweater! My teen girl fan Harry is delighted :-) By cons attention to size: very small! I took that M fits him perfectly she usually puts 16!</v>
      </c>
    </row>
    <row r="377">
      <c r="A377" s="1">
        <v>4.0</v>
      </c>
      <c r="B377" s="1" t="s">
        <v>378</v>
      </c>
      <c r="C377" t="str">
        <f>IFERROR(__xludf.DUMMYFUNCTION("GOOGLETRANSLATE(B377, ""fr"", ""en"")"),"PERFECT bag conforms to the announcement")</f>
        <v>PERFECT bag conforms to the announcement</v>
      </c>
    </row>
    <row r="378">
      <c r="A378" s="1">
        <v>4.0</v>
      </c>
      <c r="B378" s="1" t="s">
        <v>379</v>
      </c>
      <c r="C378" t="str">
        <f>IFERROR(__xludf.DUMMYFUNCTION("GOOGLETRANSLATE(B378, ""fr"", ""en"")"),"Convenient Value impeccable price, exactly what I wanted. I recommend.")</f>
        <v>Convenient Value impeccable price, exactly what I wanted. I recommend.</v>
      </c>
    </row>
    <row r="379">
      <c r="A379" s="1">
        <v>4.0</v>
      </c>
      <c r="B379" s="1" t="s">
        <v>380</v>
      </c>
      <c r="C379" t="str">
        <f>IFERROR(__xludf.DUMMYFUNCTION("GOOGLETRANSLATE(B379, ""fr"", ""en"")"),"Earphones official looking, good quality I do not know if these headphones are true, at least it strongly resembles it even if the wire is round while on the headphones provided with the phone wire was flattened. Its the same quality as the original headp"&amp;"hones. I do not know if they will last as long as the original headphones, in any case they are fun to use. nice packaging received with a ""thank you"" inside")</f>
        <v>Earphones official looking, good quality I do not know if these headphones are true, at least it strongly resembles it even if the wire is round while on the headphones provided with the phone wire was flattened. Its the same quality as the original headphones. I do not know if they will last as long as the original headphones, in any case they are fun to use. nice packaging received with a "thank you" inside</v>
      </c>
    </row>
    <row r="380">
      <c r="A380" s="1">
        <v>4.0</v>
      </c>
      <c r="B380" s="1" t="s">
        <v>381</v>
      </c>
      <c r="C380" t="str">
        <f>IFERROR(__xludf.DUMMYFUNCTION("GOOGLETRANSLATE(B380, ""fr"", ""en"")"),"Not bad skin that conform to the description, will not prevent the case when great fall but still protect well ...")</f>
        <v>Not bad skin that conform to the description, will not prevent the case when great fall but still protect well ...</v>
      </c>
    </row>
    <row r="381">
      <c r="A381" s="1">
        <v>5.0</v>
      </c>
      <c r="B381" s="1" t="s">
        <v>382</v>
      </c>
      <c r="C381" t="str">
        <f>IFERROR(__xludf.DUMMYFUNCTION("GOOGLETRANSLATE(B381, ""fr"", ""en"")"),"good pair of headphones! Very good value for money. For the price I was not expecting me to sound as clear. Good balance, bass is not saturated when increasing the volume. These are tiny headphones that are well suited for small ears. The touch button con"&amp;"trol is not too sensitive which is great when you put them in place. the equipment is child's play! And the charge box also serves as an external battery. It is a complete product!")</f>
        <v>good pair of headphones! Very good value for money. For the price I was not expecting me to sound as clear. Good balance, bass is not saturated when increasing the volume. These are tiny headphones that are well suited for small ears. The touch button control is not too sensitive which is great when you put them in place. the equipment is child's play! And the charge box also serves as an external battery. It is a complete product!</v>
      </c>
    </row>
    <row r="382">
      <c r="A382" s="1">
        <v>5.0</v>
      </c>
      <c r="B382" s="1" t="s">
        <v>383</v>
      </c>
      <c r="C382" t="str">
        <f>IFERROR(__xludf.DUMMYFUNCTION("GOOGLETRANSLATE(B382, ""fr"", ""en"")"),"Amazing. The machine is really effective. After its use, not only vinyl is deep cleaned but the sound seems to take on an unprecedented scale. Perhaps this is due to the anti-static liquid. In all cases, product value for money at the top.")</f>
        <v>Amazing. The machine is really effective. After its use, not only vinyl is deep cleaned but the sound seems to take on an unprecedented scale. Perhaps this is due to the anti-static liquid. In all cases, product value for money at the top.</v>
      </c>
    </row>
    <row r="383">
      <c r="A383" s="1">
        <v>5.0</v>
      </c>
      <c r="B383" s="1" t="s">
        <v>384</v>
      </c>
      <c r="C383" t="str">
        <f>IFERROR(__xludf.DUMMYFUNCTION("GOOGLETRANSLATE(B383, ""fr"", ""en"")"),"Nickel! Met my expectations. Practical and solid.")</f>
        <v>Nickel! Met my expectations. Practical and solid.</v>
      </c>
    </row>
    <row r="384">
      <c r="A384" s="1">
        <v>5.0</v>
      </c>
      <c r="B384" s="1" t="s">
        <v>385</v>
      </c>
      <c r="C384" t="str">
        <f>IFERROR(__xludf.DUMMYFUNCTION("GOOGLETRANSLATE(B384, ""fr"", ""en"")"),"Delighted with this purchase My son is delighted with this purchase. Large enough to put his wallet, his laptop, his headphones, a packet of tissues, a pair of keys .... Beefy. nickel finish. As usual with this brand we are never disappointed.")</f>
        <v>Delighted with this purchase My son is delighted with this purchase. Large enough to put his wallet, his laptop, his headphones, a packet of tissues, a pair of keys .... Beefy. nickel finish. As usual with this brand we are never disappointed.</v>
      </c>
    </row>
    <row r="385">
      <c r="A385" s="1">
        <v>5.0</v>
      </c>
      <c r="B385" s="1" t="s">
        <v>386</v>
      </c>
      <c r="C385" t="str">
        <f>IFERROR(__xludf.DUMMYFUNCTION("GOOGLETRANSLATE(B385, ""fr"", ""en"")"),"Fun pen tip that gradually disappears Game nice. I advise to leave the timer to 10 seconds. On 15 course was longer but it removes part of the principle of the game namely the continuity of the previous design draftsman.")</f>
        <v>Fun pen tip that gradually disappears Game nice. I advise to leave the timer to 10 seconds. On 15 course was longer but it removes part of the principle of the game namely the continuity of the previous design draftsman.</v>
      </c>
    </row>
    <row r="386">
      <c r="A386" s="1">
        <v>5.0</v>
      </c>
      <c r="B386" s="1" t="s">
        <v>387</v>
      </c>
      <c r="C386" t="str">
        <f>IFERROR(__xludf.DUMMYFUNCTION("GOOGLETRANSLATE(B386, ""fr"", ""en"")"),"sweatshirt Christmas I enjoyed these nice sweatshirt Christmas feasts and product perfectly matches the description and photo.")</f>
        <v>sweatshirt Christmas I enjoyed these nice sweatshirt Christmas feasts and product perfectly matches the description and photo.</v>
      </c>
    </row>
    <row r="387">
      <c r="A387" s="1">
        <v>5.0</v>
      </c>
      <c r="B387" s="1" t="s">
        <v>388</v>
      </c>
      <c r="C387" t="str">
        <f>IFERROR(__xludf.DUMMYFUNCTION("GOOGLETRANSLATE(B387, ""fr"", ""en"")"),"good value top, right amount for me, allows me to make savings.")</f>
        <v>good value top, right amount for me, allows me to make savings.</v>
      </c>
    </row>
    <row r="388">
      <c r="A388" s="1">
        <v>5.0</v>
      </c>
      <c r="B388" s="1" t="s">
        <v>389</v>
      </c>
      <c r="C388" t="str">
        <f>IFERROR(__xludf.DUMMYFUNCTION("GOOGLETRANSLATE(B388, ""fr"", ""en"")"),"A well Very good product. Children love immensely.")</f>
        <v>A well Very good product. Children love immensely.</v>
      </c>
    </row>
    <row r="389">
      <c r="A389" s="1">
        <v>5.0</v>
      </c>
      <c r="B389" s="1" t="s">
        <v>390</v>
      </c>
      <c r="C389" t="str">
        <f>IFERROR(__xludf.DUMMYFUNCTION("GOOGLETRANSLATE(B389, ""fr"", ""en"")"),"Very satisfied ! Parcels received quickly. The packaging is sympa.Une screen protector is provided along with charging cable. The setup is pretty simple app with an install on the smartphone. good quality components, pleasing look. Many useful features, y"&amp;"ou can insert a SIM card. The watch recharges fairly quickly, autonomy is satisfactory. The screen quality is good and the colors are nice, I'm not disappointed ...")</f>
        <v>Very satisfied ! Parcels received quickly. The packaging is sympa.Une screen protector is provided along with charging cable. The setup is pretty simple app with an install on the smartphone. good quality components, pleasing look. Many useful features, you can insert a SIM card. The watch recharges fairly quickly, autonomy is satisfactory. The screen quality is good and the colors are nice, I'm not disappointed ...</v>
      </c>
    </row>
    <row r="390">
      <c r="A390" s="1">
        <v>5.0</v>
      </c>
      <c r="B390" s="1" t="s">
        <v>391</v>
      </c>
      <c r="C390" t="str">
        <f>IFERROR(__xludf.DUMMYFUNCTION("GOOGLETRANSLATE(B390, ""fr"", ""en"")"),"Any vendor response con properly register Is Beautiful sneakers seller")</f>
        <v>Any vendor response con properly register Is Beautiful sneakers seller</v>
      </c>
    </row>
    <row r="391">
      <c r="A391" s="1">
        <v>5.0</v>
      </c>
      <c r="B391" s="1" t="s">
        <v>392</v>
      </c>
      <c r="C391" t="str">
        <f>IFERROR(__xludf.DUMMYFUNCTION("GOOGLETRANSLATE(B391, ""fr"", ""en"")"),"Consistent with the description Very comfortable, I recommend!")</f>
        <v>Consistent with the description Very comfortable, I recommend!</v>
      </c>
    </row>
    <row r="392">
      <c r="A392" s="1">
        <v>5.0</v>
      </c>
      <c r="B392" s="1" t="s">
        <v>393</v>
      </c>
      <c r="C392" t="str">
        <f>IFERROR(__xludf.DUMMYFUNCTION("GOOGLETRANSLATE(B392, ""fr"", ""en"")"),"Frankly the top Relaxation guaranteed after a day as a landscaper.")</f>
        <v>Frankly the top Relaxation guaranteed after a day as a landscaper.</v>
      </c>
    </row>
    <row r="393">
      <c r="A393" s="1">
        <v>5.0</v>
      </c>
      <c r="B393" s="1" t="s">
        <v>394</v>
      </c>
      <c r="C393" t="str">
        <f>IFERROR(__xludf.DUMMYFUNCTION("GOOGLETRANSLATE(B393, ""fr"", ""en"")"),"These sleeves are perfect. Good qualities, I am very much served. They do not bend and seem to last long. I highly recommend it.")</f>
        <v>These sleeves are perfect. Good qualities, I am very much served. They do not bend and seem to last long. I highly recommend it.</v>
      </c>
    </row>
    <row r="394">
      <c r="A394" s="1">
        <v>5.0</v>
      </c>
      <c r="B394" s="1" t="s">
        <v>395</v>
      </c>
      <c r="C394" t="str">
        <f>IFERROR(__xludf.DUMMYFUNCTION("GOOGLETRANSLATE(B394, ""fr"", ""en"")"),"Super Excellent product great top in the microwave")</f>
        <v>Super Excellent product great top in the microwave</v>
      </c>
    </row>
    <row r="395">
      <c r="A395" s="1">
        <v>5.0</v>
      </c>
      <c r="B395" s="1" t="s">
        <v>396</v>
      </c>
      <c r="C395" t="str">
        <f>IFERROR(__xludf.DUMMYFUNCTION("GOOGLETRANSLATE(B395, ""fr"", ""en"")"),"very fragrant and perfect hold on the laundry washing")</f>
        <v>very fragrant and perfect hold on the laundry washing</v>
      </c>
    </row>
    <row r="396">
      <c r="A396" s="1">
        <v>2.0</v>
      </c>
      <c r="B396" s="1" t="s">
        <v>397</v>
      </c>
      <c r="C396" t="str">
        <f>IFERROR(__xludf.DUMMYFUNCTION("GOOGLETRANSLATE(B396, ""fr"", ""en"")"),"I have not had the opportunity to test ... Product delivered in due time, but was not working. The device does not light when it was plugged. Too bad...")</f>
        <v>I have not had the opportunity to test ... Product delivered in due time, but was not working. The device does not light when it was plugged. Too bad...</v>
      </c>
    </row>
    <row r="397">
      <c r="A397" s="1">
        <v>1.0</v>
      </c>
      <c r="B397" s="1" t="s">
        <v>398</v>
      </c>
      <c r="C397" t="str">
        <f>IFERROR(__xludf.DUMMYFUNCTION("GOOGLETRANSLATE(B397, ""fr"", ""en"")"),"Go get MIDI 14h: this is not the right! Do not work for me (especially the notes are not in their places in Finale) prefer cables M-Audio Prodipe-Uno or which are more expensive ... but working. Well I put a star for the price and robust appearance but it"&amp;"'s good because you can not put zero. The electronics must be ill conceived.")</f>
        <v>Go get MIDI 14h: this is not the right! Do not work for me (especially the notes are not in their places in Finale) prefer cables M-Audio Prodipe-Uno or which are more expensive ... but working. Well I put a star for the price and robust appearance but it's good because you can not put zero. The electronics must be ill conceived.</v>
      </c>
    </row>
    <row r="398">
      <c r="A398" s="1">
        <v>1.0</v>
      </c>
      <c r="B398" s="1" t="s">
        <v>399</v>
      </c>
      <c r="C398" t="str">
        <f>IFERROR(__xludf.DUMMYFUNCTION("GOOGLETRANSLATE(B398, ""fr"", ""en"")"),"very decue not adjust the hour. The timer button not working yet ... it is the first function of a watch. Otherwise ok design.")</f>
        <v>very decue not adjust the hour. The timer button not working yet ... it is the first function of a watch. Otherwise ok design.</v>
      </c>
    </row>
    <row r="399">
      <c r="A399" s="1">
        <v>3.0</v>
      </c>
      <c r="B399" s="1" t="s">
        <v>400</v>
      </c>
      <c r="C399" t="str">
        <f>IFERROR(__xludf.DUMMYFUNCTION("GOOGLETRANSLATE(B399, ""fr"", ""en"")"),"Too big Very big on a wrist. Commissioned for my brother (1'80m and 80kg), we returned because really too big")</f>
        <v>Too big Very big on a wrist. Commissioned for my brother (1'80m and 80kg), we returned because really too big</v>
      </c>
    </row>
    <row r="400">
      <c r="A400" s="1">
        <v>4.0</v>
      </c>
      <c r="B400" s="1" t="s">
        <v>401</v>
      </c>
      <c r="C400" t="str">
        <f>IFERROR(__xludf.DUMMYFUNCTION("GOOGLETRANSLATE(B400, ""fr"", ""en"")"),"Anti collic that works! Use as a gift for my niece, they are very ergonomic. Adjustable speed 3 for 1.2 and the more or less thick milk. 2 tiny bottles of 150 ml for the birth or later for additional water - 2 bottles of 270 ml means for the greedy baby. "&amp;"- 2 large bottles for babies once the course of 12 months drink thicker foods. Anti colic and it works! My baby had colliques so I chose this lot and it suits him very well. The only negative and it does not dismantle into 3 parts. What would be much more"&amp;" convenient to wash.")</f>
        <v>Anti collic that works! Use as a gift for my niece, they are very ergonomic. Adjustable speed 3 for 1.2 and the more or less thick milk. 2 tiny bottles of 150 ml for the birth or later for additional water - 2 bottles of 270 ml means for the greedy baby. - 2 large bottles for babies once the course of 12 months drink thicker foods. Anti colic and it works! My baby had colliques so I chose this lot and it suits him very well. The only negative and it does not dismantle into 3 parts. What would be much more convenient to wash.</v>
      </c>
    </row>
    <row r="401">
      <c r="A401" s="1">
        <v>4.0</v>
      </c>
      <c r="B401" s="1" t="s">
        <v>402</v>
      </c>
      <c r="C401" t="str">
        <f>IFERROR(__xludf.DUMMYFUNCTION("GOOGLETRANSLATE(B401, ""fr"", ""en"")"),"This large size Perfect but take one size smaller because it's big size")</f>
        <v>This large size Perfect but take one size smaller because it's big size</v>
      </c>
    </row>
    <row r="402">
      <c r="A402" s="1">
        <v>4.0</v>
      </c>
      <c r="B402" s="1" t="s">
        <v>403</v>
      </c>
      <c r="C402" t="str">
        <f>IFERROR(__xludf.DUMMYFUNCTION("GOOGLETRANSLATE(B402, ""fr"", ""en"")"),"✔✔ loop right ear, although troubleshoot, report quality nickel prices, it does not oxidize it worth it in against them be careful you are allergic")</f>
        <v>✔✔ loop right ear, although troubleshoot, report quality nickel prices, it does not oxidize it worth it in against them be careful you are allergic</v>
      </c>
    </row>
    <row r="403">
      <c r="A403" s="1">
        <v>4.0</v>
      </c>
      <c r="B403" s="1" t="s">
        <v>404</v>
      </c>
      <c r="C403" t="str">
        <f>IFERROR(__xludf.DUMMYFUNCTION("GOOGLETRANSLATE(B403, ""fr"", ""en"")"),"Not very comfortable in the long run not very comfortable in the long run")</f>
        <v>Not very comfortable in the long run not very comfortable in the long run</v>
      </c>
    </row>
    <row r="404">
      <c r="A404" s="1">
        <v>5.0</v>
      </c>
      <c r="B404" s="1" t="s">
        <v>405</v>
      </c>
      <c r="C404" t="str">
        <f>IFERROR(__xludf.DUMMYFUNCTION("GOOGLETRANSLATE(B404, ""fr"", ""en"")"),"Okay Bought for use in mountain biking this fall season, this dress is very close to the body to keep warm. Quality is good to see over time. For the price, it's hard to do without. I recommend.")</f>
        <v>Okay Bought for use in mountain biking this fall season, this dress is very close to the body to keep warm. Quality is good to see over time. For the price, it's hard to do without. I recommend.</v>
      </c>
    </row>
    <row r="405">
      <c r="A405" s="1">
        <v>5.0</v>
      </c>
      <c r="B405" s="1" t="s">
        <v>406</v>
      </c>
      <c r="C405" t="str">
        <f>IFERROR(__xludf.DUMMYFUNCTION("GOOGLETRANSLATE(B405, ""fr"", ""en"")"),"Perfect Need to add more ventilation to your computer. No worries with connector that connects easy.")</f>
        <v>Perfect Need to add more ventilation to your computer. No worries with connector that connects easy.</v>
      </c>
    </row>
    <row r="406">
      <c r="A406" s="1">
        <v>5.0</v>
      </c>
      <c r="B406" s="1" t="s">
        <v>407</v>
      </c>
      <c r="C406" t="str">
        <f>IFERROR(__xludf.DUMMYFUNCTION("GOOGLETRANSLATE(B406, ""fr"", ""en"")"),"satisfied &lt;div id = ""video-block-R3E92KVS5H09VM"" class = ""a-section-spacing-small in-spacing-top mini video-block""&gt; &lt;/ div&gt; &lt;input type = ""hidden"" name = """" value = ""https://images-eu.ssl-images-amazon.com/images/I/91YukY21CES.mp4"" class = ""vid"&amp;"eo-url""&gt; &lt;input type = ""hidden"" name = """" value = ""https : //images-eu.ssl-images-amazon.com/images/I/91JdxB14XfS.png ""class ="" video-slate-img-url ""&gt; &amp; nbsp; Delivery very fast. Very easy to use, micro speaker with good sound quality is bright, "&amp;"very quickly automatically connects to my laptop via Bluetooth. The product corresponds to my expectations.")</f>
        <v>satisfied &lt;div id = "video-block-R3E92KVS5H09VM" class = "a-section-spacing-small in-spacing-top mini video-block"&gt; &lt;/ div&gt; &lt;input type = "hidden" name = "" value = "https://images-eu.ssl-images-amazon.com/images/I/91YukY21CES.mp4" class = "video-url"&gt; &lt;input type = "hidden" name = "" value = "https : //images-eu.ssl-images-amazon.com/images/I/91JdxB14XfS.png "class =" video-slate-img-url "&gt; &amp; nbsp; Delivery very fast. Very easy to use, micro speaker with good sound quality is bright, very quickly automatically connects to my laptop via Bluetooth. The product corresponds to my expectations.</v>
      </c>
    </row>
    <row r="407">
      <c r="A407" s="1">
        <v>5.0</v>
      </c>
      <c r="B407" s="1" t="s">
        <v>408</v>
      </c>
      <c r="C407" t="str">
        <f>IFERROR(__xludf.DUMMYFUNCTION("GOOGLETRANSLATE(B407, ""fr"", ""en"")"),"Durability Solid, good face, good zip brief bill with everything I needed.")</f>
        <v>Durability Solid, good face, good zip brief bill with everything I needed.</v>
      </c>
    </row>
    <row r="408">
      <c r="A408" s="1">
        <v>5.0</v>
      </c>
      <c r="B408" s="1" t="s">
        <v>409</v>
      </c>
      <c r="C408" t="str">
        <f>IFERROR(__xludf.DUMMYFUNCTION("GOOGLETRANSLATE(B408, ""fr"", ""en"")"),"Good design and fast delivery It is generally good. The delivery is very fast and the product is beyond my expectations.")</f>
        <v>Good design and fast delivery It is generally good. The delivery is very fast and the product is beyond my expectations.</v>
      </c>
    </row>
    <row r="409">
      <c r="A409" s="1">
        <v>5.0</v>
      </c>
      <c r="B409" s="1" t="s">
        <v>410</v>
      </c>
      <c r="C409" t="str">
        <f>IFERROR(__xludf.DUMMYFUNCTION("GOOGLETRANSLATE(B409, ""fr"", ""en"")"),"Very nice product very happy with this product - consistent with the description - good quality - I will order a second well - great gift idea")</f>
        <v>Very nice product very happy with this product - consistent with the description - good quality - I will order a second well - great gift idea</v>
      </c>
    </row>
    <row r="410">
      <c r="A410" s="1">
        <v>5.0</v>
      </c>
      <c r="B410" s="1" t="s">
        <v>411</v>
      </c>
      <c r="C410" t="str">
        <f>IFERROR(__xludf.DUMMYFUNCTION("GOOGLETRANSLATE(B410, ""fr"", ""en"")"),"super EVERYTHING IS VERY GOOD AND I DO NOT SEE WHAT I COULD ADD AS THIS MATCH QUITE THAT I WAITING AND ANY POINT")</f>
        <v>super EVERYTHING IS VERY GOOD AND I DO NOT SEE WHAT I COULD ADD AS THIS MATCH QUITE THAT I WAITING AND ANY POINT</v>
      </c>
    </row>
    <row r="411">
      <c r="A411" s="1">
        <v>5.0</v>
      </c>
      <c r="B411" s="1" t="s">
        <v>412</v>
      </c>
      <c r="C411" t="str">
        <f>IFERROR(__xludf.DUMMYFUNCTION("GOOGLETRANSLATE(B411, ""fr"", ""en"")"),"Anti-colic system developed four plastic bottles box with low flow nipple (1): two 150 mL and two 260 mL plus two teats flow means (2) in stock, a removable brush and a pacifier nipple. Great novelty anti colic system consists of a ventilation tube with h"&amp;"eat sensor embedded in the bottle. The heat sensing strip from blue to pink to 41 ° C. It is essential to wash the bottle immediately after use to prevent the glue dries and milk. A small brush is also provided in order to clean the inside of this small v"&amp;"ent tube. As usual, all components must be sterilized after each use. All sterilization means can be used. A true black point, the font size of the manual! You have to have a good view otherwise provide a magnifying glass! Apart from that, great product.")</f>
        <v>Anti-colic system developed four plastic bottles box with low flow nipple (1): two 150 mL and two 260 mL plus two teats flow means (2) in stock, a removable brush and a pacifier nipple. Great novelty anti colic system consists of a ventilation tube with heat sensor embedded in the bottle. The heat sensing strip from blue to pink to 41 ° C. It is essential to wash the bottle immediately after use to prevent the glue dries and milk. A small brush is also provided in order to clean the inside of this small vent tube. As usual, all components must be sterilized after each use. All sterilization means can be used. A true black point, the font size of the manual! You have to have a good view otherwise provide a magnifying glass! Apart from that, great product.</v>
      </c>
    </row>
    <row r="412">
      <c r="A412" s="1">
        <v>5.0</v>
      </c>
      <c r="B412" s="1" t="s">
        <v>413</v>
      </c>
      <c r="C412" t="str">
        <f>IFERROR(__xludf.DUMMYFUNCTION("GOOGLETRANSLATE(B412, ""fr"", ""en"")"),"Content received purchase")</f>
        <v>Content received purchase</v>
      </c>
    </row>
    <row r="413">
      <c r="A413" s="1">
        <v>5.0</v>
      </c>
      <c r="B413" s="1" t="s">
        <v>414</v>
      </c>
      <c r="C413" t="str">
        <f>IFERROR(__xludf.DUMMYFUNCTION("GOOGLETRANSLATE(B413, ""fr"", ""en"")"),"They are sublime comfortable and beautiful!")</f>
        <v>They are sublime comfortable and beautiful!</v>
      </c>
    </row>
    <row r="414">
      <c r="A414" s="1">
        <v>5.0</v>
      </c>
      <c r="B414" s="1" t="s">
        <v>415</v>
      </c>
      <c r="C414" t="str">
        <f>IFERROR(__xludf.DUMMYFUNCTION("GOOGLETRANSLATE(B414, ""fr"", ""en"")"),"shows absolutely perfect works perfectly well, very moving perfermormant, very good quality, solid perfect aesthetic watch. short I am delighted! I highly recommend")</f>
        <v>shows absolutely perfect works perfectly well, very moving perfermormant, very good quality, solid perfect aesthetic watch. short I am delighted! I highly recommend</v>
      </c>
    </row>
    <row r="415">
      <c r="A415" s="1">
        <v>5.0</v>
      </c>
      <c r="B415" s="1" t="s">
        <v>416</v>
      </c>
      <c r="C415" t="str">
        <f>IFERROR(__xludf.DUMMYFUNCTION("GOOGLETRANSLATE(B415, ""fr"", ""en"")"),"Although Corresponds to what we wanted. appropriate size")</f>
        <v>Although Corresponds to what we wanted. appropriate size</v>
      </c>
    </row>
    <row r="416">
      <c r="A416" s="1">
        <v>5.0</v>
      </c>
      <c r="B416" s="1" t="s">
        <v>417</v>
      </c>
      <c r="C416" t="str">
        <f>IFERROR(__xludf.DUMMYFUNCTION("GOOGLETRANSLATE(B416, ""fr"", ""en"")"),"Nice nice and simple")</f>
        <v>Nice nice and simple</v>
      </c>
    </row>
    <row r="417">
      <c r="A417" s="1">
        <v>5.0</v>
      </c>
      <c r="B417" s="1" t="s">
        <v>418</v>
      </c>
      <c r="C417" t="str">
        <f>IFERROR(__xludf.DUMMYFUNCTION("GOOGLETRANSLATE(B417, ""fr"", ""en"")"),"Top Top level quality for a 40L bin but it is a little expensive but it's just my opinion :)")</f>
        <v>Top Top level quality for a 40L bin but it is a little expensive but it's just my opinion :)</v>
      </c>
    </row>
    <row r="418">
      <c r="A418" s="1">
        <v>5.0</v>
      </c>
      <c r="B418" s="1" t="s">
        <v>419</v>
      </c>
      <c r="C418" t="str">
        <f>IFERROR(__xludf.DUMMYFUNCTION("GOOGLETRANSLATE(B418, ""fr"", ""en"")"),"Quality item Forced to wear compression socks after a fracture and tear of the ankle, these socks are discrete but VERY effective nice color and present, no one can doubt that these are low maintenance I recommend this product at all costs soft top for ef"&amp;"ficiency")</f>
        <v>Quality item Forced to wear compression socks after a fracture and tear of the ankle, these socks are discrete but VERY effective nice color and present, no one can doubt that these are low maintenance I recommend this product at all costs soft top for efficiency</v>
      </c>
    </row>
    <row r="419">
      <c r="A419" s="1">
        <v>2.0</v>
      </c>
      <c r="B419" s="1" t="s">
        <v>420</v>
      </c>
      <c r="C419" t="str">
        <f>IFERROR(__xludf.DUMMYFUNCTION("GOOGLETRANSLATE(B419, ""fr"", ""en"")"),"Disappointed Very pretty very very small loops, but after 2 days of using the money disappears. it's really disappointing")</f>
        <v>Disappointed Very pretty very very small loops, but after 2 days of using the money disappears. it's really disappointing</v>
      </c>
    </row>
    <row r="420">
      <c r="A420" s="1">
        <v>1.0</v>
      </c>
      <c r="B420" s="1" t="s">
        <v>421</v>
      </c>
      <c r="C420" t="str">
        <f>IFERROR(__xludf.DUMMYFUNCTION("GOOGLETRANSLATE(B420, ""fr"", ""en"")"),"No breaking size I expect this model in my size soon")</f>
        <v>No breaking size I expect this model in my size soon</v>
      </c>
    </row>
    <row r="421">
      <c r="A421" s="1">
        <v>3.0</v>
      </c>
      <c r="B421" s="1" t="s">
        <v>422</v>
      </c>
      <c r="C421" t="str">
        <f>IFERROR(__xludf.DUMMYFUNCTION("GOOGLETRANSLATE(B421, ""fr"", ""en"")"),"Beautiful but fragile watch shows in itself is pretty deluded with false buttons, but there is a but. The Brasselet is fragile and the Clasp and all of poor quality, when removing a link, reassembly, the link is twisted like butter at the presentation of "&amp;"the post, and scratches are visible on the Brasselet . The watch does not take the night time, it stops because of not being on the wrist. Too bad, to very nearly there could be 4 or even 5 stars.")</f>
        <v>Beautiful but fragile watch shows in itself is pretty deluded with false buttons, but there is a but. The Brasselet is fragile and the Clasp and all of poor quality, when removing a link, reassembly, the link is twisted like butter at the presentation of the post, and scratches are visible on the Brasselet . The watch does not take the night time, it stops because of not being on the wrist. Too bad, to very nearly there could be 4 or even 5 stars.</v>
      </c>
    </row>
    <row r="422">
      <c r="A422" s="1">
        <v>3.0</v>
      </c>
      <c r="B422" s="1" t="s">
        <v>423</v>
      </c>
      <c r="C422" t="str">
        <f>IFERROR(__xludf.DUMMYFUNCTION("GOOGLETRANSLATE(B422, ""fr"", ""en"")"),"Good product but watch the size, united for dogs Product not bad but small")</f>
        <v>Good product but watch the size, united for dogs Product not bad but small</v>
      </c>
    </row>
    <row r="423">
      <c r="A423" s="1">
        <v>4.0</v>
      </c>
      <c r="B423" s="1" t="s">
        <v>424</v>
      </c>
      <c r="C423" t="str">
        <f>IFERROR(__xludf.DUMMYFUNCTION("GOOGLETRANSLATE(B423, ""fr"", ""en"")"),"Very convenient, but ... This is my second. I had the old model that I used to happily scaling crash that resulted in erratic operation: 80 or 100 only, and I had to turn on its base to achieve find contact, and sometimes complete refusal. I have a very h"&amp;"ard water, and to preserve it I removed the remaining water immediately, and I détartrais white vinegar by boiling, which broke. I understood my mistakes in reading the many user comments. This is much like the previous one. After a few weeks of use it be"&amp;"came noisy with limestone, but I expect a drop in temperature before draining. The beeps are very present, but I was used to. For cons, the big difference is that it does not stop automatically! I have to let her near the base. Everyone has not taken an e"&amp;"asy access or switch. Disappointed this downgrade.")</f>
        <v>Very convenient, but ... This is my second. I had the old model that I used to happily scaling crash that resulted in erratic operation: 80 or 100 only, and I had to turn on its base to achieve find contact, and sometimes complete refusal. I have a very hard water, and to preserve it I removed the remaining water immediately, and I détartrais white vinegar by boiling, which broke. I understood my mistakes in reading the many user comments. This is much like the previous one. After a few weeks of use it became noisy with limestone, but I expect a drop in temperature before draining. The beeps are very present, but I was used to. For cons, the big difference is that it does not stop automatically! I have to let her near the base. Everyone has not taken an easy access or switch. Disappointed this downgrade.</v>
      </c>
    </row>
    <row r="424">
      <c r="A424" s="1">
        <v>4.0</v>
      </c>
      <c r="B424" s="1" t="s">
        <v>425</v>
      </c>
      <c r="C424" t="str">
        <f>IFERROR(__xludf.DUMMYFUNCTION("GOOGLETRANSLATE(B424, ""fr"", ""en"")"),"Very good a time took over after a month of use, the autonomy of single earphone is perfect for transportation and others. The box that allows refills s use all throughout the day. The software interface is a bit complicated to take control early and use "&amp;"only one earphone is a bit temperamental at times. AC output they make great job with a quality / great prices. It lacks an app to refine the settings or view the remaining battery level")</f>
        <v>Very good a time took over after a month of use, the autonomy of single earphone is perfect for transportation and others. The box that allows refills s use all throughout the day. The software interface is a bit complicated to take control early and use only one earphone is a bit temperamental at times. AC output they make great job with a quality / great prices. It lacks an app to refine the settings or view the remaining battery level</v>
      </c>
    </row>
    <row r="425">
      <c r="A425" s="1">
        <v>4.0</v>
      </c>
      <c r="B425" s="1" t="s">
        <v>426</v>
      </c>
      <c r="C425" t="str">
        <f>IFERROR(__xludf.DUMMYFUNCTION("GOOGLETRANSLATE(B425, ""fr"", ""en"")"),"pretty but fragile A good little watch with a good retro look and nice features! But be careful the glass, it scratches easily, considering the price we must not be too demanding. Sealing ok, tested pool! Normally 100m indicated should allow small snorkel"&amp;"ing. She will accompany me on a journey of 3 weeks we'll see what she says.")</f>
        <v>pretty but fragile A good little watch with a good retro look and nice features! But be careful the glass, it scratches easily, considering the price we must not be too demanding. Sealing ok, tested pool! Normally 100m indicated should allow small snorkeling. She will accompany me on a journey of 3 weeks we'll see what she says.</v>
      </c>
    </row>
    <row r="426">
      <c r="A426" s="1">
        <v>4.0</v>
      </c>
      <c r="B426" s="1" t="s">
        <v>427</v>
      </c>
      <c r="C426" t="str">
        <f>IFERROR(__xludf.DUMMYFUNCTION("GOOGLETRANSLATE(B426, ""fr"", ""en"")"),"Better than the original fine Replaces old headphones. Packaging treatment. At the end time.")</f>
        <v>Better than the original fine Replaces old headphones. Packaging treatment. At the end time.</v>
      </c>
    </row>
    <row r="427">
      <c r="A427" s="1">
        <v>5.0</v>
      </c>
      <c r="B427" s="1" t="s">
        <v>428</v>
      </c>
      <c r="C427" t="str">
        <f>IFERROR(__xludf.DUMMYFUNCTION("GOOGLETRANSLATE(B427, ""fr"", ""en"")"),"original idea for a sentimental gift I have bought this box as a surprise to my mom for Christmas. there are plenty of piece to assemble and make with the accessories + d other personnel to add. I have watched a tutorial to see how to do and get ideas. th"&amp;"e idea being to full of memories and pictures amid a surprise (jewelry in my case). remains only a attaquer.les photos are ready. I'm happy")</f>
        <v>original idea for a sentimental gift I have bought this box as a surprise to my mom for Christmas. there are plenty of piece to assemble and make with the accessories + d other personnel to add. I have watched a tutorial to see how to do and get ideas. the idea being to full of memories and pictures amid a surprise (jewelry in my case). remains only a attaquer.les photos are ready. I'm happy</v>
      </c>
    </row>
    <row r="428">
      <c r="A428" s="1">
        <v>5.0</v>
      </c>
      <c r="B428" s="1" t="s">
        <v>429</v>
      </c>
      <c r="C428" t="str">
        <f>IFERROR(__xludf.DUMMYFUNCTION("GOOGLETRANSLATE(B428, ""fr"", ""en"")"),"Satisfied I recommend the product good value")</f>
        <v>Satisfied I recommend the product good value</v>
      </c>
    </row>
    <row r="429">
      <c r="A429" s="1">
        <v>5.0</v>
      </c>
      <c r="B429" s="1" t="s">
        <v>430</v>
      </c>
      <c r="C429" t="str">
        <f>IFERROR(__xludf.DUMMYFUNCTION("GOOGLETRANSLATE(B429, ""fr"", ""en"")"),"Although quality and good as all series of that mark.")</f>
        <v>Although quality and good as all series of that mark.</v>
      </c>
    </row>
    <row r="430">
      <c r="A430" s="1">
        <v>5.0</v>
      </c>
      <c r="B430" s="1" t="s">
        <v>431</v>
      </c>
      <c r="C430" t="str">
        <f>IFERROR(__xludf.DUMMYFUNCTION("GOOGLETRANSLATE(B430, ""fr"", ""en"")"),"Wireless headset for sports Receipt in a small box, the package comprises: - 1 round cover and rigid transport with inside: Headphones Other sizes earmold - 1 Micro-USB cord &amp; gt; USB - 1 additional cord (green and flat wire) Micro-USB / Lightning &amp; gt; U"&amp;"SB headsets are lightweight and eye-ear is very flexible and silicone which makes them very easy to implement. Just the light through the button provided for this purpose on the right atrium (red logo), for the record, the first launch, Buetooth detection"&amp;" is automatic. Just add it to your device via your Bluetooth options (name: MUGO). Otherwise just leave press the power button to trigger the application of apparaige (flashing LED red / blue). There is also on the top two small volume +/- buttons that al"&amp;"so serve as ""previous song / next song."" Also, a press both buttons simultaneously activates Siri on your Apple device, it remains only you talk to him because the headset also Handsfree! The quality is really good for music or videos. The insulation is"&amp;" very good once it was on the ears! Thanks to the IPX7 standard, you can use them in the rain or in full session of perspiration, water does not penetrate inside through a system of nano coating. In summary, the lightness, the wire which does not lose (us"&amp;"eful if sports) and especially the surprising quality ... I am very happy with my purchase!")</f>
        <v>Wireless headset for sports Receipt in a small box, the package comprises: - 1 round cover and rigid transport with inside: Headphones Other sizes earmold - 1 Micro-USB cord &amp; gt; USB - 1 additional cord (green and flat wire) Micro-USB / Lightning &amp; gt; USB headsets are lightweight and eye-ear is very flexible and silicone which makes them very easy to implement. Just the light through the button provided for this purpose on the right atrium (red logo), for the record, the first launch, Buetooth detection is automatic. Just add it to your device via your Bluetooth options (name: MUGO). Otherwise just leave press the power button to trigger the application of apparaige (flashing LED red / blue). There is also on the top two small volume +/- buttons that also serve as "previous song / next song." Also, a press both buttons simultaneously activates Siri on your Apple device, it remains only you talk to him because the headset also Handsfree! The quality is really good for music or videos. The insulation is very good once it was on the ears! Thanks to the IPX7 standard, you can use them in the rain or in full session of perspiration, water does not penetrate inside through a system of nano coating. In summary, the lightness, the wire which does not lose (useful if sports) and especially the surprising quality ... I am very happy with my purchase!</v>
      </c>
    </row>
    <row r="431">
      <c r="A431" s="1">
        <v>5.0</v>
      </c>
      <c r="B431" s="1" t="s">
        <v>432</v>
      </c>
      <c r="C431" t="str">
        <f>IFERROR(__xludf.DUMMYFUNCTION("GOOGLETRANSLATE(B431, ""fr"", ""en"")"),"Awesome! This is the 4th pair that I order for my mother who is elderly and one of her friends. They find these comfortable shoes so she does leave more throughout the year. These shoes are ultra strong and proven both indoors and in the garden. Neverthel"&amp;"ess, it is better to put a little gel insole for comfort. I recommend without hesitation!")</f>
        <v>Awesome! This is the 4th pair that I order for my mother who is elderly and one of her friends. They find these comfortable shoes so she does leave more throughout the year. These shoes are ultra strong and proven both indoors and in the garden. Nevertheless, it is better to put a little gel insole for comfort. I recommend without hesitation!</v>
      </c>
    </row>
    <row r="432">
      <c r="A432" s="1">
        <v>5.0</v>
      </c>
      <c r="B432" s="1" t="s">
        <v>433</v>
      </c>
      <c r="C432" t="str">
        <f>IFERROR(__xludf.DUMMYFUNCTION("GOOGLETRANSLATE(B432, ""fr"", ""en"")"),"Very nice article nice dress that you can wear jewelry without considering the job properly fitted bustier and embellished with buttons and white applications. Sewing and cut treated. I recommend this product.")</f>
        <v>Very nice article nice dress that you can wear jewelry without considering the job properly fitted bustier and embellished with buttons and white applications. Sewing and cut treated. I recommend this product.</v>
      </c>
    </row>
    <row r="433">
      <c r="A433" s="1">
        <v>5.0</v>
      </c>
      <c r="B433" s="1" t="s">
        <v>434</v>
      </c>
      <c r="C433" t="str">
        <f>IFERROR(__xludf.DUMMYFUNCTION("GOOGLETRANSLATE(B433, ""fr"", ""en"")"),"Perfect Dilution paint is flawless. At the same time in respect of the same brand, I did not have too many doubts ...")</f>
        <v>Perfect Dilution paint is flawless. At the same time in respect of the same brand, I did not have too many doubts ...</v>
      </c>
    </row>
    <row r="434">
      <c r="A434" s="1">
        <v>5.0</v>
      </c>
      <c r="B434" s="1" t="s">
        <v>435</v>
      </c>
      <c r="C434" t="str">
        <f>IFERROR(__xludf.DUMMYFUNCTION("GOOGLETRANSLATE(B434, ""fr"", ""en"")"),"Bluetooth earpiece The small cabinet includes: - micro USB cable - small storage case and loading - 3 small silicone tips - the pair of Bluetooth headset - the instructions for using it is a breeze, exit headphones of the box and turn on Bluetooth on your"&amp;" phone (mine is an Asus Zenfone) and you can already start using it. I always use headphones big because at least they do not fall ears and even if the cable snaps, the helmet still on his head. This is the first time for me that I try this kind of listen"&amp;"er and I'm totally hooked! They take well to the ears, much more convenient to carry my big headphones. The sound for me is really great. For nuisance noise, people around me understand nothing. Frankly I completely adheres to these headphones")</f>
        <v>Bluetooth earpiece The small cabinet includes: - micro USB cable - small storage case and loading - 3 small silicone tips - the pair of Bluetooth headset - the instructions for using it is a breeze, exit headphones of the box and turn on Bluetooth on your phone (mine is an Asus Zenfone) and you can already start using it. I always use headphones big because at least they do not fall ears and even if the cable snaps, the helmet still on his head. This is the first time for me that I try this kind of listener and I'm totally hooked! They take well to the ears, much more convenient to carry my big headphones. The sound for me is really great. For nuisance noise, people around me understand nothing. Frankly I completely adheres to these headphones</v>
      </c>
    </row>
    <row r="435">
      <c r="A435" s="1">
        <v>5.0</v>
      </c>
      <c r="B435" s="1" t="s">
        <v>436</v>
      </c>
      <c r="C435" t="str">
        <f>IFERROR(__xludf.DUMMYFUNCTION("GOOGLETRANSLATE(B435, ""fr"", ""en"")"),"Not disappointed !!! Great product, comfortable and good quality, not moving wash, I recommend it")</f>
        <v>Not disappointed !!! Great product, comfortable and good quality, not moving wash, I recommend it</v>
      </c>
    </row>
    <row r="436">
      <c r="A436" s="1">
        <v>5.0</v>
      </c>
      <c r="B436" s="1" t="s">
        <v>437</v>
      </c>
      <c r="C436" t="str">
        <f>IFERROR(__xludf.DUMMYFUNCTION("GOOGLETRANSLATE(B436, ""fr"", ""en"")"),"Very nice I use these for my sessions asics crossfit. First running I buy asics at: they are just the job. The cushioning is very good and they are light. Warning to take half or one size above that which usually carries. I recommend.")</f>
        <v>Very nice I use these for my sessions asics crossfit. First running I buy asics at: they are just the job. The cushioning is very good and they are light. Warning to take half or one size above that which usually carries. I recommend.</v>
      </c>
    </row>
    <row r="437">
      <c r="A437" s="1">
        <v>5.0</v>
      </c>
      <c r="B437" s="1" t="s">
        <v>438</v>
      </c>
      <c r="C437" t="str">
        <f>IFERROR(__xludf.DUMMYFUNCTION("GOOGLETRANSLATE(B437, ""fr"", ""en"")"),"ROLLS ADHESIVES SCOTCH VERY interested NT PIYR PRESS OFFICE USE Price very interesting for the number of good rolls useful when using bcp like me the quality of the tape is good and ideal for the use I am therefore purchase both useful and conclusive: I r"&amp;"ecommend in when the stock will go to the end.")</f>
        <v>ROLLS ADHESIVES SCOTCH VERY interested NT PIYR PRESS OFFICE USE Price very interesting for the number of good rolls useful when using bcp like me the quality of the tape is good and ideal for the use I am therefore purchase both useful and conclusive: I recommend in when the stock will go to the end.</v>
      </c>
    </row>
    <row r="438">
      <c r="A438" s="1">
        <v>5.0</v>
      </c>
      <c r="B438" s="1" t="s">
        <v>439</v>
      </c>
      <c r="C438" t="str">
        <f>IFERROR(__xludf.DUMMYFUNCTION("GOOGLETRANSLATE(B438, ""fr"", ""en"")"),"nickel Super")</f>
        <v>nickel Super</v>
      </c>
    </row>
    <row r="439">
      <c r="A439" s="1">
        <v>5.0</v>
      </c>
      <c r="B439" s="1" t="s">
        <v>440</v>
      </c>
      <c r="C439" t="str">
        <f>IFERROR(__xludf.DUMMYFUNCTION("GOOGLETRANSLATE(B439, ""fr"", ""en"")"),"Product daily As usual it is perfect.")</f>
        <v>Product daily As usual it is perfect.</v>
      </c>
    </row>
    <row r="440">
      <c r="A440" s="1">
        <v>5.0</v>
      </c>
      <c r="B440" s="1" t="s">
        <v>441</v>
      </c>
      <c r="C440" t="str">
        <f>IFERROR(__xludf.DUMMYFUNCTION("GOOGLETRANSLATE(B440, ""fr"", ""en"")"),"Too good .... Purchased and donated to my mother and immediately adopted !! She is delighted, she keeps him warm it is very cautious, I'm sure it will pass a warm winter are on chair or in bed! It is comfortable, soft short on top !!! and a 2nd bought for"&amp;" me: D")</f>
        <v>Too good .... Purchased and donated to my mother and immediately adopted !! She is delighted, she keeps him warm it is very cautious, I'm sure it will pass a warm winter are on chair or in bed! It is comfortable, soft short on top !!! and a 2nd bought for me: D</v>
      </c>
    </row>
    <row r="441">
      <c r="A441" s="1">
        <v>5.0</v>
      </c>
      <c r="B441" s="1" t="s">
        <v>442</v>
      </c>
      <c r="C441" t="str">
        <f>IFERROR(__xludf.DUMMYFUNCTION("GOOGLETRANSLATE(B441, ""fr"", ""en"")"),"Although Very easy to read")</f>
        <v>Although Very easy to read</v>
      </c>
    </row>
    <row r="442">
      <c r="A442" s="1">
        <v>2.0</v>
      </c>
      <c r="B442" s="1" t="s">
        <v>443</v>
      </c>
      <c r="C442" t="str">
        <f>IFERROR(__xludf.DUMMYFUNCTION("GOOGLETRANSLATE(B442, ""fr"", ""en"")"),"Disappointed The size is good but very poor quality, it is taken off in less than 2 months. I absolutely recommend it.")</f>
        <v>Disappointed The size is good but very poor quality, it is taken off in less than 2 months. I absolutely recommend it.</v>
      </c>
    </row>
    <row r="443">
      <c r="A443" s="1">
        <v>1.0</v>
      </c>
      <c r="B443" s="1" t="s">
        <v>444</v>
      </c>
      <c r="C443" t="str">
        <f>IFERROR(__xludf.DUMMYFUNCTION("GOOGLETRANSLATE(B443, ""fr"", ""en"")"),"No Very disappointed! Too late, not pleasant on the skin, poor quality! Too expensive product I do not advise.")</f>
        <v>No Very disappointed! Too late, not pleasant on the skin, poor quality! Too expensive product I do not advise.</v>
      </c>
    </row>
    <row r="444">
      <c r="A444" s="1">
        <v>1.0</v>
      </c>
      <c r="B444" s="1" t="s">
        <v>445</v>
      </c>
      <c r="C444" t="str">
        <f>IFERROR(__xludf.DUMMYFUNCTION("GOOGLETRANSLATE(B444, ""fr"", ""en"")"),"Very disappointed !!!! This watch is not beautiful box of plastic covered with gray paint really beautiful it really do very bottom of game I regret my purchase and would not wear this watch because the commentary is not specified that the case is in plas"&amp;"tic and not metal as the original")</f>
        <v>Very disappointed !!!! This watch is not beautiful box of plastic covered with gray paint really beautiful it really do very bottom of game I regret my purchase and would not wear this watch because the commentary is not specified that the case is in plastic and not metal as the original</v>
      </c>
    </row>
    <row r="445">
      <c r="A445" s="1">
        <v>3.0</v>
      </c>
      <c r="B445" s="1" t="s">
        <v>77</v>
      </c>
      <c r="C445" t="str">
        <f>IFERROR(__xludf.DUMMYFUNCTION("GOOGLETRANSLATE(B445, ""fr"", ""en"")"),"Pretty pretty")</f>
        <v>Pretty pretty</v>
      </c>
    </row>
    <row r="446">
      <c r="A446" s="1">
        <v>4.0</v>
      </c>
      <c r="B446" s="1" t="s">
        <v>446</v>
      </c>
      <c r="C446" t="str">
        <f>IFERROR(__xludf.DUMMYFUNCTION("GOOGLETRANSLATE(B446, ""fr"", ""en"")"),"Very Nice very nice product and very symple use. Item purchased as wet room and diffcult to heat. So a frozen winter bed, not cool ... So I bought this heated mattress to alleviate this concern. I put it to maximum power time for a transition to the bathr"&amp;"oom and I arrived in the bed that is so hot. 4 power level, the 4 strong heating !! Character I extinguishes as soon as I got to bed like that no risk of forgetting. I recommend this article espérantqu'il hard time ....")</f>
        <v>Very Nice very nice product and very symple use. Item purchased as wet room and diffcult to heat. So a frozen winter bed, not cool ... So I bought this heated mattress to alleviate this concern. I put it to maximum power time for a transition to the bathroom and I arrived in the bed that is so hot. 4 power level, the 4 strong heating !! Character I extinguishes as soon as I got to bed like that no risk of forgetting. I recommend this article espérantqu'il hard time ....</v>
      </c>
    </row>
    <row r="447">
      <c r="A447" s="1">
        <v>4.0</v>
      </c>
      <c r="B447" s="1" t="s">
        <v>447</v>
      </c>
      <c r="C447" t="str">
        <f>IFERROR(__xludf.DUMMYFUNCTION("GOOGLETRANSLATE(B447, ""fr"", ""en"")"),"Very good value Nice product well finished good quality.")</f>
        <v>Very good value Nice product well finished good quality.</v>
      </c>
    </row>
    <row r="448">
      <c r="A448" s="1">
        <v>4.0</v>
      </c>
      <c r="B448" s="1" t="s">
        <v>448</v>
      </c>
      <c r="C448" t="str">
        <f>IFERROR(__xludf.DUMMYFUNCTION("GOOGLETRANSLATE(B448, ""fr"", ""en"")"),"TOP Contente its baskettes, extra soft slippers kind and strong. Good color and appropriate has the size as expected. I am a 40 and it nikel. I recommend to those with sensitive feet.")</f>
        <v>TOP Contente its baskettes, extra soft slippers kind and strong. Good color and appropriate has the size as expected. I am a 40 and it nikel. I recommend to those with sensitive feet.</v>
      </c>
    </row>
    <row r="449">
      <c r="A449" s="1">
        <v>4.0</v>
      </c>
      <c r="B449" s="1" t="s">
        <v>449</v>
      </c>
      <c r="C449" t="str">
        <f>IFERROR(__xludf.DUMMYFUNCTION("GOOGLETRANSLATE(B449, ""fr"", ""en"")"),"In line with expectations teats These are good quality, easy to clean. In line with our expectations.")</f>
        <v>In line with expectations teats These are good quality, easy to clean. In line with our expectations.</v>
      </c>
    </row>
    <row r="450">
      <c r="A450" s="1">
        <v>4.0</v>
      </c>
      <c r="B450" s="1" t="s">
        <v>450</v>
      </c>
      <c r="C450" t="str">
        <f>IFERROR(__xludf.DUMMYFUNCTION("GOOGLETRANSLATE(B450, ""fr"", ""en"")"),"beautiful boots quality boots, light and flexible, excellent sole and wide very comfortable calf. I like this article Fast delivery always comply with the order")</f>
        <v>beautiful boots quality boots, light and flexible, excellent sole and wide very comfortable calf. I like this article Fast delivery always comply with the order</v>
      </c>
    </row>
    <row r="451">
      <c r="A451" s="1">
        <v>5.0</v>
      </c>
      <c r="B451" s="1" t="s">
        <v>451</v>
      </c>
      <c r="C451" t="str">
        <f>IFERROR(__xludf.DUMMYFUNCTION("GOOGLETRANSLATE(B451, ""fr"", ""en"")"),"Nickel J adore ♥ ♥ J but was afraid qd I have seen that the package had been opened on the side and the shoe box .... Luckily for me, this model did not please !!!")</f>
        <v>Nickel J adore ♥ ♥ J but was afraid qd I have seen that the package had been opened on the side and the shoe box .... Luckily for me, this model did not please !!!</v>
      </c>
    </row>
    <row r="452">
      <c r="A452" s="1">
        <v>5.0</v>
      </c>
      <c r="B452" s="1" t="s">
        <v>452</v>
      </c>
      <c r="C452" t="str">
        <f>IFERROR(__xludf.DUMMYFUNCTION("GOOGLETRANSLATE(B452, ""fr"", ""en"")"),"Perfect super fast delivery and Blu-ray Disney quality .. just missing the longer version as the DVD")</f>
        <v>Perfect super fast delivery and Blu-ray Disney quality .. just missing the longer version as the DVD</v>
      </c>
    </row>
    <row r="453">
      <c r="A453" s="1">
        <v>5.0</v>
      </c>
      <c r="B453" s="1" t="s">
        <v>453</v>
      </c>
      <c r="C453" t="str">
        <f>IFERROR(__xludf.DUMMYFUNCTION("GOOGLETRANSLATE(B453, ""fr"", ""en"")"),"Perfect for use Convenient to use. Easy to carry. Although hermetic closure. Easy to wash.")</f>
        <v>Perfect for use Convenient to use. Easy to carry. Although hermetic closure. Easy to wash.</v>
      </c>
    </row>
    <row r="454">
      <c r="A454" s="1">
        <v>5.0</v>
      </c>
      <c r="B454" s="1" t="s">
        <v>454</v>
      </c>
      <c r="C454" t="str">
        <f>IFERROR(__xludf.DUMMYFUNCTION("GOOGLETRANSLATE(B454, ""fr"", ""en"")"),"Happy with my purchase! Happy with my purchase! Very nice, convenient, easy to clean, does not take up much space.")</f>
        <v>Happy with my purchase! Happy with my purchase! Very nice, convenient, easy to clean, does not take up much space.</v>
      </c>
    </row>
    <row r="455">
      <c r="A455" s="1">
        <v>5.0</v>
      </c>
      <c r="B455" s="1" t="s">
        <v>455</v>
      </c>
      <c r="C455" t="str">
        <f>IFERROR(__xludf.DUMMYFUNCTION("GOOGLETRANSLATE(B455, ""fr"", ""en"")"),"Very Good money hello size matches I play 44 and I have ordered 44 and very good bill holds well in front and very comfortable. ideal for making km walk")</f>
        <v>Very Good money hello size matches I play 44 and I have ordered 44 and very good bill holds well in front and very comfortable. ideal for making km walk</v>
      </c>
    </row>
    <row r="456">
      <c r="A456" s="1">
        <v>5.0</v>
      </c>
      <c r="B456" s="1" t="s">
        <v>456</v>
      </c>
      <c r="C456" t="str">
        <f>IFERROR(__xludf.DUMMYFUNCTION("GOOGLETRANSLATE(B456, ""fr"", ""en"")"),"very good value for money bought for my mother she was delighted nice good quality product storage box Very fast delivery")</f>
        <v>very good value for money bought for my mother she was delighted nice good quality product storage box Very fast delivery</v>
      </c>
    </row>
    <row r="457">
      <c r="A457" s="1">
        <v>5.0</v>
      </c>
      <c r="B457" s="1" t="s">
        <v>457</v>
      </c>
      <c r="C457" t="str">
        <f>IFERROR(__xludf.DUMMYFUNCTION("GOOGLETRANSLATE(B457, ""fr"", ""en"")"),"Washing soda A wonderful product, we can do so many things with cleaning laundry white, ect .. I'm happy with my purchase.")</f>
        <v>Washing soda A wonderful product, we can do so many things with cleaning laundry white, ect .. I'm happy with my purchase.</v>
      </c>
    </row>
    <row r="458">
      <c r="A458" s="1">
        <v>5.0</v>
      </c>
      <c r="B458" s="1" t="s">
        <v>458</v>
      </c>
      <c r="C458" t="str">
        <f>IFERROR(__xludf.DUMMYFUNCTION("GOOGLETRANSLATE(B458, ""fr"", ""en"")"),"Super convenient, great sound, great discreet soon tried, adopted soon !!!! I had already tried EarPods equivalent but I thought they were not comfortable (discomfort in the ear) and discrete (white color), so I had abandoned (. When I saw these Bluetooth"&amp;" headphones, they me . appeared quieter and I wanted to order I was blown away by trying them: perfectly fit in the hollow of the ear, the sound quality is perfect, no sizzle, its very clear, and in addition they are super discreet! as they pass unnoticed"&amp;" brown in my hair !!! I'm thrilled !!! I was immediately adopted. Perfect for listening to music or the radio on my phone, or to hear the sound of movies iPad. I'll take them all over to be able to look after without bothering anyone during the long hours"&amp;" of waiting when my children make their extra curricular activities. I'll order extra pairs for my children")</f>
        <v>Super convenient, great sound, great discreet soon tried, adopted soon !!!! I had already tried EarPods equivalent but I thought they were not comfortable (discomfort in the ear) and discrete (white color), so I had abandoned (. When I saw these Bluetooth headphones, they me . appeared quieter and I wanted to order I was blown away by trying them: perfectly fit in the hollow of the ear, the sound quality is perfect, no sizzle, its very clear, and in addition they are super discreet! as they pass unnoticed brown in my hair !!! I'm thrilled !!! I was immediately adopted. Perfect for listening to music or the radio on my phone, or to hear the sound of movies iPad. I'll take them all over to be able to look after without bothering anyone during the long hours of waiting when my children make their extra curricular activities. I'll order extra pairs for my children</v>
      </c>
    </row>
    <row r="459">
      <c r="A459" s="1">
        <v>5.0</v>
      </c>
      <c r="B459" s="1" t="s">
        <v>459</v>
      </c>
      <c r="C459" t="str">
        <f>IFERROR(__xludf.DUMMYFUNCTION("GOOGLETRANSLATE(B459, ""fr"", ""en"")"),"Meets the Perfect Photo")</f>
        <v>Meets the Perfect Photo</v>
      </c>
    </row>
    <row r="460">
      <c r="A460" s="1">
        <v>5.0</v>
      </c>
      <c r="B460" s="1" t="s">
        <v>460</v>
      </c>
      <c r="C460" t="str">
        <f>IFERROR(__xludf.DUMMYFUNCTION("GOOGLETRANSLATE(B460, ""fr"", ""en"")"),"Perfect and Beautiful seem solid, they are good :) I even door sometimes at night and in the shower, they do not move. I am glad")</f>
        <v>Perfect and Beautiful seem solid, they are good :) I even door sometimes at night and in the shower, they do not move. I am glad</v>
      </c>
    </row>
    <row r="461">
      <c r="A461" s="1">
        <v>5.0</v>
      </c>
      <c r="B461" s="1" t="s">
        <v>461</v>
      </c>
      <c r="C461" t="str">
        <f>IFERROR(__xludf.DUMMYFUNCTION("GOOGLETRANSLATE(B461, ""fr"", ""en"")"),"Well suited RAS")</f>
        <v>Well suited RAS</v>
      </c>
    </row>
    <row r="462">
      <c r="A462" s="1">
        <v>5.0</v>
      </c>
      <c r="B462" s="1" t="s">
        <v>462</v>
      </c>
      <c r="C462" t="str">
        <f>IFERROR(__xludf.DUMMYFUNCTION("GOOGLETRANSLATE(B462, ""fr"", ""en"")"),"Solid and reliable Rando diving ... P A R E A T I E")</f>
        <v>Solid and reliable Rando diving ... P A R E A T I E</v>
      </c>
    </row>
    <row r="463">
      <c r="A463" s="1">
        <v>5.0</v>
      </c>
      <c r="B463" s="1" t="s">
        <v>463</v>
      </c>
      <c r="C463" t="str">
        <f>IFERROR(__xludf.DUMMYFUNCTION("GOOGLETRANSLATE(B463, ""fr"", ""en"")"),"adapted, resistant and aesthetic product suitable, good resistance! Very aesthetic! I recommend!")</f>
        <v>adapted, resistant and aesthetic product suitable, good resistance! Very aesthetic! I recommend!</v>
      </c>
    </row>
    <row r="464">
      <c r="A464" s="1">
        <v>5.0</v>
      </c>
      <c r="B464" s="1" t="s">
        <v>464</v>
      </c>
      <c r="C464" t="str">
        <f>IFERROR(__xludf.DUMMYFUNCTION("GOOGLETRANSLATE(B464, ""fr"", ""en"")"),"I love massage or heating not perfect I love to relax neck back, lower back. I use it everyday. Perfect for relaxing and untie knots")</f>
        <v>I love massage or heating not perfect I love to relax neck back, lower back. I use it everyday. Perfect for relaxing and untie knots</v>
      </c>
    </row>
    <row r="465">
      <c r="A465" s="1">
        <v>5.0</v>
      </c>
      <c r="B465" s="1" t="s">
        <v>465</v>
      </c>
      <c r="C465" t="str">
        <f>IFERROR(__xludf.DUMMYFUNCTION("GOOGLETRANSLATE(B465, ""fr"", ""en"")"),"J adore J bought the bottle for more than 5 years, it is a brand that I like very much. Sweetie 1 year and still breastfeeding but begins to take a bottle and c is natural that I took those out there like the big brothers and sisters")</f>
        <v>J adore J bought the bottle for more than 5 years, it is a brand that I like very much. Sweetie 1 year and still breastfeeding but begins to take a bottle and c is natural that I took those out there like the big brothers and sisters</v>
      </c>
    </row>
    <row r="466">
      <c r="A466" s="1">
        <v>2.0</v>
      </c>
      <c r="B466" s="1" t="s">
        <v>466</v>
      </c>
      <c r="C466" t="str">
        <f>IFERROR(__xludf.DUMMYFUNCTION("GOOGLETRANSLATE(B466, ""fr"", ""en"")"),"Plush after a day ... The quality is really poor. By late afternoon, it was already many plush underfoot. I doubt it's done well for a daily activity for assets. Not worth the brand hiking socks that starts with ""&amp; nbsp; &amp; nbsp Deca;"" and ends with ""&amp; "&amp;"nbsp; Thlon &amp; nbsp;"".")</f>
        <v>Plush after a day ... The quality is really poor. By late afternoon, it was already many plush underfoot. I doubt it's done well for a daily activity for assets. Not worth the brand hiking socks that starts with "&amp; nbsp; &amp; nbsp Deca;" and ends with "&amp; nbsp; Thlon &amp; nbsp;".</v>
      </c>
    </row>
    <row r="467">
      <c r="A467" s="1">
        <v>1.0</v>
      </c>
      <c r="B467" s="1" t="s">
        <v>467</v>
      </c>
      <c r="C467" t="str">
        <f>IFERROR(__xludf.DUMMYFUNCTION("GOOGLETRANSLATE(B467, ""fr"", ""en"")"),"Sting Nothing like avé you the photo and product description ... vulgar dud china made a very poor quality and size too small and more a rip n not buy it !!!")</f>
        <v>Sting Nothing like avé you the photo and product description ... vulgar dud china made a very poor quality and size too small and more a rip n not buy it !!!</v>
      </c>
    </row>
    <row r="468">
      <c r="A468" s="1">
        <v>3.0</v>
      </c>
      <c r="B468" s="1" t="s">
        <v>468</v>
      </c>
      <c r="C468" t="str">
        <f>IFERROR(__xludf.DUMMYFUNCTION("GOOGLETRANSLATE(B468, ""fr"", ""en"")"),"A good supply of envelopes Packaging was correct. Cardboard is convenient to maintain and store. The paper is a little light but enough for everyday use. The bonding of the closure is good. Good value for money.")</f>
        <v>A good supply of envelopes Packaging was correct. Cardboard is convenient to maintain and store. The paper is a little light but enough for everyday use. The bonding of the closure is good. Good value for money.</v>
      </c>
    </row>
    <row r="469">
      <c r="A469" s="1">
        <v>3.0</v>
      </c>
      <c r="B469" s="1" t="s">
        <v>469</v>
      </c>
      <c r="C469" t="str">
        <f>IFERROR(__xludf.DUMMYFUNCTION("GOOGLETRANSLATE(B469, ""fr"", ""en"")"),"Bought too small for everyday use, I actually bit the door because they are too small and hurt my feet, I took 40 which is normally my size. Otherwise they are lightweight and comfortable to wear")</f>
        <v>Bought too small for everyday use, I actually bit the door because they are too small and hurt my feet, I took 40 which is normally my size. Otherwise they are lightweight and comfortable to wear</v>
      </c>
    </row>
    <row r="470">
      <c r="A470" s="1">
        <v>3.0</v>
      </c>
      <c r="B470" s="1" t="s">
        <v>470</v>
      </c>
      <c r="C470" t="str">
        <f>IFERROR(__xludf.DUMMYFUNCTION("GOOGLETRANSLATE(B470, ""fr"", ""en"")"),"Good color markers maisgamme incomplete This fool Medium point felt good, but the colors neon replace normal color equivalent, who are not: there is no yellow, or pink, or clear another green that neon. So, you have to buy another bag to complete. Frankly"&amp;" damage to a bag of 24 pens!")</f>
        <v>Good color markers maisgamme incomplete This fool Medium point felt good, but the colors neon replace normal color equivalent, who are not: there is no yellow, or pink, or clear another green that neon. So, you have to buy another bag to complete. Frankly damage to a bag of 24 pens!</v>
      </c>
    </row>
    <row r="471">
      <c r="A471" s="1">
        <v>4.0</v>
      </c>
      <c r="B471" s="1" t="s">
        <v>471</v>
      </c>
      <c r="C471" t="str">
        <f>IFERROR(__xludf.DUMMYFUNCTION("GOOGLETRANSLATE(B471, ""fr"", ""en"")"),"very well very well")</f>
        <v>very well very well</v>
      </c>
    </row>
    <row r="472">
      <c r="A472" s="1">
        <v>4.0</v>
      </c>
      <c r="B472" s="1" t="s">
        <v>472</v>
      </c>
      <c r="C472" t="str">
        <f>IFERROR(__xludf.DUMMYFUNCTION("GOOGLETRANSLATE(B472, ""fr"", ""en"")"),"Almost perfect. Gift for my mother who loved it. But I think the bracelet is a bit tight for her wrist, wrist she has otherwise end where 4 star. Otherwise quality Casio appointment.")</f>
        <v>Almost perfect. Gift for my mother who loved it. But I think the bracelet is a bit tight for her wrist, wrist she has otherwise end where 4 star. Otherwise quality Casio appointment.</v>
      </c>
    </row>
    <row r="473">
      <c r="A473" s="1">
        <v>4.0</v>
      </c>
      <c r="B473" s="1" t="s">
        <v>473</v>
      </c>
      <c r="C473" t="str">
        <f>IFERROR(__xludf.DUMMYFUNCTION("GOOGLETRANSLATE(B473, ""fr"", ""en"")"),"Super Met my expectations but I took the 40 thought it was going to go with my 'soles suddenly pity it is a little big shoes I of 39")</f>
        <v>Super Met my expectations but I took the 40 thought it was going to go with my 'soles suddenly pity it is a little big shoes I of 39</v>
      </c>
    </row>
    <row r="474">
      <c r="A474" s="1">
        <v>4.0</v>
      </c>
      <c r="B474" s="1" t="s">
        <v>474</v>
      </c>
      <c r="C474" t="str">
        <f>IFERROR(__xludf.DUMMYFUNCTION("GOOGLETRANSLATE(B474, ""fr"", ""en"")"),"value for money under quick scrub Shower Moisturizer")</f>
        <v>value for money under quick scrub Shower Moisturizer</v>
      </c>
    </row>
    <row r="475">
      <c r="A475" s="1">
        <v>5.0</v>
      </c>
      <c r="B475" s="1" t="s">
        <v>475</v>
      </c>
      <c r="C475" t="str">
        <f>IFERROR(__xludf.DUMMYFUNCTION("GOOGLETRANSLATE(B475, ""fr"", ""en"")"),"Confrome the description My helmet starting to get old and micro having no dedicated not I wanted to invest in a gaming headset so you can both communicate with my friends, but also hear the footsteps of 6 rainbow. I am quite satisfied with the sound qual"&amp;"ity, my old helmet is a big brand I have not found to decrease sound quality in the game, which was my only concern. Adjusting the sound is flexible and convenient. The effect is cutting its success, allowing an immersive and better concentration. I recom"&amp;"mend this helmet, I hope it will last in time &amp; nbsp ;!")</f>
        <v>Confrome the description My helmet starting to get old and micro having no dedicated not I wanted to invest in a gaming headset so you can both communicate with my friends, but also hear the footsteps of 6 rainbow. I am quite satisfied with the sound quality, my old helmet is a big brand I have not found to decrease sound quality in the game, which was my only concern. Adjusting the sound is flexible and convenient. The effect is cutting its success, allowing an immersive and better concentration. I recommend this helmet, I hope it will last in time &amp; nbsp ;!</v>
      </c>
    </row>
    <row r="476">
      <c r="A476" s="1">
        <v>5.0</v>
      </c>
      <c r="B476" s="1" t="s">
        <v>476</v>
      </c>
      <c r="C476" t="str">
        <f>IFERROR(__xludf.DUMMYFUNCTION("GOOGLETRANSLATE(B476, ""fr"", ""en"")"),"very very good product and quality")</f>
        <v>very very good product and quality</v>
      </c>
    </row>
    <row r="477">
      <c r="A477" s="1">
        <v>5.0</v>
      </c>
      <c r="B477" s="1" t="s">
        <v>477</v>
      </c>
      <c r="C477" t="str">
        <f>IFERROR(__xludf.DUMMYFUNCTION("GOOGLETRANSLATE(B477, ""fr"", ""en"")"),"At the top Super Size Product nickel and very comfortable to wear for running very satisfied with my purchase")</f>
        <v>At the top Super Size Product nickel and very comfortable to wear for running very satisfied with my purchase</v>
      </c>
    </row>
    <row r="478">
      <c r="A478" s="1">
        <v>5.0</v>
      </c>
      <c r="B478" s="1" t="s">
        <v>478</v>
      </c>
      <c r="C478" t="str">
        <f>IFERROR(__xludf.DUMMYFUNCTION("GOOGLETRANSLATE(B478, ""fr"", ""en"")"),"Reebok Basketball Top Basketball great my son is delighted")</f>
        <v>Reebok Basketball Top Basketball great my son is delighted</v>
      </c>
    </row>
    <row r="479">
      <c r="A479" s="1">
        <v>5.0</v>
      </c>
      <c r="B479" s="1" t="s">
        <v>479</v>
      </c>
      <c r="C479" t="str">
        <f>IFERROR(__xludf.DUMMYFUNCTION("GOOGLETRANSLATE(B479, ""fr"", ""en"")"),"Delivered quickly Normal")</f>
        <v>Delivered quickly Normal</v>
      </c>
    </row>
    <row r="480">
      <c r="A480" s="1">
        <v>5.0</v>
      </c>
      <c r="B480" s="1" t="s">
        <v>480</v>
      </c>
      <c r="C480" t="str">
        <f>IFERROR(__xludf.DUMMYFUNCTION("GOOGLETRANSLATE(B480, ""fr"", ""en"")"),"Too nice happy with my purchase ..offert to Christmas and the person find so cool and above all practical .. I recommend for a fun gift")</f>
        <v>Too nice happy with my purchase ..offert to Christmas and the person find so cool and above all practical .. I recommend for a fun gift</v>
      </c>
    </row>
    <row r="481">
      <c r="A481" s="1">
        <v>5.0</v>
      </c>
      <c r="B481" s="1" t="s">
        <v>481</v>
      </c>
      <c r="C481" t="str">
        <f>IFERROR(__xludf.DUMMYFUNCTION("GOOGLETRANSLATE(B481, ""fr"", ""en"")"),"Good quality / price This helmet is really good, the color styles are very good, I saw many internet comparisons, and finally chose your store, after the arrival of goods, I am completely satisfied! Supplied in a small pouch with several rubber caps of di"&amp;"fferent sizes. The cable is long and soft, all is well finished. I really like him.")</f>
        <v>Good quality / price This helmet is really good, the color styles are very good, I saw many internet comparisons, and finally chose your store, after the arrival of goods, I am completely satisfied! Supplied in a small pouch with several rubber caps of different sizes. The cable is long and soft, all is well finished. I really like him.</v>
      </c>
    </row>
    <row r="482">
      <c r="A482" s="1">
        <v>5.0</v>
      </c>
      <c r="B482" s="1" t="s">
        <v>482</v>
      </c>
      <c r="C482" t="str">
        <f>IFERROR(__xludf.DUMMYFUNCTION("GOOGLETRANSLATE(B482, ""fr"", ""en"")"),"Very good for the hero go pro 5 Lightweight good value for money. I use it with my hero go pro 5 and rendering is fantastic so that there is not much wind.")</f>
        <v>Very good for the hero go pro 5 Lightweight good value for money. I use it with my hero go pro 5 and rendering is fantastic so that there is not much wind.</v>
      </c>
    </row>
    <row r="483">
      <c r="A483" s="1">
        <v>5.0</v>
      </c>
      <c r="B483" s="1" t="s">
        <v>483</v>
      </c>
      <c r="C483" t="str">
        <f>IFERROR(__xludf.DUMMYFUNCTION("GOOGLETRANSLATE(B483, ""fr"", ""en"")"),"Basketball Air Delivery time running. The sneakers are comfortable and the size is. Cloud sneakers absorbs the jolt during the walk / run. The sneakers are fairly light. Good foot.")</f>
        <v>Basketball Air Delivery time running. The sneakers are comfortable and the size is. Cloud sneakers absorbs the jolt during the walk / run. The sneakers are fairly light. Good foot.</v>
      </c>
    </row>
    <row r="484">
      <c r="A484" s="1">
        <v>5.0</v>
      </c>
      <c r="B484" s="1" t="s">
        <v>484</v>
      </c>
      <c r="C484" t="str">
        <f>IFERROR(__xludf.DUMMYFUNCTION("GOOGLETRANSLATE(B484, ""fr"", ""en"")"),"Perfect Too Perfect Too good too !! Beautiful!")</f>
        <v>Perfect Too Perfect Too good too !! Beautiful!</v>
      </c>
    </row>
    <row r="485">
      <c r="A485" s="1">
        <v>5.0</v>
      </c>
      <c r="B485" s="1" t="s">
        <v>485</v>
      </c>
      <c r="C485" t="str">
        <f>IFERROR(__xludf.DUMMYFUNCTION("GOOGLETRANSLATE(B485, ""fr"", ""en"")"),"Great product great product")</f>
        <v>Great product great product</v>
      </c>
    </row>
    <row r="486">
      <c r="A486" s="1">
        <v>5.0</v>
      </c>
      <c r="B486" s="1" t="s">
        <v>486</v>
      </c>
      <c r="C486" t="str">
        <f>IFERROR(__xludf.DUMMYFUNCTION("GOOGLETRANSLATE(B486, ""fr"", ""en"")"),"Super awesome collection. My daughter loves")</f>
        <v>Super awesome collection. My daughter loves</v>
      </c>
    </row>
    <row r="487">
      <c r="A487" s="1">
        <v>5.0</v>
      </c>
      <c r="B487" s="1" t="s">
        <v>487</v>
      </c>
      <c r="C487" t="str">
        <f>IFERROR(__xludf.DUMMYFUNCTION("GOOGLETRANSLATE(B487, ""fr"", ""en"")"),"Great for sports I am absolutely delighted these sports headphones. I tested them before offering them to my sister who is a great sport and I can tell you that the sound is great! On top of that the product arrived very well packed! And the design of the"&amp;" product perfectly married my ear shape which allows not knock them down during sporting activities!")</f>
        <v>Great for sports I am absolutely delighted these sports headphones. I tested them before offering them to my sister who is a great sport and I can tell you that the sound is great! On top of that the product arrived very well packed! And the design of the product perfectly married my ear shape which allows not knock them down during sporting activities!</v>
      </c>
    </row>
    <row r="488">
      <c r="A488" s="1">
        <v>5.0</v>
      </c>
      <c r="B488" s="1" t="s">
        <v>488</v>
      </c>
      <c r="C488" t="str">
        <f>IFERROR(__xludf.DUMMYFUNCTION("GOOGLETRANSLATE(B488, ""fr"", ""en"")"),"Gift popular My niece reads this book every night. She adores ! She was very happy when I offered a second.")</f>
        <v>Gift popular My niece reads this book every night. She adores ! She was very happy when I offered a second.</v>
      </c>
    </row>
    <row r="489">
      <c r="A489" s="1">
        <v>5.0</v>
      </c>
      <c r="B489" s="1" t="s">
        <v>489</v>
      </c>
      <c r="C489" t="str">
        <f>IFERROR(__xludf.DUMMYFUNCTION("GOOGLETRANSLATE(B489, ""fr"", ""en"")"),"Super quality Sweater received timely and very good quality and it would therefore like heavy enough hot.")</f>
        <v>Super quality Sweater received timely and very good quality and it would therefore like heavy enough hot.</v>
      </c>
    </row>
    <row r="490">
      <c r="A490" s="1">
        <v>2.0</v>
      </c>
      <c r="B490" s="1" t="s">
        <v>490</v>
      </c>
      <c r="C490" t="str">
        <f>IFERROR(__xludf.DUMMYFUNCTION("GOOGLETRANSLATE(B490, ""fr"", ""en"")"),"Caution fragile helmet mediocre Hello I recommend you to buy it helmet looks solid and yet the joint of my right ear is broken without knowing why when I take the greatest care. I know not all be a matter to her but I can tell you that the noise reduction"&amp;" is not great at all I want to clarify that the active reducing frequencies sent to oppose the interference means a small acute noise it does not bother me but the noise hurts the ears sound quality is not great compared to basic headphones. Frankly advic"&amp;"e to keep your money and you bought headphones or if you have a bigger budget to invest in a real helmet because it really is mediocre at first I was so happy it was new to me but after 1 week test is discovered defects helmet and now it is barely 2 month"&amp;"s I and I are already planning to buy headphones because of this helmet. Really I do not recommend to buy more I can not even get a refund.")</f>
        <v>Caution fragile helmet mediocre Hello I recommend you to buy it helmet looks solid and yet the joint of my right ear is broken without knowing why when I take the greatest care. I know not all be a matter to her but I can tell you that the noise reduction is not great at all I want to clarify that the active reducing frequencies sent to oppose the interference means a small acute noise it does not bother me but the noise hurts the ears sound quality is not great compared to basic headphones. Frankly advice to keep your money and you bought headphones or if you have a bigger budget to invest in a real helmet because it really is mediocre at first I was so happy it was new to me but after 1 week test is discovered defects helmet and now it is barely 2 months I and I are already planning to buy headphones because of this helmet. Really I do not recommend to buy more I can not even get a refund.</v>
      </c>
    </row>
    <row r="491">
      <c r="A491" s="1">
        <v>1.0</v>
      </c>
      <c r="B491" s="1" t="s">
        <v>491</v>
      </c>
      <c r="C491" t="str">
        <f>IFERROR(__xludf.DUMMYFUNCTION("GOOGLETRANSLATE(B491, ""fr"", ""en"")"),"Too narrow too narrow")</f>
        <v>Too narrow too narrow</v>
      </c>
    </row>
    <row r="492">
      <c r="A492" s="1">
        <v>1.0</v>
      </c>
      <c r="B492" s="1" t="s">
        <v>492</v>
      </c>
      <c r="C492" t="str">
        <f>IFERROR(__xludf.DUMMYFUNCTION("GOOGLETRANSLATE(B492, ""fr"", ""en"")"),"plastic fake basketball went out. 100% plastic. priced at true")</f>
        <v>plastic fake basketball went out. 100% plastic. priced at true</v>
      </c>
    </row>
    <row r="493">
      <c r="A493" s="1">
        <v>1.0</v>
      </c>
      <c r="B493" s="1" t="s">
        <v>493</v>
      </c>
      <c r="C493" t="str">
        <f>IFERROR(__xludf.DUMMYFUNCTION("GOOGLETRANSLATE(B493, ""fr"", ""en"")"),"Do not buy Incomprehensible I order a size s I get a xl which is much too small I recommended")</f>
        <v>Do not buy Incomprehensible I order a size s I get a xl which is much too small I recommended</v>
      </c>
    </row>
    <row r="494">
      <c r="A494" s="1">
        <v>3.0</v>
      </c>
      <c r="B494" s="1" t="s">
        <v>494</v>
      </c>
      <c r="C494" t="str">
        <f>IFERROR(__xludf.DUMMYFUNCTION("GOOGLETRANSLATE(B494, ""fr"", ""en"")"),"Pretty noisy design too fast water heater and use is easy. As against it is really noisy.")</f>
        <v>Pretty noisy design too fast water heater and use is easy. As against it is really noisy.</v>
      </c>
    </row>
    <row r="495">
      <c r="A495" s="1">
        <v>4.0</v>
      </c>
      <c r="B495" s="1" t="s">
        <v>495</v>
      </c>
      <c r="C495" t="str">
        <f>IFERROR(__xludf.DUMMYFUNCTION("GOOGLETRANSLATE(B495, ""fr"", ""en"")"),"Ideal for a woman's foot This model is said to be perfect for a woman's foot (which is not a man walking in smaller!). One caveat, however: if this shoe is impeccable comfort for walking, it is not recommended for risky excursions: the sole does not catch"&amp;" enough on slippery surfaces.")</f>
        <v>Ideal for a woman's foot This model is said to be perfect for a woman's foot (which is not a man walking in smaller!). One caveat, however: if this shoe is impeccable comfort for walking, it is not recommended for risky excursions: the sole does not catch enough on slippery surfaces.</v>
      </c>
    </row>
    <row r="496">
      <c r="A496" s="1">
        <v>4.0</v>
      </c>
      <c r="B496" s="1" t="s">
        <v>496</v>
      </c>
      <c r="C496" t="str">
        <f>IFERROR(__xludf.DUMMYFUNCTION("GOOGLETRANSLATE(B496, ""fr"", ""en"")"),"Fangs, we like or not like I ordered fangs for use in the operating room, what fun! Rather, they are well suited even if post I regret not having bought with the front completely closed. Unlike other reviews I've read, mine are made in Italy, proof that t"&amp;"hey are not fakes? Comfortable, plastic is quite soft which is nice.")</f>
        <v>Fangs, we like or not like I ordered fangs for use in the operating room, what fun! Rather, they are well suited even if post I regret not having bought with the front completely closed. Unlike other reviews I've read, mine are made in Italy, proof that they are not fakes? Comfortable, plastic is quite soft which is nice.</v>
      </c>
    </row>
    <row r="497">
      <c r="A497" s="1">
        <v>4.0</v>
      </c>
      <c r="B497" s="1" t="s">
        <v>497</v>
      </c>
      <c r="C497" t="str">
        <f>IFERROR(__xludf.DUMMYFUNCTION("GOOGLETRANSLATE(B497, ""fr"", ""en"")"),"I recommend Great, I love it, a little bit bigger but I prefer when it's like this, I recommend!")</f>
        <v>I recommend Great, I love it, a little bit bigger but I prefer when it's like this, I recommend!</v>
      </c>
    </row>
    <row r="498">
      <c r="A498" s="1">
        <v>4.0</v>
      </c>
      <c r="B498" s="1" t="s">
        <v>498</v>
      </c>
      <c r="C498" t="str">
        <f>IFERROR(__xludf.DUMMYFUNCTION("GOOGLETRANSLATE(B498, ""fr"", ""en"")"),"Good perch &lt;a data-hook = ""product-link-linked"" class = ""a-link-normal"" href = ""/ Foxnovo-Broadcasting-sustainable-Studio-Microphone-Mic-suspension-scissors-arm boom-black / dp / B00MQRHN5U / ref = cm_cr_arp_d_rvw_txt? ie = UTF8 ""&gt; Foxnovo sustainab"&amp;"le Broadcasting Studio microphone mic Suspension scissors arm pole (black) is &lt;/a&gt; I install my microphone bird UM1 so it is compatible with the microphone. The fixation on the desktop to a small foam to prevent when used too the basis of damaging the off"&amp;"ice. The pole works well takes the position wish without problems. Will just pay attention to the weight of the microphone that could lower your boom during recording or other ... The quality of material is impeccable I find for me. A good 4/5 for this pe"&amp;"rch, I remove a star for the crank at the end of the boom microphone for fixing even turn back continue running constantly as if it was not set correctly.")</f>
        <v>Good perch &lt;a data-hook = "product-link-linked" class = "a-link-normal" href = "/ Foxnovo-Broadcasting-sustainable-Studio-Microphone-Mic-suspension-scissors-arm boom-black / dp / B00MQRHN5U / ref = cm_cr_arp_d_rvw_txt? ie = UTF8 "&gt; Foxnovo sustainable Broadcasting Studio microphone mic Suspension scissors arm pole (black) is &lt;/a&gt; I install my microphone bird UM1 so it is compatible with the microphone. The fixation on the desktop to a small foam to prevent when used too the basis of damaging the office. The pole works well takes the position wish without problems. Will just pay attention to the weight of the microphone that could lower your boom during recording or other ... The quality of material is impeccable I find for me. A good 4/5 for this perch, I remove a star for the crank at the end of the boom microphone for fixing even turn back continue running constantly as if it was not set correctly.</v>
      </c>
    </row>
    <row r="499">
      <c r="A499" s="1">
        <v>5.0</v>
      </c>
      <c r="B499" s="1" t="s">
        <v>499</v>
      </c>
      <c r="C499" t="str">
        <f>IFERROR(__xludf.DUMMYFUNCTION("GOOGLETRANSLATE(B499, ""fr"", ""en"")"),"étoilessandales NIKE tap Beautiful and comfortable My son is satisfied")</f>
        <v>étoilessandales NIKE tap Beautiful and comfortable My son is satisfied</v>
      </c>
    </row>
    <row r="500">
      <c r="A500" s="1">
        <v>5.0</v>
      </c>
      <c r="B500" s="1" t="s">
        <v>500</v>
      </c>
      <c r="C500" t="str">
        <f>IFERROR(__xludf.DUMMYFUNCTION("GOOGLETRANSLATE(B500, ""fr"", ""en"")"),"Nothing is easy to use light to carry in the car at home everywhere")</f>
        <v>Nothing is easy to use light to carry in the car at home everywhere</v>
      </c>
    </row>
    <row r="501">
      <c r="A501" s="1">
        <v>5.0</v>
      </c>
      <c r="B501" s="1" t="s">
        <v>501</v>
      </c>
      <c r="C501" t="str">
        <f>IFERROR(__xludf.DUMMYFUNCTION("GOOGLETRANSLATE(B501, ""fr"", ""en"")"),"Correct Meets description")</f>
        <v>Correct Meets description</v>
      </c>
    </row>
    <row r="502">
      <c r="A502" s="1">
        <v>5.0</v>
      </c>
      <c r="B502" s="1" t="s">
        <v>502</v>
      </c>
      <c r="C502" t="str">
        <f>IFERROR(__xludf.DUMMYFUNCTION("GOOGLETRANSLATE(B502, ""fr"", ""en"")"),"Beautiful object For a gift")</f>
        <v>Beautiful object For a gift</v>
      </c>
    </row>
    <row r="503">
      <c r="A503" s="1">
        <v>5.0</v>
      </c>
      <c r="B503" s="1" t="s">
        <v>224</v>
      </c>
      <c r="C503" t="str">
        <f>IFERROR(__xludf.DUMMYFUNCTION("GOOGLETRANSLATE(B503, ""fr"", ""en"")"),"perfect perfect")</f>
        <v>perfect perfect</v>
      </c>
    </row>
    <row r="504">
      <c r="A504" s="1">
        <v>5.0</v>
      </c>
      <c r="B504" s="1" t="s">
        <v>503</v>
      </c>
      <c r="C504" t="str">
        <f>IFERROR(__xludf.DUMMYFUNCTION("GOOGLETRANSLATE(B504, ""fr"", ""en"")"),"1 To practice basketball")</f>
        <v>1 To practice basketball</v>
      </c>
    </row>
    <row r="505">
      <c r="A505" s="1">
        <v>5.0</v>
      </c>
      <c r="B505" s="1" t="s">
        <v>504</v>
      </c>
      <c r="C505" t="str">
        <f>IFERROR(__xludf.DUMMYFUNCTION("GOOGLETRANSLATE(B505, ""fr"", ""en"")"),"Super sweat! t quite consistent with the picture, it looks good quality, it keeps you warm and is gentle. I recommend !!")</f>
        <v>Super sweat! t quite consistent with the picture, it looks good quality, it keeps you warm and is gentle. I recommend !!</v>
      </c>
    </row>
    <row r="506">
      <c r="A506" s="1">
        <v>5.0</v>
      </c>
      <c r="B506" s="1" t="s">
        <v>505</v>
      </c>
      <c r="C506" t="str">
        <f>IFERROR(__xludf.DUMMYFUNCTION("GOOGLETRANSLATE(B506, ""fr"", ""en"")"),"Okay 👍👍👍")</f>
        <v>Okay 👍👍👍</v>
      </c>
    </row>
    <row r="507">
      <c r="A507" s="1">
        <v>5.0</v>
      </c>
      <c r="B507" s="1" t="s">
        <v>506</v>
      </c>
      <c r="C507" t="str">
        <f>IFERROR(__xludf.DUMMYFUNCTION("GOOGLETRANSLATE(B507, ""fr"", ""en"")"),"good value for money very nice helmet that I offered my wife since she leaves the more the sound is very good it folds to be able to put anywhere and you take everything very little room for Furthermore the packaging is really very little delivery was per"&amp;"formed in due time really a very nice product for the price")</f>
        <v>good value for money very nice helmet that I offered my wife since she leaves the more the sound is very good it folds to be able to put anywhere and you take everything very little room for Furthermore the packaging is really very little delivery was performed in due time really a very nice product for the price</v>
      </c>
    </row>
    <row r="508">
      <c r="A508" s="1">
        <v>5.0</v>
      </c>
      <c r="B508" s="1" t="s">
        <v>507</v>
      </c>
      <c r="C508" t="str">
        <f>IFERROR(__xludf.DUMMYFUNCTION("GOOGLETRANSLATE(B508, ""fr"", ""en"")"),"Perfect Very nice color. Very practical bag with its multiple pockets.")</f>
        <v>Perfect Very nice color. Very practical bag with its multiple pockets.</v>
      </c>
    </row>
    <row r="509">
      <c r="A509" s="1">
        <v>5.0</v>
      </c>
      <c r="B509" s="1" t="s">
        <v>508</v>
      </c>
      <c r="C509" t="str">
        <f>IFERROR(__xludf.DUMMYFUNCTION("GOOGLETRANSLATE(B509, ""fr"", ""en"")"),"Very well very well")</f>
        <v>Very well very well</v>
      </c>
    </row>
    <row r="510">
      <c r="A510" s="1">
        <v>5.0</v>
      </c>
      <c r="B510" s="1" t="s">
        <v>509</v>
      </c>
      <c r="C510" t="str">
        <f>IFERROR(__xludf.DUMMYFUNCTION("GOOGLETRANSLATE(B510, ""fr"", ""en"")"),"The cheaper it is, the better it is I received this recently helmet and am captivated by its sound reproduction. I had in my closet an old DT440 with a spectrum rather narrow. I ordered this headset after long tried a HD650 and K701 ... with response curv"&amp;"es ""on C .."". Pouquoi spend so much bad results. The DT990 has a warm sound, a little too serious for my taste, but that do not break the spatial. No holes in bandwidth and therefore accepts therefore any type of music. It is possible to absorb excess s"&amp;"erious masking vents bass-reflex: inserting the elastic portions (28mm, preferably white) in 2, 3 or 4 center slots of each earpiece. But I always compare with my best helmet for me, the Philips SBC-HD1500, longer manufactured for many years.")</f>
        <v>The cheaper it is, the better it is I received this recently helmet and am captivated by its sound reproduction. I had in my closet an old DT440 with a spectrum rather narrow. I ordered this headset after long tried a HD650 and K701 ... with response curves "on C ..". Pouquoi spend so much bad results. The DT990 has a warm sound, a little too serious for my taste, but that do not break the spatial. No holes in bandwidth and therefore accepts therefore any type of music. It is possible to absorb excess serious masking vents bass-reflex: inserting the elastic portions (28mm, preferably white) in 2, 3 or 4 center slots of each earpiece. But I always compare with my best helmet for me, the Philips SBC-HD1500, longer manufactured for many years.</v>
      </c>
    </row>
    <row r="511">
      <c r="A511" s="1">
        <v>5.0</v>
      </c>
      <c r="B511" s="1" t="s">
        <v>510</v>
      </c>
      <c r="C511" t="str">
        <f>IFERROR(__xludf.DUMMYFUNCTION("GOOGLETRANSLATE(B511, ""fr"", ""en"")"),"pleasant socks Hello, I feared that this type of sock to make ""wrinkles"" and hurt the foot, it is rien.Donc is super.Il are also no problem of ""overheating"" in level socks.")</f>
        <v>pleasant socks Hello, I feared that this type of sock to make "wrinkles" and hurt the foot, it is rien.Donc is super.Il are also no problem of "overheating" in level socks.</v>
      </c>
    </row>
    <row r="512">
      <c r="A512" s="1">
        <v>5.0</v>
      </c>
      <c r="B512" s="1" t="s">
        <v>511</v>
      </c>
      <c r="C512" t="str">
        <f>IFERROR(__xludf.DUMMYFUNCTION("GOOGLETRANSLATE(B512, ""fr"", ""en"")"),"Okay Nice quality paper. Suitable for all media")</f>
        <v>Okay Nice quality paper. Suitable for all media</v>
      </c>
    </row>
    <row r="513">
      <c r="A513" s="1">
        <v>5.0</v>
      </c>
      <c r="B513" s="1" t="s">
        <v>512</v>
      </c>
      <c r="C513" t="str">
        <f>IFERROR(__xludf.DUMMYFUNCTION("GOOGLETRANSLATE(B513, ""fr"", ""en"")"),"Wonderful I gave this watch to my husband for our 1 year wedding anniversary. He is delighted and continues to talk about. He loves the fact that there was no unnecessary buttons. The time is easy to read. The fact that she feels the leather. And undernea"&amp;"th all the style of this watch. I really made a man happy with this watch. I will actively recommend. Moreover, it is cheaper on Amazon than on the brand's website. We must enjoy: D")</f>
        <v>Wonderful I gave this watch to my husband for our 1 year wedding anniversary. He is delighted and continues to talk about. He loves the fact that there was no unnecessary buttons. The time is easy to read. The fact that she feels the leather. And underneath all the style of this watch. I really made a man happy with this watch. I will actively recommend. Moreover, it is cheaper on Amazon than on the brand's website. We must enjoy: D</v>
      </c>
    </row>
    <row r="514">
      <c r="A514" s="1">
        <v>2.0</v>
      </c>
      <c r="B514" s="1" t="s">
        <v>513</v>
      </c>
      <c r="C514" t="str">
        <f>IFERROR(__xludf.DUMMYFUNCTION("GOOGLETRANSLATE(B514, ""fr"", ""en"")"),"Bluetooth not J5 Samsung Does not work in Bluetooth (not recognized) on my samsung d5 but works on the J4 which however is older. I use it with the jack but it takes away much of its interest. If not the sound quality is correct. But after 30 minutes he f"&amp;"inally not shake a little. The bag is practical.")</f>
        <v>Bluetooth not J5 Samsung Does not work in Bluetooth (not recognized) on my samsung d5 but works on the J4 which however is older. I use it with the jack but it takes away much of its interest. If not the sound quality is correct. But after 30 minutes he finally not shake a little. The bag is practical.</v>
      </c>
    </row>
    <row r="515">
      <c r="A515" s="1">
        <v>1.0</v>
      </c>
      <c r="B515" s="1" t="s">
        <v>514</v>
      </c>
      <c r="C515" t="str">
        <f>IFERROR(__xludf.DUMMYFUNCTION("GOOGLETRANSLATE(B515, ""fr"", ""en"")"),"very disappointed with this purchase I love the shoes with wooden soles but these are very uncomfortable and poorly made !! I took a 37 red, nothing to say about the color but are a little bigger and not comfortable at all. no ergonomics at the timber bas"&amp;"e and not going to cook until the rear of the shoe. In short inadvisable")</f>
        <v>very disappointed with this purchase I love the shoes with wooden soles but these are very uncomfortable and poorly made !! I took a 37 red, nothing to say about the color but are a little bigger and not comfortable at all. no ergonomics at the timber base and not going to cook until the rear of the shoe. In short inadvisable</v>
      </c>
    </row>
    <row r="516">
      <c r="A516" s="1">
        <v>3.0</v>
      </c>
      <c r="B516" s="1" t="s">
        <v>515</v>
      </c>
      <c r="C516" t="str">
        <f>IFERROR(__xludf.DUMMYFUNCTION("GOOGLETRANSLATE(B516, ""fr"", ""en"")"),"Watch fragile ring off. Use for everyday life, most sports (trail, surfing etc. ..) Beautiful setting, however, the top ring is off after swimming 30m !! A little disappointed !")</f>
        <v>Watch fragile ring off. Use for everyday life, most sports (trail, surfing etc. ..) Beautiful setting, however, the top ring is off after swimming 30m !! A little disappointed !</v>
      </c>
    </row>
    <row r="517">
      <c r="A517" s="1">
        <v>3.0</v>
      </c>
      <c r="B517" s="1" t="s">
        <v>516</v>
      </c>
      <c r="C517" t="str">
        <f>IFERROR(__xludf.DUMMYFUNCTION("GOOGLETRANSLATE(B517, ""fr"", ""en"")"),"Lack screws, damage Replacement")</f>
        <v>Lack screws, damage Replacement</v>
      </c>
    </row>
    <row r="518">
      <c r="A518" s="1">
        <v>4.0</v>
      </c>
      <c r="B518" s="1" t="s">
        <v>517</v>
      </c>
      <c r="C518" t="str">
        <f>IFERROR(__xludf.DUMMYFUNCTION("GOOGLETRANSLATE(B518, ""fr"", ""en"")"),"keeping the feet from good feeling of comfort, soft and fluffy, after a few days of use I find that there is a lack of lateral stability and lack of cushioning the sole is not thick enough that could explain this flaw, I make my 79 kg weight can be a tend"&amp;"ency to crush the lining, if this problem was corrected I would give 5 stars")</f>
        <v>keeping the feet from good feeling of comfort, soft and fluffy, after a few days of use I find that there is a lack of lateral stability and lack of cushioning the sole is not thick enough that could explain this flaw, I make my 79 kg weight can be a tendency to crush the lining, if this problem was corrected I would give 5 stars</v>
      </c>
    </row>
    <row r="519">
      <c r="A519" s="1">
        <v>4.0</v>
      </c>
      <c r="B519" s="1" t="s">
        <v>518</v>
      </c>
      <c r="C519" t="str">
        <f>IFERROR(__xludf.DUMMYFUNCTION("GOOGLETRANSLATE(B519, ""fr"", ""en"")"),"Neither nor")</f>
        <v>Neither nor</v>
      </c>
    </row>
    <row r="520">
      <c r="A520" s="1">
        <v>4.0</v>
      </c>
      <c r="B520" s="1" t="s">
        <v>519</v>
      </c>
      <c r="C520" t="str">
        <f>IFERROR(__xludf.DUMMYFUNCTION("GOOGLETRANSLATE(B520, ""fr"", ""en"")"),"palladium exactly match the picture, beautiful color, they carve little damage. Take it rather with a size up even if they are expanding a little time. beautiful look.")</f>
        <v>palladium exactly match the picture, beautiful color, they carve little damage. Take it rather with a size up even if they are expanding a little time. beautiful look.</v>
      </c>
    </row>
    <row r="521">
      <c r="A521" s="1">
        <v>4.0</v>
      </c>
      <c r="B521" s="1" t="s">
        <v>520</v>
      </c>
      <c r="C521" t="str">
        <f>IFERROR(__xludf.DUMMYFUNCTION("GOOGLETRANSLATE(B521, ""fr"", ""en"")"),"already know I already know this article I often door and am very happy with this brand and quality.")</f>
        <v>already know I already know this article I often door and am very happy with this brand and quality.</v>
      </c>
    </row>
    <row r="522">
      <c r="A522" s="1">
        <v>5.0</v>
      </c>
      <c r="B522" s="1" t="s">
        <v>521</v>
      </c>
      <c r="C522" t="str">
        <f>IFERROR(__xludf.DUMMYFUNCTION("GOOGLETRANSLATE(B522, ""fr"", ""en"")"),"Sueprbe! Ras nothing to say ..")</f>
        <v>Sueprbe! Ras nothing to say ..</v>
      </c>
    </row>
    <row r="523">
      <c r="A523" s="1">
        <v>5.0</v>
      </c>
      <c r="B523" s="1" t="s">
        <v>522</v>
      </c>
      <c r="C523" t="str">
        <f>IFERROR(__xludf.DUMMYFUNCTION("GOOGLETRANSLATE(B523, ""fr"", ""en"")"),"I recommend Quality with return")</f>
        <v>I recommend Quality with return</v>
      </c>
    </row>
    <row r="524">
      <c r="A524" s="1">
        <v>5.0</v>
      </c>
      <c r="B524" s="1" t="s">
        <v>523</v>
      </c>
      <c r="C524" t="str">
        <f>IFERROR(__xludf.DUMMYFUNCTION("GOOGLETRANSLATE(B524, ""fr"", ""en"")"),"Beautiful dress Beautiful all that made sense as a Christmas gift. The colors are beautiful and the whole is physically consistent with the picture.")</f>
        <v>Beautiful dress Beautiful all that made sense as a Christmas gift. The colors are beautiful and the whole is physically consistent with the picture.</v>
      </c>
    </row>
    <row r="525">
      <c r="A525" s="1">
        <v>5.0</v>
      </c>
      <c r="B525" s="1" t="s">
        <v>524</v>
      </c>
      <c r="C525" t="str">
        <f>IFERROR(__xludf.DUMMYFUNCTION("GOOGLETRANSLATE(B525, ""fr"", ""en"")"),"Diffuser can connect Alexa or Google. I was looking forward to enjoy the benefits of essential oils. Super convenient with Alexa, easy to use with the recommended program for the night can be programmed 1,3,6 hours, great !! I recommend. 👍")</f>
        <v>Diffuser can connect Alexa or Google. I was looking forward to enjoy the benefits of essential oils. Super convenient with Alexa, easy to use with the recommended program for the night can be programmed 1,3,6 hours, great !! I recommend. 👍</v>
      </c>
    </row>
    <row r="526">
      <c r="A526" s="1">
        <v>5.0</v>
      </c>
      <c r="B526" s="1" t="s">
        <v>525</v>
      </c>
      <c r="C526" t="str">
        <f>IFERROR(__xludf.DUMMYFUNCTION("GOOGLETRANSLATE(B526, ""fr"", ""en"")"),"Very good very good, consider buying extra teats")</f>
        <v>Very good very good, consider buying extra teats</v>
      </c>
    </row>
    <row r="527">
      <c r="A527" s="1">
        <v>5.0</v>
      </c>
      <c r="B527" s="1" t="s">
        <v>526</v>
      </c>
      <c r="C527" t="str">
        <f>IFERROR(__xludf.DUMMYFUNCTION("GOOGLETRANSLATE(B527, ""fr"", ""en"")"),"Product solid practice for children and adults")</f>
        <v>Product solid practice for children and adults</v>
      </c>
    </row>
    <row r="528">
      <c r="A528" s="1">
        <v>5.0</v>
      </c>
      <c r="B528" s="1" t="s">
        <v>527</v>
      </c>
      <c r="C528" t="str">
        <f>IFERROR(__xludf.DUMMYFUNCTION("GOOGLETRANSLATE(B528, ""fr"", ""en"")"),"Excellent product Stunning really convenient and lovely .. I tried branded bottle brushes but it is the best rotary head price .. super thank you.")</f>
        <v>Excellent product Stunning really convenient and lovely .. I tried branded bottle brushes but it is the best rotary head price .. super thank you.</v>
      </c>
    </row>
    <row r="529">
      <c r="A529" s="1">
        <v>5.0</v>
      </c>
      <c r="B529" s="1" t="s">
        <v>528</v>
      </c>
      <c r="C529" t="str">
        <f>IFERROR(__xludf.DUMMYFUNCTION("GOOGLETRANSLATE(B529, ""fr"", ""en"")"),"Satisfy my heart reading The years range from 4 to 5 hours a night. lighting is unlikely: an LED lamp shows well, a bed lamp bulb whitens ... And never, despite all my tests, I found that good lighting is perfect, dimmable (white or yellow ). By buying, I"&amp;" did not expect much. The ability to adjust the intensity of light to the touch and to adjust the luminance ""hot"" (Light yellow and white) by orienting the rod in all directions; illumination sufficient for carrying out the various tasks under the bed f"&amp;"ire or office ... Finally, a frank and elegant light. Only happiness.")</f>
        <v>Satisfy my heart reading The years range from 4 to 5 hours a night. lighting is unlikely: an LED lamp shows well, a bed lamp bulb whitens ... And never, despite all my tests, I found that good lighting is perfect, dimmable (white or yellow ). By buying, I did not expect much. The ability to adjust the intensity of light to the touch and to adjust the luminance "hot" (Light yellow and white) by orienting the rod in all directions; illumination sufficient for carrying out the various tasks under the bed fire or office ... Finally, a frank and elegant light. Only happiness.</v>
      </c>
    </row>
    <row r="530">
      <c r="A530" s="1">
        <v>5.0</v>
      </c>
      <c r="B530" s="1" t="s">
        <v>529</v>
      </c>
      <c r="C530" t="str">
        <f>IFERROR(__xludf.DUMMYFUNCTION("GOOGLETRANSLATE(B530, ""fr"", ""en"")"),"Great extra product I recommend it 100%")</f>
        <v>Great extra product I recommend it 100%</v>
      </c>
    </row>
    <row r="531">
      <c r="A531" s="1">
        <v>5.0</v>
      </c>
      <c r="B531" s="1" t="s">
        <v>530</v>
      </c>
      <c r="C531" t="str">
        <f>IFERROR(__xludf.DUMMYFUNCTION("GOOGLETRANSLATE(B531, ""fr"", ""en"")"),"Good value for money Jai took a half size above typical of the brand and perfect size. identical color photo when buying")</f>
        <v>Good value for money Jai took a half size above typical of the brand and perfect size. identical color photo when buying</v>
      </c>
    </row>
    <row r="532">
      <c r="A532" s="1">
        <v>5.0</v>
      </c>
      <c r="B532" s="1" t="s">
        <v>531</v>
      </c>
      <c r="C532" t="str">
        <f>IFERROR(__xludf.DUMMYFUNCTION("GOOGLETRANSLATE(B532, ""fr"", ""en"")"),"Stickers Super children Product to develop creativity of our children my girls are delighted the stickers are of very good quality easy to take off and to handle for small hands there is really a very large amount and variety really cheap for what it ' is")</f>
        <v>Stickers Super children Product to develop creativity of our children my girls are delighted the stickers are of very good quality easy to take off and to handle for small hands there is really a very large amount and variety really cheap for what it ' is</v>
      </c>
    </row>
    <row r="533">
      <c r="A533" s="1">
        <v>5.0</v>
      </c>
      <c r="B533" s="1" t="s">
        <v>532</v>
      </c>
      <c r="C533" t="str">
        <f>IFERROR(__xludf.DUMMYFUNCTION("GOOGLETRANSLATE(B533, ""fr"", ""en"")"),"Great shoes. Nice and comfortable. Super nice and very comfortable. I recommend. I am glad.")</f>
        <v>Great shoes. Nice and comfortable. Super nice and very comfortable. I recommend. I am glad.</v>
      </c>
    </row>
    <row r="534">
      <c r="A534" s="1">
        <v>5.0</v>
      </c>
      <c r="B534" s="1" t="s">
        <v>533</v>
      </c>
      <c r="C534" t="str">
        <f>IFERROR(__xludf.DUMMYFUNCTION("GOOGLETRANSLATE(B534, ""fr"", ""en"")"),"Complies with RoHS description has my description, the slippers are soft and thin. They have the robust enough air for occasional use to know when there are guests.")</f>
        <v>Complies with RoHS description has my description, the slippers are soft and thin. They have the robust enough air for occasional use to know when there are guests.</v>
      </c>
    </row>
    <row r="535">
      <c r="A535" s="1">
        <v>5.0</v>
      </c>
      <c r="B535" s="1" t="s">
        <v>534</v>
      </c>
      <c r="C535" t="str">
        <f>IFERROR(__xludf.DUMMYFUNCTION("GOOGLETRANSLATE(B535, ""fr"", ""en"")"),"perfect it holds up in the immediate value for money")</f>
        <v>perfect it holds up in the immediate value for money</v>
      </c>
    </row>
    <row r="536">
      <c r="A536" s="1">
        <v>5.0</v>
      </c>
      <c r="B536" s="1" t="s">
        <v>535</v>
      </c>
      <c r="C536" t="str">
        <f>IFERROR(__xludf.DUMMYFUNCTION("GOOGLETRANSLATE(B536, ""fr"", ""en"")"),"Very good watch good shows G shock. Needles and digital display. Function pedometer, Bluetooth, support the application g shock connected to monitoring activities and the automatic time setting, or the world ... Big Timer more: phosphorescent needles visi"&amp;"ble in the dark and display lighting digital which allows to see the time in the dark unlike other brand models")</f>
        <v>Very good watch good shows G shock. Needles and digital display. Function pedometer, Bluetooth, support the application g shock connected to monitoring activities and the automatic time setting, or the world ... Big Timer more: phosphorescent needles visible in the dark and display lighting digital which allows to see the time in the dark unlike other brand models</v>
      </c>
    </row>
    <row r="537">
      <c r="A537" s="1">
        <v>2.0</v>
      </c>
      <c r="B537" s="1" t="s">
        <v>536</v>
      </c>
      <c r="C537" t="str">
        <f>IFERROR(__xludf.DUMMYFUNCTION("GOOGLETRANSLATE(B537, ""fr"", ""en"")"),"Game does not work! huge box for a game while pokey: 1 pen contains a mini-notebook and a rule of the game in a box of 30X30 cm !!!!! The pen has worked about 5 minutes and nothing. Big disappointment in the end")</f>
        <v>Game does not work! huge box for a game while pokey: 1 pen contains a mini-notebook and a rule of the game in a box of 30X30 cm !!!!! The pen has worked about 5 minutes and nothing. Big disappointment in the end</v>
      </c>
    </row>
    <row r="538">
      <c r="A538" s="1">
        <v>1.0</v>
      </c>
      <c r="B538" s="1" t="s">
        <v>537</v>
      </c>
      <c r="C538" t="str">
        <f>IFERROR(__xludf.DUMMYFUNCTION("GOOGLETRANSLATE(B538, ""fr"", ""en"")"),"From the uile I often buy peppermint and my last command it was just oil !!! Just be a few drops of mint? I am very disappointed especially when we do not know what's inside, I finished taking longer has this seller!")</f>
        <v>From the uile I often buy peppermint and my last command it was just oil !!! Just be a few drops of mint? I am very disappointed especially when we do not know what's inside, I finished taking longer has this seller!</v>
      </c>
    </row>
    <row r="539">
      <c r="A539" s="1">
        <v>1.0</v>
      </c>
      <c r="B539" s="1" t="s">
        <v>538</v>
      </c>
      <c r="C539" t="str">
        <f>IFERROR(__xludf.DUMMYFUNCTION("GOOGLETRANSLATE(B539, ""fr"", ""en"")"),"Product to avoid - only works a few weeks! Kettle leaking shortly after a 1st purchase. Returned for yet timely and exchanged. The second is still leaking out of time but after a month and a half. No turning back. Scandalous sale of obsolete equipment in "&amp;"a few weeks.")</f>
        <v>Product to avoid - only works a few weeks! Kettle leaking shortly after a 1st purchase. Returned for yet timely and exchanged. The second is still leaking out of time but after a month and a half. No turning back. Scandalous sale of obsolete equipment in a few weeks.</v>
      </c>
    </row>
    <row r="540">
      <c r="A540" s="1">
        <v>3.0</v>
      </c>
      <c r="B540" s="1" t="s">
        <v>539</v>
      </c>
      <c r="C540" t="str">
        <f>IFERROR(__xludf.DUMMYFUNCTION("GOOGLETRANSLATE(B540, ""fr"", ""en"")"),"Socks I received the article no say")</f>
        <v>Socks I received the article no say</v>
      </c>
    </row>
    <row r="541">
      <c r="A541" s="1">
        <v>4.0</v>
      </c>
      <c r="B541" s="1" t="s">
        <v>540</v>
      </c>
      <c r="C541" t="str">
        <f>IFERROR(__xludf.DUMMYFUNCTION("GOOGLETRANSLATE(B541, ""fr"", ""en"")"),"Super sweat too but unfortunately I took the M instead of S it is too big but still portable.")</f>
        <v>Super sweat too but unfortunately I took the M instead of S it is too big but still portable.</v>
      </c>
    </row>
    <row r="542">
      <c r="A542" s="1">
        <v>4.0</v>
      </c>
      <c r="B542" s="1" t="s">
        <v>541</v>
      </c>
      <c r="C542" t="str">
        <f>IFERROR(__xludf.DUMMYFUNCTION("GOOGLETRANSLATE(B542, ""fr"", ""en"")"),"Good good shoe very comfortable shoe, but heavy enough.")</f>
        <v>Good good shoe very comfortable shoe, but heavy enough.</v>
      </c>
    </row>
    <row r="543">
      <c r="A543" s="1">
        <v>4.0</v>
      </c>
      <c r="B543" s="1" t="s">
        <v>542</v>
      </c>
      <c r="C543" t="str">
        <f>IFERROR(__xludf.DUMMYFUNCTION("GOOGLETRANSLATE(B543, ""fr"", ""en"")"),"Quickly and effectively delivered in line with what I expected.")</f>
        <v>Quickly and effectively delivered in line with what I expected.</v>
      </c>
    </row>
    <row r="544">
      <c r="A544" s="1">
        <v>4.0</v>
      </c>
      <c r="B544" s="1" t="s">
        <v>543</v>
      </c>
      <c r="C544" t="str">
        <f>IFERROR(__xludf.DUMMYFUNCTION("GOOGLETRANSLATE(B544, ""fr"", ""en"")"),"Very well ! Very handy for filming without extension because the microphone wire is too short. The thickness of the wire makes me fear can but after three months of intensive uses no problems")</f>
        <v>Very well ! Very handy for filming without extension because the microphone wire is too short. The thickness of the wire makes me fear can but after three months of intensive uses no problems</v>
      </c>
    </row>
    <row r="545">
      <c r="A545" s="1">
        <v>5.0</v>
      </c>
      <c r="B545" s="1" t="s">
        <v>544</v>
      </c>
      <c r="C545" t="str">
        <f>IFERROR(__xludf.DUMMYFUNCTION("GOOGLETRANSLATE(B545, ""fr"", ""en"")"),"Solid, pretty cheap I use it every day (or so) and it is still like new after several months. So he is a bit small, but this is an advantage as a disadvantage: it depends on what you put in! For my part, phone, keys and car registration card and a packet "&amp;"of tissues in the front pocket. It's perfect !")</f>
        <v>Solid, pretty cheap I use it every day (or so) and it is still like new after several months. So he is a bit small, but this is an advantage as a disadvantage: it depends on what you put in! For my part, phone, keys and car registration card and a packet of tissues in the front pocket. It's perfect !</v>
      </c>
    </row>
    <row r="546">
      <c r="A546" s="1">
        <v>5.0</v>
      </c>
      <c r="B546" s="1" t="s">
        <v>545</v>
      </c>
      <c r="C546" t="str">
        <f>IFERROR(__xludf.DUMMYFUNCTION("GOOGLETRANSLATE(B546, ""fr"", ""en"")"),"comfortable solidity in addition to my sticks Nordic acquiring its Solomon for walking its just perfect for my program")</f>
        <v>comfortable solidity in addition to my sticks Nordic acquiring its Solomon for walking its just perfect for my program</v>
      </c>
    </row>
    <row r="547">
      <c r="A547" s="1">
        <v>5.0</v>
      </c>
      <c r="B547" s="1" t="s">
        <v>546</v>
      </c>
      <c r="C547" t="str">
        <f>IFERROR(__xludf.DUMMYFUNCTION("GOOGLETRANSLATE(B547, ""fr"", ""en"")"),"This carpet is really top 💜 Just Genial !! I settled myself 20 minutes a day for relaxation at 200%. Not obvious at first, the bottom pins bad but once accustomed think no more 😃")</f>
        <v>This carpet is really top 💜 Just Genial !! I settled myself 20 minutes a day for relaxation at 200%. Not obvious at first, the bottom pins bad but once accustomed think no more 😃</v>
      </c>
    </row>
    <row r="548">
      <c r="A548" s="1">
        <v>5.0</v>
      </c>
      <c r="B548" s="1" t="s">
        <v>547</v>
      </c>
      <c r="C548" t="str">
        <f>IFERROR(__xludf.DUMMYFUNCTION("GOOGLETRANSLATE(B548, ""fr"", ""en"")"),"Good quality printing An ink cartridge is used to print! Nothing more to say...")</f>
        <v>Good quality printing An ink cartridge is used to print! Nothing more to say...</v>
      </c>
    </row>
    <row r="549">
      <c r="A549" s="1">
        <v>5.0</v>
      </c>
      <c r="B549" s="1" t="s">
        <v>548</v>
      </c>
      <c r="C549" t="str">
        <f>IFERROR(__xludf.DUMMYFUNCTION("GOOGLETRANSLATE(B549, ""fr"", ""en"")"),"Perfect product quality")</f>
        <v>Perfect product quality</v>
      </c>
    </row>
    <row r="550">
      <c r="A550" s="1">
        <v>5.0</v>
      </c>
      <c r="B550" s="1" t="s">
        <v>549</v>
      </c>
      <c r="C550" t="str">
        <f>IFERROR(__xludf.DUMMYFUNCTION("GOOGLETRANSLATE(B550, ""fr"", ""en"")"),"Génialissime !!! I was really skeptical and fortunately I relied on customer comments. It's just great! I really had the feeling someone was massaging me ... 9 months pregnant I hurt everywhere 🤣 and happiness .... the ""&amp; nbsp; &amp; nbsp handles;"" are wel"&amp;"l made and very pleasant to move the camera on the desired areas. To see in the term but for now it's flawless for me. Not to mention the delivery 1 day 10 days Christmas! Bravo.")</f>
        <v>Génialissime !!! I was really skeptical and fortunately I relied on customer comments. It's just great! I really had the feeling someone was massaging me ... 9 months pregnant I hurt everywhere 🤣 and happiness .... the "&amp; nbsp; &amp; nbsp handles;" are well made and very pleasant to move the camera on the desired areas. To see in the term but for now it's flawless for me. Not to mention the delivery 1 day 10 days Christmas! Bravo.</v>
      </c>
    </row>
    <row r="551">
      <c r="A551" s="1">
        <v>5.0</v>
      </c>
      <c r="B551" s="1" t="s">
        <v>550</v>
      </c>
      <c r="C551" t="str">
        <f>IFERROR(__xludf.DUMMYFUNCTION("GOOGLETRANSLATE(B551, ""fr"", ""en"")"),"glad my husband leaves them more! nice, comfortable, practical, leather above is dressed, the size was right. Top!")</f>
        <v>glad my husband leaves them more! nice, comfortable, practical, leather above is dressed, the size was right. Top!</v>
      </c>
    </row>
    <row r="552">
      <c r="A552" s="1">
        <v>5.0</v>
      </c>
      <c r="B552" s="1" t="s">
        <v>551</v>
      </c>
      <c r="C552" t="str">
        <f>IFERROR(__xludf.DUMMYFUNCTION("GOOGLETRANSLATE(B552, ""fr"", ""en"")"),"Practical and discreet They are the expectations of someone looking invisible socks, it's perfect.")</f>
        <v>Practical and discreet They are the expectations of someone looking invisible socks, it's perfect.</v>
      </c>
    </row>
    <row r="553">
      <c r="A553" s="1">
        <v>5.0</v>
      </c>
      <c r="B553" s="1" t="s">
        <v>552</v>
      </c>
      <c r="C553" t="str">
        <f>IFERROR(__xludf.DUMMYFUNCTION("GOOGLETRANSLATE(B553, ""fr"", ""en"")"),"No leaks! A bottle almost perfect with an innovative clip system need to screw the nipple can shake the bottle without leakage")</f>
        <v>No leaks! A bottle almost perfect with an innovative clip system need to screw the nipple can shake the bottle without leakage</v>
      </c>
    </row>
    <row r="554">
      <c r="A554" s="1">
        <v>5.0</v>
      </c>
      <c r="B554" s="1" t="s">
        <v>553</v>
      </c>
      <c r="C554" t="str">
        <f>IFERROR(__xludf.DUMMYFUNCTION("GOOGLETRANSLATE(B554, ""fr"", ""en"")"),"I recommend this product Good product")</f>
        <v>I recommend this product Good product</v>
      </c>
    </row>
    <row r="555">
      <c r="A555" s="1">
        <v>5.0</v>
      </c>
      <c r="B555" s="1" t="s">
        <v>554</v>
      </c>
      <c r="C555" t="str">
        <f>IFERROR(__xludf.DUMMYFUNCTION("GOOGLETRANSLATE(B555, ""fr"", ""en"")"),"Pretty fancy jewel form, plus he did a little discreet noise when moving.")</f>
        <v>Pretty fancy jewel form, plus he did a little discreet noise when moving.</v>
      </c>
    </row>
    <row r="556">
      <c r="A556" s="1">
        <v>5.0</v>
      </c>
      <c r="B556" s="1" t="s">
        <v>555</v>
      </c>
      <c r="C556" t="str">
        <f>IFERROR(__xludf.DUMMYFUNCTION("GOOGLETRANSLATE(B556, ""fr"", ""en"")"),"Pretty section Same as the photo received in advance")</f>
        <v>Pretty section Same as the photo received in advance</v>
      </c>
    </row>
    <row r="557">
      <c r="A557" s="1">
        <v>5.0</v>
      </c>
      <c r="B557" s="1" t="s">
        <v>556</v>
      </c>
      <c r="C557" t="str">
        <f>IFERROR(__xludf.DUMMYFUNCTION("GOOGLETRANSLATE(B557, ""fr"", ""en"")"),"Bon.rapport price / quality Nothing to say. Not hole after 3 use to do with time")</f>
        <v>Bon.rapport price / quality Nothing to say. Not hole after 3 use to do with time</v>
      </c>
    </row>
    <row r="558">
      <c r="A558" s="1">
        <v>5.0</v>
      </c>
      <c r="B558" s="1" t="s">
        <v>557</v>
      </c>
      <c r="C558" t="str">
        <f>IFERROR(__xludf.DUMMYFUNCTION("GOOGLETRANSLATE(B558, ""fr"", ""en"")"),"Impeccable fit for purpose")</f>
        <v>Impeccable fit for purpose</v>
      </c>
    </row>
    <row r="559">
      <c r="A559" s="1">
        <v>5.0</v>
      </c>
      <c r="B559" s="1" t="s">
        <v>558</v>
      </c>
      <c r="C559" t="str">
        <f>IFERROR(__xludf.DUMMYFUNCTION("GOOGLETRANSLATE(B559, ""fr"", ""en"")"),"Comfortable to wear sports socks, so thick enough, but comfortable to wear, reinforced under the plant, with a good price / quality ratio and timely delivery.")</f>
        <v>Comfortable to wear sports socks, so thick enough, but comfortable to wear, reinforced under the plant, with a good price / quality ratio and timely delivery.</v>
      </c>
    </row>
    <row r="560">
      <c r="A560" s="1">
        <v>5.0</v>
      </c>
      <c r="B560" s="1" t="s">
        <v>559</v>
      </c>
      <c r="C560" t="str">
        <f>IFERROR(__xludf.DUMMYFUNCTION("GOOGLETRANSLATE(B560, ""fr"", ""en"")"),"Perfect Everything is perfect for me, the discreet side wrist, metal bracelet, all the dial lighting, date, time in 24 hour format. Perfect !")</f>
        <v>Perfect Everything is perfect for me, the discreet side wrist, metal bracelet, all the dial lighting, date, time in 24 hour format. Perfect !</v>
      </c>
    </row>
    <row r="561">
      <c r="A561" s="1">
        <v>2.0</v>
      </c>
      <c r="B561" s="1" t="s">
        <v>560</v>
      </c>
      <c r="C561" t="str">
        <f>IFERROR(__xludf.DUMMYFUNCTION("GOOGLETRANSLATE(B561, ""fr"", ""en"")"),"Not terrible terrible ... Well, let's say for someone who listens to his music without being too demanding it is a good mobile headset. By cons, if you want a clear and full sound it will go your way ... The noise reduction is uncomfortable and helmet gre"&amp;"en head a bit ... Since I bought a great brand and its no photo ... not ... His forgiveness")</f>
        <v>Not terrible terrible ... Well, let's say for someone who listens to his music without being too demanding it is a good mobile headset. By cons, if you want a clear and full sound it will go your way ... The noise reduction is uncomfortable and helmet green head a bit ... Since I bought a great brand and its no photo ... not ... His forgiveness</v>
      </c>
    </row>
    <row r="562">
      <c r="A562" s="1">
        <v>1.0</v>
      </c>
      <c r="B562" s="1" t="s">
        <v>561</v>
      </c>
      <c r="C562" t="str">
        <f>IFERROR(__xludf.DUMMYFUNCTION("GOOGLETRANSLATE(B562, ""fr"", ""en"")"),"poor product quality does not conform to photos Product photos and not in accordance with the zipper has weathered a few days .... I would like to repay this poor product")</f>
        <v>poor product quality does not conform to photos Product photos and not in accordance with the zipper has weathered a few days .... I would like to repay this poor product</v>
      </c>
    </row>
    <row r="563">
      <c r="A563" s="1">
        <v>3.0</v>
      </c>
      <c r="B563" s="1" t="s">
        <v>562</v>
      </c>
      <c r="C563" t="str">
        <f>IFERROR(__xludf.DUMMYFUNCTION("GOOGLETRANSLATE(B563, ""fr"", ""en"")"),"Try before you buy if you can ... The turning point massage fashion continuous bottom up and top down is intolerable. The vibrating mode just targeting distinct zones is fine. I did have may not be purchased if I had tried before but I'm with.")</f>
        <v>Try before you buy if you can ... The turning point massage fashion continuous bottom up and top down is intolerable. The vibrating mode just targeting distinct zones is fine. I did have may not be purchased if I had tried before but I'm with.</v>
      </c>
    </row>
    <row r="564">
      <c r="A564" s="1">
        <v>3.0</v>
      </c>
      <c r="B564" s="1" t="s">
        <v>563</v>
      </c>
      <c r="C564" t="str">
        <f>IFERROR(__xludf.DUMMYFUNCTION("GOOGLETRANSLATE(B564, ""fr"", ""en"")"),"Good quality / price Ai ordered the teats because I took the Natural kit with 4 bottles (2 large and 2 small) and large come with two holes. My daughter has a tendency to drink quickly and I preferred to first on age dummies 4.")</f>
        <v>Good quality / price Ai ordered the teats because I took the Natural kit with 4 bottles (2 large and 2 small) and large come with two holes. My daughter has a tendency to drink quickly and I preferred to first on age dummies 4.</v>
      </c>
    </row>
    <row r="565">
      <c r="A565" s="1">
        <v>4.0</v>
      </c>
      <c r="B565" s="1" t="s">
        <v>564</v>
      </c>
      <c r="C565" t="str">
        <f>IFERROR(__xludf.DUMMYFUNCTION("GOOGLETRANSLATE(B565, ""fr"", ""en"")"),"Proper Agenda Agenda okay given its price, only 4 stars because I think the place to write is really small so if it's for use for work, better to take a superior model. For the rest, well done job!")</f>
        <v>Proper Agenda Agenda okay given its price, only 4 stars because I think the place to write is really small so if it's for use for work, better to take a superior model. For the rest, well done job!</v>
      </c>
    </row>
    <row r="566">
      <c r="A566" s="1">
        <v>4.0</v>
      </c>
      <c r="B566" s="1" t="s">
        <v>565</v>
      </c>
      <c r="C566" t="str">
        <f>IFERROR(__xludf.DUMMYFUNCTION("GOOGLETRANSLATE(B566, ""fr"", ""en"")"),"ras compliant product and delivery as expected, no complaints")</f>
        <v>ras compliant product and delivery as expected, no complaints</v>
      </c>
    </row>
    <row r="567">
      <c r="A567" s="1">
        <v>4.0</v>
      </c>
      <c r="B567" s="1" t="s">
        <v>566</v>
      </c>
      <c r="C567" t="str">
        <f>IFERROR(__xludf.DUMMYFUNCTION("GOOGLETRANSLATE(B567, ""fr"", ""en"")"),"A good Tchoupi Even if your child does not instantly go on the potty after reading this Tchoupi, this book will at least have the merit of the question and to reassure on this funny thing where he was asked to sit asking him to pee in. If Tchoupi go, then"&amp;" it's fine. Especially that Dad is very Tchoupi teacher.")</f>
        <v>A good Tchoupi Even if your child does not instantly go on the potty after reading this Tchoupi, this book will at least have the merit of the question and to reassure on this funny thing where he was asked to sit asking him to pee in. If Tchoupi go, then it's fine. Especially that Dad is very Tchoupi teacher.</v>
      </c>
    </row>
    <row r="568">
      <c r="A568" s="1">
        <v>4.0</v>
      </c>
      <c r="B568" s="1" t="s">
        <v>567</v>
      </c>
      <c r="C568" t="str">
        <f>IFERROR(__xludf.DUMMYFUNCTION("GOOGLETRANSLATE(B568, ""fr"", ""en"")"),"Beautiful Kettle It is a little more yellow than the picture but still very pretty. It is silent and aesthetics. I am very satisfied.")</f>
        <v>Beautiful Kettle It is a little more yellow than the picture but still very pretty. It is silent and aesthetics. I am very satisfied.</v>
      </c>
    </row>
    <row r="569">
      <c r="A569" s="1">
        <v>5.0</v>
      </c>
      <c r="B569" s="1" t="s">
        <v>568</v>
      </c>
      <c r="C569" t="str">
        <f>IFERROR(__xludf.DUMMYFUNCTION("GOOGLETRANSLATE(B569, ""fr"", ""en"")"),"Advent with no products Super surprise")</f>
        <v>Advent with no products Super surprise</v>
      </c>
    </row>
    <row r="570">
      <c r="A570" s="1">
        <v>5.0</v>
      </c>
      <c r="B570" s="1" t="s">
        <v>569</v>
      </c>
      <c r="C570" t="str">
        <f>IFERROR(__xludf.DUMMYFUNCTION("GOOGLETRANSLATE(B570, ""fr"", ""en"")"),"Very good and beautiful product &lt;div id = ""video-block-R1SB7ET34KGZ0E"" class = ""a-section-spacing-small in-spacing-top mini video-block""&gt; &lt;div tabindex = ""0"" class = ""airy airy-svg vmin-unsupported airy-skin-beacon ""style ="" background-color: rgb"&amp;" (0, 0, 0); position: relative; width: 100%; height: 100%; font-size: 0px; overflow: hidden; outline: none; ""&gt; &lt;div class ="" airy-renderer-container ""style ="" position: relative; height: 100%; width: 100%; ""&gt; &lt;video id ="" 15 ""preload ="" auto "" sr"&amp;"c = ""https://images-eu.ssl-images-amazon.com/images/I/81s2J7S9zpS.mp4"" style = ""position: absolute; left: 0px; top: 0px; overflow: hidden; height: 1px; width: 1px; ""&gt; &lt;/ video&gt; &lt;/ div&gt; &lt;div id ="" airy-slate-preload ""style ="" background-color: rgb ("&amp;"0, 0, 0); background-image: url (&amp; quot; https : //images-eu.ssl-images-amazon.com/images/I/91uNG5f5YFS.png&amp;quot;); background-size: contain; background-position: center center; background-repeat: no-repeat; position: absolute; top: 0px; left: 0px; visibi"&amp;"lity: visible; width: 100%; height: 100% ""&gt; &lt;/ div&gt; &lt;ifram e scrolling = ""no"" frameborder = ""0"" src = ""about: blank"" style = ""display: none;""&gt; &lt;/ iframe&gt; &lt;div tabindex = ""- 1"" class = ""airy-controls-container"" style = ""opacity: 0; visibility"&amp;": hidden; ""&gt; &lt;div tabindex ="" - 1 ""class ="" airy-screen-size-toggle airy-fullscreen ""&gt; &lt;/ div&gt; &lt;div tabindex ="" - 1 ""class ="" airy-container-bottom "" &gt; &lt;div tabindex = ""- 1"" class = ""airy-track-bar spacer-left"" style = ""width: 11px;""&gt; &lt;/ di"&amp;"v&gt; &lt;div tabindex = ""- 1"" class = ""airy-play- toggle airy-play ""style ="" width: 12px; margin-right: 12px; ""&gt; &lt;/ div&gt; &lt;div tabindex ="" - 1 ""class ="" airy-audio-elements ""style ="" float: right; width: 34px; ""&gt; &lt;div tabindex ="" - 1 ""class ="" ai"&amp;"ry-audio-toggle airy-on ""&gt; &lt;/ div&gt; &lt;div tabindex ="" - 1 ""class ="" airy-audio-container ""style = ""opacity: 0; visibility: hidden; ""&gt; &lt;div tabindex ="" - 1 ""class ="" airy-audio-track-bar ""style ="" height: 80%; ""&gt; &lt;div tabindex ="" - 1 ""class ="&amp;""" airy-audio- scrubber bar ""style ="" height: 85% ""&gt; &lt;/ div&gt; &lt;div tabindex ="" - 1 ""class ="" airy-audio-scrubber ""style ="" height: 12px; bottom: 85% ""&gt; &lt;/ div&gt; &lt;/ div&gt; &lt;/ div&gt; &lt;/ div&gt; &lt;div tabindex ="" - 1 ""class ="" airy-duration-label ""style ="&amp;""" float: right; width: 26px; margin-right: 4px; text-align: center; ""&gt; 0:00 &lt;/ div&gt; &lt;div tabindex ="" - 1 ""class ="" airy-track-bar spacer-right ""style ="" float: right; width: 11px; ""&gt; &lt;/ div&gt; &lt;div tabindex ="" - 1 ""class ="" airy-track-bar-contain"&amp;"er ""style ="" margin-left: 35px; margin-right: 75px; ""&gt; &lt;div tabindex ="" - 1 ""class ="" airy-airy-track-bar vertical-centering-table ""&gt; &lt;div tabindex ="" - 1 ""class ="" airy-vertical-centering- table-cell ""&gt; &lt;div tabindex ="" - 1 ""class ="" airy-t"&amp;"rack-bar elements ""&gt; &lt;div tabindex ="" - 1 ""class ="" airy-progress bar ""&gt; &lt;/ div&gt; &lt;div tabindex = ""- 1"" class = ""airy-scrubber bar""&gt; &lt;/ div&gt; &lt;div tabindex = ""- 1"" class = ""airy-scrubber""&gt; &lt;div tabindex = ""- 1"" class = ""airy-scrubber- icon "&amp;"""&gt; &lt;/ div&gt; &lt;div tabindex ="" - 1 ""class ="" airy-adjusted-aui-tooltip ""style ="" opacity: 0; visibility: hidden; ""&gt; &lt;div tabindex ="" - 1 ""class ="" airy-adjusted-aui-tooltip-inner ""&gt; &lt;div tabindex ="" - 1 ""class ="" airy-current-time-label ""&gt; 0 0"&amp;"0 &lt;/ div&gt; &lt;/ div&gt; &lt;div tabindex = ""- 1"" class = ""airy-adjusted-aui-arrow-border""&gt; &lt;div tabindex = ""- 1"" class = ""airy-adjusted-aui-arrow"" &gt; &lt;/ div&gt; &lt;/ div&gt; &lt;/ div&gt; &lt;/ div&gt; &lt;/ div&gt; &lt;/ div&gt; &lt;/ div&gt; &lt;/ div&gt; &lt;/ div&gt; &lt;/ div&gt; &lt;div tabindex = ""- 1"" cla"&amp;"ss = ""airy-airy-age-gate course airy-vertical-centering table-airy-dialog"" style = ""opacity: 0; visibility: hidden; ""&gt; &lt;div tabindex ="" - 1 ""class ="" airy-age-gate-vertical-centering-table-cell airy-vertical-centering-table-cell ""&gt; &lt;div tabindex ="&amp;""" - 1 ""class = ""airy-vertical-centering-wrapper airy-age-gate-elements-wrapper""&gt; &lt;div tabindex = ""- 1"" class = ""airy-age-gate-elements airy-dialog-elements""&gt; &lt;div tabindex = "" -1 ""class ="" airy-age-gate-prompt ""&gt; This video is not Intended for"&amp;" all audiences What time were you born &lt;/ div&gt; &lt;div tabindex =.?"" - 1 ""class ="" airy-age-gate -inputs airy-dialog-inner-elements ""&gt; &lt;select tabindex ="" - 1 ""class ="" airy-age-gate-month ""&gt; &lt;option value ="" 1 ""&gt; January &lt;/ option&gt; &lt;option value ="&amp;""" 2 ""&gt; February &lt;/ option&gt; &lt;option value ="" 3 ""&gt; March &lt;/ option&gt; &lt;option value ="" 4 ""&gt; April &lt;/ option&gt; &lt;option value ="" 5 ""&gt; May &lt;/ option&gt; &lt;option value = ""6""&gt; June &lt;/ option&gt; &lt;option value = ""7""&gt; July &lt;/ option&gt; &lt;option value = ""8""&gt; Augu"&amp;"st &lt;/ option&gt; &lt;option value = ""9""&gt; September &lt;/ option&gt; &lt;option value = ""10""&gt; October &lt;/ option&gt; &lt;option value = ""11""&gt; November &lt;/ option&gt; &lt;option value = ""12""&gt; December &lt;/ option&gt; &lt;/ select&gt; &lt;select tabindex = ""- 1"" class = ""airy-age-gate-day"&amp;"""&gt; &lt;opti = One value ""1""&gt; 1 &lt;/ option&gt; &lt;option value = ""2""&gt; 2 &lt;/ option&gt; &lt;option value = ""3""&gt; 3 &lt;/ option&gt; &lt;option value = ""4""&gt; 4 &lt;/ option &gt; &lt;option value = ""5""&gt; 5 &lt;/ option&gt; &lt;option value = ""6""&gt; 6 &lt;/ option&gt; &lt;option value = ""7""&gt; 7 &lt;/ opti"&amp;"on&gt; &lt;option value = ""8""&gt; 8 &lt; / option&gt; &lt;option value = ""9""&gt; 9 &lt;/ option&gt; &lt;option value = ""10""&gt; 10 &lt;/ option&gt; &lt;option value = ""11""&gt; 11 &lt;/ option&gt; &lt;option value = ""12""&gt; 12 &lt;/ option&gt; &lt;option value = ""13""&gt; 13 &lt;/ option&gt; &lt;option value = ""14""&gt; 14"&amp;" &lt;/ option&gt; &lt;option value = ""15""&gt; 15 &lt;/ option&gt; &lt;option value = ""16 ""&gt; 16 &lt;/ option&gt; &lt;option value ="" 17 ""&gt; 17 &lt;/ option&gt; &lt;option value ="" 18 ""&gt; 18 &lt;/ option&gt; &lt;option value ="" 19 ""&gt; 19 &lt;/ option&gt; &lt;option value = ""20""&gt; 20 &lt;/ option&gt; &lt;option val"&amp;"ue = ""21""&gt; 21 &lt;/ option&gt; &lt;option value = ""22""&gt; 22 &lt;/ option&gt; &lt;option value = ""23""&gt; 23 &lt;/ option&gt; &lt;option value = ""24""&gt; 24 &lt;/ option&gt; &lt;option value = ""25""&gt; 25 &lt;/ option&gt; &lt;option value = ""26""&gt; 26 &lt;/ option&gt; &lt;option value = ""27""&gt; 27 &lt;/ option&gt; "&amp;"&lt;option value = ""28""&gt; 28 &lt;/ option&gt; &lt;option value = ""29""&gt; 29 &lt;/ option&gt; &lt;option value = ""30""&gt; 30 &lt;/ option&gt; &lt;option value = ""31""&gt; 31 &lt;/ option&gt; &lt;/ select&gt; &lt;select tabindex = ""- 1"" class = ""airy-age-gate-year""&gt; &lt;option value = ""2019""&gt; 2019 &lt;/"&amp;" 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"&amp;"option&gt; &lt;option value = ""2006""&gt; 2006 &lt;/ option&gt; &lt;option value = ""2005""&gt; 2005 &lt;/ option&gt; &lt;option value = ""2004""&gt; 2004 &lt;/ option&gt; &lt;option value = ""2003 ""&gt; 2003 &lt;/ option&gt; &lt;option value ="" 2002 ""&gt; 2002 &lt;/ option&gt; &lt;option value ="" 2001 ""&gt; 2001 &lt;/ "&amp;"option&gt; &lt;option value ="" 2000 ""&gt; 2000 &lt;/ option&gt; &lt;option value = ""1999""&gt; 1999 &lt;/ option&gt; &lt;option value = ""1998""&gt; 1998 &lt;/ option&gt; &lt;option value = ""1997""&gt; 1997 &lt;/ option&gt; &lt;option value = ""1996""&gt; 1996 &lt;/ option&gt; &lt;option value = ""1995""&gt; 1995 &lt;/ op"&amp;"tion&gt; &lt;option value = ""1994""&gt; 1994 &lt;/ option&gt; &lt;option value = ""1993""&gt; 1993 &lt;/ option&gt; &lt;option value = ""1992""&gt; 1992 &lt;/ option&gt; &lt;option value = ""1991""&gt; 1991 &lt;/ option&gt; &lt;option value = ""1990""&gt; 1990 &lt;/ option&gt; &lt;option value = "" 1989 ""&gt; 1989 &lt;/ opt"&amp;"ion&gt; &lt;option value ="" 1988 ""&gt; 1988 &lt;/ option&gt; &lt;option value ="" 1987 ""&gt; 1987 &lt;/ option&gt; &lt;option value ="" 1986 ""&gt; 1986 &lt;/ option&gt; &lt;option value = ""1985""&gt; 1985 &lt;/ option&gt; &lt;option value = ""1984""&gt; 1984 &lt;/ option&gt; &lt;option value = ""1983""&gt; 1983 &lt;/ opt"&amp;"ion&gt; &lt;option value = ""1982""&gt; 1982 &lt;/ option&gt; &lt; option value = ""1981""&gt; 1981 &lt;/ option&gt; &lt;option value = ""1980""&gt; 1980 &lt;/ option&gt; &lt;option value = ""1979""&gt; 1979 &lt;/ option&gt; &lt;option value = ""1978""&gt; 1978 &lt;/ option &gt; &lt;option value = ""1977""&gt; 1977 &lt;/ opti"&amp;"on&gt; &lt;option value = ""1976""&gt; 1976 &lt;/ option&gt; &lt;option value = ""1975""&gt; 1975 &lt;/ option&gt; &lt;option value = ""1974""&gt; 1974 &lt; / option&gt; &lt;option value = ""1973""&gt; 1973 &lt;/ option&gt; &lt;option value = ""1972""&gt; 1972 &lt;/ option&gt; &lt;option value = ""1971""&gt; 1971 &lt;/ option"&amp;"&gt; &lt;option value = ""1970""&gt; 1970 &lt;/ option&gt; &lt;option value = ""1969""&gt; 1969 &lt;/ option&gt; &lt;option value = ""1968""&gt; 1968 &lt;/ option&gt; &lt;option value = ""1967""&gt; 1967 &lt;/ option&gt; &lt;option value = ""1966 ""&gt; 1966 &lt;/ option&gt; &lt;option value ="" 1965 ""&gt; 1965 &lt;/ option&gt;"&amp;" &lt;option value ="" 1964 ""&gt; 1964 &lt;/ option&gt; &lt;option value ="" 1963 ""&gt; 1963 &lt;/ option&gt; &lt;option value = ""1962""&gt; 1962 &lt;/ option&gt; &lt;option value = ""1961""&gt; 1961 &lt;/ option&gt; &lt;option value = ""1960""&gt; 1960 &lt;/ op tion&gt; &lt;option value = ""1959""&gt; 1959 &lt;/ option&gt;"&amp;" &lt;option value = ""1958""&gt; 1958 &lt;/ option&gt; &lt;option value = ""1957""&gt; 1957 &lt;/ option&gt; &lt;option value = ""1956""&gt; 1956 &lt;/ option&gt; &lt;option value = ""1955""&gt; 1955 &lt;/ option&gt; &lt;option value = ""1954""&gt; 1954 &lt;/ option&gt; &lt;option value = ""1953""&gt; 1953 &lt;/ option&gt; &lt;o"&amp;"ption value = ""1952"" &gt; 1952 &lt;/ option&gt; &lt;option value = ""1951""&gt; 1951 &lt;/ option&gt; &lt;option value = ""1950""&gt; 1950 &lt;/ option&gt; &lt;option value = ""1949""&gt; 1949 &lt;/ option&gt; &lt;option value = "" 1948 ""&gt; 1948 &lt;/ option&gt; &lt;option value ="" 1947 ""&gt; 1947 &lt;/ option&gt; &lt;"&amp;"option value ="" 1946 ""&gt; 1946 &lt;/ option&gt; &lt;option value ="" 1945 ""&gt; 1945 &lt;/ option&gt; &lt;option value = ""1944""&gt; 1944 &lt;/ option&gt; &lt;option value = ""1943""&gt; 1943 &lt;/ option&gt; &lt;option value = ""1942""&gt; 1942 &lt;/ option&gt; &lt;option value = ""1941""&gt; 1941 &lt;/ option&gt; &lt; "&amp;"option value = ""1940""&gt; 1940 &lt;/ option&gt; &lt;option value = ""1939""&gt; 1939 &lt;/ option&gt; &lt;option value = ""1938""&gt; 1938 &lt;/ option&gt; &lt;option value = ""1937""&gt; 1937 &lt;/ option &gt; &lt;option value = ""1936""&gt; 1936 &lt;/ option&gt; &lt;option value = ""1935""&gt; 1935 &lt;/ option&gt; &lt;op"&amp;"tion value = ""1934""&gt; 1934 &lt;/ option&gt; &lt;option value = ""1933""&gt; 1933 &lt; / option&gt; &lt;option value = ""1932""&gt; 1932 &lt;/ option&gt; &lt;option value = ""1931""&gt; 1931 &lt;/ option&gt; &lt;option v alue = ""1930""&gt; 1930 &lt;/ option&gt; &lt;option value = ""1929""&gt; 1929 &lt;/ option&gt; &lt;opt"&amp;"ion value = ""1928""&gt; 1928 &lt;/ option&gt; &lt;option value = ""1927""&gt; 1927 &lt;/ option&gt; &lt;option value = ""1926""&gt; 1926 &lt;/ option&gt; &lt;option value = ""1925""&gt; 1925 &lt;/ option&gt; &lt;option value = ""1924""&gt; 1924 &lt;/ option&gt; &lt;option value = ""1923""&gt; 1923 &lt;/ option&gt; &lt;option"&amp;" value = ""1922""&gt; 1922 &lt;/ option&gt; &lt;option value = ""1921""&gt; 1921 &lt;/ option&gt; &lt;option value = ""1920""&gt; 1920 &lt;/ option&gt; &lt;option value = ""1919""&gt; 1919 &lt;/ option&gt; &lt;option value = ""1918""&gt; 1918 &lt;/ option&gt; &lt;option value = ""1917""&gt; 1917 &lt;/ option&gt; &lt;option va"&amp;"lue = ""1916""&gt; 1916 &lt;/ option&gt; &lt;option value = ""1915"" &gt; 1915 &lt;/ option&gt; &lt;option value = ""1914""&gt; 1914 &lt;/ option&gt; &lt;option value = ""1913""&gt; 1913 &lt;/ option&gt; &lt;option value = ""1912""&gt; 1912 &lt;/ option&gt; &lt;option value = "" 1911 ""&gt; 1911 &lt;/ option&gt; &lt;option va"&amp;"lue ="" 1910 ""&gt; 1910 &lt;/ option&gt; &lt;option value ="" 1909 ""&gt; 1909 &lt;/ option&gt; &lt;option value ="" 1908 ""&gt; 1908 &lt;/ option&gt; &lt;option value = ""1907""&gt; 1907 &lt;/ option&gt; &lt;option value = ""1906""&gt; 1906 &lt;/ option&gt; &lt;option value = ""1905""&gt; 1905 &lt;/ option&gt; &lt;option va"&amp;"lue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airy-course airy -Vertical-centering-table dialog airy-airy-denied ""style ="&amp;""" opacity: 0; visibility: hidden; ""&gt; &lt;div tabindex ="" - 1 ""class ="" airy-install-flash-vertical-centering-table-cell airy-vertical-centering-table-cell ""&gt; &lt;div tabindex ="" - 1 ""class = ""airy-vertical-centering-wrapper airy-install-flash-elements-"&amp;"wrapper""&gt; &lt;div tabindex = ""- 1"" class = ""airy-install-flash-elements airy-dialog-elements""&gt; &lt;div tabindex = "" -1 ""class ="" airy-install-flash-prompt ""&gt; Adobe Flash Player is required to watch this video &lt;/ div&gt; &lt;div = tabindex."" - 1 ""class ="" "&amp;"airy-install-flash-button-wrapper airy -dialog-inner-elements ""&gt; &lt;div tabindex ="" - 1 ""class ="" airy-install-flash-button airy-button ""&gt; install Flash Player &lt;/ div&gt; &lt;/ div&gt; &lt;/ div&gt; &lt;/ div&gt; &lt;/ div&gt; &lt;/ div&gt; &lt;div tabindex = ""- 1"" class = ""airy-video"&amp;"-unsupported-dialog airy-course airy-vertical-centering table-airy-dialog airy-denied"" style = ""opacity: 0; visibility: hidden; ""&gt; &lt;div tabindex ="" - 1 ""class ="" airy-video-unsupported-vertical-centering-table-cell airy-vertical-centering-table-cell"&amp;" ""&gt; &lt;div tabindex ="" - 1 ""class = ""airy-vertical-centering-wrapper airy-video-unsupported-elements-wrapper""&gt; &lt;div tabindex = ""- 1"" class = ""airy-video-unsupported-elements airy-dialog-elements""&gt; &lt;div tabindex = "" -1 ""class ="" airy-video-unsupp"&amp;"orted-prompt ""&gt; &lt;/ div&gt; &lt;/ div&gt; &lt;/ div&gt; &lt;/ div&gt; &lt;/ div&gt; &lt;div tabindex ="" - 1 ""class ="" airy-loading- spinner-stage airy-stage ""&gt; &lt;div tabindex ="" - 1 ""class ="" airy-loading-spinner-vertical-centering-table-cell airy-vertical-centering-table-cell "&amp;"""&gt; &lt;div tabindex ="" - 1 ""class ="" airy-loading-spinner container airy-scalable-hint-container ""&gt; &lt;div tabindex ="" - 1 ""class ="" airy-loading-spinner-dummy airy-scalable-dummy ""&gt; &lt;/ div&gt; &lt; div tabindex = ""- 1"" class = ""airy-loading-spinner airy"&amp;"-hint"" style = ""visibility: hidden;""&gt; &lt;/ div&gt; &lt;/ div&gt; &lt;/ div&gt; &lt;/ div&gt; &lt;div tabindex = ""- 1 ""class ="" airy-ads-screen-size-toggle airy-screen-size-toggle airy-fullscreen ""style ="" visibility: hidden; ""&gt; &lt;/ div&gt; &lt;div tabindex = ""-1"" class = ""air"&amp;"y-ad-prompt-container"" style = ""visibility: hidden;""&gt; &lt;div tabindex = ""- 1"" class = ""airy-ad-prompt-vertical-centering table-airy-vertical- centering-table ""&gt; &lt;div tabindex ="" - 1 ""class ="" airy-ad-prompt-vertical-centering-table-cell airy-verti"&amp;"cal-centering-table-cell ""&gt; &lt;div tabindex ="" - 1 ""class = ""airy-ad-prompt-label""&gt; &lt;/ div&gt; &lt;/ div&gt; &lt;/ div&gt; &lt;/ div&gt; &lt;div tabindex = ""- 1"" class = ""airy-ads-controls-container"" style = ""visibility: hidden; ""&gt; &lt;div tabindex ="" - 1 ""class ="" airy"&amp;"-ads-audio-toggle airy-audio-toggle airy-on ""style ="" visibility: hidden; ""&gt; &lt;/ div&gt; &lt;div tabindex ="" - 1 ""class ="" airy-time-remaining-label-container ""&gt; &lt;div tabindex ="" - 1 ""class ="" airy-time-remaining-vertical-centering table-airy-vertical-"&amp;"centering-table ""&gt; &lt;div tabindex = ""- 1"" class = ""airy-time-remaining-vertical-centering-table-cell airy-vertical-centering-table-cell""&gt; &lt;div tabindex = ""- 1"" class = ""airy-vertical-centering-wrapper airy-time-remaining-label-wrapper ""&gt; &lt;div tabi"&amp;"ndex ="" - 1 ""class ="" airy-time-remaining-label ""style ="" visibility: hidden; ""&gt; &lt;/ div&gt; &lt;div tabi ndex = ""- 1"" class = ""airy-ad-skip"" style = ""visibility: hidden;""&gt; &lt;/ div&gt; &lt;div tabindex = ""- 1"" class = ""airy-ad-end"" style = ""visibility:"&amp;" hidden; ""&gt; &lt;/ div&gt; &lt;/ div&gt; &lt;/ div&gt; &lt;/ div&gt; &lt;/ div&gt; &lt;div tabindex ="" - 1 ""class ="" airy-learn-more ""style ="" visibility: hidden; ""&gt; &lt;/ div&gt; &lt;/ div&gt; &lt;div tabindex = ""- 1"" class = ""airy-play-toggle-hint-stage airy-course airy-cursor""&gt; &lt;div tabind"&amp;"ex = ""- 1"" class = ""airy-play -toggle-hint-vertical-centering-table-cell airy-vertical-centering-table-cell airy-cursor ""&gt; &lt;div tabindex ="" - 1 ""class ="" airy-play-toggle-hint-container airy-scalable- hint-container ""&gt; &lt;div tabindex ="" - 1 ""clas"&amp;"s ="" airy-play-toggle-hint-dummy airy-scalable-dummy ""&gt; &lt;/ div&gt; &lt;div tabindex ="" - 1 ""class ="" airy-play -toggle airy-hint-hint-hint airy-play ""style ="" opacity: 1; visibility: visible; ""&gt; &lt;/ div&gt; &lt;/ div&gt; &lt;/ div&gt; &lt;/ div&gt; &lt;div tabindex ="" - 1 ""cl"&amp;"ass ="" airy-replay-hint-stage airy-stage ""style ="" visibility: hidden ; ""&gt; &lt;div tabindex ="" - 1 ""class ="" airy-replay-hint-vertical-centering-table-cell airy-vertical-centering-table-cell airy-cursor ""&gt; &lt;div tabindex ="" - 1 ""class = ""airy-repla"&amp;"y-hint-container airy-scalable-hint-container""&gt; &lt;div tabindex = ""- 1"" class = ""airy-replay-hint-dummy airy-scalable-dummy""&gt; &lt;/ div&gt; &lt;div tabindex = ""- 1"" class = ""airy-replay-hint airy-hint""&gt; &lt;/ div&gt; &lt;/ div&gt; &lt;/ div&gt; &lt;/ div&gt; &lt;div tabindex = ""- 1"&amp;""" class = ""airy-autoplay-hint -stage airy-stage ""style ="" visibility: hidden; ""&gt; &lt;div tabindex ="" - 1 ""class ="" airy-autoplay-hint-vertical-centering-table-cell airy-vertical-centering-table-cell airy- cursor ""&gt; &lt;div tabindex ="" - 1 ""class ="" "&amp;"autoplay airy-airy-hint-container-scalable-hint-container ""&gt; &lt;div tabindex ="" - 1 ""class ="" airy-autoplay-hint-dummy airy- scalable-dummy ""&gt; &lt;/ div&gt; &lt;/ div&gt; &lt;/ div&gt; &lt;/ div&gt; &lt;/ div&gt; &lt;/ div&gt; &lt;input type ="" hidden ""name ="" ""value ="" https: // pictu"&amp;"res-eu .ssl-image amazon.com / images / I / 81s2J7S9zpS.mp4 ""Class ="" video-url ""&gt; &lt;input type ="" hidden ""name ="" ""value ="" https://images-eu.ssl-images-amazon.com/images/I/91uNG5f5YFS.png ""class ="" video-slate-img-url ""&gt; &amp; nbsp; Very beautiful"&amp;" necklace! It shines well! There is a good size! The chains are resistant! I recommend this necklace")</f>
        <v>Very good and beautiful product &lt;div id = "video-block-R1SB7ET34KGZ0E" class = "a-section-spacing-small in-spacing-top mini video-block"&gt; &lt;div tabindex = "0" class = "airy airy-svg vmin-unsupported airy-skin-beacon "style =" background-color: rgb (0, 0, 0); position: relative; width: 100%; height: 100%; font-size: 0px; overflow: hidden; outline: none; "&gt; &lt;div class =" airy-renderer-container "style =" position: relative; height: 100%; width: 100%; "&gt; &lt;video id =" 15 "preload =" auto " src = "https://images-eu.ssl-images-amazon.com/images/I/81s2J7S9zpS.mp4" style = "position: absolute; left: 0px; top: 0px; overflow: hidden; height: 1px; width: 1px; "&gt; &lt;/ video&gt; &lt;/ div&gt; &lt;div id =" airy-slate-preload "style =" background-color: rgb (0, 0, 0); background-image: url (&amp; quot; https : //images-eu.ssl-images-amazon.com/images/I/91uNG5f5YFS.png&amp;quot;); background-size: contain; background-position: center center; background-repeat: no-repeat; position: absolute; top: 0px; left: 0px; visibility: visible; width: 100%; height: 100% "&gt; &lt;/ div&gt; &lt;ifram 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81s2J7S9zpS.mp4 "Class =" video-url "&gt; &lt;input type =" hidden "name =" "value =" https://images-eu.ssl-images-amazon.com/images/I/91uNG5f5YFS.png "class =" video-slate-img-url "&gt; &amp; nbsp; Very beautiful necklace! It shines well! There is a good size! The chains are resistant! I recommend this necklace</v>
      </c>
    </row>
    <row r="571">
      <c r="A571" s="1">
        <v>5.0</v>
      </c>
      <c r="B571" s="1" t="s">
        <v>570</v>
      </c>
      <c r="C571" t="str">
        <f>IFERROR(__xludf.DUMMYFUNCTION("GOOGLETRANSLATE(B571, ""fr"", ""en"")"),"The best non-intra headphones These headphones are most pleasing to the ear which is amazing for non-ear. However they have little fragile look a but for the price this is understandable. I really advise because it is the most enjoyable to me.")</f>
        <v>The best non-intra headphones These headphones are most pleasing to the ear which is amazing for non-ear. However they have little fragile look a but for the price this is understandable. I really advise because it is the most enjoyable to me.</v>
      </c>
    </row>
    <row r="572">
      <c r="A572" s="1">
        <v>5.0</v>
      </c>
      <c r="B572" s="1" t="s">
        <v>571</v>
      </c>
      <c r="C572" t="str">
        <f>IFERROR(__xludf.DUMMYFUNCTION("GOOGLETRANSLATE(B572, ""fr"", ""en"")"),"happy beautiful quality not disappointed with against the size is large")</f>
        <v>happy beautiful quality not disappointed with against the size is large</v>
      </c>
    </row>
    <row r="573">
      <c r="A573" s="1">
        <v>5.0</v>
      </c>
      <c r="B573" s="1" t="s">
        <v>572</v>
      </c>
      <c r="C573" t="str">
        <f>IFERROR(__xludf.DUMMYFUNCTION("GOOGLETRANSLATE(B573, ""fr"", ""en"")"),"Delighted Delighted with my purchase very pretty normal shoes. Received quickly ordered a second time for my niece. I highly recommend")</f>
        <v>Delighted Delighted with my purchase very pretty normal shoes. Received quickly ordered a second time for my niece. I highly recommend</v>
      </c>
    </row>
    <row r="574">
      <c r="A574" s="1">
        <v>5.0</v>
      </c>
      <c r="B574" s="1" t="s">
        <v>573</v>
      </c>
      <c r="C574" t="str">
        <f>IFERROR(__xludf.DUMMYFUNCTION("GOOGLETRANSLATE(B574, ""fr"", ""en"")"),"Awesome !!! The sound is really good with these cables, very good product for the price. I'm happy with my purchase")</f>
        <v>Awesome !!! The sound is really good with these cables, very good product for the price. I'm happy with my purchase</v>
      </c>
    </row>
    <row r="575">
      <c r="A575" s="1">
        <v>5.0</v>
      </c>
      <c r="B575" s="1" t="s">
        <v>574</v>
      </c>
      <c r="C575" t="str">
        <f>IFERROR(__xludf.DUMMYFUNCTION("GOOGLETRANSLATE(B575, ""fr"", ""en"")"),"I recommended I chose these boots for the quality and I'm not disappointed with my son a bike it really fit for protection against solid and hush which is rare these days good support level ankle are a bit heavy but we made it")</f>
        <v>I recommended I chose these boots for the quality and I'm not disappointed with my son a bike it really fit for protection against solid and hush which is rare these days good support level ankle are a bit heavy but we made it</v>
      </c>
    </row>
    <row r="576">
      <c r="A576" s="1">
        <v>5.0</v>
      </c>
      <c r="B576" s="1" t="s">
        <v>575</v>
      </c>
      <c r="C576" t="str">
        <f>IFERROR(__xludf.DUMMYFUNCTION("GOOGLETRANSLATE(B576, ""fr"", ""en"")"),"The size corresponds to the 45 My son loves them. They are lightweight and well hold the foot. There is certainly better in terms of cushioning but he uses them daily.")</f>
        <v>The size corresponds to the 45 My son loves them. They are lightweight and well hold the foot. There is certainly better in terms of cushioning but he uses them daily.</v>
      </c>
    </row>
    <row r="577">
      <c r="A577" s="1">
        <v>5.0</v>
      </c>
      <c r="B577" s="1" t="s">
        <v>576</v>
      </c>
      <c r="C577" t="str">
        <f>IFERROR(__xludf.DUMMYFUNCTION("GOOGLETRANSLATE(B577, ""fr"", ""en"")"),"Control Order received today. Delivery and impeccable packaging. I use this product personally. For this order, there was no mailbox error, the better !!! Cordially !!!")</f>
        <v>Control Order received today. Delivery and impeccable packaging. I use this product personally. For this order, there was no mailbox error, the better !!! Cordially !!!</v>
      </c>
    </row>
    <row r="578">
      <c r="A578" s="1">
        <v>5.0</v>
      </c>
      <c r="B578" s="1" t="s">
        <v>577</v>
      </c>
      <c r="C578" t="str">
        <f>IFERROR(__xludf.DUMMYFUNCTION("GOOGLETRANSLATE(B578, ""fr"", ""en"")"),"Super My son learned to read in two weeks fesant the ief (home school) my son already conaissez certain syllables it is just reinforce with book and I took it 2 to 5 years 6 years we soon edmis in early September we start in November he is adept reading")</f>
        <v>Super My son learned to read in two weeks fesant the ief (home school) my son already conaissez certain syllables it is just reinforce with book and I took it 2 to 5 years 6 years we soon edmis in early September we start in November he is adept reading</v>
      </c>
    </row>
    <row r="579">
      <c r="A579" s="1">
        <v>5.0</v>
      </c>
      <c r="B579" s="1" t="s">
        <v>578</v>
      </c>
      <c r="C579" t="str">
        <f>IFERROR(__xludf.DUMMYFUNCTION("GOOGLETRANSLATE(B579, ""fr"", ""en"")"),"purchase cafetiere great product ds book a tightly protected works great I recommend it to any person in addition very convenient with its eternal filter")</f>
        <v>purchase cafetiere great product ds book a tightly protected works great I recommend it to any person in addition very convenient with its eternal filter</v>
      </c>
    </row>
    <row r="580">
      <c r="A580" s="1">
        <v>5.0</v>
      </c>
      <c r="B580" s="1" t="s">
        <v>579</v>
      </c>
      <c r="C580" t="str">
        <f>IFERROR(__xludf.DUMMYFUNCTION("GOOGLETRANSLATE(B580, ""fr"", ""en"")"),"Paper three layers This is a good product; convenient, the package is not too large, but there is enough roll to make it enough for about 20-30 days even with a small family which wastes a little paper.")</f>
        <v>Paper three layers This is a good product; convenient, the package is not too large, but there is enough roll to make it enough for about 20-30 days even with a small family which wastes a little paper.</v>
      </c>
    </row>
    <row r="581">
      <c r="A581" s="1">
        <v>5.0</v>
      </c>
      <c r="B581" s="1" t="s">
        <v>580</v>
      </c>
      <c r="C581" t="str">
        <f>IFERROR(__xludf.DUMMYFUNCTION("GOOGLETRANSLATE(B581, ""fr"", ""en"")"),"Perfect After over thirty years of loyal service I had to replace my wallet by it. The even better. Superb leather pouches superb, superb corner phone, superb snap hook for keys. I am delighted, delighted, thrilled!")</f>
        <v>Perfect After over thirty years of loyal service I had to replace my wallet by it. The even better. Superb leather pouches superb, superb corner phone, superb snap hook for keys. I am delighted, delighted, thrilled!</v>
      </c>
    </row>
    <row r="582">
      <c r="A582" s="1">
        <v>5.0</v>
      </c>
      <c r="B582" s="1" t="s">
        <v>581</v>
      </c>
      <c r="C582" t="str">
        <f>IFERROR(__xludf.DUMMYFUNCTION("GOOGLETRANSLATE(B582, ""fr"", ""en"")"),"Top Basketball very good very soft very light quality when walking Aesthetically speaking there is nothing to say they are very beautiful shoes I bought for sports indoors or run outside Take shoe size Delivery to top the day after my order")</f>
        <v>Top Basketball very good very soft very light quality when walking Aesthetically speaking there is nothing to say they are very beautiful shoes I bought for sports indoors or run outside Take shoe size Delivery to top the day after my order</v>
      </c>
    </row>
    <row r="583">
      <c r="A583" s="1">
        <v>5.0</v>
      </c>
      <c r="B583" s="1" t="s">
        <v>582</v>
      </c>
      <c r="C583" t="str">
        <f>IFERROR(__xludf.DUMMYFUNCTION("GOOGLETRANSLATE(B583, ""fr"", ""en"")"),"Not too bad average tightness")</f>
        <v>Not too bad average tightness</v>
      </c>
    </row>
    <row r="584">
      <c r="A584" s="1">
        <v>2.0</v>
      </c>
      <c r="B584" s="1" t="s">
        <v>583</v>
      </c>
      <c r="C584" t="str">
        <f>IFERROR(__xludf.DUMMYFUNCTION("GOOGLETRANSLATE(B584, ""fr"", ""en"")"),"Very disappointed disappointed by the quality and size")</f>
        <v>Very disappointed disappointed by the quality and size</v>
      </c>
    </row>
    <row r="585">
      <c r="A585" s="1">
        <v>1.0</v>
      </c>
      <c r="B585" s="1" t="s">
        <v>584</v>
      </c>
      <c r="C585" t="str">
        <f>IFERROR(__xludf.DUMMYFUNCTION("GOOGLETRANSLATE(B585, ""fr"", ""en"")"),"Very heavy Very heavy")</f>
        <v>Very heavy Very heavy</v>
      </c>
    </row>
    <row r="586">
      <c r="A586" s="1">
        <v>1.0</v>
      </c>
      <c r="B586" s="1" t="s">
        <v>585</v>
      </c>
      <c r="C586" t="str">
        <f>IFERROR(__xludf.DUMMYFUNCTION("GOOGLETRANSLATE(B586, ""fr"", ""en"")"),"No! Decline his inexplicable incomprehensible via two connections for headphones that worked so well and while I cherishes I highly recommend, I put a star but it should 0!")</f>
        <v>No! Decline his inexplicable incomprehensible via two connections for headphones that worked so well and while I cherishes I highly recommend, I put a star but it should 0!</v>
      </c>
    </row>
    <row r="587">
      <c r="A587" s="1">
        <v>3.0</v>
      </c>
      <c r="B587" s="1" t="s">
        <v>586</v>
      </c>
      <c r="C587" t="str">
        <f>IFERROR(__xludf.DUMMYFUNCTION("GOOGLETRANSLATE(B587, ""fr"", ""en"")"),"Size large sweater is nice by cons really large size.")</f>
        <v>Size large sweater is nice by cons really large size.</v>
      </c>
    </row>
    <row r="588">
      <c r="A588" s="1">
        <v>3.0</v>
      </c>
      <c r="B588" s="1" t="s">
        <v>587</v>
      </c>
      <c r="C588" t="str">
        <f>IFERROR(__xludf.DUMMYFUNCTION("GOOGLETRANSLATE(B588, ""fr"", ""en"")"),"Microwave OK - rotten for music Bought to make phone calls, perfect for this use (microwave OK) for cheap. Do not expect to hear the music with that !!! As much as my BW P3 and perfect, so this headset is zero, no grave, no acute, nothing.")</f>
        <v>Microwave OK - rotten for music Bought to make phone calls, perfect for this use (microwave OK) for cheap. Do not expect to hear the music with that !!! As much as my BW P3 and perfect, so this headset is zero, no grave, no acute, nothing.</v>
      </c>
    </row>
    <row r="589">
      <c r="A589" s="1">
        <v>4.0</v>
      </c>
      <c r="B589" s="1" t="s">
        <v>588</v>
      </c>
      <c r="C589" t="str">
        <f>IFERROR(__xludf.DUMMYFUNCTION("GOOGLETRANSLATE(B589, ""fr"", ""en"")"),"full birth kit, color connoted girl with this kit containing several bottles of different capacity and the bottlebrush for and teats, and little more, lollipop, you have something to get started with your baby (girl since the colors are pink and purple fo"&amp;"r girls, boys are entitled to blue!). everything is packaged in blister and in the end the price is right and cheaper than every utensil purchased separately.")</f>
        <v>full birth kit, color connoted girl with this kit containing several bottles of different capacity and the bottlebrush for and teats, and little more, lollipop, you have something to get started with your baby (girl since the colors are pink and purple for girls, boys are entitled to blue!). everything is packaged in blister and in the end the price is right and cheaper than every utensil purchased separately.</v>
      </c>
    </row>
    <row r="590">
      <c r="A590" s="1">
        <v>4.0</v>
      </c>
      <c r="B590" s="1" t="s">
        <v>589</v>
      </c>
      <c r="C590" t="str">
        <f>IFERROR(__xludf.DUMMYFUNCTION("GOOGLETRANSLATE(B590, ""fr"", ""en"")"),"Aesthetic and discreet Although she deserves to be slightly larger, wallet, keys and smartphone finds their place. Excellent value.")</f>
        <v>Aesthetic and discreet Although she deserves to be slightly larger, wallet, keys and smartphone finds their place. Excellent value.</v>
      </c>
    </row>
    <row r="591">
      <c r="A591" s="1">
        <v>4.0</v>
      </c>
      <c r="B591" s="1" t="s">
        <v>590</v>
      </c>
      <c r="C591" t="str">
        <f>IFERROR(__xludf.DUMMYFUNCTION("GOOGLETRANSLATE(B591, ""fr"", ""en"")"),"Although Good product")</f>
        <v>Although Good product</v>
      </c>
    </row>
    <row r="592">
      <c r="A592" s="1">
        <v>4.0</v>
      </c>
      <c r="B592" s="1" t="s">
        <v>591</v>
      </c>
      <c r="C592" t="str">
        <f>IFERROR(__xludf.DUMMYFUNCTION("GOOGLETRANSLATE(B592, ""fr"", ""en"")"),"A tea maker magnificent Honestly, she is beautiful and makes good tea. To hurry the morning who want to change their usual coffee, this is a good compromise that is now based on each because two big flaws of this tea maker are: From 1) capsules are really"&amp;" quite expensive. Ok, the leaves are whole, ok they are selected in the 5 most renowned regions for quality of production: Japan, India Sri Lanka, China, South Africa. The capsules are just rounded enough to allow a better brew. To buy especially during p"&amp;"romotions. 2) the machine recognizes the special capsules T. Ok, we have 35 varieties of teas, infusions, rooibos some facilities are organic, but it forces us to consume their teas that are not already given. For the rest, yes it is beautiful, compact, e"&amp;"asy to use, takes small cups as mugs, actually it is not very quiet but it is not the jackhammer. Supplied with 1 water filter 7 capsules. repairable guaranteed for 10 years by the manufacturer.")</f>
        <v>A tea maker magnificent Honestly, she is beautiful and makes good tea. To hurry the morning who want to change their usual coffee, this is a good compromise that is now based on each because two big flaws of this tea maker are: From 1) capsules are really quite expensive. Ok, the leaves are whole, ok they are selected in the 5 most renowned regions for quality of production: Japan, India Sri Lanka, China, South Africa. The capsules are just rounded enough to allow a better brew. To buy especially during promotions. 2) the machine recognizes the special capsules T. Ok, we have 35 varieties of teas, infusions, rooibos some facilities are organic, but it forces us to consume their teas that are not already given. For the rest, yes it is beautiful, compact, easy to use, takes small cups as mugs, actually it is not very quiet but it is not the jackhammer. Supplied with 1 water filter 7 capsules. repairable guaranteed for 10 years by the manufacturer.</v>
      </c>
    </row>
    <row r="593">
      <c r="A593" s="1">
        <v>4.0</v>
      </c>
      <c r="B593" s="1" t="s">
        <v>592</v>
      </c>
      <c r="C593" t="str">
        <f>IFERROR(__xludf.DUMMYFUNCTION("GOOGLETRANSLATE(B593, ""fr"", ""en"")"),"Paris 93 Good product")</f>
        <v>Paris 93 Good product</v>
      </c>
    </row>
    <row r="594">
      <c r="A594" s="1">
        <v>5.0</v>
      </c>
      <c r="B594" s="1" t="s">
        <v>593</v>
      </c>
      <c r="C594" t="str">
        <f>IFERROR(__xludf.DUMMYFUNCTION("GOOGLETRANSLATE(B594, ""fr"", ""en"")"),"Perfect Hello, consistent with the description, size is perfect to bring passport potte sheet map and even a small bottle of water! Very tough and the rain no worries! I recommend this article")</f>
        <v>Perfect Hello, consistent with the description, size is perfect to bring passport potte sheet map and even a small bottle of water! Very tough and the rain no worries! I recommend this article</v>
      </c>
    </row>
    <row r="595">
      <c r="A595" s="1">
        <v>5.0</v>
      </c>
      <c r="B595" s="1" t="s">
        <v>594</v>
      </c>
      <c r="C595" t="str">
        <f>IFERROR(__xludf.DUMMYFUNCTION("GOOGLETRANSLATE(B595, ""fr"", ""en"")"),"To provide good quality")</f>
        <v>To provide good quality</v>
      </c>
    </row>
    <row r="596">
      <c r="A596" s="1">
        <v>5.0</v>
      </c>
      <c r="B596" s="1" t="s">
        <v>595</v>
      </c>
      <c r="C596" t="str">
        <f>IFERROR(__xludf.DUMMYFUNCTION("GOOGLETRANSLATE(B596, ""fr"", ""en"")"),"perfect !! super fast delivery, product line with the picture! except as stated in a previous review, we wonder if it is not very good blatant imitations.éléments + or - relative to true. I say taratata! I do not think amazon supports such commerce.autant"&amp;" do their confiance.donc I'll ignore the (R) in less wear and etc ... as it should be my pair of converse!")</f>
        <v>perfect !! super fast delivery, product line with the picture! except as stated in a previous review, we wonder if it is not very good blatant imitations.éléments + or - relative to true. I say taratata! I do not think amazon supports such commerce.autant do their confiance.donc I'll ignore the (R) in less wear and etc ... as it should be my pair of converse!</v>
      </c>
    </row>
    <row r="597">
      <c r="A597" s="1">
        <v>5.0</v>
      </c>
      <c r="B597" s="1" t="s">
        <v>596</v>
      </c>
      <c r="C597" t="str">
        <f>IFERROR(__xludf.DUMMYFUNCTION("GOOGLETRANSLATE(B597, ""fr"", ""en"")"),"She is very discreet which is very suitable for the woman works")</f>
        <v>She is very discreet which is very suitable for the woman works</v>
      </c>
    </row>
    <row r="598">
      <c r="A598" s="1">
        <v>5.0</v>
      </c>
      <c r="B598" s="1" t="s">
        <v>597</v>
      </c>
      <c r="C598" t="str">
        <f>IFERROR(__xludf.DUMMYFUNCTION("GOOGLETRANSLATE(B598, ""fr"", ""en"")"),"super quality Excellent product !! the quality is to go !! you can buy eyes closed. In addition it is cheap")</f>
        <v>super quality Excellent product !! the quality is to go !! you can buy eyes closed. In addition it is cheap</v>
      </c>
    </row>
    <row r="599">
      <c r="A599" s="1">
        <v>5.0</v>
      </c>
      <c r="B599" s="1" t="s">
        <v>598</v>
      </c>
      <c r="C599" t="str">
        <f>IFERROR(__xludf.DUMMYFUNCTION("GOOGLETRANSLATE(B599, ""fr"", ""en"")"),"Very satisfied Trainers very nice and comfortable, the pair is consistent with the description, the size is perfect, delivery is fast and neat")</f>
        <v>Very satisfied Trainers very nice and comfortable, the pair is consistent with the description, the size is perfect, delivery is fast and neat</v>
      </c>
    </row>
    <row r="600">
      <c r="A600" s="1">
        <v>5.0</v>
      </c>
      <c r="B600" s="1" t="s">
        <v>599</v>
      </c>
      <c r="C600" t="str">
        <f>IFERROR(__xludf.DUMMYFUNCTION("GOOGLETRANSLATE(B600, ""fr"", ""en"")"),"Article very ""chic"" for this price beautiful design, fine workmanship. chic packaging, manual allows easy installation. The trimmings are easy and the sound quality. so OK")</f>
        <v>Article very "chic" for this price beautiful design, fine workmanship. chic packaging, manual allows easy installation. The trimmings are easy and the sound quality. so OK</v>
      </c>
    </row>
    <row r="601">
      <c r="A601" s="1">
        <v>5.0</v>
      </c>
      <c r="B601" s="1" t="s">
        <v>600</v>
      </c>
      <c r="C601" t="str">
        <f>IFERROR(__xludf.DUMMYFUNCTION("GOOGLETRANSLATE(B601, ""fr"", ""en"")"),"Top notch celebrities After searching and tried many brands, types of headsets, headphones, etc. I think I finally found my happiness. This headset is perfect. Lightweight, comfortable, solid, level and perfect sound. A small adjustment eq seems always ne"&amp;"cessary according to music played but it's pretty normal. The noise canceling is actually fashionable gadget, and brings nothing but a digital sound degradation. Better not turn it on, play on the eq and enjoy the music. RAS bluetooth hand, the pairing is"&amp;" done in 2 seconds and the sound quality is not adversely affected.")</f>
        <v>Top notch celebrities After searching and tried many brands, types of headsets, headphones, etc. I think I finally found my happiness. This headset is perfect. Lightweight, comfortable, solid, level and perfect sound. A small adjustment eq seems always necessary according to music played but it's pretty normal. The noise canceling is actually fashionable gadget, and brings nothing but a digital sound degradation. Better not turn it on, play on the eq and enjoy the music. RAS bluetooth hand, the pairing is done in 2 seconds and the sound quality is not adversely affected.</v>
      </c>
    </row>
    <row r="602">
      <c r="A602" s="1">
        <v>5.0</v>
      </c>
      <c r="B602" s="1" t="s">
        <v>601</v>
      </c>
      <c r="C602" t="str">
        <f>IFERROR(__xludf.DUMMYFUNCTION("GOOGLETRANSLATE(B602, ""fr"", ""en"")"),"Nothing wrong Corresponds to my expectations I use them with the Medela Symphony pulls, I have another bottle brand for my little boy. I have not tried their new Medela nipple I find it very expensive and mixed reviews.")</f>
        <v>Nothing wrong Corresponds to my expectations I use them with the Medela Symphony pulls, I have another bottle brand for my little boy. I have not tried their new Medela nipple I find it very expensive and mixed reviews.</v>
      </c>
    </row>
    <row r="603">
      <c r="A603" s="1">
        <v>5.0</v>
      </c>
      <c r="B603" s="1" t="s">
        <v>602</v>
      </c>
      <c r="C603" t="str">
        <f>IFERROR(__xludf.DUMMYFUNCTION("GOOGLETRANSLATE(B603, ""fr"", ""en"")"),"Excellent product. Hard tack. Despite some bad reviews complaining that the product does not stick because he does not catch fingers. We must tell them that this is not to stick his fingers, but everything else. So the Double Sided 3M is super powerful an"&amp;"d wise to use for the environment where it is very cold or very hot under the influence of UV rays. I recommend.")</f>
        <v>Excellent product. Hard tack. Despite some bad reviews complaining that the product does not stick because he does not catch fingers. We must tell them that this is not to stick his fingers, but everything else. So the Double Sided 3M is super powerful and wise to use for the environment where it is very cold or very hot under the influence of UV rays. I recommend.</v>
      </c>
    </row>
    <row r="604">
      <c r="A604" s="1">
        <v>5.0</v>
      </c>
      <c r="B604" s="1" t="s">
        <v>603</v>
      </c>
      <c r="C604" t="str">
        <f>IFERROR(__xludf.DUMMYFUNCTION("GOOGLETRANSLATE(B604, ""fr"", ""en"")"),"Finally great support that closes at front and keeps well the chest; My advice for those who can not close the regular support that close in the back")</f>
        <v>Finally great support that closes at front and keeps well the chest; My advice for those who can not close the regular support that close in the back</v>
      </c>
    </row>
    <row r="605">
      <c r="A605" s="1">
        <v>5.0</v>
      </c>
      <c r="B605" s="1" t="s">
        <v>604</v>
      </c>
      <c r="C605" t="str">
        <f>IFERROR(__xludf.DUMMYFUNCTION("GOOGLETRANSLATE(B605, ""fr"", ""en"")"),"Robust and stable Used with 2 screens of 24 inches, this arm is just great. And for a very competitive price. Easy to install. I recommand it")</f>
        <v>Robust and stable Used with 2 screens of 24 inches, this arm is just great. And for a very competitive price. Easy to install. I recommand it</v>
      </c>
    </row>
    <row r="606">
      <c r="A606" s="1">
        <v>5.0</v>
      </c>
      <c r="B606" s="1" t="s">
        <v>605</v>
      </c>
      <c r="C606" t="str">
        <f>IFERROR(__xludf.DUMMYFUNCTION("GOOGLETRANSLATE(B606, ""fr"", ""en"")"),"Perfect for kids helmets are perfect, with the adapter to listen to 2 at the same time, the sound is suitable for children and the delivery was very fast")</f>
        <v>Perfect for kids helmets are perfect, with the adapter to listen to 2 at the same time, the sound is suitable for children and the delivery was very fast</v>
      </c>
    </row>
    <row r="607">
      <c r="A607" s="1">
        <v>5.0</v>
      </c>
      <c r="B607" s="1" t="s">
        <v>606</v>
      </c>
      <c r="C607" t="str">
        <f>IFERROR(__xludf.DUMMYFUNCTION("GOOGLETRANSLATE(B607, ""fr"", ""en"")"),"Very satisfaying ! The product is suitable, in line with expectations. It was delivered in its box, with protections for routing in the best condition! I recommend without reservation: D")</f>
        <v>Very satisfaying ! The product is suitable, in line with expectations. It was delivered in its box, with protections for routing in the best condition! I recommend without reservation: D</v>
      </c>
    </row>
    <row r="608">
      <c r="A608" s="1">
        <v>5.0</v>
      </c>
      <c r="B608" s="1" t="s">
        <v>607</v>
      </c>
      <c r="C608" t="str">
        <f>IFERROR(__xludf.DUMMYFUNCTION("GOOGLETRANSLATE(B608, ""fr"", ""en"")"),"Very good price that is cheaper than in my Hypermarket. Lot interesting enough not to be short for a while. Very good quality, cut good when he's on his reel. Hidden on the gift wrap! ;)")</f>
        <v>Very good price that is cheaper than in my Hypermarket. Lot interesting enough not to be short for a while. Very good quality, cut good when he's on his reel. Hidden on the gift wrap! ;)</v>
      </c>
    </row>
    <row r="609">
      <c r="A609" s="1">
        <v>2.0</v>
      </c>
      <c r="B609" s="1" t="s">
        <v>608</v>
      </c>
      <c r="C609" t="str">
        <f>IFERROR(__xludf.DUMMYFUNCTION("GOOGLETRANSLATE(B609, ""fr"", ""en"")"),"Massage gel I was a bit scared when using this product which immediately provoked a reaction of intense burning. I threw it and do not recommend it.")</f>
        <v>Massage gel I was a bit scared when using this product which immediately provoked a reaction of intense burning. I threw it and do not recommend it.</v>
      </c>
    </row>
    <row r="610">
      <c r="A610" s="1">
        <v>1.0</v>
      </c>
      <c r="B610" s="1" t="s">
        <v>609</v>
      </c>
      <c r="C610" t="str">
        <f>IFERROR(__xludf.DUMMYFUNCTION("GOOGLETRANSLATE(B610, ""fr"", ""en"")"),"Very good product but error of size and shipment not respected Really a very good product and very good (my second pair), but there are even two yet! I ordered a size 41/42 ... and when opening the package size 39/40 ... so ... too small! I am a member .."&amp;". PRIME delivery scheduled for Saturday ... but ... receive the package on Tuesday!")</f>
        <v>Very good product but error of size and shipment not respected Really a very good product and very good (my second pair), but there are even two yet! I ordered a size 41/42 ... and when opening the package size 39/40 ... so ... too small! I am a member ... PRIME delivery scheduled for Saturday ... but ... receive the package on Tuesday!</v>
      </c>
    </row>
    <row r="611">
      <c r="A611" s="1">
        <v>1.0</v>
      </c>
      <c r="B611" s="1" t="s">
        <v>610</v>
      </c>
      <c r="C611" t="str">
        <f>IFERROR(__xludf.DUMMYFUNCTION("GOOGLETRANSLATE(B611, ""fr"", ""en"")"),"But pretty good taile and hurt a foot. I do not wear them. Pity. The right shoe hurts the right side of the foot.")</f>
        <v>But pretty good taile and hurt a foot. I do not wear them. Pity. The right shoe hurts the right side of the foot.</v>
      </c>
    </row>
    <row r="612">
      <c r="A612" s="1">
        <v>3.0</v>
      </c>
      <c r="B612" s="1" t="s">
        <v>611</v>
      </c>
      <c r="C612" t="str">
        <f>IFERROR(__xludf.DUMMYFUNCTION("GOOGLETRANSLATE(B612, ""fr"", ""en"")"),"Satisfied I recommend")</f>
        <v>Satisfied I recommend</v>
      </c>
    </row>
    <row r="613">
      <c r="A613" s="1">
        <v>3.0</v>
      </c>
      <c r="B613" s="1" t="s">
        <v>612</v>
      </c>
      <c r="C613" t="str">
        <f>IFERROR(__xludf.DUMMYFUNCTION("GOOGLETRANSLATE(B613, ""fr"", ""en"")"),"A little disappointed replaces my old awakening light (1 name) His faults: they cut the light when it is about to turn on mode ""awakening"" and the brightness is lost. No backup time in case of failure. If the sound is pleasant, the radio too. Very compa"&amp;"ct. And the hour digits light up so little mini that I do not mind at night (but suddenly not visible during the day ... BALO) In short, a good product but perfectible")</f>
        <v>A little disappointed replaces my old awakening light (1 name) His faults: they cut the light when it is about to turn on mode "awakening" and the brightness is lost. No backup time in case of failure. If the sound is pleasant, the radio too. Very compact. And the hour digits light up so little mini that I do not mind at night (but suddenly not visible during the day ... BALO) In short, a good product but perfectible</v>
      </c>
    </row>
    <row r="614">
      <c r="A614" s="1">
        <v>4.0</v>
      </c>
      <c r="B614" s="1" t="s">
        <v>613</v>
      </c>
      <c r="C614" t="str">
        <f>IFERROR(__xludf.DUMMYFUNCTION("GOOGLETRANSLATE(B614, ""fr"", ""en"")"),"Very comfortable helmet I have not a ""musical"" use proper. I use this headset to work and be able to cut me outside noise while enjoying a good quality sound. This is a very comfortable headset (no pressure point on the top of the skull). It includes gr"&amp;"eat ears but it should however be careful that it can exert slight pressure on the jaw. Worn easily all day.")</f>
        <v>Very comfortable helmet I have not a "musical" use proper. I use this headset to work and be able to cut me outside noise while enjoying a good quality sound. This is a very comfortable headset (no pressure point on the top of the skull). It includes great ears but it should however be careful that it can exert slight pressure on the jaw. Worn easily all day.</v>
      </c>
    </row>
    <row r="615">
      <c r="A615" s="1">
        <v>4.0</v>
      </c>
      <c r="B615" s="1" t="s">
        <v>614</v>
      </c>
      <c r="C615" t="str">
        <f>IFERROR(__xludf.DUMMYFUNCTION("GOOGLETRANSLATE(B615, ""fr"", ""en"")"),"Chausse small Ideal for walking but take a daughter above")</f>
        <v>Chausse small Ideal for walking but take a daughter above</v>
      </c>
    </row>
    <row r="616">
      <c r="A616" s="1">
        <v>4.0</v>
      </c>
      <c r="B616" s="1" t="s">
        <v>615</v>
      </c>
      <c r="C616" t="str">
        <f>IFERROR(__xludf.DUMMYFUNCTION("GOOGLETRANSLATE(B616, ""fr"", ""en"")"),"As sweater on color photo, shape, size, quality")</f>
        <v>As sweater on color photo, shape, size, quality</v>
      </c>
    </row>
    <row r="617">
      <c r="A617" s="1">
        <v>4.0</v>
      </c>
      <c r="B617" s="1" t="s">
        <v>616</v>
      </c>
      <c r="C617" t="str">
        <f>IFERROR(__xludf.DUMMYFUNCTION("GOOGLETRANSLATE(B617, ""fr"", ""en"")"),"good quality super comfortable")</f>
        <v>good quality super comfortable</v>
      </c>
    </row>
    <row r="618">
      <c r="A618" s="1">
        <v>5.0</v>
      </c>
      <c r="B618" s="1" t="s">
        <v>617</v>
      </c>
      <c r="C618" t="str">
        <f>IFERROR(__xludf.DUMMYFUNCTION("GOOGLETRANSLATE(B618, ""fr"", ""en"")"),"Value very good price Time can be easily read !! even if problems of view to recommend!")</f>
        <v>Value very good price Time can be easily read !! even if problems of view to recommend!</v>
      </c>
    </row>
    <row r="619">
      <c r="A619" s="1">
        <v>5.0</v>
      </c>
      <c r="B619" s="1" t="s">
        <v>618</v>
      </c>
      <c r="C619" t="str">
        <f>IFERROR(__xludf.DUMMYFUNCTION("GOOGLETRANSLATE(B619, ""fr"", ""en"")"),"Very nice and pretty fine")</f>
        <v>Very nice and pretty fine</v>
      </c>
    </row>
    <row r="620">
      <c r="A620" s="1">
        <v>5.0</v>
      </c>
      <c r="B620" s="1" t="s">
        <v>619</v>
      </c>
      <c r="C620" t="str">
        <f>IFERROR(__xludf.DUMMYFUNCTION("GOOGLETRANSLATE(B620, ""fr"", ""en"")"),"Good profitability super super jacket I make 38 = M but I took the L because I like to put a sweater underneath and it's perfect. The material is perfect and color and beautiful. The test machine was washed has validated the color is always the same and n"&amp;"o shrinkage. So great quality, great prices, and great color not regret buying I already reflected at the next color I'll take.")</f>
        <v>Good profitability super super jacket I make 38 = M but I took the L because I like to put a sweater underneath and it's perfect. The material is perfect and color and beautiful. The test machine was washed has validated the color is always the same and no shrinkage. So great quality, great prices, and great color not regret buying I already reflected at the next color I'll take.</v>
      </c>
    </row>
    <row r="621">
      <c r="A621" s="1">
        <v>5.0</v>
      </c>
      <c r="B621" s="1" t="s">
        <v>620</v>
      </c>
      <c r="C621" t="str">
        <f>IFERROR(__xludf.DUMMYFUNCTION("GOOGLETRANSLATE(B621, ""fr"", ""en"")"),"Thick socks perfect property that not squeeze the foot is soft finally sports socks atttention what they are fine")</f>
        <v>Thick socks perfect property that not squeeze the foot is soft finally sports socks atttention what they are fine</v>
      </c>
    </row>
    <row r="622">
      <c r="A622" s="1">
        <v>5.0</v>
      </c>
      <c r="B622" s="1" t="s">
        <v>621</v>
      </c>
      <c r="C622" t="str">
        <f>IFERROR(__xludf.DUMMYFUNCTION("GOOGLETRANSLATE(B622, ""fr"", ""en"")"),"Good value Very pleasant to the touch elastic practice")</f>
        <v>Good value Very pleasant to the touch elastic practice</v>
      </c>
    </row>
    <row r="623">
      <c r="A623" s="1">
        <v>5.0</v>
      </c>
      <c r="B623" s="1" t="s">
        <v>622</v>
      </c>
      <c r="C623" t="str">
        <f>IFERROR(__xludf.DUMMYFUNCTION("GOOGLETRANSLATE(B623, ""fr"", ""en"")"),"Large capacity without being imposing, practice and quality I bought this kit there is almost 1 year now for my little boy who had 6 months to carry his meals with the nanny. I am very satisfied especially in terms of the capacity. Initially, I did not kn"&amp;"ow what size to buy and I'm glad I took it because now he has 16 months (and still he eats like a glutton) I have room to put a bottle, a refill of milk, a jam jar (which contains his meal) + fruit + yogurt and a biscuit or bread slice, excluding the bib "&amp;"(right after there is more space). But this kit is perfect for us. It is flexible, has a handle to simply carry on without the air bag motorway eg. (It's lived), the interior is easy to clean, the colori is modern and our friends (parents too) think buyin"&amp;"g the same end. In short, you can go for it.")</f>
        <v>Large capacity without being imposing, practice and quality I bought this kit there is almost 1 year now for my little boy who had 6 months to carry his meals with the nanny. I am very satisfied especially in terms of the capacity. Initially, I did not know what size to buy and I'm glad I took it because now he has 16 months (and still he eats like a glutton) I have room to put a bottle, a refill of milk, a jam jar (which contains his meal) + fruit + yogurt and a biscuit or bread slice, excluding the bib (right after there is more space). But this kit is perfect for us. It is flexible, has a handle to simply carry on without the air bag motorway eg. (It's lived), the interior is easy to clean, the colori is modern and our friends (parents too) think buying the same end. In short, you can go for it.</v>
      </c>
    </row>
    <row r="624">
      <c r="A624" s="1">
        <v>5.0</v>
      </c>
      <c r="B624" s="1" t="s">
        <v>623</v>
      </c>
      <c r="C624" t="str">
        <f>IFERROR(__xludf.DUMMYFUNCTION("GOOGLETRANSLATE(B624, ""fr"", ""en"")"),"lightweight and comfortable sports and leisure, ideal for a small jogging ...")</f>
        <v>lightweight and comfortable sports and leisure, ideal for a small jogging ...</v>
      </c>
    </row>
    <row r="625">
      <c r="A625" s="1">
        <v>5.0</v>
      </c>
      <c r="B625" s="1" t="s">
        <v>624</v>
      </c>
      <c r="C625" t="str">
        <f>IFERROR(__xludf.DUMMYFUNCTION("GOOGLETRANSLATE(B625, ""fr"", ""en"")"),"The quality for a disabled person")</f>
        <v>The quality for a disabled person</v>
      </c>
    </row>
    <row r="626">
      <c r="A626" s="1">
        <v>5.0</v>
      </c>
      <c r="B626" s="1" t="s">
        <v>625</v>
      </c>
      <c r="C626" t="str">
        <f>IFERROR(__xludf.DUMMYFUNCTION("GOOGLETRANSLATE(B626, ""fr"", ""en"")"),"Awesome It's true that the first minutes of use you have the impression that the machine will crush us so the foot is compressed but not panic .. at the pain it is true that the first four fifteen time you feel your feet .. but honestly after two days of "&amp;"use by making four sessions of 15 minutes a day your feet are completely unwind .. So I recommend this machine to anyone who would like a massage feet as a real massage. So sensitive and fragile people in pain do not worry we must get used to but it's a g"&amp;"ood crazy. This is an excellent product that should not hesitate to buy !!")</f>
        <v>Awesome It's true that the first minutes of use you have the impression that the machine will crush us so the foot is compressed but not panic .. at the pain it is true that the first four fifteen time you feel your feet .. but honestly after two days of use by making four sessions of 15 minutes a day your feet are completely unwind .. So I recommend this machine to anyone who would like a massage feet as a real massage. So sensitive and fragile people in pain do not worry we must get used to but it's a good crazy. This is an excellent product that should not hesitate to buy !!</v>
      </c>
    </row>
    <row r="627">
      <c r="A627" s="1">
        <v>5.0</v>
      </c>
      <c r="B627" s="1" t="s">
        <v>626</v>
      </c>
      <c r="C627" t="str">
        <f>IFERROR(__xludf.DUMMYFUNCTION("GOOGLETRANSLATE(B627, ""fr"", ""en"")"),"Cable audio Acoustic speakers. This cable reel for connection of speakers is well made ......... The sheathing is flexible and strong ......... It is easily stripped. Suits me perfectly")</f>
        <v>Cable audio Acoustic speakers. This cable reel for connection of speakers is well made ......... The sheathing is flexible and strong ......... It is easily stripped. Suits me perfectly</v>
      </c>
    </row>
    <row r="628">
      <c r="A628" s="1">
        <v>5.0</v>
      </c>
      <c r="B628" s="1" t="s">
        <v>627</v>
      </c>
      <c r="C628" t="str">
        <f>IFERROR(__xludf.DUMMYFUNCTION("GOOGLETRANSLATE(B628, ""fr"", ""en"")"),"I recommend a classic nothing to say more")</f>
        <v>I recommend a classic nothing to say more</v>
      </c>
    </row>
    <row r="629">
      <c r="A629" s="1">
        <v>5.0</v>
      </c>
      <c r="B629" s="1" t="s">
        <v>628</v>
      </c>
      <c r="C629" t="str">
        <f>IFERROR(__xludf.DUMMYFUNCTION("GOOGLETRANSLATE(B629, ""fr"", ""en"")"),"Bottle top! The bottle is best for breastfeeding relay. Baby must still adapt because the suction force is different.")</f>
        <v>Bottle top! The bottle is best for breastfeeding relay. Baby must still adapt because the suction force is different.</v>
      </c>
    </row>
    <row r="630">
      <c r="A630" s="1">
        <v>5.0</v>
      </c>
      <c r="B630" s="1" t="s">
        <v>629</v>
      </c>
      <c r="C630" t="str">
        <f>IFERROR(__xludf.DUMMYFUNCTION("GOOGLETRANSLATE(B630, ""fr"", ""en"")"),"Very well ! Mass the scalp well. Pleasant.")</f>
        <v>Very well ! Mass the scalp well. Pleasant.</v>
      </c>
    </row>
    <row r="631">
      <c r="A631" s="1">
        <v>5.0</v>
      </c>
      <c r="B631" s="1" t="s">
        <v>630</v>
      </c>
      <c r="C631" t="str">
        <f>IFERROR(__xludf.DUMMYFUNCTION("GOOGLETRANSLATE(B631, ""fr"", ""en"")"),"Filter Anti-Pop Very good anti-pop filter that I bought along with my Bird UM1 and I am satisfied with the combo of both to make good videos.")</f>
        <v>Filter Anti-Pop Very good anti-pop filter that I bought along with my Bird UM1 and I am satisfied with the combo of both to make good videos.</v>
      </c>
    </row>
    <row r="632">
      <c r="A632" s="1">
        <v>5.0</v>
      </c>
      <c r="B632" s="1" t="s">
        <v>631</v>
      </c>
      <c r="C632" t="str">
        <f>IFERROR(__xludf.DUMMYFUNCTION("GOOGLETRANSLATE(B632, ""fr"", ""en"")"),"satisfied satisfied")</f>
        <v>satisfied satisfied</v>
      </c>
    </row>
    <row r="633">
      <c r="A633" s="1">
        <v>2.0</v>
      </c>
      <c r="B633" s="1" t="s">
        <v>632</v>
      </c>
      <c r="C633" t="str">
        <f>IFERROR(__xludf.DUMMYFUNCTION("GOOGLETRANSLATE(B633, ""fr"", ""en"")"),"87200 For the price I was expecting an embroidered logo With a printer and an iron, I can do the same")</f>
        <v>87200 For the price I was expecting an embroidered logo With a printer and an iron, I can do the same</v>
      </c>
    </row>
    <row r="634">
      <c r="A634" s="1">
        <v>1.0</v>
      </c>
      <c r="B634" s="1" t="s">
        <v>633</v>
      </c>
      <c r="C634" t="str">
        <f>IFERROR(__xludf.DUMMYFUNCTION("GOOGLETRANSLATE(B634, ""fr"", ""en"")"),"Poor Poor")</f>
        <v>Poor Poor</v>
      </c>
    </row>
    <row r="635">
      <c r="A635" s="1">
        <v>1.0</v>
      </c>
      <c r="B635" s="1" t="s">
        <v>634</v>
      </c>
      <c r="C635" t="str">
        <f>IFERROR(__xludf.DUMMYFUNCTION("GOOGLETRANSLATE(B635, ""fr"", ""en"")"),"Its not terrible crackling lightweight headphones, easy to fold but saturation noise in the helmet after the first listen ... Very poor sound quality, I am amazed that I really like the brand very disappointed. My son having the utility every day the soun"&amp;"d will remain as I don not send the product to wait reception ... Disappointed.")</f>
        <v>Its not terrible crackling lightweight headphones, easy to fold but saturation noise in the helmet after the first listen ... Very poor sound quality, I am amazed that I really like the brand very disappointed. My son having the utility every day the sound will remain as I don not send the product to wait reception ... Disappointed.</v>
      </c>
    </row>
    <row r="636">
      <c r="A636" s="1">
        <v>3.0</v>
      </c>
      <c r="B636" s="1" t="s">
        <v>635</v>
      </c>
      <c r="C636" t="str">
        <f>IFERROR(__xludf.DUMMYFUNCTION("GOOGLETRANSLATE(B636, ""fr"", ""en"")"),"Baby Bottle large capacity glass bottle glass large enough but the little one does not want so stowed in the closet nipple is indifferent he does not want")</f>
        <v>Baby Bottle large capacity glass bottle glass large enough but the little one does not want so stowed in the closet nipple is indifferent he does not want</v>
      </c>
    </row>
    <row r="637">
      <c r="A637" s="1">
        <v>3.0</v>
      </c>
      <c r="B637" s="1" t="s">
        <v>636</v>
      </c>
      <c r="C637" t="str">
        <f>IFERROR(__xludf.DUMMYFUNCTION("GOOGLETRANSLATE(B637, ""fr"", ""en"")"),"Product origin This product comes from England, English literature, but UK socket adapter, all the on-screen menu is in English no way to change it, this is abnormal and contrary to French law. I called the customer service Brother who guided me to the la"&amp;"nguage change. I regret having bought this product on Amazon it does not inform the client of what he will receive. Scam !!!!")</f>
        <v>Product origin This product comes from England, English literature, but UK socket adapter, all the on-screen menu is in English no way to change it, this is abnormal and contrary to French law. I called the customer service Brother who guided me to the language change. I regret having bought this product on Amazon it does not inform the client of what he will receive. Scam !!!!</v>
      </c>
    </row>
    <row r="638">
      <c r="A638" s="1">
        <v>4.0</v>
      </c>
      <c r="B638" s="1" t="s">
        <v>637</v>
      </c>
      <c r="C638" t="str">
        <f>IFERROR(__xludf.DUMMYFUNCTION("GOOGLETRANSLATE(B638, ""fr"", ""en"")"),"Small handy bottle This is a small bottle handy to start. Our little piece takes artificial warmed milk, it seems to me that this little bottle loses heat more slowly than 240ml I also bought. There is a little leak, but it is not very troublesome. Point "&amp;"of improvement: the measurements on the bottle are particularly difficult to read at night.")</f>
        <v>Small handy bottle This is a small bottle handy to start. Our little piece takes artificial warmed milk, it seems to me that this little bottle loses heat more slowly than 240ml I also bought. There is a little leak, but it is not very troublesome. Point of improvement: the measurements on the bottle are particularly difficult to read at night.</v>
      </c>
    </row>
    <row r="639">
      <c r="A639" s="1">
        <v>4.0</v>
      </c>
      <c r="B639" s="1" t="s">
        <v>638</v>
      </c>
      <c r="C639" t="str">
        <f>IFERROR(__xludf.DUMMYFUNCTION("GOOGLETRANSLATE(B639, ""fr"", ""en"")"),"Conforms arrived as expected")</f>
        <v>Conforms arrived as expected</v>
      </c>
    </row>
    <row r="640">
      <c r="A640" s="1">
        <v>4.0</v>
      </c>
      <c r="B640" s="1" t="s">
        <v>639</v>
      </c>
      <c r="C640" t="str">
        <f>IFERROR(__xludf.DUMMYFUNCTION("GOOGLETRANSLATE(B640, ""fr"", ""en"")"),"the right product to fight against back pain It has a large heating power, which makes it very effective against pain, I enjoy it a lot, it relaxes the muscles.")</f>
        <v>the right product to fight against back pain It has a large heating power, which makes it very effective against pain, I enjoy it a lot, it relaxes the muscles.</v>
      </c>
    </row>
    <row r="641">
      <c r="A641" s="1">
        <v>4.0</v>
      </c>
      <c r="B641" s="1" t="s">
        <v>640</v>
      </c>
      <c r="C641" t="str">
        <f>IFERROR(__xludf.DUMMYFUNCTION("GOOGLETRANSLATE(B641, ""fr"", ""en"")"),"Good value within the time period Received true to the description")</f>
        <v>Good value within the time period Received true to the description</v>
      </c>
    </row>
    <row r="642">
      <c r="A642" s="1">
        <v>5.0</v>
      </c>
      <c r="B642" s="1" t="s">
        <v>641</v>
      </c>
      <c r="C642" t="str">
        <f>IFERROR(__xludf.DUMMYFUNCTION("GOOGLETRANSLATE(B642, ""fr"", ""en"")"),"Great! I am delighted to address, the name on the box to the letter, or others. Really great. I would recommend as absolutely")</f>
        <v>Great! I am delighted to address, the name on the box to the letter, or others. Really great. I would recommend as absolutely</v>
      </c>
    </row>
    <row r="643">
      <c r="A643" s="1">
        <v>5.0</v>
      </c>
      <c r="B643" s="1" t="s">
        <v>642</v>
      </c>
      <c r="C643" t="str">
        <f>IFERROR(__xludf.DUMMYFUNCTION("GOOGLETRANSLATE(B643, ""fr"", ""en"")"),"Super helmets for children Lunii Excellent value for money product MPOW (already owner of a Bluetooth headset at home and very satisfied). Good finish (plastic soft touch). Two helmets in the pack connectable chain them for listening to two children simul"&amp;"taneously without loss of sound and no need to buy a separate splitter. The sound is very correct and glue at the sound Lunii (only purpose of my purchase). Test also on a smartphone, very pleasant surprise in terms of quality pr headphones of this price "&amp;"range. Only flat on use outside Lunii, no volume control with headphones. But this is a child helmet noise restricted, so it's perfectly normal. I recommend.")</f>
        <v>Super helmets for children Lunii Excellent value for money product MPOW (already owner of a Bluetooth headset at home and very satisfied). Good finish (plastic soft touch). Two helmets in the pack connectable chain them for listening to two children simultaneously without loss of sound and no need to buy a separate splitter. The sound is very correct and glue at the sound Lunii (only purpose of my purchase). Test also on a smartphone, very pleasant surprise in terms of quality pr headphones of this price range. Only flat on use outside Lunii, no volume control with headphones. But this is a child helmet noise restricted, so it's perfectly normal. I recommend.</v>
      </c>
    </row>
    <row r="644">
      <c r="A644" s="1">
        <v>5.0</v>
      </c>
      <c r="B644" s="1" t="s">
        <v>643</v>
      </c>
      <c r="C644" t="str">
        <f>IFERROR(__xludf.DUMMYFUNCTION("GOOGLETRANSLATE(B644, ""fr"", ""en"")"),"Hyper comfortable I love !!! For 2 years I do not put it between April and October !!!!")</f>
        <v>Hyper comfortable I love !!! For 2 years I do not put it between April and October !!!!</v>
      </c>
    </row>
    <row r="645">
      <c r="A645" s="1">
        <v>5.0</v>
      </c>
      <c r="B645" s="1" t="s">
        <v>644</v>
      </c>
      <c r="C645" t="str">
        <f>IFERROR(__xludf.DUMMYFUNCTION("GOOGLETRANSLATE(B645, ""fr"", ""en"")"),"Although Compliant")</f>
        <v>Although Compliant</v>
      </c>
    </row>
    <row r="646">
      <c r="A646" s="1">
        <v>5.0</v>
      </c>
      <c r="B646" s="1" t="s">
        <v>645</v>
      </c>
      <c r="C646" t="str">
        <f>IFERROR(__xludf.DUMMYFUNCTION("GOOGLETRANSLATE(B646, ""fr"", ""en"")"),"Okay, I shoe size 41, size is perfect. Received on time. These socks without heels (see photo), but the elasticity that it is no problem to wear them. As against it are distorted, we must see if they recover their shape after washing. Rendering as the ima"&amp;"ge shown.")</f>
        <v>Okay, I shoe size 41, size is perfect. Received on time. These socks without heels (see photo), but the elasticity that it is no problem to wear them. As against it are distorted, we must see if they recover their shape after washing. Rendering as the image shown.</v>
      </c>
    </row>
    <row r="647">
      <c r="A647" s="1">
        <v>5.0</v>
      </c>
      <c r="B647" s="1" t="s">
        <v>646</v>
      </c>
      <c r="C647" t="str">
        <f>IFERROR(__xludf.DUMMYFUNCTION("GOOGLETRANSLATE(B647, ""fr"", ""en"")"),"This economic model is requested for September 6th my daughter every corner of the supermarkets sell more expensive!")</f>
        <v>This economic model is requested for September 6th my daughter every corner of the supermarkets sell more expensive!</v>
      </c>
    </row>
    <row r="648">
      <c r="A648" s="1">
        <v>5.0</v>
      </c>
      <c r="B648" s="1" t="s">
        <v>647</v>
      </c>
      <c r="C648" t="str">
        <f>IFERROR(__xludf.DUMMYFUNCTION("GOOGLETRANSLATE(B648, ""fr"", ""en"")"),"Nice and comfortable Transaction perfect: serious seller, fast delivery and perfect product! ultra comfortable shoes, beautiful, strong, flexible! I highly recommend the purchase with a size 'more than the usual (as indicated on the site)")</f>
        <v>Nice and comfortable Transaction perfect: serious seller, fast delivery and perfect product! ultra comfortable shoes, beautiful, strong, flexible! I highly recommend the purchase with a size 'more than the usual (as indicated on the site)</v>
      </c>
    </row>
    <row r="649">
      <c r="A649" s="1">
        <v>5.0</v>
      </c>
      <c r="B649" s="1" t="s">
        <v>648</v>
      </c>
      <c r="C649" t="str">
        <f>IFERROR(__xludf.DUMMYFUNCTION("GOOGLETRANSLATE(B649, ""fr"", ""en"")"),"Beautiful shoes in which I am Daily Use")</f>
        <v>Beautiful shoes in which I am Daily Use</v>
      </c>
    </row>
    <row r="650">
      <c r="A650" s="1">
        <v>5.0</v>
      </c>
      <c r="B650" s="1" t="s">
        <v>649</v>
      </c>
      <c r="C650" t="str">
        <f>IFERROR(__xludf.DUMMYFUNCTION("GOOGLETRANSLATE(B650, ""fr"", ""en"")"),"practices practice")</f>
        <v>practices practice</v>
      </c>
    </row>
    <row r="651">
      <c r="A651" s="1">
        <v>5.0</v>
      </c>
      <c r="B651" s="1" t="s">
        <v>650</v>
      </c>
      <c r="C651" t="str">
        <f>IFERROR(__xludf.DUMMYFUNCTION("GOOGLETRANSLATE(B651, ""fr"", ""en"")"),"it's ok it's ok")</f>
        <v>it's ok it's ok</v>
      </c>
    </row>
    <row r="652">
      <c r="A652" s="1">
        <v>5.0</v>
      </c>
      <c r="B652" s="1" t="s">
        <v>651</v>
      </c>
      <c r="C652" t="str">
        <f>IFERROR(__xludf.DUMMYFUNCTION("GOOGLETRANSLATE(B652, ""fr"", ""en"")"),"beautiful gorgeous necklace, pendant and chain are very thin, the crystal is highlighted by crimping produced 925 no allergy concern comes in a green with a small cleaning cloth. I recommend this product personally, I adopted as one of my favorite jewelry")</f>
        <v>beautiful gorgeous necklace, pendant and chain are very thin, the crystal is highlighted by crimping produced 925 no allergy concern comes in a green with a small cleaning cloth. I recommend this product personally, I adopted as one of my favorite jewelry</v>
      </c>
    </row>
    <row r="653">
      <c r="A653" s="1">
        <v>5.0</v>
      </c>
      <c r="B653" s="1" t="s">
        <v>652</v>
      </c>
      <c r="C653" t="str">
        <f>IFERROR(__xludf.DUMMYFUNCTION("GOOGLETRANSLATE(B653, ""fr"", ""en"")"),"Very good Q / P Pleasantly surprised by this highly functional bag that seems solid. Multiple pockets for all sorts of things and yet not too bulky. Bought for 14 ultrabook ""charger and its hub, I can accommodate much more than expected. Magazines, my ph"&amp;"one ... Ideal for traveling light. The color is true to pictures. Paid less than 30 € for this bag pretty amazing when you see the quality we to usual price.")</f>
        <v>Very good Q / P Pleasantly surprised by this highly functional bag that seems solid. Multiple pockets for all sorts of things and yet not too bulky. Bought for 14 ultrabook "charger and its hub, I can accommodate much more than expected. Magazines, my phone ... Ideal for traveling light. The color is true to pictures. Paid less than 30 € for this bag pretty amazing when you see the quality we to usual price.</v>
      </c>
    </row>
    <row r="654">
      <c r="A654" s="1">
        <v>5.0</v>
      </c>
      <c r="B654" s="1" t="s">
        <v>653</v>
      </c>
      <c r="C654" t="str">
        <f>IFERROR(__xludf.DUMMYFUNCTION("GOOGLETRANSLATE(B654, ""fr"", ""en"")"),"good maintenance Good maintenance of large breasts with dual strap racerback straps + standard. Adapted to minimize a little chest for so poledance, it goes !!!")</f>
        <v>good maintenance Good maintenance of large breasts with dual strap racerback straps + standard. Adapted to minimize a little chest for so poledance, it goes !!!</v>
      </c>
    </row>
    <row r="655">
      <c r="A655" s="1">
        <v>5.0</v>
      </c>
      <c r="B655" s="1" t="s">
        <v>654</v>
      </c>
      <c r="C655" t="str">
        <f>IFERROR(__xludf.DUMMYFUNCTION("GOOGLETRANSLATE(B655, ""fr"", ""en"")"),"Value not nothing to say Small and strong")</f>
        <v>Value not nothing to say Small and strong</v>
      </c>
    </row>
    <row r="656">
      <c r="A656" s="1">
        <v>5.0</v>
      </c>
      <c r="B656" s="1" t="s">
        <v>655</v>
      </c>
      <c r="C656" t="str">
        <f>IFERROR(__xludf.DUMMYFUNCTION("GOOGLETRANSLATE(B656, ""fr"", ""en"")"),"Looks good I do not have the tools to measure qualIty of this oil but it looks good and the smell is really very pleasant. I use it mainly for its properties thanks household ""antibacterial""")</f>
        <v>Looks good I do not have the tools to measure qualIty of this oil but it looks good and the smell is really very pleasant. I use it mainly for its properties thanks household "antibacterial"</v>
      </c>
    </row>
    <row r="657">
      <c r="A657" s="1">
        <v>2.0</v>
      </c>
      <c r="B657" s="1" t="s">
        <v>656</v>
      </c>
      <c r="C657" t="str">
        <f>IFERROR(__xludf.DUMMYFUNCTION("GOOGLETRANSLATE(B657, ""fr"", ""en"")"),"Pacifier nipple that does not suit me damage")</f>
        <v>Pacifier nipple that does not suit me damage</v>
      </c>
    </row>
    <row r="658">
      <c r="A658" s="1">
        <v>1.0</v>
      </c>
      <c r="B658" s="1" t="s">
        <v>657</v>
      </c>
      <c r="C658" t="str">
        <f>IFERROR(__xludf.DUMMYFUNCTION("GOOGLETRANSLATE(B658, ""fr"", ""en"")"),"HS after a month early Satisfied Unfortunately, poor quality, HS listener after a month of normal use")</f>
        <v>HS after a month early Satisfied Unfortunately, poor quality, HS listener after a month of normal use</v>
      </c>
    </row>
    <row r="659">
      <c r="A659" s="1">
        <v>1.0</v>
      </c>
      <c r="B659" s="1" t="s">
        <v>658</v>
      </c>
      <c r="C659" t="str">
        <f>IFERROR(__xludf.DUMMYFUNCTION("GOOGLETRANSLATE(B659, ""fr"", ""en"")"),"Lifetime 24H Chrono After receiving this helmet that was fast, I could test: Good sound quality Comfortable Headphones despite the lack of foam on top that is placed on the head. Foams at the ears are fine, even in yours workout Major problem: Mine -24h d"&amp;"uration to ... Am I came across a defective? I do not know, just be So my advice is: Too bad!")</f>
        <v>Lifetime 24H Chrono After receiving this helmet that was fast, I could test: Good sound quality Comfortable Headphones despite the lack of foam on top that is placed on the head. Foams at the ears are fine, even in yours workout Major problem: Mine -24h duration to ... Am I came across a defective? I do not know, just be So my advice is: Too bad!</v>
      </c>
    </row>
    <row r="660">
      <c r="A660" s="1">
        <v>3.0</v>
      </c>
      <c r="B660" s="1" t="s">
        <v>659</v>
      </c>
      <c r="C660" t="str">
        <f>IFERROR(__xludf.DUMMYFUNCTION("GOOGLETRANSLATE(B660, ""fr"", ""en"")"),"Ok Too Wide")</f>
        <v>Ok Too Wide</v>
      </c>
    </row>
    <row r="661">
      <c r="A661" s="1">
        <v>4.0</v>
      </c>
      <c r="B661" s="1" t="s">
        <v>660</v>
      </c>
      <c r="C661" t="str">
        <f>IFERROR(__xludf.DUMMYFUNCTION("GOOGLETRANSLATE(B661, ""fr"", ""en"")"),"Good quality Glad I advise my buffer, delivered in a timely manner. It is at the top for documents.")</f>
        <v>Good quality Glad I advise my buffer, delivered in a timely manner. It is at the top for documents.</v>
      </c>
    </row>
    <row r="662">
      <c r="A662" s="1">
        <v>4.0</v>
      </c>
      <c r="B662" s="1" t="s">
        <v>661</v>
      </c>
      <c r="C662" t="str">
        <f>IFERROR(__xludf.DUMMYFUNCTION("GOOGLETRANSLATE(B662, ""fr"", ""en"")"),"Beautiful Pretty fancy jewel effect, the reflections are really in addition there is the possibility of a bracelet that matches by searching the site but you have to look for it is not even offered in temps.Il can be worn with many garment collar is not v"&amp;"ery long thereby putting even with a small neckline. The only regret is the back of the jewel that is not very nice but it did not really matter because it remains in place. Ladies effect guaranteed with this little gem.")</f>
        <v>Beautiful Pretty fancy jewel effect, the reflections are really in addition there is the possibility of a bracelet that matches by searching the site but you have to look for it is not even offered in temps.Il can be worn with many garment collar is not very long thereby putting even with a small neckline. The only regret is the back of the jewel that is not very nice but it did not really matter because it remains in place. Ladies effect guaranteed with this little gem.</v>
      </c>
    </row>
    <row r="663">
      <c r="A663" s="1">
        <v>4.0</v>
      </c>
      <c r="B663" s="1" t="s">
        <v>662</v>
      </c>
      <c r="C663" t="str">
        <f>IFERROR(__xludf.DUMMYFUNCTION("GOOGLETRANSLATE(B663, ""fr"", ""en"")"),"effective I got good results on mosquito bites")</f>
        <v>effective I got good results on mosquito bites</v>
      </c>
    </row>
    <row r="664">
      <c r="A664" s="1">
        <v>4.0</v>
      </c>
      <c r="B664" s="1" t="s">
        <v>663</v>
      </c>
      <c r="C664" t="str">
        <f>IFERROR(__xludf.DUMMYFUNCTION("GOOGLETRANSLATE(B664, ""fr"", ""en"")"),"Received for performance testing. This bottle warmer is not bad: neoprene keeps warm (not insulated literally but it's not bad), the bib heater plugs into the cigarette lighter and relatively quickly heated. Obviously, do not expect to boil water with thi"&amp;"s heater bib, put it quite effective. I only regret the narrowness of the neoprene cover that requires a little force with big bottle, and the inability to reduce the height of the cover (if you drive up you risk damaging the heating device priori)")</f>
        <v>Received for performance testing. This bottle warmer is not bad: neoprene keeps warm (not insulated literally but it's not bad), the bib heater plugs into the cigarette lighter and relatively quickly heated. Obviously, do not expect to boil water with this heater bib, put it quite effective. I only regret the narrowness of the neoprene cover that requires a little force with big bottle, and the inability to reduce the height of the cover (if you drive up you risk damaging the heating device priori)</v>
      </c>
    </row>
    <row r="665">
      <c r="A665" s="1">
        <v>5.0</v>
      </c>
      <c r="B665" s="1" t="s">
        <v>664</v>
      </c>
      <c r="C665" t="str">
        <f>IFERROR(__xludf.DUMMYFUNCTION("GOOGLETRANSLATE(B665, ""fr"", ""en"")"),"Ideal for early reading toddlers Finally an accessible collection very small, the first steps of reading the new words, sounds acquired are repeated throughout history. We read all PC enchaînons beginners and level 2. In addition really cheap within 3 € b"&amp;"ook!")</f>
        <v>Ideal for early reading toddlers Finally an accessible collection very small, the first steps of reading the new words, sounds acquired are repeated throughout history. We read all PC enchaînons beginners and level 2. In addition really cheap within 3 € book!</v>
      </c>
    </row>
    <row r="666">
      <c r="A666" s="1">
        <v>5.0</v>
      </c>
      <c r="B666" s="1" t="s">
        <v>665</v>
      </c>
      <c r="C666" t="str">
        <f>IFERROR(__xludf.DUMMYFUNCTION("GOOGLETRANSLATE(B666, ""fr"", ""en"")"),"purchase impeccable Fast shipping, nickel product and the best price, I have not found better on the net at this price point. To recommend")</f>
        <v>purchase impeccable Fast shipping, nickel product and the best price, I have not found better on the net at this price point. To recommend</v>
      </c>
    </row>
    <row r="667">
      <c r="A667" s="1">
        <v>5.0</v>
      </c>
      <c r="B667" s="1" t="s">
        <v>666</v>
      </c>
      <c r="C667" t="str">
        <f>IFERROR(__xludf.DUMMYFUNCTION("GOOGLETRANSLATE(B667, ""fr"", ""en"")"),"Superb I already buy essential oil diffuser for a gift and I found it so awesome I'm Mu'en bought one. This one can see colored lights but also it has a timer of 1 hour, 2 hours and 3 hours which is convenient because the amount of fluid flow seen will no"&amp;"t hold more. In short I am delighted")</f>
        <v>Superb I already buy essential oil diffuser for a gift and I found it so awesome I'm Mu'en bought one. This one can see colored lights but also it has a timer of 1 hour, 2 hours and 3 hours which is convenient because the amount of fluid flow seen will not hold more. In short I am delighted</v>
      </c>
    </row>
    <row r="668">
      <c r="A668" s="1">
        <v>5.0</v>
      </c>
      <c r="B668" s="1" t="s">
        <v>667</v>
      </c>
      <c r="C668" t="str">
        <f>IFERROR(__xludf.DUMMYFUNCTION("GOOGLETRANSLATE(B668, ""fr"", ""en"")"),"Perfect thank you in placing my order, I was very pa on me. But I did not worry because I know the perfect amazon return policy when in premium if you are not satisfied. And suddenly very happy with the article, which m 'to quickly rescued from a torticol"&amp;"lis who would not let go of me ... A little bit micro wave and blow tower is operational, with more seeds flax here feel very good. By cons, if you have a bull call, and no sparrow (like me) you may find the ride a bit short ... Otherwise item to order ey"&amp;"es closed ...")</f>
        <v>Perfect thank you in placing my order, I was very pa on me. But I did not worry because I know the perfect amazon return policy when in premium if you are not satisfied. And suddenly very happy with the article, which m 'to quickly rescued from a torticollis who would not let go of me ... A little bit micro wave and blow tower is operational, with more seeds flax here feel very good. By cons, if you have a bull call, and no sparrow (like me) you may find the ride a bit short ... Otherwise item to order eyes closed ...</v>
      </c>
    </row>
    <row r="669">
      <c r="A669" s="1">
        <v>5.0</v>
      </c>
      <c r="B669" s="1" t="s">
        <v>668</v>
      </c>
      <c r="C669" t="str">
        <f>IFERROR(__xludf.DUMMYFUNCTION("GOOGLETRANSLATE(B669, ""fr"", ""en"")"),"Effective I had formerly a foam brush like this, I found great pleasure this article toujurs as good. The old recipes still exist, and we find them through NET. Suede and nubuck resume a shot of youth with such a brush. Thank you to continue in the simple"&amp;" and effective!")</f>
        <v>Effective I had formerly a foam brush like this, I found great pleasure this article toujurs as good. The old recipes still exist, and we find them through NET. Suede and nubuck resume a shot of youth with such a brush. Thank you to continue in the simple and effective!</v>
      </c>
    </row>
    <row r="670">
      <c r="A670" s="1">
        <v>5.0</v>
      </c>
      <c r="B670" s="1" t="s">
        <v>669</v>
      </c>
      <c r="C670" t="str">
        <f>IFERROR(__xludf.DUMMYFUNCTION("GOOGLETRANSLATE(B670, ""fr"", ""en"")"),"Excellent sound quality microphone This is the first I control and I think that can be considered an amateur, but I did not expect to be as good with this microphone. The microphone comes with its support on foot and a DMX cable to Jack. The support seems"&amp;" a bit light but the microphone yours well and it helps raise the microphone at the correct height. DMX socket allows the microphone to be connected to a mixer. When we speak, the microphone cut outside noise and makes it truly his own. The disadvantage i"&amp;"s that it must speak quite close to the microphone not to be cut. In sum, it remains a microphone with an excellent price / quality ratio.")</f>
        <v>Excellent sound quality microphone This is the first I control and I think that can be considered an amateur, but I did not expect to be as good with this microphone. The microphone comes with its support on foot and a DMX cable to Jack. The support seems a bit light but the microphone yours well and it helps raise the microphone at the correct height. DMX socket allows the microphone to be connected to a mixer. When we speak, the microphone cut outside noise and makes it truly his own. The disadvantage is that it must speak quite close to the microphone not to be cut. In sum, it remains a microphone with an excellent price / quality ratio.</v>
      </c>
    </row>
    <row r="671">
      <c r="A671" s="1">
        <v>5.0</v>
      </c>
      <c r="B671" s="1" t="s">
        <v>670</v>
      </c>
      <c r="C671" t="str">
        <f>IFERROR(__xludf.DUMMYFUNCTION("GOOGLETRANSLATE(B671, ""fr"", ""en"")"),"Perfect again at the risk of repeating myself ... that's the only teats that my children have accepted so naturally I love! they are really good and I think this is due not only the material but also its shape that reminds one of the breasts ....")</f>
        <v>Perfect again at the risk of repeating myself ... that's the only teats that my children have accepted so naturally I love! they are really good and I think this is due not only the material but also its shape that reminds one of the breasts ....</v>
      </c>
    </row>
    <row r="672">
      <c r="A672" s="1">
        <v>5.0</v>
      </c>
      <c r="B672" s="1" t="s">
        <v>671</v>
      </c>
      <c r="C672" t="str">
        <f>IFERROR(__xludf.DUMMYFUNCTION("GOOGLETRANSLATE(B672, ""fr"", ""en"")"),"Good satisfactory product comes complete in an impeccable packaging. Goodies: -Its balanced bass present. -The son appear solid -Design and color. -Isolation sound. Cons: nothing yet to do with time.")</f>
        <v>Good satisfactory product comes complete in an impeccable packaging. Goodies: -Its balanced bass present. -The son appear solid -Design and color. -Isolation sound. Cons: nothing yet to do with time.</v>
      </c>
    </row>
    <row r="673">
      <c r="A673" s="1">
        <v>5.0</v>
      </c>
      <c r="B673" s="1" t="s">
        <v>672</v>
      </c>
      <c r="C673" t="str">
        <f>IFERROR(__xludf.DUMMYFUNCTION("GOOGLETRANSLATE(B673, ""fr"", ""en"")"),"I love Ordered by subscription at Amazon, I'm not bothered by these large formats in my caddy that take up space in the trunk and also the trouble to carry around with her in the street rolls! :)")</f>
        <v>I love Ordered by subscription at Amazon, I'm not bothered by these large formats in my caddy that take up space in the trunk and also the trouble to carry around with her in the street rolls! :)</v>
      </c>
    </row>
    <row r="674">
      <c r="A674" s="1">
        <v>5.0</v>
      </c>
      <c r="B674" s="1" t="s">
        <v>673</v>
      </c>
      <c r="C674" t="str">
        <f>IFERROR(__xludf.DUMMYFUNCTION("GOOGLETRANSLATE(B674, ""fr"", ""en"")"),"Rather nice quality Kettle")</f>
        <v>Rather nice quality Kettle</v>
      </c>
    </row>
    <row r="675">
      <c r="A675" s="1">
        <v>5.0</v>
      </c>
      <c r="B675" s="1" t="s">
        <v>674</v>
      </c>
      <c r="C675" t="str">
        <f>IFERROR(__xludf.DUMMYFUNCTION("GOOGLETRANSLATE(B675, ""fr"", ""en"")"),"Genial too happy pascher and good quality")</f>
        <v>Genial too happy pascher and good quality</v>
      </c>
    </row>
    <row r="676">
      <c r="A676" s="1">
        <v>5.0</v>
      </c>
      <c r="B676" s="1" t="s">
        <v>675</v>
      </c>
      <c r="C676" t="str">
        <f>IFERROR(__xludf.DUMMYFUNCTION("GOOGLETRANSLATE(B676, ""fr"", ""en"")"),"it's the heavy taff")</f>
        <v>it's the heavy taff</v>
      </c>
    </row>
    <row r="677">
      <c r="A677" s="1">
        <v>5.0</v>
      </c>
      <c r="B677" s="1" t="s">
        <v>676</v>
      </c>
      <c r="C677" t="str">
        <f>IFERROR(__xludf.DUMMYFUNCTION("GOOGLETRANSLATE(B677, ""fr"", ""en"")"),"optimal digital and audio quality screen &lt;div id = ""video-block-REU1MZIDA7TI9"" class = ""a-section-spacing-small in-spacing-top mini video-block""&gt; &lt;/ div&gt; &lt;input type = ""hidden ""name ="" ""value ="" https://images-eu.ssl-images-amazon.com/images/I/C1"&amp;"OPg-HaCVS.mp4 ""class ="" video-url ""&gt; &lt;input type ="" hidden ""name = """" value = ""https://images-eu.ssl-images-amazon.com/images/I/A1wb9BQcQrS.png"" class = ""video-slate-img-url""&gt; &amp; nbsp; It uses a digital LED display it is different from others. B"&amp;"attery - 6000mAh. The load is fast. There are ear plugs, USB cable, a charging box and a small bag. With the price and quality I am happy very fast connection with another laptop and Bluetooth, but be careful if you use Bluetooth with an older version of "&amp;"the software under Windows / Android. For this reason, you need to clear the history and ensure that other Bluetooth headphones do not try to connect simultaneously.")</f>
        <v>optimal digital and audio quality screen &lt;div id = "video-block-REU1MZIDA7TI9" class = "a-section-spacing-small in-spacing-top mini video-block"&gt; &lt;/ div&gt; &lt;input type = "hidden "name =" "value =" https://images-eu.ssl-images-amazon.com/images/I/C1OPg-HaCVS.mp4 "class =" video-url "&gt; &lt;input type =" hidden "name = "" value = "https://images-eu.ssl-images-amazon.com/images/I/A1wb9BQcQrS.png" class = "video-slate-img-url"&gt; &amp; nbsp; It uses a digital LED display it is different from others. Battery - 6000mAh. The load is fast. There are ear plugs, USB cable, a charging box and a small bag. With the price and quality I am happy very fast connection with another laptop and Bluetooth, but be careful if you use Bluetooth with an older version of the software under Windows / Android. For this reason, you need to clear the history and ensure that other Bluetooth headphones do not try to connect simultaneously.</v>
      </c>
    </row>
    <row r="678">
      <c r="A678" s="1">
        <v>5.0</v>
      </c>
      <c r="B678" s="1" t="s">
        <v>677</v>
      </c>
      <c r="C678" t="str">
        <f>IFERROR(__xludf.DUMMYFUNCTION("GOOGLETRANSLATE(B678, ""fr"", ""en"")"),"Simple and effective Considering the price, we hesitate in saying ""good we'll see."" Once received, plus any regrets. Personally no fault of the cultured pearl, mesh necklace is really pretty. It is true that there is no certificate, but we quickly see t"&amp;"hat this is indeed a silver necklace. The collar still comes in a box. In the end my wife is conquered!")</f>
        <v>Simple and effective Considering the price, we hesitate in saying "good we'll see." Once received, plus any regrets. Personally no fault of the cultured pearl, mesh necklace is really pretty. It is true that there is no certificate, but we quickly see that this is indeed a silver necklace. The collar still comes in a box. In the end my wife is conquered!</v>
      </c>
    </row>
    <row r="679">
      <c r="A679" s="1">
        <v>5.0</v>
      </c>
      <c r="B679" s="1" t="s">
        <v>678</v>
      </c>
      <c r="C679" t="str">
        <f>IFERROR(__xludf.DUMMYFUNCTION("GOOGLETRANSLATE(B679, ""fr"", ""en"")"),"At the top I get my yellow Timberland (nubuck) I did not wash it for 2 years emerged as new simply follow the instructions booklet delivered with the cover products which incidentally is handy for the products do not separate walk is in the drawers. TOP")</f>
        <v>At the top I get my yellow Timberland (nubuck) I did not wash it for 2 years emerged as new simply follow the instructions booklet delivered with the cover products which incidentally is handy for the products do not separate walk is in the drawers. TOP</v>
      </c>
    </row>
    <row r="680">
      <c r="A680" s="1">
        <v>2.0</v>
      </c>
      <c r="B680" s="1" t="s">
        <v>679</v>
      </c>
      <c r="C680" t="str">
        <f>IFERROR(__xludf.DUMMYFUNCTION("GOOGLETRANSLATE(B680, ""fr"", ""en"")"),"Kettle old Very nice line boiler, but the thermostat is too random (just cosmetic). The spout is too narrow limits, and must slowly fill this kettle large capacity, which takes time.")</f>
        <v>Kettle old Very nice line boiler, but the thermostat is too random (just cosmetic). The spout is too narrow limits, and must slowly fill this kettle large capacity, which takes time.</v>
      </c>
    </row>
    <row r="681">
      <c r="A681" s="1">
        <v>1.0</v>
      </c>
      <c r="B681" s="1" t="s">
        <v>680</v>
      </c>
      <c r="C681" t="str">
        <f>IFERROR(__xludf.DUMMYFUNCTION("GOOGLETRANSLATE(B681, ""fr"", ""en"")"),"All that buzz that? I was looking for medium-end earphones for intensive use in public transport (keeping my premium for certain occasions). Given more than favorable opinion, I turned to this brand, saying that the value was to be unbeatable. Well disapp"&amp;"ointment !! Cons: 1) The wire is too long, too long. While we're on the wireless era, what is the point of having an even longer lead than average? 2) No bass, who are missing subscribers. In this price range, I had much better low level. 3) The small joy"&amp;"stick control looks very fragile and impractical. In short, I do not understand this buzz with a very high note. There are much better in this price range! At the limit it would be better to 10 euros more and take the low-end Sony MDR, the quality is much"&amp;" better. In short very disappointed with the sound, metal and without bass.")</f>
        <v>All that buzz that? I was looking for medium-end earphones for intensive use in public transport (keeping my premium for certain occasions). Given more than favorable opinion, I turned to this brand, saying that the value was to be unbeatable. Well disappointment !! Cons: 1) The wire is too long, too long. While we're on the wireless era, what is the point of having an even longer lead than average? 2) No bass, who are missing subscribers. In this price range, I had much better low level. 3) The small joystick control looks very fragile and impractical. In short, I do not understand this buzz with a very high note. There are much better in this price range! At the limit it would be better to 10 euros more and take the low-end Sony MDR, the quality is much better. In short very disappointed with the sound, metal and without bass.</v>
      </c>
    </row>
    <row r="682">
      <c r="A682" s="1">
        <v>3.0</v>
      </c>
      <c r="B682" s="1" t="s">
        <v>681</v>
      </c>
      <c r="C682" t="str">
        <f>IFERROR(__xludf.DUMMYFUNCTION("GOOGLETRANSLATE(B682, ""fr"", ""en"")"),"desilusión We Kitchenaid equipment at home, and we wanted this kettle that we manquai. She is very pretty practical. But unfortunately it broke down within one month after receipt. The seller is necessary to recover directly from us by a carrier. However,"&amp;" we still expect our new facilities. to be continued...")</f>
        <v>desilusión We Kitchenaid equipment at home, and we wanted this kettle that we manquai. She is very pretty practical. But unfortunately it broke down within one month after receipt. The seller is necessary to recover directly from us by a carrier. However, we still expect our new facilities. to be continued...</v>
      </c>
    </row>
    <row r="683">
      <c r="A683" s="1">
        <v>3.0</v>
      </c>
      <c r="B683" s="1" t="s">
        <v>682</v>
      </c>
      <c r="C683" t="str">
        <f>IFERROR(__xludf.DUMMYFUNCTION("GOOGLETRANSLATE(B683, ""fr"", ""en"")"),"its ok for the price but cable too late too I bought the model below about 15 € which had a very thick cable that eventually will not give false contacts at the connection to the mini jack. So I bought the same model but range above, with microphone, I sa"&amp;"id because I wonder if it is not linked to the cable thickness. So the cable that connects the jack is too thin for my taste and the last helmet Yamaha I paid 100 € at the time has finally make a bad contact after 364 days while I never forced or folded o"&amp;"ver at sensitive locations. Last weaknesses, no volume buttons available next to the microphone. Some users complain about the loss as Sony middles but fair price.")</f>
        <v>its ok for the price but cable too late too I bought the model below about 15 € which had a very thick cable that eventually will not give false contacts at the connection to the mini jack. So I bought the same model but range above, with microphone, I said because I wonder if it is not linked to the cable thickness. So the cable that connects the jack is too thin for my taste and the last helmet Yamaha I paid 100 € at the time has finally make a bad contact after 364 days while I never forced or folded over at sensitive locations. Last weaknesses, no volume buttons available next to the microphone. Some users complain about the loss as Sony middles but fair price.</v>
      </c>
    </row>
    <row r="684">
      <c r="A684" s="1">
        <v>4.0</v>
      </c>
      <c r="B684" s="1" t="s">
        <v>590</v>
      </c>
      <c r="C684" t="str">
        <f>IFERROR(__xludf.DUMMYFUNCTION("GOOGLETRANSLATE(B684, ""fr"", ""en"")"),"Although Good product")</f>
        <v>Although Good product</v>
      </c>
    </row>
    <row r="685">
      <c r="A685" s="1">
        <v>4.0</v>
      </c>
      <c r="B685" s="1" t="s">
        <v>683</v>
      </c>
      <c r="C685" t="str">
        <f>IFERROR(__xludf.DUMMYFUNCTION("GOOGLETRANSLATE(B685, ""fr"", ""en"")"),"Although the Just not quite complete manual")</f>
        <v>Although the Just not quite complete manual</v>
      </c>
    </row>
    <row r="686">
      <c r="A686" s="1">
        <v>4.0</v>
      </c>
      <c r="B686" s="1" t="s">
        <v>684</v>
      </c>
      <c r="C686" t="str">
        <f>IFERROR(__xludf.DUMMYFUNCTION("GOOGLETRANSLATE(B686, ""fr"", ""en"")"),"Perfect - Beware of warranty AirPods 2 with wireless charging as agreed! holds great battery, its strong and dynamic: Low good and replay of the great voice! Tell Siri really works well, no need to speak loudly. focus just well enable Apple warranty: the "&amp;"purchase date is not known by Apple, suddenly if not send the invoice Amazon to Apple, the start date of the warranty will be the date the AirPods were delivered AMAZON!")</f>
        <v>Perfect - Beware of warranty AirPods 2 with wireless charging as agreed! holds great battery, its strong and dynamic: Low good and replay of the great voice! Tell Siri really works well, no need to speak loudly. focus just well enable Apple warranty: the purchase date is not known by Apple, suddenly if not send the invoice Amazon to Apple, the start date of the warranty will be the date the AirPods were delivered AMAZON!</v>
      </c>
    </row>
    <row r="687">
      <c r="A687" s="1">
        <v>4.0</v>
      </c>
      <c r="B687" s="1" t="s">
        <v>685</v>
      </c>
      <c r="C687" t="str">
        <f>IFERROR(__xludf.DUMMYFUNCTION("GOOGLETRANSLATE(B687, ""fr"", ""en"")"),"Not bad Put in two very humid rooms. Results the next day. Small flat, it snaps and poorly water (which turns blue) stain. Must be cleaned immediately. Otherwise I am quite satisfied for the small price")</f>
        <v>Not bad Put in two very humid rooms. Results the next day. Small flat, it snaps and poorly water (which turns blue) stain. Must be cleaned immediately. Otherwise I am quite satisfied for the small price</v>
      </c>
    </row>
    <row r="688">
      <c r="A688" s="1">
        <v>5.0</v>
      </c>
      <c r="B688" s="1" t="s">
        <v>686</v>
      </c>
      <c r="C688" t="str">
        <f>IFERROR(__xludf.DUMMYFUNCTION("GOOGLETRANSLATE(B688, ""fr"", ""en"")"),"adjustable temperature value for money. Beautiful Electric Kettle, express delivery is very rapide.👏👏 I received it the next day after placing the order, so I'm so happy. The kettle heats water quickly, the temperature inside the kettle is visible and c"&amp;"an be adjusted, which is very convenient. I really like this tea, satisfied! Money! Money!")</f>
        <v>adjustable temperature value for money. Beautiful Electric Kettle, express delivery is very rapide.👏👏 I received it the next day after placing the order, so I'm so happy. The kettle heats water quickly, the temperature inside the kettle is visible and can be adjusted, which is very convenient. I really like this tea, satisfied! Money! Money!</v>
      </c>
    </row>
    <row r="689">
      <c r="A689" s="1">
        <v>5.0</v>
      </c>
      <c r="B689" s="1" t="s">
        <v>687</v>
      </c>
      <c r="C689" t="str">
        <f>IFERROR(__xludf.DUMMYFUNCTION("GOOGLETRANSLATE(B689, ""fr"", ""en"")"),"Perfect A bit expensive but great efficiency, I recommend.")</f>
        <v>Perfect A bit expensive but great efficiency, I recommend.</v>
      </c>
    </row>
    <row r="690">
      <c r="A690" s="1">
        <v>5.0</v>
      </c>
      <c r="B690" s="1" t="s">
        <v>688</v>
      </c>
      <c r="C690" t="str">
        <f>IFERROR(__xludf.DUMMYFUNCTION("GOOGLETRANSLATE(B690, ""fr"", ""en"")"),"practice consistent with the description")</f>
        <v>practice consistent with the description</v>
      </c>
    </row>
    <row r="691">
      <c r="A691" s="1">
        <v>5.0</v>
      </c>
      <c r="B691" s="1" t="s">
        <v>689</v>
      </c>
      <c r="C691" t="str">
        <f>IFERROR(__xludf.DUMMYFUNCTION("GOOGLETRANSLATE(B691, ""fr"", ""en"")"),"very beautiful encyclopedia I wanted a book about animals for my son passionate and well this one fits the bill images are stunning and explanations not too long just right.")</f>
        <v>very beautiful encyclopedia I wanted a book about animals for my son passionate and well this one fits the bill images are stunning and explanations not too long just right.</v>
      </c>
    </row>
    <row r="692">
      <c r="A692" s="1">
        <v>5.0</v>
      </c>
      <c r="B692" s="1" t="s">
        <v>690</v>
      </c>
      <c r="C692" t="str">
        <f>IFERROR(__xludf.DUMMYFUNCTION("GOOGLETRANSLATE(B692, ""fr"", ""en"")"),"Very good value for money. Ideal for family use. Very easy installation. French manual. Very good sound for family use (tested Karaoke family). The signal carries at least 10 meters. Autonomy 3 to 4 hours. Very good value for money.")</f>
        <v>Very good value for money. Ideal for family use. Very easy installation. French manual. Very good sound for family use (tested Karaoke family). The signal carries at least 10 meters. Autonomy 3 to 4 hours. Very good value for money.</v>
      </c>
    </row>
    <row r="693">
      <c r="A693" s="1">
        <v>5.0</v>
      </c>
      <c r="B693" s="1" t="s">
        <v>691</v>
      </c>
      <c r="C693" t="str">
        <f>IFERROR(__xludf.DUMMYFUNCTION("GOOGLETRANSLATE(B693, ""fr"", ""en"")"),"His perfect I ordered this product especially for watching TV for a helmet that is not obvious to put up with. The product itself is wonderful and light. The sound quality is very good. I do not have it running test but only in the street and the earbuds "&amp;"hold well. I am very happy with this product.")</f>
        <v>His perfect I ordered this product especially for watching TV for a helmet that is not obvious to put up with. The product itself is wonderful and light. The sound quality is very good. I do not have it running test but only in the street and the earbuds hold well. I am very happy with this product.</v>
      </c>
    </row>
    <row r="694">
      <c r="A694" s="1">
        <v>5.0</v>
      </c>
      <c r="B694" s="1" t="s">
        <v>692</v>
      </c>
      <c r="C694" t="str">
        <f>IFERROR(__xludf.DUMMYFUNCTION("GOOGLETRANSLATE(B694, ""fr"", ""en"")"),"Excellent value for this price these markers are just awesome daughters fell in love look at the pictures: drawing on rollers on llamas ceramic. The colors are beautiful, the unknown brand but apparently quality A very good pick.")</f>
        <v>Excellent value for this price these markers are just awesome daughters fell in love look at the pictures: drawing on rollers on llamas ceramic. The colors are beautiful, the unknown brand but apparently quality A very good pick.</v>
      </c>
    </row>
    <row r="695">
      <c r="A695" s="1">
        <v>5.0</v>
      </c>
      <c r="B695" s="1" t="s">
        <v>693</v>
      </c>
      <c r="C695" t="str">
        <f>IFERROR(__xludf.DUMMYFUNCTION("GOOGLETRANSLATE(B695, ""fr"", ""en"")"),"For perfectly brewed tea! From the time that I wanted and that's without regret! It is very easy to use. I can finally drink my tea without burning the leaves to 100 ° C (which is a shame when buying loose tea of ​​good quality) and I have to wait too lon"&amp;"g to drink. In addition, the water heats very quickly! The only point I like least is that I had to connect to a domino with switch off because even I felt she warmed a little. Personally, I do not have that chemical taste which many people seem to compla"&amp;"in. I can do without it and come back for the world to a conventional kettle!")</f>
        <v>For perfectly brewed tea! From the time that I wanted and that's without regret! It is very easy to use. I can finally drink my tea without burning the leaves to 100 ° C (which is a shame when buying loose tea of ​​good quality) and I have to wait too long to drink. In addition, the water heats very quickly! The only point I like least is that I had to connect to a domino with switch off because even I felt she warmed a little. Personally, I do not have that chemical taste which many people seem to complain. I can do without it and come back for the world to a conventional kettle!</v>
      </c>
    </row>
    <row r="696">
      <c r="A696" s="1">
        <v>5.0</v>
      </c>
      <c r="B696" s="1" t="s">
        <v>694</v>
      </c>
      <c r="C696" t="str">
        <f>IFERROR(__xludf.DUMMYFUNCTION("GOOGLETRANSLATE(B696, ""fr"", ""en"")"),"Bensimon tennis Perfect as usual, I have these shoes in different colors and white, very fashionable at the moment they are even more shoes belles.Je of usually 39 and they fit me perfectly. Generally I spend in the machine 40 degrees it take flawlessly c"&amp;"olor.")</f>
        <v>Bensimon tennis Perfect as usual, I have these shoes in different colors and white, very fashionable at the moment they are even more shoes belles.Je of usually 39 and they fit me perfectly. Generally I spend in the machine 40 degrees it take flawlessly color.</v>
      </c>
    </row>
    <row r="697">
      <c r="A697" s="1">
        <v>5.0</v>
      </c>
      <c r="B697" s="1" t="s">
        <v>695</v>
      </c>
      <c r="C697" t="str">
        <f>IFERROR(__xludf.DUMMYFUNCTION("GOOGLETRANSLATE(B697, ""fr"", ""en"")"),"Super super super nice quality")</f>
        <v>Super super super nice quality</v>
      </c>
    </row>
    <row r="698">
      <c r="A698" s="1">
        <v>5.0</v>
      </c>
      <c r="B698" s="1" t="s">
        <v>696</v>
      </c>
      <c r="C698" t="str">
        <f>IFERROR(__xludf.DUMMYFUNCTION("GOOGLETRANSLATE(B698, ""fr"", ""en"")"),"270 My son is happy I recommend")</f>
        <v>270 My son is happy I recommend</v>
      </c>
    </row>
    <row r="699">
      <c r="A699" s="1">
        <v>5.0</v>
      </c>
      <c r="B699" s="1" t="s">
        <v>697</v>
      </c>
      <c r="C699" t="str">
        <f>IFERROR(__xludf.DUMMYFUNCTION("GOOGLETRANSLATE(B699, ""fr"", ""en"")"),"quality look comfortable shoes for everyday, office, relaxation, comfort, timeless look, the quality of leather and sole")</f>
        <v>quality look comfortable shoes for everyday, office, relaxation, comfort, timeless look, the quality of leather and sole</v>
      </c>
    </row>
    <row r="700">
      <c r="A700" s="1">
        <v>5.0</v>
      </c>
      <c r="B700" s="1" t="s">
        <v>698</v>
      </c>
      <c r="C700" t="str">
        <f>IFERROR(__xludf.DUMMYFUNCTION("GOOGLETRANSLATE(B700, ""fr"", ""en"")"),"Perfect 👍 Great product, I recommend")</f>
        <v>Perfect 👍 Great product, I recommend</v>
      </c>
    </row>
    <row r="701">
      <c r="A701" s="1">
        <v>5.0</v>
      </c>
      <c r="B701" s="1" t="s">
        <v>699</v>
      </c>
      <c r="C701" t="str">
        <f>IFERROR(__xludf.DUMMYFUNCTION("GOOGLETRANSLATE(B701, ""fr"", ""en"")"),"Excelent product, but respect the demands which I quote Great product and very good value for money. However, I allow me to add things on the comments I've read. 1- First you have to take its size, see one size up for me ""L"" is my size and it's perfect."&amp;" But yes it is close to the body, and it is the goal if we want to feel the heat. 2- I recommend wearing a t-shirt, for 2 reasons: hygiene (washing the jacket at hand, and in order to feel the heat without ""burning"", because it heats very well, but of c"&amp;"ourse there. must wear clothing over (motorcycle jacket, skiing or other). 3 the choice of the external battery should be towards a model DELIVERING at least 1A quite sufficient, the 2A being better now. I think some of the problems do not feel the heat d"&amp;"oes not meet these requirements. Finally, we feel the lap heat, just under the lower back, and soon enough the upper back. But the heat is truly present, that's great. a purchase perfect")</f>
        <v>Excelent product, but respect the demands which I quote Great product and very good value for money. However, I allow me to add things on the comments I've read. 1- First you have to take its size, see one size up for me "L" is my size and it's perfect. But yes it is close to the body, and it is the goal if we want to feel the heat. 2- I recommend wearing a t-shirt, for 2 reasons: hygiene (washing the jacket at hand, and in order to feel the heat without "burning", because it heats very well, but of course there. must wear clothing over (motorcycle jacket, skiing or other). 3 the choice of the external battery should be towards a model DELIVERING at least 1A quite sufficient, the 2A being better now. I think some of the problems do not feel the heat does not meet these requirements. Finally, we feel the lap heat, just under the lower back, and soon enough the upper back. But the heat is truly present, that's great. a purchase perfect</v>
      </c>
    </row>
    <row r="702">
      <c r="A702" s="1">
        <v>5.0</v>
      </c>
      <c r="B702" s="1" t="s">
        <v>700</v>
      </c>
      <c r="C702" t="str">
        <f>IFERROR(__xludf.DUMMYFUNCTION("GOOGLETRANSLATE(B702, ""fr"", ""en"")"),"Great but noisy! It is very stylish and I was not expecting it to be as big, however it quite noisy, not ideal for midnight teas")</f>
        <v>Great but noisy! It is very stylish and I was not expecting it to be as big, however it quite noisy, not ideal for midnight teas</v>
      </c>
    </row>
    <row r="703">
      <c r="A703" s="1">
        <v>2.0</v>
      </c>
      <c r="B703" s="1" t="s">
        <v>701</v>
      </c>
      <c r="C703" t="str">
        <f>IFERROR(__xludf.DUMMYFUNCTION("GOOGLETRANSLATE(B703, ""fr"", ""en"")"),"Poor Watch very pretty, but too fragile, the part that holds the bracelet already surrendered and the dial can no longer maintain the small room.")</f>
        <v>Poor Watch very pretty, but too fragile, the part that holds the bracelet already surrendered and the dial can no longer maintain the small room.</v>
      </c>
    </row>
    <row r="704">
      <c r="A704" s="1">
        <v>1.0</v>
      </c>
      <c r="B704" s="1" t="s">
        <v>702</v>
      </c>
      <c r="C704" t="str">
        <f>IFERROR(__xludf.DUMMYFUNCTION("GOOGLETRANSLATE(B704, ""fr"", ""en"")"),"Take a size bigger (or two) My husband're a fan of this brand always but it's great anything too small and drawstring hood're just hurt Delivered on time")</f>
        <v>Take a size bigger (or two) My husband're a fan of this brand always but it's great anything too small and drawstring hood're just hurt Delivered on time</v>
      </c>
    </row>
    <row r="705">
      <c r="A705" s="1">
        <v>1.0</v>
      </c>
      <c r="B705" s="1" t="s">
        <v>703</v>
      </c>
      <c r="C705" t="str">
        <f>IFERROR(__xludf.DUMMYFUNCTION("GOOGLETRANSLATE(B705, ""fr"", ""en"")"),"I want my size S-Large")</f>
        <v>I want my size S-Large</v>
      </c>
    </row>
    <row r="706">
      <c r="A706" s="1">
        <v>3.0</v>
      </c>
      <c r="B706" s="1" t="s">
        <v>704</v>
      </c>
      <c r="C706" t="str">
        <f>IFERROR(__xludf.DUMMYFUNCTION("GOOGLETRANSLATE(B706, ""fr"", ""en"")"),"Not so incredible to the campsite I'm tempted by the positive comments, and bought a pair of Crocs to complement my hiking shoes for 2 weeks of touring + camping on the way to Stevenson: + they are light + they take good feet + easy to clean + we can go i"&amp;"n the water with - despite the holes, the foot is not breathable, moisture and perspiration remained, even walking - wet, it is loss of adhesion (at the foot and the ground) - the plastic top rubs on the thinnest skin and wound me when worn over an hour ("&amp;"should have been wearing socks ...) - it is cumbersome to put in a bag, because of the sole that is very large relative to the foot - the shoe is really not compressible to fit into a bag (it is easily deformed but is then distorted)")</f>
        <v>Not so incredible to the campsite I'm tempted by the positive comments, and bought a pair of Crocs to complement my hiking shoes for 2 weeks of touring + camping on the way to Stevenson: + they are light + they take good feet + easy to clean + we can go in the water with - despite the holes, the foot is not breathable, moisture and perspiration remained, even walking - wet, it is loss of adhesion (at the foot and the ground) - the plastic top rubs on the thinnest skin and wound me when worn over an hour (should have been wearing socks ...) - it is cumbersome to put in a bag, because of the sole that is very large relative to the foot - the shoe is really not compressible to fit into a bag (it is easily deformed but is then distorted)</v>
      </c>
    </row>
    <row r="707">
      <c r="A707" s="1">
        <v>4.0</v>
      </c>
      <c r="B707" s="1" t="s">
        <v>705</v>
      </c>
      <c r="C707" t="str">
        <f>IFERROR(__xludf.DUMMYFUNCTION("GOOGLETRANSLATE(B707, ""fr"", ""en"")"),"Received box cracked pot on time but the high pot cracked down otherwise after a first application the product has given a facelift to leather boots see in time")</f>
        <v>Received box cracked pot on time but the high pot cracked down otherwise after a first application the product has given a facelift to leather boots see in time</v>
      </c>
    </row>
    <row r="708">
      <c r="A708" s="1">
        <v>4.0</v>
      </c>
      <c r="B708" s="1" t="s">
        <v>706</v>
      </c>
      <c r="C708" t="str">
        <f>IFERROR(__xludf.DUMMYFUNCTION("GOOGLETRANSLATE(B708, ""fr"", ""en"")"),"Size large but the color is pretty nice tracksuit jacket. The pink color is beautiful but large in size. I still kept but I return the sleeves !!!!")</f>
        <v>Size large but the color is pretty nice tracksuit jacket. The pink color is beautiful but large in size. I still kept but I return the sleeves !!!!</v>
      </c>
    </row>
    <row r="709">
      <c r="A709" s="1">
        <v>4.0</v>
      </c>
      <c r="B709" s="1" t="s">
        <v>707</v>
      </c>
      <c r="C709" t="str">
        <f>IFERROR(__xludf.DUMMYFUNCTION("GOOGLETRANSLATE(B709, ""fr"", ""en"")"),"shaft bottle product according to the picture, original. only downside packaging, by receiving I was afraid to discover the content but in the end it was all there and nothing broken.")</f>
        <v>shaft bottle product according to the picture, original. only downside packaging, by receiving I was afraid to discover the content but in the end it was all there and nothing broken.</v>
      </c>
    </row>
    <row r="710">
      <c r="A710" s="1">
        <v>4.0</v>
      </c>
      <c r="B710" s="1" t="s">
        <v>708</v>
      </c>
      <c r="C710" t="str">
        <f>IFERROR(__xludf.DUMMYFUNCTION("GOOGLETRANSLATE(B710, ""fr"", ""en"")"),"A purchase satisfactory and consistent with the description It toaster perfectly meets my expectations: speed, quality toast, ease of use, everything is perfect! ... except I could not use the device yesterday (Father's Day gift!) and I see that an access"&amp;"ory is missing: the warm pastry that is normally included. Too late to make a complaint. I therefore recommend to thoroughly check the contents of the box. Too bad, I could have been totally satisfied")</f>
        <v>A purchase satisfactory and consistent with the description It toaster perfectly meets my expectations: speed, quality toast, ease of use, everything is perfect! ... except I could not use the device yesterday (Father's Day gift!) and I see that an accessory is missing: the warm pastry that is normally included. Too late to make a complaint. I therefore recommend to thoroughly check the contents of the box. Too bad, I could have been totally satisfied</v>
      </c>
    </row>
    <row r="711">
      <c r="A711" s="1">
        <v>5.0</v>
      </c>
      <c r="B711" s="1" t="s">
        <v>709</v>
      </c>
      <c r="C711" t="str">
        <f>IFERROR(__xludf.DUMMYFUNCTION("GOOGLETRANSLATE(B711, ""fr"", ""en"")"),"Top True to the brand for many years, never disappointed, the quality is still the rendezvous. Make it lasts !!")</f>
        <v>Top True to the brand for many years, never disappointed, the quality is still the rendezvous. Make it lasts !!</v>
      </c>
    </row>
    <row r="712">
      <c r="A712" s="1">
        <v>5.0</v>
      </c>
      <c r="B712" s="1" t="s">
        <v>710</v>
      </c>
      <c r="C712" t="str">
        <f>IFERROR(__xludf.DUMMYFUNCTION("GOOGLETRANSLATE(B712, ""fr"", ""en"")"),"Very good very satisfied I order two more in other colors")</f>
        <v>Very good very satisfied I order two more in other colors</v>
      </c>
    </row>
    <row r="713">
      <c r="A713" s="1">
        <v>5.0</v>
      </c>
      <c r="B713" s="1" t="s">
        <v>711</v>
      </c>
      <c r="C713" t="str">
        <f>IFERROR(__xludf.DUMMYFUNCTION("GOOGLETRANSLATE(B713, ""fr"", ""en"")"),"Delighted Met my expectations. Change the traditional draining bottles. Very nice on my workbench. I use it for baby bottles but also for bottles in which I make soda and those hard plastic Tupp.")</f>
        <v>Delighted Met my expectations. Change the traditional draining bottles. Very nice on my workbench. I use it for baby bottles but also for bottles in which I make soda and those hard plastic Tupp.</v>
      </c>
    </row>
    <row r="714">
      <c r="A714" s="1">
        <v>5.0</v>
      </c>
      <c r="B714" s="1" t="s">
        <v>712</v>
      </c>
      <c r="C714" t="str">
        <f>IFERROR(__xludf.DUMMYFUNCTION("GOOGLETRANSLATE(B714, ""fr"", ""en"")"),"Top Ultra top to set machine. Removes hair and fluff clothing. Accelerates drying laundry. Help wash.")</f>
        <v>Top Ultra top to set machine. Removes hair and fluff clothing. Accelerates drying laundry. Help wash.</v>
      </c>
    </row>
    <row r="715">
      <c r="A715" s="1">
        <v>5.0</v>
      </c>
      <c r="B715" s="1" t="s">
        <v>713</v>
      </c>
      <c r="C715" t="str">
        <f>IFERROR(__xludf.DUMMYFUNCTION("GOOGLETRANSLATE(B715, ""fr"", ""en"")"),"AKG K240 MKII An excellent semi-open headphones circum-aural, it is impressive but it is doing long hours without problem on the head. We do not feel the weight, it does not compress the ears (it does not touch) and the wire is long enough to forget a lit"&amp;"tle. Be careful though if you are not alone, pushing the volume a bit, people around you will hear good music too! For the sound quality, I let you look at specialized sites, for my part, I find it adequate for my ears. Updated: Buy early 2016 for a seden"&amp;"tary use at work, the ear of leatherette starting to show very little wear for everyday use several hours a day. Other than that, no problem.")</f>
        <v>AKG K240 MKII An excellent semi-open headphones circum-aural, it is impressive but it is doing long hours without problem on the head. We do not feel the weight, it does not compress the ears (it does not touch) and the wire is long enough to forget a little. Be careful though if you are not alone, pushing the volume a bit, people around you will hear good music too! For the sound quality, I let you look at specialized sites, for my part, I find it adequate for my ears. Updated: Buy early 2016 for a sedentary use at work, the ear of leatherette starting to show very little wear for everyday use several hours a day. Other than that, no problem.</v>
      </c>
    </row>
    <row r="716">
      <c r="A716" s="1">
        <v>5.0</v>
      </c>
      <c r="B716" s="1" t="s">
        <v>714</v>
      </c>
      <c r="C716" t="str">
        <f>IFERROR(__xludf.DUMMYFUNCTION("GOOGLETRANSLATE(B716, ""fr"", ""en"")"),"Super very satisfied with these pods boxes!")</f>
        <v>Super very satisfied with these pods boxes!</v>
      </c>
    </row>
    <row r="717">
      <c r="A717" s="1">
        <v>5.0</v>
      </c>
      <c r="B717" s="1" t="s">
        <v>715</v>
      </c>
      <c r="C717" t="str">
        <f>IFERROR(__xludf.DUMMYFUNCTION("GOOGLETRANSLATE(B717, ""fr"", ""en"")"),"For the welfare of shoulder pain and knee and since its use, I feel much better. I recommend this product. I add the essential oil of wintergreen, and its effect is guaranteed")</f>
        <v>For the welfare of shoulder pain and knee and since its use, I feel much better. I recommend this product. I add the essential oil of wintergreen, and its effect is guaranteed</v>
      </c>
    </row>
    <row r="718">
      <c r="A718" s="1">
        <v>5.0</v>
      </c>
      <c r="B718" s="1" t="s">
        <v>716</v>
      </c>
      <c r="C718" t="str">
        <f>IFERROR(__xludf.DUMMYFUNCTION("GOOGLETRANSLATE(B718, ""fr"", ""en"")"),"Calculator requested to college Purchased for college. Ras. That of my son 2 years and only the protective shell is cracked but not alone ... I think")</f>
        <v>Calculator requested to college Purchased for college. Ras. That of my son 2 years and only the protective shell is cracked but not alone ... I think</v>
      </c>
    </row>
    <row r="719">
      <c r="A719" s="1">
        <v>5.0</v>
      </c>
      <c r="B719" s="1" t="s">
        <v>717</v>
      </c>
      <c r="C719" t="str">
        <f>IFERROR(__xludf.DUMMYFUNCTION("GOOGLETRANSLATE(B719, ""fr"", ""en"")"),"Treasury good price / quality ratio! My husband tested them yesterday and all day today. He loves the sound quality. The two headphones can work together or independently. There is the handsfree function and if pressed three times over ""&amp; nbsp; &amp; nbsp si"&amp;"ri;"" sets off on iPhone. When the door unlike other pairs he was able to buy one is not disturbed by the music escaping from the earpiece so the same door at work workshop without it disturbs around him . Everything happened already charged and ready to "&amp;"use. The headphones recharged in the base and in 48h test he has yet to charge the base. Everything went very quickly connected just read the instructions and do what is says it is super simple. Thank you !")</f>
        <v>Treasury good price / quality ratio! My husband tested them yesterday and all day today. He loves the sound quality. The two headphones can work together or independently. There is the handsfree function and if pressed three times over "&amp; nbsp; &amp; nbsp siri;" sets off on iPhone. When the door unlike other pairs he was able to buy one is not disturbed by the music escaping from the earpiece so the same door at work workshop without it disturbs around him . Everything happened already charged and ready to use. The headphones recharged in the base and in 48h test he has yet to charge the base. Everything went very quickly connected just read the instructions and do what is says it is super simple. Thank you !</v>
      </c>
    </row>
    <row r="720">
      <c r="A720" s="1">
        <v>5.0</v>
      </c>
      <c r="B720" s="1" t="s">
        <v>718</v>
      </c>
      <c r="C720" t="str">
        <f>IFERROR(__xludf.DUMMYFUNCTION("GOOGLETRANSLATE(B720, ""fr"", ""en"")"),"Qualities price Satisfied")</f>
        <v>Qualities price Satisfied</v>
      </c>
    </row>
    <row r="721">
      <c r="A721" s="1">
        <v>5.0</v>
      </c>
      <c r="B721" s="1" t="s">
        <v>719</v>
      </c>
      <c r="C721" t="str">
        <f>IFERROR(__xludf.DUMMYFUNCTION("GOOGLETRANSLATE(B721, ""fr"", ""en"")"),"Practical and very solid Agenda paratique, cover and paper are good. The appearance of this product is very professional.")</f>
        <v>Practical and very solid Agenda paratique, cover and paper are good. The appearance of this product is very professional.</v>
      </c>
    </row>
    <row r="722">
      <c r="A722" s="1">
        <v>5.0</v>
      </c>
      <c r="B722" s="1" t="s">
        <v>720</v>
      </c>
      <c r="C722" t="str">
        <f>IFERROR(__xludf.DUMMYFUNCTION("GOOGLETRANSLATE(B722, ""fr"", ""en"")"),"superb sneakers I'm addicted to this model! this is my fifth pair! Very comfortable very good Value price for a shoe at Nike")</f>
        <v>superb sneakers I'm addicted to this model! this is my fifth pair! Very comfortable very good Value price for a shoe at Nike</v>
      </c>
    </row>
    <row r="723">
      <c r="A723" s="1">
        <v>5.0</v>
      </c>
      <c r="B723" s="1" t="s">
        <v>721</v>
      </c>
      <c r="C723" t="str">
        <f>IFERROR(__xludf.DUMMYFUNCTION("GOOGLETRANSLATE(B723, ""fr"", ""en"")"),"Absolutely perfect Super nice, nice cut, beautiful fabrics fell ... nice photo corresponds to reality, no disappointment at the reception.")</f>
        <v>Absolutely perfect Super nice, nice cut, beautiful fabrics fell ... nice photo corresponds to reality, no disappointment at the reception.</v>
      </c>
    </row>
    <row r="724">
      <c r="A724" s="1">
        <v>5.0</v>
      </c>
      <c r="B724" s="1" t="s">
        <v>722</v>
      </c>
      <c r="C724" t="str">
        <f>IFERROR(__xludf.DUMMYFUNCTION("GOOGLETRANSLATE(B724, ""fr"", ""en"")"),"Bag Man Bag of good manufacturing, robust and well arranged. His style mat suit both a student has an older man. The seams are strong and neat, all this well.")</f>
        <v>Bag Man Bag of good manufacturing, robust and well arranged. His style mat suit both a student has an older man. The seams are strong and neat, all this well.</v>
      </c>
    </row>
    <row r="725">
      <c r="A725" s="1">
        <v>5.0</v>
      </c>
      <c r="B725" s="1" t="s">
        <v>723</v>
      </c>
      <c r="C725" t="str">
        <f>IFERROR(__xludf.DUMMYFUNCTION("GOOGLETRANSLATE(B725, ""fr"", ""en"")"),"Perfect This is exactly the sweater I wanted, I had the chance XL fit me perfectly, levi's is top and hopefully keep it long")</f>
        <v>Perfect This is exactly the sweater I wanted, I had the chance XL fit me perfectly, levi's is top and hopefully keep it long</v>
      </c>
    </row>
    <row r="726">
      <c r="A726" s="1">
        <v>5.0</v>
      </c>
      <c r="B726" s="1" t="s">
        <v>724</v>
      </c>
      <c r="C726" t="str">
        <f>IFERROR(__xludf.DUMMYFUNCTION("GOOGLETRANSLATE(B726, ""fr"", ""en"")"),"I enjoyed comfortable earphones because they are quite comfortable with a very acceptable sound quality.")</f>
        <v>I enjoyed comfortable earphones because they are quite comfortable with a very acceptable sound quality.</v>
      </c>
    </row>
    <row r="727">
      <c r="A727" s="1">
        <v>2.0</v>
      </c>
      <c r="B727" s="1" t="s">
        <v>725</v>
      </c>
      <c r="C727" t="str">
        <f>IFERROR(__xludf.DUMMYFUNCTION("GOOGLETRANSLATE(B727, ""fr"", ""en"")"),"Counterfeiting? We can ask ourselves the question. After giving a very positive assessment at first about this vendor, reflection and observation further make me revise my judgment. The watch was not delivered in a CASIO box, no manual or invoice. A simpl"&amp;"e plastic bag that displays the reference of the watch (A168WA 1YES) which does not correspond to that labeled on the product (A168WEGC-3DF). In addition, there is a defect at the screen: it is not fixed to the case, it sinks slightly to the left when pre"&amp;"ssed. All these remarks are that one can ask about the seriousness of the seller and the authenticity of the Casio brand. In my opinion, seller forget. Additional precision: I bought a second watch with AMAZON but with another seller, which itself came wi"&amp;"th CASIO case, instructions and invoice. You can ask questions, right?")</f>
        <v>Counterfeiting? We can ask ourselves the question. After giving a very positive assessment at first about this vendor, reflection and observation further make me revise my judgment. The watch was not delivered in a CASIO box, no manual or invoice. A simple plastic bag that displays the reference of the watch (A168WA 1YES) which does not correspond to that labeled on the product (A168WEGC-3DF). In addition, there is a defect at the screen: it is not fixed to the case, it sinks slightly to the left when pressed. All these remarks are that one can ask about the seriousness of the seller and the authenticity of the Casio brand. In my opinion, seller forget. Additional precision: I bought a second watch with AMAZON but with another seller, which itself came with CASIO case, instructions and invoice. You can ask questions, right?</v>
      </c>
    </row>
    <row r="728">
      <c r="A728" s="1">
        <v>1.0</v>
      </c>
      <c r="B728" s="1" t="s">
        <v>726</v>
      </c>
      <c r="C728" t="str">
        <f>IFERROR(__xludf.DUMMYFUNCTION("GOOGLETRANSLATE(B728, ""fr"", ""en"")"),"default or quality issue? The strap is more flexible than the original. It is also more fragile.il took just three months for it tears at his clings to watch.")</f>
        <v>default or quality issue? The strap is more flexible than the original. It is also more fragile.il took just three months for it tears at his clings to watch.</v>
      </c>
    </row>
    <row r="729">
      <c r="A729" s="1">
        <v>3.0</v>
      </c>
      <c r="B729" s="1" t="s">
        <v>727</v>
      </c>
      <c r="C729" t="str">
        <f>IFERROR(__xludf.DUMMYFUNCTION("GOOGLETRANSLATE(B729, ""fr"", ""en"")"),"Good but slippery Sounds good, but comfortable soles slip too much on tiles")</f>
        <v>Good but slippery Sounds good, but comfortable soles slip too much on tiles</v>
      </c>
    </row>
    <row r="730">
      <c r="A730" s="1">
        <v>3.0</v>
      </c>
      <c r="B730" s="1" t="s">
        <v>728</v>
      </c>
      <c r="C730" t="str">
        <f>IFERROR(__xludf.DUMMYFUNCTION("GOOGLETRANSLATE(B730, ""fr"", ""en"")"),"For the price it is unbeatable. For the price it is unbeatable.")</f>
        <v>For the price it is unbeatable. For the price it is unbeatable.</v>
      </c>
    </row>
    <row r="731">
      <c r="A731" s="1">
        <v>4.0</v>
      </c>
      <c r="B731" s="1" t="s">
        <v>729</v>
      </c>
      <c r="C731" t="str">
        <f>IFERROR(__xludf.DUMMYFUNCTION("GOOGLETRANSLATE(B731, ""fr"", ""en"")"),"sports pants very comfortable easy care")</f>
        <v>sports pants very comfortable easy care</v>
      </c>
    </row>
    <row r="732">
      <c r="A732" s="1">
        <v>4.0</v>
      </c>
      <c r="B732" s="1" t="s">
        <v>730</v>
      </c>
      <c r="C732" t="str">
        <f>IFERROR(__xludf.DUMMYFUNCTION("GOOGLETRANSLATE(B732, ""fr"", ""en"")"),"My strength sports Very comfortable. This is to make room. Not too hot and adapts very well to all the feet")</f>
        <v>My strength sports Very comfortable. This is to make room. Not too hot and adapts very well to all the feet</v>
      </c>
    </row>
    <row r="733">
      <c r="A733" s="1">
        <v>4.0</v>
      </c>
      <c r="B733" s="1" t="s">
        <v>731</v>
      </c>
      <c r="C733" t="str">
        <f>IFERROR(__xludf.DUMMYFUNCTION("GOOGLETRANSLATE(B733, ""fr"", ""en"")"),"Good coffee Beautiful design, easy to use and even to program. Nice to read the time on the coffee maker. My only downside: hard to spot the water level of the gauge of net reservoir marking the graduation of the jug begins only 8 cups ... I'm still strug"&amp;"gling with the right mix for small quantities of coffee. Apart Ela frankly it's a great product.")</f>
        <v>Good coffee Beautiful design, easy to use and even to program. Nice to read the time on the coffee maker. My only downside: hard to spot the water level of the gauge of net reservoir marking the graduation of the jug begins only 8 cups ... I'm still struggling with the right mix for small quantities of coffee. Apart Ela frankly it's a great product.</v>
      </c>
    </row>
    <row r="734">
      <c r="A734" s="1">
        <v>4.0</v>
      </c>
      <c r="B734" s="1" t="s">
        <v>732</v>
      </c>
      <c r="C734" t="str">
        <f>IFERROR(__xludf.DUMMYFUNCTION("GOOGLETRANSLATE(B734, ""fr"", ""en"")"),"Keep warm slippers for man of quality. Keep warm, resistant, solid. resistant and anti slip soles. On slippers ago sequined son, a little disturbing given that these slippers for men, unfortunately.")</f>
        <v>Keep warm slippers for man of quality. Keep warm, resistant, solid. resistant and anti slip soles. On slippers ago sequined son, a little disturbing given that these slippers for men, unfortunately.</v>
      </c>
    </row>
    <row r="735">
      <c r="A735" s="1">
        <v>4.0</v>
      </c>
      <c r="B735" s="1" t="s">
        <v>733</v>
      </c>
      <c r="C735" t="str">
        <f>IFERROR(__xludf.DUMMYFUNCTION("GOOGLETRANSLATE(B735, ""fr"", ""en"")"),"Good quality very thick fabric, good quality, the person who received it is satisfied")</f>
        <v>Good quality very thick fabric, good quality, the person who received it is satisfied</v>
      </c>
    </row>
    <row r="736">
      <c r="A736" s="1">
        <v>5.0</v>
      </c>
      <c r="B736" s="1" t="s">
        <v>734</v>
      </c>
      <c r="C736" t="str">
        <f>IFERROR(__xludf.DUMMYFUNCTION("GOOGLETRANSLATE(B736, ""fr"", ""en"")"),"Softness Frankly well. ras")</f>
        <v>Softness Frankly well. ras</v>
      </c>
    </row>
    <row r="737">
      <c r="A737" s="1">
        <v>5.0</v>
      </c>
      <c r="B737" s="1" t="s">
        <v>735</v>
      </c>
      <c r="C737" t="str">
        <f>IFERROR(__xludf.DUMMYFUNCTION("GOOGLETRANSLATE(B737, ""fr"", ""en"")"),"It is too well the first time I'd do this style of jewelry darling she was thrilled find it very nice I recommend it changes a bracelet with a ring curls ears be inventive")</f>
        <v>It is too well the first time I'd do this style of jewelry darling she was thrilled find it very nice I recommend it changes a bracelet with a ring curls ears be inventive</v>
      </c>
    </row>
    <row r="738">
      <c r="A738" s="1">
        <v>5.0</v>
      </c>
      <c r="B738" s="1" t="s">
        <v>736</v>
      </c>
      <c r="C738" t="str">
        <f>IFERROR(__xludf.DUMMYFUNCTION("GOOGLETRANSLATE(B738, ""fr"", ""en"")"),"Delighted Beautiful jewelry, good quality I think I'll leave it around the neck of my daughter even dental ended thrust I even bought the bracelet !!")</f>
        <v>Delighted Beautiful jewelry, good quality I think I'll leave it around the neck of my daughter even dental ended thrust I even bought the bracelet !!</v>
      </c>
    </row>
    <row r="739">
      <c r="A739" s="1">
        <v>5.0</v>
      </c>
      <c r="B739" s="1" t="s">
        <v>737</v>
      </c>
      <c r="C739" t="str">
        <f>IFERROR(__xludf.DUMMYFUNCTION("GOOGLETRANSLATE(B739, ""fr"", ""en"")"),"Trainers solid! I bought a pair ago 10 years, very comfortable. Worn to the end (after retraining for work and mowing), we had a dog forces me to buy a pair! I bought another version of this basket, and after less than a year, I had holes in fold ... Ditt"&amp;"o for Adidas Gazelle quickly be worn in less than a year. .. After homecoming, I have no worries with this pair. Slight disappointment that the sole wears out faster than my previous model. I recommend a model of solidity and comfort!")</f>
        <v>Trainers solid! I bought a pair ago 10 years, very comfortable. Worn to the end (after retraining for work and mowing), we had a dog forces me to buy a pair! I bought another version of this basket, and after less than a year, I had holes in fold ... Ditto for Adidas Gazelle quickly be worn in less than a year. .. After homecoming, I have no worries with this pair. Slight disappointment that the sole wears out faster than my previous model. I recommend a model of solidity and comfort!</v>
      </c>
    </row>
    <row r="740">
      <c r="A740" s="1">
        <v>5.0</v>
      </c>
      <c r="B740" s="1" t="s">
        <v>738</v>
      </c>
      <c r="C740" t="str">
        <f>IFERROR(__xludf.DUMMYFUNCTION("GOOGLETRANSLATE(B740, ""fr"", ""en"")"),"Good shirt Not heavy, easily removable, it's a good product. Rather thin, so may not be suitable for very cold winter.")</f>
        <v>Good shirt Not heavy, easily removable, it's a good product. Rather thin, so may not be suitable for very cold winter.</v>
      </c>
    </row>
    <row r="741">
      <c r="A741" s="1">
        <v>5.0</v>
      </c>
      <c r="B741" s="1" t="s">
        <v>739</v>
      </c>
      <c r="C741" t="str">
        <f>IFERROR(__xludf.DUMMYFUNCTION("GOOGLETRANSLATE(B741, ""fr"", ""en"")"),"I recommend very nice bracelet")</f>
        <v>I recommend very nice bracelet</v>
      </c>
    </row>
    <row r="742">
      <c r="A742" s="1">
        <v>5.0</v>
      </c>
      <c r="B742" s="1" t="s">
        <v>740</v>
      </c>
      <c r="C742" t="str">
        <f>IFERROR(__xludf.DUMMYFUNCTION("GOOGLETRANSLATE(B742, ""fr"", ""en"")"),"good transaction good product")</f>
        <v>good transaction good product</v>
      </c>
    </row>
    <row r="743">
      <c r="A743" s="1">
        <v>5.0</v>
      </c>
      <c r="B743" s="1" t="s">
        <v>741</v>
      </c>
      <c r="C743" t="str">
        <f>IFERROR(__xludf.DUMMYFUNCTION("GOOGLETRANSLATE(B743, ""fr"", ""en"")"),"Okay, that's a very very good product!")</f>
        <v>Okay, that's a very very good product!</v>
      </c>
    </row>
    <row r="744">
      <c r="A744" s="1">
        <v>5.0</v>
      </c>
      <c r="B744" s="1" t="s">
        <v>742</v>
      </c>
      <c r="C744" t="str">
        <f>IFERROR(__xludf.DUMMYFUNCTION("GOOGLETRANSLATE(B744, ""fr"", ""en"")"),"Adidas stan Complies fast delivery")</f>
        <v>Adidas stan Complies fast delivery</v>
      </c>
    </row>
    <row r="745">
      <c r="A745" s="1">
        <v>5.0</v>
      </c>
      <c r="B745" s="1" t="s">
        <v>743</v>
      </c>
      <c r="C745" t="str">
        <f>IFERROR(__xludf.DUMMYFUNCTION("GOOGLETRANSLATE(B745, ""fr"", ""en"")"),"Hoody Very good quality, perfect size, suits my expectations, I recommend this product, value for money, delivery as expected")</f>
        <v>Hoody Very good quality, perfect size, suits my expectations, I recommend this product, value for money, delivery as expected</v>
      </c>
    </row>
    <row r="746">
      <c r="A746" s="1">
        <v>5.0</v>
      </c>
      <c r="B746" s="1" t="s">
        <v>744</v>
      </c>
      <c r="C746" t="str">
        <f>IFERROR(__xludf.DUMMYFUNCTION("GOOGLETRANSLATE(B746, ""fr"", ""en"")"),"Report quality price well rendezvous ... For photo printing I find no difference in the quality of the rendering. perfectly adaptable to my printer these cartridges do as well as the original ... even better, given the price that is incredible.")</f>
        <v>Report quality price well rendezvous ... For photo printing I find no difference in the quality of the rendering. perfectly adaptable to my printer these cartridges do as well as the original ... even better, given the price that is incredible.</v>
      </c>
    </row>
    <row r="747">
      <c r="A747" s="1">
        <v>5.0</v>
      </c>
      <c r="B747" s="1" t="s">
        <v>745</v>
      </c>
      <c r="C747" t="str">
        <f>IFERROR(__xludf.DUMMYFUNCTION("GOOGLETRANSLATE(B747, ""fr"", ""en"")"),"Too too well in Super cool and As expected for delivery")</f>
        <v>Too too well in Super cool and As expected for delivery</v>
      </c>
    </row>
    <row r="748">
      <c r="A748" s="1">
        <v>5.0</v>
      </c>
      <c r="B748" s="1" t="s">
        <v>746</v>
      </c>
      <c r="C748" t="str">
        <f>IFERROR(__xludf.DUMMYFUNCTION("GOOGLETRANSLATE(B748, ""fr"", ""en"")"),"The product is better than the photo can imagine. the finish is better than in the photo. (The latter could be better cropped, but do not be fooled: the products are really TOP pleasant to the touch and very smooth on the outer face!")</f>
        <v>The product is better than the photo can imagine. the finish is better than in the photo. (The latter could be better cropped, but do not be fooled: the products are really TOP pleasant to the touch and very smooth on the outer face!</v>
      </c>
    </row>
    <row r="749">
      <c r="A749" s="1">
        <v>5.0</v>
      </c>
      <c r="B749" s="1" t="s">
        <v>747</v>
      </c>
      <c r="C749" t="str">
        <f>IFERROR(__xludf.DUMMYFUNCTION("GOOGLETRANSLATE(B749, ""fr"", ""en"")"),"Pleased with my purchase size very well and is very pretty")</f>
        <v>Pleased with my purchase size very well and is very pretty</v>
      </c>
    </row>
    <row r="750">
      <c r="A750" s="1">
        <v>5.0</v>
      </c>
      <c r="B750" s="1" t="s">
        <v>748</v>
      </c>
      <c r="C750" t="str">
        <f>IFERROR(__xludf.DUMMYFUNCTION("GOOGLETRANSLATE(B750, ""fr"", ""en"")"),"MAM - BASE My son uses his bottles since birth. They are perfect. Easy-care robust. I would not change it for the world. Besides, it's simple, my son refuses all other bottles. In addition, the anti colic action is great.")</f>
        <v>MAM - BASE My son uses his bottles since birth. They are perfect. Easy-care robust. I would not change it for the world. Besides, it's simple, my son refuses all other bottles. In addition, the anti colic action is great.</v>
      </c>
    </row>
    <row r="751">
      <c r="A751" s="1">
        <v>2.0</v>
      </c>
      <c r="B751" s="1" t="s">
        <v>749</v>
      </c>
      <c r="C751" t="str">
        <f>IFERROR(__xludf.DUMMYFUNCTION("GOOGLETRANSLATE(B751, ""fr"", ""en"")"),"color error The product itself is fine, it is announced by against black in color when it is navy blue From")</f>
        <v>color error The product itself is fine, it is announced by against black in color when it is navy blue From</v>
      </c>
    </row>
    <row r="752">
      <c r="A752" s="1">
        <v>1.0</v>
      </c>
      <c r="B752" s="1" t="s">
        <v>750</v>
      </c>
      <c r="C752" t="str">
        <f>IFERROR(__xludf.DUMMYFUNCTION("GOOGLETRANSLATE(B752, ""fr"", ""en"")"),"I do not recommend this product! Essential oil has the name, almost odorless, efficiency!")</f>
        <v>I do not recommend this product! Essential oil has the name, almost odorless, efficiency!</v>
      </c>
    </row>
    <row r="753">
      <c r="A753" s="1">
        <v>1.0</v>
      </c>
      <c r="B753" s="1" t="s">
        <v>751</v>
      </c>
      <c r="C753" t="str">
        <f>IFERROR(__xludf.DUMMYFUNCTION("GOOGLETRANSLATE(B753, ""fr"", ""en"")"),"Earrings ear Do not match the picture frame is not money but very disappointed black metal doubt that the ear loops are silver")</f>
        <v>Earrings ear Do not match the picture frame is not money but very disappointed black metal doubt that the ear loops are silver</v>
      </c>
    </row>
    <row r="754">
      <c r="A754" s="1">
        <v>3.0</v>
      </c>
      <c r="B754" s="1" t="s">
        <v>752</v>
      </c>
      <c r="C754" t="str">
        <f>IFERROR(__xludf.DUMMYFUNCTION("GOOGLETRANSLATE(B754, ""fr"", ""en"")"),"very well Bought 7 euros, lasts about a year (even by many paint!). The colors are bright, mix well and can even be used for diluted ""watercolors."" Easy to clean all surfaces (floor, table, plastic, etc.) but not necessarily on fabrics ...")</f>
        <v>very well Bought 7 euros, lasts about a year (even by many paint!). The colors are bright, mix well and can even be used for diluted "watercolors." Easy to clean all surfaces (floor, table, plastic, etc.) but not necessarily on fabrics ...</v>
      </c>
    </row>
    <row r="755">
      <c r="A755" s="1">
        <v>3.0</v>
      </c>
      <c r="B755" s="1" t="s">
        <v>753</v>
      </c>
      <c r="C755" t="str">
        <f>IFERROR(__xludf.DUMMYFUNCTION("GOOGLETRANSLATE(B755, ""fr"", ""en"")"),"Kettle effective but .. Pretty loud and long to heat up. The design is nice and the grip too. Good value for money in general.")</f>
        <v>Kettle effective but .. Pretty loud and long to heat up. The design is nice and the grip too. Good value for money in general.</v>
      </c>
    </row>
    <row r="756">
      <c r="A756" s="1">
        <v>4.0</v>
      </c>
      <c r="B756" s="1" t="s">
        <v>754</v>
      </c>
      <c r="C756" t="str">
        <f>IFERROR(__xludf.DUMMYFUNCTION("GOOGLETRANSLATE(B756, ""fr"", ""en"")"),"perfect bracelet received today in light of comments I was very scared when has the quality of the bracelet is the pandora bracelet is not delivered in a pretty box in a plastic bag but I're open and I ' I immediately if the FTA there was inscription writ"&amp;"ten and yes I did not go to the check by a jeweler but I think it's a real after I am no expert in any case not all of my deçue Bracelet is really very beautiful")</f>
        <v>perfect bracelet received today in light of comments I was very scared when has the quality of the bracelet is the pandora bracelet is not delivered in a pretty box in a plastic bag but I're open and I ' I immediately if the FTA there was inscription written and yes I did not go to the check by a jeweler but I think it's a real after I am no expert in any case not all of my deçue Bracelet is really very beautiful</v>
      </c>
    </row>
    <row r="757">
      <c r="A757" s="1">
        <v>4.0</v>
      </c>
      <c r="B757" s="1" t="s">
        <v>755</v>
      </c>
      <c r="C757" t="str">
        <f>IFERROR(__xludf.DUMMYFUNCTION("GOOGLETRANSLATE(B757, ""fr"", ""en"")"),"Great for learning to write Bought for my son who learns to write. the pen glides well, even if the stand is not so nice compared to other pen more child I bought one for me")</f>
        <v>Great for learning to write Bought for my son who learns to write. the pen glides well, even if the stand is not so nice compared to other pen more child I bought one for me</v>
      </c>
    </row>
    <row r="758">
      <c r="A758" s="1">
        <v>4.0</v>
      </c>
      <c r="B758" s="1" t="s">
        <v>756</v>
      </c>
      <c r="C758" t="str">
        <f>IFERROR(__xludf.DUMMYFUNCTION("GOOGLETRANSLATE(B758, ""fr"", ""en"")"),"Nothing very pretty. My husband loves them.")</f>
        <v>Nothing very pretty. My husband loves them.</v>
      </c>
    </row>
    <row r="759">
      <c r="A759" s="1">
        <v>4.0</v>
      </c>
      <c r="B759" s="1" t="s">
        <v>757</v>
      </c>
      <c r="C759" t="str">
        <f>IFERROR(__xludf.DUMMYFUNCTION("GOOGLETRANSLATE(B759, ""fr"", ""en"")"),"Good but a bit brittle. The section is sufficient for my use. By cons when it stripped the sheath must go carefully, internal son are fine and break fast.")</f>
        <v>Good but a bit brittle. The section is sufficient for my use. By cons when it stripped the sheath must go carefully, internal son are fine and break fast.</v>
      </c>
    </row>
    <row r="760">
      <c r="A760" s="1">
        <v>5.0</v>
      </c>
      <c r="B760" s="1" t="s">
        <v>758</v>
      </c>
      <c r="C760" t="str">
        <f>IFERROR(__xludf.DUMMYFUNCTION("GOOGLETRANSLATE(B760, ""fr"", ""en"")"),"quality product I am so please my ideal purchase for a gift I recommend it to all")</f>
        <v>quality product I am so please my ideal purchase for a gift I recommend it to all</v>
      </c>
    </row>
    <row r="761">
      <c r="A761" s="1">
        <v>5.0</v>
      </c>
      <c r="B761" s="1" t="s">
        <v>759</v>
      </c>
      <c r="C761" t="str">
        <f>IFERROR(__xludf.DUMMYFUNCTION("GOOGLETRANSLATE(B761, ""fr"", ""en"")"),"Well adjusted and balances! Nickel to replace old broken passers Garmin 735XT, and all days in good condition after several weeks of use! As it is a lot, we can change them again if needed.")</f>
        <v>Well adjusted and balances! Nickel to replace old broken passers Garmin 735XT, and all days in good condition after several weeks of use! As it is a lot, we can change them again if needed.</v>
      </c>
    </row>
    <row r="762">
      <c r="A762" s="1">
        <v>5.0</v>
      </c>
      <c r="B762" s="1" t="s">
        <v>760</v>
      </c>
      <c r="C762" t="str">
        <f>IFERROR(__xludf.DUMMYFUNCTION("GOOGLETRANSLATE(B762, ""fr"", ""en"")"),"Enchanted magnificent bracelet")</f>
        <v>Enchanted magnificent bracelet</v>
      </c>
    </row>
    <row r="763">
      <c r="A763" s="1">
        <v>5.0</v>
      </c>
      <c r="B763" s="1" t="s">
        <v>761</v>
      </c>
      <c r="C763" t="str">
        <f>IFERROR(__xludf.DUMMYFUNCTION("GOOGLETRANSLATE(B763, ""fr"", ""en"")"),"Hello Hello")</f>
        <v>Hello Hello</v>
      </c>
    </row>
    <row r="764">
      <c r="A764" s="1">
        <v>5.0</v>
      </c>
      <c r="B764" s="1" t="s">
        <v>762</v>
      </c>
      <c r="C764" t="str">
        <f>IFERROR(__xludf.DUMMYFUNCTION("GOOGLETRANSLATE(B764, ""fr"", ""en"")"),"Practice from 2 months! Exasperated by bottles that lasted an hour with teats 1 month, I chose from the 2nd month of my daughter for these teats speed 2. Perfect Flow and finally drinking adequate amounts without getting tired! I recommend and will probab"&amp;"ly order new!")</f>
        <v>Practice from 2 months! Exasperated by bottles that lasted an hour with teats 1 month, I chose from the 2nd month of my daughter for these teats speed 2. Perfect Flow and finally drinking adequate amounts without getting tired! I recommend and will probably order new!</v>
      </c>
    </row>
    <row r="765">
      <c r="A765" s="1">
        <v>5.0</v>
      </c>
      <c r="B765" s="1" t="s">
        <v>763</v>
      </c>
      <c r="C765" t="str">
        <f>IFERROR(__xludf.DUMMYFUNCTION("GOOGLETRANSLATE(B765, ""fr"", ""en"")"),"Top Style, quality, comfort = the top")</f>
        <v>Top Style, quality, comfort = the top</v>
      </c>
    </row>
    <row r="766">
      <c r="A766" s="1">
        <v>5.0</v>
      </c>
      <c r="B766" s="1" t="s">
        <v>764</v>
      </c>
      <c r="C766" t="str">
        <f>IFERROR(__xludf.DUMMYFUNCTION("GOOGLETRANSLATE(B766, ""fr"", ""en"")"),"Very Fine Meets pictures. Best for the price")</f>
        <v>Very Fine Meets pictures. Best for the price</v>
      </c>
    </row>
    <row r="767">
      <c r="A767" s="1">
        <v>5.0</v>
      </c>
      <c r="B767" s="1" t="s">
        <v>765</v>
      </c>
      <c r="C767" t="str">
        <f>IFERROR(__xludf.DUMMYFUNCTION("GOOGLETRANSLATE(B767, ""fr"", ""en"")"),"Nickel Good product")</f>
        <v>Nickel Good product</v>
      </c>
    </row>
    <row r="768">
      <c r="A768" s="1">
        <v>5.0</v>
      </c>
      <c r="B768" s="1" t="s">
        <v>766</v>
      </c>
      <c r="C768" t="str">
        <f>IFERROR(__xludf.DUMMYFUNCTION("GOOGLETRANSLATE(B768, ""fr"", ""en"")"),"love I love them, they are really on top so stylish and timeless, it goes with all jeans, shorts, skirt with anything, delivery was fast, the price is very interesting, I just shoe size 38 and saw the comments I gained 37 and it's just perfect, take one s"&amp;"ize smaller if not beautiful")</f>
        <v>love I love them, they are really on top so stylish and timeless, it goes with all jeans, shorts, skirt with anything, delivery was fast, the price is very interesting, I just shoe size 38 and saw the comments I gained 37 and it's just perfect, take one size smaller if not beautiful</v>
      </c>
    </row>
    <row r="769">
      <c r="A769" s="1">
        <v>5.0</v>
      </c>
      <c r="B769" s="1" t="s">
        <v>767</v>
      </c>
      <c r="C769" t="str">
        <f>IFERROR(__xludf.DUMMYFUNCTION("GOOGLETRANSLATE(B769, ""fr"", ""en"")"),"Practice I know, it is not very green. But when it comes to remove dust, either on your floors using a suitable brush or furniture by hand, it is convenient. No washing strain of the wipe, for a broom, and the good cloth very sweet and grip, for manual us"&amp;"e. Then just throw the towel and take another next time (of course, you also say that it is expensive. But everyone is free to do as he wants). Here, 120 wipes; allowing priori evil has great prospects cleaning.")</f>
        <v>Practice I know, it is not very green. But when it comes to remove dust, either on your floors using a suitable brush or furniture by hand, it is convenient. No washing strain of the wipe, for a broom, and the good cloth very sweet and grip, for manual use. Then just throw the towel and take another next time (of course, you also say that it is expensive. But everyone is free to do as he wants). Here, 120 wipes; allowing priori evil has great prospects cleaning.</v>
      </c>
    </row>
    <row r="770">
      <c r="A770" s="1">
        <v>5.0</v>
      </c>
      <c r="B770" s="1" t="s">
        <v>768</v>
      </c>
      <c r="C770" t="str">
        <f>IFERROR(__xludf.DUMMYFUNCTION("GOOGLETRANSLATE(B770, ""fr"", ""en"")"),"A Christmas book I love this enchanting Christmas book: the story of a small tree that is already dreaming of wearing a beautiful Christmas dress ... While all the great and beautiful fir desert around the small tree left alone with only friend for a very"&amp;" old tree that longs to no more adornment long time. A story full of poetry and sweetness, with simple, elegant illustrations, especially adapted to this cute Christmas story.")</f>
        <v>A Christmas book I love this enchanting Christmas book: the story of a small tree that is already dreaming of wearing a beautiful Christmas dress ... While all the great and beautiful fir desert around the small tree left alone with only friend for a very old tree that longs to no more adornment long time. A story full of poetry and sweetness, with simple, elegant illustrations, especially adapted to this cute Christmas story.</v>
      </c>
    </row>
    <row r="771">
      <c r="A771" s="1">
        <v>5.0</v>
      </c>
      <c r="B771" s="1" t="s">
        <v>769</v>
      </c>
      <c r="C771" t="str">
        <f>IFERROR(__xludf.DUMMYFUNCTION("GOOGLETRANSLATE(B771, ""fr"", ""en"")"),"Very good qualities flush")</f>
        <v>Very good qualities flush</v>
      </c>
    </row>
    <row r="772">
      <c r="A772" s="1">
        <v>5.0</v>
      </c>
      <c r="B772" s="1" t="s">
        <v>770</v>
      </c>
      <c r="C772" t="str">
        <f>IFERROR(__xludf.DUMMYFUNCTION("GOOGLETRANSLATE(B772, ""fr"", ""en"")"),"From its very good low, low, natural noise attenuator")</f>
        <v>From its very good low, low, natural noise attenuator</v>
      </c>
    </row>
    <row r="773">
      <c r="A773" s="1">
        <v>5.0</v>
      </c>
      <c r="B773" s="1" t="s">
        <v>771</v>
      </c>
      <c r="C773" t="str">
        <f>IFERROR(__xludf.DUMMYFUNCTION("GOOGLETRANSLATE(B773, ""fr"", ""en"")"),"At the top on top, super comfortable. perfect size.")</f>
        <v>At the top on top, super comfortable. perfect size.</v>
      </c>
    </row>
    <row r="774">
      <c r="A774" s="1">
        <v>5.0</v>
      </c>
      <c r="B774" s="1" t="s">
        <v>772</v>
      </c>
      <c r="C774" t="str">
        <f>IFERROR(__xludf.DUMMYFUNCTION("GOOGLETRANSLATE(B774, ""fr"", ""en"")"),"Perfect This compression fit is perfect for compression enthusiasts, bodybuilding, it will keep your muscles during your sessions grows large cast. I recommend for the quality and size ... never disappointed!")</f>
        <v>Perfect This compression fit is perfect for compression enthusiasts, bodybuilding, it will keep your muscles during your sessions grows large cast. I recommend for the quality and size ... never disappointed!</v>
      </c>
    </row>
    <row r="775">
      <c r="A775" s="1">
        <v>2.0</v>
      </c>
      <c r="B775" s="1" t="s">
        <v>773</v>
      </c>
      <c r="C775" t="str">
        <f>IFERROR(__xludf.DUMMYFUNCTION("GOOGLETRANSLATE(B775, ""fr"", ""en"")"),"Unreadable and unusable functions Bluetooth This watch is of interest only for its look, very serious and quality. Otherwise it is useless and is also sold by more Fossil, which makes a low price to liquidate its inventory. The Bluetooth connection is goo"&amp;"d but the information it provides on demand by pressing the 3 buttons of the watch are delivered by bizarre and incomprehensible needle positions. Moreover they are irrelevant information (start the music on the mobile, whether his goal is not reached man"&amp;"y ...). I do not even understand how to know if I received a text message. The vibration on his wrist supposed to warn of the arrival of a text message is imperceptible. it therefore useless. The crown ""tachometer"" contains absolutely illegible numbers "&amp;"so they microscopic, as the dial ""number of steps"". Finally I use this shows that typically: to know the time!")</f>
        <v>Unreadable and unusable functions Bluetooth This watch is of interest only for its look, very serious and quality. Otherwise it is useless and is also sold by more Fossil, which makes a low price to liquidate its inventory. The Bluetooth connection is good but the information it provides on demand by pressing the 3 buttons of the watch are delivered by bizarre and incomprehensible needle positions. Moreover they are irrelevant information (start the music on the mobile, whether his goal is not reached many ...). I do not even understand how to know if I received a text message. The vibration on his wrist supposed to warn of the arrival of a text message is imperceptible. it therefore useless. The crown "tachometer" contains absolutely illegible numbers so they microscopic, as the dial "number of steps". Finally I use this shows that typically: to know the time!</v>
      </c>
    </row>
    <row r="776">
      <c r="A776" s="1">
        <v>1.0</v>
      </c>
      <c r="B776" s="1" t="s">
        <v>774</v>
      </c>
      <c r="C776" t="str">
        <f>IFERROR(__xludf.DUMMYFUNCTION("GOOGLETRANSLATE(B776, ""fr"", ""en"")"),"Buckle too fragile receipt very pleased with the model and color but by detaching the two parts the metal buckle that is detached returned item because too fragile loop and fear of losing my watch with ...")</f>
        <v>Buckle too fragile receipt very pleased with the model and color but by detaching the two parts the metal buckle that is detached returned item because too fragile loop and fear of losing my watch with ...</v>
      </c>
    </row>
    <row r="777">
      <c r="A777" s="1">
        <v>1.0</v>
      </c>
      <c r="B777" s="1" t="s">
        <v>775</v>
      </c>
      <c r="C777" t="str">
        <f>IFERROR(__xludf.DUMMYFUNCTION("GOOGLETRANSLATE(B777, ""fr"", ""en"")"),"Disappointed poor quality t-shirt black t-shirt turned into a single wash and washed himself. Not at all satisfied very disappointed")</f>
        <v>Disappointed poor quality t-shirt black t-shirt turned into a single wash and washed himself. Not at all satisfied very disappointed</v>
      </c>
    </row>
    <row r="778">
      <c r="A778" s="1">
        <v>3.0</v>
      </c>
      <c r="B778" s="1" t="s">
        <v>776</v>
      </c>
      <c r="C778" t="str">
        <f>IFERROR(__xludf.DUMMYFUNCTION("GOOGLETRANSLATE(B778, ""fr"", ""en"")"),"A disappointed hooks to tie the laces is broken. the shoemaker does not want to fix it. with pair of shoes price unfortunately. What could you do Please answer me quickly Sincerely Thérèse Lemaire")</f>
        <v>A disappointed hooks to tie the laces is broken. the shoemaker does not want to fix it. with pair of shoes price unfortunately. What could you do Please answer me quickly Sincerely Thérèse Lemaire</v>
      </c>
    </row>
    <row r="779">
      <c r="A779" s="1">
        <v>3.0</v>
      </c>
      <c r="B779" s="1" t="s">
        <v>777</v>
      </c>
      <c r="C779" t="str">
        <f>IFERROR(__xludf.DUMMYFUNCTION("GOOGLETRANSLATE(B779, ""fr"", ""en"")"),"So-so ! Although only if there hangs a very light weight. Otherwise peeling off the wall. Not great at all.")</f>
        <v>So-so ! Although only if there hangs a very light weight. Otherwise peeling off the wall. Not great at all.</v>
      </c>
    </row>
    <row r="780">
      <c r="A780" s="1">
        <v>4.0</v>
      </c>
      <c r="B780" s="1" t="s">
        <v>778</v>
      </c>
      <c r="C780" t="str">
        <f>IFERROR(__xludf.DUMMYFUNCTION("GOOGLETRANSLATE(B780, ""fr"", ""en"")"),"A little time respected just")</f>
        <v>A little time respected just</v>
      </c>
    </row>
    <row r="781">
      <c r="A781" s="1">
        <v>4.0</v>
      </c>
      <c r="B781" s="1" t="s">
        <v>779</v>
      </c>
      <c r="C781" t="str">
        <f>IFERROR(__xludf.DUMMYFUNCTION("GOOGLETRANSLATE(B781, ""fr"", ""en"")"),"Great purchase quality and comfort of the Stan Smith is incomparable. They carve great, there's really nothing wrong!")</f>
        <v>Great purchase quality and comfort of the Stan Smith is incomparable. They carve great, there's really nothing wrong!</v>
      </c>
    </row>
    <row r="782">
      <c r="A782" s="1">
        <v>4.0</v>
      </c>
      <c r="B782" s="1" t="s">
        <v>780</v>
      </c>
      <c r="C782" t="str">
        <f>IFERROR(__xludf.DUMMYFUNCTION("GOOGLETRANSLATE(B782, ""fr"", ""en"")"),"Nothing good to say")</f>
        <v>Nothing good to say</v>
      </c>
    </row>
    <row r="783">
      <c r="A783" s="1">
        <v>4.0</v>
      </c>
      <c r="B783" s="1" t="s">
        <v>781</v>
      </c>
      <c r="C783" t="str">
        <f>IFERROR(__xludf.DUMMYFUNCTION("GOOGLETRANSLATE(B783, ""fr"", ""en"")"),"Good quality good quality product very comfortable in a little offset color consistent with the picture")</f>
        <v>Good quality good quality product very comfortable in a little offset color consistent with the picture</v>
      </c>
    </row>
    <row r="784">
      <c r="A784" s="1">
        <v>5.0</v>
      </c>
      <c r="B784" s="1" t="s">
        <v>782</v>
      </c>
      <c r="C784" t="str">
        <f>IFERROR(__xludf.DUMMYFUNCTION("GOOGLETRANSLATE(B784, ""fr"", ""en"")"),"I find there high quality professional quality with a film that focuses on all substrates (including plastic). The reel system with the strip that cut is very well thought out. Very pleased with this product with an attractive price when compared to the t"&amp;"raditional roll of 30 meters")</f>
        <v>I find there high quality professional quality with a film that focuses on all substrates (including plastic). The reel system with the strip that cut is very well thought out. Very pleased with this product with an attractive price when compared to the traditional roll of 30 meters</v>
      </c>
    </row>
    <row r="785">
      <c r="A785" s="1">
        <v>5.0</v>
      </c>
      <c r="B785" s="1" t="s">
        <v>783</v>
      </c>
      <c r="C785" t="str">
        <f>IFERROR(__xludf.DUMMYFUNCTION("GOOGLETRANSLATE(B785, ""fr"", ""en"")"),"Very practical good desk lamp, possibility of having a white or yellow light. It's light and not too big, very practical!")</f>
        <v>Very practical good desk lamp, possibility of having a white or yellow light. It's light and not too big, very practical!</v>
      </c>
    </row>
    <row r="786">
      <c r="A786" s="1">
        <v>5.0</v>
      </c>
      <c r="B786" s="1" t="s">
        <v>784</v>
      </c>
      <c r="C786" t="str">
        <f>IFERROR(__xludf.DUMMYFUNCTION("GOOGLETRANSLATE(B786, ""fr"", ""en"")"),"Lightweight safety shoe to wear very nice I recommend")</f>
        <v>Lightweight safety shoe to wear very nice I recommend</v>
      </c>
    </row>
    <row r="787">
      <c r="A787" s="1">
        <v>5.0</v>
      </c>
      <c r="B787" s="1" t="s">
        <v>785</v>
      </c>
      <c r="C787" t="str">
        <f>IFERROR(__xludf.DUMMYFUNCTION("GOOGLETRANSLATE(B787, ""fr"", ""en"")"),"Satisfied Boots of very good quality, soft leather and good size (43 from 43.5) knowing CATERPILLARD always size a little big. I will add still further insole as usual. Excellent value for money, to see on the duration!")</f>
        <v>Satisfied Boots of very good quality, soft leather and good size (43 from 43.5) knowing CATERPILLARD always size a little big. I will add still further insole as usual. Excellent value for money, to see on the duration!</v>
      </c>
    </row>
    <row r="788">
      <c r="A788" s="1">
        <v>5.0</v>
      </c>
      <c r="B788" s="1" t="s">
        <v>786</v>
      </c>
      <c r="C788" t="str">
        <f>IFERROR(__xludf.DUMMYFUNCTION("GOOGLETRANSLATE(B788, ""fr"", ""en"")"),"She gets off Comfortable and warm wishes")</f>
        <v>She gets off Comfortable and warm wishes</v>
      </c>
    </row>
    <row r="789">
      <c r="A789" s="1">
        <v>5.0</v>
      </c>
      <c r="B789" s="1" t="s">
        <v>787</v>
      </c>
      <c r="C789" t="str">
        <f>IFERROR(__xludf.DUMMYFUNCTION("GOOGLETRANSLATE(B789, ""fr"", ""en"")"),"Very good product great product")</f>
        <v>Very good product great product</v>
      </c>
    </row>
    <row r="790">
      <c r="A790" s="1">
        <v>5.0</v>
      </c>
      <c r="B790" s="1" t="s">
        <v>788</v>
      </c>
      <c r="C790" t="str">
        <f>IFERROR(__xludf.DUMMYFUNCTION("GOOGLETRANSLATE(B790, ""fr"", ""en"")"),"Recommend it I ordered two of these sweaters (one white and one green irish) in size S. I measure 1m60, so they are a little oversized, but not huge either! The material is very soft and very nice :) The first pull arrived ahead of schedule, and the secon"&amp;"d is expected soon.")</f>
        <v>Recommend it I ordered two of these sweaters (one white and one green irish) in size S. I measure 1m60, so they are a little oversized, but not huge either! The material is very soft and very nice :) The first pull arrived ahead of schedule, and the second is expected soon.</v>
      </c>
    </row>
    <row r="791">
      <c r="A791" s="1">
        <v>5.0</v>
      </c>
      <c r="B791" s="1" t="s">
        <v>789</v>
      </c>
      <c r="C791" t="str">
        <f>IFERROR(__xludf.DUMMYFUNCTION("GOOGLETRANSLATE(B791, ""fr"", ""en"")"),"super fast delivery - Top Seller - We do this more is a must have Tiger Balm is great for practicing regular exercise and wants to reduce the effects this is the product to have to prepare before and after his activity. Highly recommend Thanks")</f>
        <v>super fast delivery - Top Seller - We do this more is a must have Tiger Balm is great for practicing regular exercise and wants to reduce the effects this is the product to have to prepare before and after his activity. Highly recommend Thanks</v>
      </c>
    </row>
    <row r="792">
      <c r="A792" s="1">
        <v>5.0</v>
      </c>
      <c r="B792" s="1" t="s">
        <v>790</v>
      </c>
      <c r="C792" t="str">
        <f>IFERROR(__xludf.DUMMYFUNCTION("GOOGLETRANSLATE(B792, ""fr"", ""en"")"),"Satisfied Basketball are super comfortable. I recomsnde all people to buy are supe")</f>
        <v>Satisfied Basketball are super comfortable. I recomsnde all people to buy are supe</v>
      </c>
    </row>
    <row r="793">
      <c r="A793" s="1">
        <v>5.0</v>
      </c>
      <c r="B793" s="1" t="s">
        <v>791</v>
      </c>
      <c r="C793" t="str">
        <f>IFERROR(__xludf.DUMMYFUNCTION("GOOGLETRANSLATE(B793, ""fr"", ""en"")"),"Good value short and small model")</f>
        <v>Good value short and small model</v>
      </c>
    </row>
    <row r="794">
      <c r="A794" s="1">
        <v>5.0</v>
      </c>
      <c r="B794" s="1" t="s">
        <v>792</v>
      </c>
      <c r="C794" t="str">
        <f>IFERROR(__xludf.DUMMYFUNCTION("GOOGLETRANSLATE(B794, ""fr"", ""en"")"),"Bluetooth headset for my trips Received quickly with premium delivery. I was looking for headphones to my travels, this one insulates noise that's what I was looking for more of the design that conforms to the photo. What is also appreciable is that the B"&amp;"luetooth wireless reading can last all day. Helmet makes the job. Satisfied with the product")</f>
        <v>Bluetooth headset for my trips Received quickly with premium delivery. I was looking for headphones to my travels, this one insulates noise that's what I was looking for more of the design that conforms to the photo. What is also appreciable is that the Bluetooth wireless reading can last all day. Helmet makes the job. Satisfied with the product</v>
      </c>
    </row>
    <row r="795">
      <c r="A795" s="1">
        <v>5.0</v>
      </c>
      <c r="B795" s="1" t="s">
        <v>793</v>
      </c>
      <c r="C795" t="str">
        <f>IFERROR(__xludf.DUMMYFUNCTION("GOOGLETRANSLATE(B795, ""fr"", ""en"")"),"High Quality Bluetooth Wireless Headset of very good quality and versatile for music or phone, radio. It is compact and the sound is very clair.Achat recommended.")</f>
        <v>High Quality Bluetooth Wireless Headset of very good quality and versatile for music or phone, radio. It is compact and the sound is very clair.Achat recommended.</v>
      </c>
    </row>
    <row r="796">
      <c r="A796" s="1">
        <v>5.0</v>
      </c>
      <c r="B796" s="1" t="s">
        <v>794</v>
      </c>
      <c r="C796" t="str">
        <f>IFERROR(__xludf.DUMMYFUNCTION("GOOGLETRANSLATE(B796, ""fr"", ""en"")"),"THAT ORDER IS EQUIVALENT TO MY NEEDS PERFECTLY FOR CLASSIFICATION OF INTENSIVE. HE IS PERFECT!")</f>
        <v>THAT ORDER IS EQUIVALENT TO MY NEEDS PERFECTLY FOR CLASSIFICATION OF INTENSIVE. HE IS PERFECT!</v>
      </c>
    </row>
    <row r="797">
      <c r="A797" s="1">
        <v>5.0</v>
      </c>
      <c r="B797" s="1" t="s">
        <v>795</v>
      </c>
      <c r="C797" t="str">
        <f>IFERROR(__xludf.DUMMYFUNCTION("GOOGLETRANSLATE(B797, ""fr"", ""en"")"),"leather bracelet product well conditioned and received quickly. of good quality")</f>
        <v>leather bracelet product well conditioned and received quickly. of good quality</v>
      </c>
    </row>
    <row r="798">
      <c r="A798" s="1">
        <v>5.0</v>
      </c>
      <c r="B798" s="1" t="s">
        <v>796</v>
      </c>
      <c r="C798" t="str">
        <f>IFERROR(__xludf.DUMMYFUNCTION("GOOGLETRANSLATE(B798, ""fr"", ""en"")"),"Size and value for money Perfect gift that my father loved, the perfect waist also very satisfied!")</f>
        <v>Size and value for money Perfect gift that my father loved, the perfect waist also very satisfied!</v>
      </c>
    </row>
    <row r="799">
      <c r="A799" s="1">
        <v>2.0</v>
      </c>
      <c r="B799" s="1" t="s">
        <v>797</v>
      </c>
      <c r="C799" t="str">
        <f>IFERROR(__xludf.DUMMYFUNCTION("GOOGLETRANSLATE(B799, ""fr"", ""en"")"),"A little expensive I bought another pair of pants of this kind and the quality is much better, more comfortable, better fit at the waist. For a similar price. So when can compare ....")</f>
        <v>A little expensive I bought another pair of pants of this kind and the quality is much better, more comfortable, better fit at the waist. For a similar price. So when can compare ....</v>
      </c>
    </row>
    <row r="800">
      <c r="A800" s="1">
        <v>1.0</v>
      </c>
      <c r="B800" s="1" t="s">
        <v>798</v>
      </c>
      <c r="C800" t="str">
        <f>IFERROR(__xludf.DUMMYFUNCTION("GOOGLETRANSLATE(B800, ""fr"", ""en"")"),"aesthetic accessory without Acupuncture points are placed haphazardly, not thick enough to be felt especially socks are not anti slip at all: rather annoying for yoga accessories")</f>
        <v>aesthetic accessory without Acupuncture points are placed haphazardly, not thick enough to be felt especially socks are not anti slip at all: rather annoying for yoga accessories</v>
      </c>
    </row>
    <row r="801">
      <c r="A801" s="1">
        <v>1.0</v>
      </c>
      <c r="B801" s="1" t="s">
        <v>799</v>
      </c>
      <c r="C801" t="str">
        <f>IFERROR(__xludf.DUMMYFUNCTION("GOOGLETRANSLATE(B801, ""fr"", ""en"")"),"Needless Do not maintained at all, and contrary to what the image shows, there is no cache nipple.")</f>
        <v>Needless Do not maintained at all, and contrary to what the image shows, there is no cache nipple.</v>
      </c>
    </row>
    <row r="802">
      <c r="A802" s="1">
        <v>3.0</v>
      </c>
      <c r="B802" s="1" t="s">
        <v>800</v>
      </c>
      <c r="C802" t="str">
        <f>IFERROR(__xludf.DUMMYFUNCTION("GOOGLETRANSLATE(B802, ""fr"", ""en"")"),"Ok I just got them so to do by the time against so there is no sock provided careful to take well to rate")</f>
        <v>Ok I just got them so to do by the time against so there is no sock provided careful to take well to rate</v>
      </c>
    </row>
    <row r="803">
      <c r="A803" s="1">
        <v>4.0</v>
      </c>
      <c r="B803" s="1" t="s">
        <v>801</v>
      </c>
      <c r="C803" t="str">
        <f>IFERROR(__xludf.DUMMYFUNCTION("GOOGLETRANSLATE(B803, ""fr"", ""en"")"),"Basketball happening everywhere. Shoe consistent with the description, despite it's 15 days that I was the door, they are a bit steep it changes my nike fabric, my good she maintains well the feet and are passed around.")</f>
        <v>Basketball happening everywhere. Shoe consistent with the description, despite it's 15 days that I was the door, they are a bit steep it changes my nike fabric, my good she maintains well the feet and are passed around.</v>
      </c>
    </row>
    <row r="804">
      <c r="A804" s="1">
        <v>4.0</v>
      </c>
      <c r="B804" s="1" t="s">
        <v>802</v>
      </c>
      <c r="C804" t="str">
        <f>IFERROR(__xludf.DUMMYFUNCTION("GOOGLETRANSLATE(B804, ""fr"", ""en"")"),"Micro fun micro is nice even if it lacks power. It was easy to pair with Bluetooth and the ""echo"" function makes its effect")</f>
        <v>Micro fun micro is nice even if it lacks power. It was easy to pair with Bluetooth and the "echo" function makes its effect</v>
      </c>
    </row>
    <row r="805">
      <c r="A805" s="1">
        <v>4.0</v>
      </c>
      <c r="B805" s="1" t="s">
        <v>803</v>
      </c>
      <c r="C805" t="str">
        <f>IFERROR(__xludf.DUMMYFUNCTION("GOOGLETRANSLATE(B805, ""fr"", ""en"")"),"Very bieb Very pretty consistent with the picture and arrive on time")</f>
        <v>Very bieb Very pretty consistent with the picture and arrive on time</v>
      </c>
    </row>
    <row r="806">
      <c r="A806" s="1">
        <v>4.0</v>
      </c>
      <c r="B806" s="1" t="s">
        <v>804</v>
      </c>
      <c r="C806" t="str">
        <f>IFERROR(__xludf.DUMMYFUNCTION("GOOGLETRANSLATE(B806, ""fr"", ""en"")"),"great lot Lot bought recently, control very quickly received, little fan model of the bottle brush, however, the bottles are excellent")</f>
        <v>great lot Lot bought recently, control very quickly received, little fan model of the bottle brush, however, the bottles are excellent</v>
      </c>
    </row>
    <row r="807">
      <c r="A807" s="1">
        <v>5.0</v>
      </c>
      <c r="B807" s="1" t="s">
        <v>805</v>
      </c>
      <c r="C807" t="str">
        <f>IFERROR(__xludf.DUMMYFUNCTION("GOOGLETRANSLATE(B807, ""fr"", ""en"")"),"JBL always good quality / price ratio, special mention to the speed of delivery! Helmet still on top with JBL for the mid-range, ultra fast delivery even without amazon prime 😉 go for it!")</f>
        <v>JBL always good quality / price ratio, special mention to the speed of delivery! Helmet still on top with JBL for the mid-range, ultra fast delivery even without amazon prime 😉 go for it!</v>
      </c>
    </row>
    <row r="808">
      <c r="A808" s="1">
        <v>5.0</v>
      </c>
      <c r="B808" s="1" t="s">
        <v>806</v>
      </c>
      <c r="C808" t="str">
        <f>IFERROR(__xludf.DUMMYFUNCTION("GOOGLETRANSLATE(B808, ""fr"", ""en"")"),"preparation of bib in less than 3 minutes! this device has saved me! especially at night, fast and the water has a very good temperature! I never had no trouble with. small problem but not really bothered me was the noise! but we can not ask anything eith"&amp;"er!")</f>
        <v>preparation of bib in less than 3 minutes! this device has saved me! especially at night, fast and the water has a very good temperature! I never had no trouble with. small problem but not really bothered me was the noise! but we can not ask anything either!</v>
      </c>
    </row>
    <row r="809">
      <c r="A809" s="1">
        <v>5.0</v>
      </c>
      <c r="B809" s="1" t="s">
        <v>807</v>
      </c>
      <c r="C809" t="str">
        <f>IFERROR(__xludf.DUMMYFUNCTION("GOOGLETRANSLATE(B809, ""fr"", ""en"")"),"very well very well")</f>
        <v>very well very well</v>
      </c>
    </row>
    <row r="810">
      <c r="A810" s="1">
        <v>5.0</v>
      </c>
      <c r="B810" s="1" t="s">
        <v>808</v>
      </c>
      <c r="C810" t="str">
        <f>IFERROR(__xludf.DUMMYFUNCTION("GOOGLETRANSLATE(B810, ""fr"", ""en"")"),"Already Perfect Order this article No worries Good product")</f>
        <v>Already Perfect Order this article No worries Good product</v>
      </c>
    </row>
    <row r="811">
      <c r="A811" s="1">
        <v>5.0</v>
      </c>
      <c r="B811" s="1" t="s">
        <v>369</v>
      </c>
      <c r="C811" t="str">
        <f>IFERROR(__xludf.DUMMYFUNCTION("GOOGLETRANSLATE(B811, ""fr"", ""en"")"),"Good product Good product")</f>
        <v>Good product Good product</v>
      </c>
    </row>
    <row r="812">
      <c r="A812" s="1">
        <v>5.0</v>
      </c>
      <c r="B812" s="1" t="s">
        <v>809</v>
      </c>
      <c r="C812" t="str">
        <f>IFERROR(__xludf.DUMMYFUNCTION("GOOGLETRANSLATE(B812, ""fr"", ""en"")"),"I am very happy thank you all as it should, thank you")</f>
        <v>I am very happy thank you all as it should, thank you</v>
      </c>
    </row>
    <row r="813">
      <c r="A813" s="1">
        <v>5.0</v>
      </c>
      <c r="B813" s="1" t="s">
        <v>810</v>
      </c>
      <c r="C813" t="str">
        <f>IFERROR(__xludf.DUMMYFUNCTION("GOOGLETRANSLATE(B813, ""fr"", ""en"")"),"Perfect They are perfect for me. The size is what I ordered and there is no default. No complaints about the quality of the product.")</f>
        <v>Perfect They are perfect for me. The size is what I ordered and there is no default. No complaints about the quality of the product.</v>
      </c>
    </row>
    <row r="814">
      <c r="A814" s="1">
        <v>5.0</v>
      </c>
      <c r="B814" s="1" t="s">
        <v>811</v>
      </c>
      <c r="C814" t="str">
        <f>IFERROR(__xludf.DUMMYFUNCTION("GOOGLETRANSLATE(B814, ""fr"", ""en"")"),"Daily use satisfied. Meets my expectations")</f>
        <v>Daily use satisfied. Meets my expectations</v>
      </c>
    </row>
    <row r="815">
      <c r="A815" s="1">
        <v>5.0</v>
      </c>
      <c r="B815" s="1" t="s">
        <v>812</v>
      </c>
      <c r="C815" t="str">
        <f>IFERROR(__xludf.DUMMYFUNCTION("GOOGLETRANSLATE(B815, ""fr"", ""en"")"),"Bag holster Kattee Superb bag with multiple pockets. Product of very high quality. Leather beautiful, strong closures. By cons it is not made for smaller people because 1m65 quite large. Very satisfied.")</f>
        <v>Bag holster Kattee Superb bag with multiple pockets. Product of very high quality. Leather beautiful, strong closures. By cons it is not made for smaller people because 1m65 quite large. Very satisfied.</v>
      </c>
    </row>
    <row r="816">
      <c r="A816" s="1">
        <v>5.0</v>
      </c>
      <c r="B816" s="1" t="s">
        <v>813</v>
      </c>
      <c r="C816" t="str">
        <f>IFERROR(__xludf.DUMMYFUNCTION("GOOGLETRANSLATE(B816, ""fr"", ""en"")"),"Great product for dishwashers! Leaves no trace on dishes and do not assaulted.")</f>
        <v>Great product for dishwashers! Leaves no trace on dishes and do not assaulted.</v>
      </c>
    </row>
    <row r="817">
      <c r="A817" s="1">
        <v>5.0</v>
      </c>
      <c r="B817" s="1" t="s">
        <v>814</v>
      </c>
      <c r="C817" t="str">
        <f>IFERROR(__xludf.DUMMYFUNCTION("GOOGLETRANSLATE(B817, ""fr"", ""en"")"),"bag satchel surprising beauty and practicality, perfect finishes, leather patina that goes well, the whole is relatively light compared to other approaching the price.")</f>
        <v>bag satchel surprising beauty and practicality, perfect finishes, leather patina that goes well, the whole is relatively light compared to other approaching the price.</v>
      </c>
    </row>
    <row r="818">
      <c r="A818" s="1">
        <v>5.0</v>
      </c>
      <c r="B818" s="1" t="s">
        <v>815</v>
      </c>
      <c r="C818" t="str">
        <f>IFERROR(__xludf.DUMMYFUNCTION("GOOGLETRANSLATE(B818, ""fr"", ""en"")"),"Silver necklace J.Rosée heart necklace Silver J.Rosée received quickly. perfect packing in a small box. A small bag for storage was provided in it. The necklace is beautiful. The chain is thin and strong. I'm so glad of my purchase.")</f>
        <v>Silver necklace J.Rosée heart necklace Silver J.Rosée received quickly. perfect packing in a small box. A small bag for storage was provided in it. The necklace is beautiful. The chain is thin and strong. I'm so glad of my purchase.</v>
      </c>
    </row>
    <row r="819">
      <c r="A819" s="1">
        <v>5.0</v>
      </c>
      <c r="B819" s="1" t="s">
        <v>816</v>
      </c>
      <c r="C819" t="str">
        <f>IFERROR(__xludf.DUMMYFUNCTION("GOOGLETRANSLATE(B819, ""fr"", ""en"")"),"Good product. Very good product the only downside leaflet in English.")</f>
        <v>Good product. Very good product the only downside leaflet in English.</v>
      </c>
    </row>
    <row r="820">
      <c r="A820" s="1">
        <v>5.0</v>
      </c>
      <c r="B820" s="1" t="s">
        <v>817</v>
      </c>
      <c r="C820" t="str">
        <f>IFERROR(__xludf.DUMMYFUNCTION("GOOGLETRANSLATE(B820, ""fr"", ""en"")"),"Beautiful Bensimon. The classics ! Always so effective!")</f>
        <v>Beautiful Bensimon. The classics ! Always so effective!</v>
      </c>
    </row>
    <row r="821">
      <c r="A821" s="1">
        <v>5.0</v>
      </c>
      <c r="B821" s="1" t="s">
        <v>818</v>
      </c>
      <c r="C821" t="str">
        <f>IFERROR(__xludf.DUMMYFUNCTION("GOOGLETRANSLATE(B821, ""fr"", ""en"")"),"Although Bottle appreciated by baby, who was trying to hold his own glass baby bottle of the same brand. With it, no risk of breakage if dropped on the floor, and the handles provide good input. My 7 month old half understood how to use it, but do not yet"&amp;" know the lift high enough to drink when little filled. I recommend")</f>
        <v>Although Bottle appreciated by baby, who was trying to hold his own glass baby bottle of the same brand. With it, no risk of breakage if dropped on the floor, and the handles provide good input. My 7 month old half understood how to use it, but do not yet know the lift high enough to drink when little filled. I recommend</v>
      </c>
    </row>
    <row r="822">
      <c r="A822" s="1">
        <v>2.0</v>
      </c>
      <c r="B822" s="1" t="s">
        <v>819</v>
      </c>
      <c r="C822" t="str">
        <f>IFERROR(__xludf.DUMMYFUNCTION("GOOGLETRANSLATE(B822, ""fr"", ""en"")"),"Deçue I loved the concept of this bottle warmer that heats quickly and correctly. I still encounter two problems: this product is heavy and cumbersome, and mine is leaking every time ... yet I'm careful: I quite firm, lets up ... but my diaper bag and the"&amp;" affairs of my baby always end up soaked. I have ceased to use.")</f>
        <v>Deçue I loved the concept of this bottle warmer that heats quickly and correctly. I still encounter two problems: this product is heavy and cumbersome, and mine is leaking every time ... yet I'm careful: I quite firm, lets up ... but my diaper bag and the affairs of my baby always end up soaked. I have ceased to use.</v>
      </c>
    </row>
    <row r="823">
      <c r="A823" s="1">
        <v>1.0</v>
      </c>
      <c r="B823" s="1" t="s">
        <v>820</v>
      </c>
      <c r="C823" t="str">
        <f>IFERROR(__xludf.DUMMYFUNCTION("GOOGLETRANSLATE(B823, ""fr"", ""en"")"),"No transparency about the levels at reception inks, life relatively short cartridges ... I think HP should be more transparent with its customers. Indeed, it is not possible to check the level of ink cartridges and receipt of these as they really do not l"&amp;"ast long it really feel to be foist remanufactured cartridges ... I bought a rechargeable printer at least there, I would see the exact amounts of ink inserted in the machine and the life of bottles!")</f>
        <v>No transparency about the levels at reception inks, life relatively short cartridges ... I think HP should be more transparent with its customers. Indeed, it is not possible to check the level of ink cartridges and receipt of these as they really do not last long it really feel to be foist remanufactured cartridges ... I bought a rechargeable printer at least there, I would see the exact amounts of ink inserted in the machine and the life of bottles!</v>
      </c>
    </row>
    <row r="824">
      <c r="A824" s="1">
        <v>3.0</v>
      </c>
      <c r="B824" s="1" t="s">
        <v>821</v>
      </c>
      <c r="C824" t="str">
        <f>IFERROR(__xludf.DUMMYFUNCTION("GOOGLETRANSLATE(B824, ""fr"", ""en"")"),"Bad cartridges are cheaper than in stores, but given the life, I understand ... because the cartridges are empty very quickly, so they are not full, it is not possible, because I not print books, so I'm rather disappointed")</f>
        <v>Bad cartridges are cheaper than in stores, but given the life, I understand ... because the cartridges are empty very quickly, so they are not full, it is not possible, because I not print books, so I'm rather disappointed</v>
      </c>
    </row>
    <row r="825">
      <c r="A825" s="1">
        <v>3.0</v>
      </c>
      <c r="B825" s="1" t="s">
        <v>822</v>
      </c>
      <c r="C825" t="str">
        <f>IFERROR(__xludf.DUMMYFUNCTION("GOOGLETRANSLATE(B825, ""fr"", ""en"")"),"ineffective product mediocre")</f>
        <v>ineffective product mediocre</v>
      </c>
    </row>
    <row r="826">
      <c r="A826" s="1">
        <v>4.0</v>
      </c>
      <c r="B826" s="1" t="s">
        <v>823</v>
      </c>
      <c r="C826" t="str">
        <f>IFERROR(__xludf.DUMMYFUNCTION("GOOGLETRANSLATE(B826, ""fr"", ""en"")"),"Laundry Convenient for his laundry")</f>
        <v>Laundry Convenient for his laundry</v>
      </c>
    </row>
    <row r="827">
      <c r="A827" s="1">
        <v>4.0</v>
      </c>
      <c r="B827" s="1" t="s">
        <v>824</v>
      </c>
      <c r="C827" t="str">
        <f>IFERROR(__xludf.DUMMYFUNCTION("GOOGLETRANSLATE(B827, ""fr"", ""en"")"),"Snow boots I'm happy in general. Good product")</f>
        <v>Snow boots I'm happy in general. Good product</v>
      </c>
    </row>
    <row r="828">
      <c r="A828" s="1">
        <v>4.0</v>
      </c>
      <c r="B828" s="1" t="s">
        <v>825</v>
      </c>
      <c r="C828" t="str">
        <f>IFERROR(__xludf.DUMMYFUNCTION("GOOGLETRANSLATE(B828, ""fr"", ""en"")"),"A nice lot of good material The bag is nice, colorful and with a Bic not too flashy logo: can be reused easily. True pastels marking, glue paillette and magic felts + coloring. The set is an excellent price / quality ratio.")</f>
        <v>A nice lot of good material The bag is nice, colorful and with a Bic not too flashy logo: can be reused easily. True pastels marking, glue paillette and magic felts + coloring. The set is an excellent price / quality ratio.</v>
      </c>
    </row>
    <row r="829">
      <c r="A829" s="1">
        <v>4.0</v>
      </c>
      <c r="B829" s="1" t="s">
        <v>826</v>
      </c>
      <c r="C829" t="str">
        <f>IFERROR(__xludf.DUMMYFUNCTION("GOOGLETRANSLATE(B829, ""fr"", ""en"")"),"Very Sanytol n value when it buys less than € 8.")</f>
        <v>Very Sanytol n value when it buys less than € 8.</v>
      </c>
    </row>
    <row r="830">
      <c r="A830" s="1">
        <v>5.0</v>
      </c>
      <c r="B830" s="1" t="s">
        <v>827</v>
      </c>
      <c r="C830" t="str">
        <f>IFERROR(__xludf.DUMMYFUNCTION("GOOGLETRANSLATE(B830, ""fr"", ""en"")"),"Very comfortable joints I very sensitive feet, these shoes are as comfortable as slippers. They dampen out all the irregularities of the ground. Great for walking.")</f>
        <v>Very comfortable joints I very sensitive feet, these shoes are as comfortable as slippers. They dampen out all the irregularities of the ground. Great for walking.</v>
      </c>
    </row>
    <row r="831">
      <c r="A831" s="1">
        <v>5.0</v>
      </c>
      <c r="B831" s="1" t="s">
        <v>828</v>
      </c>
      <c r="C831" t="str">
        <f>IFERROR(__xludf.DUMMYFUNCTION("GOOGLETRANSLATE(B831, ""fr"", ""en"")"),"Super Sale recommended by the teacher.")</f>
        <v>Super Sale recommended by the teacher.</v>
      </c>
    </row>
    <row r="832">
      <c r="A832" s="1">
        <v>5.0</v>
      </c>
      <c r="B832" s="1" t="s">
        <v>829</v>
      </c>
      <c r="C832" t="str">
        <f>IFERROR(__xludf.DUMMYFUNCTION("GOOGLETRANSLATE(B832, ""fr"", ""en"")"),"Pretty lovely curls ordered twice for me and mom; is allergic, I waited a little; Seeing that they did not hurt me, I recommended; neither too big nor too small, stone shines well; I do, however, only a few days in the week door for fear of the damage. I "&amp;"recommend ; reasonable price .")</f>
        <v>Pretty lovely curls ordered twice for me and mom; is allergic, I waited a little; Seeing that they did not hurt me, I recommended; neither too big nor too small, stone shines well; I do, however, only a few days in the week door for fear of the damage. I recommend ; reasonable price .</v>
      </c>
    </row>
    <row r="833">
      <c r="A833" s="1">
        <v>5.0</v>
      </c>
      <c r="B833" s="1" t="s">
        <v>830</v>
      </c>
      <c r="C833" t="str">
        <f>IFERROR(__xludf.DUMMYFUNCTION("GOOGLETRANSLATE(B833, ""fr"", ""en"")"),"Beautiful leather bag compact bag has multiple pockets and very pretty ... I recommend")</f>
        <v>Beautiful leather bag compact bag has multiple pockets and very pretty ... I recommend</v>
      </c>
    </row>
    <row r="834">
      <c r="A834" s="1">
        <v>5.0</v>
      </c>
      <c r="B834" s="1" t="s">
        <v>831</v>
      </c>
      <c r="C834" t="str">
        <f>IFERROR(__xludf.DUMMYFUNCTION("GOOGLETRANSLATE(B834, ""fr"", ""en"")"),"Great For me it is the best helmet that exists for the Xbox One no wire to set anything frankly is the top and the devil what")</f>
        <v>Great For me it is the best helmet that exists for the Xbox One no wire to set anything frankly is the top and the devil what</v>
      </c>
    </row>
    <row r="835">
      <c r="A835" s="1">
        <v>5.0</v>
      </c>
      <c r="B835" s="1" t="s">
        <v>832</v>
      </c>
      <c r="C835" t="str">
        <f>IFERROR(__xludf.DUMMYFUNCTION("GOOGLETRANSLATE(B835, ""fr"", ""en"")"),"Fabric very excellent and pleasant relaxation, but also sports")</f>
        <v>Fabric very excellent and pleasant relaxation, but also sports</v>
      </c>
    </row>
    <row r="836">
      <c r="A836" s="1">
        <v>5.0</v>
      </c>
      <c r="B836" s="1" t="s">
        <v>833</v>
      </c>
      <c r="C836" t="str">
        <f>IFERROR(__xludf.DUMMYFUNCTION("GOOGLETRANSLATE(B836, ""fr"", ""en"")"),"Nice Nice effect good quality for the price")</f>
        <v>Nice Nice effect good quality for the price</v>
      </c>
    </row>
    <row r="837">
      <c r="A837" s="1">
        <v>5.0</v>
      </c>
      <c r="B837" s="1" t="s">
        <v>834</v>
      </c>
      <c r="C837" t="str">
        <f>IFERROR(__xludf.DUMMYFUNCTION("GOOGLETRANSLATE(B837, ""fr"", ""en"")"),"nickel Product Excellent I recommend")</f>
        <v>nickel Product Excellent I recommend</v>
      </c>
    </row>
    <row r="838">
      <c r="A838" s="1">
        <v>5.0</v>
      </c>
      <c r="B838" s="1" t="s">
        <v>835</v>
      </c>
      <c r="C838" t="str">
        <f>IFERROR(__xludf.DUMMYFUNCTION("GOOGLETRANSLATE(B838, ""fr"", ""en"")"),"Robust long it takes just as perfect brush for baby bottles or dishes.")</f>
        <v>Robust long it takes just as perfect brush for baby bottles or dishes.</v>
      </c>
    </row>
    <row r="839">
      <c r="A839" s="1">
        <v>5.0</v>
      </c>
      <c r="B839" s="1" t="s">
        <v>836</v>
      </c>
      <c r="C839" t="str">
        <f>IFERROR(__xludf.DUMMYFUNCTION("GOOGLETRANSLATE(B839, ""fr"", ""en"")"),"Super Nikel")</f>
        <v>Super Nikel</v>
      </c>
    </row>
    <row r="840">
      <c r="A840" s="1">
        <v>5.0</v>
      </c>
      <c r="B840" s="1" t="s">
        <v>837</v>
      </c>
      <c r="C840" t="str">
        <f>IFERROR(__xludf.DUMMYFUNCTION("GOOGLETRANSLATE(B840, ""fr"", ""en"")"),"comfortable After 6 months of daily use, they have yet to sign of weakness, mild, comfortable, with a style for safety shoes")</f>
        <v>comfortable After 6 months of daily use, they have yet to sign of weakness, mild, comfortable, with a style for safety shoes</v>
      </c>
    </row>
    <row r="841">
      <c r="A841" s="1">
        <v>5.0</v>
      </c>
      <c r="B841" s="1" t="s">
        <v>838</v>
      </c>
      <c r="C841" t="str">
        <f>IFERROR(__xludf.DUMMYFUNCTION("GOOGLETRANSLATE(B841, ""fr"", ""en"")"),"candy")</f>
        <v>candy</v>
      </c>
    </row>
    <row r="842">
      <c r="A842" s="1">
        <v>5.0</v>
      </c>
      <c r="B842" s="1" t="s">
        <v>839</v>
      </c>
      <c r="C842" t="str">
        <f>IFERROR(__xludf.DUMMYFUNCTION("GOOGLETRANSLATE(B842, ""fr"", ""en"")"),"Very nice shopping very long delivery time, but what a beautiful shirt. same blue color to the picture, nice cut and good size. Bravo.")</f>
        <v>Very nice shopping very long delivery time, but what a beautiful shirt. same blue color to the picture, nice cut and good size. Bravo.</v>
      </c>
    </row>
    <row r="843">
      <c r="A843" s="1">
        <v>5.0</v>
      </c>
      <c r="B843" s="1" t="s">
        <v>840</v>
      </c>
      <c r="C843" t="str">
        <f>IFERROR(__xludf.DUMMYFUNCTION("GOOGLETRANSLATE(B843, ""fr"", ""en"")"),"Good quality and as described for Advent")</f>
        <v>Good quality and as described for Advent</v>
      </c>
    </row>
    <row r="844">
      <c r="A844" s="1">
        <v>5.0</v>
      </c>
      <c r="B844" s="1" t="s">
        <v>841</v>
      </c>
      <c r="C844" t="str">
        <f>IFERROR(__xludf.DUMMYFUNCTION("GOOGLETRANSLATE(B844, ""fr"", ""en"")"),"Perfect Home Studio Headphones")</f>
        <v>Perfect Home Studio Headphones</v>
      </c>
    </row>
    <row r="845">
      <c r="A845" s="1">
        <v>2.0</v>
      </c>
      <c r="B845" s="1" t="s">
        <v>842</v>
      </c>
      <c r="C845" t="str">
        <f>IFERROR(__xludf.DUMMYFUNCTION("GOOGLETRANSLATE(B845, ""fr"", ""en"")"),"Rather Women Bracelets are nice but I expected a little more masculine, I have offered to friends finally")</f>
        <v>Rather Women Bracelets are nice but I expected a little more masculine, I have offered to friends finally</v>
      </c>
    </row>
    <row r="846">
      <c r="A846" s="1">
        <v>1.0</v>
      </c>
      <c r="B846" s="1" t="s">
        <v>843</v>
      </c>
      <c r="C846" t="str">
        <f>IFERROR(__xludf.DUMMYFUNCTION("GOOGLETRANSLATE(B846, ""fr"", ""en"")"),"No longer works in 1 week time !!!!!!!! That makes it one week that I use and it works at all. I told myself that I'll get a good price to be quiet here is the result, and I can no longer return it because I planned to buy it before my birth and more that"&amp;" we have 30 days to return.")</f>
        <v>No longer works in 1 week time !!!!!!!! That makes it one week that I use and it works at all. I told myself that I'll get a good price to be quiet here is the result, and I can no longer return it because I planned to buy it before my birth and more that we have 30 days to return.</v>
      </c>
    </row>
    <row r="847">
      <c r="A847" s="1">
        <v>1.0</v>
      </c>
      <c r="B847" s="1" t="s">
        <v>844</v>
      </c>
      <c r="C847" t="str">
        <f>IFERROR(__xludf.DUMMYFUNCTION("GOOGLETRANSLATE(B847, ""fr"", ""en"")"),"NUL The product is quite expensive, so we could request a product of very good quality. However this is not the case. The product leaves traces (even by following the instruction manual). My Timberland are ruined. I highly recommend!")</f>
        <v>NUL The product is quite expensive, so we could request a product of very good quality. However this is not the case. The product leaves traces (even by following the instruction manual). My Timberland are ruined. I highly recommend!</v>
      </c>
    </row>
    <row r="848">
      <c r="A848" s="1">
        <v>3.0</v>
      </c>
      <c r="B848" s="1" t="s">
        <v>845</v>
      </c>
      <c r="C848" t="str">
        <f>IFERROR(__xludf.DUMMYFUNCTION("GOOGLETRANSLATE(B848, ""fr"", ""en"")"),"Good value good sweat, comfortable warm enough, he cuts well. I regret that the string is so big but that's a detail.")</f>
        <v>Good value good sweat, comfortable warm enough, he cuts well. I regret that the string is so big but that's a detail.</v>
      </c>
    </row>
    <row r="849">
      <c r="A849" s="1">
        <v>3.0</v>
      </c>
      <c r="B849" s="1" t="s">
        <v>846</v>
      </c>
      <c r="C849" t="str">
        <f>IFERROR(__xludf.DUMMYFUNCTION("GOOGLETRANSLATE(B849, ""fr"", ""en"")"),"Very good watch Pretty good functional watch nothing to say I really recommend except I did not like the crossed out price is not the bonet because new price with the reduction that the real price of the watch by all without reduction I I found it in two "&amp;"stores at this price after my purchase")</f>
        <v>Very good watch Pretty good functional watch nothing to say I really recommend except I did not like the crossed out price is not the bonet because new price with the reduction that the real price of the watch by all without reduction I I found it in two stores at this price after my purchase</v>
      </c>
    </row>
    <row r="850">
      <c r="A850" s="1">
        <v>4.0</v>
      </c>
      <c r="B850" s="1" t="s">
        <v>847</v>
      </c>
      <c r="C850" t="str">
        <f>IFERROR(__xludf.DUMMYFUNCTION("GOOGLETRANSLATE(B850, ""fr"", ""en"")"),"Although neither too thin nor too thick, perfect")</f>
        <v>Although neither too thin nor too thick, perfect</v>
      </c>
    </row>
    <row r="851">
      <c r="A851" s="1">
        <v>4.0</v>
      </c>
      <c r="B851" s="1" t="s">
        <v>848</v>
      </c>
      <c r="C851" t="str">
        <f>IFERROR(__xludf.DUMMYFUNCTION("GOOGLETRANSLATE(B851, ""fr"", ""en"")"),"Very good value for money ! I do not expect anything extraordinary with these wireless headphones, while Xiaomi is a very good brand in entertainment electronics. I must say I was surprised by the quality and accuracy of sound. Obviously, bass are not ver"&amp;"y present, as usual in this type of in-ear headphones. But here the quality and presence of the sound is soon forgotten the bass a little weak, we can also strengthen through numerous IOS or Android applications that modify the shape of the response curve"&amp;". The headphones fit comfortably in the ears (which I have yet large enough) even with the median size earbuds. The charging time seemed relatively fast for an autonomy that I find sufficient, especially since they are recharged as soon as the stores in t"&amp;"heir case: well done! Finally, the pairing on my iPhone 6+ became the first try, without any difficulty, in stereo. In short, for the price, I am very satisfied and I think I made a very good choice!")</f>
        <v>Very good value for money ! I do not expect anything extraordinary with these wireless headphones, while Xiaomi is a very good brand in entertainment electronics. I must say I was surprised by the quality and accuracy of sound. Obviously, bass are not very present, as usual in this type of in-ear headphones. But here the quality and presence of the sound is soon forgotten the bass a little weak, we can also strengthen through numerous IOS or Android applications that modify the shape of the response curve. The headphones fit comfortably in the ears (which I have yet large enough) even with the median size earbuds. The charging time seemed relatively fast for an autonomy that I find sufficient, especially since they are recharged as soon as the stores in their case: well done! Finally, the pairing on my iPhone 6+ became the first try, without any difficulty, in stereo. In short, for the price, I am very satisfied and I think I made a very good choice!</v>
      </c>
    </row>
    <row r="852">
      <c r="A852" s="1">
        <v>4.0</v>
      </c>
      <c r="B852" s="1" t="s">
        <v>849</v>
      </c>
      <c r="C852" t="str">
        <f>IFERROR(__xludf.DUMMYFUNCTION("GOOGLETRANSLATE(B852, ""fr"", ""en"")"),"Like many, the crisis struck Not as well-trimmed ones I had bought in the shop 10 years ago that but I think it just vien of changing things in general. The colors on top and the material and quality Lacoste is still")</f>
        <v>Like many, the crisis struck Not as well-trimmed ones I had bought in the shop 10 years ago that but I think it just vien of changing things in general. The colors on top and the material and quality Lacoste is still</v>
      </c>
    </row>
    <row r="853">
      <c r="A853" s="1">
        <v>4.0</v>
      </c>
      <c r="B853" s="1" t="s">
        <v>850</v>
      </c>
      <c r="C853" t="str">
        <f>IFERROR(__xludf.DUMMYFUNCTION("GOOGLETRANSLATE(B853, ""fr"", ""en"")"),"saguaro size 38 fit me perfectly, very comfortable, I plan to buy another pair for my daughter, be careful if you do not like feeling the ground reliefs go your way, because you almost feel naked foot .")</f>
        <v>saguaro size 38 fit me perfectly, very comfortable, I plan to buy another pair for my daughter, be careful if you do not like feeling the ground reliefs go your way, because you almost feel naked foot .</v>
      </c>
    </row>
    <row r="854">
      <c r="A854" s="1">
        <v>5.0</v>
      </c>
      <c r="B854" s="1" t="s">
        <v>851</v>
      </c>
      <c r="C854" t="str">
        <f>IFERROR(__xludf.DUMMYFUNCTION("GOOGLETRANSLATE(B854, ""fr"", ""en"")"),"Fast, efficient top .... Fast delivery, product conformity, I recommend Bin conditioning")</f>
        <v>Fast, efficient top .... Fast delivery, product conformity, I recommend Bin conditioning</v>
      </c>
    </row>
    <row r="855">
      <c r="A855" s="1">
        <v>5.0</v>
      </c>
      <c r="B855" s="1" t="s">
        <v>852</v>
      </c>
      <c r="C855" t="str">
        <f>IFERROR(__xludf.DUMMYFUNCTION("GOOGLETRANSLATE(B855, ""fr"", ""en"")"),"Hot Pants Pants chaud.agreable to wear. 2 waist pockets with a link that allows the suit to the waist.")</f>
        <v>Hot Pants Pants chaud.agreable to wear. 2 waist pockets with a link that allows the suit to the waist.</v>
      </c>
    </row>
    <row r="856">
      <c r="A856" s="1">
        <v>5.0</v>
      </c>
      <c r="B856" s="1" t="s">
        <v>853</v>
      </c>
      <c r="C856" t="str">
        <f>IFERROR(__xludf.DUMMYFUNCTION("GOOGLETRANSLATE(B856, ""fr"", ""en"")"),"Top makes his job very well done his job")</f>
        <v>Top makes his job very well done his job</v>
      </c>
    </row>
    <row r="857">
      <c r="A857" s="1">
        <v>5.0</v>
      </c>
      <c r="B857" s="1" t="s">
        <v>854</v>
      </c>
      <c r="C857" t="str">
        <f>IFERROR(__xludf.DUMMYFUNCTION("GOOGLETRANSLATE(B857, ""fr"", ""en"")"),"Uses comfortable to walk ...")</f>
        <v>Uses comfortable to walk ...</v>
      </c>
    </row>
    <row r="858">
      <c r="A858" s="1">
        <v>5.0</v>
      </c>
      <c r="B858" s="1" t="s">
        <v>855</v>
      </c>
      <c r="C858" t="str">
        <f>IFERROR(__xludf.DUMMYFUNCTION("GOOGLETRANSLATE(B858, ""fr"", ""en"")"),"Earpiece HAVIT Hello, I buy this product of high quality for 20 euro. I find that I pay for my purchase. For me it is very strong, he never had any problems. The microphone and sound quality are of high quality: you hear even outside. You have a small bag"&amp;" to store the headphones is good when traveling. It is easily adjustable and adjustable to all body types. : D")</f>
        <v>Earpiece HAVIT Hello, I buy this product of high quality for 20 euro. I find that I pay for my purchase. For me it is very strong, he never had any problems. The microphone and sound quality are of high quality: you hear even outside. You have a small bag to store the headphones is good when traveling. It is easily adjustable and adjustable to all body types. : D</v>
      </c>
    </row>
    <row r="859">
      <c r="A859" s="1">
        <v>5.0</v>
      </c>
      <c r="B859" s="1" t="s">
        <v>856</v>
      </c>
      <c r="C859" t="str">
        <f>IFERROR(__xludf.DUMMYFUNCTION("GOOGLETRANSLATE(B859, ""fr"", ""en"")"),"Very good look nice, well finished, practical, leather pretty j have offered to my father for Christmas he was delighted with the sudden I m am recommend one for me, the c is the size pockets are large so no need to wiggle the portfolio to make it fit, ec"&amp;"lair closures have the strong air and glide very well, which is appreciable when you have a grip not need to ask the package to hold the bag in one hand and opening it with the other , everything can be done with one hand, plus it is a large capacity bag "&amp;"and a very misplaced pocket .... for pickpockets")</f>
        <v>Very good look nice, well finished, practical, leather pretty j have offered to my father for Christmas he was delighted with the sudden I m am recommend one for me, the c is the size pockets are large so no need to wiggle the portfolio to make it fit, eclair closures have the strong air and glide very well, which is appreciable when you have a grip not need to ask the package to hold the bag in one hand and opening it with the other , everything can be done with one hand, plus it is a large capacity bag and a very misplaced pocket .... for pickpockets</v>
      </c>
    </row>
    <row r="860">
      <c r="A860" s="1">
        <v>5.0</v>
      </c>
      <c r="B860" s="1" t="s">
        <v>857</v>
      </c>
      <c r="C860" t="str">
        <f>IFERROR(__xludf.DUMMYFUNCTION("GOOGLETRANSLATE(B860, ""fr"", ""en"")"),"Super Cool")</f>
        <v>Super Cool</v>
      </c>
    </row>
    <row r="861">
      <c r="A861" s="1">
        <v>5.0</v>
      </c>
      <c r="B861" s="1" t="s">
        <v>858</v>
      </c>
      <c r="C861" t="str">
        <f>IFERROR(__xludf.DUMMYFUNCTION("GOOGLETRANSLATE(B861, ""fr"", ""en"")"),"Very good quality product great price")</f>
        <v>Very good quality product great price</v>
      </c>
    </row>
    <row r="862">
      <c r="A862" s="1">
        <v>5.0</v>
      </c>
      <c r="B862" s="1" t="s">
        <v>859</v>
      </c>
      <c r="C862" t="str">
        <f>IFERROR(__xludf.DUMMYFUNCTION("GOOGLETRANSLATE(B862, ""fr"", ""en"")"),"Stability This massage table is very convenient to the opening is very stable, the materials are beautiful and pleasant to the touch I am very satisfied")</f>
        <v>Stability This massage table is very convenient to the opening is very stable, the materials are beautiful and pleasant to the touch I am very satisfied</v>
      </c>
    </row>
    <row r="863">
      <c r="A863" s="1">
        <v>5.0</v>
      </c>
      <c r="B863" s="1" t="s">
        <v>860</v>
      </c>
      <c r="C863" t="str">
        <f>IFERROR(__xludf.DUMMYFUNCTION("GOOGLETRANSLATE(B863, ""fr"", ""en"")"),"matches the description I bought this jewelry for a gift. It is very nice, very fine and matches the description")</f>
        <v>matches the description I bought this jewelry for a gift. It is very nice, very fine and matches the description</v>
      </c>
    </row>
    <row r="864">
      <c r="A864" s="1">
        <v>5.0</v>
      </c>
      <c r="B864" s="1" t="s">
        <v>861</v>
      </c>
      <c r="C864" t="str">
        <f>IFERROR(__xludf.DUMMYFUNCTION("GOOGLETRANSLATE(B864, ""fr"", ""en"")"),"Top ! With 48v phantom power that's great! Very good sound and very good finish! The antipop filter is not bad but lets few breaths")</f>
        <v>Top ! With 48v phantom power that's great! Very good sound and very good finish! The antipop filter is not bad but lets few breaths</v>
      </c>
    </row>
    <row r="865">
      <c r="A865" s="1">
        <v>5.0</v>
      </c>
      <c r="B865" s="1" t="s">
        <v>862</v>
      </c>
      <c r="C865" t="str">
        <f>IFERROR(__xludf.DUMMYFUNCTION("GOOGLETRANSLATE(B865, ""fr"", ""en"")"),"Beautiful beautiful boots / boots. Comfortable and stylish.")</f>
        <v>Beautiful beautiful boots / boots. Comfortable and stylish.</v>
      </c>
    </row>
    <row r="866">
      <c r="A866" s="1">
        <v>5.0</v>
      </c>
      <c r="B866" s="1" t="s">
        <v>863</v>
      </c>
      <c r="C866" t="str">
        <f>IFERROR(__xludf.DUMMYFUNCTION("GOOGLETRANSLATE(B866, ""fr"", ""en"")"),". Gaming")</f>
        <v>. Gaming</v>
      </c>
    </row>
    <row r="867">
      <c r="A867" s="1">
        <v>5.0</v>
      </c>
      <c r="B867" s="1" t="s">
        <v>864</v>
      </c>
      <c r="C867" t="str">
        <f>IFERROR(__xludf.DUMMYFUNCTION("GOOGLETRANSLATE(B867, ""fr"", ""en"")"),"Very satisfied 👍😊 I am very happy and satisfied with the ink cartridges for my printer Buy I has 🖨 I recommend it to anyone who hesitates go rush !!")</f>
        <v>Very satisfied 👍😊 I am very happy and satisfied with the ink cartridges for my printer Buy I has 🖨 I recommend it to anyone who hesitates go rush !!</v>
      </c>
    </row>
    <row r="868">
      <c r="A868" s="1">
        <v>5.0</v>
      </c>
      <c r="B868" s="1" t="s">
        <v>865</v>
      </c>
      <c r="C868" t="str">
        <f>IFERROR(__xludf.DUMMYFUNCTION("GOOGLETRANSLATE(B868, ""fr"", ""en"")"),"Very good value My daughter bought this necklace to share it with a friend she is very satisfied!")</f>
        <v>Very good value My daughter bought this necklace to share it with a friend she is very satisfied!</v>
      </c>
    </row>
    <row r="869">
      <c r="A869" s="1">
        <v>2.0</v>
      </c>
      <c r="B869" s="1" t="s">
        <v>866</v>
      </c>
      <c r="C869" t="str">
        <f>IFERROR(__xludf.DUMMYFUNCTION("GOOGLETRANSLATE(B869, ""fr"", ""en"")"),"A little disappointed I like bottles mam my daughter 16 months has used these bottles since birth. I'm just disappointed bottles I ordered these bottles because I find them cute to complete my collection at the opening of my package was not ordered bottle"&amp;"s Total Disappointment ...")</f>
        <v>A little disappointed I like bottles mam my daughter 16 months has used these bottles since birth. I'm just disappointed bottles I ordered these bottles because I find them cute to complete my collection at the opening of my package was not ordered bottles Total Disappointment ...</v>
      </c>
    </row>
    <row r="870">
      <c r="A870" s="1">
        <v>1.0</v>
      </c>
      <c r="B870" s="1" t="s">
        <v>867</v>
      </c>
      <c r="C870" t="str">
        <f>IFERROR(__xludf.DUMMYFUNCTION("GOOGLETRANSLATE(B870, ""fr"", ""en"")"),"Size Too Small very small size for m ... Looks XS ....")</f>
        <v>Size Too Small very small size for m ... Looks XS ....</v>
      </c>
    </row>
    <row r="871">
      <c r="A871" s="1">
        <v>1.0</v>
      </c>
      <c r="B871" s="1" t="s">
        <v>868</v>
      </c>
      <c r="C871" t="str">
        <f>IFERROR(__xludf.DUMMYFUNCTION("GOOGLETRANSLATE(B871, ""fr"", ""en"")"),"Too little disappointed for XXL product received corresponds to a million, I am very disappointed, I will return the product and I do not recommend.")</f>
        <v>Too little disappointed for XXL product received corresponds to a million, I am very disappointed, I will return the product and I do not recommend.</v>
      </c>
    </row>
    <row r="872">
      <c r="A872" s="1">
        <v>3.0</v>
      </c>
      <c r="B872" s="1" t="s">
        <v>869</v>
      </c>
      <c r="C872" t="str">
        <f>IFERROR(__xludf.DUMMYFUNCTION("GOOGLETRANSLATE(B872, ""fr"", ""en"")"),"the product of good quality jai indicated adapted as expected because in my case and in the opinions of people who know this is often carhartt off so i chosen MEDIUM but for some reason i received S .... short article and impeccable except it .")</f>
        <v>the product of good quality jai indicated adapted as expected because in my case and in the opinions of people who know this is often carhartt off so i chosen MEDIUM but for some reason i received S .... short article and impeccable except it .</v>
      </c>
    </row>
    <row r="873">
      <c r="A873" s="1">
        <v>4.0</v>
      </c>
      <c r="B873" s="1" t="s">
        <v>870</v>
      </c>
      <c r="C873" t="str">
        <f>IFERROR(__xludf.DUMMYFUNCTION("GOOGLETRANSLATE(B873, ""fr"", ""en"")"),"Good headphones Good headphones but nothing extraordinary, more must repay a € 20 application later to have Dolby Atmos, a better quality sound (quick huh, like nothing extraordinary).")</f>
        <v>Good headphones Good headphones but nothing extraordinary, more must repay a € 20 application later to have Dolby Atmos, a better quality sound (quick huh, like nothing extraordinary).</v>
      </c>
    </row>
    <row r="874">
      <c r="A874" s="1">
        <v>4.0</v>
      </c>
      <c r="B874" s="1" t="s">
        <v>871</v>
      </c>
      <c r="C874" t="str">
        <f>IFERROR(__xludf.DUMMYFUNCTION("GOOGLETRANSLATE(B874, ""fr"", ""en"")"),"Good value for money Good value for money. Perfectly fits the screen, is easy to install and quickly, no bubble, holds well and fits well on all sides. The efficiency of the glass in case of impact remains to be seen, but it's a safe to put one on his pho"&amp;"ne. I recommend this article.")</f>
        <v>Good value for money Good value for money. Perfectly fits the screen, is easy to install and quickly, no bubble, holds well and fits well on all sides. The efficiency of the glass in case of impact remains to be seen, but it's a safe to put one on his phone. I recommend this article.</v>
      </c>
    </row>
    <row r="875">
      <c r="A875" s="1">
        <v>4.0</v>
      </c>
      <c r="B875" s="1" t="s">
        <v>872</v>
      </c>
      <c r="C875" t="str">
        <f>IFERROR(__xludf.DUMMYFUNCTION("GOOGLETRANSLATE(B875, ""fr"", ""en"")"),"Bracelet Stylish duo, are doing very well in duo")</f>
        <v>Bracelet Stylish duo, are doing very well in duo</v>
      </c>
    </row>
    <row r="876">
      <c r="A876" s="1">
        <v>4.0</v>
      </c>
      <c r="B876" s="1" t="s">
        <v>873</v>
      </c>
      <c r="C876" t="str">
        <f>IFERROR(__xludf.DUMMYFUNCTION("GOOGLETRANSLATE(B876, ""fr"", ""en"")"),"Speed ​​of delivery and packaging to top the beauty of the stones")</f>
        <v>Speed ​​of delivery and packaging to top the beauty of the stones</v>
      </c>
    </row>
    <row r="877">
      <c r="A877" s="1">
        <v>5.0</v>
      </c>
      <c r="B877" s="1" t="s">
        <v>874</v>
      </c>
      <c r="C877" t="str">
        <f>IFERROR(__xludf.DUMMYFUNCTION("GOOGLETRANSLATE(B877, ""fr"", ""en"")"),"Delivery very fast thank you serious Seller good listener falls not acceptable sound very fast delivery I recommend")</f>
        <v>Delivery very fast thank you serious Seller good listener falls not acceptable sound very fast delivery I recommend</v>
      </c>
    </row>
    <row r="878">
      <c r="A878" s="1">
        <v>5.0</v>
      </c>
      <c r="B878" s="1" t="s">
        <v>875</v>
      </c>
      <c r="C878" t="str">
        <f>IFERROR(__xludf.DUMMYFUNCTION("GOOGLETRANSLATE(B878, ""fr"", ""en"")"),"Impeccable Everything is perfect. There is nothing to say. Very soft, pleasant to the touch. The compartments are well laid out and the look is nice.")</f>
        <v>Impeccable Everything is perfect. There is nothing to say. Very soft, pleasant to the touch. The compartments are well laid out and the look is nice.</v>
      </c>
    </row>
    <row r="879">
      <c r="A879" s="1">
        <v>5.0</v>
      </c>
      <c r="B879" s="1" t="s">
        <v>876</v>
      </c>
      <c r="C879" t="str">
        <f>IFERROR(__xludf.DUMMYFUNCTION("GOOGLETRANSLATE(B879, ""fr"", ""en"")"),"Yeah she loved")</f>
        <v>Yeah she loved</v>
      </c>
    </row>
    <row r="880">
      <c r="A880" s="1">
        <v>5.0</v>
      </c>
      <c r="B880" s="1" t="s">
        <v>877</v>
      </c>
      <c r="C880" t="str">
        <f>IFERROR(__xludf.DUMMYFUNCTION("GOOGLETRANSLATE(B880, ""fr"", ""en"")"),"Insulators and comfortable I really find super.La foam is really innovative and pleasing to the ear. It replaces my original headphones one more and the sound quality is really good. The son does not mix and are very discreet.")</f>
        <v>Insulators and comfortable I really find super.La foam is really innovative and pleasing to the ear. It replaces my original headphones one more and the sound quality is really good. The son does not mix and are very discreet.</v>
      </c>
    </row>
    <row r="881">
      <c r="A881" s="1">
        <v>5.0</v>
      </c>
      <c r="B881" s="1" t="s">
        <v>878</v>
      </c>
      <c r="C881" t="str">
        <f>IFERROR(__xludf.DUMMYFUNCTION("GOOGLETRANSLATE(B881, ""fr"", ""en"")"),"Bottles Met my expectations")</f>
        <v>Bottles Met my expectations</v>
      </c>
    </row>
    <row r="882">
      <c r="A882" s="1">
        <v>5.0</v>
      </c>
      <c r="B882" s="1" t="s">
        <v>879</v>
      </c>
      <c r="C882" t="str">
        <f>IFERROR(__xludf.DUMMYFUNCTION("GOOGLETRANSLATE(B882, ""fr"", ""en"")"),"nothing wrong just received already tested, I am very satisfied with my purchase! pretty colors, panel intéressant.Une suggestion: make the same panel but on average spikes as for Stabilo 88.")</f>
        <v>nothing wrong just received already tested, I am very satisfied with my purchase! pretty colors, panel intéressant.Une suggestion: make the same panel but on average spikes as for Stabilo 88.</v>
      </c>
    </row>
    <row r="883">
      <c r="A883" s="1">
        <v>5.0</v>
      </c>
      <c r="B883" s="1" t="s">
        <v>880</v>
      </c>
      <c r="C883" t="str">
        <f>IFERROR(__xludf.DUMMYFUNCTION("GOOGLETRANSLATE(B883, ""fr"", ""en"")"),"Comfortable Meets photo")</f>
        <v>Comfortable Meets photo</v>
      </c>
    </row>
    <row r="884">
      <c r="A884" s="1">
        <v>5.0</v>
      </c>
      <c r="B884" s="1" t="s">
        <v>881</v>
      </c>
      <c r="C884" t="str">
        <f>IFERROR(__xludf.DUMMYFUNCTION("GOOGLETRANSLATE(B884, ""fr"", ""en"")"),"The perfect headphones are very good and much more satisfactory than expected. I bought it to go to work and I listened to the song quietly. Concealment is very good ~ The compact design can be worn with me. I wear it when I arrive. It is very safe and di"&amp;"fficult to find. It's very convenient, packaging is also very good, more delicate, the product is really good, especially the sound of the Bluetooth headset is quite clear there will be no noise")</f>
        <v>The perfect headphones are very good and much more satisfactory than expected. I bought it to go to work and I listened to the song quietly. Concealment is very good ~ The compact design can be worn with me. I wear it when I arrive. It is very safe and difficult to find. It's very convenient, packaging is also very good, more delicate, the product is really good, especially the sound of the Bluetooth headset is quite clear there will be no noise</v>
      </c>
    </row>
    <row r="885">
      <c r="A885" s="1">
        <v>5.0</v>
      </c>
      <c r="B885" s="1" t="s">
        <v>882</v>
      </c>
      <c r="C885" t="str">
        <f>IFERROR(__xludf.DUMMYFUNCTION("GOOGLETRANSLATE(B885, ""fr"", ""en"")"),"Brassieres excellent calvin As usual of very good quality produit..taille parfaite..et also nothing to add more C is a beautiful brassiere")</f>
        <v>Brassieres excellent calvin As usual of very good quality produit..taille parfaite..et also nothing to add more C is a beautiful brassiere</v>
      </c>
    </row>
    <row r="886">
      <c r="A886" s="1">
        <v>5.0</v>
      </c>
      <c r="B886" s="1" t="s">
        <v>883</v>
      </c>
      <c r="C886" t="str">
        <f>IFERROR(__xludf.DUMMYFUNCTION("GOOGLETRANSLATE(B886, ""fr"", ""en"")"),"bottles on top !!!! I recommend these bottles, used at the time for my son, I bought for my future baby coming in a few months.")</f>
        <v>bottles on top !!!! I recommend these bottles, used at the time for my son, I bought for my future baby coming in a few months.</v>
      </c>
    </row>
    <row r="887">
      <c r="A887" s="1">
        <v>5.0</v>
      </c>
      <c r="B887" s="1" t="s">
        <v>884</v>
      </c>
      <c r="C887" t="str">
        <f>IFERROR(__xludf.DUMMYFUNCTION("GOOGLETRANSLATE(B887, ""fr"", ""en"")"),"Lacoste very well done good job well done it makes it very well and very convenient")</f>
        <v>Lacoste very well done good job well done it makes it very well and very convenient</v>
      </c>
    </row>
    <row r="888">
      <c r="A888" s="1">
        <v>5.0</v>
      </c>
      <c r="B888" s="1" t="s">
        <v>885</v>
      </c>
      <c r="C888" t="str">
        <f>IFERROR(__xludf.DUMMYFUNCTION("GOOGLETRANSLATE(B888, ""fr"", ""en"")"),"Value for money Excellent! Relieves tension really. Can be used on all parts of the body that need it.")</f>
        <v>Value for money Excellent! Relieves tension really. Can be used on all parts of the body that need it.</v>
      </c>
    </row>
    <row r="889">
      <c r="A889" s="1">
        <v>5.0</v>
      </c>
      <c r="B889" s="1" t="s">
        <v>886</v>
      </c>
      <c r="C889" t="str">
        <f>IFERROR(__xludf.DUMMYFUNCTION("GOOGLETRANSLATE(B889, ""fr"", ""en"")"),"Product compliant Very good product")</f>
        <v>Product compliant Very good product</v>
      </c>
    </row>
    <row r="890">
      <c r="A890" s="1">
        <v>5.0</v>
      </c>
      <c r="B890" s="1" t="s">
        <v>887</v>
      </c>
      <c r="C890" t="str">
        <f>IFERROR(__xludf.DUMMYFUNCTION("GOOGLETRANSLATE(B890, ""fr"", ""en"")"),"Well I bought for my daughter, perfect in size pair of comfortable sneakers, breathable, at heel below specifically corner air making it comfortable to feet, my daughter loves her shoes and I just my purchase.")</f>
        <v>Well I bought for my daughter, perfect in size pair of comfortable sneakers, breathable, at heel below specifically corner air making it comfortable to feet, my daughter loves her shoes and I just my purchase.</v>
      </c>
    </row>
    <row r="891">
      <c r="A891" s="1">
        <v>5.0</v>
      </c>
      <c r="B891" s="1" t="s">
        <v>888</v>
      </c>
      <c r="C891" t="str">
        <f>IFERROR(__xludf.DUMMYFUNCTION("GOOGLETRANSLATE(B891, ""fr"", ""en"")"),"Beautiful imitation bracelet a bit long but otherwise nice watch, very fast shipping, presentation of the watch very carefully ... so ... Satisfied to see in time of course !!!")</f>
        <v>Beautiful imitation bracelet a bit long but otherwise nice watch, very fast shipping, presentation of the watch very carefully ... so ... Satisfied to see in time of course !!!</v>
      </c>
    </row>
    <row r="892">
      <c r="A892" s="1">
        <v>2.0</v>
      </c>
      <c r="B892" s="1" t="s">
        <v>889</v>
      </c>
      <c r="C892" t="str">
        <f>IFERROR(__xludf.DUMMYFUNCTION("GOOGLETRANSLATE(B892, ""fr"", ""en"")"),"Recommends moderately Fortunately that I had planned to take 1 to 2 size smaller if not high quality good given the price we not expect .... Otherwise hot well")</f>
        <v>Recommends moderately Fortunately that I had planned to take 1 to 2 size smaller if not high quality good given the price we not expect .... Otherwise hot well</v>
      </c>
    </row>
    <row r="893">
      <c r="A893" s="1">
        <v>1.0</v>
      </c>
      <c r="B893" s="1" t="s">
        <v>890</v>
      </c>
      <c r="C893" t="str">
        <f>IFERROR(__xludf.DUMMYFUNCTION("GOOGLETRANSLATE(B893, ""fr"", ""en"")"),"It is broken in less than 24:00! The bracelet is broken for no reason in less than 24:00. Yet the elastic looked solid.")</f>
        <v>It is broken in less than 24:00! The bracelet is broken for no reason in less than 24:00. Yet the elastic looked solid.</v>
      </c>
    </row>
    <row r="894">
      <c r="A894" s="1">
        <v>3.0</v>
      </c>
      <c r="B894" s="1" t="s">
        <v>891</v>
      </c>
      <c r="C894" t="str">
        <f>IFERROR(__xludf.DUMMYFUNCTION("GOOGLETRANSLATE(B894, ""fr"", ""en"")"),"Convenient but tears easily Very convenient but there is already one that has torn at the opening Zip")</f>
        <v>Convenient but tears easily Very convenient but there is already one that has torn at the opening Zip</v>
      </c>
    </row>
    <row r="895">
      <c r="A895" s="1">
        <v>3.0</v>
      </c>
      <c r="B895" s="1" t="s">
        <v>892</v>
      </c>
      <c r="C895" t="str">
        <f>IFERROR(__xludf.DUMMYFUNCTION("GOOGLETRANSLATE(B895, ""fr"", ""en"")"),"Good article but tangled hair product complies with the description. Not disappointed on that side. I like to massage the head. But does not replace the manual massage. It is more aggressive than the fingertips even if the ends are rubbers. There are only"&amp;" 2 speeds and less fast is too fast I think. I have wavy hair sometimes matted it to me. But they do not stay stuck in it. I keep it anyway because I have someone to massage my head !!! 😒C'est better than nothing !!")</f>
        <v>Good article but tangled hair product complies with the description. Not disappointed on that side. I like to massage the head. But does not replace the manual massage. It is more aggressive than the fingertips even if the ends are rubbers. There are only 2 speeds and less fast is too fast I think. I have wavy hair sometimes matted it to me. But they do not stay stuck in it. I keep it anyway because I have someone to massage my head !!! 😒C'est better than nothing !!</v>
      </c>
    </row>
    <row r="896">
      <c r="A896" s="1">
        <v>4.0</v>
      </c>
      <c r="B896" s="1" t="s">
        <v>893</v>
      </c>
      <c r="C896" t="str">
        <f>IFERROR(__xludf.DUMMYFUNCTION("GOOGLETRANSLATE(B896, ""fr"", ""en"")"),"The cutter is not good The laminator is ultra simple to uSe. The cutter in hand is pretty bad, I do not serve me because I have another much more efficient and happily.")</f>
        <v>The cutter is not good The laminator is ultra simple to uSe. The cutter in hand is pretty bad, I do not serve me because I have another much more efficient and happily.</v>
      </c>
    </row>
    <row r="897">
      <c r="A897" s="1">
        <v>4.0</v>
      </c>
      <c r="B897" s="1" t="s">
        <v>894</v>
      </c>
      <c r="C897" t="str">
        <f>IFERROR(__xludf.DUMMYFUNCTION("GOOGLETRANSLATE(B897, ""fr"", ""en"")"),"Corresponds exactly to my needs Small sewing and handicrafts")</f>
        <v>Corresponds exactly to my needs Small sewing and handicrafts</v>
      </c>
    </row>
    <row r="898">
      <c r="A898" s="1">
        <v>4.0</v>
      </c>
      <c r="B898" s="1" t="s">
        <v>895</v>
      </c>
      <c r="C898" t="str">
        <f>IFERROR(__xludf.DUMMYFUNCTION("GOOGLETRANSLATE(B898, ""fr"", ""en"")"),"very useful ! I have ordered this cover for my husband which does not happen when he has returned to warm scooter in winter .... it s also serves on the couch in front of the film, its heat is adjustable, it heats gently .. .this product meets my expectat"&amp;"ions perfectly")</f>
        <v>very useful ! I have ordered this cover for my husband which does not happen when he has returned to warm scooter in winter .... it s also serves on the couch in front of the film, its heat is adjustable, it heats gently .. .this product meets my expectations perfectly</v>
      </c>
    </row>
    <row r="899">
      <c r="A899" s="1">
        <v>4.0</v>
      </c>
      <c r="B899" s="1" t="s">
        <v>896</v>
      </c>
      <c r="C899" t="str">
        <f>IFERROR(__xludf.DUMMYFUNCTION("GOOGLETRANSLATE(B899, ""fr"", ""en"")"),"good massage table Good food for the price. Do ""whines"" .J'attends not see the use (especially with people of strong stoutness)")</f>
        <v>good massage table Good food for the price. Do "whines" .J'attends not see the use (especially with people of strong stoutness)</v>
      </c>
    </row>
    <row r="900">
      <c r="A900" s="1">
        <v>5.0</v>
      </c>
      <c r="B900" s="1" t="s">
        <v>897</v>
      </c>
      <c r="C900" t="str">
        <f>IFERROR(__xludf.DUMMYFUNCTION("GOOGLETRANSLATE(B900, ""fr"", ""en"")"),"Good product Good product, the expectations you have to take a size smaller than your shoe size basketball")</f>
        <v>Good product Good product, the expectations you have to take a size smaller than your shoe size basketball</v>
      </c>
    </row>
    <row r="901">
      <c r="A901" s="1">
        <v>5.0</v>
      </c>
      <c r="B901" s="1" t="s">
        <v>898</v>
      </c>
      <c r="C901" t="str">
        <f>IFERROR(__xludf.DUMMYFUNCTION("GOOGLETRANSLATE(B901, ""fr"", ""en"")"),"On top Nickel")</f>
        <v>On top Nickel</v>
      </c>
    </row>
    <row r="902">
      <c r="A902" s="1">
        <v>5.0</v>
      </c>
      <c r="B902" s="1" t="s">
        <v>899</v>
      </c>
      <c r="C902" t="str">
        <f>IFERROR(__xludf.DUMMYFUNCTION("GOOGLETRANSLATE(B902, ""fr"", ""en"")"),"On a cloud I feel like in a cloud")</f>
        <v>On a cloud I feel like in a cloud</v>
      </c>
    </row>
    <row r="903">
      <c r="A903" s="1">
        <v>5.0</v>
      </c>
      <c r="B903" s="1" t="s">
        <v>900</v>
      </c>
      <c r="C903" t="str">
        <f>IFERROR(__xludf.DUMMYFUNCTION("GOOGLETRANSLATE(B903, ""fr"", ""en"")"),"RCA cable RCA XLR-XLR good, no bad contact yet ... molded RCA plugs therefore not removable. Proper length and marking colors L / R on the records")</f>
        <v>RCA cable RCA XLR-XLR good, no bad contact yet ... molded RCA plugs therefore not removable. Proper length and marking colors L / R on the records</v>
      </c>
    </row>
    <row r="904">
      <c r="A904" s="1">
        <v>5.0</v>
      </c>
      <c r="B904" s="1" t="s">
        <v>901</v>
      </c>
      <c r="C904" t="str">
        <f>IFERROR(__xludf.DUMMYFUNCTION("GOOGLETRANSLATE(B904, ""fr"", ""en"")"),"Micro No, really low end that I do not recommend it because the results are far from resembling the product description. The supplier's response can only show the seriousness of this company, a big thank you to her.")</f>
        <v>Micro No, really low end that I do not recommend it because the results are far from resembling the product description. The supplier's response can only show the seriousness of this company, a big thank you to her.</v>
      </c>
    </row>
    <row r="905">
      <c r="A905" s="1">
        <v>5.0</v>
      </c>
      <c r="B905" s="1" t="s">
        <v>902</v>
      </c>
      <c r="C905" t="str">
        <f>IFERROR(__xludf.DUMMYFUNCTION("GOOGLETRANSLATE(B905, ""fr"", ""en"")"),"Good nomadic headphones - good price / quality The Marshall quality is up to the Nomad helmet! With a good quality / price this headset is perfect for listening to music on his smartphone")</f>
        <v>Good nomadic headphones - good price / quality The Marshall quality is up to the Nomad helmet! With a good quality / price this headset is perfect for listening to music on his smartphone</v>
      </c>
    </row>
    <row r="906">
      <c r="A906" s="1">
        <v>5.0</v>
      </c>
      <c r="B906" s="1" t="s">
        <v>903</v>
      </c>
      <c r="C906" t="str">
        <f>IFERROR(__xludf.DUMMYFUNCTION("GOOGLETRANSLATE(B906, ""fr"", ""en"")"),"Jewel Bracelet Rose Gold Plated Beautiful Color Leaves Zircon Women's super seller thank you thank you")</f>
        <v>Jewel Bracelet Rose Gold Plated Beautiful Color Leaves Zircon Women's super seller thank you thank you</v>
      </c>
    </row>
    <row r="907">
      <c r="A907" s="1">
        <v>5.0</v>
      </c>
      <c r="B907" s="1" t="s">
        <v>904</v>
      </c>
      <c r="C907" t="str">
        <f>IFERROR(__xludf.DUMMYFUNCTION("GOOGLETRANSLATE(B907, ""fr"", ""en"")"),"Perfect Nothing to say, these shoes are fine.")</f>
        <v>Perfect Nothing to say, these shoes are fine.</v>
      </c>
    </row>
    <row r="908">
      <c r="A908" s="1">
        <v>5.0</v>
      </c>
      <c r="B908" s="1" t="s">
        <v>905</v>
      </c>
      <c r="C908" t="str">
        <f>IFERROR(__xludf.DUMMYFUNCTION("GOOGLETRANSLATE(B908, ""fr"", ""en"")"),"Complies perfect shoes and perfect size")</f>
        <v>Complies perfect shoes and perfect size</v>
      </c>
    </row>
    <row r="909">
      <c r="A909" s="1">
        <v>5.0</v>
      </c>
      <c r="B909" s="1" t="s">
        <v>906</v>
      </c>
      <c r="C909" t="str">
        <f>IFERROR(__xludf.DUMMYFUNCTION("GOOGLETRANSLATE(B909, ""fr"", ""en"")"),"comfortable shoe size well, I took the 38. It's a good shoe, it seems to be in slippers so it's comfortable.")</f>
        <v>comfortable shoe size well, I took the 38. It's a good shoe, it seems to be in slippers so it's comfortable.</v>
      </c>
    </row>
    <row r="910">
      <c r="A910" s="1">
        <v>5.0</v>
      </c>
      <c r="B910" s="1" t="s">
        <v>907</v>
      </c>
      <c r="C910" t="str">
        <f>IFERROR(__xludf.DUMMYFUNCTION("GOOGLETRANSLATE(B910, ""fr"", ""en"")"),"Stupéfaint I was looking for a reasonably priced headphones and good, and I was served! The sound is just amazing and very balanced.")</f>
        <v>Stupéfaint I was looking for a reasonably priced headphones and good, and I was served! The sound is just amazing and very balanced.</v>
      </c>
    </row>
    <row r="911">
      <c r="A911" s="1">
        <v>5.0</v>
      </c>
      <c r="B911" s="1" t="s">
        <v>908</v>
      </c>
      <c r="C911" t="str">
        <f>IFERROR(__xludf.DUMMYFUNCTION("GOOGLETRANSLATE(B911, ""fr"", ""en"")"),"Discreet bluetooth headphones without son by a listener ears Very discreet because no son, the sound quality is very correct Perfect for listening to music during exercise or office with discretion")</f>
        <v>Discreet bluetooth headphones without son by a listener ears Very discreet because no son, the sound quality is very correct Perfect for listening to music during exercise or office with discretion</v>
      </c>
    </row>
    <row r="912">
      <c r="A912" s="1">
        <v>5.0</v>
      </c>
      <c r="B912" s="1" t="s">
        <v>909</v>
      </c>
      <c r="C912" t="str">
        <f>IFERROR(__xludf.DUMMYFUNCTION("GOOGLETRANSLATE(B912, ""fr"", ""en"")"),"essential item since we that tree, everyone loves the design level, it has become a real friend and indispensable to our daily practice of parents, easy to clean and you get to put a lot of bottles and accessories")</f>
        <v>essential item since we that tree, everyone loves the design level, it has become a real friend and indispensable to our daily practice of parents, easy to clean and you get to put a lot of bottles and accessories</v>
      </c>
    </row>
    <row r="913">
      <c r="A913" s="1">
        <v>5.0</v>
      </c>
      <c r="B913" s="1" t="s">
        <v>910</v>
      </c>
      <c r="C913" t="str">
        <f>IFERROR(__xludf.DUMMYFUNCTION("GOOGLETRANSLATE(B913, ""fr"", ""en"")"),"Delighted with my purchase. A little mini the kettle, a little larger than the size of my hand. Mini but Convenient for home. The hose to get the water is different than a normal kettle but very practical, more concern is that reverse too empty and it bur"&amp;"ns your hands. The limit (max) to fill the water is lower but sufficient. And different functionality, such as +/- and keep warm (I think) is more than a normal kettle which I did not use. Anyway, this mini kettle through everything, even the office is Hy"&amp;"per practice. I strong recommend.")</f>
        <v>Delighted with my purchase. A little mini the kettle, a little larger than the size of my hand. Mini but Convenient for home. The hose to get the water is different than a normal kettle but very practical, more concern is that reverse too empty and it burns your hands. The limit (max) to fill the water is lower but sufficient. And different functionality, such as +/- and keep warm (I think) is more than a normal kettle which I did not use. Anyway, this mini kettle through everything, even the office is Hyper practice. I strong recommend.</v>
      </c>
    </row>
    <row r="914">
      <c r="A914" s="1">
        <v>5.0</v>
      </c>
      <c r="B914" s="1" t="s">
        <v>911</v>
      </c>
      <c r="C914" t="str">
        <f>IFERROR(__xludf.DUMMYFUNCTION("GOOGLETRANSLATE(B914, ""fr"", ""en"")"),"I love these loops The quality of these earrings is very good, I put on the second hole I made the ears is top. I like the color shining color style of the rainbow sky. In 925 sterilized. The loops are very comfortable. All the details are well made. Arri"&amp;"val in the box with the brand name it.")</f>
        <v>I love these loops The quality of these earrings is very good, I put on the second hole I made the ears is top. I like the color shining color style of the rainbow sky. In 925 sterilized. The loops are very comfortable. All the details are well made. Arrival in the box with the brand name it.</v>
      </c>
    </row>
    <row r="915">
      <c r="A915" s="1">
        <v>5.0</v>
      </c>
      <c r="B915" s="1" t="s">
        <v>912</v>
      </c>
      <c r="C915" t="str">
        <f>IFERROR(__xludf.DUMMYFUNCTION("GOOGLETRANSLATE(B915, ""fr"", ""en"")"),"Really good :) My son uses this helmet on his PC mainly for games but also for youtube videos. He appreciates the comfort foam on the headphones and also the microphone sensitivity when its gaming parties. The helmet is adjusted easily and adapts well to "&amp;"the head. The cable is long enough and the sound setting is done directly on one of the earphones. In summary, considering the price I am very satisfied.")</f>
        <v>Really good :) My son uses this helmet on his PC mainly for games but also for youtube videos. He appreciates the comfort foam on the headphones and also the microphone sensitivity when its gaming parties. The helmet is adjusted easily and adapts well to the head. The cable is long enough and the sound setting is done directly on one of the earphones. In summary, considering the price I am very satisfied.</v>
      </c>
    </row>
    <row r="916">
      <c r="A916" s="1">
        <v>2.0</v>
      </c>
      <c r="B916" s="1" t="s">
        <v>913</v>
      </c>
      <c r="C916" t="str">
        <f>IFERROR(__xludf.DUMMYFUNCTION("GOOGLETRANSLATE(B916, ""fr"", ""en"")"),"poor quality sticky")</f>
        <v>poor quality sticky</v>
      </c>
    </row>
    <row r="917">
      <c r="A917" s="1">
        <v>1.0</v>
      </c>
      <c r="B917" s="1" t="s">
        <v>914</v>
      </c>
      <c r="C917" t="str">
        <f>IFERROR(__xludf.DUMMYFUNCTION("GOOGLETRANSLATE(B917, ""fr"", ""en"")"),"Disappointed Very disappointed small size was late and more with a seam torn I have not returned for lack of time but very disappointed")</f>
        <v>Disappointed Very disappointed small size was late and more with a seam torn I have not returned for lack of time but very disappointed</v>
      </c>
    </row>
    <row r="918">
      <c r="A918" s="1">
        <v>1.0</v>
      </c>
      <c r="B918" s="1" t="s">
        <v>915</v>
      </c>
      <c r="C918" t="str">
        <f>IFERROR(__xludf.DUMMYFUNCTION("GOOGLETRANSLATE(B918, ""fr"", ""en"")"),"very deçue I ordered this case for my christmas married. She had very good reviews on Amazon and therefore a very good price / quality ratio. After six weeks of use, it is already disjointed (see photo attached). I'm so disappointed.")</f>
        <v>very deçue I ordered this case for my christmas married. She had very good reviews on Amazon and therefore a very good price / quality ratio. After six weeks of use, it is already disjointed (see photo attached). I'm so disappointed.</v>
      </c>
    </row>
    <row r="919">
      <c r="A919" s="1">
        <v>3.0</v>
      </c>
      <c r="B919" s="1" t="s">
        <v>916</v>
      </c>
      <c r="C919" t="str">
        <f>IFERROR(__xludf.DUMMYFUNCTION("GOOGLETRANSLATE(B919, ""fr"", ""en"")"),"Clean and vacuum it is beautiful ... Between limestone and fog, once in service design becomes very disappointing. Benefits, however: we can see the volume of water drawn with scale and contains many (1.7 liters).")</f>
        <v>Clean and vacuum it is beautiful ... Between limestone and fog, once in service design becomes very disappointing. Benefits, however: we can see the volume of water drawn with scale and contains many (1.7 liters).</v>
      </c>
    </row>
    <row r="920">
      <c r="A920" s="1">
        <v>3.0</v>
      </c>
      <c r="B920" s="1" t="s">
        <v>917</v>
      </c>
      <c r="C920" t="str">
        <f>IFERROR(__xludf.DUMMYFUNCTION("GOOGLETRANSLATE(B920, ""fr"", ""en"")"),"Sweat Received before déla, a sweatshirt that keeps you warm but not at all in line with what was announced in the retail Amazon")</f>
        <v>Sweat Received before déla, a sweatshirt that keeps you warm but not at all in line with what was announced in the retail Amazon</v>
      </c>
    </row>
    <row r="921">
      <c r="A921" s="1">
        <v>4.0</v>
      </c>
      <c r="B921" s="1" t="s">
        <v>918</v>
      </c>
      <c r="C921" t="str">
        <f>IFERROR(__xludf.DUMMYFUNCTION("GOOGLETRANSLATE(B921, ""fr"", ""en"")"),"WATCH CASIO The only observation is that the order there is no indication of the length of strap and receiving the bracelet is too short not to wear")</f>
        <v>WATCH CASIO The only observation is that the order there is no indication of the length of strap and receiving the bracelet is too short not to wear</v>
      </c>
    </row>
    <row r="922">
      <c r="A922" s="1">
        <v>4.0</v>
      </c>
      <c r="B922" s="1" t="s">
        <v>919</v>
      </c>
      <c r="C922" t="str">
        <f>IFERROR(__xludf.DUMMYFUNCTION("GOOGLETRANSLATE(B922, ""fr"", ""en"")"),"stylish cap least draw sheet in a 100 percent cotton")</f>
        <v>stylish cap least draw sheet in a 100 percent cotton</v>
      </c>
    </row>
    <row r="923">
      <c r="A923" s="1">
        <v>4.0</v>
      </c>
      <c r="B923" s="1" t="s">
        <v>920</v>
      </c>
      <c r="C923" t="str">
        <f>IFERROR(__xludf.DUMMYFUNCTION("GOOGLETRANSLATE(B923, ""fr"", ""en"")"),"Quite interesting mouse pad to support the wrist but I find that silicone is too soft a shame")</f>
        <v>Quite interesting mouse pad to support the wrist but I find that silicone is too soft a shame</v>
      </c>
    </row>
    <row r="924">
      <c r="A924" s="1">
        <v>4.0</v>
      </c>
      <c r="B924" s="1" t="s">
        <v>921</v>
      </c>
      <c r="C924" t="str">
        <f>IFERROR(__xludf.DUMMYFUNCTION("GOOGLETRANSLATE(B924, ""fr"", ""en"")"),"Good ! Good but slightly hurt the ears")</f>
        <v>Good ! Good but slightly hurt the ears</v>
      </c>
    </row>
    <row r="925">
      <c r="A925" s="1">
        <v>4.0</v>
      </c>
      <c r="B925" s="1" t="s">
        <v>922</v>
      </c>
      <c r="C925" t="str">
        <f>IFERROR(__xludf.DUMMYFUNCTION("GOOGLETRANSLATE(B925, ""fr"", ""en"")"),"Good product quality microphone is suitable without more, the windscreen is very convenient to eliminate any wind noise. Attention to the positioning of the jack on a mobile whose antennas are close, it may be heard in the sound. The trick then is to go m"&amp;"obile in airplane mode for a sound recording, on condition of not being dependent on the network at this outlet.")</f>
        <v>Good product quality microphone is suitable without more, the windscreen is very convenient to eliminate any wind noise. Attention to the positioning of the jack on a mobile whose antennas are close, it may be heard in the sound. The trick then is to go mobile in airplane mode for a sound recording, on condition of not being dependent on the network at this outlet.</v>
      </c>
    </row>
    <row r="926">
      <c r="A926" s="1">
        <v>5.0</v>
      </c>
      <c r="B926" s="1" t="s">
        <v>923</v>
      </c>
      <c r="C926" t="str">
        <f>IFERROR(__xludf.DUMMYFUNCTION("GOOGLETRANSLATE(B926, ""fr"", ""en"")"),"Cleaning vinyl disc I have rediscovered that I thought the perdu.Si produced seems a bit expensive when I cleaned meme about 100 vinyls per liter, thank you for durable.Encore effect.")</f>
        <v>Cleaning vinyl disc I have rediscovered that I thought the perdu.Si produced seems a bit expensive when I cleaned meme about 100 vinyls per liter, thank you for durable.Encore effect.</v>
      </c>
    </row>
    <row r="927">
      <c r="A927" s="1">
        <v>5.0</v>
      </c>
      <c r="B927" s="1" t="s">
        <v>924</v>
      </c>
      <c r="C927" t="str">
        <f>IFERROR(__xludf.DUMMYFUNCTION("GOOGLETRANSLATE(B927, ""fr"", ""en"")"),"Super Knowing they run small I took a size more and that's fine. I teen These sneakers I had already silver. They are resistant and glitter too.")</f>
        <v>Super Knowing they run small I took a size more and that's fine. I teen These sneakers I had already silver. They are resistant and glitter too.</v>
      </c>
    </row>
    <row r="928">
      <c r="A928" s="1">
        <v>5.0</v>
      </c>
      <c r="B928" s="1" t="s">
        <v>925</v>
      </c>
      <c r="C928" t="str">
        <f>IFERROR(__xludf.DUMMYFUNCTION("GOOGLETRANSLATE(B928, ""fr"", ""en"")"),"attention to the size Think about a size above the usual with previous Puma. I put on with this brand, normally 42 and I had to order for this pair a size 43.")</f>
        <v>attention to the size Think about a size above the usual with previous Puma. I put on with this brand, normally 42 and I had to order for this pair a size 43.</v>
      </c>
    </row>
    <row r="929">
      <c r="A929" s="1">
        <v>5.0</v>
      </c>
      <c r="B929" s="1" t="s">
        <v>926</v>
      </c>
      <c r="C929" t="str">
        <f>IFERROR(__xludf.DUMMYFUNCTION("GOOGLETRANSLATE(B929, ""fr"", ""en"")"),"Okay Compliance")</f>
        <v>Okay Compliance</v>
      </c>
    </row>
    <row r="930">
      <c r="A930" s="1">
        <v>5.0</v>
      </c>
      <c r="B930" s="1" t="s">
        <v>927</v>
      </c>
      <c r="C930" t="str">
        <f>IFERROR(__xludf.DUMMYFUNCTION("GOOGLETRANSLATE(B930, ""fr"", ""en"")"),"The Excellent legging looks like the photo, received quickly (before the date), I will order another color next time because the gray will not put myself in value. I took a size S (I 55 kg 1m62) and I wear XS usually")</f>
        <v>The Excellent legging looks like the photo, received quickly (before the date), I will order another color next time because the gray will not put myself in value. I took a size S (I 55 kg 1m62) and I wear XS usually</v>
      </c>
    </row>
    <row r="931">
      <c r="A931" s="1">
        <v>5.0</v>
      </c>
      <c r="B931" s="1" t="s">
        <v>928</v>
      </c>
      <c r="C931" t="str">
        <f>IFERROR(__xludf.DUMMYFUNCTION("GOOGLETRANSLATE(B931, ""fr"", ""en"")"),"Although frankly for the price it is impeccable. Well it's a coat for the winter in the south - I am satisfied, I recommend a second")</f>
        <v>Although frankly for the price it is impeccable. Well it's a coat for the winter in the south - I am satisfied, I recommend a second</v>
      </c>
    </row>
    <row r="932">
      <c r="A932" s="1">
        <v>5.0</v>
      </c>
      <c r="B932" s="1" t="s">
        <v>929</v>
      </c>
      <c r="C932" t="str">
        <f>IFERROR(__xludf.DUMMYFUNCTION("GOOGLETRANSLATE(B932, ""fr"", ""en"")"),"My son Gomettes ador j is even recommending a lot for the anniversary of my niece. Color her beautiful bright color of pastel color. A small pouch to put everything into it very convenient")</f>
        <v>My son Gomettes ador j is even recommending a lot for the anniversary of my niece. Color her beautiful bright color of pastel color. A small pouch to put everything into it very convenient</v>
      </c>
    </row>
    <row r="933">
      <c r="A933" s="1">
        <v>5.0</v>
      </c>
      <c r="B933" s="1" t="s">
        <v>930</v>
      </c>
      <c r="C933" t="str">
        <f>IFERROR(__xludf.DUMMYFUNCTION("GOOGLETRANSLATE(B933, ""fr"", ""en"")"),"consistent securiter very good shoe, very cofortable and very solid, I work in the construction industry and it is ideal for working in damp environments")</f>
        <v>consistent securiter very good shoe, very cofortable and very solid, I work in the construction industry and it is ideal for working in damp environments</v>
      </c>
    </row>
    <row r="934">
      <c r="A934" s="1">
        <v>5.0</v>
      </c>
      <c r="B934" s="1" t="s">
        <v>931</v>
      </c>
      <c r="C934" t="str">
        <f>IFERROR(__xludf.DUMMYFUNCTION("GOOGLETRANSLATE(B934, ""fr"", ""en"")"),"Excellent Very pretty!")</f>
        <v>Excellent Very pretty!</v>
      </c>
    </row>
    <row r="935">
      <c r="A935" s="1">
        <v>5.0</v>
      </c>
      <c r="B935" s="1" t="s">
        <v>932</v>
      </c>
      <c r="C935" t="str">
        <f>IFERROR(__xludf.DUMMYFUNCTION("GOOGLETRANSLATE(B935, ""fr"", ""en"")"),"++++ perfect foofSaver this really is perfect both for its simple use for the quality of vacuum and welding. The products keep their freshness perfectly")</f>
        <v>++++ perfect foofSaver this really is perfect both for its simple use for the quality of vacuum and welding. The products keep their freshness perfectly</v>
      </c>
    </row>
    <row r="936">
      <c r="A936" s="1">
        <v>5.0</v>
      </c>
      <c r="B936" s="1" t="s">
        <v>933</v>
      </c>
      <c r="C936" t="str">
        <f>IFERROR(__xludf.DUMMYFUNCTION("GOOGLETRANSLATE(B936, ""fr"", ""en"")"),"A lot of basic shirt of good quality These shirts are quality cotton. They have not moved to washing, they do not deform and cotton remains soft. The cut is comfortable and well they hew .The seams and finishes are very satisfactory. The color is identica"&amp;"l pictures. Perfect for winter wear under a sweater. Ideal for sports, to wear when relaxing or home. A good price-performance ratio.")</f>
        <v>A lot of basic shirt of good quality These shirts are quality cotton. They have not moved to washing, they do not deform and cotton remains soft. The cut is comfortable and well they hew .The seams and finishes are very satisfactory. The color is identical pictures. Perfect for winter wear under a sweater. Ideal for sports, to wear when relaxing or home. A good price-performance ratio.</v>
      </c>
    </row>
    <row r="937">
      <c r="A937" s="1">
        <v>5.0</v>
      </c>
      <c r="B937" s="1" t="s">
        <v>934</v>
      </c>
      <c r="C937" t="str">
        <f>IFERROR(__xludf.DUMMYFUNCTION("GOOGLETRANSLATE(B937, ""fr"", ""en"")"),"Very well very well")</f>
        <v>Very well very well</v>
      </c>
    </row>
    <row r="938">
      <c r="A938" s="1">
        <v>5.0</v>
      </c>
      <c r="B938" s="1" t="s">
        <v>935</v>
      </c>
      <c r="C938" t="str">
        <f>IFERROR(__xludf.DUMMYFUNCTION("GOOGLETRANSLATE(B938, ""fr"", ""en"")"),"Heated mattress pad toppers 2 persons XXL This was purchased for a while. It is still functional despite the XXL size ..... I ordered by mistake .... so a bit too wide, but it does not interfere.")</f>
        <v>Heated mattress pad toppers 2 persons XXL This was purchased for a while. It is still functional despite the XXL size ..... I ordered by mistake .... so a bit too wide, but it does not interfere.</v>
      </c>
    </row>
    <row r="939">
      <c r="A939" s="1">
        <v>5.0</v>
      </c>
      <c r="B939" s="1" t="s">
        <v>936</v>
      </c>
      <c r="C939" t="str">
        <f>IFERROR(__xludf.DUMMYFUNCTION("GOOGLETRANSLATE(B939, ""fr"", ""en"")"),"Good perch Super boom that largely will taff on year (if your goal is to simply hold a microphone above your head) The rigging system (on the desktop) is very good. I advise all the same to put a lil piece of cardboard packaging to avoid scratches on a gl"&amp;"ass table for example (even if ca not scratch in true)")</f>
        <v>Good perch Super boom that largely will taff on year (if your goal is to simply hold a microphone above your head) The rigging system (on the desktop) is very good. I advise all the same to put a lil piece of cardboard packaging to avoid scratches on a glass table for example (even if ca not scratch in true)</v>
      </c>
    </row>
    <row r="940">
      <c r="A940" s="1">
        <v>5.0</v>
      </c>
      <c r="B940" s="1" t="s">
        <v>937</v>
      </c>
      <c r="C940" t="str">
        <f>IFERROR(__xludf.DUMMYFUNCTION("GOOGLETRANSLATE(B940, ""fr"", ""en"")"),"popolini protective sheet popolini protection sheets are very good, they do not tear dry or wet they remain robust. The length and width is sufficient for some cloth diapers or the dimensions of the layer and the child's age (tested with children from 6 m"&amp;"onths to 2 years). The format ""roll"" is quite economical. There is a system for cutting a sheet by a fairly effective sheet. The leaves are biodegradable and therefore pass into the toilet, very convenient, less waste and less coat odor. I highly recomm"&amp;"end this product!")</f>
        <v>popolini protective sheet popolini protection sheets are very good, they do not tear dry or wet they remain robust. The length and width is sufficient for some cloth diapers or the dimensions of the layer and the child's age (tested with children from 6 months to 2 years). The format "roll" is quite economical. There is a system for cutting a sheet by a fairly effective sheet. The leaves are biodegradable and therefore pass into the toilet, very convenient, less waste and less coat odor. I highly recommend this product!</v>
      </c>
    </row>
    <row r="941">
      <c r="A941" s="1">
        <v>2.0</v>
      </c>
      <c r="B941" s="1" t="s">
        <v>938</v>
      </c>
      <c r="C941" t="str">
        <f>IFERROR(__xludf.DUMMYFUNCTION("GOOGLETRANSLATE(B941, ""fr"", ""en"")"),"Please note there is no detachable base. In fact the kettle does not detach from the base. So to fill must carry around the base and electrical outlet each time.")</f>
        <v>Please note there is no detachable base. In fact the kettle does not detach from the base. So to fill must carry around the base and electrical outlet each time.</v>
      </c>
    </row>
    <row r="942">
      <c r="A942" s="1">
        <v>1.0</v>
      </c>
      <c r="B942" s="1" t="s">
        <v>939</v>
      </c>
      <c r="C942" t="str">
        <f>IFERROR(__xludf.DUMMYFUNCTION("GOOGLETRANSLATE(B942, ""fr"", ""en"")"),"Product Size bc fine too and very end no interest")</f>
        <v>Product Size bc fine too and very end no interest</v>
      </c>
    </row>
    <row r="943">
      <c r="A943" s="1">
        <v>1.0</v>
      </c>
      <c r="B943" s="1" t="s">
        <v>940</v>
      </c>
      <c r="C943" t="str">
        <f>IFERROR(__xludf.DUMMYFUNCTION("GOOGLETRANSLATE(B943, ""fr"", ""en"")"),"Product Failure Good evening, I buy this product there is 1 month, except that there is a leak and I can not serve me, I often order on Amazon but this quality level is not good product, how pourais I do to make walking warranty. It really is zero, for th"&amp;"e Amazon site how your warranty? There must help me thank you")</f>
        <v>Product Failure Good evening, I buy this product there is 1 month, except that there is a leak and I can not serve me, I often order on Amazon but this quality level is not good product, how pourais I do to make walking warranty. It really is zero, for the Amazon site how your warranty? There must help me thank you</v>
      </c>
    </row>
    <row r="944">
      <c r="A944" s="1">
        <v>3.0</v>
      </c>
      <c r="B944" s="1" t="s">
        <v>941</v>
      </c>
      <c r="C944" t="str">
        <f>IFERROR(__xludf.DUMMYFUNCTION("GOOGLETRANSLATE(B944, ""fr"", ""en"")"),"PROBLEM OF TOILET PAPER THICKNESS THE CLOVER Hello Yesterday I opened the new package of toilet paper nothing to do with the previous packages identical width, but the thickness to completely missing a piece of paper with no more cigarette. The new paper "&amp;"is very fragile. 5 sheets before use now 9 and it's not OK. I am very disappointed even if not as toilet paper ... !!! Greetings Good Day MTB")</f>
        <v>PROBLEM OF TOILET PAPER THICKNESS THE CLOVER Hello Yesterday I opened the new package of toilet paper nothing to do with the previous packages identical width, but the thickness to completely missing a piece of paper with no more cigarette. The new paper is very fragile. 5 sheets before use now 9 and it's not OK. I am very disappointed even if not as toilet paper ... !!! Greetings Good Day MTB</v>
      </c>
    </row>
    <row r="945">
      <c r="A945" s="1">
        <v>3.0</v>
      </c>
      <c r="B945" s="1" t="s">
        <v>942</v>
      </c>
      <c r="C945" t="str">
        <f>IFERROR(__xludf.DUMMYFUNCTION("GOOGLETRANSLATE(B945, ""fr"", ""en"")"),"telecomande too heavy because the remote control + and - is too big")</f>
        <v>telecomande too heavy because the remote control + and - is too big</v>
      </c>
    </row>
    <row r="946">
      <c r="A946" s="1">
        <v>4.0</v>
      </c>
      <c r="B946" s="1" t="s">
        <v>943</v>
      </c>
      <c r="C946" t="str">
        <f>IFERROR(__xludf.DUMMYFUNCTION("GOOGLETRANSLATE(B946, ""fr"", ""en"")"),"Comfortable Delivery respected and arrival of the package in good condition! Tried on, they are well cut, comfortable, warm and perfectly faithful to the photos. The size 38 socks with suits me perfectly, but that pretty, I think they do a big walk !! to "&amp;"see how they fit in time and if the waterproofing will be real! I expect the red;)")</f>
        <v>Comfortable Delivery respected and arrival of the package in good condition! Tried on, they are well cut, comfortable, warm and perfectly faithful to the photos. The size 38 socks with suits me perfectly, but that pretty, I think they do a big walk !! to see how they fit in time and if the waterproofing will be real! I expect the red;)</v>
      </c>
    </row>
    <row r="947">
      <c r="A947" s="1">
        <v>4.0</v>
      </c>
      <c r="B947" s="1" t="s">
        <v>944</v>
      </c>
      <c r="C947" t="str">
        <f>IFERROR(__xludf.DUMMYFUNCTION("GOOGLETRANSLATE(B947, ""fr"", ""en"")"),"Well Well nothing to say Good value")</f>
        <v>Well Well nothing to say Good value</v>
      </c>
    </row>
    <row r="948">
      <c r="A948" s="1">
        <v>4.0</v>
      </c>
      <c r="B948" s="1" t="s">
        <v>945</v>
      </c>
      <c r="C948" t="str">
        <f>IFERROR(__xludf.DUMMYFUNCTION("GOOGLETRANSLATE(B948, ""fr"", ""en"")"),"There's more that to wait for the snow very robust mounting under a more toned look, these boots trying me for years ended up joining my shoes parking. Among the others, and in a fairly large size, they require a bit, which is why I take a star. Their rig"&amp;"htful place is immaculate white space, and then they will be on the right scale. Removable Interior lacing very easy, I recommend. If you can try before you buy, it will be perfect!")</f>
        <v>There's more that to wait for the snow very robust mounting under a more toned look, these boots trying me for years ended up joining my shoes parking. Among the others, and in a fairly large size, they require a bit, which is why I take a star. Their rightful place is immaculate white space, and then they will be on the right scale. Removable Interior lacing very easy, I recommend. If you can try before you buy, it will be perfect!</v>
      </c>
    </row>
    <row r="949">
      <c r="A949" s="1">
        <v>4.0</v>
      </c>
      <c r="B949" s="1" t="s">
        <v>946</v>
      </c>
      <c r="C949" t="str">
        <f>IFERROR(__xludf.DUMMYFUNCTION("GOOGLETRANSLATE(B949, ""fr"", ""en"")"),"Very good helmet, comfortable, good record audio. My Sennheiser HD280 has passed away, I shopped his replacement. I turned, after careful consideration and without ever having listened in stores towards the AKG K712 Pro, for several reasons: it is one of "&amp;"the few headsets still be manufactured in Europe (AKG no longer manufactures this model on the old continent, the rest is made in China), it is best noted in its category (open helmet) and stayed within my budget (the top of top of my budget for audi helm"&amp;"et (motorcycle, it is still more expensive :-) ). Most of this helmet: a very good record audio, loyal and neutral in restitution songs (attention to the quality of your source, a bad MP3 you frustera the possible, as well as online music medium quality)."&amp;" According to critics and other experts audiophile headphones have been improved in the low frequencies; I can not confirm or deny you, but compared to my old HD280, I find it the same quality (or default for others): it does not present too low. Amateurs"&amp;" low, it should make a +1 button on your amp (but as I get older, my ear will never be yours). Details on jazz pieces is remarkable in live scenes I think they lack a bit of depth, compared to my audio speakers ( ""old 'Cabasse). As for listening comfort,"&amp;" the well pads fit on the ear, they isolate themselves from the outside world enough without you cut, and in winter you include a gentle feeling of warmth. in the summer, after 2 hours, cool break is needed. the maintenance is very good, no discomfort fel"&amp;"t either on the top of the head or ears. No bad feeling of compression. in short, very comfortable helmet. Last thing, the cord of the headphones can be unscrewed, and comes with a screw jack adapter too. so, if your cat is like mine fan cords and he spen"&amp;"ds his time the tuck, do not panic, your beautiful AKG always work, you will just buy the cord. In summary, if you have the budget, do not hesitate.")</f>
        <v>Very good helmet, comfortable, good record audio. My Sennheiser HD280 has passed away, I shopped his replacement. I turned, after careful consideration and without ever having listened in stores towards the AKG K712 Pro, for several reasons: it is one of the few headsets still be manufactured in Europe (AKG no longer manufactures this model on the old continent, the rest is made in China), it is best noted in its category (open helmet) and stayed within my budget (the top of top of my budget for audi helmet (motorcycle, it is still more expensive :-) ). Most of this helmet: a very good record audio, loyal and neutral in restitution songs (attention to the quality of your source, a bad MP3 you frustera the possible, as well as online music medium quality). According to critics and other experts audiophile headphones have been improved in the low frequencies; I can not confirm or deny you, but compared to my old HD280, I find it the same quality (or default for others): it does not present too low. Amateurs low, it should make a +1 button on your amp (but as I get older, my ear will never be yours). Details on jazz pieces is remarkable in live scenes I think they lack a bit of depth, compared to my audio speakers ( "old 'Cabasse). As for listening comfort, the well pads fit on the ear, they isolate themselves from the outside world enough without you cut, and in winter you include a gentle feeling of warmth. in the summer, after 2 hours, cool break is needed. the maintenance is very good, no discomfort felt either on the top of the head or ears. No bad feeling of compression. in short, very comfortable helmet. Last thing, the cord of the headphones can be unscrewed, and comes with a screw jack adapter too. so, if your cat is like mine fan cords and he spends his time the tuck, do not panic, your beautiful AKG always work, you will just buy the cord. In summary, if you have the budget, do not hesitate.</v>
      </c>
    </row>
    <row r="950">
      <c r="A950" s="1">
        <v>5.0</v>
      </c>
      <c r="B950" s="1" t="s">
        <v>947</v>
      </c>
      <c r="C950" t="str">
        <f>IFERROR(__xludf.DUMMYFUNCTION("GOOGLETRANSLATE(B950, ""fr"", ""en"")"),"Very good Excellent product, good size I make a top 40 and I took M color, and material value for money suits me")</f>
        <v>Very good Excellent product, good size I make a top 40 and I took M color, and material value for money suits me</v>
      </c>
    </row>
    <row r="951">
      <c r="A951" s="1">
        <v>5.0</v>
      </c>
      <c r="B951" s="1" t="s">
        <v>948</v>
      </c>
      <c r="C951" t="str">
        <f>IFERROR(__xludf.DUMMYFUNCTION("GOOGLETRANSLATE(B951, ""fr"", ""en"")"),"Very practical large capacity and strong for now for my husband")</f>
        <v>Very practical large capacity and strong for now for my husband</v>
      </c>
    </row>
    <row r="952">
      <c r="A952" s="1">
        <v>5.0</v>
      </c>
      <c r="B952" s="1" t="s">
        <v>949</v>
      </c>
      <c r="C952" t="str">
        <f>IFERROR(__xludf.DUMMYFUNCTION("GOOGLETRANSLATE(B952, ""fr"", ""en"")"),"No matter Perfect")</f>
        <v>No matter Perfect</v>
      </c>
    </row>
    <row r="953">
      <c r="A953" s="1">
        <v>5.0</v>
      </c>
      <c r="B953" s="1" t="s">
        <v>950</v>
      </c>
      <c r="C953" t="str">
        <f>IFERROR(__xludf.DUMMYFUNCTION("GOOGLETRANSLATE(B953, ""fr"", ""en"")"),"perfect original cartridge so perfect nothing to blame just one pays the brand puts both be better")</f>
        <v>perfect original cartridge so perfect nothing to blame just one pays the brand puts both be better</v>
      </c>
    </row>
    <row r="954">
      <c r="A954" s="1">
        <v>5.0</v>
      </c>
      <c r="B954" s="1" t="s">
        <v>951</v>
      </c>
      <c r="C954" t="str">
        <f>IFERROR(__xludf.DUMMYFUNCTION("GOOGLETRANSLATE(B954, ""fr"", ""en"")"),"Lovely bracelet The package arrived well packaged. Pretty silver bracelet good. There are two charms. One is a nice tree of life and the other is a shiny Swarovski. The bracelet is beautifully finished, well polished. I found the elegant, fine and has bot"&amp;"h solid. It is easily adjustable to the size of his wrist. It could make a nice gift but I keep it to myself 😊")</f>
        <v>Lovely bracelet The package arrived well packaged. Pretty silver bracelet good. There are two charms. One is a nice tree of life and the other is a shiny Swarovski. The bracelet is beautifully finished, well polished. I found the elegant, fine and has both solid. It is easily adjustable to the size of his wrist. It could make a nice gift but I keep it to myself 😊</v>
      </c>
    </row>
    <row r="955">
      <c r="A955" s="1">
        <v>5.0</v>
      </c>
      <c r="B955" s="1" t="s">
        <v>952</v>
      </c>
      <c r="C955" t="str">
        <f>IFERROR(__xludf.DUMMYFUNCTION("GOOGLETRANSLATE(B955, ""fr"", ""en"")"),"The warm color slippers slippers and original (for a boy) and the fact that the neck is not very high we can best put on and it was so hot feet. Seem to be resistant.")</f>
        <v>The warm color slippers slippers and original (for a boy) and the fact that the neck is not very high we can best put on and it was so hot feet. Seem to be resistant.</v>
      </c>
    </row>
    <row r="956">
      <c r="A956" s="1">
        <v>5.0</v>
      </c>
      <c r="B956" s="1" t="s">
        <v>953</v>
      </c>
      <c r="C956" t="str">
        <f>IFERROR(__xludf.DUMMYFUNCTION("GOOGLETRANSLATE(B956, ""fr"", ""en"")"),"Compete buy top top top nothing to say")</f>
        <v>Compete buy top top top nothing to say</v>
      </c>
    </row>
    <row r="957">
      <c r="A957" s="1">
        <v>5.0</v>
      </c>
      <c r="B957" s="1" t="s">
        <v>954</v>
      </c>
      <c r="C957" t="str">
        <f>IFERROR(__xludf.DUMMYFUNCTION("GOOGLETRANSLATE(B957, ""fr"", ""en"")"),"Perfect gift I bought for my son 4 &amp; nbsp; years. He loves to sing and talk with the microphone and echo. I like him aussi.Il easy to use and the sound effect is not bad. That's why I'll buy one for my niece. The customer service is great. Thank you")</f>
        <v>Perfect gift I bought for my son 4 &amp; nbsp; years. He loves to sing and talk with the microphone and echo. I like him aussi.Il easy to use and the sound effect is not bad. That's why I'll buy one for my niece. The customer service is great. Thank you</v>
      </c>
    </row>
    <row r="958">
      <c r="A958" s="1">
        <v>5.0</v>
      </c>
      <c r="B958" s="1" t="s">
        <v>955</v>
      </c>
      <c r="C958" t="str">
        <f>IFERROR(__xludf.DUMMYFUNCTION("GOOGLETRANSLATE(B958, ""fr"", ""en"")"),"Great bracelets are of size M, too big for me. So, I had to reduce them, and it's quite difficult. Given that there are sizes, it would have been nice to have the choice. Apart from that, they are perfect, the stones are beautiful. I know say the effects.")</f>
        <v>Great bracelets are of size M, too big for me. So, I had to reduce them, and it's quite difficult. Given that there are sizes, it would have been nice to have the choice. Apart from that, they are perfect, the stones are beautiful. I know say the effects.</v>
      </c>
    </row>
    <row r="959">
      <c r="A959" s="1">
        <v>5.0</v>
      </c>
      <c r="B959" s="1" t="s">
        <v>956</v>
      </c>
      <c r="C959" t="str">
        <f>IFERROR(__xludf.DUMMYFUNCTION("GOOGLETRANSLATE(B959, ""fr"", ""en"")"),"Given a bargain price let live is an excellent deal. Scotch good. At take-off the adhesive remains on the tape and does not pollute the taped portion. Very discreet as well translucent and holds very well in place. A good product.")</f>
        <v>Given a bargain price let live is an excellent deal. Scotch good. At take-off the adhesive remains on the tape and does not pollute the taped portion. Very discreet as well translucent and holds very well in place. A good product.</v>
      </c>
    </row>
    <row r="960">
      <c r="A960" s="1">
        <v>5.0</v>
      </c>
      <c r="B960" s="1" t="s">
        <v>957</v>
      </c>
      <c r="C960" t="str">
        <f>IFERROR(__xludf.DUMMYFUNCTION("GOOGLETRANSLATE(B960, ""fr"", ""en"")"),"Elegance and class style pouch, fine quality.")</f>
        <v>Elegance and class style pouch, fine quality.</v>
      </c>
    </row>
    <row r="961">
      <c r="A961" s="1">
        <v>5.0</v>
      </c>
      <c r="B961" s="1" t="s">
        <v>958</v>
      </c>
      <c r="C961" t="str">
        <f>IFERROR(__xludf.DUMMYFUNCTION("GOOGLETRANSLATE(B961, ""fr"", ""en"")"),"Meets Warm and comfortable description, in line with my expectations, slightly larger size")</f>
        <v>Meets Warm and comfortable description, in line with my expectations, slightly larger size</v>
      </c>
    </row>
    <row r="962">
      <c r="A962" s="1">
        <v>5.0</v>
      </c>
      <c r="B962" s="1" t="s">
        <v>959</v>
      </c>
      <c r="C962" t="str">
        <f>IFERROR(__xludf.DUMMYFUNCTION("GOOGLETRANSLATE(B962, ""fr"", ""en"")"),"Super bottle I find this bottle is great and I recommend tale")</f>
        <v>Super bottle I find this bottle is great and I recommend tale</v>
      </c>
    </row>
    <row r="963">
      <c r="A963" s="1">
        <v>5.0</v>
      </c>
      <c r="B963" s="1" t="s">
        <v>960</v>
      </c>
      <c r="C963" t="str">
        <f>IFERROR(__xludf.DUMMYFUNCTION("GOOGLETRANSLATE(B963, ""fr"", ""en"")"),"Perfect Very nice necklace")</f>
        <v>Perfect Very nice necklace</v>
      </c>
    </row>
    <row r="964">
      <c r="A964" s="1">
        <v>5.0</v>
      </c>
      <c r="B964" s="1" t="s">
        <v>961</v>
      </c>
      <c r="C964" t="str">
        <f>IFERROR(__xludf.DUMMYFUNCTION("GOOGLETRANSLATE(B964, ""fr"", ""en"")"),"I was looking for a perfect support for tablet 15.6 ""my daughter, and this laptop pc support made totally good job !!! positioning angle is adjustable and stable, the 2 small front rims are like the Metal rest of the support and are covered with small so"&amp;"ft inserts to accommodate your pc or tablet gently and keep it from slipping. a lead organizer was clipped to the back of the support it is more practical to put here but is .... and frankly for the price no hesitation in. the weight of the support nikel "&amp;"as neither too heavy nor too slight Camelott here not at all ..... so flush, nikel, perfect.")</f>
        <v>I was looking for a perfect support for tablet 15.6 "my daughter, and this laptop pc support made totally good job !!! positioning angle is adjustable and stable, the 2 small front rims are like the Metal rest of the support and are covered with small soft inserts to accommodate your pc or tablet gently and keep it from slipping. a lead organizer was clipped to the back of the support it is more practical to put here but is .... and frankly for the price no hesitation in. the weight of the support nikel as neither too heavy nor too slight Camelott here not at all ..... so flush, nikel, perfect.</v>
      </c>
    </row>
    <row r="965">
      <c r="A965" s="1">
        <v>2.0</v>
      </c>
      <c r="B965" s="1" t="s">
        <v>962</v>
      </c>
      <c r="C965" t="str">
        <f>IFERROR(__xludf.DUMMYFUNCTION("GOOGLETRANSLATE(B965, ""fr"", ""en"")"),"Disappointed uncomfortable Safety shoes always disappointed feet hurt")</f>
        <v>Disappointed uncomfortable Safety shoes always disappointed feet hurt</v>
      </c>
    </row>
    <row r="966">
      <c r="A966" s="1">
        <v>1.0</v>
      </c>
      <c r="B966" s="1" t="s">
        <v>963</v>
      </c>
      <c r="C966" t="str">
        <f>IFERROR(__xludf.DUMMYFUNCTION("GOOGLETRANSLATE(B966, ""fr"", ""en"")"),"Better to have two left feet! Received 2 left feet")</f>
        <v>Better to have two left feet! Received 2 left feet</v>
      </c>
    </row>
    <row r="967">
      <c r="A967" s="1">
        <v>1.0</v>
      </c>
      <c r="B967" s="1" t="s">
        <v>964</v>
      </c>
      <c r="C967" t="str">
        <f>IFERROR(__xludf.DUMMYFUNCTION("GOOGLETRANSLATE(B967, ""fr"", ""en"")"),"safety shoe I am very top product quality usu a fast sole and fabric top that dechi also and above all no answer from the seller of this concern I am angry can")</f>
        <v>safety shoe I am very top product quality usu a fast sole and fabric top that dechi also and above all no answer from the seller of this concern I am angry can</v>
      </c>
    </row>
    <row r="968">
      <c r="A968" s="1">
        <v>3.0</v>
      </c>
      <c r="B968" s="1" t="s">
        <v>965</v>
      </c>
      <c r="C968" t="str">
        <f>IFERROR(__xludf.DUMMYFUNCTION("GOOGLETRANSLATE(B968, ""fr"", ""en"")"),"a bit difficult to use the form is too elongated suddenly it is not easy to use. The product is of good quality but it was inconclusive.")</f>
        <v>a bit difficult to use the form is too elongated suddenly it is not easy to use. The product is of good quality but it was inconclusive.</v>
      </c>
    </row>
    <row r="969">
      <c r="A969" s="1">
        <v>4.0</v>
      </c>
      <c r="B969" s="1" t="s">
        <v>966</v>
      </c>
      <c r="C969" t="str">
        <f>IFERROR(__xludf.DUMMYFUNCTION("GOOGLETRANSLATE(B969, ""fr"", ""en"")"),"Bose quality appointments These headphones are a marvel, must still be fond of the Bose sound, which is my case. The pros: - Sound Quality. - Comfort headphones Stay-Ear. - Light of the whole. - easy configuration. - Décallage audio / video barely noticea"&amp;"ble (to me) when using while playing video files. The -: - The life of the battery that holds only +/- 5-6 hours. A shame. - The inability to use while charging the battery.")</f>
        <v>Bose quality appointments These headphones are a marvel, must still be fond of the Bose sound, which is my case. The pros: - Sound Quality. - Comfort headphones Stay-Ear. - Light of the whole. - easy configuration. - Décallage audio / video barely noticeable (to me) when using while playing video files. The -: - The life of the battery that holds only +/- 5-6 hours. A shame. - The inability to use while charging the battery.</v>
      </c>
    </row>
    <row r="970">
      <c r="A970" s="1">
        <v>4.0</v>
      </c>
      <c r="B970" s="1" t="s">
        <v>967</v>
      </c>
      <c r="C970" t="str">
        <f>IFERROR(__xludf.DUMMYFUNCTION("GOOGLETRANSLATE(B970, ""fr"", ""en"")"),"Very nice but beware of allergies Very pretty but make me hang because of allergies and a bit heavy. Warning for sensitive people ears")</f>
        <v>Very nice but beware of allergies Very pretty but make me hang because of allergies and a bit heavy. Warning for sensitive people ears</v>
      </c>
    </row>
    <row r="971">
      <c r="A971" s="1">
        <v>4.0</v>
      </c>
      <c r="B971" s="1" t="s">
        <v>968</v>
      </c>
      <c r="C971" t="str">
        <f>IFERROR(__xludf.DUMMYFUNCTION("GOOGLETRANSLATE(B971, ""fr"", ""en"")"),"Good value It's been almost a month since I l used to listen to music and I am happy with the quality is by appointment I have put 4 stars by this that there are better surtt the bass level. I rarely use the kit free hand maisbj have noticed that my inter"&amp;"locutors m not hear well. Another thing is that if c unloading can continue to play with the cable provided except that the sound is not at all the same quality is poor.")</f>
        <v>Good value It's been almost a month since I l used to listen to music and I am happy with the quality is by appointment I have put 4 stars by this that there are better surtt the bass level. I rarely use the kit free hand maisbj have noticed that my interlocutors m not hear well. Another thing is that if c unloading can continue to play with the cable provided except that the sound is not at all the same quality is poor.</v>
      </c>
    </row>
    <row r="972">
      <c r="A972" s="1">
        <v>4.0</v>
      </c>
      <c r="B972" s="1" t="s">
        <v>969</v>
      </c>
      <c r="C972" t="str">
        <f>IFERROR(__xludf.DUMMYFUNCTION("GOOGLETRANSLATE(B972, ""fr"", ""en"")"),"compliant compliant")</f>
        <v>compliant compliant</v>
      </c>
    </row>
    <row r="973">
      <c r="A973" s="1">
        <v>5.0</v>
      </c>
      <c r="B973" s="1" t="s">
        <v>970</v>
      </c>
      <c r="C973" t="str">
        <f>IFERROR(__xludf.DUMMYFUNCTION("GOOGLETRANSLATE(B973, ""fr"", ""en"")"),"Super essential to accessorize the drainer in bottles of the same brand. My daughter uses the MAM Anti-Colic bottles and I suspends the Anti-Colic valves. Perfect")</f>
        <v>Super essential to accessorize the drainer in bottles of the same brand. My daughter uses the MAM Anti-Colic bottles and I suspends the Anti-Colic valves. Perfect</v>
      </c>
    </row>
    <row r="974">
      <c r="A974" s="1">
        <v>5.0</v>
      </c>
      <c r="B974" s="1" t="s">
        <v>971</v>
      </c>
      <c r="C974" t="str">
        <f>IFERROR(__xludf.DUMMYFUNCTION("GOOGLETRANSLATE(B974, ""fr"", ""en"")"),"the very good little heavy a shoe can be tough in the beginning for some, very comfortable, beware the cat ca shoes big enough to take 1 size smaller")</f>
        <v>the very good little heavy a shoe can be tough in the beginning for some, very comfortable, beware the cat ca shoes big enough to take 1 size smaller</v>
      </c>
    </row>
    <row r="975">
      <c r="A975" s="1">
        <v>5.0</v>
      </c>
      <c r="B975" s="1" t="s">
        <v>972</v>
      </c>
      <c r="C975" t="str">
        <f>IFERROR(__xludf.DUMMYFUNCTION("GOOGLETRANSLATE(B975, ""fr"", ""en"")"),"Nothing to say, it is beautiful! Very happy!")</f>
        <v>Nothing to say, it is beautiful! Very happy!</v>
      </c>
    </row>
    <row r="976">
      <c r="A976" s="1">
        <v>5.0</v>
      </c>
      <c r="B976" s="1" t="s">
        <v>973</v>
      </c>
      <c r="C976" t="str">
        <f>IFERROR(__xludf.DUMMYFUNCTION("GOOGLETRANSLATE(B976, ""fr"", ""en"")"),"Good stability. Hello, As I did before, reading in bed, this lamp also allows me. I was surprised by the very small size of the power adapter. Good stability. Satisfied with my previous purchase, I bought again for this office.")</f>
        <v>Good stability. Hello, As I did before, reading in bed, this lamp also allows me. I was surprised by the very small size of the power adapter. Good stability. Satisfied with my previous purchase, I bought again for this office.</v>
      </c>
    </row>
    <row r="977">
      <c r="A977" s="1">
        <v>5.0</v>
      </c>
      <c r="B977" s="1" t="s">
        <v>974</v>
      </c>
      <c r="C977" t="str">
        <f>IFERROR(__xludf.DUMMYFUNCTION("GOOGLETRANSLATE(B977, ""fr"", ""en"")"),"Super Stack as image")</f>
        <v>Super Stack as image</v>
      </c>
    </row>
    <row r="978">
      <c r="A978" s="1">
        <v>5.0</v>
      </c>
      <c r="B978" s="1" t="s">
        <v>975</v>
      </c>
      <c r="C978" t="str">
        <f>IFERROR(__xludf.DUMMYFUNCTION("GOOGLETRANSLATE(B978, ""fr"", ""en"")"),"Conforms I took my usual size, it's perfect. very comfortable and beautiful shoes. I walk the fine and in general it's hard to find tight and comfortable shoes. But here for once this is perfect.")</f>
        <v>Conforms I took my usual size, it's perfect. very comfortable and beautiful shoes. I walk the fine and in general it's hard to find tight and comfortable shoes. But here for once this is perfect.</v>
      </c>
    </row>
    <row r="979">
      <c r="A979" s="1">
        <v>5.0</v>
      </c>
      <c r="B979" s="1" t="s">
        <v>976</v>
      </c>
      <c r="C979" t="str">
        <f>IFERROR(__xludf.DUMMYFUNCTION("GOOGLETRANSLATE(B979, ""fr"", ""en"")"),"Awesome Too happy to hear my old vinyl crackle .... Awesome!")</f>
        <v>Awesome Too happy to hear my old vinyl crackle .... Awesome!</v>
      </c>
    </row>
    <row r="980">
      <c r="A980" s="1">
        <v>5.0</v>
      </c>
      <c r="B980" s="1" t="s">
        <v>977</v>
      </c>
      <c r="C980" t="str">
        <f>IFERROR(__xludf.DUMMYFUNCTION("GOOGLETRANSLATE(B980, ""fr"", ""en"")"),"Class If I have to sum up: ""They are your vans nice, I like the color."" There, all is said. Otherwise level size I took my usual 41. Comfortable, true to M Atwood.")</f>
        <v>Class If I have to sum up: "They are your vans nice, I like the color." There, all is said. Otherwise level size I took my usual 41. Comfortable, true to M Atwood.</v>
      </c>
    </row>
    <row r="981">
      <c r="A981" s="1">
        <v>5.0</v>
      </c>
      <c r="B981" s="1" t="s">
        <v>978</v>
      </c>
      <c r="C981" t="str">
        <f>IFERROR(__xludf.DUMMYFUNCTION("GOOGLETRANSLATE(B981, ""fr"", ""en"")"),"wonderful what comfort !!")</f>
        <v>wonderful what comfort !!</v>
      </c>
    </row>
    <row r="982">
      <c r="A982" s="1">
        <v>5.0</v>
      </c>
      <c r="B982" s="1" t="s">
        <v>979</v>
      </c>
      <c r="C982" t="str">
        <f>IFERROR(__xludf.DUMMYFUNCTION("GOOGLETRANSLATE(B982, ""fr"", ""en"")"),"Really comfortable Caught in size M for waist circumference 31-32 any worries. It is tight on the calves as in the photo, but ample stays up really great.")</f>
        <v>Really comfortable Caught in size M for waist circumference 31-32 any worries. It is tight on the calves as in the photo, but ample stays up really great.</v>
      </c>
    </row>
    <row r="983">
      <c r="A983" s="1">
        <v>5.0</v>
      </c>
      <c r="B983" s="1" t="s">
        <v>980</v>
      </c>
      <c r="C983" t="str">
        <f>IFERROR(__xludf.DUMMYFUNCTION("GOOGLETRANSLATE(B983, ""fr"", ""en"")"),"Too beautiful ! Compliant product  !")</f>
        <v>Too beautiful ! Compliant product  !</v>
      </c>
    </row>
    <row r="984">
      <c r="A984" s="1">
        <v>5.0</v>
      </c>
      <c r="B984" s="1" t="s">
        <v>981</v>
      </c>
      <c r="C984" t="str">
        <f>IFERROR(__xludf.DUMMYFUNCTION("GOOGLETRANSLATE(B984, ""fr"", ""en"")"),"Super conforms to the photo Very good value, great mild to wear very original beautiful color I take the gray next time thank you")</f>
        <v>Super conforms to the photo Very good value, great mild to wear very original beautiful color I take the gray next time thank you</v>
      </c>
    </row>
    <row r="985">
      <c r="A985" s="1">
        <v>5.0</v>
      </c>
      <c r="B985" s="1" t="s">
        <v>982</v>
      </c>
      <c r="C985" t="str">
        <f>IFERROR(__xludf.DUMMYFUNCTION("GOOGLETRANSLATE(B985, ""fr"", ""en"")"),"Very good product Product conforms to the Enough big picture to cram a lot are small things and comfortable to wear")</f>
        <v>Very good product Product conforms to the Enough big picture to cram a lot are small things and comfortable to wear</v>
      </c>
    </row>
    <row r="986">
      <c r="A986" s="1">
        <v>5.0</v>
      </c>
      <c r="B986" s="1" t="s">
        <v>983</v>
      </c>
      <c r="C986" t="str">
        <f>IFERROR(__xludf.DUMMYFUNCTION("GOOGLETRANSLATE(B986, ""fr"", ""en"")"),"Watch old Retro look like the 80s.")</f>
        <v>Watch old Retro look like the 80s.</v>
      </c>
    </row>
    <row r="987">
      <c r="A987" s="1">
        <v>5.0</v>
      </c>
      <c r="B987" s="1" t="s">
        <v>984</v>
      </c>
      <c r="C987" t="str">
        <f>IFERROR(__xludf.DUMMYFUNCTION("GOOGLETRANSLATE(B987, ""fr"", ""en"")"),"Okay Nothing to say great. Very moisturizer I use to make the ride feel his chaaaaaauffe effective. Good!! to use on the body the evening before sleeping preference.")</f>
        <v>Okay Nothing to say great. Very moisturizer I use to make the ride feel his chaaaaaauffe effective. Good!! to use on the body the evening before sleeping preference.</v>
      </c>
    </row>
    <row r="988">
      <c r="A988" s="1">
        <v>2.0</v>
      </c>
      <c r="B988" s="1" t="s">
        <v>985</v>
      </c>
      <c r="C988" t="str">
        <f>IFERROR(__xludf.DUMMYFUNCTION("GOOGLETRANSLATE(B988, ""fr"", ""en"")"),"Disappointed After one week of a washer lace s detached. They quickly deform and expand s. The color of ""&amp; nbsp; leather-Plastic &amp; nbsp;"" is not the same as the laces and sole, which makes them more beige or yellowed. The material is more plastic than l"&amp;"eather, which increases sweating. For the price, I m not expecting upscale but sometimes the price is not high quality, I tried and I planted!")</f>
        <v>Disappointed After one week of a washer lace s detached. They quickly deform and expand s. The color of "&amp; nbsp; leather-Plastic &amp; nbsp;" is not the same as the laces and sole, which makes them more beige or yellowed. The material is more plastic than leather, which increases sweating. For the price, I m not expecting upscale but sometimes the price is not high quality, I tried and I planted!</v>
      </c>
    </row>
    <row r="989">
      <c r="A989" s="1">
        <v>1.0</v>
      </c>
      <c r="B989" s="1" t="s">
        <v>986</v>
      </c>
      <c r="C989" t="str">
        <f>IFERROR(__xludf.DUMMYFUNCTION("GOOGLETRANSLATE(B989, ""fr"", ""en"")"),"Disappointed Not tough at all! disreputable")</f>
        <v>Disappointed Not tough at all! disreputable</v>
      </c>
    </row>
    <row r="990">
      <c r="A990" s="1">
        <v>3.0</v>
      </c>
      <c r="B990" s="1" t="s">
        <v>987</v>
      </c>
      <c r="C990" t="str">
        <f>IFERROR(__xludf.DUMMYFUNCTION("GOOGLETRANSLATE(B990, ""fr"", ""en"")"),"Correct Support yes throat but no sport. The maintenance is not suitable for sports movements such as running, jumping, etc ... However good support for off sport. It's comfortable. Remains to be seen with time and washing.")</f>
        <v>Correct Support yes throat but no sport. The maintenance is not suitable for sports movements such as running, jumping, etc ... However good support for off sport. It's comfortable. Remains to be seen with time and washing.</v>
      </c>
    </row>
    <row r="991">
      <c r="A991" s="1">
        <v>3.0</v>
      </c>
      <c r="B991" s="1" t="s">
        <v>988</v>
      </c>
      <c r="C991" t="str">
        <f>IFERROR(__xludf.DUMMYFUNCTION("GOOGLETRANSLATE(B991, ""fr"", ""en"")"),"notice well but much, much, much, much, much, much, much too expensive. Price deterrent that grows to purchase generic cartridges.")</f>
        <v>notice well but much, much, much, much, much, much, much too expensive. Price deterrent that grows to purchase generic cartridges.</v>
      </c>
    </row>
    <row r="992">
      <c r="A992" s="1">
        <v>4.0</v>
      </c>
      <c r="B992" s="1" t="s">
        <v>989</v>
      </c>
      <c r="C992" t="str">
        <f>IFERROR(__xludf.DUMMYFUNCTION("GOOGLETRANSLATE(B992, ""fr"", ""en"")"),"Polar pretty sleazy size as expected rather larger than smaller, to use as a pull out under a hooded coat.")</f>
        <v>Polar pretty sleazy size as expected rather larger than smaller, to use as a pull out under a hooded coat.</v>
      </c>
    </row>
    <row r="993">
      <c r="A993" s="1">
        <v>4.0</v>
      </c>
      <c r="B993" s="1" t="s">
        <v>990</v>
      </c>
      <c r="C993" t="str">
        <f>IFERROR(__xludf.DUMMYFUNCTION("GOOGLETRANSLATE(B993, ""fr"", ""en"")"),"Comfortable and well cut I do not know if it is shoes that are more comfortable, but use ls first I soon felt cramps under the feet ... as if the sole forcing the foot arch. What to see in the long run!")</f>
        <v>Comfortable and well cut I do not know if it is shoes that are more comfortable, but use ls first I soon felt cramps under the feet ... as if the sole forcing the foot arch. What to see in the long run!</v>
      </c>
    </row>
    <row r="994">
      <c r="A994" s="1">
        <v>4.0</v>
      </c>
      <c r="B994" s="1" t="s">
        <v>991</v>
      </c>
      <c r="C994" t="str">
        <f>IFERROR(__xludf.DUMMYFUNCTION("GOOGLETRANSLATE(B994, ""fr"", ""en"")"),"Very Good Very nice ring, good quality for the price! But beware it is thick enough and hard blow to adjust but otherwise great value!")</f>
        <v>Very Good Very nice ring, good quality for the price! But beware it is thick enough and hard blow to adjust but otherwise great value!</v>
      </c>
    </row>
    <row r="995">
      <c r="A995" s="1">
        <v>4.0</v>
      </c>
      <c r="B995" s="1" t="s">
        <v>992</v>
      </c>
      <c r="C995" t="str">
        <f>IFERROR(__xludf.DUMMYFUNCTION("GOOGLETRANSLATE(B995, ""fr"", ""en"")"),"About toaster toaster Very nice and works well. I had a problem with the first .. But as usual the day that I communicated to Amazon they contacted me and no problems have forwarded me one within four days against the back at their expense faulty toaster."&amp;" I recommend this product . (Beautiful red color consistent with the picture)")</f>
        <v>About toaster toaster Very nice and works well. I had a problem with the first .. But as usual the day that I communicated to Amazon they contacted me and no problems have forwarded me one within four days against the back at their expense faulty toaster. I recommend this product . (Beautiful red color consistent with the picture)</v>
      </c>
    </row>
    <row r="996">
      <c r="A996" s="1">
        <v>5.0</v>
      </c>
      <c r="B996" s="1" t="s">
        <v>993</v>
      </c>
      <c r="C996" t="str">
        <f>IFERROR(__xludf.DUMMYFUNCTION("GOOGLETRANSLATE(B996, ""fr"", ""en"")"),"Top Great product 👍👍👍")</f>
        <v>Top Great product 👍👍👍</v>
      </c>
    </row>
    <row r="997">
      <c r="A997" s="1">
        <v>5.0</v>
      </c>
      <c r="B997" s="1" t="s">
        <v>994</v>
      </c>
      <c r="C997" t="str">
        <f>IFERROR(__xludf.DUMMYFUNCTION("GOOGLETRANSLATE(B997, ""fr"", ""en"")"),"Speed, efficiency, ease of use and quiet! I have a lot of old papers to be destroyed, but I can not throw and recycling: the battery reaches 60cm in height! Invoices electricity, water, rent, insurance, old housing, credit, bank, etc ... I'm very conserva"&amp;"tive, but there .... In short: I am delighted with this purchase, safe machine, fast and almost no noise! The old loyalty cards go by very quickly, as much as paper, super fast. I have not yet tried the destroyer of CDs but I'll use it. I should take one "&amp;"before! In 15 minutes I filled the drip tray, I have brewed all and shoo ... recycling. I can not believe this efficiency. I am very satisfied, really, and I highly recommend this product, even to individuals: it is not good to take documents that contain"&amp;" sensitive information.")</f>
        <v>Speed, efficiency, ease of use and quiet! I have a lot of old papers to be destroyed, but I can not throw and recycling: the battery reaches 60cm in height! Invoices electricity, water, rent, insurance, old housing, credit, bank, etc ... I'm very conservative, but there .... In short: I am delighted with this purchase, safe machine, fast and almost no noise! The old loyalty cards go by very quickly, as much as paper, super fast. I have not yet tried the destroyer of CDs but I'll use it. I should take one before! In 15 minutes I filled the drip tray, I have brewed all and shoo ... recycling. I can not believe this efficiency. I am very satisfied, really, and I highly recommend this product, even to individuals: it is not good to take documents that contain sensitive information.</v>
      </c>
    </row>
    <row r="998">
      <c r="A998" s="1">
        <v>5.0</v>
      </c>
      <c r="B998" s="1" t="s">
        <v>995</v>
      </c>
      <c r="C998" t="str">
        <f>IFERROR(__xludf.DUMMYFUNCTION("GOOGLETRANSLATE(B998, ""fr"", ""en"")"),"Perfect Perfect for large bottle sold with nipple 2 (which is a shame for elsewhere. Baby goes to 150 ml before the pacifier 2)")</f>
        <v>Perfect Perfect for large bottle sold with nipple 2 (which is a shame for elsewhere. Baby goes to 150 ml before the pacifier 2)</v>
      </c>
    </row>
    <row r="999">
      <c r="A999" s="1">
        <v>5.0</v>
      </c>
      <c r="B999" s="1" t="s">
        <v>996</v>
      </c>
      <c r="C999" t="str">
        <f>IFERROR(__xludf.DUMMYFUNCTION("GOOGLETRANSLATE(B999, ""fr"", ""en"")"),"Collier cognac amber necklace 33cm amber screwed with safety clasp. The amber beads are secured with a knot between each pearl. Comes with certificate of authenticity.")</f>
        <v>Collier cognac amber necklace 33cm amber screwed with safety clasp. The amber beads are secured with a knot between each pearl. Comes with certificate of authenticity.</v>
      </c>
    </row>
    <row r="1000">
      <c r="A1000" s="1">
        <v>5.0</v>
      </c>
      <c r="B1000" s="1" t="s">
        <v>997</v>
      </c>
      <c r="C1000" t="str">
        <f>IFERROR(__xludf.DUMMYFUNCTION("GOOGLETRANSLATE(B1000, ""fr"", ""en"")"),"safety shoes These shoes are pretty comfortable and convenient I have no pain. ..dés moments where I wear.")</f>
        <v>safety shoes These shoes are pretty comfortable and convenient I have no pain. ..dés moments where I wear.</v>
      </c>
    </row>
    <row r="1001">
      <c r="A1001" s="1">
        <v>5.0</v>
      </c>
      <c r="B1001" s="1" t="s">
        <v>998</v>
      </c>
      <c r="C1001" t="str">
        <f>IFERROR(__xludf.DUMMYFUNCTION("GOOGLETRANSLATE(B1001, ""fr"", ""en"")"),"Although supported Practicing crossfit I need good support for the different exercises I love it! Take your usual size. It will be your allies")</f>
        <v>Although supported Practicing crossfit I need good support for the different exercises I love it! Take your usual size. It will be your allies</v>
      </c>
    </row>
    <row r="1002">
      <c r="A1002" s="1">
        <v>5.0</v>
      </c>
      <c r="B1002" s="1" t="s">
        <v>999</v>
      </c>
      <c r="C1002" t="str">
        <f>IFERROR(__xludf.DUMMYFUNCTION("GOOGLETRANSLATE(B1002, ""fr"", ""en"")"),"the beautiful quality watch")</f>
        <v>the beautiful quality watch</v>
      </c>
    </row>
    <row r="1003">
      <c r="A1003" s="1">
        <v>5.0</v>
      </c>
      <c r="B1003" s="1" t="s">
        <v>1000</v>
      </c>
      <c r="C1003" t="str">
        <f>IFERROR(__xludf.DUMMYFUNCTION("GOOGLETRANSLATE(B1003, ""fr"", ""en"")"),"Product Range High: 10/10: Recommendation +++ Very nice product: I was looking to replace my headphones TRANYA headphones that were dying, formerly purchased on Amazon there are 1 year and a half and I'm clearly delighted with my purchase. Using my headph"&amp;"ones mainly in transport and for sports these headphones seem very suited me for this type of use. - When receiving: the headphones are in a very refined box. A user guide (in French) is provided and instructions are childish: the installation took me not"&amp;" more than 2 minutes. A small cloth bag comes with: very convenient for addicts like myself storage. - On the charging cradle you can see the percentage of load which lets get real-time account of the level of loading: very convenient. - The use of touch:"&amp;" +++ Very intuitive and easy to use everything is explained in the guide. - Sound quality: EXCEPTIONAL! I'm in love if you like listening to music with high volume, like good bass / acute and I pass by these headphones are for you! Satisfaction guaranteed"&amp;". I am very pleasantly surprised to sound this good for such a low blow. - Asset important: A guarantee of 24 months = 2 years. - Other information: headphones flashing neon light green when using: I personally do not find it shocking of all is the same o"&amp;"riginal and gives added value to the product. The earphones well permeate the ear canals without discomfort: Quite comfortable. Concerning the tightness I could not even evaluate it. In conclusion: very so please with my purchase: I recommend.")</f>
        <v>Product Range High: 10/10: Recommendation +++ Very nice product: I was looking to replace my headphones TRANYA headphones that were dying, formerly purchased on Amazon there are 1 year and a half and I'm clearly delighted with my purchase. Using my headphones mainly in transport and for sports these headphones seem very suited me for this type of use. - When receiving: the headphones are in a very refined box. A user guide (in French) is provided and instructions are childish: the installation took me not more than 2 minutes. A small cloth bag comes with: very convenient for addicts like myself storage. - On the charging cradle you can see the percentage of load which lets get real-time account of the level of loading: very convenient. - The use of touch: +++ Very intuitive and easy to use everything is explained in the guide. - Sound quality: EXCEPTIONAL! I'm in love if you like listening to music with high volume, like good bass / acute and I pass by these headphones are for you! Satisfaction guaranteed. I am very pleasantly surprised to sound this good for such a low blow. - Asset important: A guarantee of 24 months = 2 years. - Other information: headphones flashing neon light green when using: I personally do not find it shocking of all is the same original and gives added value to the product. The earphones well permeate the ear canals without discomfort: Quite comfortable. Concerning the tightness I could not even evaluate it. In conclusion: very so please with my purchase: I recommend.</v>
      </c>
    </row>
    <row r="1004">
      <c r="A1004" s="1">
        <v>5.0</v>
      </c>
      <c r="B1004" s="1" t="s">
        <v>1001</v>
      </c>
      <c r="C1004" t="str">
        <f>IFERROR(__xludf.DUMMYFUNCTION("GOOGLETRANSLATE(B1004, ""fr"", ""en"")"),"Original and surprising I love this sweater and I ordered a dozen. very original and there is something for everyone.")</f>
        <v>Original and surprising I love this sweater and I ordered a dozen. very original and there is something for everyone.</v>
      </c>
    </row>
    <row r="1005">
      <c r="A1005" s="1">
        <v>5.0</v>
      </c>
      <c r="B1005" s="1" t="s">
        <v>1002</v>
      </c>
      <c r="C1005" t="str">
        <f>IFERROR(__xludf.DUMMYFUNCTION("GOOGLETRANSLATE(B1005, ""fr"", ""en"")"),"Nickel Very beautiful result")</f>
        <v>Nickel Very beautiful result</v>
      </c>
    </row>
    <row r="1006">
      <c r="A1006" s="1">
        <v>5.0</v>
      </c>
      <c r="B1006" s="1" t="s">
        <v>1003</v>
      </c>
      <c r="C1006" t="str">
        <f>IFERROR(__xludf.DUMMYFUNCTION("GOOGLETRANSLATE(B1006, ""fr"", ""en"")"),"Compact and especially pliable making it a nomadic helmet insulation good noise outside Nickel am delighted with this purchase, because the sound is super crisp and clear and also headphones handy to watch a movie from the shelf The small problem is that "&amp;"we must remove the micro sD (where you put music) to switch Bluetooth to watch a movie (or so I have not read the manual) the apparaige is easy to do")</f>
        <v>Compact and especially pliable making it a nomadic helmet insulation good noise outside Nickel am delighted with this purchase, because the sound is super crisp and clear and also headphones handy to watch a movie from the shelf The small problem is that we must remove the micro sD (where you put music) to switch Bluetooth to watch a movie (or so I have not read the manual) the apparaige is easy to do</v>
      </c>
    </row>
    <row r="1007">
      <c r="A1007" s="1">
        <v>5.0</v>
      </c>
      <c r="B1007" s="1" t="s">
        <v>1004</v>
      </c>
      <c r="C1007" t="str">
        <f>IFERROR(__xludf.DUMMYFUNCTION("GOOGLETRANSLATE(B1007, ""fr"", ""en"")"),"Watch woman on top Fast delivery. Item as described.")</f>
        <v>Watch woman on top Fast delivery. Item as described.</v>
      </c>
    </row>
    <row r="1008">
      <c r="A1008" s="1">
        <v>5.0</v>
      </c>
      <c r="B1008" s="1" t="s">
        <v>1005</v>
      </c>
      <c r="C1008" t="str">
        <f>IFERROR(__xludf.DUMMYFUNCTION("GOOGLETRANSLATE(B1008, ""fr"", ""en"")"),"""Too too funny"" I was looking for a book for my 14 year old daughter, and explain that parents are not there to put up barriers ""for nothing."" She was skeptical and did not want it, but I bought it anyway. Result, she loved this book she found ""too t"&amp;"oo funny,"" although he says nonetheless amusing way the protective role of parents.")</f>
        <v>"Too too funny" I was looking for a book for my 14 year old daughter, and explain that parents are not there to put up barriers "for nothing." She was skeptical and did not want it, but I bought it anyway. Result, she loved this book she found "too too funny," although he says nonetheless amusing way the protective role of parents.</v>
      </c>
    </row>
    <row r="1009">
      <c r="A1009" s="1">
        <v>5.0</v>
      </c>
      <c r="B1009" s="1" t="s">
        <v>1006</v>
      </c>
      <c r="C1009" t="str">
        <f>IFERROR(__xludf.DUMMYFUNCTION("GOOGLETRANSLATE(B1009, ""fr"", ""en"")"),"Very good surprise I have just received my S9 headphones in HETP and I am very surprised. The packaging is worthy of the greatest. The quality of étuie and headphones is to go. The sound is more than adequate for the price and especially the touch control"&amp;"s respond very well. I recommend.")</f>
        <v>Very good surprise I have just received my S9 headphones in HETP and I am very surprised. The packaging is worthy of the greatest. The quality of étuie and headphones is to go. The sound is more than adequate for the price and especially the touch controls respond very well. I recommend.</v>
      </c>
    </row>
    <row r="1010">
      <c r="A1010" s="1">
        <v>5.0</v>
      </c>
      <c r="B1010" s="1" t="s">
        <v>1007</v>
      </c>
      <c r="C1010" t="str">
        <f>IFERROR(__xludf.DUMMYFUNCTION("GOOGLETRANSLATE(B1010, ""fr"", ""en"")"),"good quality very satisfied with this purchase. according to the announcement. good quality for the price. I highly recommend considering the price which I paid")</f>
        <v>good quality very satisfied with this purchase. according to the announcement. good quality for the price. I highly recommend considering the price which I paid</v>
      </c>
    </row>
    <row r="1011">
      <c r="A1011" s="1">
        <v>2.0</v>
      </c>
      <c r="B1011" s="1" t="s">
        <v>1008</v>
      </c>
      <c r="C1011" t="str">
        <f>IFERROR(__xludf.DUMMYFUNCTION("GOOGLETRANSLATE(B1011, ""fr"", ""en"")"),"Heater too slowly I followed the positive ratings by ordering this product and ultimately I regret: it takes a long time to properly heat the food and the indications are, I think, not correct. Moral: he stayed in the closet. Unnecessary purchase for me ."&amp;".")</f>
        <v>Heater too slowly I followed the positive ratings by ordering this product and ultimately I regret: it takes a long time to properly heat the food and the indications are, I think, not correct. Moral: he stayed in the closet. Unnecessary purchase for me ..</v>
      </c>
    </row>
    <row r="1012">
      <c r="A1012" s="1">
        <v>1.0</v>
      </c>
      <c r="B1012" s="1" t="s">
        <v>1009</v>
      </c>
      <c r="C1012" t="str">
        <f>IFERROR(__xludf.DUMMYFUNCTION("GOOGLETRANSLATE(B1012, ""fr"", ""en"")"),"Disappointed I large size 39 and I has Caught my size but they are too large")</f>
        <v>Disappointed I large size 39 and I has Caught my size but they are too large</v>
      </c>
    </row>
    <row r="1013">
      <c r="A1013" s="1">
        <v>1.0</v>
      </c>
      <c r="B1013" s="1" t="s">
        <v>1010</v>
      </c>
      <c r="C1013" t="str">
        <f>IFERROR(__xludf.DUMMYFUNCTION("GOOGLETRANSLATE(B1013, ""fr"", ""en"")"),"No difference No difference without ... Disappointing value.")</f>
        <v>No difference No difference without ... Disappointing value.</v>
      </c>
    </row>
    <row r="1014">
      <c r="A1014" s="1">
        <v>3.0</v>
      </c>
      <c r="B1014" s="1" t="s">
        <v>1011</v>
      </c>
      <c r="C1014" t="str">
        <f>IFERROR(__xludf.DUMMYFUNCTION("GOOGLETRANSLATE(B1014, ""fr"", ""en"")"),"Gift This is a gift")</f>
        <v>Gift This is a gift</v>
      </c>
    </row>
    <row r="1015">
      <c r="A1015" s="1">
        <v>3.0</v>
      </c>
      <c r="B1015" s="1" t="s">
        <v>1012</v>
      </c>
      <c r="C1015" t="str">
        <f>IFERROR(__xludf.DUMMYFUNCTION("GOOGLETRANSLATE(B1015, ""fr"", ""en"")"),"Done joke ... except for the cell phone! The bag arrived on time. The leather is of average quality, it is already scratched in places when I unpacked but at this price, it's more or less what I expected. When empty, it is relatively light, which is not n"&amp;"egligible. The handles are a little short, difficult to wear on the shoulder when you put a jacket, damage. In view of the colossal size of the central compartment, an additional pocket and / or one or two zip pockets in addition to the outside have been "&amp;"invited. The biggest downside: the pocket supposedly dedicated to the mobile phone is distorted and too small. I have a Galaxy S7, which is pretty standard as phone size and it does not. I'm good for a spelunking session intra-bag each time I want to get "&amp;"hold of it.")</f>
        <v>Done joke ... except for the cell phone! The bag arrived on time. The leather is of average quality, it is already scratched in places when I unpacked but at this price, it's more or less what I expected. When empty, it is relatively light, which is not negligible. The handles are a little short, difficult to wear on the shoulder when you put a jacket, damage. In view of the colossal size of the central compartment, an additional pocket and / or one or two zip pockets in addition to the outside have been invited. The biggest downside: the pocket supposedly dedicated to the mobile phone is distorted and too small. I have a Galaxy S7, which is pretty standard as phone size and it does not. I'm good for a spelunking session intra-bag each time I want to get hold of it.</v>
      </c>
    </row>
    <row r="1016">
      <c r="A1016" s="1">
        <v>4.0</v>
      </c>
      <c r="B1016" s="1" t="s">
        <v>1013</v>
      </c>
      <c r="C1016" t="str">
        <f>IFERROR(__xludf.DUMMYFUNCTION("GOOGLETRANSLATE(B1016, ""fr"", ""en"")"),"Good value for money. A watch first unpretentious prices but a quality / fair price.")</f>
        <v>Good value for money. A watch first unpretentious prices but a quality / fair price.</v>
      </c>
    </row>
    <row r="1017">
      <c r="A1017" s="1">
        <v>4.0</v>
      </c>
      <c r="B1017" s="1" t="s">
        <v>1014</v>
      </c>
      <c r="C1017" t="str">
        <f>IFERROR(__xludf.DUMMYFUNCTION("GOOGLETRANSLATE(B1017, ""fr"", ""en"")"),"quality / price was right the first test it was not yet conclusive we weighed the subject, but after 10 minutes it was down, that's why I remove a star. So we resigned to paste the entire length of this object and it moves longer 😊 hope it lasts. So qual"&amp;"ity / good price;)")</f>
        <v>quality / price was right the first test it was not yet conclusive we weighed the subject, but after 10 minutes it was down, that's why I remove a star. So we resigned to paste the entire length of this object and it moves longer 😊 hope it lasts. So quality / good price;)</v>
      </c>
    </row>
    <row r="1018">
      <c r="A1018" s="1">
        <v>4.0</v>
      </c>
      <c r="B1018" s="1" t="s">
        <v>1015</v>
      </c>
      <c r="C1018" t="str">
        <f>IFERROR(__xludf.DUMMYFUNCTION("GOOGLETRANSLATE(B1018, ""fr"", ""en"")"),"effective insulation, excellent sound is worth the price, noise reduction is not perfect but you can listen at lower volume in noisy places like the subway. The touch controls are practical. I do have two criticisms. First, the touch controls can be annoy"&amp;"ing in some situations; if a hood or a bed cover touches the right side of the helmet, the commands are activated. Moreover, they resent the large temperature changes: moving from an apartment heated outside where it freezes will activate commands randoml"&amp;"y put music pause or change songs. You must restart the headset into the new temperature for the problem disappears. The Sony media said they are working on an update for several months. Second, we can not go from a Bluetooth source to another easily, I h"&amp;"ave to disconnect my iPhone and then reconnect the headset to my PC.")</f>
        <v>effective insulation, excellent sound is worth the price, noise reduction is not perfect but you can listen at lower volume in noisy places like the subway. The touch controls are practical. I do have two criticisms. First, the touch controls can be annoying in some situations; if a hood or a bed cover touches the right side of the helmet, the commands are activated. Moreover, they resent the large temperature changes: moving from an apartment heated outside where it freezes will activate commands randomly put music pause or change songs. You must restart the headset into the new temperature for the problem disappears. The Sony media said they are working on an update for several months. Second, we can not go from a Bluetooth source to another easily, I have to disconnect my iPhone and then reconnect the headset to my PC.</v>
      </c>
    </row>
    <row r="1019">
      <c r="A1019" s="1">
        <v>4.0</v>
      </c>
      <c r="B1019" s="1" t="s">
        <v>1016</v>
      </c>
      <c r="C1019" t="str">
        <f>IFERROR(__xludf.DUMMYFUNCTION("GOOGLETRANSLATE(B1019, ""fr"", ""en"")"),"Supe To store solid mini girl toy and toop")</f>
        <v>Supe To store solid mini girl toy and toop</v>
      </c>
    </row>
    <row r="1020">
      <c r="A1020" s="1">
        <v>5.0</v>
      </c>
      <c r="B1020" s="1" t="s">
        <v>1017</v>
      </c>
      <c r="C1020" t="str">
        <f>IFERROR(__xludf.DUMMYFUNCTION("GOOGLETRANSLATE(B1020, ""fr"", ""en"")"),"handy I am delighted my calendar handy, because you can see at a glance all his week. by against the dimmensions agenda are quite large, so instead used in an office")</f>
        <v>handy I am delighted my calendar handy, because you can see at a glance all his week. by against the dimmensions agenda are quite large, so instead used in an office</v>
      </c>
    </row>
    <row r="1021">
      <c r="A1021" s="1">
        <v>5.0</v>
      </c>
      <c r="B1021" s="1" t="s">
        <v>1018</v>
      </c>
      <c r="C1021" t="str">
        <f>IFERROR(__xludf.DUMMYFUNCTION("GOOGLETRANSLATE(B1021, ""fr"", ""en"")"),"Equal to the photo Gift")</f>
        <v>Equal to the photo Gift</v>
      </c>
    </row>
    <row r="1022">
      <c r="A1022" s="1">
        <v>5.0</v>
      </c>
      <c r="B1022" s="1" t="s">
        <v>1019</v>
      </c>
      <c r="C1022" t="str">
        <f>IFERROR(__xludf.DUMMYFUNCTION("GOOGLETRANSLATE(B1022, ""fr"", ""en"")"),"MY PRACTICE ORDER SO CONVERSES CLASSIC FOOTWEAR. I HAD TO REPLACE THE OLD AND IN ONE CLICK TO ME ARE MY CONVERSES 😎")</f>
        <v>MY PRACTICE ORDER SO CONVERSES CLASSIC FOOTWEAR. I HAD TO REPLACE THE OLD AND IN ONE CLICK TO ME ARE MY CONVERSES 😎</v>
      </c>
    </row>
    <row r="1023">
      <c r="A1023" s="1">
        <v>5.0</v>
      </c>
      <c r="B1023" s="1" t="s">
        <v>1020</v>
      </c>
      <c r="C1023" t="str">
        <f>IFERROR(__xludf.DUMMYFUNCTION("GOOGLETRANSLATE(B1023, ""fr"", ""en"")"),"purchase concluding interesting purchase, size S = 90 C as indicated in another post. Nice article covering and excellent support for high impact activities. Running Martial Arts Practitioner and very satisfied. Article advised.")</f>
        <v>purchase concluding interesting purchase, size S = 90 C as indicated in another post. Nice article covering and excellent support for high impact activities. Running Martial Arts Practitioner and very satisfied. Article advised.</v>
      </c>
    </row>
    <row r="1024">
      <c r="A1024" s="1">
        <v>5.0</v>
      </c>
      <c r="B1024" s="1" t="s">
        <v>1021</v>
      </c>
      <c r="C1024" t="str">
        <f>IFERROR(__xludf.DUMMYFUNCTION("GOOGLETRANSLATE(B1024, ""fr"", ""en"")"),"Gift successful My niece received them as gifts and leaves them more, the size is perfect and she loves them! A successful gift :)")</f>
        <v>Gift successful My niece received them as gifts and leaves them more, the size is perfect and she loves them! A successful gift :)</v>
      </c>
    </row>
    <row r="1025">
      <c r="A1025" s="1">
        <v>5.0</v>
      </c>
      <c r="B1025" s="1" t="s">
        <v>1022</v>
      </c>
      <c r="C1025" t="str">
        <f>IFERROR(__xludf.DUMMYFUNCTION("GOOGLETRANSLATE(B1025, ""fr"", ""en"")"),"comprehensive Reveil What a nice surprise with this awakening and it is based cable supplied with this is easy to program leaflet grace al Application Time display 12/24 LED brightness sunrise simulation of the sun color simulation sunset July 4 program W"&amp;"ake 7sonneries FM Radio USB I recommend this product")</f>
        <v>comprehensive Reveil What a nice surprise with this awakening and it is based cable supplied with this is easy to program leaflet grace al Application Time display 12/24 LED brightness sunrise simulation of the sun color simulation sunset July 4 program Wake 7sonneries FM Radio USB I recommend this product</v>
      </c>
    </row>
    <row r="1026">
      <c r="A1026" s="1">
        <v>5.0</v>
      </c>
      <c r="B1026" s="1" t="s">
        <v>1023</v>
      </c>
      <c r="C1026" t="str">
        <f>IFERROR(__xludf.DUMMYFUNCTION("GOOGLETRANSLATE(B1026, ""fr"", ""en"")"),"Top! Great color, I fell in love with the Italian apparel manufacturing. Fabric warm and beautiful color. Very good!")</f>
        <v>Top! Great color, I fell in love with the Italian apparel manufacturing. Fabric warm and beautiful color. Very good!</v>
      </c>
    </row>
    <row r="1027">
      <c r="A1027" s="1">
        <v>5.0</v>
      </c>
      <c r="B1027" s="1" t="s">
        <v>1024</v>
      </c>
      <c r="C1027" t="str">
        <f>IFERROR(__xludf.DUMMYFUNCTION("GOOGLETRANSLATE(B1027, ""fr"", ""en"")"),"Awesome! Very good result I literally devoured by mosquitoes when yen tiny little or big it's a real problem since it is plugged nothing to say I'm more dive for evidence after a month while there were no mosquitos and I was quiet jenlai remove one night!"&amp;" Total 3piquures the next day and beautiful !! So I recommend for those who like me are true blood pump !! lol")</f>
        <v>Awesome! Very good result I literally devoured by mosquitoes when yen tiny little or big it's a real problem since it is plugged nothing to say I'm more dive for evidence after a month while there were no mosquitos and I was quiet jenlai remove one night! Total 3piquures the next day and beautiful !! So I recommend for those who like me are true blood pump !! lol</v>
      </c>
    </row>
    <row r="1028">
      <c r="A1028" s="1">
        <v>5.0</v>
      </c>
      <c r="B1028" s="1" t="s">
        <v>1025</v>
      </c>
      <c r="C1028" t="str">
        <f>IFERROR(__xludf.DUMMYFUNCTION("GOOGLETRANSLATE(B1028, ""fr"", ""en"")"),"Recommend Very useful for learning to read")</f>
        <v>Recommend Very useful for learning to read</v>
      </c>
    </row>
    <row r="1029">
      <c r="A1029" s="1">
        <v>5.0</v>
      </c>
      <c r="B1029" s="1" t="s">
        <v>1026</v>
      </c>
      <c r="C1029" t="str">
        <f>IFERROR(__xludf.DUMMYFUNCTION("GOOGLETRANSLATE(B1029, ""fr"", ""en"")"),"Excellent Excellent product .. The cable is very good. He is faithful to the image and the description described the site.Merci")</f>
        <v>Excellent Excellent product .. The cable is very good. He is faithful to the image and the description described the site.Merci</v>
      </c>
    </row>
    <row r="1030">
      <c r="A1030" s="1">
        <v>5.0</v>
      </c>
      <c r="B1030" s="1" t="s">
        <v>1027</v>
      </c>
      <c r="C1030" t="str">
        <f>IFERROR(__xludf.DUMMYFUNCTION("GOOGLETRANSLATE(B1030, ""fr"", ""en"")"),"Good good device massager, it is powerful and easy to handle. For cellulite effect, I think that using the device regularly, there will be a result because after 10 minutes of massage my thighs are red, showing that blood flow was stimulated so my celluli"&amp;"te too!")</f>
        <v>Good good device massager, it is powerful and easy to handle. For cellulite effect, I think that using the device regularly, there will be a result because after 10 minutes of massage my thighs are red, showing that blood flow was stimulated so my cellulite too!</v>
      </c>
    </row>
    <row r="1031">
      <c r="A1031" s="1">
        <v>5.0</v>
      </c>
      <c r="B1031" s="1" t="s">
        <v>1028</v>
      </c>
      <c r="C1031" t="str">
        <f>IFERROR(__xludf.DUMMYFUNCTION("GOOGLETRANSLATE(B1031, ""fr"", ""en"")"),"very good buy this watch is exactly what I needed: an everyday tool. its functions are easily accessible and accurate enough for the average person ... and more: it gives the time !!!!")</f>
        <v>very good buy this watch is exactly what I needed: an everyday tool. its functions are easily accessible and accurate enough for the average person ... and more: it gives the time !!!!</v>
      </c>
    </row>
    <row r="1032">
      <c r="A1032" s="1">
        <v>5.0</v>
      </c>
      <c r="B1032" s="1" t="s">
        <v>1029</v>
      </c>
      <c r="C1032" t="str">
        <f>IFERROR(__xludf.DUMMYFUNCTION("GOOGLETRANSLATE(B1032, ""fr"", ""en"")"),"shoe my little girl to love")</f>
        <v>shoe my little girl to love</v>
      </c>
    </row>
    <row r="1033">
      <c r="A1033" s="1">
        <v>5.0</v>
      </c>
      <c r="B1033" s="1" t="s">
        <v>1030</v>
      </c>
      <c r="C1033" t="str">
        <f>IFERROR(__xludf.DUMMYFUNCTION("GOOGLETRANSLATE(B1033, ""fr"", ""en"")"),"Effective efficiency product")</f>
        <v>Effective efficiency product</v>
      </c>
    </row>
    <row r="1034">
      <c r="A1034" s="1">
        <v>5.0</v>
      </c>
      <c r="B1034" s="1" t="s">
        <v>1031</v>
      </c>
      <c r="C1034" t="str">
        <f>IFERROR(__xludf.DUMMYFUNCTION("GOOGLETRANSLATE(B1034, ""fr"", ""en"")"),"Lightweight and good cushioning These TBS meet my expectations. Lightweight, well designed and very nice color. A quality mark")</f>
        <v>Lightweight and good cushioning These TBS meet my expectations. Lightweight, well designed and very nice color. A quality mark</v>
      </c>
    </row>
    <row r="1035">
      <c r="A1035" s="1">
        <v>2.0</v>
      </c>
      <c r="B1035" s="1" t="s">
        <v>1032</v>
      </c>
      <c r="C1035" t="str">
        <f>IFERROR(__xludf.DUMMYFUNCTION("GOOGLETRANSLATE(B1035, ""fr"", ""en"")"),"too small too small")</f>
        <v>too small too small</v>
      </c>
    </row>
    <row r="1036">
      <c r="A1036" s="1">
        <v>1.0</v>
      </c>
      <c r="B1036" s="1" t="s">
        <v>1033</v>
      </c>
      <c r="C1036" t="str">
        <f>IFERROR(__xludf.DUMMYFUNCTION("GOOGLETRANSLATE(B1036, ""fr"", ""en"")"),"heavy too heavy and annoying after a while. pity")</f>
        <v>heavy too heavy and annoying after a while. pity</v>
      </c>
    </row>
    <row r="1037">
      <c r="A1037" s="1">
        <v>1.0</v>
      </c>
      <c r="B1037" s="1" t="s">
        <v>1034</v>
      </c>
      <c r="C1037" t="str">
        <f>IFERROR(__xludf.DUMMYFUNCTION("GOOGLETRANSLATE(B1037, ""fr"", ""en"")"),"the crackling and no customer service response ... I had never used microwave for my family videos or doing interviews for my facebook page blog. Received 24 with Prime, this mic is plug and play and can significantly improve the sound. It was not a profe"&amp;"ssional microphone but clearly sufficient in an amateur setting. Unfortunately after a few uses recordings became inaudible crackling reasons. Despite several requests to customer service, I have been entitled to answers by email meaningless, presumably t"&amp;"o discourage me. I do not recommend buying this mic, not so much for the technical problem can always happen, but the customer service is not serious if not dishonest ...")</f>
        <v>the crackling and no customer service response ... I had never used microwave for my family videos or doing interviews for my facebook page blog. Received 24 with Prime, this mic is plug and play and can significantly improve the sound. It was not a professional microphone but clearly sufficient in an amateur setting. Unfortunately after a few uses recordings became inaudible crackling reasons. Despite several requests to customer service, I have been entitled to answers by email meaningless, presumably to discourage me. I do not recommend buying this mic, not so much for the technical problem can always happen, but the customer service is not serious if not dishonest ...</v>
      </c>
    </row>
    <row r="1038">
      <c r="A1038" s="1">
        <v>3.0</v>
      </c>
      <c r="B1038" s="1" t="s">
        <v>1035</v>
      </c>
      <c r="C1038" t="str">
        <f>IFERROR(__xludf.DUMMYFUNCTION("GOOGLETRANSLATE(B1038, ""fr"", ""en"")"),"Middle Size a little big! pity ! keep as can be used in emergencies. Otherwise nice and solid material.")</f>
        <v>Middle Size a little big! pity ! keep as can be used in emergencies. Otherwise nice and solid material.</v>
      </c>
    </row>
    <row r="1039">
      <c r="A1039" s="1">
        <v>4.0</v>
      </c>
      <c r="B1039" s="1" t="s">
        <v>1036</v>
      </c>
      <c r="C1039" t="str">
        <f>IFERROR(__xludf.DUMMYFUNCTION("GOOGLETRANSLATE(B1039, ""fr"", ""en"")"),"Good product Good product not very thick but still suitable for the half year season. Usually I wear size 40/42, I took the year size M / L and size very well.")</f>
        <v>Good product Good product not very thick but still suitable for the half year season. Usually I wear size 40/42, I took the year size M / L and size very well.</v>
      </c>
    </row>
    <row r="1040">
      <c r="A1040" s="1">
        <v>4.0</v>
      </c>
      <c r="B1040" s="1" t="s">
        <v>1037</v>
      </c>
      <c r="C1040" t="str">
        <f>IFERROR(__xludf.DUMMYFUNCTION("GOOGLETRANSLATE(B1040, ""fr"", ""en"")"),"Perfect for my canon mg3000 no problem")</f>
        <v>Perfect for my canon mg3000 no problem</v>
      </c>
    </row>
    <row r="1041">
      <c r="A1041" s="1">
        <v>4.0</v>
      </c>
      <c r="B1041" s="1" t="s">
        <v>1038</v>
      </c>
      <c r="C1041" t="str">
        <f>IFERROR(__xludf.DUMMYFUNCTION("GOOGLETRANSLATE(B1041, ""fr"", ""en"")"),"Very nice and very good large satchel ideal teacher, a little big but suddenly can store a lot of items, PC, paper ... quality material corresponds to my request, the strap is not very elegant but not easily replace. great value for money")</f>
        <v>Very nice and very good large satchel ideal teacher, a little big but suddenly can store a lot of items, PC, paper ... quality material corresponds to my request, the strap is not very elegant but not easily replace. great value for money</v>
      </c>
    </row>
    <row r="1042">
      <c r="A1042" s="1">
        <v>4.0</v>
      </c>
      <c r="B1042" s="1" t="s">
        <v>1039</v>
      </c>
      <c r="C1042" t="str">
        <f>IFERROR(__xludf.DUMMYFUNCTION("GOOGLETRANSLATE(B1042, ""fr"", ""en"")"),"good product and original as expected, good quality for the price, and well finished product. only downside, the size, I would recommend this to target a size up. (Size a bit small)")</f>
        <v>good product and original as expected, good quality for the price, and well finished product. only downside, the size, I would recommend this to target a size up. (Size a bit small)</v>
      </c>
    </row>
    <row r="1043">
      <c r="A1043" s="1">
        <v>5.0</v>
      </c>
      <c r="B1043" s="1" t="s">
        <v>1040</v>
      </c>
      <c r="C1043" t="str">
        <f>IFERROR(__xludf.DUMMYFUNCTION("GOOGLETRANSLATE(B1043, ""fr"", ""en"")"),"Mint Parfait I still bears")</f>
        <v>Mint Parfait I still bears</v>
      </c>
    </row>
    <row r="1044">
      <c r="A1044" s="1">
        <v>5.0</v>
      </c>
      <c r="B1044" s="1" t="s">
        <v>1041</v>
      </c>
      <c r="C1044" t="str">
        <f>IFERROR(__xludf.DUMMYFUNCTION("GOOGLETRANSLATE(B1044, ""fr"", ""en"")"),"Convenient for sport Very good product")</f>
        <v>Convenient for sport Very good product</v>
      </c>
    </row>
    <row r="1045">
      <c r="A1045" s="1">
        <v>5.0</v>
      </c>
      <c r="B1045" s="1" t="s">
        <v>1042</v>
      </c>
      <c r="C1045" t="str">
        <f>IFERROR(__xludf.DUMMYFUNCTION("GOOGLETRANSLATE(B1045, ""fr"", ""en"")"),"Very happy with my purchase Set of bottles which allows to have everything you need when baby arrives. They are of good quality. Excellent value compared to the prices we can find that internet or pharmacy")</f>
        <v>Very happy with my purchase Set of bottles which allows to have everything you need when baby arrives. They are of good quality. Excellent value compared to the prices we can find that internet or pharmacy</v>
      </c>
    </row>
    <row r="1046">
      <c r="A1046" s="1">
        <v>5.0</v>
      </c>
      <c r="B1046" s="1" t="s">
        <v>1043</v>
      </c>
      <c r="C1046" t="str">
        <f>IFERROR(__xludf.DUMMYFUNCTION("GOOGLETRANSLATE(B1046, ""fr"", ""en"")"),"Very solid practice")</f>
        <v>Very solid practice</v>
      </c>
    </row>
    <row r="1047">
      <c r="A1047" s="1">
        <v>5.0</v>
      </c>
      <c r="B1047" s="1" t="s">
        <v>1044</v>
      </c>
      <c r="C1047" t="str">
        <f>IFERROR(__xludf.DUMMYFUNCTION("GOOGLETRANSLATE(B1047, ""fr"", ""en"")"),"Remarkable J bought these headphones bluetooth because I am professional dance. They are perfect ! The sound is unbeatable. Ideal to stay in his bubble and dance without being disturbed. Once upgraded to the ears do not move even with different movements.")</f>
        <v>Remarkable J bought these headphones bluetooth because I am professional dance. They are perfect ! The sound is unbeatable. Ideal to stay in his bubble and dance without being disturbed. Once upgraded to the ears do not move even with different movements.</v>
      </c>
    </row>
    <row r="1048">
      <c r="A1048" s="1">
        <v>5.0</v>
      </c>
      <c r="B1048" s="1" t="s">
        <v>1045</v>
      </c>
      <c r="C1048" t="str">
        <f>IFERROR(__xludf.DUMMYFUNCTION("GOOGLETRANSLATE(B1048, ""fr"", ""en"")"),"Earrings 925 Silver Earrings Studs beautiful and discrete, offered for a birthday.")</f>
        <v>Earrings 925 Silver Earrings Studs beautiful and discrete, offered for a birthday.</v>
      </c>
    </row>
    <row r="1049">
      <c r="A1049" s="1">
        <v>5.0</v>
      </c>
      <c r="B1049" s="1" t="s">
        <v>1046</v>
      </c>
      <c r="C1049" t="str">
        <f>IFERROR(__xludf.DUMMYFUNCTION("GOOGLETRANSLATE(B1049, ""fr"", ""en"")"),"A very nice story I bought this book for my 5 year old daughter and a half following good reviews and we were not disappointed by this little chicken ""rebel"" who wanted to see the sea;) Nice story with the "" adventure ""and even a beautiful love story;"&amp;") and the format is much to handle (not too big).")</f>
        <v>A very nice story I bought this book for my 5 year old daughter and a half following good reviews and we were not disappointed by this little chicken "rebel" who wanted to see the sea;) Nice story with the " adventure "and even a beautiful love story;) and the format is much to handle (not too big).</v>
      </c>
    </row>
    <row r="1050">
      <c r="A1050" s="1">
        <v>5.0</v>
      </c>
      <c r="B1050" s="1" t="s">
        <v>1047</v>
      </c>
      <c r="C1050" t="str">
        <f>IFERROR(__xludf.DUMMYFUNCTION("GOOGLETRANSLATE(B1050, ""fr"", ""en"")"),"excellent product I am very satisfied with the product I know him very well and for years a very pleasant atmosphere of perfume even people who can not stand the smell inside say it feels very good and very fast delivery.")</f>
        <v>excellent product I am very satisfied with the product I know him very well and for years a very pleasant atmosphere of perfume even people who can not stand the smell inside say it feels very good and very fast delivery.</v>
      </c>
    </row>
    <row r="1051">
      <c r="A1051" s="1">
        <v>5.0</v>
      </c>
      <c r="B1051" s="1" t="s">
        <v>1048</v>
      </c>
      <c r="C1051" t="str">
        <f>IFERROR(__xludf.DUMMYFUNCTION("GOOGLETRANSLATE(B1051, ""fr"", ""en"")"),"First successful experience comfortable and mild, good support, good cushioning, so perfect")</f>
        <v>First successful experience comfortable and mild, good support, good cushioning, so perfect</v>
      </c>
    </row>
    <row r="1052">
      <c r="A1052" s="1">
        <v>5.0</v>
      </c>
      <c r="B1052" s="1" t="s">
        <v>1049</v>
      </c>
      <c r="C1052" t="str">
        <f>IFERROR(__xludf.DUMMYFUNCTION("GOOGLETRANSLATE(B1052, ""fr"", ""en"")"),"Good Value gear impeccable prices")</f>
        <v>Good Value gear impeccable prices</v>
      </c>
    </row>
    <row r="1053">
      <c r="A1053" s="1">
        <v>5.0</v>
      </c>
      <c r="B1053" s="1" t="s">
        <v>1050</v>
      </c>
      <c r="C1053" t="str">
        <f>IFERROR(__xludf.DUMMYFUNCTION("GOOGLETRANSLATE(B1053, ""fr"", ""en"")"),"Cool Received in advance is top quality. I do not regret absolutely not")</f>
        <v>Cool Received in advance is top quality. I do not regret absolutely not</v>
      </c>
    </row>
    <row r="1054">
      <c r="A1054" s="1">
        <v>5.0</v>
      </c>
      <c r="B1054" s="1" t="s">
        <v>1051</v>
      </c>
      <c r="C1054" t="str">
        <f>IFERROR(__xludf.DUMMYFUNCTION("GOOGLETRANSLATE(B1054, ""fr"", ""en"")"),"The Stan Smith. . . timeless.")</f>
        <v>The Stan Smith. . . timeless.</v>
      </c>
    </row>
    <row r="1055">
      <c r="A1055" s="1">
        <v>5.0</v>
      </c>
      <c r="B1055" s="1" t="s">
        <v>1052</v>
      </c>
      <c r="C1055" t="str">
        <f>IFERROR(__xludf.DUMMYFUNCTION("GOOGLETRANSLATE(B1055, ""fr"", ""en"")"),"Liquid nuk Price basket more. Very useful for cleaning bottles and teats of my daughter without using aggressive dishwashing liquid. I recommend")</f>
        <v>Liquid nuk Price basket more. Very useful for cleaning bottles and teats of my daughter without using aggressive dishwashing liquid. I recommend</v>
      </c>
    </row>
    <row r="1056">
      <c r="A1056" s="1">
        <v>5.0</v>
      </c>
      <c r="B1056" s="1" t="s">
        <v>1053</v>
      </c>
      <c r="C1056" t="str">
        <f>IFERROR(__xludf.DUMMYFUNCTION("GOOGLETRANSLATE(B1056, ""fr"", ""en"")"),"Comfortable and Beautiful sexy leggings, development of forms. Take your size or smaller size for a tighter effect like the pictures of the product Black not transparent quality The correct L is comfortable pour38 / 40 but not tight enough Effect goes but"&amp;"tocks nice / open well. Wear a black string preferably I'll try the tight-fitting suit in the same style.")</f>
        <v>Comfortable and Beautiful sexy leggings, development of forms. Take your size or smaller size for a tighter effect like the pictures of the product Black not transparent quality The correct L is comfortable pour38 / 40 but not tight enough Effect goes buttocks nice / open well. Wear a black string preferably I'll try the tight-fitting suit in the same style.</v>
      </c>
    </row>
    <row r="1057">
      <c r="A1057" s="1">
        <v>5.0</v>
      </c>
      <c r="B1057" s="1" t="s">
        <v>1054</v>
      </c>
      <c r="C1057" t="str">
        <f>IFERROR(__xludf.DUMMYFUNCTION("GOOGLETRANSLATE(B1057, ""fr"", ""en"")"),"Too beautiful Very beautiful earrings, very good quality on the door all day")</f>
        <v>Too beautiful Very beautiful earrings, very good quality on the door all day</v>
      </c>
    </row>
    <row r="1058">
      <c r="A1058" s="1">
        <v>2.0</v>
      </c>
      <c r="B1058" s="1" t="s">
        <v>1055</v>
      </c>
      <c r="C1058" t="str">
        <f>IFERROR(__xludf.DUMMYFUNCTION("GOOGLETRANSLATE(B1058, ""fr"", ""en"")"),"the galley to put the model is too small to me. I hesitated to order a size up because it is very difficult to put on. I prefer to try to order a model that opens in the front. A shame as the article seems good, the material keeps well and is very sweet.")</f>
        <v>the galley to put the model is too small to me. I hesitated to order a size up because it is very difficult to put on. I prefer to try to order a model that opens in the front. A shame as the article seems good, the material keeps well and is very sweet.</v>
      </c>
    </row>
    <row r="1059">
      <c r="A1059" s="1">
        <v>1.0</v>
      </c>
      <c r="B1059" s="1" t="s">
        <v>1056</v>
      </c>
      <c r="C1059" t="str">
        <f>IFERROR(__xludf.DUMMYFUNCTION("GOOGLETRANSLATE(B1059, ""fr"", ""en"")"),"Disappointment I bought this product because I already purchased in the past in store. Unfortunately, the bra that I received does not match the images that are by reference. Indeed, while I was expecting to have 2 fasteners at the front, I end up with 3."&amp;" Moreover, behind the black and red logo triaction not found it. So for me it does not match my expectations. Besides the picture on the packaging is different from the bra itself ???? I'll go back because for me this is not what I ordered.")</f>
        <v>Disappointment I bought this product because I already purchased in the past in store. Unfortunately, the bra that I received does not match the images that are by reference. Indeed, while I was expecting to have 2 fasteners at the front, I end up with 3. Moreover, behind the black and red logo triaction not found it. So for me it does not match my expectations. Besides the picture on the packaging is different from the bra itself ???? I'll go back because for me this is not what I ordered.</v>
      </c>
    </row>
    <row r="1060">
      <c r="A1060" s="1">
        <v>3.0</v>
      </c>
      <c r="B1060" s="1" t="s">
        <v>1057</v>
      </c>
      <c r="C1060" t="str">
        <f>IFERROR(__xludf.DUMMYFUNCTION("GOOGLETRANSLATE(B1060, ""fr"", ""en"")"),"Basketball without more comfortable")</f>
        <v>Basketball without more comfortable</v>
      </c>
    </row>
    <row r="1061">
      <c r="A1061" s="1">
        <v>3.0</v>
      </c>
      <c r="B1061" s="1" t="s">
        <v>1058</v>
      </c>
      <c r="C1061" t="str">
        <f>IFERROR(__xludf.DUMMYFUNCTION("GOOGLETRANSLATE(B1061, ""fr"", ""en"")"),"What works well but still trying Gift of Christmas")</f>
        <v>What works well but still trying Gift of Christmas</v>
      </c>
    </row>
    <row r="1062">
      <c r="A1062" s="1">
        <v>4.0</v>
      </c>
      <c r="B1062" s="1" t="s">
        <v>1059</v>
      </c>
      <c r="C1062" t="str">
        <f>IFERROR(__xludf.DUMMYFUNCTION("GOOGLETRANSLATE(B1062, ""fr"", ""en"")"),"True Converse which suddenly size too Good quality leather. However, the shoe squeaks when you walk (to see the behavior in time). As for the size. Do get one size smaller than your usual size. I play 38 and I took a 37.5 a precaution (I fear it is too sm"&amp;"all). But I still have the margin. We really take 37 if you are doing 38.")</f>
        <v>True Converse which suddenly size too Good quality leather. However, the shoe squeaks when you walk (to see the behavior in time). As for the size. Do get one size smaller than your usual size. I play 38 and I took a 37.5 a precaution (I fear it is too small). But I still have the margin. We really take 37 if you are doing 38.</v>
      </c>
    </row>
    <row r="1063">
      <c r="A1063" s="1">
        <v>4.0</v>
      </c>
      <c r="B1063" s="1" t="s">
        <v>1060</v>
      </c>
      <c r="C1063" t="str">
        <f>IFERROR(__xludf.DUMMYFUNCTION("GOOGLETRANSLATE(B1063, ""fr"", ""en"")"),"Product that fits all very comfortable styles. elegant line. Easy maintenance. Missing a hint of style for glamor. Nothing to add the point.")</f>
        <v>Product that fits all very comfortable styles. elegant line. Easy maintenance. Missing a hint of style for glamor. Nothing to add the point.</v>
      </c>
    </row>
    <row r="1064">
      <c r="A1064" s="1">
        <v>4.0</v>
      </c>
      <c r="B1064" s="1" t="s">
        <v>1061</v>
      </c>
      <c r="C1064" t="str">
        <f>IFERROR(__xludf.DUMMYFUNCTION("GOOGLETRANSLATE(B1064, ""fr"", ""en"")"),"Incomplete Bottles books without lollipop .Unlike the image on the photo")</f>
        <v>Incomplete Bottles books without lollipop .Unlike the image on the photo</v>
      </c>
    </row>
    <row r="1065">
      <c r="A1065" s="1">
        <v>4.0</v>
      </c>
      <c r="B1065" s="1" t="s">
        <v>1062</v>
      </c>
      <c r="C1065" t="str">
        <f>IFERROR(__xludf.DUMMYFUNCTION("GOOGLETRANSLATE(B1065, ""fr"", ""en"")"),"Although carpenter My man and he works hard under the wind and greasy is ticherte its exchange him there and not going to problem recommending san problem")</f>
        <v>Although carpenter My man and he works hard under the wind and greasy is ticherte its exchange him there and not going to problem recommending san problem</v>
      </c>
    </row>
    <row r="1066">
      <c r="A1066" s="1">
        <v>4.0</v>
      </c>
      <c r="B1066" s="1" t="s">
        <v>1063</v>
      </c>
      <c r="C1066" t="str">
        <f>IFERROR(__xludf.DUMMYFUNCTION("GOOGLETRANSLATE(B1066, ""fr"", ""en"")"),"Nice bracelet with real stones Very good value, but the pearls are a bit small for my taste. Very nice finish and quality materials. reasonable delivery times. Message for the gentlemen: they may be too small for the male wrist")</f>
        <v>Nice bracelet with real stones Very good value, but the pearls are a bit small for my taste. Very nice finish and quality materials. reasonable delivery times. Message for the gentlemen: they may be too small for the male wrist</v>
      </c>
    </row>
    <row r="1067">
      <c r="A1067" s="1">
        <v>5.0</v>
      </c>
      <c r="B1067" s="1" t="s">
        <v>1064</v>
      </c>
      <c r="C1067" t="str">
        <f>IFERROR(__xludf.DUMMYFUNCTION("GOOGLETRANSLATE(B1067, ""fr"", ""en"")"),"comfortable shoes and beautiful I found these comfortable sneakers. Initially I was a little afraid of having taken too large (depending on the brand, I'm doing 38 or 39), but finally, in keeping the foot all day, I have had no problems. I found them real"&amp;"ly comfortable and they held up well. The color is beautiful and although I find the tapes a little bulky, this adds a feminine touch.")</f>
        <v>comfortable shoes and beautiful I found these comfortable sneakers. Initially I was a little afraid of having taken too large (depending on the brand, I'm doing 38 or 39), but finally, in keeping the foot all day, I have had no problems. I found them really comfortable and they held up well. The color is beautiful and although I find the tapes a little bulky, this adds a feminine touch.</v>
      </c>
    </row>
    <row r="1068">
      <c r="A1068" s="1">
        <v>5.0</v>
      </c>
      <c r="B1068" s="1" t="s">
        <v>1065</v>
      </c>
      <c r="C1068" t="str">
        <f>IFERROR(__xludf.DUMMYFUNCTION("GOOGLETRANSLATE(B1068, ""fr"", ""en"")"),"Super Good quality item. The tool provided with is not super strong but does the job to adjust the strap to your size. After 2 and a half months of daily use, the bracelet is still in very good condition.")</f>
        <v>Super Good quality item. The tool provided with is not super strong but does the job to adjust the strap to your size. After 2 and a half months of daily use, the bracelet is still in very good condition.</v>
      </c>
    </row>
    <row r="1069">
      <c r="A1069" s="1">
        <v>5.0</v>
      </c>
      <c r="B1069" s="1" t="s">
        <v>1066</v>
      </c>
      <c r="C1069" t="str">
        <f>IFERROR(__xludf.DUMMYFUNCTION("GOOGLETRANSLATE(B1069, ""fr"", ""en"")"),"Although Good bottle for infants with reflux and vomiting, however, my baby is doing best to breastfeed with flat style MAM pacifiers")</f>
        <v>Although Good bottle for infants with reflux and vomiting, however, my baby is doing best to breastfeed with flat style MAM pacifiers</v>
      </c>
    </row>
    <row r="1070">
      <c r="A1070" s="1">
        <v>5.0</v>
      </c>
      <c r="B1070" s="1" t="s">
        <v>1067</v>
      </c>
      <c r="C1070" t="str">
        <f>IFERROR(__xludf.DUMMYFUNCTION("GOOGLETRANSLATE(B1070, ""fr"", ""en"")"),"Perfect Converse high, white and canvas, received before the expected date, consistent description. Ordered 4.5 that is to say 37. Do not take size or above, or below, the shoes will eventually take the shape of the foot what.")</f>
        <v>Perfect Converse high, white and canvas, received before the expected date, consistent description. Ordered 4.5 that is to say 37. Do not take size or above, or below, the shoes will eventually take the shape of the foot what.</v>
      </c>
    </row>
    <row r="1071">
      <c r="A1071" s="1">
        <v>5.0</v>
      </c>
      <c r="B1071" s="1" t="s">
        <v>1068</v>
      </c>
      <c r="C1071" t="str">
        <f>IFERROR(__xludf.DUMMYFUNCTION("GOOGLETRANSLATE(B1071, ""fr"", ""en"")"),"Watch Great product very happy with the shows great finesse and great view to the eye EXCELLENT 20 of 20")</f>
        <v>Watch Great product very happy with the shows great finesse and great view to the eye EXCELLENT 20 of 20</v>
      </c>
    </row>
    <row r="1072">
      <c r="A1072" s="1">
        <v>5.0</v>
      </c>
      <c r="B1072" s="1" t="s">
        <v>1069</v>
      </c>
      <c r="C1072" t="str">
        <f>IFERROR(__xludf.DUMMYFUNCTION("GOOGLETRANSLATE(B1072, ""fr"", ""en"")"),"Wake the Light TOP I received the Awakening Effect Bright 2019 at FITFORT last week and I love it already !! Parcel reception on time. Although the board was completely torn, waking him was alive. 1 positive side it is easy to adjust (manual in French / c"&amp;"ontrol buttons accessible) in 15 minutes it's ready! 2nd positive point is aesthetics. Small futuristic touch on my bedside table. 3rd positive point I tested it as a lamp for reading at night and it's perfect! My husband asks me to turn off so he could s"&amp;"leep! 4th bright spot: I tested the simulation of sunrise, 10 minutes before the alarm time and it is TOP! Waking up by progressive light is really nice (I did not even need the chirp of birds). I think I am less tired and have more enthusiasm. Hope it la"&amp;"sts !! 5th positive: Power set an alarm time for the weekend and the week or stop this is handy. Sorry but I have not tested other features. Even if I use it only for 1 week, he has become an indispensable object. Why did not I bought earlier? (Especially"&amp;" at this price, it should be tested)")</f>
        <v>Wake the Light TOP I received the Awakening Effect Bright 2019 at FITFORT last week and I love it already !! Parcel reception on time. Although the board was completely torn, waking him was alive. 1 positive side it is easy to adjust (manual in French / control buttons accessible) in 15 minutes it's ready! 2nd positive point is aesthetics. Small futuristic touch on my bedside table. 3rd positive point I tested it as a lamp for reading at night and it's perfect! My husband asks me to turn off so he could sleep! 4th bright spot: I tested the simulation of sunrise, 10 minutes before the alarm time and it is TOP! Waking up by progressive light is really nice (I did not even need the chirp of birds). I think I am less tired and have more enthusiasm. Hope it lasts !! 5th positive: Power set an alarm time for the weekend and the week or stop this is handy. Sorry but I have not tested other features. Even if I use it only for 1 week, he has become an indispensable object. Why did not I bought earlier? (Especially at this price, it should be tested)</v>
      </c>
    </row>
    <row r="1073">
      <c r="A1073" s="1">
        <v>5.0</v>
      </c>
      <c r="B1073" s="1" t="s">
        <v>1070</v>
      </c>
      <c r="C1073" t="str">
        <f>IFERROR(__xludf.DUMMYFUNCTION("GOOGLETRANSLATE(B1073, ""fr"", ""en"")"),"The important capacity. Good brand, a bit heavy as kettle, attention to the limestone after 5 days, they were deposited at the bottom. Put the white wine vinegar, wait twenty minutes, and rinse.")</f>
        <v>The important capacity. Good brand, a bit heavy as kettle, attention to the limestone after 5 days, they were deposited at the bottom. Put the white wine vinegar, wait twenty minutes, and rinse.</v>
      </c>
    </row>
    <row r="1074">
      <c r="A1074" s="1">
        <v>5.0</v>
      </c>
      <c r="B1074" s="1" t="s">
        <v>1071</v>
      </c>
      <c r="C1074" t="str">
        <f>IFERROR(__xludf.DUMMYFUNCTION("GOOGLETRANSLATE(B1074, ""fr"", ""en"")"),"handy person to whom I have to offer is really happy, this kettle is small, perfect for a person who drinks tea often.")</f>
        <v>handy person to whom I have to offer is really happy, this kettle is small, perfect for a person who drinks tea often.</v>
      </c>
    </row>
    <row r="1075">
      <c r="A1075" s="1">
        <v>5.0</v>
      </c>
      <c r="B1075" s="1" t="s">
        <v>1072</v>
      </c>
      <c r="C1075" t="str">
        <f>IFERROR(__xludf.DUMMYFUNCTION("GOOGLETRANSLATE(B1075, ""fr"", ""en"")"),"excellent qualities In cartridges beginning I had a doubt to use these cartridges in my printer that is new so I replace lorqu were empty cartridges CANON origins. I have the pictures are stunning in color and protection of cartridges before putting it in"&amp;"to the printer is as good as the original Canon. I made another order of these cartridges.")</f>
        <v>excellent qualities In cartridges beginning I had a doubt to use these cartridges in my printer that is new so I replace lorqu were empty cartridges CANON origins. I have the pictures are stunning in color and protection of cartridges before putting it into the printer is as good as the original Canon. I made another order of these cartridges.</v>
      </c>
    </row>
    <row r="1076">
      <c r="A1076" s="1">
        <v>5.0</v>
      </c>
      <c r="B1076" s="1" t="s">
        <v>1073</v>
      </c>
      <c r="C1076" t="str">
        <f>IFERROR(__xludf.DUMMYFUNCTION("GOOGLETRANSLATE(B1076, ""fr"", ""en"")"),"Very satisfied with my purchase very beautiful very light I like fast delivery thank you Amazon just I'm 39 I got 40 I recommend this product I bought for my daughter as he took 24 i 25 is battery hair")</f>
        <v>Very satisfied with my purchase very beautiful very light I like fast delivery thank you Amazon just I'm 39 I got 40 I recommend this product I bought for my daughter as he took 24 i 25 is battery hair</v>
      </c>
    </row>
    <row r="1077">
      <c r="A1077" s="1">
        <v>5.0</v>
      </c>
      <c r="B1077" s="1" t="s">
        <v>1074</v>
      </c>
      <c r="C1077" t="str">
        <f>IFERROR(__xludf.DUMMYFUNCTION("GOOGLETRANSLATE(B1077, ""fr"", ""en"")"),"A must massage This is THE reference massage product It smells good, rubbing his hands with the oil heats up for a massage more relaxing. In short: it's a big container and it's good to see home")</f>
        <v>A must massage This is THE reference massage product It smells good, rubbing his hands with the oil heats up for a massage more relaxing. In short: it's a big container and it's good to see home</v>
      </c>
    </row>
    <row r="1078">
      <c r="A1078" s="1">
        <v>5.0</v>
      </c>
      <c r="B1078" s="1" t="s">
        <v>1075</v>
      </c>
      <c r="C1078" t="str">
        <f>IFERROR(__xludf.DUMMYFUNCTION("GOOGLETRANSLATE(B1078, ""fr"", ""en"")"),"Excellent neutral headphones I use it every day to go to work, it is very comfortable. For over a year since I bought it, it shows no signs of wear. The cable is very good, one of my former Beyer Dynamic P51 lasted only one year and was not replaced. His "&amp;"side is top, a neutral sound that bass do not score. It has nothing to envy in my studio headphones that I use at home, the Shure SRH840. By insulates against it not from outside and is perfect for small head. I urge you, I can not live without it!")</f>
        <v>Excellent neutral headphones I use it every day to go to work, it is very comfortable. For over a year since I bought it, it shows no signs of wear. The cable is very good, one of my former Beyer Dynamic P51 lasted only one year and was not replaced. His side is top, a neutral sound that bass do not score. It has nothing to envy in my studio headphones that I use at home, the Shure SRH840. By insulates against it not from outside and is perfect for small head. I urge you, I can not live without it!</v>
      </c>
    </row>
    <row r="1079">
      <c r="A1079" s="1">
        <v>5.0</v>
      </c>
      <c r="B1079" s="1" t="s">
        <v>1076</v>
      </c>
      <c r="C1079" t="str">
        <f>IFERROR(__xludf.DUMMYFUNCTION("GOOGLETRANSLATE(B1079, ""fr"", ""en"")"),"Good value quality price very well by cons I took my daughter because M makes the S wanted a loose end but suddenly its been between two (SM) so if you want looser I advise you to take L. the picture is poor quality sorry. My daughter 1m65 able to give yo"&amp;"u an idea.")</f>
        <v>Good value quality price very well by cons I took my daughter because M makes the S wanted a loose end but suddenly its been between two (SM) so if you want looser I advise you to take L. the picture is poor quality sorry. My daughter 1m65 able to give you an idea.</v>
      </c>
    </row>
    <row r="1080">
      <c r="A1080" s="1">
        <v>5.0</v>
      </c>
      <c r="B1080" s="1" t="s">
        <v>1077</v>
      </c>
      <c r="C1080" t="str">
        <f>IFERROR(__xludf.DUMMYFUNCTION("GOOGLETRANSLATE(B1080, ""fr"", ""en"")"),"Very satisfied T-shirt very good quality, very good for the sport, or to go out, although size and style is very nice, I recommend")</f>
        <v>Very satisfied T-shirt very good quality, very good for the sport, or to go out, although size and style is very nice, I recommend</v>
      </c>
    </row>
    <row r="1081">
      <c r="A1081" s="1">
        <v>5.0</v>
      </c>
      <c r="B1081" s="1" t="s">
        <v>1078</v>
      </c>
      <c r="C1081" t="str">
        <f>IFERROR(__xludf.DUMMYFUNCTION("GOOGLETRANSLATE(B1081, ""fr"", ""en"")"),"Perfect for Perfect for offer and offer space saving!")</f>
        <v>Perfect for Perfect for offer and offer space saving!</v>
      </c>
    </row>
    <row r="1082">
      <c r="A1082" s="1">
        <v>2.0</v>
      </c>
      <c r="B1082" s="1" t="s">
        <v>1079</v>
      </c>
      <c r="C1082" t="str">
        <f>IFERROR(__xludf.DUMMYFUNCTION("GOOGLETRANSLATE(B1082, ""fr"", ""en"")"),"Lack of precision ?? I had not had any problems operating so far, but recently, I think it works poorly. I am willing to accept a difference of 1 ° C or 2 ° C compared to the weather, but there is a gap of 9 ° C, this is too much. Maybe I misplaced? Howev"&amp;"er, the external module is predominantly in the shade (photo) and located about 5 meters of the internal module. It is only me who has this problem?")</f>
        <v>Lack of precision ?? I had not had any problems operating so far, but recently, I think it works poorly. I am willing to accept a difference of 1 ° C or 2 ° C compared to the weather, but there is a gap of 9 ° C, this is too much. Maybe I misplaced? However, the external module is predominantly in the shade (photo) and located about 5 meters of the internal module. It is only me who has this problem?</v>
      </c>
    </row>
    <row r="1083">
      <c r="A1083" s="1">
        <v>1.0</v>
      </c>
      <c r="B1083" s="1" t="s">
        <v>1080</v>
      </c>
      <c r="C1083" t="str">
        <f>IFERROR(__xludf.DUMMYFUNCTION("GOOGLETRANSLATE(B1083, ""fr"", ""en"")"),"DOES NOT WORK AT ALL! A FLEE After 2 months of use, does not work at all. Planned obsolescence ? It is an expensive product. I'll buy one elsewhere. If you have suggestions, I'm interested. Thank you !")</f>
        <v>DOES NOT WORK AT ALL! A FLEE After 2 months of use, does not work at all. Planned obsolescence ? It is an expensive product. I'll buy one elsewhere. If you have suggestions, I'm interested. Thank you !</v>
      </c>
    </row>
    <row r="1084">
      <c r="A1084" s="1">
        <v>1.0</v>
      </c>
      <c r="B1084" s="1" t="s">
        <v>1081</v>
      </c>
      <c r="C1084" t="str">
        <f>IFERROR(__xludf.DUMMYFUNCTION("GOOGLETRANSLATE(B1084, ""fr"", ""en"")"),"No T-shirts Hi I just received my order, to my surprise it n there was nothing inside the box! This is intolerable, I hope you find a solution to my problem. cordially")</f>
        <v>No T-shirts Hi I just received my order, to my surprise it n there was nothing inside the box! This is intolerable, I hope you find a solution to my problem. cordially</v>
      </c>
    </row>
    <row r="1085">
      <c r="A1085" s="1">
        <v>3.0</v>
      </c>
      <c r="B1085" s="1" t="s">
        <v>1082</v>
      </c>
      <c r="C1085" t="str">
        <f>IFERROR(__xludf.DUMMYFUNCTION("GOOGLETRANSLATE(B1085, ""fr"", ""en"")"),"A little gem Beautiful little bit small for a wristband pandora.Bien shiny largest mieux.Se was lost among the other charms of the bracelet that remain visible.")</f>
        <v>A little gem Beautiful little bit small for a wristband pandora.Bien shiny largest mieux.Se was lost among the other charms of the bracelet that remain visible.</v>
      </c>
    </row>
    <row r="1086">
      <c r="A1086" s="1">
        <v>3.0</v>
      </c>
      <c r="B1086" s="1" t="s">
        <v>1083</v>
      </c>
      <c r="C1086" t="str">
        <f>IFERROR(__xludf.DUMMYFUNCTION("GOOGLETRANSLATE(B1086, ""fr"", ""en"")"),"Ink cartridge cartridges are good, the problem is the price that I find exaggerated, when we know the price of the printer itself, there is nothing to ask questions. Nevertheless, the offer here is interesting.")</f>
        <v>Ink cartridge cartridges are good, the problem is the price that I find exaggerated, when we know the price of the printer itself, there is nothing to ask questions. Nevertheless, the offer here is interesting.</v>
      </c>
    </row>
    <row r="1087">
      <c r="A1087" s="1">
        <v>4.0</v>
      </c>
      <c r="B1087" s="1" t="s">
        <v>1084</v>
      </c>
      <c r="C1087" t="str">
        <f>IFERROR(__xludf.DUMMYFUNCTION("GOOGLETRANSLATE(B1087, ""fr"", ""en"")"),"comfort to the place of the step, when walking.")</f>
        <v>comfort to the place of the step, when walking.</v>
      </c>
    </row>
    <row r="1088">
      <c r="A1088" s="1">
        <v>4.0</v>
      </c>
      <c r="B1088" s="1" t="s">
        <v>1085</v>
      </c>
      <c r="C1088" t="str">
        <f>IFERROR(__xludf.DUMMYFUNCTION("GOOGLETRANSLATE(B1088, ""fr"", ""en"")"),"pretty curls ears of a very nice pair of earrings, beautiful shine stones, damage the metal is very golden, this really feels like a pretty costume jewelery and not a ""real gem ""but the quality / price is really worth it to have fun, I do not regret my "&amp;"purchase")</f>
        <v>pretty curls ears of a very nice pair of earrings, beautiful shine stones, damage the metal is very golden, this really feels like a pretty costume jewelery and not a "real gem "but the quality / price is really worth it to have fun, I do not regret my purchase</v>
      </c>
    </row>
    <row r="1089">
      <c r="A1089" s="1">
        <v>4.0</v>
      </c>
      <c r="B1089" s="1" t="s">
        <v>1086</v>
      </c>
      <c r="C1089" t="str">
        <f>IFERROR(__xludf.DUMMYFUNCTION("GOOGLETRANSLATE(B1089, ""fr"", ""en"")"),"Good but expensive Good product but expensive, attention, the cans are sold individually !!")</f>
        <v>Good but expensive Good product but expensive, attention, the cans are sold individually !!</v>
      </c>
    </row>
    <row r="1090">
      <c r="A1090" s="1">
        <v>4.0</v>
      </c>
      <c r="B1090" s="1" t="s">
        <v>1087</v>
      </c>
      <c r="C1090" t="str">
        <f>IFERROR(__xludf.DUMMYFUNCTION("GOOGLETRANSLATE(B1090, ""fr"", ""en"")"),"Perfectly perfect !! Watch wood, perfect a little larger than expected, but is largely the case I recommend it the watch is light")</f>
        <v>Perfectly perfect !! Watch wood, perfect a little larger than expected, but is largely the case I recommend it the watch is light</v>
      </c>
    </row>
    <row r="1091">
      <c r="A1091" s="1">
        <v>5.0</v>
      </c>
      <c r="B1091" s="1" t="s">
        <v>1088</v>
      </c>
      <c r="C1091" t="str">
        <f>IFERROR(__xludf.DUMMYFUNCTION("GOOGLETRANSLATE(B1091, ""fr"", ""en"")"),"good quality footwear priced mini shoes are of good quality and comfortable. They absorb shock well and take good feet. You have nothing to lose to buy these shoes because of the price (33 €) and you'll even be surprised! To recommend.")</f>
        <v>good quality footwear priced mini shoes are of good quality and comfortable. They absorb shock well and take good feet. You have nothing to lose to buy these shoes because of the price (33 €) and you'll even be surprised! To recommend.</v>
      </c>
    </row>
    <row r="1092">
      <c r="A1092" s="1">
        <v>5.0</v>
      </c>
      <c r="B1092" s="1" t="s">
        <v>1089</v>
      </c>
      <c r="C1092" t="str">
        <f>IFERROR(__xludf.DUMMYFUNCTION("GOOGLETRANSLATE(B1092, ""fr"", ""en"")"),"very good product Parcels delivered in one day. Very nice little package, nice design. Many choices of scents. Every night, I change my scent diffuser. 5 drops barely enough to spread a nice smell in the house for several hours. I highly recommend this pr"&amp;"oduct. quality / price ratio.")</f>
        <v>very good product Parcels delivered in one day. Very nice little package, nice design. Many choices of scents. Every night, I change my scent diffuser. 5 drops barely enough to spread a nice smell in the house for several hours. I highly recommend this product. quality / price ratio.</v>
      </c>
    </row>
    <row r="1093">
      <c r="A1093" s="1">
        <v>5.0</v>
      </c>
      <c r="B1093" s="1" t="s">
        <v>1090</v>
      </c>
      <c r="C1093" t="str">
        <f>IFERROR(__xludf.DUMMYFUNCTION("GOOGLETRANSLATE(B1093, ""fr"", ""en"")"),"Comfortable and cheap for work at home I'm 1.80m and 100kg, I work with pretty high-end chairs in the computer world for over 20 years, this to leave a mark. The chair is very comfortable and does its job. The back is well supported. The flexibility and s"&amp;"tiffness of the assembly is not the equivalent of a pro chair but comes close and allows to work without concern for long hours. The coating as the rest is very ""plastic"" and can hinder you if you are in search of quality in materials. The installation "&amp;"folder is the most difficult, and to succeed alone simply not tighten anything until you put all the screws. The most real are the retractable armrests and comfort of use are still very far above the asking price. Good shopping at all.")</f>
        <v>Comfortable and cheap for work at home I'm 1.80m and 100kg, I work with pretty high-end chairs in the computer world for over 20 years, this to leave a mark. The chair is very comfortable and does its job. The back is well supported. The flexibility and stiffness of the assembly is not the equivalent of a pro chair but comes close and allows to work without concern for long hours. The coating as the rest is very "plastic" and can hinder you if you are in search of quality in materials. The installation folder is the most difficult, and to succeed alone simply not tighten anything until you put all the screws. The most real are the retractable armrests and comfort of use are still very far above the asking price. Good shopping at all.</v>
      </c>
    </row>
    <row r="1094">
      <c r="A1094" s="1">
        <v>5.0</v>
      </c>
      <c r="B1094" s="1" t="s">
        <v>1091</v>
      </c>
      <c r="C1094" t="str">
        <f>IFERROR(__xludf.DUMMYFUNCTION("GOOGLETRANSLATE(B1094, ""fr"", ""en"")"),"Beautiful Necklace arrived on time, very beautiful, in a beautiful setting. I am glad.")</f>
        <v>Beautiful Necklace arrived on time, very beautiful, in a beautiful setting. I am glad.</v>
      </c>
    </row>
    <row r="1095">
      <c r="A1095" s="1">
        <v>5.0</v>
      </c>
      <c r="B1095" s="1" t="s">
        <v>1092</v>
      </c>
      <c r="C1095" t="str">
        <f>IFERROR(__xludf.DUMMYFUNCTION("GOOGLETRANSLATE(B1095, ""fr"", ""en"")"),"Okay Small, pretty and practical")</f>
        <v>Okay Small, pretty and practical</v>
      </c>
    </row>
    <row r="1096">
      <c r="A1096" s="1">
        <v>5.0</v>
      </c>
      <c r="B1096" s="1" t="s">
        <v>1093</v>
      </c>
      <c r="C1096" t="str">
        <f>IFERROR(__xludf.DUMMYFUNCTION("GOOGLETRANSLATE(B1096, ""fr"", ""en"")"),"Kit Very good product, good quality. Big enough you can put a lot of business.")</f>
        <v>Kit Very good product, good quality. Big enough you can put a lot of business.</v>
      </c>
    </row>
    <row r="1097">
      <c r="A1097" s="1">
        <v>5.0</v>
      </c>
      <c r="B1097" s="1" t="s">
        <v>1094</v>
      </c>
      <c r="C1097" t="str">
        <f>IFERROR(__xludf.DUMMYFUNCTION("GOOGLETRANSLATE(B1097, ""fr"", ""en"")"),"good product for the price !! For the price frankly nothing wrong at the moment, it looks pretty solid area, the soft touch is pleasant to use, the pots do not make any noise. OK this is not a product for the ""pro"", but that drives me 15 years and by ev"&amp;"ening ui am not a fan of scratching it suit me perfectly. The program comes with working correctly. Note that for use with virtual DJ must pay almost $ 100 !! In short I recommend to anyone who simply want to mix a small price !!")</f>
        <v>good product for the price !! For the price frankly nothing wrong at the moment, it looks pretty solid area, the soft touch is pleasant to use, the pots do not make any noise. OK this is not a product for the "pro", but that drives me 15 years and by evening ui am not a fan of scratching it suit me perfectly. The program comes with working correctly. Note that for use with virtual DJ must pay almost $ 100 !! In short I recommend to anyone who simply want to mix a small price !!</v>
      </c>
    </row>
    <row r="1098">
      <c r="A1098" s="1">
        <v>5.0</v>
      </c>
      <c r="B1098" s="1" t="s">
        <v>1095</v>
      </c>
      <c r="C1098" t="str">
        <f>IFERROR(__xludf.DUMMYFUNCTION("GOOGLETRANSLATE(B1098, ""fr"", ""en"")"),"top gift")</f>
        <v>top gift</v>
      </c>
    </row>
    <row r="1099">
      <c r="A1099" s="1">
        <v>5.0</v>
      </c>
      <c r="B1099" s="1" t="s">
        <v>1096</v>
      </c>
      <c r="C1099" t="str">
        <f>IFERROR(__xludf.DUMMYFUNCTION("GOOGLETRANSLATE(B1099, ""fr"", ""en"")"),"Continued First test in 3 days")</f>
        <v>Continued First test in 3 days</v>
      </c>
    </row>
    <row r="1100">
      <c r="A1100" s="1">
        <v>5.0</v>
      </c>
      <c r="B1100" s="1" t="s">
        <v>1097</v>
      </c>
      <c r="C1100" t="str">
        <f>IFERROR(__xludf.DUMMYFUNCTION("GOOGLETRANSLATE(B1100, ""fr"", ""en"")"),"RAS. RAS.")</f>
        <v>RAS. RAS.</v>
      </c>
    </row>
    <row r="1101">
      <c r="A1101" s="1">
        <v>5.0</v>
      </c>
      <c r="B1101" s="1" t="s">
        <v>1098</v>
      </c>
      <c r="C1101" t="str">
        <f>IFERROR(__xludf.DUMMYFUNCTION("GOOGLETRANSLATE(B1101, ""fr"", ""en"")"),"Ok quality price level, unbeatable. It does its job ...")</f>
        <v>Ok quality price level, unbeatable. It does its job ...</v>
      </c>
    </row>
    <row r="1102">
      <c r="A1102" s="1">
        <v>5.0</v>
      </c>
      <c r="B1102" s="1" t="s">
        <v>1099</v>
      </c>
      <c r="C1102" t="str">
        <f>IFERROR(__xludf.DUMMYFUNCTION("GOOGLETRANSLATE(B1102, ""fr"", ""en"")"),"Cleaning superb parfait.odeur The smell is just superbe.ca feels great bon.ça leaves smell throughout maison.c'est agréable.et it very well cleans vetements.impeccable")</f>
        <v>Cleaning superb parfait.odeur The smell is just superbe.ca feels great bon.ça leaves smell throughout maison.c'est agréable.et it very well cleans vetements.impeccable</v>
      </c>
    </row>
    <row r="1103">
      <c r="A1103" s="1">
        <v>5.0</v>
      </c>
      <c r="B1103" s="1" t="s">
        <v>1100</v>
      </c>
      <c r="C1103" t="str">
        <f>IFERROR(__xludf.DUMMYFUNCTION("GOOGLETRANSLATE(B1103, ""fr"", ""en"")"),"PEACE OF HOUSEHOLDS first great thank you to Anthony, Moloko, Alexia, Fafaletek and Patrick who responded to my question: thanks to this small community Amazon I bought without fear ... and offers reconditioned! lacking only the packaging damaged. Result:"&amp;" title! peace household! each his helmet! I keep ""my"" 770 for ""my"" PC, it keeps ""his"" 990 for ""his"" stereo ..and everyone is satisfied according to their needs; features quite meet what came to my attention, I have to add that it is an open helmet"&amp;" for comfort, but it does not obstruct the whole entourage, the scene is more broader than the 770: it is better suited for symphonic music by ex.Et the quality / price is very satisfactory; Now, headphones, it also depends ears we put in, c'pas?")</f>
        <v>PEACE OF HOUSEHOLDS first great thank you to Anthony, Moloko, Alexia, Fafaletek and Patrick who responded to my question: thanks to this small community Amazon I bought without fear ... and offers reconditioned! lacking only the packaging damaged. Result: title! peace household! each his helmet! I keep "my" 770 for "my" PC, it keeps "his" 990 for "his" stereo ..and everyone is satisfied according to their needs; features quite meet what came to my attention, I have to add that it is an open helmet for comfort, but it does not obstruct the whole entourage, the scene is more broader than the 770: it is better suited for symphonic music by ex.Et the quality / price is very satisfactory; Now, headphones, it also depends ears we put in, c'pas?</v>
      </c>
    </row>
    <row r="1104">
      <c r="A1104" s="1">
        <v>5.0</v>
      </c>
      <c r="B1104" s="1" t="s">
        <v>1101</v>
      </c>
      <c r="C1104" t="str">
        <f>IFERROR(__xludf.DUMMYFUNCTION("GOOGLETRANSLATE(B1104, ""fr"", ""en"")"),"Perfect I buy only what sports bra, it supports good, good quality and comfortable to wear, do not overwrite the chest.")</f>
        <v>Perfect I buy only what sports bra, it supports good, good quality and comfortable to wear, do not overwrite the chest.</v>
      </c>
    </row>
    <row r="1105">
      <c r="A1105" s="1">
        <v>5.0</v>
      </c>
      <c r="B1105" s="1" t="s">
        <v>1102</v>
      </c>
      <c r="C1105" t="str">
        <f>IFERROR(__xludf.DUMMYFUNCTION("GOOGLETRANSLATE(B1105, ""fr"", ""en"")"),"Very good product very beautiful and practical slippers because thanks to the sole of height if you must go outside occasionally wet weather we did not wet feet. The size corresponds well to the ordered course leather relaxes a bit and it's easy to put af"&amp;"ter several days.")</f>
        <v>Very good product very beautiful and practical slippers because thanks to the sole of height if you must go outside occasionally wet weather we did not wet feet. The size corresponds well to the ordered course leather relaxes a bit and it's easy to put after several days.</v>
      </c>
    </row>
    <row r="1106">
      <c r="A1106" s="1">
        <v>5.0</v>
      </c>
      <c r="B1106" s="1" t="s">
        <v>1103</v>
      </c>
      <c r="C1106" t="str">
        <f>IFERROR(__xludf.DUMMYFUNCTION("GOOGLETRANSLATE(B1106, ""fr"", ""en"")"),"the perfect polish of the right color. ie dark purple that matches the color of the shoes purchased later.")</f>
        <v>the perfect polish of the right color. ie dark purple that matches the color of the shoes purchased later.</v>
      </c>
    </row>
    <row r="1107">
      <c r="A1107" s="1">
        <v>2.0</v>
      </c>
      <c r="B1107" s="1" t="s">
        <v>1104</v>
      </c>
      <c r="C1107" t="str">
        <f>IFERROR(__xludf.DUMMYFUNCTION("GOOGLETRANSLATE(B1107, ""fr"", ""en"")"),"Box and popping dirty nickel Jewelery is frankly good, but there can is completely burst, full of dirty grease from mechanical and damage. I do not recommend it for a gift.")</f>
        <v>Box and popping dirty nickel Jewelery is frankly good, but there can is completely burst, full of dirty grease from mechanical and damage. I do not recommend it for a gift.</v>
      </c>
    </row>
    <row r="1108">
      <c r="A1108" s="1">
        <v>1.0</v>
      </c>
      <c r="B1108" s="1" t="s">
        <v>1105</v>
      </c>
      <c r="C1108" t="str">
        <f>IFERROR(__xludf.DUMMYFUNCTION("GOOGLETRANSLATE(B1108, ""fr"", ""en"")"),"Very disappointed no size guide for all Panzeri products sold by this company. So, the model I chose was too small. So back to my expenses section and after a week still no refund. Besides shipping was quite long. This is not a vendor that I can recommend"&amp;".")</f>
        <v>Very disappointed no size guide for all Panzeri products sold by this company. So, the model I chose was too small. So back to my expenses section and after a week still no refund. Besides shipping was quite long. This is not a vendor that I can recommend.</v>
      </c>
    </row>
    <row r="1109">
      <c r="A1109" s="1">
        <v>1.0</v>
      </c>
      <c r="B1109" s="1" t="s">
        <v>1106</v>
      </c>
      <c r="C1109" t="str">
        <f>IFERROR(__xludf.DUMMYFUNCTION("GOOGLETRANSLATE(B1109, ""fr"", ""en"")"),"Unusable This cable is simply unusable. It's not all armored and nothing but the fact of the move causes horrible interference.")</f>
        <v>Unusable This cable is simply unusable. It's not all armored and nothing but the fact of the move causes horrible interference.</v>
      </c>
    </row>
    <row r="1110">
      <c r="A1110" s="1">
        <v>3.0</v>
      </c>
      <c r="B1110" s="1" t="s">
        <v>1107</v>
      </c>
      <c r="C1110" t="str">
        <f>IFERROR(__xludf.DUMMYFUNCTION("GOOGLETRANSLATE(B1110, ""fr"", ""en"")"),"Too long but comfortable to wear Comfortable to wear very soft because that damage is too long can almost mid thigh")</f>
        <v>Too long but comfortable to wear Comfortable to wear very soft because that damage is too long can almost mid thigh</v>
      </c>
    </row>
    <row r="1111">
      <c r="A1111" s="1">
        <v>3.0</v>
      </c>
      <c r="B1111" s="1" t="s">
        <v>1108</v>
      </c>
      <c r="C1111" t="str">
        <f>IFERROR(__xludf.DUMMYFUNCTION("GOOGLETRANSLATE(B1111, ""fr"", ""en"")"),"Mixed Super level lumps problem resolved but against very annoying that it is unscrewed all the time c is the high quality we will say it is necessary that he is working on it would be better to just have the anti lumps tip and that it takes more 2 that t"&amp;"hat so patiently unscrewed but it's worth it not to see baby cry because it does not pass in the nipple but hand washing as not having recup top of the tip into the bib")</f>
        <v>Mixed Super level lumps problem resolved but against very annoying that it is unscrewed all the time c is the high quality we will say it is necessary that he is working on it would be better to just have the anti lumps tip and that it takes more 2 that that so patiently unscrewed but it's worth it not to see baby cry because it does not pass in the nipple but hand washing as not having recup top of the tip into the bib</v>
      </c>
    </row>
    <row r="1112">
      <c r="A1112" s="1">
        <v>4.0</v>
      </c>
      <c r="B1112" s="1" t="s">
        <v>1109</v>
      </c>
      <c r="C1112" t="str">
        <f>IFERROR(__xludf.DUMMYFUNCTION("GOOGLETRANSLATE(B1112, ""fr"", ""en"")"),"Good quality. Otherwise the washable diapers are not so convenient. I use them since 2010 and my 3 girls were washable layer. Remember that these sheets can be washed if only pee. They are adapted to the first month of baby, then you can move on thinner s"&amp;"heets.")</f>
        <v>Good quality. Otherwise the washable diapers are not so convenient. I use them since 2010 and my 3 girls were washable layer. Remember that these sheets can be washed if only pee. They are adapted to the first month of baby, then you can move on thinner sheets.</v>
      </c>
    </row>
    <row r="1113">
      <c r="A1113" s="1">
        <v>4.0</v>
      </c>
      <c r="B1113" s="1" t="s">
        <v>1110</v>
      </c>
      <c r="C1113" t="str">
        <f>IFERROR(__xludf.DUMMYFUNCTION("GOOGLETRANSLATE(B1113, ""fr"", ""en"")"),"Quite honestly it's clear she's hot, pr the price it's not a brand so it has it all, I would like bcp comments a flat pr link used to close .... C is galley to close.")</f>
        <v>Quite honestly it's clear she's hot, pr the price it's not a brand so it has it all, I would like bcp comments a flat pr link used to close .... C is galley to close.</v>
      </c>
    </row>
    <row r="1114">
      <c r="A1114" s="1">
        <v>4.0</v>
      </c>
      <c r="B1114" s="1" t="s">
        <v>1111</v>
      </c>
      <c r="C1114" t="str">
        <f>IFERROR(__xludf.DUMMYFUNCTION("GOOGLETRANSLATE(B1114, ""fr"", ""en"")"),"value for money on top! Purchased in light beige during sales so unbeatable prices, and puma are super comfortable. Received quickly and well packaged.")</f>
        <v>value for money on top! Purchased in light beige during sales so unbeatable prices, and puma are super comfortable. Received quickly and well packaged.</v>
      </c>
    </row>
    <row r="1115">
      <c r="A1115" s="1">
        <v>4.0</v>
      </c>
      <c r="B1115" s="1" t="s">
        <v>1112</v>
      </c>
      <c r="C1115" t="str">
        <f>IFERROR(__xludf.DUMMYFUNCTION("GOOGLETRANSLATE(B1115, ""fr"", ""en"")"),"WELL I recommend this article. Corresponds to the announcement. Pleasant to touch. Handsome. Nothing else to report. Good day to you.")</f>
        <v>WELL I recommend this article. Corresponds to the announcement. Pleasant to touch. Handsome. Nothing else to report. Good day to you.</v>
      </c>
    </row>
    <row r="1116">
      <c r="A1116" s="1">
        <v>5.0</v>
      </c>
      <c r="B1116" s="1" t="s">
        <v>1113</v>
      </c>
      <c r="C1116" t="str">
        <f>IFERROR(__xludf.DUMMYFUNCTION("GOOGLETRANSLATE(B1116, ""fr"", ""en"")"),"High-end product I bought this for my son graphing calculator, which enters high school. This is the one recommended by the National Education and understands. Real computer, this calculator will follow my son to the ferry, and even then, according to the"&amp;" studies he chooses. This is a good price / quality, nothing to say.")</f>
        <v>High-end product I bought this for my son graphing calculator, which enters high school. This is the one recommended by the National Education and understands. Real computer, this calculator will follow my son to the ferry, and even then, according to the studies he chooses. This is a good price / quality, nothing to say.</v>
      </c>
    </row>
    <row r="1117">
      <c r="A1117" s="1">
        <v>5.0</v>
      </c>
      <c r="B1117" s="1" t="s">
        <v>1114</v>
      </c>
      <c r="C1117" t="str">
        <f>IFERROR(__xludf.DUMMYFUNCTION("GOOGLETRANSLATE(B1117, ""fr"", ""en"")"),"Genial! I am very satisfied with these earbuds with its in-ear design. These headphones are exceptional for the price!")</f>
        <v>Genial! I am very satisfied with these earbuds with its in-ear design. These headphones are exceptional for the price!</v>
      </c>
    </row>
    <row r="1118">
      <c r="A1118" s="1">
        <v>5.0</v>
      </c>
      <c r="B1118" s="1" t="s">
        <v>1115</v>
      </c>
      <c r="C1118" t="str">
        <f>IFERROR(__xludf.DUMMYFUNCTION("GOOGLETRANSLATE(B1118, ""fr"", ""en"")"),"Very nice I bought this massage device for small sore neck, and I admit that it's very nice. Already its shape allows good the wedge against the chair back. Then, once running, it produces a firm massage, but gently. The heat that diffuses is very soft, i"&amp;"t does not burn. It can be used with or without heat emission, direct contact with the skin or through clothing (at this time, the heat is not felt, but the massage is very soft). A strap behind the massage cushion, and so it can be fixed on top of a chai"&amp;"r for massaging the neck or on the headrest of the car. In this regard, a cigarette lighter socket is provided to feed when in car. Practicing running quite intensively, I used to massage my thighs after a trail quite challenging, and I must say it made m"&amp;"e ease recovery. For me, it's a good product!")</f>
        <v>Very nice I bought this massage device for small sore neck, and I admit that it's very nice. Already its shape allows good the wedge against the chair back. Then, once running, it produces a firm massage, but gently. The heat that diffuses is very soft, it does not burn. It can be used with or without heat emission, direct contact with the skin or through clothing (at this time, the heat is not felt, but the massage is very soft). A strap behind the massage cushion, and so it can be fixed on top of a chair for massaging the neck or on the headrest of the car. In this regard, a cigarette lighter socket is provided to feed when in car. Practicing running quite intensively, I used to massage my thighs after a trail quite challenging, and I must say it made me ease recovery. For me, it's a good product!</v>
      </c>
    </row>
    <row r="1119">
      <c r="A1119" s="1">
        <v>5.0</v>
      </c>
      <c r="B1119" s="1" t="s">
        <v>1116</v>
      </c>
      <c r="C1119" t="str">
        <f>IFERROR(__xludf.DUMMYFUNCTION("GOOGLETRANSLATE(B1119, ""fr"", ""en"")"),"an order for a girlfriend my girlfriend was delighted She came home with me well and showed how she was comfortable with!")</f>
        <v>an order for a girlfriend my girlfriend was delighted She came home with me well and showed how she was comfortable with!</v>
      </c>
    </row>
    <row r="1120">
      <c r="A1120" s="1">
        <v>5.0</v>
      </c>
      <c r="B1120" s="1" t="s">
        <v>1117</v>
      </c>
      <c r="C1120" t="str">
        <f>IFERROR(__xludf.DUMMYFUNCTION("GOOGLETRANSLATE(B1120, ""fr"", ""en"")"),"Very well . Received on time. These socks correspondes was what I expected. I use them for walking and cycling, it is comfortable and very solid. I suggest you wash them at least one liver before the slip, or they will be a little stiff. So no nasty surpr"&amp;"ises, is Puma. I recommended you, especially for the price they are sold here. Jean 34.")</f>
        <v>Very well . Received on time. These socks correspondes was what I expected. I use them for walking and cycling, it is comfortable and very solid. I suggest you wash them at least one liver before the slip, or they will be a little stiff. So no nasty surprises, is Puma. I recommended you, especially for the price they are sold here. Jean 34.</v>
      </c>
    </row>
    <row r="1121">
      <c r="A1121" s="1">
        <v>5.0</v>
      </c>
      <c r="B1121" s="1" t="s">
        <v>1118</v>
      </c>
      <c r="C1121" t="str">
        <f>IFERROR(__xludf.DUMMYFUNCTION("GOOGLETRANSLATE(B1121, ""fr"", ""en"")"),"Sobriety and elegance for this contemporary jewelery Lovely Bracelet ""&amp; nbsp; &amp; nbsp infinity;"". Rhinestones on the Infinity sign giving all its finesse to jewelry. Bracelet easily adjustable thread. Guarantee success if you offer this jewelry.")</f>
        <v>Sobriety and elegance for this contemporary jewelery Lovely Bracelet "&amp; nbsp; &amp; nbsp infinity;". Rhinestones on the Infinity sign giving all its finesse to jewelry. Bracelet easily adjustable thread. Guarantee success if you offer this jewelry.</v>
      </c>
    </row>
    <row r="1122">
      <c r="A1122" s="1">
        <v>5.0</v>
      </c>
      <c r="B1122" s="1" t="s">
        <v>1119</v>
      </c>
      <c r="C1122" t="str">
        <f>IFERROR(__xludf.DUMMYFUNCTION("GOOGLETRANSLATE(B1122, ""fr"", ""en"")"),"Peculiar As well as the blue and very strong I alternated red and blue too class Thanks amazon")</f>
        <v>Peculiar As well as the blue and very strong I alternated red and blue too class Thanks amazon</v>
      </c>
    </row>
    <row r="1123">
      <c r="A1123" s="1">
        <v>5.0</v>
      </c>
      <c r="B1123" s="1" t="s">
        <v>1120</v>
      </c>
      <c r="C1123" t="str">
        <f>IFERROR(__xludf.DUMMYFUNCTION("GOOGLETRANSLATE(B1123, ""fr"", ""en"")"),"discovery Perfect")</f>
        <v>discovery Perfect</v>
      </c>
    </row>
    <row r="1124">
      <c r="A1124" s="1">
        <v>5.0</v>
      </c>
      <c r="B1124" s="1" t="s">
        <v>1121</v>
      </c>
      <c r="C1124" t="str">
        <f>IFERROR(__xludf.DUMMYFUNCTION("GOOGLETRANSLATE(B1124, ""fr"", ""en"")"),"A gentle awakening (too), perfect for children of glass and has very good finishes. No worries on this side there. Ditto for the technical part. The light is soft, the buttons are easy to access and fun to use. Time is legible without producing too much l"&amp;"ight (you can anyway set the contrast), which is convenient for those who do not like being disturbed by light sources when they sleep. The radio works well too. Advantages: + soft alarm mode which increases the light and sound softly. Fully customizable "&amp;"and well designed + The adjustable intensity + pilot The pilot mode that turns off the light and gently Ringtones + sounds varied and enjoyable atmosphere in the ear -Mode sweet awakening Disadvantages a bit complicated to configure -Mode sweet awakening "&amp;"not wake up heavy sleepers -The glass cover and weight make it will not stand in my opinion, to fall short, wake up very good. I use it in a child's room for the night side and waking soft during the holidays (for a reliable alarm clock, it is better to u"&amp;"se the classic alarm clock)")</f>
        <v>A gentle awakening (too), perfect for children of glass and has very good finishes. No worries on this side there. Ditto for the technical part. The light is soft, the buttons are easy to access and fun to use. Time is legible without producing too much light (you can anyway set the contrast), which is convenient for those who do not like being disturbed by light sources when they sleep. The radio works well too. Advantages: + soft alarm mode which increases the light and sound softly. Fully customizable and well designed + The adjustable intensity + pilot The pilot mode that turns off the light and gently Ringtones + sounds varied and enjoyable atmosphere in the ear -Mode sweet awakening Disadvantages a bit complicated to configure -Mode sweet awakening not wake up heavy sleepers -The glass cover and weight make it will not stand in my opinion, to fall short, wake up very good. I use it in a child's room for the night side and waking soft during the holidays (for a reliable alarm clock, it is better to use the classic alarm clock)</v>
      </c>
    </row>
    <row r="1125">
      <c r="A1125" s="1">
        <v>5.0</v>
      </c>
      <c r="B1125" s="1" t="s">
        <v>1122</v>
      </c>
      <c r="C1125" t="str">
        <f>IFERROR(__xludf.DUMMYFUNCTION("GOOGLETRANSLATE(B1125, ""fr"", ""en"")"),"For a little over € 14 tb At best this sends.")</f>
        <v>For a little over € 14 tb At best this sends.</v>
      </c>
    </row>
    <row r="1126">
      <c r="A1126" s="1">
        <v>5.0</v>
      </c>
      <c r="B1126" s="1" t="s">
        <v>1123</v>
      </c>
      <c r="C1126" t="str">
        <f>IFERROR(__xludf.DUMMYFUNCTION("GOOGLETRANSLATE(B1126, ""fr"", ""en"")"),"Very beautiful and practical good product handy. Conformity with the description and in addition a zipper allows elargirr the depth of the bag")</f>
        <v>Very beautiful and practical good product handy. Conformity with the description and in addition a zipper allows elargirr the depth of the bag</v>
      </c>
    </row>
    <row r="1127">
      <c r="A1127" s="1">
        <v>5.0</v>
      </c>
      <c r="B1127" s="1" t="s">
        <v>1124</v>
      </c>
      <c r="C1127" t="str">
        <f>IFERROR(__xludf.DUMMYFUNCTION("GOOGLETRANSLATE(B1127, ""fr"", ""en"")"),"warm slippers with insulating soles worn with socks ... otherwise very well !! very hot!")</f>
        <v>warm slippers with insulating soles worn with socks ... otherwise very well !! very hot!</v>
      </c>
    </row>
    <row r="1128">
      <c r="A1128" s="1">
        <v>5.0</v>
      </c>
      <c r="B1128" s="1" t="s">
        <v>1125</v>
      </c>
      <c r="C1128" t="str">
        <f>IFERROR(__xludf.DUMMYFUNCTION("GOOGLETRANSLATE(B1128, ""fr"", ""en"")"),"gym shoes 46 shoes that match the criteria of high school in sole point of view corresponds to the request of the teacher, good quality, fast delivery, thank you")</f>
        <v>gym shoes 46 shoes that match the criteria of high school in sole point of view corresponds to the request of the teacher, good quality, fast delivery, thank you</v>
      </c>
    </row>
    <row r="1129">
      <c r="A1129" s="1">
        <v>5.0</v>
      </c>
      <c r="B1129" s="1" t="s">
        <v>1126</v>
      </c>
      <c r="C1129" t="str">
        <f>IFERROR(__xludf.DUMMYFUNCTION("GOOGLETRANSLATE(B1129, ""fr"", ""en"")"),"good product very practical, compact and ideal. with anti limescale filter seen! I've even bought one for my mother who is also very satisfied!")</f>
        <v>good product very practical, compact and ideal. with anti limescale filter seen! I've even bought one for my mother who is also very satisfied!</v>
      </c>
    </row>
    <row r="1130">
      <c r="A1130" s="1">
        <v>5.0</v>
      </c>
      <c r="B1130" s="1" t="s">
        <v>1127</v>
      </c>
      <c r="C1130" t="str">
        <f>IFERROR(__xludf.DUMMYFUNCTION("GOOGLETRANSLATE(B1130, ""fr"", ""en"")"),"good value for money are made for job maintenance product odor is pleasant and duration s found there")</f>
        <v>good value for money are made for job maintenance product odor is pleasant and duration s found there</v>
      </c>
    </row>
    <row r="1131">
      <c r="A1131" s="1">
        <v>2.0</v>
      </c>
      <c r="B1131" s="1" t="s">
        <v>1128</v>
      </c>
      <c r="C1131" t="str">
        <f>IFERROR(__xludf.DUMMYFUNCTION("GOOGLETRANSLATE(B1131, ""fr"", ""en"")"),"Return. I was not able to use this mic because my chain n emplifiait not quite sound. J is was attracted by the price but returned")</f>
        <v>Return. I was not able to use this mic because my chain n emplifiait not quite sound. J is was attracted by the price but returned</v>
      </c>
    </row>
    <row r="1132">
      <c r="A1132" s="1">
        <v>1.0</v>
      </c>
      <c r="B1132" s="1" t="s">
        <v>1129</v>
      </c>
      <c r="C1132" t="str">
        <f>IFERROR(__xludf.DUMMYFUNCTION("GOOGLETRANSLATE(B1132, ""fr"", ""en"")"),"Horrible and toxic? What to expect from a product at € 0.88 delivered to China? Well nothing horrible material (plastic), scratching, very fine one sees through ... I can not imagine after a few washes the state of this stuff, but it will not go far, dire"&amp;"ct trash! I even question me at the health if it is legal, given the chemical smell. Model purchased plain black.")</f>
        <v>Horrible and toxic? What to expect from a product at € 0.88 delivered to China? Well nothing horrible material (plastic), scratching, very fine one sees through ... I can not imagine after a few washes the state of this stuff, but it will not go far, direct trash! I even question me at the health if it is legal, given the chemical smell. Model purchased plain black.</v>
      </c>
    </row>
    <row r="1133">
      <c r="A1133" s="1">
        <v>1.0</v>
      </c>
      <c r="B1133" s="1" t="s">
        <v>1130</v>
      </c>
      <c r="C1133" t="str">
        <f>IFERROR(__xludf.DUMMYFUNCTION("GOOGLETRANSLATE(B1133, ""fr"", ""en"")"),"Strap closure problem I ordered two bracelets, a gift that was very fun, too bad there's one that opens regularly and it carries more because it risks losing the pearls,")</f>
        <v>Strap closure problem I ordered two bracelets, a gift that was very fun, too bad there's one that opens regularly and it carries more because it risks losing the pearls,</v>
      </c>
    </row>
    <row r="1134">
      <c r="A1134" s="1">
        <v>3.0</v>
      </c>
      <c r="B1134" s="1" t="s">
        <v>1131</v>
      </c>
      <c r="C1134" t="str">
        <f>IFERROR(__xludf.DUMMYFUNCTION("GOOGLETRANSLATE(B1134, ""fr"", ""en"")"),"very average not enough light, audible alarm")</f>
        <v>very average not enough light, audible alarm</v>
      </c>
    </row>
    <row r="1135">
      <c r="A1135" s="1">
        <v>4.0</v>
      </c>
      <c r="B1135" s="1" t="s">
        <v>1132</v>
      </c>
      <c r="C1135" t="str">
        <f>IFERROR(__xludf.DUMMYFUNCTION("GOOGLETRANSLATE(B1135, ""fr"", ""en"")"),"Perfect Perfect.")</f>
        <v>Perfect Perfect.</v>
      </c>
    </row>
    <row r="1136">
      <c r="A1136" s="1">
        <v>4.0</v>
      </c>
      <c r="B1136" s="1" t="s">
        <v>1133</v>
      </c>
      <c r="C1136" t="str">
        <f>IFERROR(__xludf.DUMMYFUNCTION("GOOGLETRANSLATE(B1136, ""fr"", ""en"")"),"Although well but after 3 months she has yellowed over the entire perimeter of the sole ...")</f>
        <v>Although well but after 3 months she has yellowed over the entire perimeter of the sole ...</v>
      </c>
    </row>
    <row r="1137">
      <c r="A1137" s="1">
        <v>4.0</v>
      </c>
      <c r="B1137" s="1" t="s">
        <v>1134</v>
      </c>
      <c r="C1137" t="str">
        <f>IFERROR(__xludf.DUMMYFUNCTION("GOOGLETRANSLATE(B1137, ""fr"", ""en"")"),"Although complicated, but good for a relay to traditional massage to massage the shoulders But we must stall with cushions and it is quite complicated")</f>
        <v>Although complicated, but good for a relay to traditional massage to massage the shoulders But we must stall with cushions and it is quite complicated</v>
      </c>
    </row>
    <row r="1138">
      <c r="A1138" s="1">
        <v>4.0</v>
      </c>
      <c r="B1138" s="1" t="s">
        <v>1135</v>
      </c>
      <c r="C1138" t="str">
        <f>IFERROR(__xludf.DUMMYFUNCTION("GOOGLETRANSLATE(B1138, ""fr"", ""en"")"),"Size smallish Good value")</f>
        <v>Size smallish Good value</v>
      </c>
    </row>
    <row r="1139">
      <c r="A1139" s="1">
        <v>5.0</v>
      </c>
      <c r="B1139" s="1" t="s">
        <v>1136</v>
      </c>
      <c r="C1139" t="str">
        <f>IFERROR(__xludf.DUMMYFUNCTION("GOOGLETRANSLATE(B1139, ""fr"", ""en"")"),"good capacity very good capacity and extremely easy to undo the trash every time. it is used every day and is always in excellent condition for 1 year")</f>
        <v>good capacity very good capacity and extremely easy to undo the trash every time. it is used every day and is always in excellent condition for 1 year</v>
      </c>
    </row>
    <row r="1140">
      <c r="A1140" s="1">
        <v>5.0</v>
      </c>
      <c r="B1140" s="1" t="s">
        <v>1137</v>
      </c>
      <c r="C1140" t="str">
        <f>IFERROR(__xludf.DUMMYFUNCTION("GOOGLETRANSLATE(B1140, ""fr"", ""en"")"),"Although the cartridges snap ..... There is a problem with these cartridges received: they never work the first try !. So do not panic: open the locking notch of each cartridge and reset the d sharply and it will work !!")</f>
        <v>Although the cartridges snap ..... There is a problem with these cartridges received: they never work the first try !. So do not panic: open the locking notch of each cartridge and reset the d sharply and it will work !!</v>
      </c>
    </row>
    <row r="1141">
      <c r="A1141" s="1">
        <v>5.0</v>
      </c>
      <c r="B1141" s="1" t="s">
        <v>1138</v>
      </c>
      <c r="C1141" t="str">
        <f>IFERROR(__xludf.DUMMYFUNCTION("GOOGLETRANSLATE(B1141, ""fr"", ""en"")"),"I can give them five stars. For me, finding headphones that I like is not easy. But here I like functionality and I am very satisfied with their simple appearance. I have recommended several friends to buy them.")</f>
        <v>I can give them five stars. For me, finding headphones that I like is not easy. But here I like functionality and I am very satisfied with their simple appearance. I have recommended several friends to buy them.</v>
      </c>
    </row>
    <row r="1142">
      <c r="A1142" s="1">
        <v>5.0</v>
      </c>
      <c r="B1142" s="1" t="s">
        <v>1139</v>
      </c>
      <c r="C1142" t="str">
        <f>IFERROR(__xludf.DUMMYFUNCTION("GOOGLETRANSLATE(B1142, ""fr"", ""en"")"),"the cut and the fabric good quality I like ......")</f>
        <v>the cut and the fabric good quality I like ......</v>
      </c>
    </row>
    <row r="1143">
      <c r="A1143" s="1">
        <v>5.0</v>
      </c>
      <c r="B1143" s="1" t="s">
        <v>1140</v>
      </c>
      <c r="C1143" t="str">
        <f>IFERROR(__xludf.DUMMYFUNCTION("GOOGLETRANSLATE(B1143, ""fr"", ""en"")"),"Great for travel Very good value, impeccable louse travel ... no regrets purchasing Thanks amazon")</f>
        <v>Great for travel Very good value, impeccable louse travel ... no regrets purchasing Thanks amazon</v>
      </c>
    </row>
    <row r="1144">
      <c r="A1144" s="1">
        <v>5.0</v>
      </c>
      <c r="B1144" s="1" t="s">
        <v>1141</v>
      </c>
      <c r="C1144" t="str">
        <f>IFERROR(__xludf.DUMMYFUNCTION("GOOGLETRANSLATE(B1144, ""fr"", ""en"")"),"Heated Comforter What a pleasure to put in a warm quilt when coming from outside and it is very cold. Personally I used once and this is my companion who commandeered me because she is very cautious. The quilt is very soft so it's nice to snuggle. I recom"&amp;"mend.")</f>
        <v>Heated Comforter What a pleasure to put in a warm quilt when coming from outside and it is very cold. Personally I used once and this is my companion who commandeered me because she is very cautious. The quilt is very soft so it's nice to snuggle. I recommend.</v>
      </c>
    </row>
    <row r="1145">
      <c r="A1145" s="1">
        <v>5.0</v>
      </c>
      <c r="B1145" s="1" t="s">
        <v>1142</v>
      </c>
      <c r="C1145" t="str">
        <f>IFERROR(__xludf.DUMMYFUNCTION("GOOGLETRANSLATE(B1145, ""fr"", ""en"")"),"Very good quality Delivered very quickly, the socks are very good and fits the description! I recommend.")</f>
        <v>Very good quality Delivered very quickly, the socks are very good and fits the description! I recommend.</v>
      </c>
    </row>
    <row r="1146">
      <c r="A1146" s="1">
        <v>5.0</v>
      </c>
      <c r="B1146" s="1" t="s">
        <v>1143</v>
      </c>
      <c r="C1146" t="str">
        <f>IFERROR(__xludf.DUMMYFUNCTION("GOOGLETRANSLATE(B1146, ""fr"", ""en"")"),"CONVERSE that of its RETURN. I ALREADY BUY its CONVERSES there not so long ago and I thought, OK, I takes a second and even sizes and EVERYTHING is is that the beautiful ... happy. LOL. I RECOMMEND AGAIN and ALWAYS.")</f>
        <v>CONVERSE that of its RETURN. I ALREADY BUY its CONVERSES there not so long ago and I thought, OK, I takes a second and even sizes and EVERYTHING is is that the beautiful ... happy. LOL. I RECOMMEND AGAIN and ALWAYS.</v>
      </c>
    </row>
    <row r="1147">
      <c r="A1147" s="1">
        <v>5.0</v>
      </c>
      <c r="B1147" s="1" t="s">
        <v>1144</v>
      </c>
      <c r="C1147" t="str">
        <f>IFERROR(__xludf.DUMMYFUNCTION("GOOGLETRANSLATE(B1147, ""fr"", ""en"")"),"Very nice watch to wear year 80/90 Lightweight ideal for everyday wear but especially for shirt wearers has long sleeves because as it is very flat it does not cling to the Cuff Shirt")</f>
        <v>Very nice watch to wear year 80/90 Lightweight ideal for everyday wear but especially for shirt wearers has long sleeves because as it is very flat it does not cling to the Cuff Shirt</v>
      </c>
    </row>
    <row r="1148">
      <c r="A1148" s="1">
        <v>5.0</v>
      </c>
      <c r="B1148" s="1" t="s">
        <v>1145</v>
      </c>
      <c r="C1148" t="str">
        <f>IFERROR(__xludf.DUMMYFUNCTION("GOOGLETRANSLATE(B1148, ""fr"", ""en"")"),"Garbage bag that perfectly matches my expectations at a more than fair price as part of a ""basket grouped"". RAS good product.")</f>
        <v>Garbage bag that perfectly matches my expectations at a more than fair price as part of a "basket grouped". RAS good product.</v>
      </c>
    </row>
    <row r="1149">
      <c r="A1149" s="1">
        <v>5.0</v>
      </c>
      <c r="B1149" s="1" t="s">
        <v>1146</v>
      </c>
      <c r="C1149" t="str">
        <f>IFERROR(__xludf.DUMMYFUNCTION("GOOGLETRANSLATE(B1149, ""fr"", ""en"")"),"Disney Mickey Very cute necklace for a gift!")</f>
        <v>Disney Mickey Very cute necklace for a gift!</v>
      </c>
    </row>
    <row r="1150">
      <c r="A1150" s="1">
        <v>5.0</v>
      </c>
      <c r="B1150" s="1" t="s">
        <v>1147</v>
      </c>
      <c r="C1150" t="str">
        <f>IFERROR(__xludf.DUMMYFUNCTION("GOOGLETRANSLATE(B1150, ""fr"", ""en"")"),"Tip top quality unbeatable price, 8euros delivered !!!")</f>
        <v>Tip top quality unbeatable price, 8euros delivered !!!</v>
      </c>
    </row>
    <row r="1151">
      <c r="A1151" s="1">
        <v>5.0</v>
      </c>
      <c r="B1151" s="1" t="s">
        <v>1148</v>
      </c>
      <c r="C1151" t="str">
        <f>IFERROR(__xludf.DUMMYFUNCTION("GOOGLETRANSLATE(B1151, ""fr"", ""en"")"),"At the top at the top to actually enjoy the mom! An older style but chic in her jewelry box and premium with two different sized strings ... if future mother is large or not .. it's very nice I recommend!")</f>
        <v>At the top at the top to actually enjoy the mom! An older style but chic in her jewelry box and premium with two different sized strings ... if future mother is large or not .. it's very nice I recommend!</v>
      </c>
    </row>
    <row r="1152">
      <c r="A1152" s="1">
        <v>5.0</v>
      </c>
      <c r="B1152" s="1" t="s">
        <v>1149</v>
      </c>
      <c r="C1152" t="str">
        <f>IFERROR(__xludf.DUMMYFUNCTION("GOOGLETRANSLATE(B1152, ""fr"", ""en"")"),"Well I recommend headphones to listen to music or make his sport is nickel I did not expect such a good quality I recommend")</f>
        <v>Well I recommend headphones to listen to music or make his sport is nickel I did not expect such a good quality I recommend</v>
      </c>
    </row>
    <row r="1153">
      <c r="A1153" s="1">
        <v>5.0</v>
      </c>
      <c r="B1153" s="1" t="s">
        <v>1150</v>
      </c>
      <c r="C1153" t="str">
        <f>IFERROR(__xludf.DUMMYFUNCTION("GOOGLETRANSLATE(B1153, ""fr"", ""en"")"),"Good markers These markers are useful for LAC, drawings or just over. I highly recommend ! If my review was helpful you can mark that would encourage me to write reviews for you :)")</f>
        <v>Good markers These markers are useful for LAC, drawings or just over. I highly recommend ! If my review was helpful you can mark that would encourage me to write reviews for you :)</v>
      </c>
    </row>
    <row r="1154">
      <c r="A1154" s="1">
        <v>2.0</v>
      </c>
      <c r="B1154" s="1" t="s">
        <v>1151</v>
      </c>
      <c r="C1154" t="str">
        <f>IFERROR(__xludf.DUMMYFUNCTION("GOOGLETRANSLATE(B1154, ""fr"", ""en"")"),"defective product, 3 times in a row I bought this product for the first time since he had recommended me a lot. I was not disappointed, it worked very well for about a year. After that, it will no longer work at all. So I walk warranty, Amazon has therefo"&amp;"re sent me another. When unpacking, it was also faulty, generating an inaudible sound. Thinking of a sudden bad luck, I again operated the guarantee was no different, defective product. So I referred to an NT-USB in RODE.")</f>
        <v>defective product, 3 times in a row I bought this product for the first time since he had recommended me a lot. I was not disappointed, it worked very well for about a year. After that, it will no longer work at all. So I walk warranty, Amazon has therefore sent me another. When unpacking, it was also faulty, generating an inaudible sound. Thinking of a sudden bad luck, I again operated the guarantee was no different, defective product. So I referred to an NT-USB in RODE.</v>
      </c>
    </row>
    <row r="1155">
      <c r="A1155" s="1">
        <v>1.0</v>
      </c>
      <c r="B1155" s="1" t="s">
        <v>1152</v>
      </c>
      <c r="C1155" t="str">
        <f>IFERROR(__xludf.DUMMYFUNCTION("GOOGLETRANSLATE(B1155, ""fr"", ""en"")"),"Warning promotion scam I had to be promoted hp 15 € for the purchase of several cartridge (promo always displayed) and she was denied because it must apply within 1 month (though the promo is valid until at 31-10-17). This condition is really hidden in th"&amp;"e terms and conditions available on the HP site and therefore not available for purchase (the link on the conditions of supply leading to a board to print his bill amazon!). Unable to redress despite calls to Amazon sav. I am very disappointed, I, who had"&amp;" always enjoyed the Amazon Service ...")</f>
        <v>Warning promotion scam I had to be promoted hp 15 € for the purchase of several cartridge (promo always displayed) and she was denied because it must apply within 1 month (though the promo is valid until at 31-10-17). This condition is really hidden in the terms and conditions available on the HP site and therefore not available for purchase (the link on the conditions of supply leading to a board to print his bill amazon!). Unable to redress despite calls to Amazon sav. I am very disappointed, I, who had always enjoyed the Amazon Service ...</v>
      </c>
    </row>
    <row r="1156">
      <c r="A1156" s="1">
        <v>3.0</v>
      </c>
      <c r="B1156" s="1" t="s">
        <v>1153</v>
      </c>
      <c r="C1156" t="str">
        <f>IFERROR(__xludf.DUMMYFUNCTION("GOOGLETRANSLATE(B1156, ""fr"", ""en"")"),"Given the bignou, and the price ... Perfect It meets my current needs. 40 € I do the same choice. Everything seems good although the crossfader seems a bit light.")</f>
        <v>Given the bignou, and the price ... Perfect It meets my current needs. 40 € I do the same choice. Everything seems good although the crossfader seems a bit light.</v>
      </c>
    </row>
    <row r="1157">
      <c r="A1157" s="1">
        <v>3.0</v>
      </c>
      <c r="B1157" s="1" t="s">
        <v>1154</v>
      </c>
      <c r="C1157" t="str">
        <f>IFERROR(__xludf.DUMMYFUNCTION("GOOGLETRANSLATE(B1157, ""fr"", ""en"")"),"Not bad quality is good, and the product also to pa brassiere, it's good for any day but not for sports")</f>
        <v>Not bad quality is good, and the product also to pa brassiere, it's good for any day but not for sports</v>
      </c>
    </row>
    <row r="1158">
      <c r="A1158" s="1">
        <v>4.0</v>
      </c>
      <c r="B1158" s="1" t="s">
        <v>1155</v>
      </c>
      <c r="C1158" t="str">
        <f>IFERROR(__xludf.DUMMYFUNCTION("GOOGLETRANSLATE(B1158, ""fr"", ""en"")"),"Fabrics too thick shoes that I like very much but a very hard tissue and lack of flexibility which creates a sore feet I had to buy wooden arch extensions and for the moment I await the result but I have already had amploules!")</f>
        <v>Fabrics too thick shoes that I like very much but a very hard tissue and lack of flexibility which creates a sore feet I had to buy wooden arch extensions and for the moment I await the result but I have already had amploules!</v>
      </c>
    </row>
    <row r="1159">
      <c r="A1159" s="1">
        <v>4.0</v>
      </c>
      <c r="B1159" s="1" t="s">
        <v>1156</v>
      </c>
      <c r="C1159" t="str">
        <f>IFERROR(__xludf.DUMMYFUNCTION("GOOGLETRANSLATE(B1159, ""fr"", ""en"")"),"Very good very good do not regret my purchase")</f>
        <v>Very good very good do not regret my purchase</v>
      </c>
    </row>
    <row r="1160">
      <c r="A1160" s="1">
        <v>4.0</v>
      </c>
      <c r="B1160" s="1" t="s">
        <v>1157</v>
      </c>
      <c r="C1160" t="str">
        <f>IFERROR(__xludf.DUMMYFUNCTION("GOOGLETRANSLATE(B1160, ""fr"", ""en"")"),"very well received on time, in line with expectations")</f>
        <v>very well received on time, in line with expectations</v>
      </c>
    </row>
    <row r="1161">
      <c r="A1161" s="1">
        <v>4.0</v>
      </c>
      <c r="B1161" s="1" t="s">
        <v>1158</v>
      </c>
      <c r="C1161" t="str">
        <f>IFERROR(__xludf.DUMMYFUNCTION("GOOGLETRANSLATE(B1161, ""fr"", ""en"")"),"the size and quality of the fabric. Very good product good qualities.")</f>
        <v>the size and quality of the fabric. Very good product good qualities.</v>
      </c>
    </row>
    <row r="1162">
      <c r="A1162" s="1">
        <v>5.0</v>
      </c>
      <c r="B1162" s="1" t="s">
        <v>1159</v>
      </c>
      <c r="C1162" t="str">
        <f>IFERROR(__xludf.DUMMYFUNCTION("GOOGLETRANSLATE(B1162, ""fr"", ""en"")"),"gift idea pretty good silver chain")</f>
        <v>gift idea pretty good silver chain</v>
      </c>
    </row>
    <row r="1163">
      <c r="A1163" s="1">
        <v>5.0</v>
      </c>
      <c r="B1163" s="1" t="s">
        <v>1160</v>
      </c>
      <c r="C1163" t="str">
        <f>IFERROR(__xludf.DUMMYFUNCTION("GOOGLETRANSLATE(B1163, ""fr"", ""en"")"),"A quality professional microphone available to all quality professional microphone and the sound is great no noise around it records exactly what is in front of you like when you heard is frankly the microphone accessible to all for professional quality a"&amp;"t home")</f>
        <v>A quality professional microphone available to all quality professional microphone and the sound is great no noise around it records exactly what is in front of you like when you heard is frankly the microphone accessible to all for professional quality at home</v>
      </c>
    </row>
    <row r="1164">
      <c r="A1164" s="1">
        <v>5.0</v>
      </c>
      <c r="B1164" s="1" t="s">
        <v>1161</v>
      </c>
      <c r="C1164" t="str">
        <f>IFERROR(__xludf.DUMMYFUNCTION("GOOGLETRANSLATE(B1164, ""fr"", ""en"")"),"Well Perfect for Potty Leaves are not cardboard, but remains stiff for a little while")</f>
        <v>Well Perfect for Potty Leaves are not cardboard, but remains stiff for a little while</v>
      </c>
    </row>
    <row r="1165">
      <c r="A1165" s="1">
        <v>5.0</v>
      </c>
      <c r="B1165" s="1" t="s">
        <v>1162</v>
      </c>
      <c r="C1165" t="str">
        <f>IFERROR(__xludf.DUMMYFUNCTION("GOOGLETRANSLATE(B1165, ""fr"", ""en"")"),"Okay Meets images, it looks solid. It is big enough to get an iPad for those interested.")</f>
        <v>Okay Meets images, it looks solid. It is big enough to get an iPad for those interested.</v>
      </c>
    </row>
    <row r="1166">
      <c r="A1166" s="1">
        <v>5.0</v>
      </c>
      <c r="B1166" s="1" t="s">
        <v>1163</v>
      </c>
      <c r="C1166" t="str">
        <f>IFERROR(__xludf.DUMMYFUNCTION("GOOGLETRANSLATE(B1166, ""fr"", ""en"")"),"excelente excelente")</f>
        <v>excelente excelente</v>
      </c>
    </row>
    <row r="1167">
      <c r="A1167" s="1">
        <v>5.0</v>
      </c>
      <c r="B1167" s="1" t="s">
        <v>1164</v>
      </c>
      <c r="C1167" t="str">
        <f>IFERROR(__xludf.DUMMYFUNCTION("GOOGLETRANSLATE(B1167, ""fr"", ""en"")"),"Something has to be pure Nickel dillution airbrush airbrush ..")</f>
        <v>Something has to be pure Nickel dillution airbrush airbrush ..</v>
      </c>
    </row>
    <row r="1168">
      <c r="A1168" s="1">
        <v>5.0</v>
      </c>
      <c r="B1168" s="1" t="s">
        <v>1165</v>
      </c>
      <c r="C1168" t="str">
        <f>IFERROR(__xludf.DUMMYFUNCTION("GOOGLETRANSLATE(B1168, ""fr"", ""en"")"),"super handy product works very well, a USB cable provided.")</f>
        <v>super handy product works very well, a USB cable provided.</v>
      </c>
    </row>
    <row r="1169">
      <c r="A1169" s="1">
        <v>5.0</v>
      </c>
      <c r="B1169" s="1" t="s">
        <v>1166</v>
      </c>
      <c r="C1169" t="str">
        <f>IFERROR(__xludf.DUMMYFUNCTION("GOOGLETRANSLATE(B1169, ""fr"", ""en"")"),"Very good value for money ! I met a lot! Cheap, durable and big enough! I use it on a Samson C0U1. In addition, it reduces some resonance!")</f>
        <v>Very good value for money ! I met a lot! Cheap, durable and big enough! I use it on a Samson C0U1. In addition, it reduces some resonance!</v>
      </c>
    </row>
    <row r="1170">
      <c r="A1170" s="1">
        <v>5.0</v>
      </c>
      <c r="B1170" s="1" t="s">
        <v>1167</v>
      </c>
      <c r="C1170" t="str">
        <f>IFERROR(__xludf.DUMMYFUNCTION("GOOGLETRANSLATE(B1170, ""fr"", ""en"")"),"my platinum revi After a long period without work, the belt of my platinum belt that is disaggregated .This allowed me to revive this thing I just listen to my collection of fun vinyle.Quel")</f>
        <v>my platinum revi After a long period without work, the belt of my platinum belt that is disaggregated .This allowed me to revive this thing I just listen to my collection of fun vinyle.Quel</v>
      </c>
    </row>
    <row r="1171">
      <c r="A1171" s="1">
        <v>5.0</v>
      </c>
      <c r="B1171" s="1" t="s">
        <v>1168</v>
      </c>
      <c r="C1171" t="str">
        <f>IFERROR(__xludf.DUMMYFUNCTION("GOOGLETRANSLATE(B1171, ""fr"", ""en"")"),"Compact ideal for storing office, good value")</f>
        <v>Compact ideal for storing office, good value</v>
      </c>
    </row>
    <row r="1172">
      <c r="A1172" s="1">
        <v>5.0</v>
      </c>
      <c r="B1172" s="1" t="s">
        <v>1169</v>
      </c>
      <c r="C1172" t="str">
        <f>IFERROR(__xludf.DUMMYFUNCTION("GOOGLETRANSLATE(B1172, ""fr"", ""en"")"),"Compact, compatible sound good Bought for my son, once connected, it came to me to tell me it's great, what good sound. Compact does not take place. Compatible with almost any device, son to honor and it works perfectly. He used to go mountain biking, he "&amp;"is delighted. I really recommend.")</f>
        <v>Compact, compatible sound good Bought for my son, once connected, it came to me to tell me it's great, what good sound. Compact does not take place. Compatible with almost any device, son to honor and it works perfectly. He used to go mountain biking, he is delighted. I really recommend.</v>
      </c>
    </row>
    <row r="1173">
      <c r="A1173" s="1">
        <v>5.0</v>
      </c>
      <c r="B1173" s="1" t="s">
        <v>1170</v>
      </c>
      <c r="C1173" t="str">
        <f>IFERROR(__xludf.DUMMYFUNCTION("GOOGLETRANSLATE(B1173, ""fr"", ""en"")"),"Wonderful Very nice, very well and received in due time.")</f>
        <v>Wonderful Very nice, very well and received in due time.</v>
      </c>
    </row>
    <row r="1174">
      <c r="A1174" s="1">
        <v>5.0</v>
      </c>
      <c r="B1174" s="1" t="s">
        <v>1171</v>
      </c>
      <c r="C1174" t="str">
        <f>IFERROR(__xludf.DUMMYFUNCTION("GOOGLETRANSLATE(B1174, ""fr"", ""en"")"),"Good value headset wireless headset Bluetooth 4.1 small, lightweight, supports Micro SD up to 32 GB a very good sound quality, easy to transport it is foldable and lightweight Compatible iOS AND ANDROID it recharges in 2 hours and the like battery 6 to 8 "&amp;"hours depending on use music or conversation Very good value for money. I recommend for those who want a Bluetooth headset of good quality not very expensive.")</f>
        <v>Good value headset wireless headset Bluetooth 4.1 small, lightweight, supports Micro SD up to 32 GB a very good sound quality, easy to transport it is foldable and lightweight Compatible iOS AND ANDROID it recharges in 2 hours and the like battery 6 to 8 hours depending on use music or conversation Very good value for money. I recommend for those who want a Bluetooth headset of good quality not very expensive.</v>
      </c>
    </row>
    <row r="1175">
      <c r="A1175" s="1">
        <v>5.0</v>
      </c>
      <c r="B1175" s="1" t="s">
        <v>1172</v>
      </c>
      <c r="C1175" t="str">
        <f>IFERROR(__xludf.DUMMYFUNCTION("GOOGLETRANSLATE(B1175, ""fr"", ""en"")"),"Bom Bom")</f>
        <v>Bom Bom</v>
      </c>
    </row>
    <row r="1176">
      <c r="A1176" s="1">
        <v>5.0</v>
      </c>
      <c r="B1176" s="1" t="s">
        <v>1173</v>
      </c>
      <c r="C1176" t="str">
        <f>IFERROR(__xludf.DUMMYFUNCTION("GOOGLETRANSLATE(B1176, ""fr"", ""en"")"),"good product I myself not expect. Legging exceeded my suffering. It is well cut, shows very beautiful forms. Small pockets are practical. The material is soft, comfortable to wear. The waist is high is, hides the belly. It is a bit long for me, but it doe"&amp;"s not bother me because leggings itself is sitting on the horns. Satisfied with the quality of this product, I recommend.")</f>
        <v>good product I myself not expect. Legging exceeded my suffering. It is well cut, shows very beautiful forms. Small pockets are practical. The material is soft, comfortable to wear. The waist is high is, hides the belly. It is a bit long for me, but it does not bother me because leggings itself is sitting on the horns. Satisfied with the quality of this product, I recommend.</v>
      </c>
    </row>
    <row r="1177">
      <c r="A1177" s="1">
        <v>2.0</v>
      </c>
      <c r="B1177" s="1" t="s">
        <v>1174</v>
      </c>
      <c r="C1177" t="str">
        <f>IFERROR(__xludf.DUMMYFUNCTION("GOOGLETRANSLATE(B1177, ""fr"", ""en"")"),"times and fangs are hard fangs are not what they were ... those are the hard, uncomfortable .The teeth is a look can be, but also a comfortable, right?")</f>
        <v>times and fangs are hard fangs are not what they were ... those are the hard, uncomfortable .The teeth is a look can be, but also a comfortable, right?</v>
      </c>
    </row>
    <row r="1178">
      <c r="A1178" s="1">
        <v>1.0</v>
      </c>
      <c r="B1178" s="1" t="s">
        <v>1175</v>
      </c>
      <c r="C1178" t="str">
        <f>IFERROR(__xludf.DUMMYFUNCTION("GOOGLETRANSLATE(B1178, ""fr"", ""en"")"),"USEFUL With only ten uses the device no longer works, blocked joystick, emptied gas refill, and noise of an object in the control head? Too bad because useful for reducing soda water bottle plastics. Back of the unit!")</f>
        <v>USEFUL With only ten uses the device no longer works, blocked joystick, emptied gas refill, and noise of an object in the control head? Too bad because useful for reducing soda water bottle plastics. Back of the unit!</v>
      </c>
    </row>
    <row r="1179">
      <c r="A1179" s="1">
        <v>1.0</v>
      </c>
      <c r="B1179" s="1" t="s">
        <v>1176</v>
      </c>
      <c r="C1179" t="str">
        <f>IFERROR(__xludf.DUMMYFUNCTION("GOOGLETRANSLATE(B1179, ""fr"", ""en"")"),"Pourri not to buy! Pourri they are already peeled on the side, for the price it is shame !!! I do not recommend at all.")</f>
        <v>Pourri not to buy! Pourri they are already peeled on the side, for the price it is shame !!! I do not recommend at all.</v>
      </c>
    </row>
    <row r="1180">
      <c r="A1180" s="1">
        <v>3.0</v>
      </c>
      <c r="B1180" s="1" t="s">
        <v>1177</v>
      </c>
      <c r="C1180" t="str">
        <f>IFERROR(__xludf.DUMMYFUNCTION("GOOGLETRANSLATE(B1180, ""fr"", ""en"")"),"VERY dificult A CLEAR RED The red fades badly, not ideal for a whiteboard. Especially do not let writing more than an hour or two, you have to rub hard to erase the red.")</f>
        <v>VERY dificult A CLEAR RED The red fades badly, not ideal for a whiteboard. Especially do not let writing more than an hour or two, you have to rub hard to erase the red.</v>
      </c>
    </row>
    <row r="1181">
      <c r="A1181" s="1">
        <v>3.0</v>
      </c>
      <c r="B1181" s="1" t="s">
        <v>1178</v>
      </c>
      <c r="C1181" t="str">
        <f>IFERROR(__xludf.DUMMYFUNCTION("GOOGLETRANSLATE(B1181, ""fr"", ""en"")"),"Disappointed with the product but good seller Having a small head I had trouble has put the helmet to have a proper listening. Also, the sound is heard by everyone in an open space, does not match my expectations. The seller is still very good, he contact"&amp;"ed me later to find a solution, on time, very friendly etc. I recommend")</f>
        <v>Disappointed with the product but good seller Having a small head I had trouble has put the helmet to have a proper listening. Also, the sound is heard by everyone in an open space, does not match my expectations. The seller is still very good, he contacted me later to find a solution, on time, very friendly etc. I recommend</v>
      </c>
    </row>
    <row r="1182">
      <c r="A1182" s="1">
        <v>4.0</v>
      </c>
      <c r="B1182" s="1" t="s">
        <v>1179</v>
      </c>
      <c r="C1182" t="str">
        <f>IFERROR(__xludf.DUMMYFUNCTION("GOOGLETRANSLATE(B1182, ""fr"", ""en"")"),"I recommend value I love these bic's, it is a pleasure to write with, it was time that I was looking for such quality. I'm not disappointed, more quickly it disappears without trace our small mistakes and refills easily. I can only recommend.")</f>
        <v>I recommend value I love these bic's, it is a pleasure to write with, it was time that I was looking for such quality. I'm not disappointed, more quickly it disappears without trace our small mistakes and refills easily. I can only recommend.</v>
      </c>
    </row>
    <row r="1183">
      <c r="A1183" s="1">
        <v>4.0</v>
      </c>
      <c r="B1183" s="1" t="s">
        <v>1180</v>
      </c>
      <c r="C1183" t="str">
        <f>IFERROR(__xludf.DUMMYFUNCTION("GOOGLETRANSLATE(B1183, ""fr"", ""en"")"),"Superb and fine quality Beautiful earrings feminine and elegant ears and blue and just like the picture")</f>
        <v>Superb and fine quality Beautiful earrings feminine and elegant ears and blue and just like the picture</v>
      </c>
    </row>
    <row r="1184">
      <c r="A1184" s="1">
        <v>4.0</v>
      </c>
      <c r="B1184" s="1" t="s">
        <v>1181</v>
      </c>
      <c r="C1184" t="str">
        <f>IFERROR(__xludf.DUMMYFUNCTION("GOOGLETRANSLATE(B1184, ""fr"", ""en"")"),"Top for sports Very nice watch, for against the lighting means that's why I remove a star. It is very robust, it's good stuff G Schock is very solid; o) Last is headlock to settle for too function but that's annex.")</f>
        <v>Top for sports Very nice watch, for against the lighting means that's why I remove a star. It is very robust, it's good stuff G Schock is very solid; o) Last is headlock to settle for too function but that's annex.</v>
      </c>
    </row>
    <row r="1185">
      <c r="A1185" s="1">
        <v>4.0</v>
      </c>
      <c r="B1185" s="1" t="s">
        <v>1182</v>
      </c>
      <c r="C1185" t="str">
        <f>IFERROR(__xludf.DUMMYFUNCTION("GOOGLETRANSLATE(B1185, ""fr"", ""en"")"),"Perfect I hesitated with another Micro same range and I am delighted to have chosen this one. The tone is warm and especially the microphone is very solid, I did fell and remained flawless phew, good quality.")</f>
        <v>Perfect I hesitated with another Micro same range and I am delighted to have chosen this one. The tone is warm and especially the microphone is very solid, I did fell and remained flawless phew, good quality.</v>
      </c>
    </row>
    <row r="1186">
      <c r="A1186" s="1">
        <v>5.0</v>
      </c>
      <c r="B1186" s="1" t="s">
        <v>1183</v>
      </c>
      <c r="C1186" t="str">
        <f>IFERROR(__xludf.DUMMYFUNCTION("GOOGLETRANSLATE(B1186, ""fr"", ""en"")"),"Gift We had fun with this microphone. Great gift!")</f>
        <v>Gift We had fun with this microphone. Great gift!</v>
      </c>
    </row>
    <row r="1187">
      <c r="A1187" s="1">
        <v>5.0</v>
      </c>
      <c r="B1187" s="1" t="s">
        <v>1184</v>
      </c>
      <c r="C1187" t="str">
        <f>IFERROR(__xludf.DUMMYFUNCTION("GOOGLETRANSLATE(B1187, ""fr"", ""en"")"),"Excellent product Wedding Ceremony")</f>
        <v>Excellent product Wedding Ceremony</v>
      </c>
    </row>
    <row r="1188">
      <c r="A1188" s="1">
        <v>5.0</v>
      </c>
      <c r="B1188" s="1" t="s">
        <v>1185</v>
      </c>
      <c r="C1188" t="str">
        <f>IFERROR(__xludf.DUMMYFUNCTION("GOOGLETRANSLATE(B1188, ""fr"", ""en"")"),"Beautiful watch that works alone Delivery is fast and simple packaging. Inside a simple watch that is accurate time alone. The metal bracelet and finishing of the dial give the watch a quality feeling. Although the keys are a bit hard, the functions are f"&amp;"airly simple to parameterize. Started only a few days, I like it a lot.")</f>
        <v>Beautiful watch that works alone Delivery is fast and simple packaging. Inside a simple watch that is accurate time alone. The metal bracelet and finishing of the dial give the watch a quality feeling. Although the keys are a bit hard, the functions are fairly simple to parameterize. Started only a few days, I like it a lot.</v>
      </c>
    </row>
    <row r="1189">
      <c r="A1189" s="1">
        <v>5.0</v>
      </c>
      <c r="B1189" s="1" t="s">
        <v>1186</v>
      </c>
      <c r="C1189" t="str">
        <f>IFERROR(__xludf.DUMMYFUNCTION("GOOGLETRANSLATE(B1189, ""fr"", ""en"")"),"I recommend 100% very decent price for the quality of the received headphones. Beautiful design, does not hurt the ears. The most important- I is is dropped several times in the water and he never had anything. I recommend!")</f>
        <v>I recommend 100% very decent price for the quality of the received headphones. Beautiful design, does not hurt the ears. The most important- I is is dropped several times in the water and he never had anything. I recommend!</v>
      </c>
    </row>
    <row r="1190">
      <c r="A1190" s="1">
        <v>5.0</v>
      </c>
      <c r="B1190" s="1" t="s">
        <v>1187</v>
      </c>
      <c r="C1190" t="str">
        <f>IFERROR(__xludf.DUMMYFUNCTION("GOOGLETRANSLATE(B1190, ""fr"", ""en"")"),"Handy! I took this show as part of a backpacking trip for several months, without regret! To: + inexpensive, if he happens to an ""accident"" is not dramatic discreet + (ideal for small wrists unlike barometers watches ...) + life at large (and battery st"&amp;"rength ! box) + timeless (... or outdated always it depends :-)) Neutral or suspicious: ~ bracelet still stands, but actually (to bounce on other reviews) is often the first point loose on this type of watch! ~ The alarm is (too) quiet")</f>
        <v>Handy! I took this show as part of a backpacking trip for several months, without regret! To: + inexpensive, if he happens to an "accident" is not dramatic discreet + (ideal for small wrists unlike barometers watches ...) + life at large (and battery strength ! box) + timeless (... or outdated always it depends :-)) Neutral or suspicious: ~ bracelet still stands, but actually (to bounce on other reviews) is often the first point loose on this type of watch! ~ The alarm is (too) quiet</v>
      </c>
    </row>
    <row r="1191">
      <c r="A1191" s="1">
        <v>5.0</v>
      </c>
      <c r="B1191" s="1" t="s">
        <v>1188</v>
      </c>
      <c r="C1191" t="str">
        <f>IFERROR(__xludf.DUMMYFUNCTION("GOOGLETRANSLATE(B1191, ""fr"", ""en"")"),"Nikel Great value")</f>
        <v>Nikel Great value</v>
      </c>
    </row>
    <row r="1192">
      <c r="A1192" s="1">
        <v>5.0</v>
      </c>
      <c r="B1192" s="1" t="s">
        <v>1189</v>
      </c>
      <c r="C1192" t="str">
        <f>IFERROR(__xludf.DUMMYFUNCTION("GOOGLETRANSLATE(B1192, ""fr"", ""en"")"),"good article right product very well I hope his walk tripe protection")</f>
        <v>good article right product very well I hope his walk tripe protection</v>
      </c>
    </row>
    <row r="1193">
      <c r="A1193" s="1">
        <v>5.0</v>
      </c>
      <c r="B1193" s="1" t="s">
        <v>1190</v>
      </c>
      <c r="C1193" t="str">
        <f>IFERROR(__xludf.DUMMYFUNCTION("GOOGLETRANSLATE(B1193, ""fr"", ""en"")"),"Perfect to become the next Messy The product meets and good quality. Wool is soft and thick enough. I recommend this product without hesitation.")</f>
        <v>Perfect to become the next Messy The product meets and good quality. Wool is soft and thick enough. I recommend this product without hesitation.</v>
      </c>
    </row>
    <row r="1194">
      <c r="A1194" s="1">
        <v>5.0</v>
      </c>
      <c r="B1194" s="1" t="s">
        <v>1191</v>
      </c>
      <c r="C1194" t="str">
        <f>IFERROR(__xludf.DUMMYFUNCTION("GOOGLETRANSLATE(B1194, ""fr"", ""en"")"),"Tap very comfortable! They are very nice, I left them more, it constantly sounds at my feet!")</f>
        <v>Tap very comfortable! They are very nice, I left them more, it constantly sounds at my feet!</v>
      </c>
    </row>
    <row r="1195">
      <c r="A1195" s="1">
        <v>5.0</v>
      </c>
      <c r="B1195" s="1" t="s">
        <v>1192</v>
      </c>
      <c r="C1195" t="str">
        <f>IFERROR(__xludf.DUMMYFUNCTION("GOOGLETRANSLATE(B1195, ""fr"", ""en"")"),"No more Reduces colic amount colic! For large flow against for baby 2 months anyway.")</f>
        <v>No more Reduces colic amount colic! For large flow against for baby 2 months anyway.</v>
      </c>
    </row>
    <row r="1196">
      <c r="A1196" s="1">
        <v>5.0</v>
      </c>
      <c r="B1196" s="1" t="s">
        <v>1193</v>
      </c>
      <c r="C1196" t="str">
        <f>IFERROR(__xludf.DUMMYFUNCTION("GOOGLETRANSLATE(B1196, ""fr"", ""en"")"),"satisfied but a good cartridge regret but its high price allows Canon to compensate for the low price of its printers")</f>
        <v>satisfied but a good cartridge regret but its high price allows Canon to compensate for the low price of its printers</v>
      </c>
    </row>
    <row r="1197">
      <c r="A1197" s="1">
        <v>5.0</v>
      </c>
      <c r="B1197" s="1" t="s">
        <v>1194</v>
      </c>
      <c r="C1197" t="str">
        <f>IFERROR(__xludf.DUMMYFUNCTION("GOOGLETRANSLATE(B1197, ""fr"", ""en"")"),"Perfect Good quality, sends fast and well packaged. I recommend this purchase for a small bag containing just what it takes.")</f>
        <v>Perfect Good quality, sends fast and well packaged. I recommend this purchase for a small bag containing just what it takes.</v>
      </c>
    </row>
    <row r="1198">
      <c r="A1198" s="1">
        <v>5.0</v>
      </c>
      <c r="B1198" s="1" t="s">
        <v>1195</v>
      </c>
      <c r="C1198" t="str">
        <f>IFERROR(__xludf.DUMMYFUNCTION("GOOGLETRANSLATE(B1198, ""fr"", ""en"")"),"Good product. Received on time and in line with my expectations.")</f>
        <v>Good product. Received on time and in line with my expectations.</v>
      </c>
    </row>
    <row r="1199">
      <c r="A1199" s="1">
        <v>5.0</v>
      </c>
      <c r="B1199" s="1" t="s">
        <v>1196</v>
      </c>
      <c r="C1199" t="str">
        <f>IFERROR(__xludf.DUMMYFUNCTION("GOOGLETRANSLATE(B1199, ""fr"", ""en"")"),"Pretty cool shows and packaged the same as the picture, but the default is that the numbers only go up to double-digit millions. (Anastasius, 10 years)")</f>
        <v>Pretty cool shows and packaged the same as the picture, but the default is that the numbers only go up to double-digit millions. (Anastasius, 10 years)</v>
      </c>
    </row>
    <row r="1200">
      <c r="A1200" s="1">
        <v>5.0</v>
      </c>
      <c r="B1200" s="1" t="s">
        <v>1197</v>
      </c>
      <c r="C1200" t="str">
        <f>IFERROR(__xludf.DUMMYFUNCTION("GOOGLETRANSLATE(B1200, ""fr"", ""en"")"),"Simple and Natural our great pediatrician has always been against sterilizers since the time of pellets could bring a dose of external agents. Here no worries, sterilization is done by steam. The inside of bottles and nipples will be effectively sterilize"&amp;"d and they will be ready to be filled again. Imposing but replaces two devices. We love the simplicity and safety of the system.")</f>
        <v>Simple and Natural our great pediatrician has always been against sterilizers since the time of pellets could bring a dose of external agents. Here no worries, sterilization is done by steam. The inside of bottles and nipples will be effectively sterilized and they will be ready to be filled again. Imposing but replaces two devices. We love the simplicity and safety of the system.</v>
      </c>
    </row>
    <row r="1201">
      <c r="A1201" s="1">
        <v>2.0</v>
      </c>
      <c r="B1201" s="1" t="s">
        <v>1198</v>
      </c>
      <c r="C1201" t="str">
        <f>IFERROR(__xludf.DUMMYFUNCTION("GOOGLETRANSLATE(B1201, ""fr"", ""en"")"),"Defects That makes 9 months I have this watch, and really, it's fine. Or at least it is beautiful, there are no complaints about its appearance. However ... the needles are virtually invisible in the dark while being phosphorescent, they should shine. The"&amp;"n the leather inside of the wrist begins to open. Above all, the weak point is the smell. Do not expect more rest your head in your hand, the smell wakes you up right away ... I washed and waxed brush, nothing happens, the smell always ends up back. I hav"&amp;"e already worn leather watches but this is the first to do this to me.")</f>
        <v>Defects That makes 9 months I have this watch, and really, it's fine. Or at least it is beautiful, there are no complaints about its appearance. However ... the needles are virtually invisible in the dark while being phosphorescent, they should shine. Then the leather inside of the wrist begins to open. Above all, the weak point is the smell. Do not expect more rest your head in your hand, the smell wakes you up right away ... I washed and waxed brush, nothing happens, the smell always ends up back. I have already worn leather watches but this is the first to do this to me.</v>
      </c>
    </row>
    <row r="1202">
      <c r="A1202" s="1">
        <v>1.0</v>
      </c>
      <c r="B1202" s="1" t="s">
        <v>1199</v>
      </c>
      <c r="C1202" t="str">
        <f>IFERROR(__xludf.DUMMYFUNCTION("GOOGLETRANSLATE(B1202, ""fr"", ""en"")"),"Device in total failure in the first week! To flee!!! First purchase of this device in October 2018, which breaks down six months later (impossible to start). Back warranty Amazon which recognizes the problem t proposes sending a new one. I accept this pr"&amp;"oposal satisfactory and receives the new device. Unfortunately it has the same defect after a week of erratic behavior. I should have accepted the repayment also offered by Amazon. I returned this second copy and awaits an offer from Amazon. Model away !!"&amp;"!")</f>
        <v>Device in total failure in the first week! To flee!!! First purchase of this device in October 2018, which breaks down six months later (impossible to start). Back warranty Amazon which recognizes the problem t proposes sending a new one. I accept this proposal satisfactory and receives the new device. Unfortunately it has the same defect after a week of erratic behavior. I should have accepted the repayment also offered by Amazon. I returned this second copy and awaits an offer from Amazon. Model away !!!</v>
      </c>
    </row>
    <row r="1203">
      <c r="A1203" s="1">
        <v>1.0</v>
      </c>
      <c r="B1203" s="1" t="s">
        <v>1200</v>
      </c>
      <c r="C1203" t="str">
        <f>IFERROR(__xludf.DUMMYFUNCTION("GOOGLETRANSLATE(B1203, ""fr"", ""en"")"),"Bad Hum 3M Scotch? notice, it may be lowered as 3M, so that it tears just the drop. Unless there are two scotch factories: one that manufactures tape and the other is ... uh ... it ... well that yellow thing.")</f>
        <v>Bad Hum 3M Scotch? notice, it may be lowered as 3M, so that it tears just the drop. Unless there are two scotch factories: one that manufactures tape and the other is ... uh ... it ... well that yellow thing.</v>
      </c>
    </row>
    <row r="1204">
      <c r="A1204" s="1">
        <v>3.0</v>
      </c>
      <c r="B1204" s="1" t="s">
        <v>1201</v>
      </c>
      <c r="C1204" t="str">
        <f>IFERROR(__xludf.DUMMYFUNCTION("GOOGLETRANSLATE(B1204, ""fr"", ""en"")"),"Does its work without further It heats well and works but its shape is not ideal: this round the neck will heat only the lower neck, possibly trapezoids. At least lie down, difficult to reach neck top.")</f>
        <v>Does its work without further It heats well and works but its shape is not ideal: this round the neck will heat only the lower neck, possibly trapezoids. At least lie down, difficult to reach neck top.</v>
      </c>
    </row>
    <row r="1205">
      <c r="A1205" s="1">
        <v>4.0</v>
      </c>
      <c r="B1205" s="1" t="s">
        <v>1202</v>
      </c>
      <c r="C1205" t="str">
        <f>IFERROR(__xludf.DUMMYFUNCTION("GOOGLETRANSLATE(B1205, ""fr"", ""en"")"),"well thought but beware of leaks ... Bottle warmer both simple and well thought out. Just be used to warm bottles 2 in the output. One bemole, a leak has occurred in the cap, I found my diaper bag soaked! I'm good effect bookings the system leak persists.")</f>
        <v>well thought but beware of leaks ... Bottle warmer both simple and well thought out. Just be used to warm bottles 2 in the output. One bemole, a leak has occurred in the cap, I found my diaper bag soaked! I'm good effect bookings the system leak persists.</v>
      </c>
    </row>
    <row r="1206">
      <c r="A1206" s="1">
        <v>4.0</v>
      </c>
      <c r="B1206" s="1" t="s">
        <v>1203</v>
      </c>
      <c r="C1206" t="str">
        <f>IFERROR(__xludf.DUMMYFUNCTION("GOOGLETRANSLATE(B1206, ""fr"", ""en"")"),"Well Well compliant")</f>
        <v>Well Well compliant</v>
      </c>
    </row>
    <row r="1207">
      <c r="A1207" s="1">
        <v>4.0</v>
      </c>
      <c r="B1207" s="1" t="s">
        <v>1204</v>
      </c>
      <c r="C1207" t="str">
        <f>IFERROR(__xludf.DUMMYFUNCTION("GOOGLETRANSLATE(B1207, ""fr"", ""en"")"),"VERY GOOD PRODUCT ditto")</f>
        <v>VERY GOOD PRODUCT ditto</v>
      </c>
    </row>
    <row r="1208">
      <c r="A1208" s="1">
        <v>4.0</v>
      </c>
      <c r="B1208" s="1" t="s">
        <v>1205</v>
      </c>
      <c r="C1208" t="str">
        <f>IFERROR(__xludf.DUMMYFUNCTION("GOOGLETRANSLATE(B1208, ""fr"", ""en"")"),"While cut My little girl is delighted to this and as it is a princess: she will return on your shelves!")</f>
        <v>While cut My little girl is delighted to this and as it is a princess: she will return on your shelves!</v>
      </c>
    </row>
    <row r="1209">
      <c r="A1209" s="1">
        <v>4.0</v>
      </c>
      <c r="B1209" s="1" t="s">
        <v>1206</v>
      </c>
      <c r="C1209" t="str">
        <f>IFERROR(__xludf.DUMMYFUNCTION("GOOGLETRANSLATE(B1209, ""fr"", ""en"")"),"It's cool Although this essential oil .... nothing to say to do good with a natural remedy and without chemical products. A test for those who love essential oils.")</f>
        <v>It's cool Although this essential oil .... nothing to say to do good with a natural remedy and without chemical products. A test for those who love essential oils.</v>
      </c>
    </row>
    <row r="1210">
      <c r="A1210" s="1">
        <v>5.0</v>
      </c>
      <c r="B1210" s="1" t="s">
        <v>1207</v>
      </c>
      <c r="C1210" t="str">
        <f>IFERROR(__xludf.DUMMYFUNCTION("GOOGLETRANSLATE(B1210, ""fr"", ""en"")"),"that the excellent quality French brand dodie for this pretty box birth I am faithful to DODIE that I have used for years for my babies that I have to take care as a nanny. this box is very pretty and has everything needed for a child from birth to 3 mont"&amp;"hs, or a little more. There are 3 glass bottles like buying in very good pharmacies and 3 teats anti-colic, they will have the shape of the womb and a lollipop from birth to 3 months. I always take when I am aware of this brand with its French manufacturi"&amp;"ng, a sign of high quality and especially that are guaranteed BPA or bisphenol a.")</f>
        <v>that the excellent quality French brand dodie for this pretty box birth I am faithful to DODIE that I have used for years for my babies that I have to take care as a nanny. this box is very pretty and has everything needed for a child from birth to 3 months, or a little more. There are 3 glass bottles like buying in very good pharmacies and 3 teats anti-colic, they will have the shape of the womb and a lollipop from birth to 3 months. I always take when I am aware of this brand with its French manufacturing, a sign of high quality and especially that are guaranteed BPA or bisphenol a.</v>
      </c>
    </row>
    <row r="1211">
      <c r="A1211" s="1">
        <v>5.0</v>
      </c>
      <c r="B1211" s="1" t="s">
        <v>1208</v>
      </c>
      <c r="C1211" t="str">
        <f>IFERROR(__xludf.DUMMYFUNCTION("GOOGLETRANSLATE(B1211, ""fr"", ""en"")"),"but impeccable attention to size! very good quality, no defects, to € 85.84 return delivered more free, can not beat that! (Especially not timber) If ordered 22-12-16, received on 23 .......... I wanted for a long time! Thanks again ! PS I put on the 41.5"&amp;" but thanks to other reviews, I ordered two pairs with a size of size below which saved me return them !!! &lt;A data-hook = ""product-link-linked"" class = ""a-link-normal"" href = ""/ Caterpillar Colorado-Boots-Chukka-man-Black-Black-41-EU / dp / B0050B40V"&amp;"E / ref = cm_cr_arp_d_rvw_txt? ie = UTF8 ""&gt; Caterpillar Colorado Boots Chukka man, Black (Black), 41 EU &lt;/a&gt; &lt;a data-hook ="" product-link-linked ""class ="" link-to-normal ""href ="" / Caterpillar Colorado-Boots-Chukka-man-Brown-Chocolate-41-EU / dp / B"&amp;"001HB5XP8 / ref = cm_cr_arp_d_rvw_txt? ie = UTF8 ""&gt; Caterpillar Colorado Men Chukka Boots Brown (Chocolate), 41 EU &lt;/a&gt;")</f>
        <v>but impeccable attention to size! very good quality, no defects, to € 85.84 return delivered more free, can not beat that! (Especially not timber) If ordered 22-12-16, received on 23 .......... I wanted for a long time! Thanks again ! PS I put on the 41.5 but thanks to other reviews, I ordered two pairs with a size of size below which saved me return them !!! &lt;A data-hook = "product-link-linked" class = "a-link-normal" href = "/ Caterpillar Colorado-Boots-Chukka-man-Black-Black-41-EU / dp / B0050B40VE / ref = cm_cr_arp_d_rvw_txt? ie = UTF8 "&gt; Caterpillar Colorado Boots Chukka man, Black (Black), 41 EU &lt;/a&gt; &lt;a data-hook =" product-link-linked "class =" link-to-normal "href =" / Caterpillar Colorado-Boots-Chukka-man-Brown-Chocolate-41-EU / dp / B001HB5XP8 / ref = cm_cr_arp_d_rvw_txt? ie = UTF8 "&gt; Caterpillar Colorado Men Chukka Boots Brown (Chocolate), 41 EU &lt;/a&gt;</v>
      </c>
    </row>
    <row r="1212">
      <c r="A1212" s="1">
        <v>5.0</v>
      </c>
      <c r="B1212" s="1" t="s">
        <v>1209</v>
      </c>
      <c r="C1212" t="str">
        <f>IFERROR(__xludf.DUMMYFUNCTION("GOOGLETRANSLATE(B1212, ""fr"", ""en"")"),"Size clothing suitable. Quick delivery. Promotion price. Aesthetics, simplicity, quality, size L adapted. Very good sweet Adidas.")</f>
        <v>Size clothing suitable. Quick delivery. Promotion price. Aesthetics, simplicity, quality, size L adapted. Very good sweet Adidas.</v>
      </c>
    </row>
    <row r="1213">
      <c r="A1213" s="1">
        <v>5.0</v>
      </c>
      <c r="B1213" s="1" t="s">
        <v>1210</v>
      </c>
      <c r="C1213" t="str">
        <f>IFERROR(__xludf.DUMMYFUNCTION("GOOGLETRANSLATE(B1213, ""fr"", ""en"")"),"Converse all star Order no problem")</f>
        <v>Converse all star Order no problem</v>
      </c>
    </row>
    <row r="1214">
      <c r="A1214" s="1">
        <v>5.0</v>
      </c>
      <c r="B1214" s="1" t="s">
        <v>1211</v>
      </c>
      <c r="C1214" t="str">
        <f>IFERROR(__xludf.DUMMYFUNCTION("GOOGLETRANSLATE(B1214, ""fr"", ""en"")"),"Earrings Female ANGEL NINA Hello; Beautiful jewel beautifully made and especially that it is great pleasure to my little girls I recommend for all occasions")</f>
        <v>Earrings Female ANGEL NINA Hello; Beautiful jewel beautifully made and especially that it is great pleasure to my little girls I recommend for all occasions</v>
      </c>
    </row>
    <row r="1215">
      <c r="A1215" s="1">
        <v>5.0</v>
      </c>
      <c r="B1215" s="1" t="s">
        <v>1212</v>
      </c>
      <c r="C1215" t="str">
        <f>IFERROR(__xludf.DUMMYFUNCTION("GOOGLETRANSLATE(B1215, ""fr"", ""en"")"),"Excellent value! Use with ink jet printer. Very good result. I just bought a laser printer, we'll see if the result is good. Anyway, great price, fast delivery and good quality.")</f>
        <v>Excellent value! Use with ink jet printer. Very good result. I just bought a laser printer, we'll see if the result is good. Anyway, great price, fast delivery and good quality.</v>
      </c>
    </row>
    <row r="1216">
      <c r="A1216" s="1">
        <v>5.0</v>
      </c>
      <c r="B1216" s="1" t="s">
        <v>1213</v>
      </c>
      <c r="C1216" t="str">
        <f>IFERROR(__xludf.DUMMYFUNCTION("GOOGLETRANSLATE(B1216, ""fr"", ""en"")"),"Hot hot! 🔥🍵 I have many Bosch products, I did not really think to buy this kettle. My choice fell on it because I love the color is gorgeous. I also have a toaster in this color it goes well. with my kitchen. No complaints about the use it is very easy "&amp;"you put water is pressed the button and it heats, kettle what 😁. I am that it was there the number of cups next to countenance. The markings are clearly visible and are up 1.7 L.")</f>
        <v>Hot hot! 🔥🍵 I have many Bosch products, I did not really think to buy this kettle. My choice fell on it because I love the color is gorgeous. I also have a toaster in this color it goes well. with my kitchen. No complaints about the use it is very easy you put water is pressed the button and it heats, kettle what 😁. I am that it was there the number of cups next to countenance. The markings are clearly visible and are up 1.7 L.</v>
      </c>
    </row>
    <row r="1217">
      <c r="A1217" s="1">
        <v>5.0</v>
      </c>
      <c r="B1217" s="1" t="s">
        <v>1214</v>
      </c>
      <c r="C1217" t="str">
        <f>IFERROR(__xludf.DUMMYFUNCTION("GOOGLETRANSLATE(B1217, ""fr"", ""en"")"),"Perfect Perfect for filtering the constant pounding noise. Small flats on the voices that pass still through the filter. The sound is still very low oriented (a priori a constant Bose)")</f>
        <v>Perfect Perfect for filtering the constant pounding noise. Small flats on the voices that pass still through the filter. The sound is still very low oriented (a priori a constant Bose)</v>
      </c>
    </row>
    <row r="1218">
      <c r="A1218" s="1">
        <v>5.0</v>
      </c>
      <c r="B1218" s="1" t="s">
        <v>1215</v>
      </c>
      <c r="C1218" t="str">
        <f>IFERROR(__xludf.DUMMYFUNCTION("GOOGLETRANSLATE(B1218, ""fr"", ""en"")"),"Slippers super hot slippers and pleasant, before buying I had watched commantaires and I did well, as they apparently carved small I took a size bigger, so it was parfais level size and smell nasty glue, I brought soaked overnight in the lesive then some "&amp;"adoussissant, drying outside, and smell. I recommend")</f>
        <v>Slippers super hot slippers and pleasant, before buying I had watched commantaires and I did well, as they apparently carved small I took a size bigger, so it was parfais level size and smell nasty glue, I brought soaked overnight in the lesive then some adoussissant, drying outside, and smell. I recommend</v>
      </c>
    </row>
    <row r="1219">
      <c r="A1219" s="1">
        <v>5.0</v>
      </c>
      <c r="B1219" s="1" t="s">
        <v>1216</v>
      </c>
      <c r="C1219" t="str">
        <f>IFERROR(__xludf.DUMMYFUNCTION("GOOGLETRANSLATE(B1219, ""fr"", ""en"")"),"Comfortable Headphones are efficient and comfortable, these are his two main positives. Also, the sound is clear and I also noticed that he walked a few meters away more than my old helmet (which cost the same price) so it allows me to walk with me in the"&amp;" house. After several hours of use I still have the battery. The buttons are intuitive and after testing, the sound is very content and very little audible to those who do not wear helmets. No risk of disturbing the shot. I recommend this purchase for lim"&amp;"ited budgets and for those looking for something light and efficient.")</f>
        <v>Comfortable Headphones are efficient and comfortable, these are his two main positives. Also, the sound is clear and I also noticed that he walked a few meters away more than my old helmet (which cost the same price) so it allows me to walk with me in the house. After several hours of use I still have the battery. The buttons are intuitive and after testing, the sound is very content and very little audible to those who do not wear helmets. No risk of disturbing the shot. I recommend this purchase for limited budgets and for those looking for something light and efficient.</v>
      </c>
    </row>
    <row r="1220">
      <c r="A1220" s="1">
        <v>5.0</v>
      </c>
      <c r="B1220" s="1" t="s">
        <v>1217</v>
      </c>
      <c r="C1220" t="str">
        <f>IFERROR(__xludf.DUMMYFUNCTION("GOOGLETRANSLATE(B1220, ""fr"", ""en"")"),"Excellent gift for my mother who had a sore neck, she loves, she does without really recommend it. I tested this and is comfortable when heated it is simply enjoyable.")</f>
        <v>Excellent gift for my mother who had a sore neck, she loves, she does without really recommend it. I tested this and is comfortable when heated it is simply enjoyable.</v>
      </c>
    </row>
    <row r="1221">
      <c r="A1221" s="1">
        <v>5.0</v>
      </c>
      <c r="B1221" s="1" t="s">
        <v>1218</v>
      </c>
      <c r="C1221" t="str">
        <f>IFERROR(__xludf.DUMMYFUNCTION("GOOGLETRANSLATE(B1221, ""fr"", ""en"")"),"Leather strap Hello received in due time, pleasantly surprised well packaged and easily mounted I advice!")</f>
        <v>Leather strap Hello received in due time, pleasantly surprised well packaged and easily mounted I advice!</v>
      </c>
    </row>
    <row r="1222">
      <c r="A1222" s="1">
        <v>5.0</v>
      </c>
      <c r="B1222" s="1" t="s">
        <v>1219</v>
      </c>
      <c r="C1222" t="str">
        <f>IFERROR(__xludf.DUMMYFUNCTION("GOOGLETRANSLATE(B1222, ""fr"", ""en"")"),"Security Slipper Conforms to the description on the site. The size is perfect (with 43 foot wide). Security slippers. Light and flexible use indoors and in a really Warning office made for projects")</f>
        <v>Security Slipper Conforms to the description on the site. The size is perfect (with 43 foot wide). Security slippers. Light and flexible use indoors and in a really Warning office made for projects</v>
      </c>
    </row>
    <row r="1223">
      <c r="A1223" s="1">
        <v>5.0</v>
      </c>
      <c r="B1223" s="1" t="s">
        <v>1220</v>
      </c>
      <c r="C1223" t="str">
        <f>IFERROR(__xludf.DUMMYFUNCTION("GOOGLETRANSLATE(B1223, ""fr"", ""en"")"),"This is THE CONQUERED support sports bra !! I do fitness, walking, running for more than 15 years and I've never worn such support throat! There is no reinforcement, maintaining impeccable. I jumped for 5 minutes like crazy so I did not believe. The more "&amp;"is the swimmer back. I do a good 90 D with a small back, size 38 and I am delighted. This bra widely beats other brands in which I've invested. And the price is unbeatable. I RECOMMEND, no regrets. Satisfied with the fast delivery: 2 days!")</f>
        <v>This is THE CONQUERED support sports bra !! I do fitness, walking, running for more than 15 years and I've never worn such support throat! There is no reinforcement, maintaining impeccable. I jumped for 5 minutes like crazy so I did not believe. The more is the swimmer back. I do a good 90 D with a small back, size 38 and I am delighted. This bra widely beats other brands in which I've invested. And the price is unbeatable. I RECOMMEND, no regrets. Satisfied with the fast delivery: 2 days!</v>
      </c>
    </row>
    <row r="1224">
      <c r="A1224" s="1">
        <v>5.0</v>
      </c>
      <c r="B1224" s="1" t="s">
        <v>1221</v>
      </c>
      <c r="C1224" t="str">
        <f>IFERROR(__xludf.DUMMYFUNCTION("GOOGLETRANSLATE(B1224, ""fr"", ""en"")"),"Size good and comfortable size and very comfortable")</f>
        <v>Size good and comfortable size and very comfortable</v>
      </c>
    </row>
    <row r="1225">
      <c r="A1225" s="1">
        <v>2.0</v>
      </c>
      <c r="B1225" s="1" t="s">
        <v>1222</v>
      </c>
      <c r="C1225" t="str">
        <f>IFERROR(__xludf.DUMMYFUNCTION("GOOGLETRANSLATE(B1225, ""fr"", ""en"")"),"Not really A4! Disappointed, I bought this bag thinking get a real A4 as specified in dimensions and patterns, but in reality the closed bag measures 28cm and 30cm non. If you want to put an A4 document in that bag, it will at least leave the zip top wide"&amp;" open, and stretch the flap up to the two Velcro are barely touching. See attached photos of 3 closed bag (with measures) with open A4 documents, and ""closed"" with the same documents A4 (flexible than ten pages, and folded at the bottom to be able to cl"&amp;"ose the Velcro) . The true dimensions should be presented, or at least indicate that the storage A4 is only possible with the open bag.")</f>
        <v>Not really A4! Disappointed, I bought this bag thinking get a real A4 as specified in dimensions and patterns, but in reality the closed bag measures 28cm and 30cm non. If you want to put an A4 document in that bag, it will at least leave the zip top wide open, and stretch the flap up to the two Velcro are barely touching. See attached photos of 3 closed bag (with measures) with open A4 documents, and "closed" with the same documents A4 (flexible than ten pages, and folded at the bottom to be able to close the Velcro) . The true dimensions should be presented, or at least indicate that the storage A4 is only possible with the open bag.</v>
      </c>
    </row>
    <row r="1226">
      <c r="A1226" s="1">
        <v>1.0</v>
      </c>
      <c r="B1226" s="1" t="s">
        <v>1223</v>
      </c>
      <c r="C1226" t="str">
        <f>IFERROR(__xludf.DUMMYFUNCTION("GOOGLETRANSLATE(B1226, ""fr"", ""en"")"),"Nothing to do with the photos Not satisfied at all I bought the black page to fill in a guestbook for my wedding the result is zero. The colors do not match the sales we see almost nothing even after complete drying of the felt. I am very disappointed.")</f>
        <v>Nothing to do with the photos Not satisfied at all I bought the black page to fill in a guestbook for my wedding the result is zero. The colors do not match the sales we see almost nothing even after complete drying of the felt. I am very disappointed.</v>
      </c>
    </row>
    <row r="1227">
      <c r="A1227" s="1">
        <v>3.0</v>
      </c>
      <c r="B1227" s="1" t="s">
        <v>1224</v>
      </c>
      <c r="C1227" t="str">
        <f>IFERROR(__xludf.DUMMYFUNCTION("GOOGLETRANSLATE(B1227, ""fr"", ""en"")"),"great as the pictures well epait")</f>
        <v>great as the pictures well epait</v>
      </c>
    </row>
    <row r="1228">
      <c r="A1228" s="1">
        <v>3.0</v>
      </c>
      <c r="B1228" s="1" t="s">
        <v>1225</v>
      </c>
      <c r="C1228" t="str">
        <f>IFERROR(__xludf.DUMMYFUNCTION("GOOGLETRANSLATE(B1228, ""fr"", ""en"")"),"Satisfied size level we are not happy. He put anywhere on the description of the item is a US size ... If we had known we have directly ordered the size bigger .... The size is controlled 45/46 a size 11. But we'll take this pair anyway.")</f>
        <v>Satisfied size level we are not happy. He put anywhere on the description of the item is a US size ... If we had known we have directly ordered the size bigger .... The size is controlled 45/46 a size 11. But we'll take this pair anyway.</v>
      </c>
    </row>
    <row r="1229">
      <c r="A1229" s="1">
        <v>4.0</v>
      </c>
      <c r="B1229" s="1" t="s">
        <v>1226</v>
      </c>
      <c r="C1229" t="str">
        <f>IFERROR(__xludf.DUMMYFUNCTION("GOOGLETRANSLATE(B1229, ""fr"", ""en"")"),"Good quality, aesthetic and trendy Very nice sweater beautiful quality, beautiful color! Purchased size S for a teenager almost 14 years measuring 1.62 meters. He loves ...")</f>
        <v>Good quality, aesthetic and trendy Very nice sweater beautiful quality, beautiful color! Purchased size S for a teenager almost 14 years measuring 1.62 meters. He loves ...</v>
      </c>
    </row>
    <row r="1230">
      <c r="A1230" s="1">
        <v>4.0</v>
      </c>
      <c r="B1230" s="1" t="s">
        <v>1227</v>
      </c>
      <c r="C1230" t="str">
        <f>IFERROR(__xludf.DUMMYFUNCTION("GOOGLETRANSLATE(B1230, ""fr"", ""en"")"),"Compatible with my Canon MG7750 I use these replacement cartridges original ones for my Canon MG7750 printer. For now, everything works perfectly. For the rest, the color rendering and printing B / are consistent with what you get with original ink cartri"&amp;"dges from Canon brand. To validate the length.")</f>
        <v>Compatible with my Canon MG7750 I use these replacement cartridges original ones for my Canon MG7750 printer. For now, everything works perfectly. For the rest, the color rendering and printing B / are consistent with what you get with original ink cartridges from Canon brand. To validate the length.</v>
      </c>
    </row>
    <row r="1231">
      <c r="A1231" s="1">
        <v>4.0</v>
      </c>
      <c r="B1231" s="1" t="s">
        <v>1228</v>
      </c>
      <c r="C1231" t="str">
        <f>IFERROR(__xludf.DUMMYFUNCTION("GOOGLETRANSLATE(B1231, ""fr"", ""en"")"),"very good pair of ballerina purchase black and white, the two pairs are of good quality; size big enough attention anyway. the sole insulates the foot")</f>
        <v>very good pair of ballerina purchase black and white, the two pairs are of good quality; size big enough attention anyway. the sole insulates the foot</v>
      </c>
    </row>
    <row r="1232">
      <c r="A1232" s="1">
        <v>4.0</v>
      </c>
      <c r="B1232" s="1" t="s">
        <v>1229</v>
      </c>
      <c r="C1232" t="str">
        <f>IFERROR(__xludf.DUMMYFUNCTION("GOOGLETRANSLATE(B1232, ""fr"", ""en"")"),"Feeling good in his shoes I have not used these boots but tried them, they Shoe to the exact size and are comfortable.")</f>
        <v>Feeling good in his shoes I have not used these boots but tried them, they Shoe to the exact size and are comfortable.</v>
      </c>
    </row>
    <row r="1233">
      <c r="A1233" s="1">
        <v>5.0</v>
      </c>
      <c r="B1233" s="1" t="s">
        <v>1230</v>
      </c>
      <c r="C1233" t="str">
        <f>IFERROR(__xludf.DUMMYFUNCTION("GOOGLETRANSLATE(B1233, ""fr"", ""en"")"),"Article beautiful full superb quality really happy place my purchase I recommend the superb quality full item nice place really happy with my purchase I definitely recommend more very same photo")</f>
        <v>Article beautiful full superb quality really happy place my purchase I recommend the superb quality full item nice place really happy with my purchase I definitely recommend more very same photo</v>
      </c>
    </row>
    <row r="1234">
      <c r="A1234" s="1">
        <v>5.0</v>
      </c>
      <c r="B1234" s="1" t="s">
        <v>1231</v>
      </c>
      <c r="C1234" t="str">
        <f>IFERROR(__xludf.DUMMYFUNCTION("GOOGLETRANSLATE(B1234, ""fr"", ""en"")"),"A wake gently Revivals are complicated? Well, thanks to this light alarm clock, your awakenings will be with more softness ... Light brightens gradually room 30 minutes before the time indicated on your alarm. And let you also wake up to the sounds of the"&amp;" sea, the birds singing, the violin to others (among 6 pre + radio). The different settings are fairly simple to make, the document is comprehensive: adjustments to the front of the device and also on top (photo 3). What I also appreciate is the product o"&amp;"f design: rounded curves, sleek and zen effect, a handle at the back (see photo 3). To connect: either sector but beware there is a USB cord without the cap sector, either by batteries. For my son, this alarm clock also functions as pilot, various colors "&amp;"(white light and colors), you can choose a color or scrolling. Object that will appeal to children and adults! Delighted with my purchase! I advise!! And good awakening to all!")</f>
        <v>A wake gently Revivals are complicated? Well, thanks to this light alarm clock, your awakenings will be with more softness ... Light brightens gradually room 30 minutes before the time indicated on your alarm. And let you also wake up to the sounds of the sea, the birds singing, the violin to others (among 6 pre + radio). The different settings are fairly simple to make, the document is comprehensive: adjustments to the front of the device and also on top (photo 3). What I also appreciate is the product of design: rounded curves, sleek and zen effect, a handle at the back (see photo 3). To connect: either sector but beware there is a USB cord without the cap sector, either by batteries. For my son, this alarm clock also functions as pilot, various colors (white light and colors), you can choose a color or scrolling. Object that will appeal to children and adults! Delighted with my purchase! I advise!! And good awakening to all!</v>
      </c>
    </row>
    <row r="1235">
      <c r="A1235" s="1">
        <v>5.0</v>
      </c>
      <c r="B1235" s="1" t="s">
        <v>1232</v>
      </c>
      <c r="C1235" t="str">
        <f>IFERROR(__xludf.DUMMYFUNCTION("GOOGLETRANSLATE(B1235, ""fr"", ""en"")"),"Top cartridges. XL cartridges, doing very well their names. It can be seen that the weight compared to the original brand is really different. The printer tells you that if you do not use the origins cartridges you will lose the guarantee at the cost of i"&amp;"nk, I believe that these cartridges are well worth the cause. The integrated chips indicate you level as the original. To see in time how reacted the printer as the master builders all data from it. I advise these cartridges.")</f>
        <v>Top cartridges. XL cartridges, doing very well their names. It can be seen that the weight compared to the original brand is really different. The printer tells you that if you do not use the origins cartridges you will lose the guarantee at the cost of ink, I believe that these cartridges are well worth the cause. The integrated chips indicate you level as the original. To see in time how reacted the printer as the master builders all data from it. I advise these cartridges.</v>
      </c>
    </row>
    <row r="1236">
      <c r="A1236" s="1">
        <v>5.0</v>
      </c>
      <c r="B1236" s="1" t="s">
        <v>1233</v>
      </c>
      <c r="C1236" t="str">
        <f>IFERROR(__xludf.DUMMYFUNCTION("GOOGLETRANSLATE(B1236, ""fr"", ""en"")"),"streamlined design Efficient to heat water. And its looks really sleek")</f>
        <v>streamlined design Efficient to heat water. And its looks really sleek</v>
      </c>
    </row>
    <row r="1237">
      <c r="A1237" s="1">
        <v>5.0</v>
      </c>
      <c r="B1237" s="1" t="s">
        <v>1234</v>
      </c>
      <c r="C1237" t="str">
        <f>IFERROR(__xludf.DUMMYFUNCTION("GOOGLETRANSLATE(B1237, ""fr"", ""en"")"),"Reveil smoothly Easy to use. Nice to extinguish complement brightness hour. Shame not to set different alarm times. Takes up little space allowing to win and not to clutter the nightstand. The gradual light intensity allows to wake up smoothly even before"&amp;" his chosen (Wave noise, bird, rain ..) sounds.")</f>
        <v>Reveil smoothly Easy to use. Nice to extinguish complement brightness hour. Shame not to set different alarm times. Takes up little space allowing to win and not to clutter the nightstand. The gradual light intensity allows to wake up smoothly even before his chosen (Wave noise, bird, rain ..) sounds.</v>
      </c>
    </row>
    <row r="1238">
      <c r="A1238" s="1">
        <v>5.0</v>
      </c>
      <c r="B1238" s="1" t="s">
        <v>1235</v>
      </c>
      <c r="C1238" t="str">
        <f>IFERROR(__xludf.DUMMYFUNCTION("GOOGLETRANSLATE(B1238, ""fr"", ""en"")"),". Perfect ! Absolutely nothing to say, perfect size, no default and very fast delivery!")</f>
        <v>. Perfect ! Absolutely nothing to say, perfect size, no default and very fast delivery!</v>
      </c>
    </row>
    <row r="1239">
      <c r="A1239" s="1">
        <v>5.0</v>
      </c>
      <c r="B1239" s="1" t="s">
        <v>1236</v>
      </c>
      <c r="C1239" t="str">
        <f>IFERROR(__xludf.DUMMYFUNCTION("GOOGLETRANSLATE(B1239, ""fr"", ""en"")"),"very well very well")</f>
        <v>very well very well</v>
      </c>
    </row>
    <row r="1240">
      <c r="A1240" s="1">
        <v>5.0</v>
      </c>
      <c r="B1240" s="1" t="s">
        <v>1237</v>
      </c>
      <c r="C1240" t="str">
        <f>IFERROR(__xludf.DUMMYFUNCTION("GOOGLETRANSLATE(B1240, ""fr"", ""en"")"),"A legging Hyperconfortable comfort in the original pattern. He cuts quite well, the tissue seems good quality and is very scalable. Adept leggings cheap (3/5 euro) does not regret my purchase.")</f>
        <v>A legging Hyperconfortable comfort in the original pattern. He cuts quite well, the tissue seems good quality and is very scalable. Adept leggings cheap (3/5 euro) does not regret my purchase.</v>
      </c>
    </row>
    <row r="1241">
      <c r="A1241" s="1">
        <v>5.0</v>
      </c>
      <c r="B1241" s="1" t="s">
        <v>1238</v>
      </c>
      <c r="C1241" t="str">
        <f>IFERROR(__xludf.DUMMYFUNCTION("GOOGLETRANSLATE(B1241, ""fr"", ""en"")"),"Very functional safety but had to add insoles inside as sole thick enough not below otherwise comfortable not feel like safety shoes on")</f>
        <v>Very functional safety but had to add insoles inside as sole thick enough not below otherwise comfortable not feel like safety shoes on</v>
      </c>
    </row>
    <row r="1242">
      <c r="A1242" s="1">
        <v>5.0</v>
      </c>
      <c r="B1242" s="1" t="s">
        <v>1239</v>
      </c>
      <c r="C1242" t="str">
        <f>IFERROR(__xludf.DUMMYFUNCTION("GOOGLETRANSLATE(B1242, ""fr"", ""en"")"),"This is a very good Kipling All is well: Kipling quality, the model exactly the right size and with lots of pockets, the capacity, the color (I ordered in beige), weight; I even used to take my laptop by plane ... Delivered on time ... Client satisfied!")</f>
        <v>This is a very good Kipling All is well: Kipling quality, the model exactly the right size and with lots of pockets, the capacity, the color (I ordered in beige), weight; I even used to take my laptop by plane ... Delivered on time ... Client satisfied!</v>
      </c>
    </row>
    <row r="1243">
      <c r="A1243" s="1">
        <v>5.0</v>
      </c>
      <c r="B1243" s="1" t="s">
        <v>1240</v>
      </c>
      <c r="C1243" t="str">
        <f>IFERROR(__xludf.DUMMYFUNCTION("GOOGLETRANSLATE(B1243, ""fr"", ""en"")"),"Perfect for HP Envy Photo 6232 I bought these cartridges for my printer HP Envy Photo 6232 and I had no worries. Cheaper than in stores so thrilled.")</f>
        <v>Perfect for HP Envy Photo 6232 I bought these cartridges for my printer HP Envy Photo 6232 and I had no worries. Cheaper than in stores so thrilled.</v>
      </c>
    </row>
    <row r="1244">
      <c r="A1244" s="1">
        <v>5.0</v>
      </c>
      <c r="B1244" s="1" t="s">
        <v>1241</v>
      </c>
      <c r="C1244" t="str">
        <f>IFERROR(__xludf.DUMMYFUNCTION("GOOGLETRANSLATE(B1244, ""fr"", ""en"")"),"What quality! the quality is top, even better than my AirPods apple. They also take much better ear. Autonomy is perfect. just out of the package, they log in to 5sec such .. not need to be handy or computer to run them. Watch the instructions well to the"&amp;" direction of ear update.")</f>
        <v>What quality! the quality is top, even better than my AirPods apple. They also take much better ear. Autonomy is perfect. just out of the package, they log in to 5sec such .. not need to be handy or computer to run them. Watch the instructions well to the direction of ear update.</v>
      </c>
    </row>
    <row r="1245">
      <c r="A1245" s="1">
        <v>5.0</v>
      </c>
      <c r="B1245" s="1" t="s">
        <v>1242</v>
      </c>
      <c r="C1245" t="str">
        <f>IFERROR(__xludf.DUMMYFUNCTION("GOOGLETRANSLATE(B1245, ""fr"", ""en"")"),"Top I love. Good performance and great good sense")</f>
        <v>Top I love. Good performance and great good sense</v>
      </c>
    </row>
    <row r="1246">
      <c r="A1246" s="1">
        <v>5.0</v>
      </c>
      <c r="B1246" s="1" t="s">
        <v>1243</v>
      </c>
      <c r="C1246" t="str">
        <f>IFERROR(__xludf.DUMMYFUNCTION("GOOGLETRANSLATE(B1246, ""fr"", ""en"")"),"They are parfaotes parfaotes")</f>
        <v>They are parfaotes parfaotes</v>
      </c>
    </row>
    <row r="1247">
      <c r="A1247" s="1">
        <v>5.0</v>
      </c>
      <c r="B1247" s="1" t="s">
        <v>1244</v>
      </c>
      <c r="C1247" t="str">
        <f>IFERROR(__xludf.DUMMYFUNCTION("GOOGLETRANSLATE(B1247, ""fr"", ""en"")"),"Perfect for the small price I just got it and use it to cut 20 pieces of cotton. It is top, it seems light but done perfectly the work.")</f>
        <v>Perfect for the small price I just got it and use it to cut 20 pieces of cotton. It is top, it seems light but done perfectly the work.</v>
      </c>
    </row>
    <row r="1248">
      <c r="A1248" s="1">
        <v>2.0</v>
      </c>
      <c r="B1248" s="1" t="s">
        <v>1245</v>
      </c>
      <c r="C1248" t="str">
        <f>IFERROR(__xludf.DUMMYFUNCTION("GOOGLETRANSLATE(B1248, ""fr"", ""en"")"),"not a fan :) It is a little forced to take these cartridges but the other day after printing, failing black cartridge, forced to change .... quick scam and you have to drink again if the filled not oneself (task which I brace myself).")</f>
        <v>not a fan :) It is a little forced to take these cartridges but the other day after printing, failing black cartridge, forced to change .... quick scam and you have to drink again if the filled not oneself (task which I brace myself).</v>
      </c>
    </row>
    <row r="1249">
      <c r="A1249" s="1">
        <v>1.0</v>
      </c>
      <c r="B1249" s="1" t="s">
        <v>1246</v>
      </c>
      <c r="C1249" t="str">
        <f>IFERROR(__xludf.DUMMYFUNCTION("GOOGLETRANSLATE(B1249, ""fr"", ""en"")"),"Bad experience I do not recommend at all this. A headset not only takes an hour when loaded. recurring micro cut problems. Flee poor fool.")</f>
        <v>Bad experience I do not recommend at all this. A headset not only takes an hour when loaded. recurring micro cut problems. Flee poor fool.</v>
      </c>
    </row>
    <row r="1250">
      <c r="A1250" s="1">
        <v>1.0</v>
      </c>
      <c r="B1250" s="1" t="s">
        <v>1247</v>
      </c>
      <c r="C1250" t="str">
        <f>IFERROR(__xludf.DUMMYFUNCTION("GOOGLETRANSLATE(B1250, ""fr"", ""en"")"),"Big regrets transforms the voice I bought this mic in order to make voice recordings. From a software (WavePad) on my computer, I experience ... when the microphone is not plugged in and the microphone of my computer supports recording, the tones of my vo"&amp;"ice are met (but the sound quality is not excellent); once the microphone plugged bird, the sound quality is much better, but the tone of my voice is totally changed !! After many tests, I see myself reduced to make my recording without a microphone, or s"&amp;"earch for another micro ..")</f>
        <v>Big regrets transforms the voice I bought this mic in order to make voice recordings. From a software (WavePad) on my computer, I experience ... when the microphone is not plugged in and the microphone of my computer supports recording, the tones of my voice are met (but the sound quality is not excellent); once the microphone plugged bird, the sound quality is much better, but the tone of my voice is totally changed !! After many tests, I see myself reduced to make my recording without a microphone, or search for another micro ..</v>
      </c>
    </row>
    <row r="1251">
      <c r="A1251" s="1">
        <v>3.0</v>
      </c>
      <c r="B1251" s="1" t="s">
        <v>1248</v>
      </c>
      <c r="C1251" t="str">
        <f>IFERROR(__xludf.DUMMYFUNCTION("GOOGLETRANSLATE(B1251, ""fr"", ""en"")"),"But comfortable grip on wet ground very bad comfortable, close to the ground and easy to put on. Size small: take 1/2 size larger. Big flaw that cost him a good score: very poor adhesion on wet ground! On the verge of dangerous. Too bad, because suddenly "&amp;"deep cleats that inspired confidence actually have little other purpose than to retain dirt ...")</f>
        <v>But comfortable grip on wet ground very bad comfortable, close to the ground and easy to put on. Size small: take 1/2 size larger. Big flaw that cost him a good score: very poor adhesion on wet ground! On the verge of dangerous. Too bad, because suddenly deep cleats that inspired confidence actually have little other purpose than to retain dirt ...</v>
      </c>
    </row>
    <row r="1252">
      <c r="A1252" s="1">
        <v>3.0</v>
      </c>
      <c r="B1252" s="1" t="s">
        <v>1249</v>
      </c>
      <c r="C1252" t="str">
        <f>IFERROR(__xludf.DUMMYFUNCTION("GOOGLETRANSLATE(B1252, ""fr"", ""en"")"),"Unfortunately it took the water so that it was sold for I have sealed the return. Nice watch.")</f>
        <v>Unfortunately it took the water so that it was sold for I have sealed the return. Nice watch.</v>
      </c>
    </row>
    <row r="1253">
      <c r="A1253" s="1">
        <v>4.0</v>
      </c>
      <c r="B1253" s="1" t="s">
        <v>1250</v>
      </c>
      <c r="C1253" t="str">
        <f>IFERROR(__xludf.DUMMYFUNCTION("GOOGLETRANSLATE(B1253, ""fr"", ""en"")"),"I just met the receiving For now just good light .. .. size holds up well to foot")</f>
        <v>I just met the receiving For now just good light .. .. size holds up well to foot</v>
      </c>
    </row>
    <row r="1254">
      <c r="A1254" s="1">
        <v>4.0</v>
      </c>
      <c r="B1254" s="1" t="s">
        <v>1251</v>
      </c>
      <c r="C1254" t="str">
        <f>IFERROR(__xludf.DUMMYFUNCTION("GOOGLETRANSLATE(B1254, ""fr"", ""en"")"),"Middle product well but the only negative point is Suils do not take well to be taken into the otherwise they fall")</f>
        <v>Middle product well but the only negative point is Suils do not take well to be taken into the otherwise they fall</v>
      </c>
    </row>
    <row r="1255">
      <c r="A1255" s="1">
        <v>4.0</v>
      </c>
      <c r="B1255" s="1" t="s">
        <v>1252</v>
      </c>
      <c r="C1255" t="str">
        <f>IFERROR(__xludf.DUMMYFUNCTION("GOOGLETRANSLATE(B1255, ""fr"", ""en"")"),"To practice a bargain, this massager helps to massage the neck and upper back (where I'm most needed, but it is also possible to massage the lower back or legs. The massage is really strong, but I appreciate.")</f>
        <v>To practice a bargain, this massager helps to massage the neck and upper back (where I'm most needed, but it is also possible to massage the lower back or legs. The massage is really strong, but I appreciate.</v>
      </c>
    </row>
    <row r="1256">
      <c r="A1256" s="1">
        <v>4.0</v>
      </c>
      <c r="B1256" s="1" t="s">
        <v>1253</v>
      </c>
      <c r="C1256" t="str">
        <f>IFERROR(__xludf.DUMMYFUNCTION("GOOGLETRANSLATE(B1256, ""fr"", ""en"")"),"all jewelry very pretty, very nice to wear. it makes its effect")</f>
        <v>all jewelry very pretty, very nice to wear. it makes its effect</v>
      </c>
    </row>
    <row r="1257">
      <c r="A1257" s="1">
        <v>5.0</v>
      </c>
      <c r="B1257" s="1" t="s">
        <v>1254</v>
      </c>
      <c r="C1257" t="str">
        <f>IFERROR(__xludf.DUMMYFUNCTION("GOOGLETRANSLATE(B1257, ""fr"", ""en"")"),"Size a bit small I walk all day for my work and I am in the dedant comfortable.")</f>
        <v>Size a bit small I walk all day for my work and I am in the dedant comfortable.</v>
      </c>
    </row>
    <row r="1258">
      <c r="A1258" s="1">
        <v>5.0</v>
      </c>
      <c r="B1258" s="1" t="s">
        <v>1255</v>
      </c>
      <c r="C1258" t="str">
        <f>IFERROR(__xludf.DUMMYFUNCTION("GOOGLETRANSLATE(B1258, ""fr"", ""en"")"),"Very good massage It is this massage because it is set 2 in 1, to a cushion and be a shoulder massage, easily useful, used by me for everything, explains: back message; arms ; legs; neck etc ..., it's really well used when we tired, but I bought to prepar"&amp;"e a Christmas gift is great for gift, I recommend.")</f>
        <v>Very good massage It is this massage because it is set 2 in 1, to a cushion and be a shoulder massage, easily useful, used by me for everything, explains: back message; arms ; legs; neck etc ..., it's really well used when we tired, but I bought to prepare a Christmas gift is great for gift, I recommend.</v>
      </c>
    </row>
    <row r="1259">
      <c r="A1259" s="1">
        <v>5.0</v>
      </c>
      <c r="B1259" s="1" t="s">
        <v>1256</v>
      </c>
      <c r="C1259" t="str">
        <f>IFERROR(__xludf.DUMMYFUNCTION("GOOGLETRANSLATE(B1259, ""fr"", ""en"")"),"Nothing to say Perfect")</f>
        <v>Nothing to say Perfect</v>
      </c>
    </row>
    <row r="1260">
      <c r="A1260" s="1">
        <v>5.0</v>
      </c>
      <c r="B1260" s="1" t="s">
        <v>1257</v>
      </c>
      <c r="C1260" t="str">
        <f>IFERROR(__xludf.DUMMYFUNCTION("GOOGLETRANSLATE(B1260, ""fr"", ""en"")"),"Fan A little noisy")</f>
        <v>Fan A little noisy</v>
      </c>
    </row>
    <row r="1261">
      <c r="A1261" s="1">
        <v>5.0</v>
      </c>
      <c r="B1261" s="1" t="s">
        <v>1258</v>
      </c>
      <c r="C1261" t="str">
        <f>IFERROR(__xludf.DUMMYFUNCTION("GOOGLETRANSLATE(B1261, ""fr"", ""en"")"),"Professional use Although recommended for home use, I bought it for professional use (labeling of electrical boards) given its small size and ease of use (I'm not an expert in technology and quickly lose patience). I am quite satisfied with the results ac"&amp;"hieved, works with 6 batteries or 9V adapter-18W, compact and attractive design, I highly recommend. quick and neat Shipment received well before the announced date, the product in its original sealed packaging, the price is low and the notorious professi"&amp;"onal seller to be commended.")</f>
        <v>Professional use Although recommended for home use, I bought it for professional use (labeling of electrical boards) given its small size and ease of use (I'm not an expert in technology and quickly lose patience). I am quite satisfied with the results achieved, works with 6 batteries or 9V adapter-18W, compact and attractive design, I highly recommend. quick and neat Shipment received well before the announced date, the product in its original sealed packaging, the price is low and the notorious professional seller to be commended.</v>
      </c>
    </row>
    <row r="1262">
      <c r="A1262" s="1">
        <v>5.0</v>
      </c>
      <c r="B1262" s="1" t="s">
        <v>1259</v>
      </c>
      <c r="C1262" t="str">
        <f>IFERROR(__xludf.DUMMYFUNCTION("GOOGLETRANSLATE(B1262, ""fr"", ""en"")"),"Consistent with the description My son loved this collection, books are a bit small but I knew before ordering the article.")</f>
        <v>Consistent with the description My son loved this collection, books are a bit small but I knew before ordering the article.</v>
      </c>
    </row>
    <row r="1263">
      <c r="A1263" s="1">
        <v>5.0</v>
      </c>
      <c r="B1263" s="1" t="s">
        <v>1260</v>
      </c>
      <c r="C1263" t="str">
        <f>IFERROR(__xludf.DUMMYFUNCTION("GOOGLETRANSLATE(B1263, ""fr"", ""en"")"),"I recommend Very good")</f>
        <v>I recommend Very good</v>
      </c>
    </row>
    <row r="1264">
      <c r="A1264" s="1">
        <v>5.0</v>
      </c>
      <c r="B1264" s="1" t="s">
        <v>1261</v>
      </c>
      <c r="C1264" t="str">
        <f>IFERROR(__xludf.DUMMYFUNCTION("GOOGLETRANSLATE(B1264, ""fr"", ""en"")"),"good good")</f>
        <v>good good</v>
      </c>
    </row>
    <row r="1265">
      <c r="A1265" s="1">
        <v>5.0</v>
      </c>
      <c r="B1265" s="1" t="s">
        <v>1262</v>
      </c>
      <c r="C1265" t="str">
        <f>IFERROR(__xludf.DUMMYFUNCTION("GOOGLETRANSLATE(B1265, ""fr"", ""en"")"),"Meets Delivery and Compliance ok product")</f>
        <v>Meets Delivery and Compliance ok product</v>
      </c>
    </row>
    <row r="1266">
      <c r="A1266" s="1">
        <v>5.0</v>
      </c>
      <c r="B1266" s="1" t="s">
        <v>1263</v>
      </c>
      <c r="C1266" t="str">
        <f>IFERROR(__xludf.DUMMYFUNCTION("GOOGLETRANSLATE(B1266, ""fr"", ""en"")"),"Very useful Very small and easy to carry, the sound is very clear and the charge is quick")</f>
        <v>Very useful Very small and easy to carry, the sound is very clear and the charge is quick</v>
      </c>
    </row>
    <row r="1267">
      <c r="A1267" s="1">
        <v>5.0</v>
      </c>
      <c r="B1267" s="1" t="s">
        <v>1264</v>
      </c>
      <c r="C1267" t="str">
        <f>IFERROR(__xludf.DUMMYFUNCTION("GOOGLETRANSLATE(B1267, ""fr"", ""en"")"),"practices Estetique")</f>
        <v>practices Estetique</v>
      </c>
    </row>
    <row r="1268">
      <c r="A1268" s="1">
        <v>5.0</v>
      </c>
      <c r="B1268" s="1" t="s">
        <v>1265</v>
      </c>
      <c r="C1268" t="str">
        <f>IFERROR(__xludf.DUMMYFUNCTION("GOOGLETRANSLATE(B1268, ""fr"", ""en"")"),"pleasantly surprised &lt;div id = ""video-block-R2FXO5T4RWX4T6"" class = ""a-section-spacing-small in-spacing-top mini video-block""&gt; &lt;div tabindex = ""0"" class = ""airy airy-svg vmin-supported airy-skin-beacon ""style ="" background-color: rgb (0, 0, 0); p"&amp;"osition: relative; width: 100%; height: 100%; font-size: 0px; overflow: hidden; outline : none; ""&gt; &lt;div class ="" airy-renderer-container ""style ="" position: relative; height: 100%; width: 100%; ""&gt; &lt;video id ="" 7 ""preload ="" auto ""src ="" https://"&amp;"images-eu.ssl-images-amazon.com/images/I/91ALpclgcOS.mp4 ""style ="" position: absolute; left: 0px; top: 0px; overflow: hidden; height: 1px; width: 1px ; ""&gt; &lt;/ video&gt; &lt;/ div&gt; &lt;div id ="" airy-slate-preload ""style ="" background-color: rgb (0, 0, 0); bac"&amp;"kground-image: url (&amp; quot; https: // images-eu.ssl-images-amazon.com/images/I/81Pb0-5HuxS.png&amp;quot;); background-size: contain; background-position: center center; background-repeat: no-repeat; position: absolute; top : 0px; left: 0px; visibility: visibl"&amp;"e; width: 100%; height: 100% ""&gt; &lt;/ div&gt; &lt;iframe scroll Eng = ""no"" frameborder = ""0"" src = ""about: blank"" style = ""display: none;""&gt; &lt;/ iframe&gt; &lt;div tabindex = ""- 1"" class = ""airy-controls-container"" style = "" opacity: 0; visibility: hidden; "&amp;"""&gt; &lt;div tabindex ="" - 1 ""class ="" airy-screen-size-toggle airy-fullscreen ""&gt; &lt;/ div&gt; &lt;div tabindex ="" - 1 ""class ="" airy-container-bottom "" &gt; &lt;div tabindex = ""- 1"" class = ""airy-track-bar spacer-left"" style = ""width: 11px;""&gt; &lt;/ div&gt; &lt;div ta"&amp;"bindex = ""- 1"" class = ""airy-play- toggle airy-play ""style ="" width: 12px; margin-right: 12px; ""&gt; &lt;/ div&gt; &lt;div tabindex ="" - 1 ""class ="" airy-audio-elements ""style ="" float: right; width: 34px; ""&gt; &lt;div tabindex ="" - 1 ""class ="" airy-audio-t"&amp;"oggle airy-on ""&gt; &lt;/ div&gt; &lt;div tabindex ="" - 1 ""class ="" airy-audio-container ""style = ""opacity: 0; visibility: hidden; ""&gt; &lt;div tabindex ="" - 1 ""class ="" airy-audio-track-bar ""style ="" height: 80%; ""&gt; &lt;div tabindex ="" - 1 ""class ="" airy-aud"&amp;"io- scrubber bar ""style ="" height: 85% ""&gt; &lt;/ div&gt; &lt;div tabindex ="" - 1 ""class ="" airy-audio-scrubber ""style ="" height: 12px; bottom: 85% ""&gt; &lt;/ div&gt; &lt;/ div&gt; &lt;/ div&gt; &lt;/ div&gt; &lt;div tabindex ="" - 1 ""class ="" airy-duration-label ""style ="" float: r"&amp;"ight; width: 26px; margin-right: 4px; text-align: center; ""&gt; 0:00 &lt;/ div&gt; &lt;div tabindex ="" - 1 ""class ="" airy-track-bar spacer-right ""style ="" float: right; width: 11px; ""&gt; &lt;/ div&gt; &lt;div tabindex ="" - 1 ""class ="" airy-track-bar-container ""style "&amp;"="" margin-left: 35px; margin-right: 75px; ""&gt; &lt;div tabindex ="" - 1 ""class ="" airy-airy-track-bar vertical-centering-table ""&gt; &lt;div tabindex ="" - 1 ""class ="" airy-vertical-centering- table-cell ""&gt; &lt;div tabindex ="" - 1 ""class ="" airy-track-bar el"&amp;"ements ""&gt; &lt;div tabindex ="" - 1 ""class ="" airy-progress bar ""&gt; &lt;/ div&gt; &lt;div tabindex = ""- 1"" class = ""airy-scrubber bar""&gt; &lt;/ div&gt; &lt;div tabindex = ""- 1"" class = ""airy-scrubber""&gt; &lt;div tabindex = ""- 1"" class = ""airy-scrubber- icon ""&gt; &lt;/ div&gt; "&amp;"&lt;div tabindex ="" - 1 ""class ="" airy-adjusted-aui-tooltip ""style ="" opacity: 0; visibility: hidden; ""&gt; &lt;div tabindex ="" - 1 ""class ="" airy-adjusted-aui-tooltip-inner ""&gt; &lt;div tabindex ="" - 1 ""class ="" airy-current-time-label ""&gt; 0 00 &lt;/ div&gt; &lt;/"&amp;" div&gt; &lt;div tabindex = ""- 1"" class = ""airy-adjusted-aui-arrow-border""&gt; &lt;div tabindex = ""- 1"" class = ""airy-adjusted-aui-arrow"" &gt; &lt;/ div&gt; &lt;/ div&gt; &lt;/ div&gt; &lt;/ div&gt; &lt;/ div&gt; &lt;/ div&gt; &lt;/ div&gt; &lt;/ div&gt; &lt;/ div&gt; &lt;/ div&gt; &lt;div tabindex = ""- 1"" class = ""airy-"&amp;"airy-age-gate course airy-vertical-centering table-airy-dialog"" style = ""opacity: 0; visibility: hidden; ""&gt; &lt;div tabindex ="" - 1 ""class ="" airy-age-gate-vertical-centering-table-cell airy-vertical-centering-table-cell ""&gt; &lt;div tabindex ="" - 1 ""cla"&amp;"ss = ""airy-vertical-centering-wrapper airy-age-gate-elements-wrapper""&gt; &lt;div tabindex = ""- 1"" class = ""airy-age-gate-elements airy-dialog-elements""&gt; &lt;div tabindex = "" -1 ""class ="" airy-age-gate-prompt ""&gt; This video is not Intended for all audienc"&amp;"es What time were you born &lt;/ div&gt; &lt;div tabindex =.?"" - 1 ""class ="" airy-age-gate -inputs airy-dialog-inner-elements ""&gt; &lt;select tabindex ="" - 1 ""class ="" airy-age-gate-month ""&gt; &lt;option value ="" 1 ""&gt; January &lt;/ option&gt; &lt;option value ="" 2 ""&gt; Feb"&amp;"ruary &lt;/ option&gt; &lt;option value ="" 3 ""&gt; March &lt;/ option&gt; &lt;option value ="" 4 ""&gt; April &lt;/ option&gt; &lt;option value ="" 5 ""&gt; May &lt;/ option&gt; &lt;option value = ""6""&gt; June &lt;/ option&gt; &lt;option value = ""7""&gt; July &lt;/ option&gt; &lt;option value = ""8""&gt; August &lt;/ option"&amp;"&gt; &lt;option value = ""9""&gt; September &lt;/ option&gt; &lt;option value = ""10""&gt; October &lt;/ option&gt; &lt;option value = ""11""&gt; November &lt;/ option&gt; &lt;option value = ""12""&gt; December &lt;/ option&gt; &lt;/ select&gt; &lt;select tabindex = ""- 1"" class = ""airy-age-gate-day""&gt; &lt;opti = O"&amp;"ne value ""1""&gt; 1 &lt;/ option&gt; &lt;option value = ""2""&gt; 2 &lt;/ option&gt; &lt;option value = ""3""&gt; 3 &lt;/ option&gt; &lt;option value = ""4""&gt; 4 &lt;/ option &gt; &lt;option value = ""5""&gt; 5 &lt;/ option&gt; &lt;option value = ""6""&gt; 6 &lt;/ option&gt; &lt;option value = ""7""&gt; 7 &lt;/ option&gt; &lt;option v"&amp;"alue = ""8""&gt; 8 &lt; / option&gt; &lt;option value = ""9""&gt; 9 &lt;/ option&gt; &lt;option value = ""10""&gt; 10 &lt;/ option&gt; &lt;option value = ""11""&gt; 11 &lt;/ option&gt; &lt;option value = ""12""&gt; 12 &lt;/ option&gt; &lt;option value = ""13""&gt; 13 &lt;/ option&gt; &lt;option value = ""14""&gt; 14 &lt;/ option&gt; &lt;"&amp;"option value = ""15""&gt; 15 &lt;/ option&gt; &lt;option value = ""16 ""&gt; 16 &lt;/ option&gt; &lt;option value ="" 17 ""&gt; 17 &lt;/ option&gt; &lt;option value ="" 18 ""&gt; 18 &lt;/ option&gt; &lt;option value ="" 19 ""&gt; 19 &lt;/ option&gt; &lt;option value = ""20""&gt; 20 &lt;/ option&gt; &lt;option value = ""21""&gt; "&amp;"21 &lt;/ option&gt; &lt;option value = ""22""&gt; 22 &lt;/ option&gt; &lt;option value = ""23""&gt; 23 &lt;/ option&gt; &lt;option value = ""24""&gt; 24 &lt;/ option&gt; &lt;option value = ""25""&gt; 25 &lt;/ option&gt; &lt;option value = ""26""&gt; 26 &lt;/ option&gt; &lt;option value = ""27""&gt; 27 &lt;/ option&gt; &lt;option value"&amp;" = ""28""&gt; 28 &lt;/ option&gt; &lt;option value = ""29""&gt; 29 &lt;/ option&gt; &lt;option value = ""30""&gt; 30 &lt;/ option&gt; &lt;option value = ""31""&gt; 31 &lt;/ option&gt; &lt;/ select&gt; &lt;select tabindex = ""- 1"" class = ""airy-age-gate-year""&gt; &lt;option value = ""2019""&gt; 2019 &lt;/ option&gt; &lt; op"&amp;"tion value = ""2018""&gt; 2018 &lt;/ option&gt; &lt;option value = ""2017""&gt; 2017 &lt;/ option&gt; &lt;option value = ""2016""&gt; ​​2016 &lt;/ option&gt; &lt;option value = ""2015""&gt; 2015 &lt;/ option &gt; &lt;option value = ""2014""&gt; 2014 &lt;/ option&gt; &lt;option value = ""2013""&gt; 2013 &lt;/ option&gt; &lt;op"&amp;"tion value = ""2012""&gt; 2012 &lt;/ option&gt; &lt;option value = ""2011""&gt; 2011 &lt; / option&gt; &lt;option value = ""2010""&gt; 2010 &lt;/ option&gt; &lt;option value = ""2009""&gt; 2009 &lt;/ option&gt; &lt;option value = ""2008""&gt; 2008 &lt;/ option&gt; &lt;option value = ""2007""&gt; 2007 &lt;/ option&gt; &lt;opti"&amp;"on value = ""2006""&gt; 2006 &lt;/ option&gt; &lt;option value = ""2005""&gt; 2005 &lt;/ option&gt; &lt;option value = ""2004""&gt; 2004 &lt;/ option&gt; &lt;option value = ""2003 ""&gt; 2003 &lt;/ option&gt; &lt;option value ="" 2002 ""&gt; 2002 &lt;/ option&gt; &lt;option value ="" 2001 ""&gt; 2001 &lt;/ option&gt; &lt;opti"&amp;"on value ="" 2000 ""&gt; 2000 &lt;/ option&gt; &lt;option value = ""1999""&gt; 1999 &lt;/ option&gt; &lt;option value = ""1998""&gt; 1998 &lt;/ option&gt; &lt;option value = ""1997""&gt; 1997 &lt;/ option&gt; &lt;option value = ""1996""&gt; 1996 &lt;/ option&gt; &lt;option value = ""1995""&gt; 1995 &lt;/ option&gt; &lt;option"&amp;" value = ""1994""&gt; 1994 &lt;/ option&gt; &lt;option value = ""1993""&gt; 1993 &lt;/ option&gt; &lt;option value = ""1992""&gt; 1992 &lt;/ option&gt; &lt;option value = ""1991""&gt; 1991 &lt;/ option&gt; &lt;option value = ""1990""&gt; 1990 &lt;/ option&gt; &lt;option value = "" 1989 ""&gt; 1989 &lt;/ option&gt; &lt;option "&amp;"value ="" 1988 ""&gt; 1988 &lt;/ option&gt; &lt;option value ="" 1987 ""&gt; 1987 &lt;/ option&gt; &lt;option value ="" 1986 ""&gt; 1986 &lt;/ option&gt; &lt;option value = ""1985""&gt; 1985 &lt;/ option&gt; &lt;option value = ""1984""&gt; 1984 &lt;/ option&gt; &lt;option value = ""1983""&gt; 1983 &lt;/ option&gt; &lt;option "&amp;"value = ""1982""&gt; 1982 &lt;/ option&gt; &lt; option value = ""1981""&gt; 1981 &lt;/ option&gt; &lt;option value = ""1980""&gt; 1980 &lt;/ option&gt; &lt;option value = ""1979""&gt; 1979 &lt;/ option&gt; &lt;option value = ""1978""&gt; 1978 &lt;/ option &gt; &lt;option value = ""1977""&gt; 1977 &lt;/ option&gt; &lt;option v"&amp;"alue = ""1976""&gt; 1976 &lt;/ option&gt; &lt;option value = ""1975""&gt; 1975 &lt;/ option&gt; &lt;option value = ""1974""&gt; 1974 &lt; / option&gt; &lt;option value = ""1973""&gt; 1973 &lt;/ option&gt; &lt;option value = ""1972""&gt; 1972 &lt;/ option&gt; &lt;option value = ""1971""&gt; 1971 &lt;/ option&gt; &lt;option val"&amp;"ue = ""1970""&gt; 1970 &lt;/ option&gt; &lt;option value = ""1969""&gt; 1969 &lt;/ option&gt; &lt;option value = ""1968""&gt; 1968 &lt;/ option&gt; &lt;option value = ""1967""&gt; 1967 &lt;/ option&gt; &lt;option value = ""1966 ""&gt; 1966 &lt;/ option&gt; &lt;option value ="" 1965 ""&gt; 1965 &lt;/ option&gt; &lt;option valu"&amp;"e ="" 1964 ""&gt; 1964 &lt;/ option&gt; &lt;option value ="" 1963 ""&gt; 1963 &lt;/ option&gt; &lt;option value = ""1962""&gt; 1962 &lt;/ option&gt; &lt;option value = ""1961""&gt; 1961 &lt;/ option&gt; &lt;option value = ""1960""&gt; 1960 &lt;/ op tion&gt; &lt;option value = ""1959""&gt; 1959 &lt;/ option&gt; &lt;option valu"&amp;"e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&lt;option value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&lt;option value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airy-course airy -Vertical-centering-table dialog airy-airy-denied ""style ="" opacity: 0"&amp;"; visibility: hidden; ""&gt; &lt;div tabindex ="" - 1 ""class ="" airy-install-flash-vertical-centering-table-cell airy-vertical-centering-table-cell ""&gt; &lt;div tabindex ="" - 1 ""class = ""airy-vertical-centering-wrapper airy-install-flash-elements-wrapper""&gt; &lt;d"&amp;"iv tabindex = ""- 1"" class = ""airy-install-flash-elements airy-dialog-elements""&gt; &lt;div tabindex = "" -1 ""class ="" airy-install-flash-prompt ""&gt; Adobe Flash Player is required to watch this video &lt;/ div&gt; &lt;div = tabindex."" - 1 ""class ="" airy-install-"&amp;"flash-button-wrapper airy -dialog-inner-elements ""&gt; &lt;div tabindex ="" - 1 ""class ="" airy-install-flash-button airy-button ""&gt; install Flash Player &lt;/ div&gt; &lt;/ div&gt; &lt;/ div&gt; &lt;/ div&gt; &lt;/ div&gt; &lt;/ div&gt; &lt;div tabindex = ""- 1"" class = ""airy-video-unsupported-"&amp;"dialog airy-course airy-vertical-centering table-airy-dialog airy-denied"" style = ""opacity: 0; visibility: hidden; ""&gt; &lt;div tabindex ="" - 1 ""class ="" airy-video-unsupported-vertical-centering-table-cell airy-vertical-centering-table-cell ""&gt; &lt;div tab"&amp;"index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tabin"&amp;"dex ="" - 1 ""class ="" airy-loading-spinner container airy-scalable-hint-container ""&gt; &lt;div tabindex ="" - 1 ""class ="" airy-loading-spinner-dummy airy-scalable-dummy ""&gt; &lt;/ div&gt; &lt; div tabindex = ""- 1"" class = ""airy-loading-spinner airy-hint"" style "&amp;"= ""visibility: hidden;""&gt; &lt;/ div&gt; &lt;/ div&gt; &lt;/ div&gt; &lt;/ div&gt; &lt;div tabindex = ""- 1 ""class ="" airy-ads-screen-size-toggle airy-screen-size-toggle airy-fullscreen ""style ="" visibility: hidden; ""&gt; &lt;/ div&gt; &lt;div tabindex = ""-1"" class = ""airy-ad-prompt-co"&amp;"ntainer"" style = ""visibility: hidden;""&gt; &lt;div tabindex = ""- 1"" class = ""airy-ad-prompt-vertical-centering table-airy-vertical- centering-table ""&gt; &lt;div tabindex ="" - 1 ""class ="" airy-ad-prompt-vertical-centering-table-cell airy-vertical-centering-"&amp;"table-cell ""&gt; &lt;div tabindex ="" - 1 ""class = ""airy-ad-prompt-label""&gt; &lt;/ div&gt; &lt;/ div&gt; &lt;/ div&gt; &lt;/ div&gt; &lt;div tabindex = ""- 1"" class = ""airy-ads-controls-container"" style = ""visibility: hidden; ""&gt; &lt;div tabindex ="" - 1 ""class ="" airy-ads-audio-tog"&amp;"gle airy-audio-toggle airy-on ""style ="" visibility: hidden; ""&gt; &lt;/ div&gt; &lt;div tabindex ="" - 1 ""class ="" airy-time-remaining-label-container ""&gt; &lt;div tabindex ="" - 1 ""class ="" airy-time-remaining-vertical-centering table-airy-vertical-centering-tabl"&amp;"e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"&amp;"&lt;/ div&gt; &lt;/ div&gt; &lt;/ div&gt; &lt;/ div&gt; &lt;/ div&gt; &lt;div tabindex ="" - 1 ""class ="" airy-learn-more ""style ="" visibility: hidden; ""&gt; &lt;/ div&gt; &lt;/ div&gt; &lt;div tabindex = ""- 1"" class = ""airy-play-toggle-hint-stage airy-course airy-cursor""&gt; &lt;div tabindex = ""- 1"" "&amp;"class = ""airy-play -toggle-hint-vertical-centering-table-cell airy-vertical-centering-table-cell airy-cursor ""&gt; &lt;div tabindex ="" - 1 ""class ="" airy-play-toggle-hint-container airy-scalable- hint-container ""&gt; &lt;div tabindex ="" - 1 ""class ="" airy-pl"&amp;"ay-toggle-hint-dummy airy-scalable-dummy ""&gt; &lt;/ div&gt; &lt;div tabindex ="" - 1 ""class ="" airy-play -toggle airy-hint-hint-hint airy-play ""style ="" opacity: 1; visibility: visible; ""&gt; &lt;/ div&gt; &lt;/ div&gt; &lt;/ div&gt; &lt;/ div&gt; &lt;div tabindex ="" - 1 ""class ="" airy-"&amp;"replay-hint-stage airy-stage ""style ="" visibility: hidden ; ""&gt; &lt;div tabindex ="" - 1 ""class ="" airy-replay-hint-vertical-centering-table-cell airy-vertical-centering-table-cell airy-cursor ""&gt; &lt;div tabindex ="" - 1 ""class = ""airy-replay-hint-contai"&amp;"ner airy-scalable-hint-container""&gt; &lt;div tabindex = ""- 1"" class = ""airy-replay-hint-dummy airy-scalable-dummy""&gt; &lt;/ div&gt; &lt;div tabindex = ""- 1"" class = ""airy-replay-hint airy-hint""&gt; &lt;/ div&gt; &lt;/ div&gt; &lt;/ div&gt; &lt;/ div&gt; &lt;div tabindex = ""- 1"" class = ""a"&amp;"iry-autoplay-hint -stage airy-stage ""style ="" visibility: hidden; ""&gt; &lt;div tabindex ="" - 1 ""class ="" airy-autoplay-hint-vertical-centering-table-cell airy-vertical-centering-table-cell airy- cursor ""&gt; &lt;div tabindex ="" - 1 ""class ="" autoplay airy-"&amp;"airy-hint-container-scalable-hint-container ""&gt; &lt;div tabindex ="" - 1 ""class ="" airy-autoplay-hint-dummy airy- scalable-dummy ""&gt; &lt;/ div&gt; &lt;/ div&gt; &lt;/ div&gt; &lt;/ div&gt; &lt;/ div&gt; &lt;/ div&gt; &lt;input type ="" hidden ""name ="" ""value ="" https: // pictures-eu .ssl-im"&amp;"age amazon.com / images / I / 91ALpclgcOS.mp4 ""Class ="" video-url ""&gt; &lt;input type ="" hidden ""name ="" ""value ="" https://images-eu.ssl-images-amazon.com/images/I/81Pb0-5HuxS.png ""class = ""video-slate-img-url""&gt; &amp; nbsp; product meets the description"&amp;", I am impress for the price, tun great gift to offer !!!! a embalage worthy of a gem, very well packaged. the Motre and be pretty, pretty big but easy to use. she stopwatch, date time and alarm, retroeclerage is sharp. the buttons are easy to use, the br"&amp;"acelet is abs rather comfortable there is a small object of apret this glue derierre the Sony Vaio, to provide support to see video on such c is provided in, but I m not to serve. when the strap provided in addition to the watch c is very nice and pretty,"&amp;" it's been much better than offering the watch! asse record is clear but it is in English")</f>
        <v>pleasantly surprised &lt;div id = "video-block-R2FXO5T4RWX4T6" class = "a-section-spacing-small in-spacing-top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7 "preload =" auto "src =" https://images-eu.ssl-images-amazon.com/images/I/91ALpclgcOS.mp4 "style =" position: absolute; left: 0px; top: 0px; overflow: hidden; height: 1px; width: 1px ; "&gt; &lt;/ video&gt; &lt;/ div&gt; &lt;div id =" airy-slate-preload "style =" background-color: rgb (0, 0, 0); background-image: url (&amp; quot; https: // images-eu.ssl-images-amazon.com/images/I/81Pb0-5HuxS.png&amp;quot;); background-size: contain; background-position: center center; background-repeat: no-repeat; position: absolute; top : 0px; left: 0px; visibility: visible; width: 100%; height: 100% "&gt; &lt;/ div&gt; &lt;iframe scroll Eng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91ALpclgcOS.mp4 "Class =" video-url "&gt; &lt;input type =" hidden "name =" "value =" https://images-eu.ssl-images-amazon.com/images/I/81Pb0-5HuxS.png "class = "video-slate-img-url"&gt; &amp; nbsp; product meets the description, I am impress for the price, tun great gift to offer !!!! a embalage worthy of a gem, very well packaged. the Motre and be pretty, pretty big but easy to use. she stopwatch, date time and alarm, retroeclerage is sharp. the buttons are easy to use, the bracelet is abs rather comfortable there is a small object of apret this glue derierre the Sony Vaio, to provide support to see video on such c is provided in, but I m not to serve. when the strap provided in addition to the watch c is very nice and pretty, it's been much better than offering the watch! asse record is clear but it is in English</v>
      </c>
    </row>
    <row r="1269">
      <c r="A1269" s="1">
        <v>5.0</v>
      </c>
      <c r="B1269" s="1" t="s">
        <v>1266</v>
      </c>
      <c r="C1269" t="str">
        <f>IFERROR(__xludf.DUMMYFUNCTION("GOOGLETRANSLATE(B1269, ""fr"", ""en"")"),"great product great product both on mud than snow. use for a heavy weight 95 kg for 1m93 and RAS")</f>
        <v>great product great product both on mud than snow. use for a heavy weight 95 kg for 1m93 and RAS</v>
      </c>
    </row>
    <row r="1270">
      <c r="A1270" s="1">
        <v>5.0</v>
      </c>
      <c r="B1270" s="1" t="s">
        <v>1267</v>
      </c>
      <c r="C1270" t="str">
        <f>IFERROR(__xludf.DUMMYFUNCTION("GOOGLETRANSLATE(B1270, ""fr"", ""en"")"),"In accordance with the description marcher..très pleasant and comfortable ..")</f>
        <v>In accordance with the description marcher..très pleasant and comfortable ..</v>
      </c>
    </row>
    <row r="1271">
      <c r="A1271" s="1">
        <v>5.0</v>
      </c>
      <c r="B1271" s="1" t="s">
        <v>1268</v>
      </c>
      <c r="C1271" t="str">
        <f>IFERROR(__xludf.DUMMYFUNCTION("GOOGLETRANSLATE(B1271, ""fr"", ""en"")"),"Jolie shows man fulfilled its function Good product filled its top lighting function")</f>
        <v>Jolie shows man fulfilled its function Good product filled its top lighting function</v>
      </c>
    </row>
    <row r="1272">
      <c r="A1272" s="1">
        <v>5.0</v>
      </c>
      <c r="B1272" s="1" t="s">
        <v>1269</v>
      </c>
      <c r="C1272" t="str">
        <f>IFERROR(__xludf.DUMMYFUNCTION("GOOGLETRANSLATE(B1272, ""fr"", ""en"")"),"super great gift too well they are beings super happy good certainly not their parents' great sound not too heavy now see at night for lights")</f>
        <v>super great gift too well they are beings super happy good certainly not their parents' great sound not too heavy now see at night for lights</v>
      </c>
    </row>
    <row r="1273">
      <c r="A1273" s="1">
        <v>2.0</v>
      </c>
      <c r="B1273" s="1" t="s">
        <v>1270</v>
      </c>
      <c r="C1273" t="str">
        <f>IFERROR(__xludf.DUMMYFUNCTION("GOOGLETRANSLATE(B1273, ""fr"", ""en"")"),"Do not take in time and the flow is too fast. Difficult to use in a small. Debit too fast for the Milk + cereals. This is suitable for soups or when my daughter is very préssée to finish his bottle, but this is not the best. There is a big difference ente"&amp;" the rapid flow teats with a single hole and the flow rate may vary cross. Also over time, the nipple is torn, enlarging the opening cross. So to change very regularly. I will continue to order as there is no intermediary but this is a shame.")</f>
        <v>Do not take in time and the flow is too fast. Difficult to use in a small. Debit too fast for the Milk + cereals. This is suitable for soups or when my daughter is very préssée to finish his bottle, but this is not the best. There is a big difference ente the rapid flow teats with a single hole and the flow rate may vary cross. Also over time, the nipple is torn, enlarging the opening cross. So to change very regularly. I will continue to order as there is no intermediary but this is a shame.</v>
      </c>
    </row>
    <row r="1274">
      <c r="A1274" s="1">
        <v>1.0</v>
      </c>
      <c r="B1274" s="1" t="s">
        <v>1271</v>
      </c>
      <c r="C1274" t="str">
        <f>IFERROR(__xludf.DUMMYFUNCTION("GOOGLETRANSLATE(B1274, ""fr"", ""en"")"),"No product in the box! Congratulations I get the package for Valentine's Day and I discovered the empty box! Pay me if I had been able to -10 star I would do")</f>
        <v>No product in the box! Congratulations I get the package for Valentine's Day and I discovered the empty box! Pay me if I had been able to -10 star I would do</v>
      </c>
    </row>
    <row r="1275">
      <c r="A1275" s="1">
        <v>1.0</v>
      </c>
      <c r="B1275" s="1" t="s">
        <v>1272</v>
      </c>
      <c r="C1275" t="str">
        <f>IFERROR(__xludf.DUMMYFUNCTION("GOOGLETRANSLATE(B1275, ""fr"", ""en"")"),"Sandals sandals sea, swimming pool: The soles were loosened in a few days, I had to pick, sandals poor quality.")</f>
        <v>Sandals sandals sea, swimming pool: The soles were loosened in a few days, I had to pick, sandals poor quality.</v>
      </c>
    </row>
    <row r="1276">
      <c r="A1276" s="1">
        <v>3.0</v>
      </c>
      <c r="B1276" s="1" t="s">
        <v>1273</v>
      </c>
      <c r="C1276" t="str">
        <f>IFERROR(__xludf.DUMMYFUNCTION("GOOGLETRANSLATE(B1276, ""fr"", ""en"")"),"Anti-colic bottles not top price for the few problems with these bottles: Gates on large bottles do not work so that the nipple sinks Then the amounts of entries (may be because we use thick milk?) on the bottles begin to fade after a week of use. The sha"&amp;"pe of the bottles that it remains in the milk at the end of the feeding. The only positive point for me, nipples that have a good shape for the baby by mouth in gear.")</f>
        <v>Anti-colic bottles not top price for the few problems with these bottles: Gates on large bottles do not work so that the nipple sinks Then the amounts of entries (may be because we use thick milk?) on the bottles begin to fade after a week of use. The shape of the bottles that it remains in the milk at the end of the feeding. The only positive point for me, nipples that have a good shape for the baby by mouth in gear.</v>
      </c>
    </row>
    <row r="1277">
      <c r="A1277" s="1">
        <v>3.0</v>
      </c>
      <c r="B1277" s="1" t="s">
        <v>1274</v>
      </c>
      <c r="C1277" t="str">
        <f>IFERROR(__xludf.DUMMYFUNCTION("GOOGLETRANSLATE(B1277, ""fr"", ""en"")"),"Good value small Shoe laces are hard to build on top of the sole is very comfortable Maintaining Perfect")</f>
        <v>Good value small Shoe laces are hard to build on top of the sole is very comfortable Maintaining Perfect</v>
      </c>
    </row>
    <row r="1278">
      <c r="A1278" s="1">
        <v>4.0</v>
      </c>
      <c r="B1278" s="1" t="s">
        <v>1275</v>
      </c>
      <c r="C1278" t="str">
        <f>IFERROR(__xludf.DUMMYFUNCTION("GOOGLETRANSLATE(B1278, ""fr"", ""en"")"),"stickers right products")</f>
        <v>stickers right products</v>
      </c>
    </row>
    <row r="1279">
      <c r="A1279" s="1">
        <v>4.0</v>
      </c>
      <c r="B1279" s="1" t="s">
        <v>1276</v>
      </c>
      <c r="C1279" t="str">
        <f>IFERROR(__xludf.DUMMYFUNCTION("GOOGLETRANSLATE(B1279, ""fr"", ""en"")"),"A watch that is the solid matter and functional for a reasonable price. I recommend this product for use in a sporting context where professional (military, security ...)")</f>
        <v>A watch that is the solid matter and functional for a reasonable price. I recommend this product for use in a sporting context where professional (military, security ...)</v>
      </c>
    </row>
    <row r="1280">
      <c r="A1280" s="1">
        <v>4.0</v>
      </c>
      <c r="B1280" s="1" t="s">
        <v>1277</v>
      </c>
      <c r="C1280" t="str">
        <f>IFERROR(__xludf.DUMMYFUNCTION("GOOGLETRANSLATE(B1280, ""fr"", ""en"")"),"Quality at the top, too plastic The kettle works very well, the temperature selection is very easy. This is a detail but it could have been simplified: temperature selection and on / off button, could be simplified by relying only on the temperature knob."&amp;" practice keeping warm function (not automatic, you have to press a third button). It is claimed that the most disturbing for my taste: the presence of plastic at the inside of the lid (not in contact with water but with the vapors), limestone filter carr"&amp;"ier (may be in contact with the water if too full or when pouring hot water) and the indicator of the level of the water.")</f>
        <v>Quality at the top, too plastic The kettle works very well, the temperature selection is very easy. This is a detail but it could have been simplified: temperature selection and on / off button, could be simplified by relying only on the temperature knob. practice keeping warm function (not automatic, you have to press a third button). It is claimed that the most disturbing for my taste: the presence of plastic at the inside of the lid (not in contact with water but with the vapors), limestone filter carrier (may be in contact with the water if too full or when pouring hot water) and the indicator of the level of the water.</v>
      </c>
    </row>
    <row r="1281">
      <c r="A1281" s="1">
        <v>4.0</v>
      </c>
      <c r="B1281" s="1" t="s">
        <v>1278</v>
      </c>
      <c r="C1281" t="str">
        <f>IFERROR(__xludf.DUMMYFUNCTION("GOOGLETRANSLATE(B1281, ""fr"", ""en"")"),"Watch Watch Benyar quite simple. Comfortable enough but that does its little weight. read dial. significant reduction (37 € instead of 114 € during the writing of this review) that comes to doubt the quality. I do not know much about the area as I call mi"&amp;"strust. At first nothing to say but I'm off base on a watch at 37 €. If it was more expensive I would ask more questions. Good product.")</f>
        <v>Watch Watch Benyar quite simple. Comfortable enough but that does its little weight. read dial. significant reduction (37 € instead of 114 € during the writing of this review) that comes to doubt the quality. I do not know much about the area as I call mistrust. At first nothing to say but I'm off base on a watch at 37 €. If it was more expensive I would ask more questions. Good product.</v>
      </c>
    </row>
    <row r="1282">
      <c r="A1282" s="1">
        <v>5.0</v>
      </c>
      <c r="B1282" s="1" t="s">
        <v>1279</v>
      </c>
      <c r="C1282" t="str">
        <f>IFERROR(__xludf.DUMMYFUNCTION("GOOGLETRANSLATE(B1282, ""fr"", ""en"")"),"Very good gift for my mother-she is delighted and is used very often")</f>
        <v>Very good gift for my mother-she is delighted and is used very often</v>
      </c>
    </row>
    <row r="1283">
      <c r="A1283" s="1">
        <v>5.0</v>
      </c>
      <c r="B1283" s="1" t="s">
        <v>1280</v>
      </c>
      <c r="C1283" t="str">
        <f>IFERROR(__xludf.DUMMYFUNCTION("GOOGLETRANSLATE(B1283, ""fr"", ""en"")"),"Child's play to mount the new bracelet I liked the screwdriver comes with the bracelet")</f>
        <v>Child's play to mount the new bracelet I liked the screwdriver comes with the bracelet</v>
      </c>
    </row>
    <row r="1284">
      <c r="A1284" s="1">
        <v>5.0</v>
      </c>
      <c r="B1284" s="1" t="s">
        <v>1281</v>
      </c>
      <c r="C1284" t="str">
        <f>IFERROR(__xludf.DUMMYFUNCTION("GOOGLETRANSLATE(B1284, ""fr"", ""en"")"),"The book we use long offered a boy of 3 years, it will bring him the answers he will include more details in a few years.")</f>
        <v>The book we use long offered a boy of 3 years, it will bring him the answers he will include more details in a few years.</v>
      </c>
    </row>
    <row r="1285">
      <c r="A1285" s="1">
        <v>5.0</v>
      </c>
      <c r="B1285" s="1" t="s">
        <v>1282</v>
      </c>
      <c r="C1285" t="str">
        <f>IFERROR(__xludf.DUMMYFUNCTION("GOOGLETRANSLATE(B1285, ""fr"", ""en"")"),"Like a glove I do my jogging pants and with this yoga. We do not feel at all well stick to the skin without the feeling of being compressed. I recommend this product.")</f>
        <v>Like a glove I do my jogging pants and with this yoga. We do not feel at all well stick to the skin without the feeling of being compressed. I recommend this product.</v>
      </c>
    </row>
    <row r="1286">
      <c r="A1286" s="1">
        <v>5.0</v>
      </c>
      <c r="B1286" s="1" t="s">
        <v>1283</v>
      </c>
      <c r="C1286" t="str">
        <f>IFERROR(__xludf.DUMMYFUNCTION("GOOGLETRANSLATE(B1286, ""fr"", ""en"")"),"Although well done")</f>
        <v>Although well done</v>
      </c>
    </row>
    <row r="1287">
      <c r="A1287" s="1">
        <v>5.0</v>
      </c>
      <c r="B1287" s="1" t="s">
        <v>1284</v>
      </c>
      <c r="C1287" t="str">
        <f>IFERROR(__xludf.DUMMYFUNCTION("GOOGLETRANSLATE(B1287, ""fr"", ""en"")"),"Received quickly satisfied in pretty bag. Size it right, of good quality cotton. Good support to the elastic.")</f>
        <v>Received quickly satisfied in pretty bag. Size it right, of good quality cotton. Good support to the elastic.</v>
      </c>
    </row>
    <row r="1288">
      <c r="A1288" s="1">
        <v>5.0</v>
      </c>
      <c r="B1288" s="1" t="s">
        <v>1285</v>
      </c>
      <c r="C1288" t="str">
        <f>IFERROR(__xludf.DUMMYFUNCTION("GOOGLETRANSLATE(B1288, ""fr"", ""en"")"),"Surprisingly surprise! Having been a bit skeptical at time of order I must confess myself completely convinced. First point the parcel was to be delivered on December 14 off I received November 27 (first positive point!). Then I received the bracelets on "&amp;"a very pretty box (pictured) and this one was packed in bubble wrap. The bracelets were both packed in a plastic bag that I already removed and they were still individually packaged in small airtight pouch. Very very happy with my purchase, we can also se"&amp;"e that the bracelets are quality even if the thread seems a little fragile ..")</f>
        <v>Surprisingly surprise! Having been a bit skeptical at time of order I must confess myself completely convinced. First point the parcel was to be delivered on December 14 off I received November 27 (first positive point!). Then I received the bracelets on a very pretty box (pictured) and this one was packed in bubble wrap. The bracelets were both packed in a plastic bag that I already removed and they were still individually packaged in small airtight pouch. Very very happy with my purchase, we can also see that the bracelets are quality even if the thread seems a little fragile ..</v>
      </c>
    </row>
    <row r="1289">
      <c r="A1289" s="1">
        <v>5.0</v>
      </c>
      <c r="B1289" s="1" t="s">
        <v>1286</v>
      </c>
      <c r="C1289" t="str">
        <f>IFERROR(__xludf.DUMMYFUNCTION("GOOGLETRANSLATE(B1289, ""fr"", ""en"")"),"Excellent value Excellent value, beautiful bracelet faithful description. There are tools provided to adjust the sizes of the bracelet, and it is well thought out. The bracelet is dressed and gives a very aesthetic appearance. For durability I do not even"&amp;" spoken to me it's only been 2 days I wear. The only comment I can do is to provide another silicone bracelet for sports because it does not clamp quite a handful for reliable readings")</f>
        <v>Excellent value Excellent value, beautiful bracelet faithful description. There are tools provided to adjust the sizes of the bracelet, and it is well thought out. The bracelet is dressed and gives a very aesthetic appearance. For durability I do not even spoken to me it's only been 2 days I wear. The only comment I can do is to provide another silicone bracelet for sports because it does not clamp quite a handful for reliable readings</v>
      </c>
    </row>
    <row r="1290">
      <c r="A1290" s="1">
        <v>5.0</v>
      </c>
      <c r="B1290" s="1" t="s">
        <v>1287</v>
      </c>
      <c r="C1290" t="str">
        <f>IFERROR(__xludf.DUMMYFUNCTION("GOOGLETRANSLATE(B1290, ""fr"", ""en"")"),"Top Top just no zip but his suits me")</f>
        <v>Top Top just no zip but his suits me</v>
      </c>
    </row>
    <row r="1291">
      <c r="A1291" s="1">
        <v>5.0</v>
      </c>
      <c r="B1291" s="1" t="s">
        <v>1288</v>
      </c>
      <c r="C1291" t="str">
        <f>IFERROR(__xludf.DUMMYFUNCTION("GOOGLETRANSLATE(B1291, ""fr"", ""en"")"),"perfect perfect")</f>
        <v>perfect perfect</v>
      </c>
    </row>
    <row r="1292">
      <c r="A1292" s="1">
        <v>5.0</v>
      </c>
      <c r="B1292" s="1" t="s">
        <v>1289</v>
      </c>
      <c r="C1292" t="str">
        <f>IFERROR(__xludf.DUMMYFUNCTION("GOOGLETRANSLATE(B1292, ""fr"", ""en"")"),"I love Super bottle drainer whether aesthetic or practical level. I arranged behind my sink and it fits perfectly. The bottles are well maintained and teats. The green part can stand up very easily in order to clean and empty the drip tray. Cleaning is ve"&amp;"ry simple. The ""peaks"" are not flexible as I thought but rigid enough which ensures optimum support. I installed 5 bottles carefree and without any accessories and more; I am really happy with my purchase and I highly, highly recommend this product")</f>
        <v>I love Super bottle drainer whether aesthetic or practical level. I arranged behind my sink and it fits perfectly. The bottles are well maintained and teats. The green part can stand up very easily in order to clean and empty the drip tray. Cleaning is very simple. The "peaks" are not flexible as I thought but rigid enough which ensures optimum support. I installed 5 bottles carefree and without any accessories and more; I am really happy with my purchase and I highly, highly recommend this product</v>
      </c>
    </row>
    <row r="1293">
      <c r="A1293" s="1">
        <v>5.0</v>
      </c>
      <c r="B1293" s="1" t="s">
        <v>1290</v>
      </c>
      <c r="C1293" t="str">
        <f>IFERROR(__xludf.DUMMYFUNCTION("GOOGLETRANSLATE(B1293, ""fr"", ""en"")"),"Perfect I have a hp 3050 desket dating a little. I did not even have to reconfigure. Labels are perfectly adapted to the printing of stamps and no worries in the passage of the printer. I highly recommend this product. impeccable glue. reasonable price")</f>
        <v>Perfect I have a hp 3050 desket dating a little. I did not even have to reconfigure. Labels are perfectly adapted to the printing of stamps and no worries in the passage of the printer. I highly recommend this product. impeccable glue. reasonable price</v>
      </c>
    </row>
    <row r="1294">
      <c r="A1294" s="1">
        <v>5.0</v>
      </c>
      <c r="B1294" s="1" t="s">
        <v>1291</v>
      </c>
      <c r="C1294" t="str">
        <f>IFERROR(__xludf.DUMMYFUNCTION("GOOGLETRANSLATE(B1294, ""fr"", ""en"")"),"Hyper comfortable Yesterday I tested my new safety shoes for one day from 10 am all the time to walk up and really not bad night at the feet they are light and comfortable and you advice small flat on wet they slip")</f>
        <v>Hyper comfortable Yesterday I tested my new safety shoes for one day from 10 am all the time to walk up and really not bad night at the feet they are light and comfortable and you advice small flat on wet they slip</v>
      </c>
    </row>
    <row r="1295">
      <c r="A1295" s="1">
        <v>5.0</v>
      </c>
      <c r="B1295" s="1" t="s">
        <v>1292</v>
      </c>
      <c r="C1295" t="str">
        <f>IFERROR(__xludf.DUMMYFUNCTION("GOOGLETRANSLATE(B1295, ""fr"", ""en"")"),"I love very fresh Very good laundry")</f>
        <v>I love very fresh Very good laundry</v>
      </c>
    </row>
    <row r="1296">
      <c r="A1296" s="1">
        <v>5.0</v>
      </c>
      <c r="B1296" s="1" t="s">
        <v>1293</v>
      </c>
      <c r="C1296" t="str">
        <f>IFERROR(__xludf.DUMMYFUNCTION("GOOGLETRANSLATE(B1296, ""fr"", ""en"")"),"Comfortable, Sock quality suitable as planned I put on the 42, it was convenient for this follow with my pentacourt, very good quality and comfortable.")</f>
        <v>Comfortable, Sock quality suitable as planned I put on the 42, it was convenient for this follow with my pentacourt, very good quality and comfortable.</v>
      </c>
    </row>
    <row r="1297">
      <c r="A1297" s="1">
        <v>2.0</v>
      </c>
      <c r="B1297" s="1" t="s">
        <v>1294</v>
      </c>
      <c r="C1297" t="str">
        <f>IFERROR(__xludf.DUMMYFUNCTION("GOOGLETRANSLATE(B1297, ""fr"", ""en"")"),"Disappointed by this means. It works fine but the size is too small.")</f>
        <v>Disappointed by this means. It works fine but the size is too small.</v>
      </c>
    </row>
    <row r="1298">
      <c r="A1298" s="1">
        <v>1.0</v>
      </c>
      <c r="B1298" s="1" t="s">
        <v>1295</v>
      </c>
      <c r="C1298" t="str">
        <f>IFERROR(__xludf.DUMMYFUNCTION("GOOGLETRANSLATE(B1298, ""fr"", ""en"")"),"Manue a pearl PRETTY BUT MISSING A PEARL AND DOES NOT IN PLACE")</f>
        <v>Manue a pearl PRETTY BUT MISSING A PEARL AND DOES NOT IN PLACE</v>
      </c>
    </row>
    <row r="1299">
      <c r="A1299" s="1">
        <v>1.0</v>
      </c>
      <c r="B1299" s="1" t="s">
        <v>1296</v>
      </c>
      <c r="C1299" t="str">
        <f>IFERROR(__xludf.DUMMYFUNCTION("GOOGLETRANSLATE(B1299, ""fr"", ""en"")"),"Counterfeiting? Quality very poor I was assured that this was true vans, but after 2.5 months of average use (1-2 times per week) canvas amid the inside of the foot is slightly torn and quality remains unproven. Amazon has disappointed that I trusted, do "&amp;"not buy here!")</f>
        <v>Counterfeiting? Quality very poor I was assured that this was true vans, but after 2.5 months of average use (1-2 times per week) canvas amid the inside of the foot is slightly torn and quality remains unproven. Amazon has disappointed that I trusted, do not buy here!</v>
      </c>
    </row>
    <row r="1300">
      <c r="A1300" s="1">
        <v>3.0</v>
      </c>
      <c r="B1300" s="1" t="s">
        <v>1297</v>
      </c>
      <c r="C1300" t="str">
        <f>IFERROR(__xludf.DUMMYFUNCTION("GOOGLETRANSLATE(B1300, ""fr"", ""en"")"),"Iron Jewelry thick enough to adapt my locks are received 120 item in pocheton Very nice jewelery 3 stars because its fine jewelry so its is quickly abyss")</f>
        <v>Iron Jewelry thick enough to adapt my locks are received 120 item in pocheton Very nice jewelery 3 stars because its fine jewelry so its is quickly abyss</v>
      </c>
    </row>
    <row r="1301">
      <c r="A1301" s="1">
        <v>4.0</v>
      </c>
      <c r="B1301" s="1" t="s">
        <v>1298</v>
      </c>
      <c r="C1301" t="str">
        <f>IFERROR(__xludf.DUMMYFUNCTION("GOOGLETRANSLATE(B1301, ""fr"", ""en"")"),"perfect for taking medications that tiny Dodie-Microbiberon 50ml narrow neck nipple 3 speed speed 1 - Random model is actually not a bottle to toddler premature babies or for Lilliputians, but calibrated to administer medications to infants . it is not de"&amp;"signed to be shaken to mix powdered milk and water, but just to get the drugs to be administered.")</f>
        <v>perfect for taking medications that tiny Dodie-Microbiberon 50ml narrow neck nipple 3 speed speed 1 - Random model is actually not a bottle to toddler premature babies or for Lilliputians, but calibrated to administer medications to infants . it is not designed to be shaken to mix powdered milk and water, but just to get the drugs to be administered.</v>
      </c>
    </row>
    <row r="1302">
      <c r="A1302" s="1">
        <v>4.0</v>
      </c>
      <c r="B1302" s="1" t="s">
        <v>1299</v>
      </c>
      <c r="C1302" t="str">
        <f>IFERROR(__xludf.DUMMYFUNCTION("GOOGLETRANSLATE(B1302, ""fr"", ""en"")"),"satisfied with this purchase slightly larger but no more, off the calf is fine, perfect for the garden")</f>
        <v>satisfied with this purchase slightly larger but no more, off the calf is fine, perfect for the garden</v>
      </c>
    </row>
    <row r="1303">
      <c r="A1303" s="1">
        <v>4.0</v>
      </c>
      <c r="B1303" s="1" t="s">
        <v>1300</v>
      </c>
      <c r="C1303" t="str">
        <f>IFERROR(__xludf.DUMMYFUNCTION("GOOGLETRANSLATE(B1303, ""fr"", ""en"")"),"More efficient at heating! After ordering the first model ""chosen by Amazon,"" I got to deliver this model seems more efficient at heating! Unfortunately the liner is less bound feet and has a little tendency to collapse! My wife seems happy, this is the"&amp;" main!")</f>
        <v>More efficient at heating! After ordering the first model "chosen by Amazon," I got to deliver this model seems more efficient at heating! Unfortunately the liner is less bound feet and has a little tendency to collapse! My wife seems happy, this is the main!</v>
      </c>
    </row>
    <row r="1304">
      <c r="A1304" s="1">
        <v>4.0</v>
      </c>
      <c r="B1304" s="1" t="s">
        <v>1301</v>
      </c>
      <c r="C1304" t="str">
        <f>IFERROR(__xludf.DUMMYFUNCTION("GOOGLETRANSLATE(B1304, ""fr"", ""en"")"),"Good micro Ordered with some so-called aesthetic flaws, I realize they really are minor and do not interfere at all broadcast quality. Used with Xenyx 302USB, adjustments are easy, wide capsule provides very good voice pickup and retransmission is fairly "&amp;"accurate. However, I put a 4 stars because the thread for pop filter is not well machined, I can remove and replace without unscrewing anything.")</f>
        <v>Good micro Ordered with some so-called aesthetic flaws, I realize they really are minor and do not interfere at all broadcast quality. Used with Xenyx 302USB, adjustments are easy, wide capsule provides very good voice pickup and retransmission is fairly accurate. However, I put a 4 stars because the thread for pop filter is not well machined, I can remove and replace without unscrewing anything.</v>
      </c>
    </row>
    <row r="1305">
      <c r="A1305" s="1">
        <v>5.0</v>
      </c>
      <c r="B1305" s="1" t="s">
        <v>1302</v>
      </c>
      <c r="C1305" t="str">
        <f>IFERROR(__xludf.DUMMYFUNCTION("GOOGLETRANSLATE(B1305, ""fr"", ""en"")"),"Very good product. Very good for mountain biking ...")</f>
        <v>Very good product. Very good for mountain biking ...</v>
      </c>
    </row>
    <row r="1306">
      <c r="A1306" s="1">
        <v>5.0</v>
      </c>
      <c r="B1306" s="1" t="s">
        <v>1303</v>
      </c>
      <c r="C1306" t="str">
        <f>IFERROR(__xludf.DUMMYFUNCTION("GOOGLETRANSLATE(B1306, ""fr"", ""en"")"),"pretty Ras")</f>
        <v>pretty Ras</v>
      </c>
    </row>
    <row r="1307">
      <c r="A1307" s="1">
        <v>5.0</v>
      </c>
      <c r="B1307" s="1" t="s">
        <v>1304</v>
      </c>
      <c r="C1307" t="str">
        <f>IFERROR(__xludf.DUMMYFUNCTION("GOOGLETRANSLATE(B1307, ""fr"", ""en"")"),"I will pass over me great product for sneakers, duvets and towels among other course; So sometimes in addition to laundry ARIEL Simply")</f>
        <v>I will pass over me great product for sneakers, duvets and towels among other course; So sometimes in addition to laundry ARIEL Simply</v>
      </c>
    </row>
    <row r="1308">
      <c r="A1308" s="1">
        <v>5.0</v>
      </c>
      <c r="B1308" s="1" t="s">
        <v>1305</v>
      </c>
      <c r="C1308" t="str">
        <f>IFERROR(__xludf.DUMMYFUNCTION("GOOGLETRANSLATE(B1308, ""fr"", ""en"")"),"Super top quality product Good product consistent with the description. The product mass very well and makes very little noise. Several positions for massage and full record. For several weeks I use and my back pain has gone. Great product I recommend")</f>
        <v>Super top quality product Good product consistent with the description. The product mass very well and makes very little noise. Several positions for massage and full record. For several weeks I use and my back pain has gone. Great product I recommend</v>
      </c>
    </row>
    <row r="1309">
      <c r="A1309" s="1">
        <v>5.0</v>
      </c>
      <c r="B1309" s="1" t="s">
        <v>1306</v>
      </c>
      <c r="C1309" t="str">
        <f>IFERROR(__xludf.DUMMYFUNCTION("GOOGLETRANSLATE(B1309, ""fr"", ""en"")"),"I recommend Nothing to say, the product is fine")</f>
        <v>I recommend Nothing to say, the product is fine</v>
      </c>
    </row>
    <row r="1310">
      <c r="A1310" s="1">
        <v>5.0</v>
      </c>
      <c r="B1310" s="1" t="s">
        <v>1307</v>
      </c>
      <c r="C1310" t="str">
        <f>IFERROR(__xludf.DUMMYFUNCTION("GOOGLETRANSLATE(B1310, ""fr"", ""en"")"),"Basketball Basketball perfect fast delivery")</f>
        <v>Basketball Basketball perfect fast delivery</v>
      </c>
    </row>
    <row r="1311">
      <c r="A1311" s="1">
        <v>5.0</v>
      </c>
      <c r="B1311" s="1" t="s">
        <v>1308</v>
      </c>
      <c r="C1311" t="str">
        <f>IFERROR(__xludf.DUMMYFUNCTION("GOOGLETRANSLATE(B1311, ""fr"", ""en"")"),"Convenient for sport I bought these socks lot of different colors for my sport sessions. I find them very good, good quality and very soft. suited to my size.")</f>
        <v>Convenient for sport I bought these socks lot of different colors for my sport sessions. I find them very good, good quality and very soft. suited to my size.</v>
      </c>
    </row>
    <row r="1312">
      <c r="A1312" s="1">
        <v>5.0</v>
      </c>
      <c r="B1312" s="1" t="s">
        <v>1309</v>
      </c>
      <c r="C1312" t="str">
        <f>IFERROR(__xludf.DUMMYFUNCTION("GOOGLETRANSLATE(B1312, ""fr"", ""en"")"),"Beware sizes Take three sizes bigger, I play 38 and I gave it to my niece 12 years Otherwise super nice")</f>
        <v>Beware sizes Take three sizes bigger, I play 38 and I gave it to my niece 12 years Otherwise super nice</v>
      </c>
    </row>
    <row r="1313">
      <c r="A1313" s="1">
        <v>5.0</v>
      </c>
      <c r="B1313" s="1" t="s">
        <v>1310</v>
      </c>
      <c r="C1313" t="str">
        <f>IFERROR(__xludf.DUMMYFUNCTION("GOOGLETRANSLATE(B1313, ""fr"", ""en"")"),"Triple 👍 Command carried out with ease, nickel product. Fast delivery and monitoring of effective control.")</f>
        <v>Triple 👍 Command carried out with ease, nickel product. Fast delivery and monitoring of effective control.</v>
      </c>
    </row>
    <row r="1314">
      <c r="A1314" s="1">
        <v>5.0</v>
      </c>
      <c r="B1314" s="1" t="s">
        <v>1311</v>
      </c>
      <c r="C1314" t="str">
        <f>IFERROR(__xludf.DUMMYFUNCTION("GOOGLETRANSLATE(B1314, ""fr"", ""en"")"),"Perfect Aesthetics, tight, I bought it to please my partner. And we love")</f>
        <v>Perfect Aesthetics, tight, I bought it to please my partner. And we love</v>
      </c>
    </row>
    <row r="1315">
      <c r="A1315" s="1">
        <v>5.0</v>
      </c>
      <c r="B1315" s="1" t="s">
        <v>1312</v>
      </c>
      <c r="C1315" t="str">
        <f>IFERROR(__xludf.DUMMYFUNCTION("GOOGLETRANSLATE(B1315, ""fr"", ""en"")"),"Pretty and very correct quality Beautiful jewelry, rather larger than the photo might suggest and quality quite acceptable for a jewel that price realized in non-precious metals. This is not the course platinum but it is a beautiful jewel. Only the packag"&amp;"ing is a little cheap.")</f>
        <v>Pretty and very correct quality Beautiful jewelry, rather larger than the photo might suggest and quality quite acceptable for a jewel that price realized in non-precious metals. This is not the course platinum but it is a beautiful jewel. Only the packaging is a little cheap.</v>
      </c>
    </row>
    <row r="1316">
      <c r="A1316" s="1">
        <v>5.0</v>
      </c>
      <c r="B1316" s="1" t="s">
        <v>1313</v>
      </c>
      <c r="C1316" t="str">
        <f>IFERROR(__xludf.DUMMYFUNCTION("GOOGLETRANSLATE(B1316, ""fr"", ""en"")"),"Headphones on top Headphones are perfect: autonomy of several hours, do not fall from the ears and the sound quality is excellent. Plus they are cheap.")</f>
        <v>Headphones on top Headphones are perfect: autonomy of several hours, do not fall from the ears and the sound quality is excellent. Plus they are cheap.</v>
      </c>
    </row>
    <row r="1317">
      <c r="A1317" s="1">
        <v>5.0</v>
      </c>
      <c r="B1317" s="1" t="s">
        <v>1314</v>
      </c>
      <c r="C1317" t="str">
        <f>IFERROR(__xludf.DUMMYFUNCTION("GOOGLETRANSLATE(B1317, ""fr"", ""en"")"),"Excellent value for money I bought these bottles in promo (18 € 6 !!) and I am very satisfied. They are really beautiful and my little boy of 3 ½ months really appreciate teats Tommee Tippee.")</f>
        <v>Excellent value for money I bought these bottles in promo (18 € 6 !!) and I am very satisfied. They are really beautiful and my little boy of 3 ½ months really appreciate teats Tommee Tippee.</v>
      </c>
    </row>
    <row r="1318">
      <c r="A1318" s="1">
        <v>5.0</v>
      </c>
      <c r="B1318" s="1" t="s">
        <v>1315</v>
      </c>
      <c r="C1318" t="str">
        <f>IFERROR(__xludf.DUMMYFUNCTION("GOOGLETRANSLATE(B1318, ""fr"", ""en"")"),"top ! good product, very complete, easy to use kit, works perfect, very good :) rendering provided with full of leaves therefore directly ready to use I find for the price it is a very good value, I met no problem with this purchase so I am satisfied")</f>
        <v>top ! good product, very complete, easy to use kit, works perfect, very good :) rendering provided with full of leaves therefore directly ready to use I find for the price it is a very good value, I met no problem with this purchase so I am satisfied</v>
      </c>
    </row>
    <row r="1319">
      <c r="A1319" s="1">
        <v>5.0</v>
      </c>
      <c r="B1319" s="1" t="s">
        <v>1316</v>
      </c>
      <c r="C1319" t="str">
        <f>IFERROR(__xludf.DUMMYFUNCTION("GOOGLETRANSLATE(B1319, ""fr"", ""en"")"),"Nickel Super socks, well cut and well made")</f>
        <v>Nickel Super socks, well cut and well made</v>
      </c>
    </row>
    <row r="1320">
      <c r="A1320" s="1">
        <v>2.0</v>
      </c>
      <c r="B1320" s="1" t="s">
        <v>1317</v>
      </c>
      <c r="C1320" t="str">
        <f>IFERROR(__xludf.DUMMYFUNCTION("GOOGLETRANSLATE(B1320, ""fr"", ""en"")"),"medium medium")</f>
        <v>medium medium</v>
      </c>
    </row>
    <row r="1321">
      <c r="A1321" s="1">
        <v>1.0</v>
      </c>
      <c r="B1321" s="1" t="s">
        <v>1318</v>
      </c>
      <c r="C1321" t="str">
        <f>IFERROR(__xludf.DUMMYFUNCTION("GOOGLETRANSLATE(B1321, ""fr"", ""en"")"),"Very poor Large problem of false contact with the power cable, no longer walking in a few months, to avoid")</f>
        <v>Very poor Large problem of false contact with the power cable, no longer walking in a few months, to avoid</v>
      </c>
    </row>
    <row r="1322">
      <c r="A1322" s="1">
        <v>3.0</v>
      </c>
      <c r="B1322" s="1" t="s">
        <v>1319</v>
      </c>
      <c r="C1322" t="str">
        <f>IFERROR(__xludf.DUMMYFUNCTION("GOOGLETRANSLATE(B1322, ""fr"", ""en"")"),"Needles too thin needles are too thin which makes it difficult to read time because there the operation of the background process.")</f>
        <v>Needles too thin needles are too thin which makes it difficult to read time because there the operation of the background process.</v>
      </c>
    </row>
    <row r="1323">
      <c r="A1323" s="1">
        <v>3.0</v>
      </c>
      <c r="B1323" s="1" t="s">
        <v>1320</v>
      </c>
      <c r="C1323" t="str">
        <f>IFERROR(__xludf.DUMMYFUNCTION("GOOGLETRANSLATE(B1323, ""fr"", ""en"")"),"BELLE CASIO, Belle shows good quality, arrived in a case in velue with manual and warranty. delivered before the date the recommended prévue.je")</f>
        <v>BELLE CASIO, Belle shows good quality, arrived in a case in velue with manual and warranty. delivered before the date the recommended prévue.je</v>
      </c>
    </row>
    <row r="1324">
      <c r="A1324" s="1">
        <v>4.0</v>
      </c>
      <c r="B1324" s="1" t="s">
        <v>1321</v>
      </c>
      <c r="C1324" t="str">
        <f>IFERROR(__xludf.DUMMYFUNCTION("GOOGLETRANSLATE(B1324, ""fr"", ""en"")"),"Good value Good value for money for it's light and elegant Timberland Boots both buy used they are new just the box was damaged")</f>
        <v>Good value Good value for money for it's light and elegant Timberland Boots both buy used they are new just the box was damaged</v>
      </c>
    </row>
    <row r="1325">
      <c r="A1325" s="1">
        <v>4.0</v>
      </c>
      <c r="B1325" s="1" t="s">
        <v>1322</v>
      </c>
      <c r="C1325" t="str">
        <f>IFERROR(__xludf.DUMMYFUNCTION("GOOGLETRANSLATE(B1325, ""fr"", ""en"")"),"Perfect ! Pretty, well built, easy to use. VERY fast heating times. I recommend.")</f>
        <v>Perfect ! Pretty, well built, easy to use. VERY fast heating times. I recommend.</v>
      </c>
    </row>
    <row r="1326">
      <c r="A1326" s="1">
        <v>4.0</v>
      </c>
      <c r="B1326" s="1" t="s">
        <v>1323</v>
      </c>
      <c r="C1326" t="str">
        <f>IFERROR(__xludf.DUMMYFUNCTION("GOOGLETRANSLATE(B1326, ""fr"", ""en"")"),"Quality / correct price Works well, considering its price not disappointed with my purchase")</f>
        <v>Quality / correct price Works well, considering its price not disappointed with my purchase</v>
      </c>
    </row>
    <row r="1327">
      <c r="A1327" s="1">
        <v>4.0</v>
      </c>
      <c r="B1327" s="1" t="s">
        <v>1324</v>
      </c>
      <c r="C1327" t="str">
        <f>IFERROR(__xludf.DUMMYFUNCTION("GOOGLETRANSLATE(B1327, ""fr"", ""en"")"),"sock in his foot socks nice and pleasant. A good look. we will see for the holding time after several washing ... treat yourself at this price")</f>
        <v>sock in his foot socks nice and pleasant. A good look. we will see for the holding time after several washing ... treat yourself at this price</v>
      </c>
    </row>
    <row r="1328">
      <c r="A1328" s="1">
        <v>5.0</v>
      </c>
      <c r="B1328" s="1" t="s">
        <v>1325</v>
      </c>
      <c r="C1328" t="str">
        <f>IFERROR(__xludf.DUMMYFUNCTION("GOOGLETRANSLATE(B1328, ""fr"", ""en"")"),"Child Microphone works very well and the quality is top bluetooth there is no gap between the phone and the microphone.")</f>
        <v>Child Microphone works very well and the quality is top bluetooth there is no gap between the phone and the microphone.</v>
      </c>
    </row>
    <row r="1329">
      <c r="A1329" s="1">
        <v>5.0</v>
      </c>
      <c r="B1329" s="1" t="s">
        <v>1326</v>
      </c>
      <c r="C1329" t="str">
        <f>IFERROR(__xludf.DUMMYFUNCTION("GOOGLETRANSLATE(B1329, ""fr"", ""en"")"),"Good size and complies and sends rapid ..Au top .Merci Great product")</f>
        <v>Good size and complies and sends rapid ..Au top .Merci Great product</v>
      </c>
    </row>
    <row r="1330">
      <c r="A1330" s="1">
        <v>5.0</v>
      </c>
      <c r="B1330" s="1" t="s">
        <v>1327</v>
      </c>
      <c r="C1330" t="str">
        <f>IFERROR(__xludf.DUMMYFUNCTION("GOOGLETRANSLATE(B1330, ""fr"", ""en"")"),"After six months full-time use nothing to report Complies description fast delivery good product Solid shoe A little heavy for my taste Not very tight in rain")</f>
        <v>After six months full-time use nothing to report Complies description fast delivery good product Solid shoe A little heavy for my taste Not very tight in rain</v>
      </c>
    </row>
    <row r="1331">
      <c r="A1331" s="1">
        <v>5.0</v>
      </c>
      <c r="B1331" s="1" t="s">
        <v>1328</v>
      </c>
      <c r="C1331" t="str">
        <f>IFERROR(__xludf.DUMMYFUNCTION("GOOGLETRANSLATE(B1331, ""fr"", ""en"")"),"super good cup holds well")</f>
        <v>super good cup holds well</v>
      </c>
    </row>
    <row r="1332">
      <c r="A1332" s="1">
        <v>5.0</v>
      </c>
      <c r="B1332" s="1" t="s">
        <v>1329</v>
      </c>
      <c r="C1332" t="str">
        <f>IFERROR(__xludf.DUMMYFUNCTION("GOOGLETRANSLATE(B1332, ""fr"", ""en"")"),"38/40 or 38/40 Size S seams are well made it is simple fabric rather thin but strong I use for my Tai Chi")</f>
        <v>38/40 or 38/40 Size S seams are well made it is simple fabric rather thin but strong I use for my Tai Chi</v>
      </c>
    </row>
    <row r="1333">
      <c r="A1333" s="1">
        <v>5.0</v>
      </c>
      <c r="B1333" s="1" t="s">
        <v>1330</v>
      </c>
      <c r="C1333" t="str">
        <f>IFERROR(__xludf.DUMMYFUNCTION("GOOGLETRANSLATE(B1333, ""fr"", ""en"")"),"RAS Received in timely product according to the picture and size also nothing wrong")</f>
        <v>RAS Received in timely product according to the picture and size also nothing wrong</v>
      </c>
    </row>
    <row r="1334">
      <c r="A1334" s="1">
        <v>5.0</v>
      </c>
      <c r="B1334" s="1" t="s">
        <v>1331</v>
      </c>
      <c r="C1334" t="str">
        <f>IFERROR(__xludf.DUMMYFUNCTION("GOOGLETRANSLATE(B1334, ""fr"", ""en"")"),"Unbelievable I bought this mic to one of my children. Here quality extremely surprised me. I bought a different one for another of my children. There difference is amazing. Incommensurate. In fact we returned the microphone to bought a second like this. R"&amp;"eally do not hesitate. They cost as expensive as microphones for children but now the quality is to go and you will not starved of product reliability. They are also easy to use. It's all win.")</f>
        <v>Unbelievable I bought this mic to one of my children. Here quality extremely surprised me. I bought a different one for another of my children. There difference is amazing. Incommensurate. In fact we returned the microphone to bought a second like this. Really do not hesitate. They cost as expensive as microphones for children but now the quality is to go and you will not starved of product reliability. They are also easy to use. It's all win.</v>
      </c>
    </row>
    <row r="1335">
      <c r="A1335" s="1">
        <v>5.0</v>
      </c>
      <c r="B1335" s="1" t="s">
        <v>1332</v>
      </c>
      <c r="C1335" t="str">
        <f>IFERROR(__xludf.DUMMYFUNCTION("GOOGLETRANSLATE(B1335, ""fr"", ""en"")"),"To buy ! Frankly for anyone starting on Youtube or even for someone experienced no hesitation. I could myself make the comparison with a set-up almost identical with the RODE brand and the finding and binding: An excellent and similar quality but with € 2"&amp;"00 difference. So instead of buying everything separate or another brand just as professional, you can buy this product eyes closed with a quality / price ratio. And the Blue brand is well known for its exceptional product.")</f>
        <v>To buy ! Frankly for anyone starting on Youtube or even for someone experienced no hesitation. I could myself make the comparison with a set-up almost identical with the RODE brand and the finding and binding: An excellent and similar quality but with € 200 difference. So instead of buying everything separate or another brand just as professional, you can buy this product eyes closed with a quality / price ratio. And the Blue brand is well known for its exceptional product.</v>
      </c>
    </row>
    <row r="1336">
      <c r="A1336" s="1">
        <v>5.0</v>
      </c>
      <c r="B1336" s="1" t="s">
        <v>1333</v>
      </c>
      <c r="C1336" t="str">
        <f>IFERROR(__xludf.DUMMYFUNCTION("GOOGLETRANSLATE(B1336, ""fr"", ""en"")"),"Good sound and good behavior to run !!! I tested Saturday late afternoon and Sunday late afternoon this Bluetooth headset to go running. A very good sound quality and a perfect hold on the ears during my jogging an hour. I already tested this material on "&amp;"much more expensive brands. I think the value is almost unbeatable I recommend it. Cordially.")</f>
        <v>Good sound and good behavior to run !!! I tested Saturday late afternoon and Sunday late afternoon this Bluetooth headset to go running. A very good sound quality and a perfect hold on the ears during my jogging an hour. I already tested this material on much more expensive brands. I think the value is almost unbeatable I recommend it. Cordially.</v>
      </c>
    </row>
    <row r="1337">
      <c r="A1337" s="1">
        <v>5.0</v>
      </c>
      <c r="B1337" s="1" t="s">
        <v>1334</v>
      </c>
      <c r="C1337" t="str">
        <f>IFERROR(__xludf.DUMMYFUNCTION("GOOGLETRANSLATE(B1337, ""fr"", ""en"")"),"Top top top Just great, we did well served early diversification and summer for fruit. My daughter quickly understood the principle and did not hesitate to ask me to refill the nibbler with the pieces. A real glutton is awakened in it))))")</f>
        <v>Top top top Just great, we did well served early diversification and summer for fruit. My daughter quickly understood the principle and did not hesitate to ask me to refill the nibbler with the pieces. A real glutton is awakened in it))))</v>
      </c>
    </row>
    <row r="1338">
      <c r="A1338" s="1">
        <v>5.0</v>
      </c>
      <c r="B1338" s="1" t="s">
        <v>1335</v>
      </c>
      <c r="C1338" t="str">
        <f>IFERROR(__xludf.DUMMYFUNCTION("GOOGLETRANSLATE(B1338, ""fr"", ""en"")"),"Watch CIVO Dijitale Military Man Grand Number 50m Waterproof Very good good quality easy read grip, a little flat leaflet English while this article is sold in France, a French user would have been nice, but I appreciate all the same this watch ...... . g"&amp;"ood cotination")</f>
        <v>Watch CIVO Dijitale Military Man Grand Number 50m Waterproof Very good good quality easy read grip, a little flat leaflet English while this article is sold in France, a French user would have been nice, but I appreciate all the same this watch ...... . good cotination</v>
      </c>
    </row>
    <row r="1339">
      <c r="A1339" s="1">
        <v>5.0</v>
      </c>
      <c r="B1339" s="1" t="s">
        <v>1336</v>
      </c>
      <c r="C1339" t="str">
        <f>IFERROR(__xludf.DUMMYFUNCTION("GOOGLETRANSLATE(B1339, ""fr"", ""en"")"),"Very handy slippers beautiful slippers, super comfortable, anti skid soles on top, they carve really ""normal"", I highly recommend this product")</f>
        <v>Very handy slippers beautiful slippers, super comfortable, anti skid soles on top, they carve really "normal", I highly recommend this product</v>
      </c>
    </row>
    <row r="1340">
      <c r="A1340" s="1">
        <v>5.0</v>
      </c>
      <c r="B1340" s="1" t="s">
        <v>1337</v>
      </c>
      <c r="C1340" t="str">
        <f>IFERROR(__xludf.DUMMYFUNCTION("GOOGLETRANSLATE(B1340, ""fr"", ""en"")"),"It was very nice to made a Christmas gift, RAS for now, very beautiful watch, packaging, presentation is everything! Papou is delighted him so am I!")</f>
        <v>It was very nice to made a Christmas gift, RAS for now, very beautiful watch, packaging, presentation is everything! Papou is delighted him so am I!</v>
      </c>
    </row>
    <row r="1341">
      <c r="A1341" s="1">
        <v>5.0</v>
      </c>
      <c r="B1341" s="1" t="s">
        <v>1338</v>
      </c>
      <c r="C1341" t="str">
        <f>IFERROR(__xludf.DUMMYFUNCTION("GOOGLETRANSLATE(B1341, ""fr"", ""en"")"),"My cable VGA Cable for me to connect my monitor to my turn. perfect value for money. I recommend the product.")</f>
        <v>My cable VGA Cable for me to connect my monitor to my turn. perfect value for money. I recommend the product.</v>
      </c>
    </row>
    <row r="1342">
      <c r="A1342" s="1">
        <v>5.0</v>
      </c>
      <c r="B1342" s="1" t="s">
        <v>1339</v>
      </c>
      <c r="C1342" t="str">
        <f>IFERROR(__xludf.DUMMYFUNCTION("GOOGLETRANSLATE(B1342, ""fr"", ""en"")"),"Very nice watch The watch is presented in a beautiful black case with the image of Ice Watch and BMW Motorsport. His leather strap makes it comfortable to wear, although lacking a hole for men with fine wrist. The stopwatch function is a good addition. Pl"&amp;"ease note also, the second hand is not one, this is the needle of the stopwatch. aesthetic side, I find this very beautiful show! She has a look that is both sporty and class, with touches of bright red. For those who would not especially BMW, do not be o"&amp;"ffended, the brand is very discreet on the watch, a small logo on the dial and a reference tone on tone on its contour. The watch is heavy but not too much, it inspires confidence in its strength. The finishes are very beautiful, both on the dial and on t"&amp;"he bracelet.")</f>
        <v>Very nice watch The watch is presented in a beautiful black case with the image of Ice Watch and BMW Motorsport. His leather strap makes it comfortable to wear, although lacking a hole for men with fine wrist. The stopwatch function is a good addition. Please note also, the second hand is not one, this is the needle of the stopwatch. aesthetic side, I find this very beautiful show! She has a look that is both sporty and class, with touches of bright red. For those who would not especially BMW, do not be offended, the brand is very discreet on the watch, a small logo on the dial and a reference tone on tone on its contour. The watch is heavy but not too much, it inspires confidence in its strength. The finishes are very beautiful, both on the dial and on the bracelet.</v>
      </c>
    </row>
    <row r="1343">
      <c r="A1343" s="1">
        <v>2.0</v>
      </c>
      <c r="B1343" s="1" t="s">
        <v>1340</v>
      </c>
      <c r="C1343" t="str">
        <f>IFERROR(__xludf.DUMMYFUNCTION("GOOGLETRANSLATE(B1343, ""fr"", ""en"")"),"teats sizes S and M non Contrary to the description, nipples are not size M 6-18 months, there is an S and M size 0-6months 0-6 months, the pacifier is 0-6 months. Too bad, these bottles are great, my son loves them, so I have to take more teats next.")</f>
        <v>teats sizes S and M non Contrary to the description, nipples are not size M 6-18 months, there is an S and M size 0-6months 0-6 months, the pacifier is 0-6 months. Too bad, these bottles are great, my son loves them, so I have to take more teats next.</v>
      </c>
    </row>
    <row r="1344">
      <c r="A1344" s="1">
        <v>1.0</v>
      </c>
      <c r="B1344" s="1" t="s">
        <v>1341</v>
      </c>
      <c r="C1344" t="str">
        <f>IFERROR(__xludf.DUMMYFUNCTION("GOOGLETRANSLATE(B1344, ""fr"", ""en"")"),"++ disappointed Very disappointed! I highly recommend this product .... no LED indicator for power on, no visible water level, kettle extremely hot outside, there it burns very easily! ....... . if the kettle is interesting only for its design .... so !!!"&amp;"!!!!")</f>
        <v>++ disappointed Very disappointed! I highly recommend this product .... no LED indicator for power on, no visible water level, kettle extremely hot outside, there it burns very easily! ....... . if the kettle is interesting only for its design .... so !!!!!!!</v>
      </c>
    </row>
    <row r="1345">
      <c r="A1345" s="1">
        <v>1.0</v>
      </c>
      <c r="B1345" s="1" t="s">
        <v>1342</v>
      </c>
      <c r="C1345" t="str">
        <f>IFERROR(__xludf.DUMMYFUNCTION("GOOGLETRANSLATE(B1345, ""fr"", ""en"")"),"Break and disconnect constantly Cuts, for a brand like Bose and after many days has put tjs not stable I recommend this purchase for sports")</f>
        <v>Break and disconnect constantly Cuts, for a brand like Bose and after many days has put tjs not stable I recommend this purchase for sports</v>
      </c>
    </row>
    <row r="1346">
      <c r="A1346" s="1">
        <v>3.0</v>
      </c>
      <c r="B1346" s="1" t="s">
        <v>1343</v>
      </c>
      <c r="C1346" t="str">
        <f>IFERROR(__xludf.DUMMYFUNCTION("GOOGLETRANSLATE(B1346, ""fr"", ""en"")"),"Fairly convenient but correct correct Finishes finish, but smaller than expected interior because of the zipper a little discomfort the access.")</f>
        <v>Fairly convenient but correct correct Finishes finish, but smaller than expected interior because of the zipper a little discomfort the access.</v>
      </c>
    </row>
    <row r="1347">
      <c r="A1347" s="1">
        <v>3.0</v>
      </c>
      <c r="B1347" s="1" t="s">
        <v>1344</v>
      </c>
      <c r="C1347" t="str">
        <f>IFERROR(__xludf.DUMMYFUNCTION("GOOGLETRANSLATE(B1347, ""fr"", ""en"")"),"very well shows arrived in a package well closed in time periods specified so I recommend only downside the adjustment of the bracelet which is impossible to make yourself so costs of setting the size to settle in addition to information but it has nothin"&amp;"g to see with the seller")</f>
        <v>very well shows arrived in a package well closed in time periods specified so I recommend only downside the adjustment of the bracelet which is impossible to make yourself so costs of setting the size to settle in addition to information but it has nothing to see with the seller</v>
      </c>
    </row>
    <row r="1348">
      <c r="A1348" s="1">
        <v>4.0</v>
      </c>
      <c r="B1348" s="1" t="s">
        <v>1345</v>
      </c>
      <c r="C1348" t="str">
        <f>IFERROR(__xludf.DUMMYFUNCTION("GOOGLETRANSLATE(B1348, ""fr"", ""en"")"),"Okay Super small earrings for a girl with pierced ears already will recommend it for a fan minnie")</f>
        <v>Okay Super small earrings for a girl with pierced ears already will recommend it for a fan minnie</v>
      </c>
    </row>
    <row r="1349">
      <c r="A1349" s="1">
        <v>4.0</v>
      </c>
      <c r="B1349" s="1" t="s">
        <v>1346</v>
      </c>
      <c r="C1349" t="str">
        <f>IFERROR(__xludf.DUMMYFUNCTION("GOOGLETRANSLATE(B1349, ""fr"", ""en"")"),"elastic laces and I did not notice that there was a noose to tighten the waist, I do not think I would have bought otherwise. So it is a bit big for me, despite the laces tight as possible and does not exist in size S.")</f>
        <v>elastic laces and I did not notice that there was a noose to tighten the waist, I do not think I would have bought otherwise. So it is a bit big for me, despite the laces tight as possible and does not exist in size S.</v>
      </c>
    </row>
    <row r="1350">
      <c r="A1350" s="1">
        <v>4.0</v>
      </c>
      <c r="B1350" s="1" t="s">
        <v>1347</v>
      </c>
      <c r="C1350" t="str">
        <f>IFERROR(__xludf.DUMMYFUNCTION("GOOGLETRANSLATE(B1350, ""fr"", ""en"")"),"Size shoes Very good product but shoes too large a size as .Very nice model. Trend and unobtrusive for safety shoes")</f>
        <v>Size shoes Very good product but shoes too large a size as .Very nice model. Trend and unobtrusive for safety shoes</v>
      </c>
    </row>
    <row r="1351">
      <c r="A1351" s="1">
        <v>4.0</v>
      </c>
      <c r="B1351" s="1" t="s">
        <v>1348</v>
      </c>
      <c r="C1351" t="str">
        <f>IFERROR(__xludf.DUMMYFUNCTION("GOOGLETRANSLATE(B1351, ""fr"", ""en"")"),"Notebook to top This is a gift. But I laminated before and I find it very good to learn coloring the little ones. The outline of the design is raised with sequins making it impossible to overtake. It is really great!")</f>
        <v>Notebook to top This is a gift. But I laminated before and I find it very good to learn coloring the little ones. The outline of the design is raised with sequins making it impossible to overtake. It is really great!</v>
      </c>
    </row>
    <row r="1352">
      <c r="A1352" s="1">
        <v>4.0</v>
      </c>
      <c r="B1352" s="1" t="s">
        <v>1349</v>
      </c>
      <c r="C1352" t="str">
        <f>IFERROR(__xludf.DUMMYFUNCTION("GOOGLETRANSLATE(B1352, ""fr"", ""en"")"),"Very good product A quality product, great material, subtly pearly white and inside the stainless steel tank. Programmable temperature scale with 5 degree. Heater fast. After me in defects that do not bother me: 1-The outer paroie is not so isolated we fe"&amp;"el the heat. Not to burn anyway! It is a quality product. I prefer to feel that the wall is hot to avoid burning myself grabbing a bit anyhow when I use it. 2- it beeps but not shrill and rather then short those who do not like the devices bipent ca be an"&amp;"noying especially in the morning 3 - it warms alone and therefore turns on automatically to keep selection of temperature and pdt taine 20 Minutes (ca done 2 times). Not possible to stop it or disconnect the device while")</f>
        <v>Very good product A quality product, great material, subtly pearly white and inside the stainless steel tank. Programmable temperature scale with 5 degree. Heater fast. After me in defects that do not bother me: 1-The outer paroie is not so isolated we feel the heat. Not to burn anyway! It is a quality product. I prefer to feel that the wall is hot to avoid burning myself grabbing a bit anyhow when I use it. 2- it beeps but not shrill and rather then short those who do not like the devices bipent ca be annoying especially in the morning 3 - it warms alone and therefore turns on automatically to keep selection of temperature and pdt taine 20 Minutes (ca done 2 times). Not possible to stop it or disconnect the device while</v>
      </c>
    </row>
    <row r="1353">
      <c r="A1353" s="1">
        <v>5.0</v>
      </c>
      <c r="B1353" s="1" t="s">
        <v>1350</v>
      </c>
      <c r="C1353" t="str">
        <f>IFERROR(__xludf.DUMMYFUNCTION("GOOGLETRANSLATE(B1353, ""fr"", ""en"")"),"Festive atmosphere guaranteed A beautiful gift to offer. The microphone itself and the packaging is impeccable! Well packaged, well protected, beautiful effect! It was a birthday gift for my 6 year old daughter who entertained the whole family. The microp"&amp;"hone is passed into the hands of the young and older. Everyone is hooked! Very easy to use ... It connects the bluetooth or cord. You can use YouTube or other app to sing. We also have the possibility to insert an SD card. Settings are made directly on th"&amp;"e microphone. We can use it as a karaoke biensur, but also to make comments, make fun sound effects, etc ... The sound is impeccable same amazing view over the small microphone that is also very light! The festive atmosphere is guaranteed!")</f>
        <v>Festive atmosphere guaranteed A beautiful gift to offer. The microphone itself and the packaging is impeccable! Well packaged, well protected, beautiful effect! It was a birthday gift for my 6 year old daughter who entertained the whole family. The microphone is passed into the hands of the young and older. Everyone is hooked! Very easy to use ... It connects the bluetooth or cord. You can use YouTube or other app to sing. We also have the possibility to insert an SD card. Settings are made directly on the microphone. We can use it as a karaoke biensur, but also to make comments, make fun sound effects, etc ... The sound is impeccable same amazing view over the small microphone that is also very light! The festive atmosphere is guaranteed!</v>
      </c>
    </row>
    <row r="1354">
      <c r="A1354" s="1">
        <v>5.0</v>
      </c>
      <c r="B1354" s="1" t="s">
        <v>204</v>
      </c>
      <c r="C1354" t="str">
        <f>IFERROR(__xludf.DUMMYFUNCTION("GOOGLETRANSLATE(B1354, ""fr"", ""en"")"),"Top Top")</f>
        <v>Top Top</v>
      </c>
    </row>
    <row r="1355">
      <c r="A1355" s="1">
        <v>5.0</v>
      </c>
      <c r="B1355" s="1" t="s">
        <v>1351</v>
      </c>
      <c r="C1355" t="str">
        <f>IFERROR(__xludf.DUMMYFUNCTION("GOOGLETRANSLATE(B1355, ""fr"", ""en"")"),"C C is super cool thank you with a smile martine")</f>
        <v>C C is super cool thank you with a smile martine</v>
      </c>
    </row>
    <row r="1356">
      <c r="A1356" s="1">
        <v>5.0</v>
      </c>
      <c r="B1356" s="1" t="s">
        <v>1352</v>
      </c>
      <c r="C1356" t="str">
        <f>IFERROR(__xludf.DUMMYFUNCTION("GOOGLETRANSLATE(B1356, ""fr"", ""en"")"),"Are great Top")</f>
        <v>Are great Top</v>
      </c>
    </row>
    <row r="1357">
      <c r="A1357" s="1">
        <v>5.0</v>
      </c>
      <c r="B1357" s="1" t="s">
        <v>1353</v>
      </c>
      <c r="C1357" t="str">
        <f>IFERROR(__xludf.DUMMYFUNCTION("GOOGLETRANSLATE(B1357, ""fr"", ""en"")"),"Top notch! I love it! And my daughter also necessarily very easy to clean unlike other bottle and nipple is really great! I recommend it to all moms or future mother without any hesitation! Still having 3 children, I tried feeding bottles MAM brand and ar"&amp;"e really top notch!")</f>
        <v>Top notch! I love it! And my daughter also necessarily very easy to clean unlike other bottle and nipple is really great! I recommend it to all moms or future mother without any hesitation! Still having 3 children, I tried feeding bottles MAM brand and are really top notch!</v>
      </c>
    </row>
    <row r="1358">
      <c r="A1358" s="1">
        <v>5.0</v>
      </c>
      <c r="B1358" s="1" t="s">
        <v>1354</v>
      </c>
      <c r="C1358" t="str">
        <f>IFERROR(__xludf.DUMMYFUNCTION("GOOGLETRANSLATE(B1358, ""fr"", ""en"")"),"Ras Too good")</f>
        <v>Ras Too good</v>
      </c>
    </row>
    <row r="1359">
      <c r="A1359" s="1">
        <v>5.0</v>
      </c>
      <c r="B1359" s="1" t="s">
        <v>1355</v>
      </c>
      <c r="C1359" t="str">
        <f>IFERROR(__xludf.DUMMYFUNCTION("GOOGLETRANSLATE(B1359, ""fr"", ""en"")"),"happy very happy with these sneakers, no complaints, they last in time and spend washing, unlike many others from stores, I recommend")</f>
        <v>happy very happy with these sneakers, no complaints, they last in time and spend washing, unlike many others from stores, I recommend</v>
      </c>
    </row>
    <row r="1360">
      <c r="A1360" s="1">
        <v>5.0</v>
      </c>
      <c r="B1360" s="1" t="s">
        <v>1356</v>
      </c>
      <c r="C1360" t="str">
        <f>IFERROR(__xludf.DUMMYFUNCTION("GOOGLETRANSLATE(B1360, ""fr"", ""en"")"),"Crocs great product good (to see that) perfect size, I took her 45-46 corresponds perfectly Very good seller and fast delivery recommend")</f>
        <v>Crocs great product good (to see that) perfect size, I took her 45-46 corresponds perfectly Very good seller and fast delivery recommend</v>
      </c>
    </row>
    <row r="1361">
      <c r="A1361" s="1">
        <v>5.0</v>
      </c>
      <c r="B1361" s="1" t="s">
        <v>1357</v>
      </c>
      <c r="C1361" t="str">
        <f>IFERROR(__xludf.DUMMYFUNCTION("GOOGLETRANSLATE(B1361, ""fr"", ""en"")"),"By packaging little treat thank you thank you beautiful earrings")</f>
        <v>By packaging little treat thank you thank you beautiful earrings</v>
      </c>
    </row>
    <row r="1362">
      <c r="A1362" s="1">
        <v>5.0</v>
      </c>
      <c r="B1362" s="1" t="s">
        <v>1358</v>
      </c>
      <c r="C1362" t="str">
        <f>IFERROR(__xludf.DUMMYFUNCTION("GOOGLETRANSLATE(B1362, ""fr"", ""en"")"),"Vans old school Exactly what I asked, sizes as vans provide a size below its usual size.")</f>
        <v>Vans old school Exactly what I asked, sizes as vans provide a size below its usual size.</v>
      </c>
    </row>
    <row r="1363">
      <c r="A1363" s="1">
        <v>5.0</v>
      </c>
      <c r="B1363" s="1" t="s">
        <v>1359</v>
      </c>
      <c r="C1363" t="str">
        <f>IFERROR(__xludf.DUMMYFUNCTION("GOOGLETRANSLATE(B1363, ""fr"", ""en"")"),"Very easy to use Used as a humidifier in the baby room. Okay, nice design.")</f>
        <v>Very easy to use Used as a humidifier in the baby room. Okay, nice design.</v>
      </c>
    </row>
    <row r="1364">
      <c r="A1364" s="1">
        <v>5.0</v>
      </c>
      <c r="B1364" s="1" t="s">
        <v>1360</v>
      </c>
      <c r="C1364" t="str">
        <f>IFERROR(__xludf.DUMMYFUNCTION("GOOGLETRANSLATE(B1364, ""fr"", ""en"")"),"Good product Nickel")</f>
        <v>Good product Nickel</v>
      </c>
    </row>
    <row r="1365">
      <c r="A1365" s="1">
        <v>5.0</v>
      </c>
      <c r="B1365" s="1" t="s">
        <v>1361</v>
      </c>
      <c r="C1365" t="str">
        <f>IFERROR(__xludf.DUMMYFUNCTION("GOOGLETRANSLATE(B1365, ""fr"", ""en"")"),"Perfect Used there are three to a change in phone screen, ease of implementation, and three months after the screen is still in place, the phone works and some of defects appeared. Do not hesitate to put the dose.")</f>
        <v>Perfect Used there are three to a change in phone screen, ease of implementation, and three months after the screen is still in place, the phone works and some of defects appeared. Do not hesitate to put the dose.</v>
      </c>
    </row>
    <row r="1366">
      <c r="A1366" s="1">
        <v>5.0</v>
      </c>
      <c r="B1366" s="1" t="s">
        <v>1362</v>
      </c>
      <c r="C1366" t="str">
        <f>IFERROR(__xludf.DUMMYFUNCTION("GOOGLETRANSLATE(B1366, ""fr"", ""en"")"),"Good headphones cheap A very good value for money. Comfortable with many tips, the sound is very good with good bass present. The highs are well drawn without much pull on the medium. We just regret the lack of an integrated volume control. Delivered in a"&amp;" small bag in imitation leather.")</f>
        <v>Good headphones cheap A very good value for money. Comfortable with many tips, the sound is very good with good bass present. The highs are well drawn without much pull on the medium. We just regret the lack of an integrated volume control. Delivered in a small bag in imitation leather.</v>
      </c>
    </row>
    <row r="1367">
      <c r="A1367" s="1">
        <v>5.0</v>
      </c>
      <c r="B1367" s="1" t="s">
        <v>1363</v>
      </c>
      <c r="C1367" t="str">
        <f>IFERROR(__xludf.DUMMYFUNCTION("GOOGLETRANSLATE(B1367, ""fr"", ""en"")"),"Gommette received in time the package contains two sheets of EVERY colors, great to work with little ones or even have fun")</f>
        <v>Gommette received in time the package contains two sheets of EVERY colors, great to work with little ones or even have fun</v>
      </c>
    </row>
    <row r="1368">
      <c r="A1368" s="1">
        <v>2.0</v>
      </c>
      <c r="B1368" s="1" t="s">
        <v>1364</v>
      </c>
      <c r="C1368" t="str">
        <f>IFERROR(__xludf.DUMMYFUNCTION("GOOGLETRANSLATE(B1368, ""fr"", ""en"")"),"Too small ! € 40 that's expensive. However good side design section is very small. Hardly bigger than a wallet. Basically, to go out in the evening, put his iPhone + a blue card and key it's perfect if not passed your way.")</f>
        <v>Too small ! € 40 that's expensive. However good side design section is very small. Hardly bigger than a wallet. Basically, to go out in the evening, put his iPhone + a blue card and key it's perfect if not passed your way.</v>
      </c>
    </row>
    <row r="1369">
      <c r="A1369" s="1">
        <v>1.0</v>
      </c>
      <c r="B1369" s="1" t="s">
        <v>1365</v>
      </c>
      <c r="C1369" t="str">
        <f>IFERROR(__xludf.DUMMYFUNCTION("GOOGLETRANSLATE(B1369, ""fr"", ""en"")"),"Disappointed. Time is very short I disappointed my life. At first use the pool, the left atrium almost works, the sound becomes very small relative to the right or even inaudible (this creates a sound and even bodily imbalance). Really a pity, because the"&amp;" sound quality was impeccable at first. The microphone does not pick well, I must take the headset near my mouth. Two months later, it works almost. That load for 5 seconds and then the LED turns blue as if the load is complete. Except after about a minut"&amp;"e I get the message ""low battery"" and headphones are extinguished. I can not use them. The life of this product is very short")</f>
        <v>Disappointed. Time is very short I disappointed my life. At first use the pool, the left atrium almost works, the sound becomes very small relative to the right or even inaudible (this creates a sound and even bodily imbalance). Really a pity, because the sound quality was impeccable at first. The microphone does not pick well, I must take the headset near my mouth. Two months later, it works almost. That load for 5 seconds and then the LED turns blue as if the load is complete. Except after about a minute I get the message "low battery" and headphones are extinguished. I can not use them. The life of this product is very short</v>
      </c>
    </row>
    <row r="1370">
      <c r="A1370" s="1">
        <v>1.0</v>
      </c>
      <c r="B1370" s="1" t="s">
        <v>1366</v>
      </c>
      <c r="C1370" t="str">
        <f>IFERROR(__xludf.DUMMYFUNCTION("GOOGLETRANSLATE(B1370, ""fr"", ""en"")"),"rubs the touch of clothing left large traces of brown pants, polo, t-shirt. I had to return the item for that reason")</f>
        <v>rubs the touch of clothing left large traces of brown pants, polo, t-shirt. I had to return the item for that reason</v>
      </c>
    </row>
    <row r="1371">
      <c r="A1371" s="1">
        <v>3.0</v>
      </c>
      <c r="B1371" s="1" t="s">
        <v>1367</v>
      </c>
      <c r="C1371" t="str">
        <f>IFERROR(__xludf.DUMMYFUNCTION("GOOGLETRANSLATE(B1371, ""fr"", ""en"")"),"Slippers sequined slippers strange but comfortable and soft. covered with fiber mesh sequined.")</f>
        <v>Slippers sequined slippers strange but comfortable and soft. covered with fiber mesh sequined.</v>
      </c>
    </row>
    <row r="1372">
      <c r="A1372" s="1">
        <v>3.0</v>
      </c>
      <c r="B1372" s="1" t="s">
        <v>1368</v>
      </c>
      <c r="C1372" t="str">
        <f>IFERROR(__xludf.DUMMYFUNCTION("GOOGLETRANSLATE(B1372, ""fr"", ""en"")"),"Bad From the time that I adhesives 20, 30 cockroaches no nights, there is always the same. Case not follow")</f>
        <v>Bad From the time that I adhesives 20, 30 cockroaches no nights, there is always the same. Case not follow</v>
      </c>
    </row>
    <row r="1373">
      <c r="A1373" s="1">
        <v>4.0</v>
      </c>
      <c r="B1373" s="1" t="s">
        <v>1369</v>
      </c>
      <c r="C1373" t="str">
        <f>IFERROR(__xludf.DUMMYFUNCTION("GOOGLETRANSLATE(B1373, ""fr"", ""en"")"),"Adornment Necklace and earrings beautiful earrings, had its effect on prices.")</f>
        <v>Adornment Necklace and earrings beautiful earrings, had its effect on prices.</v>
      </c>
    </row>
    <row r="1374">
      <c r="A1374" s="1">
        <v>4.0</v>
      </c>
      <c r="B1374" s="1" t="s">
        <v>1370</v>
      </c>
      <c r="C1374" t="str">
        <f>IFERROR(__xludf.DUMMYFUNCTION("GOOGLETRANSLATE(B1374, ""fr"", ""en"")"),"very nice game very funny !! even if sometimes the pen no longer works well !! we laugh with the family drawing game")</f>
        <v>very nice game very funny !! even if sometimes the pen no longer works well !! we laugh with the family drawing game</v>
      </c>
    </row>
    <row r="1375">
      <c r="A1375" s="1">
        <v>4.0</v>
      </c>
      <c r="B1375" s="1" t="s">
        <v>1371</v>
      </c>
      <c r="C1375" t="str">
        <f>IFERROR(__xludf.DUMMYFUNCTION("GOOGLETRANSLATE(B1375, ""fr"", ""en"")"),"Very good buy, I recommend it! Bag of good quality and finishing. Also it seems sturdy, but only time will tell. After several weeks of daily use, very busy, it keeps well. He could have had more small internal pockets for pens, iPod etc.")</f>
        <v>Very good buy, I recommend it! Bag of good quality and finishing. Also it seems sturdy, but only time will tell. After several weeks of daily use, very busy, it keeps well. He could have had more small internal pockets for pens, iPod etc.</v>
      </c>
    </row>
    <row r="1376">
      <c r="A1376" s="1">
        <v>4.0</v>
      </c>
      <c r="B1376" s="1" t="s">
        <v>1372</v>
      </c>
      <c r="C1376" t="str">
        <f>IFERROR(__xludf.DUMMYFUNCTION("GOOGLETRANSLATE(B1376, ""fr"", ""en"")"),"For the deflation of the legs and ankles Muscle contractions in the calves and ankles movements caused by the device cause deflation of the lower limbs. For lack of perspective and analysis, any judgment on the action of the device on osteoarthritis and d"&amp;"iabetes.")</f>
        <v>For the deflation of the legs and ankles Muscle contractions in the calves and ankles movements caused by the device cause deflation of the lower limbs. For lack of perspective and analysis, any judgment on the action of the device on osteoarthritis and diabetes.</v>
      </c>
    </row>
    <row r="1377">
      <c r="A1377" s="1">
        <v>5.0</v>
      </c>
      <c r="B1377" s="1" t="s">
        <v>1373</v>
      </c>
      <c r="C1377" t="str">
        <f>IFERROR(__xludf.DUMMYFUNCTION("GOOGLETRANSLATE(B1377, ""fr"", ""en"")"),"Can be used on a GoPro. At first, I did not know if the micro would exceed and be on top (in the image of the GoPro) and if there was compatibility. I decided I ais buy. I did not know really the difference in sound between the vidéomicgo or smaller. Even"&amp;"tually the microphone is perfect for use that I made. I use the GoPro as the Canon EOS.")</f>
        <v>Can be used on a GoPro. At first, I did not know if the micro would exceed and be on top (in the image of the GoPro) and if there was compatibility. I decided I ais buy. I did not know really the difference in sound between the vidéomicgo or smaller. Eventually the microphone is perfect for use that I made. I use the GoPro as the Canon EOS.</v>
      </c>
    </row>
    <row r="1378">
      <c r="A1378" s="1">
        <v>5.0</v>
      </c>
      <c r="B1378" s="1" t="s">
        <v>1374</v>
      </c>
      <c r="C1378" t="str">
        <f>IFERROR(__xludf.DUMMYFUNCTION("GOOGLETRANSLATE(B1378, ""fr"", ""en"")"),"Very well. Good quality / price largest and longest product as purchased commercially")</f>
        <v>Very well. Good quality / price largest and longest product as purchased commercially</v>
      </c>
    </row>
    <row r="1379">
      <c r="A1379" s="1">
        <v>5.0</v>
      </c>
      <c r="B1379" s="1" t="s">
        <v>1375</v>
      </c>
      <c r="C1379" t="str">
        <f>IFERROR(__xludf.DUMMYFUNCTION("GOOGLETRANSLATE(B1379, ""fr"", ""en"")"),"Produced entirely consistent! Unlike many reviews, this product is fully compliant. It is indeed a System recharge express + so with a hole in the middle to allow the spin ... and happily !!! Just read what is written and to buy a product in line with the"&amp;" basic kit ..............")</f>
        <v>Produced entirely consistent! Unlike many reviews, this product is fully compliant. It is indeed a System recharge express + so with a hole in the middle to allow the spin ... and happily !!! Just read what is written and to buy a product in line with the basic kit ..............</v>
      </c>
    </row>
    <row r="1380">
      <c r="A1380" s="1">
        <v>5.0</v>
      </c>
      <c r="B1380" s="1" t="s">
        <v>1376</v>
      </c>
      <c r="C1380" t="str">
        <f>IFERROR(__xludf.DUMMYFUNCTION("GOOGLETRANSLATE(B1380, ""fr"", ""en"")"),"Beautiful hat Beautiful hat for my teen! It is also pretty gray when blue")</f>
        <v>Beautiful hat Beautiful hat for my teen! It is also pretty gray when blue</v>
      </c>
    </row>
    <row r="1381">
      <c r="A1381" s="1">
        <v>5.0</v>
      </c>
      <c r="B1381" s="1" t="s">
        <v>1377</v>
      </c>
      <c r="C1381" t="str">
        <f>IFERROR(__xludf.DUMMYFUNCTION("GOOGLETRANSLATE(B1381, ""fr"", ""en"")"),"Superb! The delivery is super fast, I received the package 5 days before the scheduled date!. The shoes are beautiful, just as in the description. They actually run small. must be taken well, as advised, one size above its usual size; I put on the 37.5 I "&amp;"took 38 2/3 and that's good. These are fitness shoes at the base, but their finesse and lightness makes them very pleasant to wear everyday.")</f>
        <v>Superb! The delivery is super fast, I received the package 5 days before the scheduled date!. The shoes are beautiful, just as in the description. They actually run small. must be taken well, as advised, one size above its usual size; I put on the 37.5 I took 38 2/3 and that's good. These are fitness shoes at the base, but their finesse and lightness makes them very pleasant to wear everyday.</v>
      </c>
    </row>
    <row r="1382">
      <c r="A1382" s="1">
        <v>5.0</v>
      </c>
      <c r="B1382" s="1" t="s">
        <v>224</v>
      </c>
      <c r="C1382" t="str">
        <f>IFERROR(__xludf.DUMMYFUNCTION("GOOGLETRANSLATE(B1382, ""fr"", ""en"")"),"perfect perfect")</f>
        <v>perfect perfect</v>
      </c>
    </row>
    <row r="1383">
      <c r="A1383" s="1">
        <v>5.0</v>
      </c>
      <c r="B1383" s="1" t="s">
        <v>1378</v>
      </c>
      <c r="C1383" t="str">
        <f>IFERROR(__xludf.DUMMYFUNCTION("GOOGLETRANSLATE(B1383, ""fr"", ""en"")"),"Quality and protection for basketball")</f>
        <v>Quality and protection for basketball</v>
      </c>
    </row>
    <row r="1384">
      <c r="A1384" s="1">
        <v>5.0</v>
      </c>
      <c r="B1384" s="1" t="s">
        <v>1379</v>
      </c>
      <c r="C1384" t="str">
        <f>IFERROR(__xludf.DUMMYFUNCTION("GOOGLETRANSLATE(B1384, ""fr"", ""en"")"),"Massage very happy feet of this device that can do you good to foot thanks to its multiple functions the heating function really makes a difference because it really feels good sitting in the back of his chair and change function with its remote and this "&amp;"pleases the device is designated and the covers are washable feet in order to have multiple users")</f>
        <v>Massage very happy feet of this device that can do you good to foot thanks to its multiple functions the heating function really makes a difference because it really feels good sitting in the back of his chair and change function with its remote and this pleases the device is designated and the covers are washable feet in order to have multiple users</v>
      </c>
    </row>
    <row r="1385">
      <c r="A1385" s="1">
        <v>5.0</v>
      </c>
      <c r="B1385" s="1" t="s">
        <v>1380</v>
      </c>
      <c r="C1385" t="str">
        <f>IFERROR(__xludf.DUMMYFUNCTION("GOOGLETRANSLATE(B1385, ""fr"", ""en"")"),"Top Shop with the offer basket € 3 more room, nickel for reception delays. This product is really great, I only chicken leg for now, they are tender has desire cooked ... plus qyasi no dinner a time saver!")</f>
        <v>Top Shop with the offer basket € 3 more room, nickel for reception delays. This product is really great, I only chicken leg for now, they are tender has desire cooked ... plus qyasi no dinner a time saver!</v>
      </c>
    </row>
    <row r="1386">
      <c r="A1386" s="1">
        <v>5.0</v>
      </c>
      <c r="B1386" s="1" t="s">
        <v>1381</v>
      </c>
      <c r="C1386" t="str">
        <f>IFERROR(__xludf.DUMMYFUNCTION("GOOGLETRANSLATE(B1386, ""fr"", ""en"")"),"Perfect, safe bet Delivered quickly, they are the only bottles that my daughter takes and they are perfect. Neutral color and patterns rather cute.")</f>
        <v>Perfect, safe bet Delivered quickly, they are the only bottles that my daughter takes and they are perfect. Neutral color and patterns rather cute.</v>
      </c>
    </row>
    <row r="1387">
      <c r="A1387" s="1">
        <v>5.0</v>
      </c>
      <c r="B1387" s="1" t="s">
        <v>1382</v>
      </c>
      <c r="C1387" t="str">
        <f>IFERROR(__xludf.DUMMYFUNCTION("GOOGLETRANSLATE(B1387, ""fr"", ""en"")"),"VERY GOOD PRODUCT great white sheets and good thickness. Well dressed.")</f>
        <v>VERY GOOD PRODUCT great white sheets and good thickness. Well dressed.</v>
      </c>
    </row>
    <row r="1388">
      <c r="A1388" s="1">
        <v>5.0</v>
      </c>
      <c r="B1388" s="1" t="s">
        <v>1383</v>
      </c>
      <c r="C1388" t="str">
        <f>IFERROR(__xludf.DUMMYFUNCTION("GOOGLETRANSLATE(B1388, ""fr"", ""en"")"),"WELL RAS received quickly. A Nike shirt light and comfortable.")</f>
        <v>WELL RAS received quickly. A Nike shirt light and comfortable.</v>
      </c>
    </row>
    <row r="1389">
      <c r="A1389" s="1">
        <v>5.0</v>
      </c>
      <c r="B1389" s="1" t="s">
        <v>1384</v>
      </c>
      <c r="C1389" t="str">
        <f>IFERROR(__xludf.DUMMYFUNCTION("GOOGLETRANSLATE(B1389, ""fr"", ""en"")"),"Top As picture and hope it takes it!")</f>
        <v>Top As picture and hope it takes it!</v>
      </c>
    </row>
    <row r="1390">
      <c r="A1390" s="1">
        <v>5.0</v>
      </c>
      <c r="B1390" s="1" t="s">
        <v>1385</v>
      </c>
      <c r="C1390" t="str">
        <f>IFERROR(__xludf.DUMMYFUNCTION("GOOGLETRANSLATE(B1390, ""fr"", ""en"")"),"Perfect transaction. Having clippings particular problems with the RS 120, I contacted Seinnheiser the service and I was fortunate to have a knowledgeable correspondent who helped me choose the headset to suit my needs as well as accessories recommended. "&amp;"Since the purchase and installation of the RS 175 I do not have any problems.")</f>
        <v>Perfect transaction. Having clippings particular problems with the RS 120, I contacted Seinnheiser the service and I was fortunate to have a knowledgeable correspondent who helped me choose the headset to suit my needs as well as accessories recommended. Since the purchase and installation of the RS 175 I do not have any problems.</v>
      </c>
    </row>
    <row r="1391">
      <c r="A1391" s="1">
        <v>5.0</v>
      </c>
      <c r="B1391" s="1" t="s">
        <v>1386</v>
      </c>
      <c r="C1391" t="str">
        <f>IFERROR(__xludf.DUMMYFUNCTION("GOOGLETRANSLATE(B1391, ""fr"", ""en"")"),"Arrived quickly and very good quality. Very satisfied. I recommend. Arrived quickly and very good quality. Very satisfied. I recommend.")</f>
        <v>Arrived quickly and very good quality. Very satisfied. I recommend. Arrived quickly and very good quality. Very satisfied. I recommend.</v>
      </c>
    </row>
    <row r="1392">
      <c r="A1392" s="1">
        <v>2.0</v>
      </c>
      <c r="B1392" s="1" t="s">
        <v>1387</v>
      </c>
      <c r="C1392" t="str">
        <f>IFERROR(__xludf.DUMMYFUNCTION("GOOGLETRANSLATE(B1392, ""fr"", ""en"")"),"cheap finish ... Although less pretty in real life than on the photo. Small size, finish and very cheap ... At the same time considering the price ... On correctly.")</f>
        <v>cheap finish ... Although less pretty in real life than on the photo. Small size, finish and very cheap ... At the same time considering the price ... On correctly.</v>
      </c>
    </row>
    <row r="1393">
      <c r="A1393" s="1">
        <v>1.0</v>
      </c>
      <c r="B1393" s="1" t="s">
        <v>1388</v>
      </c>
      <c r="C1393" t="str">
        <f>IFERROR(__xludf.DUMMYFUNCTION("GOOGLETRANSLATE(B1393, ""fr"", ""en"")"),"EarPods left EarPods left does not work does not work")</f>
        <v>EarPods left EarPods left does not work does not work</v>
      </c>
    </row>
    <row r="1394">
      <c r="A1394" s="1">
        <v>1.0</v>
      </c>
      <c r="B1394" s="1" t="s">
        <v>1389</v>
      </c>
      <c r="C1394" t="str">
        <f>IFERROR(__xludf.DUMMYFUNCTION("GOOGLETRANSLATE(B1394, ""fr"", ""en"")"),"It takes me 41.5 It hurts my feet")</f>
        <v>It takes me 41.5 It hurts my feet</v>
      </c>
    </row>
    <row r="1395">
      <c r="A1395" s="1">
        <v>3.0</v>
      </c>
      <c r="B1395" s="1" t="s">
        <v>1390</v>
      </c>
      <c r="C1395" t="str">
        <f>IFERROR(__xludf.DUMMYFUNCTION("GOOGLETRANSLATE(B1395, ""fr"", ""en"")"),"See Article in appearance of fine quality enough, but we must see to use. NC / medium practice. Leather truly brilliant. Expect after some time of use.")</f>
        <v>See Article in appearance of fine quality enough, but we must see to use. NC / medium practice. Leather truly brilliant. Expect after some time of use.</v>
      </c>
    </row>
    <row r="1396">
      <c r="A1396" s="1">
        <v>4.0</v>
      </c>
      <c r="B1396" s="1" t="s">
        <v>1391</v>
      </c>
      <c r="C1396" t="str">
        <f>IFERROR(__xludf.DUMMYFUNCTION("GOOGLETRANSLATE(B1396, ""fr"", ""en"")"),"This little sleeveless dress was of dress is beautiful and well cut. color and printed patterns much like my mother. I recommend this purchase")</f>
        <v>This little sleeveless dress was of dress is beautiful and well cut. color and printed patterns much like my mother. I recommend this purchase</v>
      </c>
    </row>
    <row r="1397">
      <c r="A1397" s="1">
        <v>4.0</v>
      </c>
      <c r="B1397" s="1" t="s">
        <v>1392</v>
      </c>
      <c r="C1397" t="str">
        <f>IFERROR(__xludf.DUMMYFUNCTION("GOOGLETRANSLATE(B1397, ""fr"", ""en"")"),"toaster toasting bread for my breakfast.")</f>
        <v>toaster toasting bread for my breakfast.</v>
      </c>
    </row>
    <row r="1398">
      <c r="A1398" s="1">
        <v>4.0</v>
      </c>
      <c r="B1398" s="1" t="s">
        <v>1393</v>
      </c>
      <c r="C1398" t="str">
        <f>IFERROR(__xludf.DUMMYFUNCTION("GOOGLETRANSLATE(B1398, ""fr"", ""en"")"),"The kettle is mixed but is still a bit noisy, especially the power cable is a bit short")</f>
        <v>The kettle is mixed but is still a bit noisy, especially the power cable is a bit short</v>
      </c>
    </row>
    <row r="1399">
      <c r="A1399" s="1">
        <v>4.0</v>
      </c>
      <c r="B1399" s="1" t="s">
        <v>1394</v>
      </c>
      <c r="C1399" t="str">
        <f>IFERROR(__xludf.DUMMYFUNCTION("GOOGLETRANSLATE(B1399, ""fr"", ""en"")"),"Although Good value")</f>
        <v>Although Good value</v>
      </c>
    </row>
    <row r="1400">
      <c r="A1400" s="1">
        <v>5.0</v>
      </c>
      <c r="B1400" s="1" t="s">
        <v>1395</v>
      </c>
      <c r="C1400" t="str">
        <f>IFERROR(__xludf.DUMMYFUNCTION("GOOGLETRANSLATE(B1400, ""fr"", ""en"")"),"Economical, efficient and quality I use this mask for my oily skin and regulate sebum production. My advice: apply 3 times weekly in attack phase and maintenance 1 / week. The most natural remedy to clean her skin! :-) Great deal...")</f>
        <v>Economical, efficient and quality I use this mask for my oily skin and regulate sebum production. My advice: apply 3 times weekly in attack phase and maintenance 1 / week. The most natural remedy to clean her skin! :-) Great deal...</v>
      </c>
    </row>
    <row r="1401">
      <c r="A1401" s="1">
        <v>5.0</v>
      </c>
      <c r="B1401" s="1" t="s">
        <v>1396</v>
      </c>
      <c r="C1401" t="str">
        <f>IFERROR(__xludf.DUMMYFUNCTION("GOOGLETRANSLATE(B1401, ""fr"", ""en"")"),"RAS The product is quality and corresponds to what I expected.")</f>
        <v>RAS The product is quality and corresponds to what I expected.</v>
      </c>
    </row>
    <row r="1402">
      <c r="A1402" s="1">
        <v>5.0</v>
      </c>
      <c r="B1402" s="1" t="s">
        <v>1397</v>
      </c>
      <c r="C1402" t="str">
        <f>IFERROR(__xludf.DUMMYFUNCTION("GOOGLETRANSLATE(B1402, ""fr"", ""en"")"),"feet warm I always cold feet and am often at the computer so I saw these slippers and told myself that it was ideal. indeed, it is effective: my feet warm even without socks. they are not made for walking because they are unstable, but it's the best when "&amp;"you sit or that one only a few steps you .I recommend them")</f>
        <v>feet warm I always cold feet and am often at the computer so I saw these slippers and told myself that it was ideal. indeed, it is effective: my feet warm even without socks. they are not made for walking because they are unstable, but it's the best when you sit or that one only a few steps you .I recommend them</v>
      </c>
    </row>
    <row r="1403">
      <c r="A1403" s="1">
        <v>5.0</v>
      </c>
      <c r="B1403" s="1" t="s">
        <v>1398</v>
      </c>
      <c r="C1403" t="str">
        <f>IFERROR(__xludf.DUMMYFUNCTION("GOOGLETRANSLATE(B1403, ""fr"", ""en"")"),"Economic For cleaning terrace and others. Very powerful the top. Ultra eco since concentrated.")</f>
        <v>Economic For cleaning terrace and others. Very powerful the top. Ultra eco since concentrated.</v>
      </c>
    </row>
    <row r="1404">
      <c r="A1404" s="1">
        <v>5.0</v>
      </c>
      <c r="B1404" s="1" t="s">
        <v>1399</v>
      </c>
      <c r="C1404" t="str">
        <f>IFERROR(__xludf.DUMMYFUNCTION("GOOGLETRANSLATE(B1404, ""fr"", ""en"")"),"Pretty Well just a bit too high")</f>
        <v>Pretty Well just a bit too high</v>
      </c>
    </row>
    <row r="1405">
      <c r="A1405" s="1">
        <v>5.0</v>
      </c>
      <c r="B1405" s="1" t="s">
        <v>1400</v>
      </c>
      <c r="C1405" t="str">
        <f>IFERROR(__xludf.DUMMYFUNCTION("GOOGLETRANSLATE(B1405, ""fr"", ""en"")"),"Just perfect. Superb watch it very light, solar charging works well and the radio-controlled setting is just perfect! Always watch well regulated and more battery change that happiness!")</f>
        <v>Just perfect. Superb watch it very light, solar charging works well and the radio-controlled setting is just perfect! Always watch well regulated and more battery change that happiness!</v>
      </c>
    </row>
    <row r="1406">
      <c r="A1406" s="1">
        <v>5.0</v>
      </c>
      <c r="B1406" s="1" t="s">
        <v>1401</v>
      </c>
      <c r="C1406" t="str">
        <f>IFERROR(__xludf.DUMMYFUNCTION("GOOGLETRANSLATE(B1406, ""fr"", ""en"")"),"This laundry detergent smells really good")</f>
        <v>This laundry detergent smells really good</v>
      </c>
    </row>
    <row r="1407">
      <c r="A1407" s="1">
        <v>5.0</v>
      </c>
      <c r="B1407" s="1" t="s">
        <v>1402</v>
      </c>
      <c r="C1407" t="str">
        <f>IFERROR(__xludf.DUMMYFUNCTION("GOOGLETRANSLATE(B1407, ""fr"", ""en"")"),"I recommend very surprise the quality of the product. The sound is pretty good. The Bluetooth connection is easy and works very well. Possibility of an SD card directly into the helmet which is very appreciable. All very well packaged and delivered quickl"&amp;"y")</f>
        <v>I recommend very surprise the quality of the product. The sound is pretty good. The Bluetooth connection is easy and works very well. Possibility of an SD card directly into the helmet which is very appreciable. All very well packaged and delivered quickly</v>
      </c>
    </row>
    <row r="1408">
      <c r="A1408" s="1">
        <v>5.0</v>
      </c>
      <c r="B1408" s="1" t="s">
        <v>1403</v>
      </c>
      <c r="C1408" t="str">
        <f>IFERROR(__xludf.DUMMYFUNCTION("GOOGLETRANSLATE(B1408, ""fr"", ""en"")"),"The article description Very good product!")</f>
        <v>The article description Very good product!</v>
      </c>
    </row>
    <row r="1409">
      <c r="A1409" s="1">
        <v>5.0</v>
      </c>
      <c r="B1409" s="1" t="s">
        <v>1404</v>
      </c>
      <c r="C1409" t="str">
        <f>IFERROR(__xludf.DUMMYFUNCTION("GOOGLETRANSLATE(B1409, ""fr"", ""en"")"),"Nothing to say ... except that these socks are very comfortable to wear, very comfortable and carve well. In summary, very good, to recommend.")</f>
        <v>Nothing to say ... except that these socks are very comfortable to wear, very comfortable and carve well. In summary, very good, to recommend.</v>
      </c>
    </row>
    <row r="1410">
      <c r="A1410" s="1">
        <v>5.0</v>
      </c>
      <c r="B1410" s="1" t="s">
        <v>1405</v>
      </c>
      <c r="C1410" t="str">
        <f>IFERROR(__xludf.DUMMYFUNCTION("GOOGLETRANSLATE(B1410, ""fr"", ""en"")"),"No Meets unused. To see in time.")</f>
        <v>No Meets unused. To see in time.</v>
      </c>
    </row>
    <row r="1411">
      <c r="A1411" s="1">
        <v>5.0</v>
      </c>
      <c r="B1411" s="1" t="s">
        <v>1406</v>
      </c>
      <c r="C1411" t="str">
        <f>IFERROR(__xludf.DUMMYFUNCTION("GOOGLETRANSLATE(B1411, ""fr"", ""en"")"),"Comfort and comfortable relaxation and good quality")</f>
        <v>Comfort and comfortable relaxation and good quality</v>
      </c>
    </row>
    <row r="1412">
      <c r="A1412" s="1">
        <v>5.0</v>
      </c>
      <c r="B1412" s="1" t="s">
        <v>1407</v>
      </c>
      <c r="C1412" t="str">
        <f>IFERROR(__xludf.DUMMYFUNCTION("GOOGLETRANSLATE(B1412, ""fr"", ""en"")"),"Okay Cool")</f>
        <v>Okay Cool</v>
      </c>
    </row>
    <row r="1413">
      <c r="A1413" s="1">
        <v>5.0</v>
      </c>
      <c r="B1413" s="1" t="s">
        <v>1408</v>
      </c>
      <c r="C1413" t="str">
        <f>IFERROR(__xludf.DUMMYFUNCTION("GOOGLETRANSLATE(B1413, ""fr"", ""en"")"),"Sobriety is a watch that fits very well to the description on the site. Watch sober, well finished, very classic but very ""class"". Sending parcels fast and well packaged.")</f>
        <v>Sobriety is a watch that fits very well to the description on the site. Watch sober, well finished, very classic but very "class". Sending parcels fast and well packaged.</v>
      </c>
    </row>
    <row r="1414">
      <c r="A1414" s="1">
        <v>5.0</v>
      </c>
      <c r="B1414" s="1" t="s">
        <v>1409</v>
      </c>
      <c r="C1414" t="str">
        <f>IFERROR(__xludf.DUMMYFUNCTION("GOOGLETRANSLATE(B1414, ""fr"", ""en"")"),"Real stones. Beautiful bill. Nice rendering. Happy! (Mixed size, focus small wrists) Shipping in advance. Real stones. Beautiful bill. Nice rendering. Happy! (Mixed size, focus small wrists)")</f>
        <v>Real stones. Beautiful bill. Nice rendering. Happy! (Mixed size, focus small wrists) Shipping in advance. Real stones. Beautiful bill. Nice rendering. Happy! (Mixed size, focus small wrists)</v>
      </c>
    </row>
    <row r="1415">
      <c r="A1415" s="1">
        <v>2.0</v>
      </c>
      <c r="B1415" s="1" t="s">
        <v>1410</v>
      </c>
      <c r="C1415" t="str">
        <f>IFERROR(__xludf.DUMMYFUNCTION("GOOGLETRANSLATE(B1415, ""fr"", ""en"")"),"Dissatisfied For back pain and neck, not at all satisfied, it does not feel anything with the pins of the mat,")</f>
        <v>Dissatisfied For back pain and neck, not at all satisfied, it does not feel anything with the pins of the mat,</v>
      </c>
    </row>
    <row r="1416">
      <c r="A1416" s="1">
        <v>1.0</v>
      </c>
      <c r="B1416" s="1" t="s">
        <v>1411</v>
      </c>
      <c r="C1416" t="str">
        <f>IFERROR(__xludf.DUMMYFUNCTION("GOOGLETRANSLATE(B1416, ""fr"", ""en"")"),"Coffee Luna This product has never worked! Display ""&amp; nbsp; &amp; nbsp error 02;""!")</f>
        <v>Coffee Luna This product has never worked! Display "&amp; nbsp; &amp; nbsp error 02;"!</v>
      </c>
    </row>
    <row r="1417">
      <c r="A1417" s="1">
        <v>3.0</v>
      </c>
      <c r="B1417" s="1" t="s">
        <v>1412</v>
      </c>
      <c r="C1417" t="str">
        <f>IFERROR(__xludf.DUMMYFUNCTION("GOOGLETRANSLATE(B1417, ""fr"", ""en"")"),"No size shoes I adapted a little 38 and then they had a 37/38. Unfortunately the size is too small. Not nice when you have feet that exceeds")</f>
        <v>No size shoes I adapted a little 38 and then they had a 37/38. Unfortunately the size is too small. Not nice when you have feet that exceeds</v>
      </c>
    </row>
    <row r="1418">
      <c r="A1418" s="1">
        <v>3.0</v>
      </c>
      <c r="B1418" s="1" t="s">
        <v>1413</v>
      </c>
      <c r="C1418" t="str">
        <f>IFERROR(__xludf.DUMMYFUNCTION("GOOGLETRANSLATE(B1418, ""fr"", ""en"")"),"One can Flees disappointed a bit.")</f>
        <v>One can Flees disappointed a bit.</v>
      </c>
    </row>
    <row r="1419">
      <c r="A1419" s="1">
        <v>4.0</v>
      </c>
      <c r="B1419" s="1" t="s">
        <v>1414</v>
      </c>
      <c r="C1419" t="str">
        <f>IFERROR(__xludf.DUMMYFUNCTION("GOOGLETRANSLATE(B1419, ""fr"", ""en"")"),"Although no complaints. Very convenient.")</f>
        <v>Although no complaints. Very convenient.</v>
      </c>
    </row>
    <row r="1420">
      <c r="A1420" s="1">
        <v>4.0</v>
      </c>
      <c r="B1420" s="1" t="s">
        <v>1415</v>
      </c>
      <c r="C1420" t="str">
        <f>IFERROR(__xludf.DUMMYFUNCTION("GOOGLETRANSLATE(B1420, ""fr"", ""en"")"),"Personal bag")</f>
        <v>Personal bag</v>
      </c>
    </row>
    <row r="1421">
      <c r="A1421" s="1">
        <v>4.0</v>
      </c>
      <c r="B1421" s="1" t="s">
        <v>1416</v>
      </c>
      <c r="C1421" t="str">
        <f>IFERROR(__xludf.DUMMYFUNCTION("GOOGLETRANSLATE(B1421, ""fr"", ""en"")"),"Beautiful shoes His shoes m accompanied many years was my second pair c j loved the burgundy color. At the end of a certain time and after intensive use the sole started to detach and s user to the point that a hole is formed and render unusable; nothing "&amp;"abnormal for shoes like that after a while. I still recommend.")</f>
        <v>Beautiful shoes His shoes m accompanied many years was my second pair c j loved the burgundy color. At the end of a certain time and after intensive use the sole started to detach and s user to the point that a hole is formed and render unusable; nothing abnormal for shoes like that after a while. I still recommend.</v>
      </c>
    </row>
    <row r="1422">
      <c r="A1422" s="1">
        <v>4.0</v>
      </c>
      <c r="B1422" s="1" t="s">
        <v>1417</v>
      </c>
      <c r="C1422" t="str">
        <f>IFERROR(__xludf.DUMMYFUNCTION("GOOGLETRANSLATE(B1422, ""fr"", ""en"")"),"ras ras")</f>
        <v>ras ras</v>
      </c>
    </row>
    <row r="1423">
      <c r="A1423" s="1">
        <v>5.0</v>
      </c>
      <c r="B1423" s="1" t="s">
        <v>1418</v>
      </c>
      <c r="C1423" t="str">
        <f>IFERROR(__xludf.DUMMYFUNCTION("GOOGLETRANSLATE(B1423, ""fr"", ""en"")"),"Very convenient. Together handy this product. I highly recommend .")</f>
        <v>Very convenient. Together handy this product. I highly recommend .</v>
      </c>
    </row>
    <row r="1424">
      <c r="A1424" s="1">
        <v>5.0</v>
      </c>
      <c r="B1424" s="1" t="s">
        <v>1419</v>
      </c>
      <c r="C1424" t="str">
        <f>IFERROR(__xludf.DUMMYFUNCTION("GOOGLETRANSLATE(B1424, ""fr"", ""en"")"),"Perfect Item arrived and unpacked = everything seems perfect and it suits me perfectly for the price. Still not used because the 4 month old baby arrives late July.")</f>
        <v>Perfect Item arrived and unpacked = everything seems perfect and it suits me perfectly for the price. Still not used because the 4 month old baby arrives late July.</v>
      </c>
    </row>
    <row r="1425">
      <c r="A1425" s="1">
        <v>5.0</v>
      </c>
      <c r="B1425" s="1" t="s">
        <v>1420</v>
      </c>
      <c r="C1425" t="str">
        <f>IFERROR(__xludf.DUMMYFUNCTION("GOOGLETRANSLATE(B1425, ""fr"", ""en"")"),"Super Super kettle for tea lovers! You can adjust the temperature. It is very quiet and pretty. Happy with my purchase.")</f>
        <v>Super Super kettle for tea lovers! You can adjust the temperature. It is very quiet and pretty. Happy with my purchase.</v>
      </c>
    </row>
    <row r="1426">
      <c r="A1426" s="1">
        <v>5.0</v>
      </c>
      <c r="B1426" s="1" t="s">
        <v>1421</v>
      </c>
      <c r="C1426" t="str">
        <f>IFERROR(__xludf.DUMMYFUNCTION("GOOGLETRANSLATE(B1426, ""fr"", ""en"")"),"Small bag Eastpak Exactly what I wanted to convey my PHABLET Asus Zenfone 2 is very well protected. I add different accessories: handsfree, charging cable to the socket ...")</f>
        <v>Small bag Eastpak Exactly what I wanted to convey my PHABLET Asus Zenfone 2 is very well protected. I add different accessories: handsfree, charging cable to the socket ...</v>
      </c>
    </row>
    <row r="1427">
      <c r="A1427" s="1">
        <v>5.0</v>
      </c>
      <c r="B1427" s="1" t="s">
        <v>1422</v>
      </c>
      <c r="C1427" t="str">
        <f>IFERROR(__xludf.DUMMYFUNCTION("GOOGLETRANSLATE(B1427, ""fr"", ""en"")"),"Very satisfied Kettle waited for more in stock for several months, but very happy to have been able to order it! The only for induction hob with a modern design that does not look bad! very fast heating times, whistles although not hot handle! I recommend"&amp;" !")</f>
        <v>Very satisfied Kettle waited for more in stock for several months, but very happy to have been able to order it! The only for induction hob with a modern design that does not look bad! very fast heating times, whistles although not hot handle! I recommend !</v>
      </c>
    </row>
    <row r="1428">
      <c r="A1428" s="1">
        <v>5.0</v>
      </c>
      <c r="B1428" s="1" t="s">
        <v>1423</v>
      </c>
      <c r="C1428" t="str">
        <f>IFERROR(__xludf.DUMMYFUNCTION("GOOGLETRANSLATE(B1428, ""fr"", ""en"")"),"Beautiful watch - very good price / quality daily use. Look worthy of a great brand of watch.")</f>
        <v>Beautiful watch - very good price / quality daily use. Look worthy of a great brand of watch.</v>
      </c>
    </row>
    <row r="1429">
      <c r="A1429" s="1">
        <v>5.0</v>
      </c>
      <c r="B1429" s="1" t="s">
        <v>1424</v>
      </c>
      <c r="C1429" t="str">
        <f>IFERROR(__xludf.DUMMYFUNCTION("GOOGLETRANSLATE(B1429, ""fr"", ""en"")"),"great shoes !!! real slippers, excellent product")</f>
        <v>great shoes !!! real slippers, excellent product</v>
      </c>
    </row>
    <row r="1430">
      <c r="A1430" s="1">
        <v>5.0</v>
      </c>
      <c r="B1430" s="1" t="s">
        <v>1425</v>
      </c>
      <c r="C1430" t="str">
        <f>IFERROR(__xludf.DUMMYFUNCTION("GOOGLETRANSLATE(B1430, ""fr"", ""en"")"),"Replace the broom !! &lt;Div id = ""video-block-R34WYXOFQZ4VQN"" class = ""a-section-spacing-small in-spacing-top mini video-block""&gt; &lt;/ div&gt; &lt;input type = ""hidden"" name = """" value = ""https://images-eu.ssl-images-amazon.com/images/I/81j5YkGzIOS.mp4"" cl"&amp;"ass = ""video-url""&gt; &lt;input type = ""hidden"" name = """" value = ""https: //images-eu.ssl-images-amazon.com/images/I/81j-7qPkgcS.png ""class ="" video-slate-img-url ""&gt; &amp; nbsp; handy vacuum cleaner, it completely replaces the broom, very handy it sucks w"&amp;"ell and he has a rather nice design! The small vacuum cleaner is also super easy to use for cleaning cars!")</f>
        <v>Replace the broom !! &lt;Div id = "video-block-R34WYXOFQZ4VQN" class = "a-section-spacing-small in-spacing-top mini video-block"&gt; &lt;/ div&gt; &lt;input type = "hidden" name = "" value = "https://images-eu.ssl-images-amazon.com/images/I/81j5YkGzIOS.mp4" class = "video-url"&gt; &lt;input type = "hidden" name = "" value = "https: //images-eu.ssl-images-amazon.com/images/I/81j-7qPkgcS.png "class =" video-slate-img-url "&gt; &amp; nbsp; handy vacuum cleaner, it completely replaces the broom, very handy it sucks well and he has a rather nice design! The small vacuum cleaner is also super easy to use for cleaning cars!</v>
      </c>
    </row>
    <row r="1431">
      <c r="A1431" s="1">
        <v>5.0</v>
      </c>
      <c r="B1431" s="1" t="s">
        <v>1426</v>
      </c>
      <c r="C1431" t="str">
        <f>IFERROR(__xludf.DUMMYFUNCTION("GOOGLETRANSLATE(B1431, ""fr"", ""en"")"),"Protection provided. Article satisfying. Protected fragile parts move. Very satisfied.")</f>
        <v>Protection provided. Article satisfying. Protected fragile parts move. Very satisfied.</v>
      </c>
    </row>
    <row r="1432">
      <c r="A1432" s="1">
        <v>5.0</v>
      </c>
      <c r="B1432" s="1" t="s">
        <v>1427</v>
      </c>
      <c r="C1432" t="str">
        <f>IFERROR(__xludf.DUMMYFUNCTION("GOOGLETRANSLATE(B1432, ""fr"", ""en"")"),"Great! To me it's really practical, pretty and great thanks")</f>
        <v>Great! To me it's really practical, pretty and great thanks</v>
      </c>
    </row>
    <row r="1433">
      <c r="A1433" s="1">
        <v>5.0</v>
      </c>
      <c r="B1433" s="1" t="s">
        <v>1428</v>
      </c>
      <c r="C1433" t="str">
        <f>IFERROR(__xludf.DUMMYFUNCTION("GOOGLETRANSLATE(B1433, ""fr"", ""en"")"),"The heat causes the relaxation I use the heating pad to relax down my spine because I have back problems. I use it every day and it's very calm my pain. I am very satisfied.")</f>
        <v>The heat causes the relaxation I use the heating pad to relax down my spine because I have back problems. I use it every day and it's very calm my pain. I am very satisfied.</v>
      </c>
    </row>
    <row r="1434">
      <c r="A1434" s="1">
        <v>5.0</v>
      </c>
      <c r="B1434" s="1" t="s">
        <v>1429</v>
      </c>
      <c r="C1434" t="str">
        <f>IFERROR(__xludf.DUMMYFUNCTION("GOOGLETRANSLATE(B1434, ""fr"", ""en"")"),"The timeless timeless sneakers, a model to look simple but still successful. The quality is quite good for this type of product, and comfort level no complaints! Regarding the size, they carve entirely fair. Take your exact size.")</f>
        <v>The timeless timeless sneakers, a model to look simple but still successful. The quality is quite good for this type of product, and comfort level no complaints! Regarding the size, they carve entirely fair. Take your exact size.</v>
      </c>
    </row>
    <row r="1435">
      <c r="A1435" s="1">
        <v>5.0</v>
      </c>
      <c r="B1435" s="1" t="s">
        <v>1430</v>
      </c>
      <c r="C1435" t="str">
        <f>IFERROR(__xludf.DUMMYFUNCTION("GOOGLETRANSLATE(B1435, ""fr"", ""en"")"),"Perfect for a lower budget than qc35 Bose home! imercif Headset sensations in 360! The sound without noise reduction is already very good but when you put music means nothing except the music that is very good with a good listening experience! Remains the"&amp;" setting has pofiner! I appreciate being able to disable the noise reduction! Missing is the touch buttons! Despite the sound, we still hear some sound environment!")</f>
        <v>Perfect for a lower budget than qc35 Bose home! imercif Headset sensations in 360! The sound without noise reduction is already very good but when you put music means nothing except the music that is very good with a good listening experience! Remains the setting has pofiner! I appreciate being able to disable the noise reduction! Missing is the touch buttons! Despite the sound, we still hear some sound environment!</v>
      </c>
    </row>
    <row r="1436">
      <c r="A1436" s="1">
        <v>5.0</v>
      </c>
      <c r="B1436" s="1" t="s">
        <v>1431</v>
      </c>
      <c r="C1436" t="str">
        <f>IFERROR(__xludf.DUMMYFUNCTION("GOOGLETRANSLATE(B1436, ""fr"", ""en"")"),"perfect working properly and fast delivery time")</f>
        <v>perfect working properly and fast delivery time</v>
      </c>
    </row>
    <row r="1437">
      <c r="A1437" s="1">
        <v>5.0</v>
      </c>
      <c r="B1437" s="1" t="s">
        <v>1432</v>
      </c>
      <c r="C1437" t="str">
        <f>IFERROR(__xludf.DUMMYFUNCTION("GOOGLETRANSLATE(B1437, ""fr"", ""en"")"),"ECOURTEURS WIRELESS SMART TV Excellent. Connects very easily. The transmitter switches on immediately using the USB cable and optical cable for me on a Smart TV. Headphones very light immediately recognized Bluetooth (blue LED emitter and receiver earphon"&amp;"e cable). Mute the TV remote control (mute). The sound is clear. The sound is not as good as a traditional stereo headphones but avoids the weight and heat of the ear. For people wearing glasses is an advantage. Many cable connections and very good packag"&amp;"ing. I've offered to a person who is delighted.")</f>
        <v>ECOURTEURS WIRELESS SMART TV Excellent. Connects very easily. The transmitter switches on immediately using the USB cable and optical cable for me on a Smart TV. Headphones very light immediately recognized Bluetooth (blue LED emitter and receiver earphone cable). Mute the TV remote control (mute). The sound is clear. The sound is not as good as a traditional stereo headphones but avoids the weight and heat of the ear. For people wearing glasses is an advantage. Many cable connections and very good packaging. I've offered to a person who is delighted.</v>
      </c>
    </row>
    <row r="1438">
      <c r="A1438" s="1">
        <v>2.0</v>
      </c>
      <c r="B1438" s="1" t="s">
        <v>1433</v>
      </c>
      <c r="C1438" t="str">
        <f>IFERROR(__xludf.DUMMYFUNCTION("GOOGLETRANSLATE(B1438, ""fr"", ""en"")"),"Quite Satisfied")</f>
        <v>Quite Satisfied</v>
      </c>
    </row>
    <row r="1439">
      <c r="A1439" s="1">
        <v>1.0</v>
      </c>
      <c r="B1439" s="1" t="s">
        <v>1434</v>
      </c>
      <c r="C1439" t="str">
        <f>IFERROR(__xludf.DUMMYFUNCTION("GOOGLETRANSLATE(B1439, ""fr"", ""en"")"),"Not terrible, not yours 😠 after a 4 day all my pictures we finally land and putting still 4 tab by tables on the pack until 7kg 😕 said the mine weighs no more than 360g I am really disappointed product and obviously because I hung its going to be compli"&amp;"cated to do so pay money wasted")</f>
        <v>Not terrible, not yours 😠 after a 4 day all my pictures we finally land and putting still 4 tab by tables on the pack until 7kg 😕 said the mine weighs no more than 360g I am really disappointed product and obviously because I hung its going to be complicated to do so pay money wasted</v>
      </c>
    </row>
    <row r="1440">
      <c r="A1440" s="1">
        <v>1.0</v>
      </c>
      <c r="B1440" s="1" t="s">
        <v>1435</v>
      </c>
      <c r="C1440" t="str">
        <f>IFERROR(__xludf.DUMMYFUNCTION("GOOGLETRANSLATE(B1440, ""fr"", ""en"")"),"I do not recommend Product not inconsistent with the description of the right material and not much is due to ankle")</f>
        <v>I do not recommend Product not inconsistent with the description of the right material and not much is due to ankle</v>
      </c>
    </row>
    <row r="1441">
      <c r="A1441" s="1">
        <v>3.0</v>
      </c>
      <c r="B1441" s="1" t="s">
        <v>1436</v>
      </c>
      <c r="C1441" t="str">
        <f>IFERROR(__xludf.DUMMYFUNCTION("GOOGLETRANSLATE(B1441, ""fr"", ""en"")"),"A handy Watch shows very practical with its many features and vibrate. I like the ergonomics of the control buttons, the quality of lighting, setting the time of ease. I do not like the excessive height of the housing. Price low and thus a good deal. merc"&amp;"hant service and impeccable delivery time.")</f>
        <v>A handy Watch shows very practical with its many features and vibrate. I like the ergonomics of the control buttons, the quality of lighting, setting the time of ease. I do not like the excessive height of the housing. Price low and thus a good deal. merchant service and impeccable delivery time.</v>
      </c>
    </row>
    <row r="1442">
      <c r="A1442" s="1">
        <v>3.0</v>
      </c>
      <c r="B1442" s="1" t="s">
        <v>1437</v>
      </c>
      <c r="C1442" t="str">
        <f>IFERROR(__xludf.DUMMYFUNCTION("GOOGLETRANSLATE(B1442, ""fr"", ""en"")"),"Polar winter average product. Size correct but blister on the fabric!")</f>
        <v>Polar winter average product. Size correct but blister on the fabric!</v>
      </c>
    </row>
    <row r="1443">
      <c r="A1443" s="1">
        <v>4.0</v>
      </c>
      <c r="B1443" s="1" t="s">
        <v>1438</v>
      </c>
      <c r="C1443" t="str">
        <f>IFERROR(__xludf.DUMMYFUNCTION("GOOGLETRANSLATE(B1443, ""fr"", ""en"")"),"Mixed ring. Very nice solid ring high quality, nice finish. Easy to find with the size chart provided.")</f>
        <v>Mixed ring. Very nice solid ring high quality, nice finish. Easy to find with the size chart provided.</v>
      </c>
    </row>
    <row r="1444">
      <c r="A1444" s="1">
        <v>4.0</v>
      </c>
      <c r="B1444" s="1" t="s">
        <v>1439</v>
      </c>
      <c r="C1444" t="str">
        <f>IFERROR(__xludf.DUMMYFUNCTION("GOOGLETRANSLATE(B1444, ""fr"", ""en"")"),"A gift that rained. It was that I offered these sneakers was thrilled.")</f>
        <v>A gift that rained. It was that I offered these sneakers was thrilled.</v>
      </c>
    </row>
    <row r="1445">
      <c r="A1445" s="1">
        <v>4.0</v>
      </c>
      <c r="B1445" s="1" t="s">
        <v>1440</v>
      </c>
      <c r="C1445" t="str">
        <f>IFERROR(__xludf.DUMMYFUNCTION("GOOGLETRANSLATE(B1445, ""fr"", ""en"")"),"Super Bought bracelet for joint pain. 1 month ago I feel better. Less muscle soreness I'm super excited.")</f>
        <v>Super Bought bracelet for joint pain. 1 month ago I feel better. Less muscle soreness I'm super excited.</v>
      </c>
    </row>
    <row r="1446">
      <c r="A1446" s="1">
        <v>4.0</v>
      </c>
      <c r="B1446" s="1" t="s">
        <v>1441</v>
      </c>
      <c r="C1446" t="str">
        <f>IFERROR(__xludf.DUMMYFUNCTION("GOOGLETRANSLATE(B1446, ""fr"", ""en"")"),"I recommend good quality product I recommend")</f>
        <v>I recommend good quality product I recommend</v>
      </c>
    </row>
    <row r="1447">
      <c r="A1447" s="1">
        <v>5.0</v>
      </c>
      <c r="B1447" s="1" t="s">
        <v>1442</v>
      </c>
      <c r="C1447" t="str">
        <f>IFERROR(__xludf.DUMMYFUNCTION("GOOGLETRANSLATE(B1447, ""fr"", ""en"")"),"Super Timeless 👍 👍 I did not leave and goes with everything 😉")</f>
        <v>Super Timeless 👍 👍 I did not leave and goes with everything 😉</v>
      </c>
    </row>
    <row r="1448">
      <c r="A1448" s="1">
        <v>5.0</v>
      </c>
      <c r="B1448" s="1" t="s">
        <v>1443</v>
      </c>
      <c r="C1448" t="str">
        <f>IFERROR(__xludf.DUMMYFUNCTION("GOOGLETRANSLATE(B1448, ""fr"", ""en"")"),"_ fast delivery efficiency to check in time Fast delivery and consistent with what was announced. I bought this product to scare away any birds ravaging my cherry. Efficacy validated in time for the moment, it is impossible to judge.")</f>
        <v>_ fast delivery efficiency to check in time Fast delivery and consistent with what was announced. I bought this product to scare away any birds ravaging my cherry. Efficacy validated in time for the moment, it is impossible to judge.</v>
      </c>
    </row>
    <row r="1449">
      <c r="A1449" s="1">
        <v>5.0</v>
      </c>
      <c r="B1449" s="1" t="s">
        <v>1444</v>
      </c>
      <c r="C1449" t="str">
        <f>IFERROR(__xludf.DUMMYFUNCTION("GOOGLETRANSLATE(B1449, ""fr"", ""en"")"),"Light practical and well designed This is a small compact lamp (14 x 14 x 4 cm) and lightweight (approx. 400 grams). It plugs into the mains, or its built-in battery (about 4 hours of charge for an hour of use). The manual provided is clear and complete. "&amp;"From a design mat, the lamp is very well finished, very easy to use: one button to turn it on, and two buttons to adjust the lighting power. The base on which it rests is not very stable, but still acceptable. I use it every day around twenty minutes betw"&amp;"een 9 AM and 10 AM in the morning, since 3 weeks and this poses no constraint me ... I'm retired, but I think in an office, its use should not disrupt your surroundings. Given its size and the fact that it is rechargeable, it can be taken everywhere (A st"&amp;"orage pocket is provided). Regarding its effectiveness, I can hardly say I do not have depression problem and I sleep properly. placebo effect can be, but I feel very active during the day since I started using this lamp ... For those unfamiliar with ligh"&amp;"t therapy and its positive effects against seasonal depression and sleep disorders, I would advise them to read articles about it on the internet and talk to their doctor's judgment will certainly be more accurate than mine.")</f>
        <v>Light practical and well designed This is a small compact lamp (14 x 14 x 4 cm) and lightweight (approx. 400 grams). It plugs into the mains, or its built-in battery (about 4 hours of charge for an hour of use). The manual provided is clear and complete. From a design mat, the lamp is very well finished, very easy to use: one button to turn it on, and two buttons to adjust the lighting power. The base on which it rests is not very stable, but still acceptable. I use it every day around twenty minutes between 9 AM and 10 AM in the morning, since 3 weeks and this poses no constraint me ... I'm retired, but I think in an office, its use should not disrupt your surroundings. Given its size and the fact that it is rechargeable, it can be taken everywhere (A storage pocket is provided). Regarding its effectiveness, I can hardly say I do not have depression problem and I sleep properly. placebo effect can be, but I feel very active during the day since I started using this lamp ... For those unfamiliar with light therapy and its positive effects against seasonal depression and sleep disorders, I would advise them to read articles about it on the internet and talk to their doctor's judgment will certainly be more accurate than mine.</v>
      </c>
    </row>
    <row r="1450">
      <c r="A1450" s="1">
        <v>5.0</v>
      </c>
      <c r="B1450" s="1" t="s">
        <v>1445</v>
      </c>
      <c r="C1450" t="str">
        <f>IFERROR(__xludf.DUMMYFUNCTION("GOOGLETRANSLATE(B1450, ""fr"", ""en"")"),"Perfect for security Meets the expected. Would recommend for those who work with stone, concrete blocks at home!")</f>
        <v>Perfect for security Meets the expected. Would recommend for those who work with stone, concrete blocks at home!</v>
      </c>
    </row>
    <row r="1451">
      <c r="A1451" s="1">
        <v>5.0</v>
      </c>
      <c r="B1451" s="1" t="s">
        <v>1446</v>
      </c>
      <c r="C1451" t="str">
        <f>IFERROR(__xludf.DUMMYFUNCTION("GOOGLETRANSLATE(B1451, ""fr"", ""en"")"),"Mystic I use this product to perfume rooms and make my cat not urinating some places. I recommend !!!")</f>
        <v>Mystic I use this product to perfume rooms and make my cat not urinating some places. I recommend !!!</v>
      </c>
    </row>
    <row r="1452">
      <c r="A1452" s="1">
        <v>5.0</v>
      </c>
      <c r="B1452" s="1" t="s">
        <v>1447</v>
      </c>
      <c r="C1452" t="str">
        <f>IFERROR(__xludf.DUMMYFUNCTION("GOOGLETRANSLATE(B1452, ""fr"", ""en"")"),"Great coffee! I recommend I bought this kettle as it gives the temperature of the water, essential to make a good tea. Its retro design is very chic. I highly recommend.")</f>
        <v>Great coffee! I recommend I bought this kettle as it gives the temperature of the water, essential to make a good tea. Its retro design is very chic. I highly recommend.</v>
      </c>
    </row>
    <row r="1453">
      <c r="A1453" s="1">
        <v>5.0</v>
      </c>
      <c r="B1453" s="1" t="s">
        <v>1448</v>
      </c>
      <c r="C1453" t="str">
        <f>IFERROR(__xludf.DUMMYFUNCTION("GOOGLETRANSLATE(B1453, ""fr"", ""en"")"),"Necklace silver heart I just got this really pretty necklace is pretty fine received with a jewelry box was very well presented I do not regret buying wash the contrary I highly recommend it for a gift purpose. 😃")</f>
        <v>Necklace silver heart I just got this really pretty necklace is pretty fine received with a jewelry box was very well presented I do not regret buying wash the contrary I highly recommend it for a gift purpose. 😃</v>
      </c>
    </row>
    <row r="1454">
      <c r="A1454" s="1">
        <v>5.0</v>
      </c>
      <c r="B1454" s="1" t="s">
        <v>1449</v>
      </c>
      <c r="C1454" t="str">
        <f>IFERROR(__xludf.DUMMYFUNCTION("GOOGLETRANSLATE(B1454, ""fr"", ""en"")"),"VALUE FOR MONEY PERFECT")</f>
        <v>VALUE FOR MONEY PERFECT</v>
      </c>
    </row>
    <row r="1455">
      <c r="A1455" s="1">
        <v>5.0</v>
      </c>
      <c r="B1455" s="1" t="s">
        <v>1450</v>
      </c>
      <c r="C1455" t="str">
        <f>IFERROR(__xludf.DUMMYFUNCTION("GOOGLETRANSLATE(B1455, ""fr"", ""en"")"),"It's good quality ink cartridges. RAS")</f>
        <v>It's good quality ink cartridges. RAS</v>
      </c>
    </row>
    <row r="1456">
      <c r="A1456" s="1">
        <v>5.0</v>
      </c>
      <c r="B1456" s="1" t="s">
        <v>1451</v>
      </c>
      <c r="C1456" t="str">
        <f>IFERROR(__xludf.DUMMYFUNCTION("GOOGLETRANSLATE(B1456, ""fr"", ""en"")"),"Surprising Compared clutter, the sound is very good, the bass is present but some saturate at maximum volume. The hard case and cable are good. The Bluetooth pairing is simple, just leave the center button depressed a few seconds. The Bluetooth range with"&amp;" the phone allows to move away from ten meters without signal loss, top! It is very stable on the ears, no worries to run with. I recommend!")</f>
        <v>Surprising Compared clutter, the sound is very good, the bass is present but some saturate at maximum volume. The hard case and cable are good. The Bluetooth pairing is simple, just leave the center button depressed a few seconds. The Bluetooth range with the phone allows to move away from ten meters without signal loss, top! It is very stable on the ears, no worries to run with. I recommend!</v>
      </c>
    </row>
    <row r="1457">
      <c r="A1457" s="1">
        <v>5.0</v>
      </c>
      <c r="B1457" s="1" t="s">
        <v>1452</v>
      </c>
      <c r="C1457" t="str">
        <f>IFERROR(__xludf.DUMMYFUNCTION("GOOGLETRANSLATE(B1457, ""fr"", ""en"")"),"Commissioned for my father for my father who is a fan of this brand, they are perfect for a great price !!")</f>
        <v>Commissioned for my father for my father who is a fan of this brand, they are perfect for a great price !!</v>
      </c>
    </row>
    <row r="1458">
      <c r="A1458" s="1">
        <v>5.0</v>
      </c>
      <c r="B1458" s="1" t="s">
        <v>508</v>
      </c>
      <c r="C1458" t="str">
        <f>IFERROR(__xludf.DUMMYFUNCTION("GOOGLETRANSLATE(B1458, ""fr"", ""en"")"),"Very well very well")</f>
        <v>Very well very well</v>
      </c>
    </row>
    <row r="1459">
      <c r="A1459" s="1">
        <v>5.0</v>
      </c>
      <c r="B1459" s="1" t="s">
        <v>1453</v>
      </c>
      <c r="C1459" t="str">
        <f>IFERROR(__xludf.DUMMYFUNCTION("GOOGLETRANSLATE(B1459, ""fr"", ""en"")"),"best birthday gift of fashion for young women 23 years they are delighted")</f>
        <v>best birthday gift of fashion for young women 23 years they are delighted</v>
      </c>
    </row>
    <row r="1460">
      <c r="A1460" s="1">
        <v>5.0</v>
      </c>
      <c r="B1460" s="1" t="s">
        <v>1454</v>
      </c>
      <c r="C1460" t="str">
        <f>IFERROR(__xludf.DUMMYFUNCTION("GOOGLETRANSLATE(B1460, ""fr"", ""en"")"),"Top! My first watch casio. I bought it out of curiosity and I am delighted. Watch very discreet (we forget that the door so that it is fine), to the basic functions (stopwatch, date, light, waterproof) and the little ""beep"" every hour is practical.")</f>
        <v>Top! My first watch casio. I bought it out of curiosity and I am delighted. Watch very discreet (we forget that the door so that it is fine), to the basic functions (stopwatch, date, light, waterproof) and the little "beep" every hour is practical.</v>
      </c>
    </row>
    <row r="1461">
      <c r="A1461" s="1">
        <v>5.0</v>
      </c>
      <c r="B1461" s="1" t="s">
        <v>1455</v>
      </c>
      <c r="C1461" t="str">
        <f>IFERROR(__xludf.DUMMYFUNCTION("GOOGLETRANSLATE(B1461, ""fr"", ""en"")"),"Great product Very practical. Received very quickly. Easy clean")</f>
        <v>Great product Very practical. Received very quickly. Easy clean</v>
      </c>
    </row>
    <row r="1462">
      <c r="A1462" s="1">
        <v>5.0</v>
      </c>
      <c r="B1462" s="1" t="s">
        <v>1456</v>
      </c>
      <c r="C1462" t="str">
        <f>IFERROR(__xludf.DUMMYFUNCTION("GOOGLETRANSLATE(B1462, ""fr"", ""en"")"),"TEMPERATURE OF THE SEA I swim hard and long, early in the season and back season, in combination if necessary. It is important for me to know the temperature of the water, according to the weather. This shows up to my expectations, easy to use, (explanato"&amp;"ry leaflet in French), very readable digits, flexible strap that fits my small wrist. (I'm a woman). But this model has other applications I recommend ...")</f>
        <v>TEMPERATURE OF THE SEA I swim hard and long, early in the season and back season, in combination if necessary. It is important for me to know the temperature of the water, according to the weather. This shows up to my expectations, easy to use, (explanatory leaflet in French), very readable digits, flexible strap that fits my small wrist. (I'm a woman). But this model has other applications I recommend ...</v>
      </c>
    </row>
    <row r="1463">
      <c r="A1463" s="1">
        <v>2.0</v>
      </c>
      <c r="B1463" s="1" t="s">
        <v>1457</v>
      </c>
      <c r="C1463" t="str">
        <f>IFERROR(__xludf.DUMMYFUNCTION("GOOGLETRANSLATE(B1463, ""fr"", ""en"")"),"No sound The sound is very light and yet the charge is 100%")</f>
        <v>No sound The sound is very light and yet the charge is 100%</v>
      </c>
    </row>
    <row r="1464">
      <c r="A1464" s="1">
        <v>1.0</v>
      </c>
      <c r="B1464" s="1" t="s">
        <v>1458</v>
      </c>
      <c r="C1464" t="str">
        <f>IFERROR(__xludf.DUMMYFUNCTION("GOOGLETRANSLATE(B1464, ""fr"", ""en"")"),"Refunded or exchanged? Menteau too recut and recut with toupee hood colplètement stained.")</f>
        <v>Refunded or exchanged? Menteau too recut and recut with toupee hood colplètement stained.</v>
      </c>
    </row>
    <row r="1465">
      <c r="A1465" s="1">
        <v>1.0</v>
      </c>
      <c r="B1465" s="1" t="s">
        <v>1459</v>
      </c>
      <c r="C1465" t="str">
        <f>IFERROR(__xludf.DUMMYFUNCTION("GOOGLETRANSLATE(B1465, ""fr"", ""en"")"),"Not recommended. Nice little coffee; pity that the switch no longer works with two uses. I'll try to ask that it be replaced. Made in China, of course.")</f>
        <v>Not recommended. Nice little coffee; pity that the switch no longer works with two uses. I'll try to ask that it be replaced. Made in China, of course.</v>
      </c>
    </row>
    <row r="1466">
      <c r="A1466" s="1">
        <v>3.0</v>
      </c>
      <c r="B1466" s="1" t="s">
        <v>1460</v>
      </c>
      <c r="C1466" t="str">
        <f>IFERROR(__xludf.DUMMYFUNCTION("GOOGLETRANSLATE(B1466, ""fr"", ""en"")"),"Compliant and comfortable to wear, but a little light (fragile) finished goods, soft and comfortable to wear, but I do not think they will fire as long weaving a bit light and heels not reinforced. Not unhappy, but I expected a little better from Puma in "&amp;"terms of resistance and durability over time")</f>
        <v>Compliant and comfortable to wear, but a little light (fragile) finished goods, soft and comfortable to wear, but I do not think they will fire as long weaving a bit light and heels not reinforced. Not unhappy, but I expected a little better from Puma in terms of resistance and durability over time</v>
      </c>
    </row>
    <row r="1467">
      <c r="A1467" s="1">
        <v>4.0</v>
      </c>
      <c r="B1467" s="1" t="s">
        <v>1461</v>
      </c>
      <c r="C1467" t="str">
        <f>IFERROR(__xludf.DUMMYFUNCTION("GOOGLETRANSLATE(B1467, ""fr"", ""en"")"),"Beautiful resistant watch Watch perfect for me who discovered the world of G-Shock. It is part of the heritage of this brand. Very easy to use, even without reading the manual. One regret, I received it with a micro scratch on the screen but it is seen as"&amp;" closely enough no need to return it. Sending fast and cheapest price compared to physical stores.")</f>
        <v>Beautiful resistant watch Watch perfect for me who discovered the world of G-Shock. It is part of the heritage of this brand. Very easy to use, even without reading the manual. One regret, I received it with a micro scratch on the screen but it is seen as closely enough no need to return it. Sending fast and cheapest price compared to physical stores.</v>
      </c>
    </row>
    <row r="1468">
      <c r="A1468" s="1">
        <v>4.0</v>
      </c>
      <c r="B1468" s="1" t="s">
        <v>1462</v>
      </c>
      <c r="C1468" t="str">
        <f>IFERROR(__xludf.DUMMYFUNCTION("GOOGLETRANSLATE(B1468, ""fr"", ""en"")"),"good product perfect for forest walks, playing sports is soft and warm and has a nice cut")</f>
        <v>good product perfect for forest walks, playing sports is soft and warm and has a nice cut</v>
      </c>
    </row>
    <row r="1469">
      <c r="A1469" s="1">
        <v>4.0</v>
      </c>
      <c r="B1469" s="1" t="s">
        <v>1463</v>
      </c>
      <c r="C1469" t="str">
        <f>IFERROR(__xludf.DUMMYFUNCTION("GOOGLETRANSLATE(B1469, ""fr"", ""en"")"),"Cheap and very good This microphone is ideal for achieving what I wanted to do. I wanted to improve training video recordings I make with a screenshot of the software, and this Bird UM1 USB connects perfectly with the Mac, and works right away. The sound "&amp;"quality is extremely good for this type of use. There are no complaints about manufacturing. It will probably buy an anti-plosive filter to make my recordings a success.")</f>
        <v>Cheap and very good This microphone is ideal for achieving what I wanted to do. I wanted to improve training video recordings I make with a screenshot of the software, and this Bird UM1 USB connects perfectly with the Mac, and works right away. The sound quality is extremely good for this type of use. There are no complaints about manufacturing. It will probably buy an anti-plosive filter to make my recordings a success.</v>
      </c>
    </row>
    <row r="1470">
      <c r="A1470" s="1">
        <v>4.0</v>
      </c>
      <c r="B1470" s="1" t="s">
        <v>1464</v>
      </c>
      <c r="C1470" t="str">
        <f>IFERROR(__xludf.DUMMYFUNCTION("GOOGLETRANSLATE(B1470, ""fr"", ""en"")"),"Well except for two plugs Eats pack felts. Only flat caps hold very badly, so it will always go behind your children to check. After the fine mines are still solid. Wide choice of color.")</f>
        <v>Well except for two plugs Eats pack felts. Only flat caps hold very badly, so it will always go behind your children to check. After the fine mines are still solid. Wide choice of color.</v>
      </c>
    </row>
    <row r="1471">
      <c r="A1471" s="1">
        <v>5.0</v>
      </c>
      <c r="B1471" s="1" t="s">
        <v>1465</v>
      </c>
      <c r="C1471" t="str">
        <f>IFERROR(__xludf.DUMMYFUNCTION("GOOGLETRANSLATE(B1471, ""fr"", ""en"")"),"Super impeccable and beautiful")</f>
        <v>Super impeccable and beautiful</v>
      </c>
    </row>
    <row r="1472">
      <c r="A1472" s="1">
        <v>5.0</v>
      </c>
      <c r="B1472" s="1" t="s">
        <v>1466</v>
      </c>
      <c r="C1472" t="str">
        <f>IFERROR(__xludf.DUMMYFUNCTION("GOOGLETRANSLATE(B1472, ""fr"", ""en"")"),"I recommend light Sympas and good quality for the price")</f>
        <v>I recommend light Sympas and good quality for the price</v>
      </c>
    </row>
    <row r="1473">
      <c r="A1473" s="1">
        <v>5.0</v>
      </c>
      <c r="B1473" s="1" t="s">
        <v>1467</v>
      </c>
      <c r="C1473" t="str">
        <f>IFERROR(__xludf.DUMMYFUNCTION("GOOGLETRANSLATE(B1473, ""fr"", ""en"")"),"rug")</f>
        <v>rug</v>
      </c>
    </row>
    <row r="1474">
      <c r="A1474" s="1">
        <v>5.0</v>
      </c>
      <c r="B1474" s="1" t="s">
        <v>1468</v>
      </c>
      <c r="C1474" t="str">
        <f>IFERROR(__xludf.DUMMYFUNCTION("GOOGLETRANSLATE(B1474, ""fr"", ""en"")"),"Fits perfectly Nothing wrong")</f>
        <v>Fits perfectly Nothing wrong</v>
      </c>
    </row>
    <row r="1475">
      <c r="A1475" s="1">
        <v>5.0</v>
      </c>
      <c r="B1475" s="1" t="s">
        <v>1469</v>
      </c>
      <c r="C1475" t="str">
        <f>IFERROR(__xludf.DUMMYFUNCTION("GOOGLETRANSLATE(B1475, ""fr"", ""en"")"),"Although Converse cut, comfortable nickel")</f>
        <v>Although Converse cut, comfortable nickel</v>
      </c>
    </row>
    <row r="1476">
      <c r="A1476" s="1">
        <v>5.0</v>
      </c>
      <c r="B1476" s="1" t="s">
        <v>1470</v>
      </c>
      <c r="C1476" t="str">
        <f>IFERROR(__xludf.DUMMYFUNCTION("GOOGLETRANSLATE(B1476, ""fr"", ""en"")"),"Perfect ! Very nice shoes they sparkling and are enhanced as I wanted. For my part I play sports with and is nickel because I do not support flat sneakers.")</f>
        <v>Perfect ! Very nice shoes they sparkling and are enhanced as I wanted. For my part I play sports with and is nickel because I do not support flat sneakers.</v>
      </c>
    </row>
    <row r="1477">
      <c r="A1477" s="1">
        <v>5.0</v>
      </c>
      <c r="B1477" s="1" t="s">
        <v>1471</v>
      </c>
      <c r="C1477" t="str">
        <f>IFERROR(__xludf.DUMMYFUNCTION("GOOGLETRANSLATE(B1477, ""fr"", ""en"")"),"Satisfied Perfect in 2-3-4 mm for piercings very close like mine, no allergies, the clasps are well, I am very satisfied")</f>
        <v>Satisfied Perfect in 2-3-4 mm for piercings very close like mine, no allergies, the clasps are well, I am very satisfied</v>
      </c>
    </row>
    <row r="1478">
      <c r="A1478" s="1">
        <v>5.0</v>
      </c>
      <c r="B1478" s="1" t="s">
        <v>1472</v>
      </c>
      <c r="C1478" t="str">
        <f>IFERROR(__xludf.DUMMYFUNCTION("GOOGLETRANSLATE(B1478, ""fr"", ""en"")"),"Easy to maintain and resistant Excellent sock for active walking")</f>
        <v>Easy to maintain and resistant Excellent sock for active walking</v>
      </c>
    </row>
    <row r="1479">
      <c r="A1479" s="1">
        <v>5.0</v>
      </c>
      <c r="B1479" s="1" t="s">
        <v>1473</v>
      </c>
      <c r="C1479" t="str">
        <f>IFERROR(__xludf.DUMMYFUNCTION("GOOGLETRANSLATE(B1479, ""fr"", ""en"")"),"Simple but effective Fast delivery. Hardly arrived it was tested! wood design style gives it a nice style Simply put water a few drops of essential oils and it fulfills its function. It diffuses a small steam so pay attention to the supports below and can"&amp;" be turned on with a small light. very easy to use")</f>
        <v>Simple but effective Fast delivery. Hardly arrived it was tested! wood design style gives it a nice style Simply put water a few drops of essential oils and it fulfills its function. It diffuses a small steam so pay attention to the supports below and can be turned on with a small light. very easy to use</v>
      </c>
    </row>
    <row r="1480">
      <c r="A1480" s="1">
        <v>5.0</v>
      </c>
      <c r="B1480" s="1" t="s">
        <v>1474</v>
      </c>
      <c r="C1480" t="str">
        <f>IFERROR(__xludf.DUMMYFUNCTION("GOOGLETRANSLATE(B1480, ""fr"", ""en"")"),"Delighted Okay, I'm happy! I have to open the cap for the desired temperature, but it goes very fast. She is beautiful and the advantage is that you can choose what temperature nimporte that one wishes!")</f>
        <v>Delighted Okay, I'm happy! I have to open the cap for the desired temperature, but it goes very fast. She is beautiful and the advantage is that you can choose what temperature nimporte that one wishes!</v>
      </c>
    </row>
    <row r="1481">
      <c r="A1481" s="1">
        <v>5.0</v>
      </c>
      <c r="B1481" s="1" t="s">
        <v>1475</v>
      </c>
      <c r="C1481" t="str">
        <f>IFERROR(__xludf.DUMMYFUNCTION("GOOGLETRANSLATE(B1481, ""fr"", ""en"")"),"Laundry done for skin or allergy problems My wire did a lot of skin reaction but with laundry sequin more concern ... was dosed as easily leave a white deposit in the machine.")</f>
        <v>Laundry done for skin or allergy problems My wire did a lot of skin reaction but with laundry sequin more concern ... was dosed as easily leave a white deposit in the machine.</v>
      </c>
    </row>
    <row r="1482">
      <c r="A1482" s="1">
        <v>5.0</v>
      </c>
      <c r="B1482" s="1" t="s">
        <v>1476</v>
      </c>
      <c r="C1482" t="str">
        <f>IFERROR(__xludf.DUMMYFUNCTION("GOOGLETRANSLATE(B1482, ""fr"", ""en"")"),"All 972 Heavy as dab")</f>
        <v>All 972 Heavy as dab</v>
      </c>
    </row>
    <row r="1483">
      <c r="A1483" s="1">
        <v>5.0</v>
      </c>
      <c r="B1483" s="1" t="s">
        <v>1477</v>
      </c>
      <c r="C1483" t="str">
        <f>IFERROR(__xludf.DUMMYFUNCTION("GOOGLETRANSLATE(B1483, ""fr"", ""en"")"),"Headphones high quality headset perfect nothing to criticize! confortable..isolant well le.bruit surrounding helmet.")</f>
        <v>Headphones high quality headset perfect nothing to criticize! confortable..isolant well le.bruit surrounding helmet.</v>
      </c>
    </row>
    <row r="1484">
      <c r="A1484" s="1">
        <v>5.0</v>
      </c>
      <c r="B1484" s="1" t="s">
        <v>1478</v>
      </c>
      <c r="C1484" t="str">
        <f>IFERROR(__xludf.DUMMYFUNCTION("GOOGLETRANSLATE(B1484, ""fr"", ""en"")"),"this wonderful gift Amethyst Swarovski crystal bracelet comes in an elegant gift box jewelry, I have offered my wife for wedding anniversary occasion and was thrilled .. This is a very nice bracelet, Jewelry in elegant crystal, it is very good (weather co"&amp;"nfirm). very nice and gives excellent effect on the wrist. my wife is thrilled! At this price, easy to please.")</f>
        <v>this wonderful gift Amethyst Swarovski crystal bracelet comes in an elegant gift box jewelry, I have offered my wife for wedding anniversary occasion and was thrilled .. This is a very nice bracelet, Jewelry in elegant crystal, it is very good (weather confirm). very nice and gives excellent effect on the wrist. my wife is thrilled! At this price, easy to please.</v>
      </c>
    </row>
    <row r="1485">
      <c r="A1485" s="1">
        <v>5.0</v>
      </c>
      <c r="B1485" s="1" t="s">
        <v>1479</v>
      </c>
      <c r="C1485" t="str">
        <f>IFERROR(__xludf.DUMMYFUNCTION("GOOGLETRANSLATE(B1485, ""fr"", ""en"")"),"Perfect for pre-heating the part of the back in bed before bed perfect for preheating the part of the back in bed before bed temperature is nice, it deserves to be a little warmer, especially since it's expected ( for me) to preheat the part of the bed wh"&amp;"ere the back will be. It is imperative to the temperature max c. to r .: 3")</f>
        <v>Perfect for pre-heating the part of the back in bed before bed perfect for preheating the part of the back in bed before bed temperature is nice, it deserves to be a little warmer, especially since it's expected ( for me) to preheat the part of the bed where the back will be. It is imperative to the temperature max c. to r .: 3</v>
      </c>
    </row>
    <row r="1486">
      <c r="A1486" s="1">
        <v>2.0</v>
      </c>
      <c r="B1486" s="1" t="s">
        <v>1480</v>
      </c>
      <c r="C1486" t="str">
        <f>IFERROR(__xludf.DUMMYFUNCTION("GOOGLETRANSLATE(B1486, ""fr"", ""en"")"),"Arrivals broken very beautiful earrings, very fine but arrived broken suddenly I can not put shame because they liked very much.")</f>
        <v>Arrivals broken very beautiful earrings, very fine but arrived broken suddenly I can not put shame because they liked very much.</v>
      </c>
    </row>
    <row r="1487">
      <c r="A1487" s="1">
        <v>1.0</v>
      </c>
      <c r="B1487" s="1" t="s">
        <v>1481</v>
      </c>
      <c r="C1487" t="str">
        <f>IFERROR(__xludf.DUMMYFUNCTION("GOOGLETRANSLATE(B1487, ""fr"", ""en"")"),"Roland not the product is very poorly stitched at the elbows")</f>
        <v>Roland not the product is very poorly stitched at the elbows</v>
      </c>
    </row>
    <row r="1488">
      <c r="A1488" s="1">
        <v>3.0</v>
      </c>
      <c r="B1488" s="1" t="s">
        <v>1482</v>
      </c>
      <c r="C1488" t="str">
        <f>IFERROR(__xludf.DUMMYFUNCTION("GOOGLETRANSLATE(B1488, ""fr"", ""en"")"),"good shoe wooden shoe and cook, properly size now see in the long term for qualiter otherwise seen as his has the quality area")</f>
        <v>good shoe wooden shoe and cook, properly size now see in the long term for qualiter otherwise seen as his has the quality area</v>
      </c>
    </row>
    <row r="1489">
      <c r="A1489" s="1">
        <v>3.0</v>
      </c>
      <c r="B1489" s="1" t="s">
        <v>1483</v>
      </c>
      <c r="C1489" t="str">
        <f>IFERROR(__xludf.DUMMYFUNCTION("GOOGLETRANSLATE(B1489, ""fr"", ""en"")"),"Product correct way color photos printed on do not keep their original vivacity. The photos do not remain flat. They twist.")</f>
        <v>Product correct way color photos printed on do not keep their original vivacity. The photos do not remain flat. They twist.</v>
      </c>
    </row>
    <row r="1490">
      <c r="A1490" s="1">
        <v>4.0</v>
      </c>
      <c r="B1490" s="1" t="s">
        <v>1484</v>
      </c>
      <c r="C1490" t="str">
        <f>IFERROR(__xludf.DUMMYFUNCTION("GOOGLETRANSLATE(B1490, ""fr"", ""en"")"),"Size large, nice quality Bought for my 13 year old son in S, carried by my companion who normally wears L. A little big, but otherwise nice product, good quality. Satisfied, but not for good carrier.")</f>
        <v>Size large, nice quality Bought for my 13 year old son in S, carried by my companion who normally wears L. A little big, but otherwise nice product, good quality. Satisfied, but not for good carrier.</v>
      </c>
    </row>
    <row r="1491">
      <c r="A1491" s="1">
        <v>4.0</v>
      </c>
      <c r="B1491" s="1" t="s">
        <v>1485</v>
      </c>
      <c r="C1491" t="str">
        <f>IFERROR(__xludf.DUMMYFUNCTION("GOOGLETRANSLATE(B1491, ""fr"", ""en"")"),"Quite expensive but correct quality No worry at the order, delivery is fast, well packaged product. But these cartridges are quite expensive, although I prefer to use HP cartridges cartridges rather than ""non-genuine"", the quality is good but not except"&amp;"ional. I have not counted the number of pages we print with a set of black cartridge / colors, but I think it's not huge. However the difference between ""normal"" cartridge and the cartridge ""XL"" stands out.")</f>
        <v>Quite expensive but correct quality No worry at the order, delivery is fast, well packaged product. But these cartridges are quite expensive, although I prefer to use HP cartridges cartridges rather than "non-genuine", the quality is good but not exceptional. I have not counted the number of pages we print with a set of black cartridge / colors, but I think it's not huge. However the difference between "normal" cartridge and the cartridge "XL" stands out.</v>
      </c>
    </row>
    <row r="1492">
      <c r="A1492" s="1">
        <v>4.0</v>
      </c>
      <c r="B1492" s="1" t="s">
        <v>1486</v>
      </c>
      <c r="C1492" t="str">
        <f>IFERROR(__xludf.DUMMYFUNCTION("GOOGLETRANSLATE(B1492, ""fr"", ""en"")"),"A book to put all hands Texts are a little too minimalist perhaps, but the illustrations are really beautiful, original and full of creativity, which is valuable to evoke that of women! All kinds of women, not just politically correct heroines because eve"&amp;"n Thatcher contained therein: no reason! gender equality is also to give women the right to be as hard as men!")</f>
        <v>A book to put all hands Texts are a little too minimalist perhaps, but the illustrations are really beautiful, original and full of creativity, which is valuable to evoke that of women! All kinds of women, not just politically correct heroines because even Thatcher contained therein: no reason! gender equality is also to give women the right to be as hard as men!</v>
      </c>
    </row>
    <row r="1493">
      <c r="A1493" s="1">
        <v>4.0</v>
      </c>
      <c r="B1493" s="1" t="s">
        <v>1487</v>
      </c>
      <c r="C1493" t="str">
        <f>IFERROR(__xludf.DUMMYFUNCTION("GOOGLETRANSLATE(B1493, ""fr"", ""en"")"),"Well Done job are.")</f>
        <v>Well Done job are.</v>
      </c>
    </row>
    <row r="1494">
      <c r="A1494" s="1">
        <v>4.0</v>
      </c>
      <c r="B1494" s="1" t="s">
        <v>1488</v>
      </c>
      <c r="C1494" t="str">
        <f>IFERROR(__xludf.DUMMYFUNCTION("GOOGLETRANSLATE(B1494, ""fr"", ""en"")"),"Biovie Black Soap Liquid Painting Lin 1 L - 2 Pack Good product, efficient washing, and proper use.")</f>
        <v>Biovie Black Soap Liquid Painting Lin 1 L - 2 Pack Good product, efficient washing, and proper use.</v>
      </c>
    </row>
    <row r="1495">
      <c r="A1495" s="1">
        <v>5.0</v>
      </c>
      <c r="B1495" s="1" t="s">
        <v>1489</v>
      </c>
      <c r="C1495" t="str">
        <f>IFERROR(__xludf.DUMMYFUNCTION("GOOGLETRANSLATE(B1495, ""fr"", ""en"")"),"Perfect for a while I wanted a Casio watch. I think that's very nice, élegante dressed. It is easily adjustable and fits any wrist !! Comfortable, she marries held any type. She resisted a few drops of water type if you wash your hands or made dishes or r"&amp;"aining outside, no worries !!")</f>
        <v>Perfect for a while I wanted a Casio watch. I think that's very nice, élegante dressed. It is easily adjustable and fits any wrist !! Comfortable, she marries held any type. She resisted a few drops of water type if you wash your hands or made dishes or raining outside, no worries !!</v>
      </c>
    </row>
    <row r="1496">
      <c r="A1496" s="1">
        <v>5.0</v>
      </c>
      <c r="B1496" s="1" t="s">
        <v>1490</v>
      </c>
      <c r="C1496" t="str">
        <f>IFERROR(__xludf.DUMMYFUNCTION("GOOGLETRANSLATE(B1496, ""fr"", ""en"")"),"recommends Nikel")</f>
        <v>recommends Nikel</v>
      </c>
    </row>
    <row r="1497">
      <c r="A1497" s="1">
        <v>5.0</v>
      </c>
      <c r="B1497" s="1" t="s">
        <v>1491</v>
      </c>
      <c r="C1497" t="str">
        <f>IFERROR(__xludf.DUMMYFUNCTION("GOOGLETRANSLATE(B1497, ""fr"", ""en"")"),"bag chest I am very happy and really convenient bulky as it is on is great product")</f>
        <v>bag chest I am very happy and really convenient bulky as it is on is great product</v>
      </c>
    </row>
    <row r="1498">
      <c r="A1498" s="1">
        <v>5.0</v>
      </c>
      <c r="B1498" s="1" t="s">
        <v>1492</v>
      </c>
      <c r="C1498" t="str">
        <f>IFERROR(__xludf.DUMMYFUNCTION("GOOGLETRANSLATE(B1498, ""fr"", ""en"")"),"Very comfortable shoes I Impecable of 39 I took 39 and they go very well. very condortable")</f>
        <v>Very comfortable shoes I Impecable of 39 I took 39 and they go very well. very condortable</v>
      </c>
    </row>
    <row r="1499">
      <c r="A1499" s="1">
        <v>5.0</v>
      </c>
      <c r="B1499" s="1" t="s">
        <v>1493</v>
      </c>
      <c r="C1499" t="str">
        <f>IFERROR(__xludf.DUMMYFUNCTION("GOOGLETRANSLATE(B1499, ""fr"", ""en"")"),"Slippers for comfortable hiking Hyper. Very good sole that allows everything through. Gives a nice style and more.")</f>
        <v>Slippers for comfortable hiking Hyper. Very good sole that allows everything through. Gives a nice style and more.</v>
      </c>
    </row>
    <row r="1500">
      <c r="A1500" s="1">
        <v>5.0</v>
      </c>
      <c r="B1500" s="1" t="s">
        <v>1494</v>
      </c>
      <c r="C1500" t="str">
        <f>IFERROR(__xludf.DUMMYFUNCTION("GOOGLETRANSLATE(B1500, ""fr"", ""en"")"),"Excellent product The foot is fortunately equipped with clamps. The weight of this microphone is perfect for the arm fully extended. Very pleasantly surprised by the bandwidth of the microphone to my ear is perfect. Very good quality especially at that pr"&amp;"ice point. Before the questions come: Yes, it needs phantom power if no sound! It is preferable to replace the 3.5mm cable end by a male XLR connector. I highly recommend.")</f>
        <v>Excellent product The foot is fortunately equipped with clamps. The weight of this microphone is perfect for the arm fully extended. Very pleasantly surprised by the bandwidth of the microphone to my ear is perfect. Very good quality especially at that price point. Before the questions come: Yes, it needs phantom power if no sound! It is preferable to replace the 3.5mm cable end by a male XLR connector. I highly recommend.</v>
      </c>
    </row>
    <row r="1501">
      <c r="A1501" s="1">
        <v>5.0</v>
      </c>
      <c r="B1501" s="1" t="s">
        <v>1495</v>
      </c>
      <c r="C1501" t="str">
        <f>IFERROR(__xludf.DUMMYFUNCTION("GOOGLETRANSLATE(B1501, ""fr"", ""en"")"),"Very beautiful curls Lovely Creole money. She is very thin and discreet while being great. The slight advantage to wear so it does not distort the earlobe. The clasp is easy to slide closed.")</f>
        <v>Very beautiful curls Lovely Creole money. She is very thin and discreet while being great. The slight advantage to wear so it does not distort the earlobe. The clasp is easy to slide closed.</v>
      </c>
    </row>
    <row r="1502">
      <c r="A1502" s="1">
        <v>5.0</v>
      </c>
      <c r="B1502" s="1" t="s">
        <v>1496</v>
      </c>
      <c r="C1502" t="str">
        <f>IFERROR(__xludf.DUMMYFUNCTION("GOOGLETRANSLATE(B1502, ""fr"", ""en"")"),"Top Very good and quick delivery")</f>
        <v>Top Very good and quick delivery</v>
      </c>
    </row>
    <row r="1503">
      <c r="A1503" s="1">
        <v>5.0</v>
      </c>
      <c r="B1503" s="1" t="s">
        <v>1497</v>
      </c>
      <c r="C1503" t="str">
        <f>IFERROR(__xludf.DUMMYFUNCTION("GOOGLETRANSLATE(B1503, ""fr"", ""en"")"),"Perfect Waterproof, practical, solid. Done perfectly work. And durable. Rubber high quality resistant to shocks. Good product .")</f>
        <v>Perfect Waterproof, practical, solid. Done perfectly work. And durable. Rubber high quality resistant to shocks. Good product .</v>
      </c>
    </row>
    <row r="1504">
      <c r="A1504" s="1">
        <v>5.0</v>
      </c>
      <c r="B1504" s="1" t="s">
        <v>1498</v>
      </c>
      <c r="C1504" t="str">
        <f>IFERROR(__xludf.DUMMYFUNCTION("GOOGLETRANSLATE(B1504, ""fr"", ""en"")"),"Perfect one was ordered 330ml 270 because it felt right. We love Dodie and her animals. Teat solid. I recommend.")</f>
        <v>Perfect one was ordered 330ml 270 because it felt right. We love Dodie and her animals. Teat solid. I recommend.</v>
      </c>
    </row>
    <row r="1505">
      <c r="A1505" s="1">
        <v>5.0</v>
      </c>
      <c r="B1505" s="1" t="s">
        <v>1499</v>
      </c>
      <c r="C1505" t="str">
        <f>IFERROR(__xludf.DUMMYFUNCTION("GOOGLETRANSLATE(B1505, ""fr"", ""en"")"),"Comfortable and well adjusted Shorty very wearable by the material and cut. It takes good size without overwriting the belly and go too high and goes down well just barely above mid thigh. A shorty worthy of the name and not a panty. Perfect !")</f>
        <v>Comfortable and well adjusted Shorty very wearable by the material and cut. It takes good size without overwriting the belly and go too high and goes down well just barely above mid thigh. A shorty worthy of the name and not a panty. Perfect !</v>
      </c>
    </row>
    <row r="1506">
      <c r="A1506" s="1">
        <v>5.0</v>
      </c>
      <c r="B1506" s="1" t="s">
        <v>1500</v>
      </c>
      <c r="C1506" t="str">
        <f>IFERROR(__xludf.DUMMYFUNCTION("GOOGLETRANSLATE(B1506, ""fr"", ""en"")"),"birthday gift idea These felts have had good success for my daughter's birthday! Original, this changes candy!")</f>
        <v>birthday gift idea These felts have had good success for my daughter's birthday! Original, this changes candy!</v>
      </c>
    </row>
    <row r="1507">
      <c r="A1507" s="1">
        <v>5.0</v>
      </c>
      <c r="B1507" s="1" t="s">
        <v>1501</v>
      </c>
      <c r="C1507" t="str">
        <f>IFERROR(__xludf.DUMMYFUNCTION("GOOGLETRANSLATE(B1507, ""fr"", ""en"")"),"super comfortable men I served all day at work they are great")</f>
        <v>super comfortable men I served all day at work they are great</v>
      </c>
    </row>
    <row r="1508">
      <c r="A1508" s="1">
        <v>5.0</v>
      </c>
      <c r="B1508" s="1" t="s">
        <v>1502</v>
      </c>
      <c r="C1508" t="str">
        <f>IFERROR(__xludf.DUMMYFUNCTION("GOOGLETRANSLATE(B1508, ""fr"", ""en"")"),"Very nice shoe but great Shoe excessive Chausse")</f>
        <v>Very nice shoe but great Shoe excessive Chausse</v>
      </c>
    </row>
    <row r="1509">
      <c r="A1509" s="1">
        <v>5.0</v>
      </c>
      <c r="B1509" s="1" t="s">
        <v>1417</v>
      </c>
      <c r="C1509" t="str">
        <f>IFERROR(__xludf.DUMMYFUNCTION("GOOGLETRANSLATE(B1509, ""fr"", ""en"")"),"ras ras")</f>
        <v>ras ras</v>
      </c>
    </row>
    <row r="1510">
      <c r="A1510" s="1">
        <v>2.0</v>
      </c>
      <c r="B1510" s="1" t="s">
        <v>1503</v>
      </c>
      <c r="C1510" t="str">
        <f>IFERROR(__xludf.DUMMYFUNCTION("GOOGLETRANSLATE(B1510, ""fr"", ""en"")"),"Bad I returned to call it was a disaster my interlocutor did not listen and cut it so.")</f>
        <v>Bad I returned to call it was a disaster my interlocutor did not listen and cut it so.</v>
      </c>
    </row>
    <row r="1511">
      <c r="A1511" s="1">
        <v>1.0</v>
      </c>
      <c r="B1511" s="1" t="s">
        <v>1504</v>
      </c>
      <c r="C1511" t="str">
        <f>IFERROR(__xludf.DUMMYFUNCTION("GOOGLETRANSLATE(B1511, ""fr"", ""en"")"),"My money back! I used sneakers 2 months only urban way. No sport. A real scandal. Holes in the sole, they take the water, I have never seen that!")</f>
        <v>My money back! I used sneakers 2 months only urban way. No sport. A real scandal. Holes in the sole, they take the water, I have never seen that!</v>
      </c>
    </row>
    <row r="1512">
      <c r="A1512" s="1">
        <v>1.0</v>
      </c>
      <c r="B1512" s="1" t="s">
        <v>1505</v>
      </c>
      <c r="C1512" t="str">
        <f>IFERROR(__xludf.DUMMYFUNCTION("GOOGLETRANSLATE(B1512, ""fr"", ""en"")"),"Very disappointed at the end of a cable HS I hope a gesture from the seller to get his product")</f>
        <v>Very disappointed at the end of a cable HS I hope a gesture from the seller to get his product</v>
      </c>
    </row>
    <row r="1513">
      <c r="A1513" s="1">
        <v>3.0</v>
      </c>
      <c r="B1513" s="1" t="s">
        <v>1506</v>
      </c>
      <c r="C1513" t="str">
        <f>IFERROR(__xludf.DUMMYFUNCTION("GOOGLETRANSLATE(B1513, ""fr"", ""en"")"),"order a box of 12 stones and they lack the Agatha and sodalite IL missing two stones in the box and it's disappointing for my little girl who loves to collect these stones. Can you trade it? Please keep me informed.")</f>
        <v>order a box of 12 stones and they lack the Agatha and sodalite IL missing two stones in the box and it's disappointing for my little girl who loves to collect these stones. Can you trade it? Please keep me informed.</v>
      </c>
    </row>
    <row r="1514">
      <c r="A1514" s="1">
        <v>3.0</v>
      </c>
      <c r="B1514" s="1" t="s">
        <v>1507</v>
      </c>
      <c r="C1514" t="str">
        <f>IFERROR(__xludf.DUMMYFUNCTION("GOOGLETRANSLATE(B1514, ""fr"", ""en"")"),"very average. Very aesthetic! But a little long to heat water.")</f>
        <v>very average. Very aesthetic! But a little long to heat water.</v>
      </c>
    </row>
    <row r="1515">
      <c r="A1515" s="1">
        <v>4.0</v>
      </c>
      <c r="B1515" s="1" t="s">
        <v>1508</v>
      </c>
      <c r="C1515" t="str">
        <f>IFERROR(__xludf.DUMMYFUNCTION("GOOGLETRANSLATE(B1515, ""fr"", ""en"")"),"Caution is small! My redmi Note 5 holds just in the zip pockets and do not fit into the magnetized front pocket. Magnet is very low or even anecdotal. I put phone, wallet and keys, I could not put more. This is what so wanted that's good! 4 stars because "&amp;"it's the TAF and it's not too bad for a small price.")</f>
        <v>Caution is small! My redmi Note 5 holds just in the zip pockets and do not fit into the magnetized front pocket. Magnet is very low or even anecdotal. I put phone, wallet and keys, I could not put more. This is what so wanted that's good! 4 stars because it's the TAF and it's not too bad for a small price.</v>
      </c>
    </row>
    <row r="1516">
      <c r="A1516" s="1">
        <v>4.0</v>
      </c>
      <c r="B1516" s="1" t="s">
        <v>1509</v>
      </c>
      <c r="C1516" t="str">
        <f>IFERROR(__xludf.DUMMYFUNCTION("GOOGLETRANSLATE(B1516, ""fr"", ""en"")"),"very nice hood very beautiful and efficient, silent, and cheap, what more?")</f>
        <v>very nice hood very beautiful and efficient, silent, and cheap, what more?</v>
      </c>
    </row>
    <row r="1517">
      <c r="A1517" s="1">
        <v>4.0</v>
      </c>
      <c r="B1517" s="1" t="s">
        <v>1510</v>
      </c>
      <c r="C1517" t="str">
        <f>IFERROR(__xludf.DUMMYFUNCTION("GOOGLETRANSLATE(B1517, ""fr"", ""en"")"),"Very good, easy to use to see over time if it really helps sore legs ...")</f>
        <v>Very good, easy to use to see over time if it really helps sore legs ...</v>
      </c>
    </row>
    <row r="1518">
      <c r="A1518" s="1">
        <v>4.0</v>
      </c>
      <c r="B1518" s="1" t="s">
        <v>1511</v>
      </c>
      <c r="C1518" t="str">
        <f>IFERROR(__xludf.DUMMYFUNCTION("GOOGLETRANSLATE(B1518, ""fr"", ""en"")"),"compliant product for its price it absorbs well and does not tear too fast")</f>
        <v>compliant product for its price it absorbs well and does not tear too fast</v>
      </c>
    </row>
    <row r="1519">
      <c r="A1519" s="1">
        <v>5.0</v>
      </c>
      <c r="B1519" s="1" t="s">
        <v>1512</v>
      </c>
      <c r="C1519" t="str">
        <f>IFERROR(__xludf.DUMMYFUNCTION("GOOGLETRANSLATE(B1519, ""fr"", ""en"")"),"Good product I use it for the first time to do my laundry home is a good product")</f>
        <v>Good product I use it for the first time to do my laundry home is a good product</v>
      </c>
    </row>
    <row r="1520">
      <c r="A1520" s="1">
        <v>5.0</v>
      </c>
      <c r="B1520" s="1" t="s">
        <v>1513</v>
      </c>
      <c r="C1520" t="str">
        <f>IFERROR(__xludf.DUMMYFUNCTION("GOOGLETRANSLATE(B1520, ""fr"", ""en"")"),"Perfect ! It was in this shop I found the best price for my product was shipped very quickly and very well protected. It's everything I expected better, perfect!")</f>
        <v>Perfect ! It was in this shop I found the best price for my product was shipped very quickly and very well protected. It's everything I expected better, perfect!</v>
      </c>
    </row>
    <row r="1521">
      <c r="A1521" s="1">
        <v>5.0</v>
      </c>
      <c r="B1521" s="1" t="s">
        <v>1514</v>
      </c>
      <c r="C1521" t="str">
        <f>IFERROR(__xludf.DUMMYFUNCTION("GOOGLETRANSLATE(B1521, ""fr"", ""en"")"),"unbeatable price-quality ratio Cheaper than puma.fr or other very good quality shops")</f>
        <v>unbeatable price-quality ratio Cheaper than puma.fr or other very good quality shops</v>
      </c>
    </row>
    <row r="1522">
      <c r="A1522" s="1">
        <v>5.0</v>
      </c>
      <c r="B1522" s="1" t="s">
        <v>1515</v>
      </c>
      <c r="C1522" t="str">
        <f>IFERROR(__xludf.DUMMYFUNCTION("GOOGLETRANSLATE(B1522, ""fr"", ""en"")"),"CARDBOARD 20 INKCARTRIDGES Very good ink cartridges. shipping carton Beware too tight: it had to be reattached to the carrier's premises. It is better to send two boxes of 10 grouped.")</f>
        <v>CARDBOARD 20 INKCARTRIDGES Very good ink cartridges. shipping carton Beware too tight: it had to be reattached to the carrier's premises. It is better to send two boxes of 10 grouped.</v>
      </c>
    </row>
    <row r="1523">
      <c r="A1523" s="1">
        <v>5.0</v>
      </c>
      <c r="B1523" s="1" t="s">
        <v>1516</v>
      </c>
      <c r="C1523" t="str">
        <f>IFERROR(__xludf.DUMMYFUNCTION("GOOGLETRANSLATE(B1523, ""fr"", ""en"")"),"top very good quality / price")</f>
        <v>top very good quality / price</v>
      </c>
    </row>
    <row r="1524">
      <c r="A1524" s="1">
        <v>5.0</v>
      </c>
      <c r="B1524" s="1" t="s">
        <v>1517</v>
      </c>
      <c r="C1524" t="str">
        <f>IFERROR(__xludf.DUMMYFUNCTION("GOOGLETRANSLATE(B1524, ""fr"", ""en"")"),"Grand validated and not ugly.")</f>
        <v>Grand validated and not ugly.</v>
      </c>
    </row>
    <row r="1525">
      <c r="A1525" s="1">
        <v>5.0</v>
      </c>
      <c r="B1525" s="1" t="s">
        <v>1518</v>
      </c>
      <c r="C1525" t="str">
        <f>IFERROR(__xludf.DUMMYFUNCTION("GOOGLETRANSLATE(B1525, ""fr"", ""en"")"),"Make the brightness in white linen White linen turned gray has regained its luster very satisfied with this product.")</f>
        <v>Make the brightness in white linen White linen turned gray has regained its luster very satisfied with this product.</v>
      </c>
    </row>
    <row r="1526">
      <c r="A1526" s="1">
        <v>5.0</v>
      </c>
      <c r="B1526" s="1" t="s">
        <v>1519</v>
      </c>
      <c r="C1526" t="str">
        <f>IFERROR(__xludf.DUMMYFUNCTION("GOOGLETRANSLATE(B1526, ""fr"", ""en"")"),"awesome that leggings can be worn as pants or track pants, fits very well physically, does not slip, like many in the machine!")</f>
        <v>awesome that leggings can be worn as pants or track pants, fits very well physically, does not slip, like many in the machine!</v>
      </c>
    </row>
    <row r="1527">
      <c r="A1527" s="1">
        <v>5.0</v>
      </c>
      <c r="B1527" s="1" t="s">
        <v>1520</v>
      </c>
      <c r="C1527" t="str">
        <f>IFERROR(__xludf.DUMMYFUNCTION("GOOGLETRANSLATE(B1527, ""fr"", ""en"")"),"Hello boots super happy with my purchase, my son is happy !!! garden for walks and crafts, fine finish and good product! thank you")</f>
        <v>Hello boots super happy with my purchase, my son is happy !!! garden for walks and crafts, fine finish and good product! thank you</v>
      </c>
    </row>
    <row r="1528">
      <c r="A1528" s="1">
        <v>5.0</v>
      </c>
      <c r="B1528" s="1" t="s">
        <v>1521</v>
      </c>
      <c r="C1528" t="str">
        <f>IFERROR(__xludf.DUMMYFUNCTION("GOOGLETRANSLATE(B1528, ""fr"", ""en"")"),"perfect and comfortable it is perfect, good size and is very comfortable to wear. I highly recommend it. I have not regretted my purchase")</f>
        <v>perfect and comfortable it is perfect, good size and is very comfortable to wear. I highly recommend it. I have not regretted my purchase</v>
      </c>
    </row>
    <row r="1529">
      <c r="A1529" s="1">
        <v>5.0</v>
      </c>
      <c r="B1529" s="1" t="s">
        <v>1522</v>
      </c>
      <c r="C1529" t="str">
        <f>IFERROR(__xludf.DUMMYFUNCTION("GOOGLETRANSLATE(B1529, ""fr"", ""en"")"),"A smell of clean 1 carton for a big machine (my machine is a 7 kilos) ... I did not believe too. Especially since my linen was dirty veeeeeery. In short, 6-7 kg of heavily soiled laundry, a ""&amp; nbsp; mixed &amp; nbsp;"" program at 30 degrees, a carton of laun"&amp;"dry and my clothes came out nickel bonus, a clean smell (yes, I know it ' is weird to talk about smell clean 🙄🤔) ... I was saying wITH sMELL cLEAN. In addition, the box is very convenient. I just love it")</f>
        <v>A smell of clean 1 carton for a big machine (my machine is a 7 kilos) ... I did not believe too. Especially since my linen was dirty veeeeeery. In short, 6-7 kg of heavily soiled laundry, a "&amp; nbsp; mixed &amp; nbsp;" program at 30 degrees, a carton of laundry and my clothes came out nickel bonus, a clean smell (yes, I know it ' is weird to talk about smell clean 🙄🤔) ... I was saying wITH sMELL cLEAN. In addition, the box is very convenient. I just love it</v>
      </c>
    </row>
    <row r="1530">
      <c r="A1530" s="1">
        <v>5.0</v>
      </c>
      <c r="B1530" s="1" t="s">
        <v>1523</v>
      </c>
      <c r="C1530" t="str">
        <f>IFERROR(__xludf.DUMMYFUNCTION("GOOGLETRANSLATE(B1530, ""fr"", ""en"")"),"Beautiful! Comfortable and pretty, they lend themselves very well to a casual outfit. At a price defying all competition. I recommend!")</f>
        <v>Beautiful! Comfortable and pretty, they lend themselves very well to a casual outfit. At a price defying all competition. I recommend!</v>
      </c>
    </row>
    <row r="1531">
      <c r="A1531" s="1">
        <v>5.0</v>
      </c>
      <c r="B1531" s="1" t="s">
        <v>1524</v>
      </c>
      <c r="C1531" t="str">
        <f>IFERROR(__xludf.DUMMYFUNCTION("GOOGLETRANSLATE(B1531, ""fr"", ""en"")"),"Meets Very beautiful bracelet, which has the described effects. Yet I could not believe it too ... I left the most!")</f>
        <v>Meets Very beautiful bracelet, which has the described effects. Yet I could not believe it too ... I left the most!</v>
      </c>
    </row>
    <row r="1532">
      <c r="A1532" s="1">
        <v>5.0</v>
      </c>
      <c r="B1532" s="1" t="s">
        <v>1525</v>
      </c>
      <c r="C1532" t="str">
        <f>IFERROR(__xludf.DUMMYFUNCTION("GOOGLETRANSLATE(B1532, ""fr"", ""en"")"),"See in terms of resistance arches Nothing wrong developments in terms of bruut reduction compared to the old model, remains to be seen what happens in terms of durability as the previous model on the very fragile rn structure fart under 2 years not terrib"&amp;"le")</f>
        <v>See in terms of resistance arches Nothing wrong developments in terms of bruut reduction compared to the old model, remains to be seen what happens in terms of durability as the previous model on the very fragile rn structure fart under 2 years not terrible</v>
      </c>
    </row>
    <row r="1533">
      <c r="A1533" s="1">
        <v>5.0</v>
      </c>
      <c r="B1533" s="1" t="s">
        <v>1526</v>
      </c>
      <c r="C1533" t="str">
        <f>IFERROR(__xludf.DUMMYFUNCTION("GOOGLETRANSLATE(B1533, ""fr"", ""en"")"),"Super Received shows the watch in due time. Same description.")</f>
        <v>Super Received shows the watch in due time. Same description.</v>
      </c>
    </row>
    <row r="1534">
      <c r="A1534" s="1">
        <v>2.0</v>
      </c>
      <c r="B1534" s="1" t="s">
        <v>1527</v>
      </c>
      <c r="C1534" t="str">
        <f>IFERROR(__xludf.DUMMYFUNCTION("GOOGLETRANSLATE(B1534, ""fr"", ""en"")"),"counterfeiting counterfeiting")</f>
        <v>counterfeiting counterfeiting</v>
      </c>
    </row>
    <row r="1535">
      <c r="A1535" s="1">
        <v>1.0</v>
      </c>
      <c r="B1535" s="1" t="s">
        <v>1528</v>
      </c>
      <c r="C1535" t="str">
        <f>IFERROR(__xludf.DUMMYFUNCTION("GOOGLETRANSLATE(B1535, ""fr"", ""en"")"),"HS engine after a month Certainly handy for mixing infant formula thickened, but cleaning is tricky if you do not want to distort the mixer shaft that twists despite tracking manual recommendations. Big negative: the small mixer motor died after a month o"&amp;"f use!")</f>
        <v>HS engine after a month Certainly handy for mixing infant formula thickened, but cleaning is tricky if you do not want to distort the mixer shaft that twists despite tracking manual recommendations. Big negative: the small mixer motor died after a month of use!</v>
      </c>
    </row>
    <row r="1536">
      <c r="A1536" s="1">
        <v>1.0</v>
      </c>
      <c r="B1536" s="1" t="s">
        <v>1529</v>
      </c>
      <c r="C1536" t="str">
        <f>IFERROR(__xludf.DUMMYFUNCTION("GOOGLETRANSLATE(B1536, ""fr"", ""en"")"),"Poor recommendation from Amazon This product is not suitable for micro USB NT I bought. Unable to mount the microphone pop shield on the support, and no access to micro control buttons when mounted on the support. Amazon thank you for making me spend my m"&amp;"oney for nothing")</f>
        <v>Poor recommendation from Amazon This product is not suitable for micro USB NT I bought. Unable to mount the microphone pop shield on the support, and no access to micro control buttons when mounted on the support. Amazon thank you for making me spend my money for nothing</v>
      </c>
    </row>
    <row r="1537">
      <c r="A1537" s="1">
        <v>3.0</v>
      </c>
      <c r="B1537" s="1" t="s">
        <v>1530</v>
      </c>
      <c r="C1537" t="str">
        <f>IFERROR(__xludf.DUMMYFUNCTION("GOOGLETRANSLATE(B1537, ""fr"", ""en"")"),"Very pretty painful but well-cut shoe (I do a 37/38 I took a 38), very pretty, really white. Big negative: they keep evil at the heel and slip walking creating a permanent friction and blisters that come with it. To plan for the first week: dressing and p"&amp;"atience")</f>
        <v>Very pretty painful but well-cut shoe (I do a 37/38 I took a 38), very pretty, really white. Big negative: they keep evil at the heel and slip walking creating a permanent friction and blisters that come with it. To plan for the first week: dressing and patience</v>
      </c>
    </row>
    <row r="1538">
      <c r="A1538" s="1">
        <v>3.0</v>
      </c>
      <c r="B1538" s="1" t="s">
        <v>1531</v>
      </c>
      <c r="C1538" t="str">
        <f>IFERROR(__xludf.DUMMYFUNCTION("GOOGLETRANSLATE(B1538, ""fr"", ""en"")"),"A little disappointed .. Bad for the price I was not expecting the best of the best quality .. But I still hoped a little better. The helmet seems fragile, and the sound is not great. Anyway to view the price I would still recommend")</f>
        <v>A little disappointed .. Bad for the price I was not expecting the best of the best quality .. But I still hoped a little better. The helmet seems fragile, and the sound is not great. Anyway to view the price I would still recommend</v>
      </c>
    </row>
    <row r="1539">
      <c r="A1539" s="1">
        <v>4.0</v>
      </c>
      <c r="B1539" s="1" t="s">
        <v>1532</v>
      </c>
      <c r="C1539" t="str">
        <f>IFERROR(__xludf.DUMMYFUNCTION("GOOGLETRANSLATE(B1539, ""fr"", ""en"")"),"Very good product and value. Great for paper key mobile phone and even times sandwich.")</f>
        <v>Very good product and value. Great for paper key mobile phone and even times sandwich.</v>
      </c>
    </row>
    <row r="1540">
      <c r="A1540" s="1">
        <v>4.0</v>
      </c>
      <c r="B1540" s="1" t="s">
        <v>1533</v>
      </c>
      <c r="C1540" t="str">
        <f>IFERROR(__xludf.DUMMYFUNCTION("GOOGLETRANSLATE(B1540, ""fr"", ""en"")"),"Very nice but very narrow Size Size very tight, so somehow smaller. Depending on your kick and width of the foot, order a half or even two sizes bigger. Otherwise very comfortable and good support. Too bad it made in Southeast Asia.")</f>
        <v>Very nice but very narrow Size Size very tight, so somehow smaller. Depending on your kick and width of the foot, order a half or even two sizes bigger. Otherwise very comfortable and good support. Too bad it made in Southeast Asia.</v>
      </c>
    </row>
    <row r="1541">
      <c r="A1541" s="1">
        <v>4.0</v>
      </c>
      <c r="B1541" s="1" t="s">
        <v>1534</v>
      </c>
      <c r="C1541" t="str">
        <f>IFERROR(__xludf.DUMMYFUNCTION("GOOGLETRANSLATE(B1541, ""fr"", ""en"")"),"Ravi Good quality!")</f>
        <v>Ravi Good quality!</v>
      </c>
    </row>
    <row r="1542">
      <c r="A1542" s="1">
        <v>4.0</v>
      </c>
      <c r="B1542" s="1" t="s">
        <v>1535</v>
      </c>
      <c r="C1542" t="str">
        <f>IFERROR(__xludf.DUMMYFUNCTION("GOOGLETRANSLATE(B1542, ""fr"", ""en"")"),"Very good but beware end up Respects compatibility promised by the manufacturer. The aesthetics of the microphone is very beautiful. However, the refinement are not very beautiful, some son beyond. This still remains a very good product.")</f>
        <v>Very good but beware end up Respects compatibility promised by the manufacturer. The aesthetics of the microphone is very beautiful. However, the refinement are not very beautiful, some son beyond. This still remains a very good product.</v>
      </c>
    </row>
    <row r="1543">
      <c r="A1543" s="1">
        <v>5.0</v>
      </c>
      <c r="B1543" s="1" t="s">
        <v>1536</v>
      </c>
      <c r="C1543" t="str">
        <f>IFERROR(__xludf.DUMMYFUNCTION("GOOGLETRANSLATE(B1543, ""fr"", ""en"")"),"Really not bad. Works perfectly on my EPSON DWF 2650. Indeed the printer detects that are not brand cartridges but suffice to say we want to still continue. The color quality is clearly not as good as the original but good cartridges when prints only in b"&amp;"lack and white, for the price we must not deprive yourself.")</f>
        <v>Really not bad. Works perfectly on my EPSON DWF 2650. Indeed the printer detects that are not brand cartridges but suffice to say we want to still continue. The color quality is clearly not as good as the original but good cartridges when prints only in black and white, for the price we must not deprive yourself.</v>
      </c>
    </row>
    <row r="1544">
      <c r="A1544" s="1">
        <v>5.0</v>
      </c>
      <c r="B1544" s="1" t="s">
        <v>1537</v>
      </c>
      <c r="C1544" t="str">
        <f>IFERROR(__xludf.DUMMYFUNCTION("GOOGLETRANSLATE(B1544, ""fr"", ""en"")"),"low printing money Edit to 18 November: Unlike many negative opinion on the product, I have since May, I made 314 printing and there is always me 64% ink. Knowing that I print all my bills with the logo, so with my use frankly I think is not far from 1k p"&amp;"ages without too many problems. End of May: We find the quality of Samsung toner, as is is one, it works well, has a real good printability, unlike compatible products, and it does not bleed. Great")</f>
        <v>low printing money Edit to 18 November: Unlike many negative opinion on the product, I have since May, I made 314 printing and there is always me 64% ink. Knowing that I print all my bills with the logo, so with my use frankly I think is not far from 1k pages without too many problems. End of May: We find the quality of Samsung toner, as is is one, it works well, has a real good printability, unlike compatible products, and it does not bleed. Great</v>
      </c>
    </row>
    <row r="1545">
      <c r="A1545" s="1">
        <v>5.0</v>
      </c>
      <c r="B1545" s="1" t="s">
        <v>1538</v>
      </c>
      <c r="C1545" t="str">
        <f>IFERROR(__xludf.DUMMYFUNCTION("GOOGLETRANSLATE(B1545, ""fr"", ""en"")"),"Socks Nike Super fast I recommend")</f>
        <v>Socks Nike Super fast I recommend</v>
      </c>
    </row>
    <row r="1546">
      <c r="A1546" s="1">
        <v>5.0</v>
      </c>
      <c r="B1546" s="1" t="s">
        <v>1539</v>
      </c>
      <c r="C1546" t="str">
        <f>IFERROR(__xludf.DUMMYFUNCTION("GOOGLETRANSLATE(B1546, ""fr"", ""en"")"),"Design quality product and quality of the incredible case.")</f>
        <v>Design quality product and quality of the incredible case.</v>
      </c>
    </row>
    <row r="1547">
      <c r="A1547" s="1">
        <v>5.0</v>
      </c>
      <c r="B1547" s="1" t="s">
        <v>1540</v>
      </c>
      <c r="C1547" t="str">
        <f>IFERROR(__xludf.DUMMYFUNCTION("GOOGLETRANSLATE(B1547, ""fr"", ""en"")"),"Quilt super buy for the winter because I am extremely cautious in points I have to sleep with 2 hot water bottle. I was tired of the made the evening so I opted for the option of the electric blanket. We have a 2x80 bed blow coverage is just on my bed my "&amp;"husband saw appreciate always warm him. Gray dimension is soft which is very nice I love. The H in the case is the maximum power. The cover is heated in 1 hour after she put 1. Easy to use the first time. I think personally I could do without it I love it")</f>
        <v>Quilt super buy for the winter because I am extremely cautious in points I have to sleep with 2 hot water bottle. I was tired of the made the evening so I opted for the option of the electric blanket. We have a 2x80 bed blow coverage is just on my bed my husband saw appreciate always warm him. Gray dimension is soft which is very nice I love. The H in the case is the maximum power. The cover is heated in 1 hour after she put 1. Easy to use the first time. I think personally I could do without it I love it</v>
      </c>
    </row>
    <row r="1548">
      <c r="A1548" s="1">
        <v>5.0</v>
      </c>
      <c r="B1548" s="1" t="s">
        <v>1541</v>
      </c>
      <c r="C1548" t="str">
        <f>IFERROR(__xludf.DUMMYFUNCTION("GOOGLETRANSLATE(B1548, ""fr"", ""en"")"),"Great for multiple uses &lt;div id = ""video-block-R1GT9H3CYH16DA"" class = ""a-section-spacing-small in-spacing-top mini video-block""&gt; &lt;div tabindex = ""0"" class = ""airy airy-svg vmin-supported airy-skin-beacon ""style ="" background-color: rgb (0, 0, 0)"&amp;"; position: relative; width: 100%; height: 100%; font-size: 0px; overflow: hidden; outline: none; ""&gt; &lt;div class ="" airy-renderer-container ""style ="" position: relative; height: 100%; width: 100%; ""&gt; &lt;video id ="" 7 ""preload ="" auto "" src = ""https"&amp;"://images-eu.ssl-images-amazon.com/images/I/B163CipKONS.mp4"" style = ""position: absolute; left: 0px; top: 0px; overflow: hidden; height: 1px; width: 1px; ""&gt; &lt;/ video&gt; &lt;/ div&gt; &lt;div id ="" airy-slate-preload ""style ="" background-color: rgb (0, 0, 0); b"&amp;"ackground-image: url (&amp; quot; https : //images-eu.ssl-images-amazon.com/images/I/91vaBEfmJYS.png&amp;quot;); background-size: contain; background-position: center center; background-repeat: no-repeat; position: absolute; top: 0px; left: 0px; visibility: visib"&amp;"le; width: 100%; height: 100% ""&gt; &lt;/ di v&gt; &lt;iframe scrolling = ""no"" frameborder = ""0"" src = ""about: blank"" style = ""display: none;""&gt; &lt;/ iframe&gt; &lt;div tabindex = ""- 1"" class = ""airy-controls-container ""style ="" opacity: 0; visibility: hidden; "&amp;"""&gt; &lt;div tabindex ="" - 1 ""class ="" airy-screen-size-toggle airy-fullscreen ""&gt; &lt;/ div&gt; &lt;div tabindex ="" - 1 ""class ="" airy-container-bottom "" &gt; &lt;div tabindex = ""- 1"" class = ""airy-track-bar spacer-left"" style = ""width: 11px;""&gt; &lt;/ div&gt; &lt;div ta"&amp;"bindex = ""- 1"" class = ""airy-play- toggle airy-play ""style ="" width: 12px; margin-right: 12px; ""&gt; &lt;/ div&gt; &lt;div tabindex ="" - 1 ""class ="" airy-audio-elements ""style ="" float: right; width: 34px; ""&gt; &lt;div tabindex ="" - 1 ""class ="" airy-audio-t"&amp;"oggle airy-on ""&gt; &lt;/ div&gt; &lt;div tabindex ="" - 1 ""class ="" airy-audio-container ""style = ""opacity: 0; visibility: hidden; ""&gt; &lt;div tabindex ="" - 1 ""class ="" airy-audio-track-bar ""style ="" height: 80%; ""&gt; &lt;div tabindex ="" - 1 ""class ="" airy-aud"&amp;"io- scrubber bar ""style ="" height: 85% ""&gt; &lt;/ div&gt; &lt;div tabindex ="" - 1 ""class ="" airy-audio-scrubber ""style ="" height: 12px; bottom: 85% ""&gt; &lt;/ div&gt; &lt;/ div&gt; &lt;/ div&gt; &lt;/ div&gt; &lt;div tabindex ="" - 1 ""class ="" airy-duration-label ""style ="" float: r"&amp;"ight; width: 26px; margin-right: 4px; text-align: center; ""&gt; 0:41 &lt;/ div&gt; &lt;div tabindex ="" - 1 ""class ="" airy-track-bar spacer-right ""style ="" float: right; width: 11px; ""&gt; &lt;/ div&gt; &lt;div tabindex ="" - 1 ""class ="" airy-track-bar-container ""style "&amp;"="" margin-left: 35px; margin-right: 75px; ""&gt; &lt;div tabindex ="" - 1 ""class ="" airy-track-bar airy-vertical-centering-table ""&gt; &lt;div tabindex ="" - 1 ""class ="" airy-vertical-centering- table-cell ""&gt; &lt;div tabindex ="" - 1 ""class ="" airy-track-bar el"&amp;"ements ""&gt; &lt;div tabindex ="" - 1 ""class ="" airy-progress-bar ""style ="" width: 5.83201%; ""&gt; &lt;/ div&gt; &lt;div tabindex ="" - 1 ""class ="" airy-scrubber bar ""&gt; &lt;/ div&gt; &lt;div tabindex ="" - 1 ""class ="" airy-scrubber ""&gt; &lt;div tabindex ="" - 1 ""class ="" a"&amp;"iry-scrubber-icon ""&gt; &lt;/ div&gt; &lt;div tabindex ="" - 1 ""class ="" airy-adjusted-aui-tooltip ""style ="" opacity: 0; visibility: hidden; ""&gt; &lt;div tabindex ="" - 1 ""class ="" airy-adjusted-aui-tooltip-inner ""&gt; &lt;div tabindex ="" - 1 ""class ="" airy-current-"&amp;"time-label ""&gt; 0 00 &lt;/ div&gt; &lt;/ div&gt; &lt;div tabindex = ""- 1"" class = ""airy-adjusted-aui-arrow-border""&gt; &lt;div tabindex = ""- 1"" class = ""airy-adjusted-aui-arrow"" &gt; &lt;/ div&gt; &lt;/ div&gt; &lt;/ div&gt; &lt;/ div&gt; &lt;/ div&gt; &lt;/ div&gt; &lt;/ div&gt; &lt;/ div&gt; &lt;/ div&gt; &lt;/ div&gt; &lt;div tabi"&amp;"ndex = ""- 1"" class = ""airy-airy-age-gate course airy-vertical-centering table-airy-dialog"" style = ""opacity: 0; visibility: hidden; ""&gt; &lt;div tabindex ="" - 1 ""class ="" airy-age-gate-vertical-centering-table-cell airy-vertical-centering-table-cell "&amp;"""&gt; &lt;div tabindex ="" - 1 ""class = ""airy-vertical-centering-wrapper airy-age-gate-elements-wrapper""&gt; &lt;div tabindex = ""- 1"" class = ""airy-age-gate-elements airy-dialog-elements""&gt; &lt;div tabindex = "" -1 ""class ="" airy-age-gate-prompt ""&gt; This video "&amp;"is not Intended for all audiences What time were you born &lt;/ div&gt; &lt;div tabindex =.?"" - 1 ""class ="" airy-age-gate -inputs airy-dialog-inner-elements ""&gt; &lt;select tabindex ="" - 1 ""class ="" airy-age-gate-month ""&gt; &lt;option value ="" 1 ""&gt; January &lt;/ opti"&amp;"on&gt; &lt;option value ="" 2 ""&gt; February &lt;/ option&gt; &lt;option value ="" 3 ""&gt; March &lt;/ option&gt; &lt;option value ="" 4 ""&gt; April &lt;/ option&gt; &lt;option value ="" 5 ""&gt; May &lt;/ option&gt; &lt;option value = ""6""&gt; June &lt;/ option&gt; &lt;option value = ""7""&gt; July &lt;/ option&gt; &lt;option "&amp;"value = ""8""&gt; August &lt;/ option&gt; &lt;option value = ""9""&gt; September &lt;/ option&gt; &lt;option value = ""10""&gt; October &lt;/ option&gt; &lt;option value = ""11""&gt; November &lt;/ option&gt; &lt;option value = ""12""&gt; December &lt;/ option&gt; &lt;/ select&gt; &lt;select tabindex = ""- 1"" class = "&amp;"""airy-age-gate-day""&gt; &lt;opti = One value ""1""&gt; 1 &lt;/ option&gt; &lt;option value = ""2""&gt; 2 &lt;/ option&gt; &lt;option value = ""3""&gt; 3 &lt;/ option&gt; &lt;option value = ""4""&gt; 4 &lt;/ option &gt; &lt;option value = ""5""&gt; 5 &lt;/ option&gt; &lt;option value = ""6""&gt; 6 &lt;/ option&gt; &lt;option value"&amp;" = ""7""&gt; 7 &lt;/ option&gt; &lt;option value = ""8""&gt; 8 &lt; / option&gt; &lt;option value = ""9""&gt; 9 &lt;/ option&gt; &lt;option value = ""10""&gt; 10 &lt;/ option&gt; &lt;option value = ""11""&gt; 11 &lt;/ option&gt; &lt;option value = ""12""&gt; 12 &lt;/ option&gt; &lt;option value = ""13""&gt; 13 &lt;/ option&gt; &lt;option"&amp;" value = ""14""&gt; 14 &lt;/ option&gt; &lt;option value = ""15""&gt; 15 &lt;/ option&gt; &lt;option value = ""16 ""&gt; 16 &lt;/ option&gt; &lt;option value ="" 17 ""&gt; 17 &lt;/ option&gt; &lt;option value ="" 18 ""&gt; 18 &lt;/ option&gt; &lt;option value ="" 19 ""&gt; 19 &lt;/ option&gt; &lt;option value = ""20""&gt; 20 &lt;/ "&amp;"option&gt; &lt;option value = ""21""&gt; 21 &lt;/ option&gt; &lt;option value = ""22""&gt; 22 &lt;/ option&gt; &lt;option value = ""23""&gt; 23 &lt;/ option&gt; &lt;option value = ""24""&gt; 24 &lt;/ option&gt; &lt;option value = ""25""&gt; 25 &lt;/ option&gt; &lt;option value = ""26""&gt; 26 &lt;/ option&gt; &lt;option value = ""2"&amp;"7""&gt; 27 &lt;/ option&gt; &lt;option value = ""28""&gt; 28 &lt;/ option&gt; &lt;option value = ""29""&gt; 29 &lt;/ option&gt; &lt;option value = ""30""&gt; 30 &lt;/ option&gt; &lt;option value = ""31""&gt; 31 &lt;/ option&gt; &lt;/ select&gt; &lt;select tabindex = ""- 1"" class = ""airy-age-gate-year""&gt; &lt;option value "&amp;"= ""2019""&gt; 2019 &lt;/ option&gt; &lt; option value = ""2018""&gt; 2018 &lt;/ option&gt; &lt;option value = ""2017""&gt; 2017 &lt;/ option&gt; &lt;option value = ""2016""&gt; ​​2016 &lt;/ option&gt; &lt;option value = ""2015""&gt; 2015 &lt;/ option &gt; &lt;option value = ""2014""&gt; 2014 &lt;/ option&gt; &lt;option value"&amp;" = ""2013""&gt; 2013 &lt;/ option&gt; &lt;option value = ""2012""&gt; 2012 &lt;/ option&gt; &lt;option value = ""2011""&gt; 2011 &lt; / option&gt; &lt;option value = ""2010""&gt; 2010 &lt;/ option&gt; &lt;option value = ""2009""&gt; 2009 &lt;/ option&gt; &lt;option value = ""2008""&gt; 2008 &lt;/ option&gt; &lt;option value ="&amp;" ""2007""&gt; 2007 &lt;/ option&gt; &lt;option value = ""2006""&gt; 2006 &lt;/ option&gt; &lt;option value = ""2005""&gt; 2005 &lt;/ option&gt; &lt;option value = ""2004""&gt; 2004 &lt;/ option&gt; &lt;option value = ""2003 ""&gt; 2003 &lt;/ option&gt; &lt;option value ="" 2002 ""&gt; 2002 &lt;/ option&gt; &lt;option value ="&amp;""" 2001 ""&gt; 2001 &lt;/ option&gt; &lt;option value ="" 2000 ""&gt; 2000 &lt;/ option&gt; &lt;option value = ""1999""&gt; 1999 &lt;/ option&gt; &lt;option value = ""1998""&gt; 1998 &lt;/ option&gt; &lt;option value = ""1997""&gt; 1997 &lt;/ option&gt; &lt;option value = ""1996""&gt; 1996 &lt;/ option&gt; &lt;option value = "&amp;"""1995""&gt; 1995 &lt;/ option&gt; &lt;option value = ""1994""&gt; 1994 &lt;/ option&gt; &lt;option value = ""1993""&gt; 1993 &lt;/ option&gt; &lt;option value = ""1992""&gt; 1992 &lt;/ option&gt; &lt;option value = ""1991""&gt; 1991 &lt;/ option&gt; &lt;option value = ""1990""&gt; 1990 &lt;/ option&gt; &lt;option value = "" "&amp;"1989 ""&gt; 1989 &lt;/ option&gt; &lt;option value ="" 1988 ""&gt; 1988 &lt;/ option&gt; &lt;option value ="" 1987 ""&gt; 1987 &lt;/ option&gt; &lt;option value ="" 1986 ""&gt; 1986 &lt;/ option&gt; &lt;option value = ""1985""&gt; 1985 &lt;/ option&gt; &lt;option value = ""1984""&gt; 1984 &lt;/ option&gt; &lt;option value = "&amp;"""1983""&gt; 1983 &lt;/ option&gt; &lt;option value = ""1982""&gt; 1982 &lt;/ option&gt; &lt; option value = ""1981""&gt; 1981 &lt;/ option&gt; &lt;option value = ""1980""&gt; 1980 &lt;/ option&gt; &lt;option value = ""1979""&gt; 1979 &lt;/ option&gt; &lt;option value = ""1978""&gt; 1978 &lt;/ option &gt; &lt;option value = "&amp;"""1977""&gt; 1977 &lt;/ option&gt; &lt;option value = ""1976""&gt; 1976 &lt;/ option&gt; &lt;option value = ""1975""&gt; 1975 &lt;/ option&gt; &lt;option value = ""1974""&gt; 1974 &lt; / option&gt; &lt;option value = ""1973""&gt; 1973 &lt;/ option&gt; &lt;option value = ""1972""&gt; 1972 &lt;/ option&gt; &lt;option value = """&amp;"1971""&gt; 1971 &lt;/ option&gt; &lt;option value = ""1970""&gt; 1970 &lt;/ option&gt; &lt;option value = ""1969""&gt; 1969 &lt;/ option&gt; &lt;option value = ""1968""&gt; 1968 &lt;/ option&gt; &lt;option value = ""1967""&gt; 1967 &lt;/ option&gt; &lt;option value = ""1966 ""&gt; 1966 &lt;/ option&gt; &lt;option value ="" 19"&amp;"65 ""&gt; 1965 &lt;/ option&gt; &lt;option value ="" 1964 ""&gt; 1964 &lt;/ option&gt; &lt;option value ="" 1963 ""&gt; 1963 &lt;/ option&gt; &lt;option value = ""1962""&gt; 1962 &lt;/ option&gt; &lt;option value = ""1961""&gt; 1961 &lt;/ option&gt; &lt;option value = ""1960""&gt; 1960 &lt;/ op tion&gt; &lt;option value = ""1"&amp;"959""&gt; 1959 &lt;/ option&gt; &lt;option value = ""1958""&gt; 1958 &lt;/ option&gt; &lt;option value = ""1957""&gt; 1957 &lt;/ option&gt; &lt;option value = ""1956""&gt; 1956 &lt;/ option&gt; &lt;option value = ""1955""&gt; 1955 &lt;/ option&gt; &lt;option value = ""1954""&gt; 1954 &lt;/ option&gt; &lt;option value = ""1953"&amp;"""&gt; 1953 &lt;/ option&gt; &lt;option value = ""1952"" &gt; 1952 &lt;/ option&gt; &lt;option value = ""1951""&gt; 1951 &lt;/ option&gt; &lt;option value = ""1950""&gt; 1950 &lt;/ option&gt; &lt;option value = ""1949""&gt; 1949 &lt;/ option&gt; &lt;option value = "" 1948 ""&gt; 1948 &lt;/ option&gt; &lt;option value ="" 1947"&amp;" ""&gt; 1947 &lt;/ option&gt; &lt;option value ="" 1946 ""&gt; 1946 &lt;/ option&gt; &lt;option value ="" 1945 ""&gt; 1945 &lt;/ option&gt; &lt;option value = ""1944""&gt; 1944 &lt;/ option&gt; &lt;option value = ""1943""&gt; 1943 &lt;/ option&gt; &lt;option value = ""1942""&gt; 1942 &lt;/ option&gt; &lt;option value = ""1941"&amp;"""&gt; 1941 &lt;/ option&gt; &lt; option value = ""1940""&gt; 1940 &lt;/ option&gt; &lt;option value = ""1939""&gt; 1939 &lt;/ option&gt; &lt;option value = ""1938""&gt; 1938 &lt;/ option&gt; &lt;option value = ""1937""&gt; 1937 &lt;/ option &gt; &lt;option value = ""1936""&gt; 1936 &lt;/ option&gt; &lt;option value = ""1935"&amp;"""&gt; 1935 &lt;/ option&gt; &lt;option value = ""1934""&gt; 1934 &lt;/ option&gt; &lt;option value = ""1933""&gt; 1933 &lt; / option&gt; &lt;option value = ""1932""&gt; 1932 &lt;/ option&gt; &lt;option value = ""1931""&gt; 1931 &lt;/ option&gt; &lt;option v alue = ""1930""&gt; 1930 &lt;/ option&gt; &lt;option value = ""1929"&amp;"""&gt; 1929 &lt;/ option&gt; &lt;option value = ""1928""&gt; 1928 &lt;/ option&gt; &lt;option value = ""1927""&gt; 1927 &lt;/ option&gt; &lt;option value = ""1926""&gt; 1926 &lt;/ option&gt; &lt;option value = ""1925""&gt; 1925 &lt;/ option&gt; &lt;option value = ""1924""&gt; 1924 &lt;/ option&gt; &lt;option value = ""1923""&gt;"&amp;" 1923 &lt;/ option&gt; &lt;option value = ""1922""&gt; 1922 &lt;/ option&gt; &lt;option value = ""1921""&gt; 1921 &lt;/ option&gt; &lt;option value = ""1920""&gt; 1920 &lt;/ option&gt; &lt;option value = ""1919""&gt; 1919 &lt;/ option&gt; &lt;option value = ""1918""&gt; 1918 &lt;/ option&gt; &lt;option value = ""1917""&gt; 19"&amp;"17 &lt;/ option&gt; &lt;option value = ""1916""&gt; 1916 &lt;/ option&gt; &lt;option value = ""1915"" &gt; 1915 &lt;/ option&gt; &lt;option value = ""1914""&gt; 1914 &lt;/ option&gt; &lt;option value = ""1913""&gt; 1913 &lt;/ option&gt; &lt;option value = ""1912""&gt; 1912 &lt;/ option&gt; &lt;option value = "" 1911 ""&gt; 19"&amp;"11 &lt;/ option&gt; &lt;option value ="" 1910 ""&gt; 1910 &lt;/ option&gt; &lt;option value ="" 1909 ""&gt; 1909 &lt;/ option&gt; &lt;option value ="" 1908 ""&gt; 1908 &lt;/ option&gt; &lt;option value = ""1907""&gt; 1907 &lt;/ option&gt; &lt;option value = ""1906""&gt; 1906 &lt;/ option&gt; &lt;option value = ""1905""&gt; 19"&amp;"05 &lt;/ option&gt; &lt;option value = ""1904""&gt; 1904 &lt;/ option&gt; &lt; option value = ""1903""&gt; 1903 &lt;/ option&gt; &lt;option value = ""1902""&gt; 1902 &lt;/ option&gt; &lt;option value = ""1901""&gt; 19 01 &lt;/ option&gt; &lt;option value = ""1900""&gt; 1900 &lt;/ option&gt; &lt;/ select&gt; &lt;div tabindex = """&amp;"- 1"" class = ""airy-age-gate-submit airy-submit-button airy airy-submit- disabled ""&gt; Submit &lt;/ div&gt; &lt;/ div&gt; &lt;/ div&gt; &lt;/ div&gt; &lt;/ div&gt; &lt;/ div&gt; &lt;div tabindex ="" - 1 ""class ="" airy-install-flash-dialog airy-course airy -Vertical-centering-table dialog air"&amp;"y-airy-denied ""style ="" opacity: 0; visibility: hidden; ""&gt; &lt;div tabindex ="" - 1 ""class ="" airy-install-flash-vertical-centering-table-cell airy-vertical-centering-table-cell ""&gt; &lt;div tabindex ="" - 1 ""class = ""airy-vertical-centering-wrapper airy-"&amp;"install-flash-elements-wrapper""&gt; &lt;div tabindex = ""- 1"" class = ""airy-install-flash-elements airy-dialog-elements""&gt; &lt;div tabindex = "" -1 ""class ="" airy-install-flash-prompt ""&gt; Adobe Flash Player is required to watch this video &lt;/ div&gt; &lt;div = tabin"&amp;"dex."" - 1 ""class ="" airy-install-flash-button-wrapper airy -dialog-inner-elements ""&gt; &lt;div tabindex ="" - 1 ""class ="" airy-install-flash-button airy-button ""&gt; install Flash Player &lt;/ div&gt; &lt;/ div&gt; &lt;/ div&gt; &lt;/ div&gt; &lt;/ div&gt; &lt;/ div&gt; &lt;div tabindex = ""- 1"&amp;""" class = ""airy-video-unsupported-dialog airy-course airy-vertical-centering table-airy-dialog airy-denied"" style = ""opacity: 0; visibility: hidden; ""&gt; &lt;div tabindex ="" - 1 ""class ="" airy-video-unsupported-vertical-centering-table-cell airy-vertic"&amp;"al-centering-table-cell ""&gt; &lt;div tabindex ="" - 1 ""class = ""airy-vertical-centering-wrapper airy-video-unsupported-elements-wrapper""&gt; &lt;div tabindex = ""- 1"" class = ""airy-video-unsupported-elements airy-dialog-elements""&gt; &lt;div tabindex = "" -1 ""clas"&amp;"s ="" airy-video-unsupported-prompt ""&gt; &lt;/ div&gt; &lt;/ div&gt; &lt;/ div&gt; &lt;/ div&gt; &lt;/ div&gt; &lt;div tabindex ="" - 1 ""class ="" airy-loading- spinner-stage airy-stage ""&gt; &lt;div tabindex ="" - 1 ""class ="" airy-loading-spinner-vertical-centering-table-cell airy-vertical"&amp;"-centering-table-cell ""&gt; &lt;div tabindex ="" - 1 ""class ="" airy-loading-spinner container airy-scalable-hint-container ""&gt; &lt;div tabindex ="" - 1 ""class ="" airy-loading-spinner-dummy airy-scalable-dummy ""&gt; &lt;/ div&gt; &lt; div tabindex = ""- 1"" class = ""air"&amp;"y-loading-spinner airy-hint"" style = ""visibility: hidden;""&gt; &lt;/ div&gt; &lt;/ div&gt; &lt;/ div&gt; &lt;/ div&gt; &lt;div tabindex = ""- 1 ""class ="" airy-ads-screen-size-toggle airy-screen-size-toggle airy-fullscreen ""style ="" visibility: hidden; ""&gt; &lt;/ div&gt; &lt;div tabindex "&amp;"= ""-1"" class = ""airy-ad-prompt-container"" style = ""visibility: hidden;""&gt; &lt;div tabindex = ""- 1"" class = ""airy-ad-prompt-vertical-centering table-airy-vertical- centering-table ""&gt; &lt;div tabindex ="" - 1 ""class ="" airy-ad-prompt-vertical-centering"&amp;"-table-cell airy-vertical-centering-table-cell ""&gt; &lt;div tabindex ="" - 1 ""class = ""airy-ad-prompt-label""&gt; &lt;/ div&gt; &lt;/ div&gt; &lt;/ div&gt; &lt;/ div&gt; &lt;div tabindex = ""- 1"" class = ""airy-ads-controls-container"" style = ""visibility: hidden; ""&gt; &lt;div tabindex ="&amp;""" - 1 ""class ="" airy-ads-audio-toggle airy-audio-toggle airy-on ""style ="" visibility: hidden; ""&gt; &lt;/ div&gt; &lt;div tabindex ="" - 1 ""class ="" airy-time-remaining-label-container ""&gt; &lt;div tabindex ="" - 1 ""class ="" airy-time-remaining-vertical-centeri"&amp;"ng table-airy-vertical-centering-table ""&gt; &lt;div tabindex = ""- 1"" class = ""airy-time-remaining-vertical-centering-table-cell airy-vertical-centering-table-cell""&gt; &lt;div tabindex = ""- 1"" class = ""airy-vertical-centering-wrapper airy-time-remaining-labe"&amp;"l-wrapper ""&gt; &lt;div tabindex ="" - 1 ""class ="" airy-time-remaining-label ""style ="" visibility: hidden; ""&gt; &lt;/ div&gt; &lt;div tabi ndex = ""- 1"" class = ""airy-ad-skip"" style = ""visibility: hidden;""&gt; &lt;/ div&gt; &lt;div tabindex = ""- 1"" class = ""airy-ad-end"&amp;""" style = ""visibility: hidden; ""&gt; &lt;/ div&gt; &lt;/ div&gt; &lt;/ div&gt; &lt;/ div&gt; &lt;/ div&gt; &lt;div tabindex ="" - 1 ""class ="" airy-learn-more ""style ="" visibility: hidden; ""&gt; &lt;/ div&gt; &lt;/ div&gt; &lt;div tabindex = ""- 1"" class = ""airy-play-toggle-hint-stage airy-course ai"&amp;"ry-cursor""&gt; &lt;div tabindex = ""- 1"" class = ""airy-play -toggle-hint-vertical-centering-table-cell airy-vertical-centering-table-cell airy-cursor ""&gt; &lt;div tabindex ="" - 1 ""class ="" airy-play-toggle-hint-container airy-scalable- hint-container ""&gt; &lt;div"&amp;" tabindex ="" - 1 ""class ="" airy-play-toggle-hint-dummy airy-scalable-dummy ""&gt; &lt;/ div&gt; &lt;div tabindex ="" - 1 ""class ="" airy-play -toggle airy-hint-hint-hint airy-play ""style ="" opacity: 1; visibility: visible; ""&gt; &lt;/ div&gt; &lt;/ div&gt; &lt;/ div&gt; &lt;/ div&gt; &lt;d"&amp;"iv tabindex ="" - 1 ""class ="" airy-replay-hint-stage airy-stage ""style ="" visibility: hidden ; ""&gt; &lt;div tabindex ="" - 1 ""class ="" airy-replay-hint-vertical-centering-table-cell airy-vertical-centering-table-cell airy-cursor ""&gt; &lt;div tabindex ="" - "&amp;"1 ""class = ""airy-replay-hint-container airy-scalable-hint-container""&gt; &lt;div tabindex = ""- 1"" class = ""airy-replay-hint-dummy airy-scalable-dummy""&gt; &lt;/ div&gt; &lt;div tabindex = ""- 1"" class = ""airy-replay-hint airy-hint""&gt; &lt;/ div&gt; &lt;/ div&gt; &lt;/ div&gt; &lt;/ div"&amp;"&gt; &lt;div tabindex = ""- 1"" class = ""airy-autoplay-hint -stage airy-stage ""style ="" visibility: hidden; ""&gt; &lt;div tabindex ="" - 1 ""class ="" airy-autoplay-hint-vertical-centering-table-cell airy-vertical-centering-table-cell airy- cursor ""&gt; &lt;div tabind"&amp;"ex ="" - 1 ""class ="" autoplay airy-airy-hint-container-scalable-hint-container ""&gt; &lt;div tabindex ="" - 1 ""class ="" airy-autoplay-hint-dummy airy- scalable-dummy ""&gt; &lt;/ div&gt; &lt;/ div&gt; &lt;/ div&gt; &lt;/ div&gt; &lt;/ div&gt; &lt;/ div&gt; &lt;input type ="" hidden ""name ="" ""va"&amp;"lue ="" https: // pictures-eu .ssl-image amazon.com / images / I / B163CipKONS.mp4 ""Class ="" video-url ""&gt; &lt;input type ="" hidden ""name ="" ""value ="" https://images-eu.ssl-images-amazon.com/images/I/91vaBEfmJYS.png ""class ="" video-slate-img-url ""&gt;"&amp;" &amp; nbsp; I will not repeat all the technical description, it is complete. This amp with 2 microphones works wonders. Connecting extremely simple, it took me 2 minutes. The settings are as simple as plugging. Adjusting the bass, trebles and Echo function. "&amp;"The two microphones each have a control button. The scope is reasonable, for my part I walked in every room of the house and no loss problem. Plugged into my stereo, do not forget the RCA Audio cable is not supplied. The microphones operate on 2 AA batter"&amp;"ies not included. The document is not in French but many scheme are explicit and no connection problem. It is compact, you can take it everywhere with or without difficulty. I who love organize karaoke at home, the fact of having two microphones used at t"&amp;"he same time is a big plus. Very little interference, virtually no feedback or sizzle. I recommend ++++")</f>
        <v>Great for multiple uses &lt;div id = "video-block-R1GT9H3CYH16DA" class = "a-section-spacing-small in-spacing-top mini video-block"&gt; &lt;div tabindex = "0" class = "airy airy-svg vmin-supported airy-skin-beacon "style =" background-color: rgb (0, 0, 0); position: relative; width: 100%; height: 100%; font-size: 0px; overflow: hidden; outline: none; "&gt; &lt;div class =" airy-renderer-container "style =" position: relative; height: 100%; width: 100%; "&gt; &lt;video id =" 7 "preload =" auto " src = "https://images-eu.ssl-images-amazon.com/images/I/B163CipKONS.mp4" style = "position: absolute; left: 0px; top: 0px; overflow: hidden; height: 1px; width: 1px; "&gt; &lt;/ video&gt; &lt;/ div&gt; &lt;div id =" airy-slate-preload "style =" background-color: rgb (0, 0, 0); background-image: url (&amp; quot; https : //images-eu.ssl-images-amazon.com/images/I/91vaBEfmJYS.png&amp;quot;); background-size: contain; background-position: center center; background-repeat: no-repeat; position: absolute; top: 0px; left: 0px; visibility: visible; width: 100%; height: 100% "&gt; &lt;/ di 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0:41 &lt;/ div&gt; &lt;div tabindex =" - 1 "class =" airy-track-bar spacer-right "style =" float: right; width: 11px; "&gt; &lt;/ div&gt; &lt;div tabindex =" - 1 "class =" airy-track-bar-container "style =" margin-left: 35px; margin-right: 75px; "&gt; &lt;div tabindex =" - 1 "class =" airy-track-bar airy-vertical-centering-table "&gt; &lt;div tabindex =" - 1 "class =" airy-vertical-centering- table-cell "&gt; &lt;div tabindex =" - 1 "class =" airy-track-bar elements "&gt; &lt;div tabindex =" - 1 "class =" airy-progress-bar "style =" width: 5.83201%; "&gt; &lt;/ div&gt; &lt;div tabindex =" - 1 "class =" airy-scrubber 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B163CipKONS.mp4 "Class =" video-url "&gt; &lt;input type =" hidden "name =" "value =" https://images-eu.ssl-images-amazon.com/images/I/91vaBEfmJYS.png "class =" video-slate-img-url "&gt; &amp; nbsp; I will not repeat all the technical description, it is complete. This amp with 2 microphones works wonders. Connecting extremely simple, it took me 2 minutes. The settings are as simple as plugging. Adjusting the bass, trebles and Echo function. The two microphones each have a control button. The scope is reasonable, for my part I walked in every room of the house and no loss problem. Plugged into my stereo, do not forget the RCA Audio cable is not supplied. The microphones operate on 2 AA batteries not included. The document is not in French but many scheme are explicit and no connection problem. It is compact, you can take it everywhere with or without difficulty. I who love organize karaoke at home, the fact of having two microphones used at the same time is a big plus. Very little interference, virtually no feedback or sizzle. I recommend ++++</v>
      </c>
    </row>
    <row r="1549">
      <c r="A1549" s="1">
        <v>5.0</v>
      </c>
      <c r="B1549" s="1" t="s">
        <v>1542</v>
      </c>
      <c r="C1549" t="str">
        <f>IFERROR(__xludf.DUMMYFUNCTION("GOOGLETRANSLATE(B1549, ""fr"", ""en"")"),". Faithful to the ad Quick reception")</f>
        <v>. Faithful to the ad Quick reception</v>
      </c>
    </row>
    <row r="1550">
      <c r="A1550" s="1">
        <v>5.0</v>
      </c>
      <c r="B1550" s="1" t="s">
        <v>1543</v>
      </c>
      <c r="C1550" t="str">
        <f>IFERROR(__xludf.DUMMYFUNCTION("GOOGLETRANSLATE(B1550, ""fr"", ""en"")"),"Adjustable and very pretty! Commissioned for a gift, the bracelet is adjustable, all the tools are in for removing stitches which is convenient. Bel general appearance and beautiful finishes. Meets the photo I recommend.")</f>
        <v>Adjustable and very pretty! Commissioned for a gift, the bracelet is adjustable, all the tools are in for removing stitches which is convenient. Bel general appearance and beautiful finishes. Meets the photo I recommend.</v>
      </c>
    </row>
    <row r="1551">
      <c r="A1551" s="1">
        <v>5.0</v>
      </c>
      <c r="B1551" s="1" t="s">
        <v>1544</v>
      </c>
      <c r="C1551" t="str">
        <f>IFERROR(__xludf.DUMMYFUNCTION("GOOGLETRANSLATE(B1551, ""fr"", ""en"")"),"very good sound, the sound quality is worthy of a professional equipment. The connection and adjustment are easily and quickly. The microphone works with conventional batteries much cheaper than my square piers. Good karaoke perspective.")</f>
        <v>very good sound, the sound quality is worthy of a professional equipment. The connection and adjustment are easily and quickly. The microphone works with conventional batteries much cheaper than my square piers. Good karaoke perspective.</v>
      </c>
    </row>
    <row r="1552">
      <c r="A1552" s="1">
        <v>5.0</v>
      </c>
      <c r="B1552" s="1" t="s">
        <v>1545</v>
      </c>
      <c r="C1552" t="str">
        <f>IFERROR(__xludf.DUMMYFUNCTION("GOOGLETRANSLATE(B1552, ""fr"", ""en"")"),"Minimalist for everyday life")</f>
        <v>Minimalist for everyday life</v>
      </c>
    </row>
    <row r="1553">
      <c r="A1553" s="1">
        <v>5.0</v>
      </c>
      <c r="B1553" s="1" t="s">
        <v>1546</v>
      </c>
      <c r="C1553" t="str">
        <f>IFERROR(__xludf.DUMMYFUNCTION("GOOGLETRANSLATE(B1553, ""fr"", ""en"")"),"Beautiful rosary Beautiful rosary and good quality!")</f>
        <v>Beautiful rosary Beautiful rosary and good quality!</v>
      </c>
    </row>
    <row r="1554">
      <c r="A1554" s="1">
        <v>5.0</v>
      </c>
      <c r="B1554" s="1" t="s">
        <v>1547</v>
      </c>
      <c r="C1554" t="str">
        <f>IFERROR(__xludf.DUMMYFUNCTION("GOOGLETRANSLATE(B1554, ""fr"", ""en"")"),"Ras Ras")</f>
        <v>Ras Ras</v>
      </c>
    </row>
    <row r="1555">
      <c r="A1555" s="1">
        <v>5.0</v>
      </c>
      <c r="B1555" s="1" t="s">
        <v>1548</v>
      </c>
      <c r="C1555" t="str">
        <f>IFERROR(__xludf.DUMMYFUNCTION("GOOGLETRANSLATE(B1555, ""fr"", ""en"")"),"Exellent. Very good product. Very satisfaying.")</f>
        <v>Exellent. Very good product. Very satisfaying.</v>
      </c>
    </row>
    <row r="1556">
      <c r="A1556" s="1">
        <v>5.0</v>
      </c>
      <c r="B1556" s="1" t="s">
        <v>1549</v>
      </c>
      <c r="C1556" t="str">
        <f>IFERROR(__xludf.DUMMYFUNCTION("GOOGLETRANSLATE(B1556, ""fr"", ""en"")"),"On top Basketball impeccable, fast delivery, genuine pair of lacoste")</f>
        <v>On top Basketball impeccable, fast delivery, genuine pair of lacoste</v>
      </c>
    </row>
    <row r="1557">
      <c r="A1557" s="1">
        <v>5.0</v>
      </c>
      <c r="B1557" s="1" t="s">
        <v>1550</v>
      </c>
      <c r="C1557" t="str">
        <f>IFERROR(__xludf.DUMMYFUNCTION("GOOGLETRANSLATE(B1557, ""fr"", ""en"")"),"my most very happy")</f>
        <v>my most very happy</v>
      </c>
    </row>
    <row r="1558">
      <c r="A1558" s="1">
        <v>2.0</v>
      </c>
      <c r="B1558" s="1" t="s">
        <v>1551</v>
      </c>
      <c r="C1558" t="str">
        <f>IFERROR(__xludf.DUMMYFUNCTION("GOOGLETRANSLATE(B1558, ""fr"", ""en"")"),"Please note that the heat be held ps I am disappointed by this because the heat goes fast. Only one minute of hot and what is not of great heat, Hot effect does not hold.")</f>
        <v>Please note that the heat be held ps I am disappointed by this because the heat goes fast. Only one minute of hot and what is not of great heat, Hot effect does not hold.</v>
      </c>
    </row>
    <row r="1559">
      <c r="A1559" s="1">
        <v>1.0</v>
      </c>
      <c r="B1559" s="1" t="s">
        <v>1552</v>
      </c>
      <c r="C1559" t="str">
        <f>IFERROR(__xludf.DUMMYFUNCTION("GOOGLETRANSLATE(B1559, ""fr"", ""en"")"),"Never buy I have not liked this article too many defects I would not recommend more")</f>
        <v>Never buy I have not liked this article too many defects I would not recommend more</v>
      </c>
    </row>
    <row r="1560">
      <c r="A1560" s="1">
        <v>1.0</v>
      </c>
      <c r="B1560" s="1" t="s">
        <v>1553</v>
      </c>
      <c r="C1560" t="str">
        <f>IFERROR(__xludf.DUMMYFUNCTION("GOOGLETRANSLATE(B1560, ""fr"", ""en"")"),"No Counterfeiting is the sole retire some day")</f>
        <v>No Counterfeiting is the sole retire some day</v>
      </c>
    </row>
    <row r="1561">
      <c r="A1561" s="1">
        <v>3.0</v>
      </c>
      <c r="B1561" s="1" t="s">
        <v>1554</v>
      </c>
      <c r="C1561" t="str">
        <f>IFERROR(__xludf.DUMMYFUNCTION("GOOGLETRANSLATE(B1561, ""fr"", ""en"")"),"Convenient Very convenient! Anyway, after 3 months of use, the hair after not resume their forms ... shame")</f>
        <v>Convenient Very convenient! Anyway, after 3 months of use, the hair after not resume their forms ... shame</v>
      </c>
    </row>
    <row r="1562">
      <c r="A1562" s="1">
        <v>4.0</v>
      </c>
      <c r="B1562" s="1" t="s">
        <v>1555</v>
      </c>
      <c r="C1562" t="str">
        <f>IFERROR(__xludf.DUMMYFUNCTION("GOOGLETRANSLATE(B1562, ""fr"", ""en"")"),"New Balance For day")</f>
        <v>New Balance For day</v>
      </c>
    </row>
    <row r="1563">
      <c r="A1563" s="1">
        <v>4.0</v>
      </c>
      <c r="B1563" s="1" t="s">
        <v>1556</v>
      </c>
      <c r="C1563" t="str">
        <f>IFERROR(__xludf.DUMMYFUNCTION("GOOGLETRANSLATE(B1563, ""fr"", ""en"")"),"Good size 43 Very comfortable")</f>
        <v>Good size 43 Very comfortable</v>
      </c>
    </row>
    <row r="1564">
      <c r="A1564" s="1">
        <v>4.0</v>
      </c>
      <c r="B1564" s="1" t="s">
        <v>1557</v>
      </c>
      <c r="C1564" t="str">
        <f>IFERROR(__xludf.DUMMYFUNCTION("GOOGLETRANSLATE(B1564, ""fr"", ""en"")"),"I find his great microphones microphones of good quality and a nice clear sound")</f>
        <v>I find his great microphones microphones of good quality and a nice clear sound</v>
      </c>
    </row>
    <row r="1565">
      <c r="A1565" s="1">
        <v>4.0</v>
      </c>
      <c r="B1565" s="1" t="s">
        <v>1558</v>
      </c>
      <c r="C1565" t="str">
        <f>IFERROR(__xludf.DUMMYFUNCTION("GOOGLETRANSLATE(B1565, ""fr"", ""en"")"),"Very good and still improvable It's really convenient and spacious. To wash regularly because dirt is deposited in the front trench. No room for plates or the caps used to close the shelf bottles of breast milk")</f>
        <v>Very good and still improvable It's really convenient and spacious. To wash regularly because dirt is deposited in the front trench. No room for plates or the caps used to close the shelf bottles of breast milk</v>
      </c>
    </row>
    <row r="1566">
      <c r="A1566" s="1">
        <v>5.0</v>
      </c>
      <c r="B1566" s="1" t="s">
        <v>1559</v>
      </c>
      <c r="C1566" t="str">
        <f>IFERROR(__xludf.DUMMYFUNCTION("GOOGLETRANSLATE(B1566, ""fr"", ""en"")"),"Good sound. Long Bluetooth Earpiece autonomy of very good quality. Practice with its load box. Pleasing to the ear. Very good sound. Long battery. lamp fontion also torch.")</f>
        <v>Good sound. Long Bluetooth Earpiece autonomy of very good quality. Practice with its load box. Pleasing to the ear. Very good sound. Long battery. lamp fontion also torch.</v>
      </c>
    </row>
    <row r="1567">
      <c r="A1567" s="1">
        <v>5.0</v>
      </c>
      <c r="B1567" s="1" t="s">
        <v>1560</v>
      </c>
      <c r="C1567" t="str">
        <f>IFERROR(__xludf.DUMMYFUNCTION("GOOGLETRANSLATE(B1567, ""fr"", ""en"")"),"Sports Watch I used every day it is light and very stylish I appreciate the ""&amp; nbsp; not &amp; nbsp;"" easy to use it is very playful meter heart rate monitor for its price for me is the asset that made me buy this product more all its functions are far from"&amp;" negligible and essential for any sportsman who respects")</f>
        <v>Sports Watch I used every day it is light and very stylish I appreciate the "&amp; nbsp; not &amp; nbsp;" easy to use it is very playful meter heart rate monitor for its price for me is the asset that made me buy this product more all its functions are far from negligible and essential for any sportsman who respects</v>
      </c>
    </row>
    <row r="1568">
      <c r="A1568" s="1">
        <v>5.0</v>
      </c>
      <c r="B1568" s="1" t="s">
        <v>1561</v>
      </c>
      <c r="C1568" t="str">
        <f>IFERROR(__xludf.DUMMYFUNCTION("GOOGLETRANSLATE(B1568, ""fr"", ""en"")"),"RAS may expensive than in supermarkets for the same amount of anchor. Good value. I recommend.")</f>
        <v>RAS may expensive than in supermarkets for the same amount of anchor. Good value. I recommend.</v>
      </c>
    </row>
    <row r="1569">
      <c r="A1569" s="1">
        <v>5.0</v>
      </c>
      <c r="B1569" s="1" t="s">
        <v>1562</v>
      </c>
      <c r="C1569" t="str">
        <f>IFERROR(__xludf.DUMMYFUNCTION("GOOGLETRANSLATE(B1569, ""fr"", ""en"")"),"Good shows wa, what about this show that I always have on moi.je bought it at least 2 years. and no problems with. to buy the closed eyes.")</f>
        <v>Good shows wa, what about this show that I always have on moi.je bought it at least 2 years. and no problems with. to buy the closed eyes.</v>
      </c>
    </row>
    <row r="1570">
      <c r="A1570" s="1">
        <v>5.0</v>
      </c>
      <c r="B1570" s="1" t="s">
        <v>1563</v>
      </c>
      <c r="C1570" t="str">
        <f>IFERROR(__xludf.DUMMYFUNCTION("GOOGLETRANSLATE(B1570, ""fr"", ""en"")"),"comfort Works")</f>
        <v>comfort Works</v>
      </c>
    </row>
    <row r="1571">
      <c r="A1571" s="1">
        <v>5.0</v>
      </c>
      <c r="B1571" s="1" t="s">
        <v>1564</v>
      </c>
      <c r="C1571" t="str">
        <f>IFERROR(__xludf.DUMMYFUNCTION("GOOGLETRANSLATE(B1571, ""fr"", ""en"")"),"Super Super shoe shoe, as seen with tommy take one size smaller. Received quickly. I recommend these shoes, it is as good as in slippers!")</f>
        <v>Super Super shoe shoe, as seen with tommy take one size smaller. Received quickly. I recommend these shoes, it is as good as in slippers!</v>
      </c>
    </row>
    <row r="1572">
      <c r="A1572" s="1">
        <v>5.0</v>
      </c>
      <c r="B1572" s="1" t="s">
        <v>1565</v>
      </c>
      <c r="C1572" t="str">
        <f>IFERROR(__xludf.DUMMYFUNCTION("GOOGLETRANSLATE(B1572, ""fr"", ""en"")"),"Very good sound very good product, very easy to connected and the sound is very good what more. I will recommend for the family because they found this very interesting product.")</f>
        <v>Very good sound very good product, very easy to connected and the sound is very good what more. I will recommend for the family because they found this very interesting product.</v>
      </c>
    </row>
    <row r="1573">
      <c r="A1573" s="1">
        <v>5.0</v>
      </c>
      <c r="B1573" s="1" t="s">
        <v>1566</v>
      </c>
      <c r="C1573" t="str">
        <f>IFERROR(__xludf.DUMMYFUNCTION("GOOGLETRANSLATE(B1573, ""fr"", ""en"")"),"Better than the pictures Purchased black shoes made for ambulance They are beautiful, colleagues are jealous and do not believe the price I highly recommend")</f>
        <v>Better than the pictures Purchased black shoes made for ambulance They are beautiful, colleagues are jealous and do not believe the price I highly recommend</v>
      </c>
    </row>
    <row r="1574">
      <c r="A1574" s="1">
        <v>5.0</v>
      </c>
      <c r="B1574" s="1" t="s">
        <v>1567</v>
      </c>
      <c r="C1574" t="str">
        <f>IFERROR(__xludf.DUMMYFUNCTION("GOOGLETRANSLATE(B1574, ""fr"", ""en"")"),"Agathe Bracelet Black Fast delivery and compliance with the website's photo. There still seems to be a little less bright than the picture but that's exactly what I wanted ... even a bit darker would be even better!")</f>
        <v>Agathe Bracelet Black Fast delivery and compliance with the website's photo. There still seems to be a little less bright than the picture but that's exactly what I wanted ... even a bit darker would be even better!</v>
      </c>
    </row>
    <row r="1575">
      <c r="A1575" s="1">
        <v>5.0</v>
      </c>
      <c r="B1575" s="1" t="s">
        <v>1568</v>
      </c>
      <c r="C1575" t="str">
        <f>IFERROR(__xludf.DUMMYFUNCTION("GOOGLETRANSLATE(B1575, ""fr"", ""en"")"),"Top Great product Good size")</f>
        <v>Top Great product Good size</v>
      </c>
    </row>
    <row r="1576">
      <c r="A1576" s="1">
        <v>5.0</v>
      </c>
      <c r="B1576" s="1" t="s">
        <v>1569</v>
      </c>
      <c r="C1576" t="str">
        <f>IFERROR(__xludf.DUMMYFUNCTION("GOOGLETRANSLATE(B1576, ""fr"", ""en"")"),"Super what aesthetical toaster A first but not that !! but then it is super nice. The practical side, the bread after netting are ejected at the proper height, it does not seek to the caught and you do not burn your fingers the taking. The temperature set"&amp;"ting is ultra precise. The function of increasing réchaffachage is great too. I have not tried the defrost function. but if it's like other function there should not be any problem. What happiness")</f>
        <v>Super what aesthetical toaster A first but not that !! but then it is super nice. The practical side, the bread after netting are ejected at the proper height, it does not seek to the caught and you do not burn your fingers the taking. The temperature setting is ultra precise. The function of increasing réchaffachage is great too. I have not tried the defrost function. but if it's like other function there should not be any problem. What happiness</v>
      </c>
    </row>
    <row r="1577">
      <c r="A1577" s="1">
        <v>5.0</v>
      </c>
      <c r="B1577" s="1" t="s">
        <v>1570</v>
      </c>
      <c r="C1577" t="str">
        <f>IFERROR(__xludf.DUMMYFUNCTION("GOOGLETRANSLATE(B1577, ""fr"", ""en"")"),"Nice size. Nice surprise that the size of this jewel. Completed with the earrings that as the collar are a good size. The whole gives an elegant effect without being too flashy.")</f>
        <v>Nice size. Nice surprise that the size of this jewel. Completed with the earrings that as the collar are a good size. The whole gives an elegant effect without being too flashy.</v>
      </c>
    </row>
    <row r="1578">
      <c r="A1578" s="1">
        <v>5.0</v>
      </c>
      <c r="B1578" s="1" t="s">
        <v>1571</v>
      </c>
      <c r="C1578" t="str">
        <f>IFERROR(__xludf.DUMMYFUNCTION("GOOGLETRANSLATE(B1578, ""fr"", ""en"")"),"Ras Super nothing to say quality comfort classic casio must I do not see why blame him ... I highly recommend you buy")</f>
        <v>Ras Super nothing to say quality comfort classic casio must I do not see why blame him ... I highly recommend you buy</v>
      </c>
    </row>
    <row r="1579">
      <c r="A1579" s="1">
        <v>5.0</v>
      </c>
      <c r="B1579" s="1" t="s">
        <v>1572</v>
      </c>
      <c r="C1579" t="str">
        <f>IFERROR(__xludf.DUMMYFUNCTION("GOOGLETRANSLATE(B1579, ""fr"", ""en"")"),"Watch the shows I love the style is class, pretty and elegant. Frankly it is with class and it goes with everything you wear! It's simple, styler and that's what made are charming and are right price is really perfect! I am a fan of Quartz watch and frank"&amp;"ly I love great!")</f>
        <v>Watch the shows I love the style is class, pretty and elegant. Frankly it is with class and it goes with everything you wear! It's simple, styler and that's what made are charming and are right price is really perfect! I am a fan of Quartz watch and frankly I love great!</v>
      </c>
    </row>
    <row r="1580">
      <c r="A1580" s="1">
        <v>5.0</v>
      </c>
      <c r="B1580" s="1" t="s">
        <v>1573</v>
      </c>
      <c r="C1580" t="str">
        <f>IFERROR(__xludf.DUMMYFUNCTION("GOOGLETRANSLATE(B1580, ""fr"", ""en"")"),"Impec Nothing to say .. corresponds very well to demand")</f>
        <v>Impec Nothing to say .. corresponds very well to demand</v>
      </c>
    </row>
    <row r="1581">
      <c r="A1581" s="1">
        <v>2.0</v>
      </c>
      <c r="B1581" s="1" t="s">
        <v>1574</v>
      </c>
      <c r="C1581" t="str">
        <f>IFERROR(__xludf.DUMMYFUNCTION("GOOGLETRANSLATE(B1581, ""fr"", ""en"")"),"Rather disappointed attractive price at the time of purchase but that seems cartridge s be emptied quickly .. so I do not recommend")</f>
        <v>Rather disappointed attractive price at the time of purchase but that seems cartridge s be emptied quickly .. so I do not recommend</v>
      </c>
    </row>
    <row r="1582">
      <c r="A1582" s="1">
        <v>1.0</v>
      </c>
      <c r="B1582" s="1" t="s">
        <v>1575</v>
      </c>
      <c r="C1582" t="str">
        <f>IFERROR(__xludf.DUMMYFUNCTION("GOOGLETRANSLATE(B1582, ""fr"", ""en"")"),"very disappointed I received this watch very quickly. Level design, beautiful as the pictures. By cons can not set the time and the button under the ""pin"" fell. So I returned and Amazon reimbursed me.")</f>
        <v>very disappointed I received this watch very quickly. Level design, beautiful as the pictures. By cons can not set the time and the button under the "pin" fell. So I returned and Amazon reimbursed me.</v>
      </c>
    </row>
    <row r="1583">
      <c r="A1583" s="1">
        <v>3.0</v>
      </c>
      <c r="B1583" s="1" t="s">
        <v>1576</v>
      </c>
      <c r="C1583" t="str">
        <f>IFERROR(__xludf.DUMMYFUNCTION("GOOGLETRANSLATE(B1583, ""fr"", ""en"")"),"Little better Do not be like me ticklish but super convenient ... but definitely not hot")</f>
        <v>Little better Do not be like me ticklish but super convenient ... but definitely not hot</v>
      </c>
    </row>
    <row r="1584">
      <c r="A1584" s="1">
        <v>3.0</v>
      </c>
      <c r="B1584" s="1" t="s">
        <v>1577</v>
      </c>
      <c r="C1584" t="str">
        <f>IFERROR(__xludf.DUMMYFUNCTION("GOOGLETRANSLATE(B1584, ""fr"", ""en"")"),"MAM Anti-Colic Bottle - 260ml - 0 to 6 months It is as wrong, it is dismantled completely, which is not bad at all for cleaning. Are readily available nipples that go with it. The only downside for me is that it lacked the little thing that the bottle mou"&amp;"th, when making preparations flour.")</f>
        <v>MAM Anti-Colic Bottle - 260ml - 0 to 6 months It is as wrong, it is dismantled completely, which is not bad at all for cleaning. Are readily available nipples that go with it. The only downside for me is that it lacked the little thing that the bottle mouth, when making preparations flour.</v>
      </c>
    </row>
    <row r="1585">
      <c r="A1585" s="1">
        <v>4.0</v>
      </c>
      <c r="B1585" s="1" t="s">
        <v>1578</v>
      </c>
      <c r="C1585" t="str">
        <f>IFERROR(__xludf.DUMMYFUNCTION("GOOGLETRANSLATE(B1585, ""fr"", ""en"")"),"Genial very good watch only negative light is useless casio could pass on their g Led schock")</f>
        <v>Genial very good watch only negative light is useless casio could pass on their g Led schock</v>
      </c>
    </row>
    <row r="1586">
      <c r="A1586" s="1">
        <v>4.0</v>
      </c>
      <c r="B1586" s="1" t="s">
        <v>1579</v>
      </c>
      <c r="C1586" t="str">
        <f>IFERROR(__xludf.DUMMYFUNCTION("GOOGLETRANSLATE(B1586, ""fr"", ""en"")"),"Soother with tip wide Convenient larger tip than other important rate what I wanted I recommend it without worry")</f>
        <v>Soother with tip wide Convenient larger tip than other important rate what I wanted I recommend it without worry</v>
      </c>
    </row>
    <row r="1587">
      <c r="A1587" s="1">
        <v>4.0</v>
      </c>
      <c r="B1587" s="1" t="s">
        <v>1580</v>
      </c>
      <c r="C1587" t="str">
        <f>IFERROR(__xludf.DUMMYFUNCTION("GOOGLETRANSLATE(B1587, ""fr"", ""en"")"),"Great shows Beautiful still wonderful but the syncs quickly but it is a pleasure to return ra is the time")</f>
        <v>Great shows Beautiful still wonderful but the syncs quickly but it is a pleasure to return ra is the time</v>
      </c>
    </row>
    <row r="1588">
      <c r="A1588" s="1">
        <v>4.0</v>
      </c>
      <c r="B1588" s="1" t="s">
        <v>1581</v>
      </c>
      <c r="C1588" t="str">
        <f>IFERROR(__xludf.DUMMYFUNCTION("GOOGLETRANSLATE(B1588, ""fr"", ""en"")"),"The Other than to closing the closure nice product")</f>
        <v>The Other than to closing the closure nice product</v>
      </c>
    </row>
    <row r="1589">
      <c r="A1589" s="1">
        <v>5.0</v>
      </c>
      <c r="B1589" s="1" t="s">
        <v>1582</v>
      </c>
      <c r="C1589" t="str">
        <f>IFERROR(__xludf.DUMMYFUNCTION("GOOGLETRANSLATE(B1589, ""fr"", ""en"")"),"received praise. compliant products / Thanks")</f>
        <v>received praise. compliant products / Thanks</v>
      </c>
    </row>
    <row r="1590">
      <c r="A1590" s="1">
        <v>5.0</v>
      </c>
      <c r="B1590" s="1" t="s">
        <v>1583</v>
      </c>
      <c r="C1590" t="str">
        <f>IFERROR(__xludf.DUMMYFUNCTION("GOOGLETRANSLATE(B1590, ""fr"", ""en"")"),"Perfect I'm very comfortable in this jogging, perfect for my morphology and cool colors.")</f>
        <v>Perfect I'm very comfortable in this jogging, perfect for my morphology and cool colors.</v>
      </c>
    </row>
    <row r="1591">
      <c r="A1591" s="1">
        <v>5.0</v>
      </c>
      <c r="B1591" s="1" t="s">
        <v>1584</v>
      </c>
      <c r="C1591" t="str">
        <f>IFERROR(__xludf.DUMMYFUNCTION("GOOGLETRANSLATE(B1591, ""fr"", ""en"")"),"Fragile Very nice but very fragile")</f>
        <v>Fragile Very nice but very fragile</v>
      </c>
    </row>
    <row r="1592">
      <c r="A1592" s="1">
        <v>5.0</v>
      </c>
      <c r="B1592" s="1" t="s">
        <v>1585</v>
      </c>
      <c r="C1592" t="str">
        <f>IFERROR(__xludf.DUMMYFUNCTION("GOOGLETRANSLATE(B1592, ""fr"", ""en"")"),"Very comfortable for the winter! I was looking for slippers to protect me from the cold tiles during the winter, I came across this model estTrès comfortable for the winter, they are very soft so nice feet, it protects very well from the cold. They are be"&amp;"autiful and good quality")</f>
        <v>Very comfortable for the winter! I was looking for slippers to protect me from the cold tiles during the winter, I came across this model estTrès comfortable for the winter, they are very soft so nice feet, it protects very well from the cold. They are beautiful and good quality</v>
      </c>
    </row>
    <row r="1593">
      <c r="A1593" s="1">
        <v>5.0</v>
      </c>
      <c r="B1593" s="1" t="s">
        <v>1586</v>
      </c>
      <c r="C1593" t="str">
        <f>IFERROR(__xludf.DUMMYFUNCTION("GOOGLETRANSLATE(B1593, ""fr"", ""en"")"),"BEAUTIFUL WATCH Good value. I bought this watch for a gift and it was a great success. Quick and neat delivery. Very satisfied.")</f>
        <v>BEAUTIFUL WATCH Good value. I bought this watch for a gift and it was a great success. Quick and neat delivery. Very satisfied.</v>
      </c>
    </row>
    <row r="1594">
      <c r="A1594" s="1">
        <v>5.0</v>
      </c>
      <c r="B1594" s="1" t="s">
        <v>1587</v>
      </c>
      <c r="C1594" t="str">
        <f>IFERROR(__xludf.DUMMYFUNCTION("GOOGLETRANSLATE(B1594, ""fr"", ""en"")"),"Satisfactory Fast delivery for these little Puma pretty as any")</f>
        <v>Satisfactory Fast delivery for these little Puma pretty as any</v>
      </c>
    </row>
    <row r="1595">
      <c r="A1595" s="1">
        <v>5.0</v>
      </c>
      <c r="B1595" s="1" t="s">
        <v>1588</v>
      </c>
      <c r="C1595" t="str">
        <f>IFERROR(__xludf.DUMMYFUNCTION("GOOGLETRANSLATE(B1595, ""fr"", ""en"")"),"Top Excellent RAS coffee after several months of use")</f>
        <v>Top Excellent RAS coffee after several months of use</v>
      </c>
    </row>
    <row r="1596">
      <c r="A1596" s="1">
        <v>5.0</v>
      </c>
      <c r="B1596" s="1" t="s">
        <v>1589</v>
      </c>
      <c r="C1596" t="str">
        <f>IFERROR(__xludf.DUMMYFUNCTION("GOOGLETRANSLATE(B1596, ""fr"", ""en"")"),"very good shoe despite a blister on left foot (operated) the shoes are lightweight with excellent sole, size 44 .... it's a shame not 44 half size, if you want to take thick socks one size larger !")</f>
        <v>very good shoe despite a blister on left foot (operated) the shoes are lightweight with excellent sole, size 44 .... it's a shame not 44 half size, if you want to take thick socks one size larger !</v>
      </c>
    </row>
    <row r="1597">
      <c r="A1597" s="1">
        <v>5.0</v>
      </c>
      <c r="B1597" s="1" t="s">
        <v>1590</v>
      </c>
      <c r="C1597" t="str">
        <f>IFERROR(__xludf.DUMMYFUNCTION("GOOGLETRANSLATE(B1597, ""fr"", ""en"")"),"faithful to the photoTRES VERY APPRECIATE BY MY WIFE AND I even SOON.")</f>
        <v>faithful to the photoTRES VERY APPRECIATE BY MY WIFE AND I even SOON.</v>
      </c>
    </row>
    <row r="1598">
      <c r="A1598" s="1">
        <v>5.0</v>
      </c>
      <c r="B1598" s="1" t="s">
        <v>1591</v>
      </c>
      <c r="C1598" t="str">
        <f>IFERROR(__xludf.DUMMYFUNCTION("GOOGLETRANSLATE(B1598, ""fr"", ""en"")"),"Set of bottles for new born Set of pink bottles for newborns. Contains 2 large bottles' 2 small brush and a pacifier. Bottles of excellent quality 'The Advent brand is the ultimate in childcare. A great gift idea, very useful!")</f>
        <v>Set of bottles for new born Set of pink bottles for newborns. Contains 2 large bottles' 2 small brush and a pacifier. Bottles of excellent quality 'The Advent brand is the ultimate in childcare. A great gift idea, very useful!</v>
      </c>
    </row>
    <row r="1599">
      <c r="A1599" s="1">
        <v>5.0</v>
      </c>
      <c r="B1599" s="1" t="s">
        <v>1592</v>
      </c>
      <c r="C1599" t="str">
        <f>IFERROR(__xludf.DUMMYFUNCTION("GOOGLETRANSLATE(B1599, ""fr"", ""en"")"),"Watch very good quality and finish and even a Casio.")</f>
        <v>Watch very good quality and finish and even a Casio.</v>
      </c>
    </row>
    <row r="1600">
      <c r="A1600" s="1">
        <v>5.0</v>
      </c>
      <c r="B1600" s="1" t="s">
        <v>1593</v>
      </c>
      <c r="C1600" t="str">
        <f>IFERROR(__xludf.DUMMYFUNCTION("GOOGLETRANSLATE(B1600, ""fr"", ""en"")"),"All right shoulder bag handy. There are many pockets and pure enough place that I put there.")</f>
        <v>All right shoulder bag handy. There are many pockets and pure enough place that I put there.</v>
      </c>
    </row>
    <row r="1601">
      <c r="A1601" s="1">
        <v>5.0</v>
      </c>
      <c r="B1601" s="1" t="s">
        <v>1594</v>
      </c>
      <c r="C1601" t="str">
        <f>IFERROR(__xludf.DUMMYFUNCTION("GOOGLETRANSLATE(B1601, ""fr"", ""en"")"),"super j; have Chosi this article because it has three leaves and that; it is ultra soft, the more eighteen packages is economic")</f>
        <v>super j; have Chosi this article because it has three leaves and that; it is ultra soft, the more eighteen packages is economic</v>
      </c>
    </row>
    <row r="1602">
      <c r="A1602" s="1">
        <v>5.0</v>
      </c>
      <c r="B1602" s="1" t="s">
        <v>1595</v>
      </c>
      <c r="C1602" t="str">
        <f>IFERROR(__xludf.DUMMYFUNCTION("GOOGLETRANSLATE(B1602, ""fr"", ""en"")"),"Good product Very good quality box that allows the storage and the load. Pleasing to the ear without pain There are additional ambouts for LIVE different size pillows Works on android and iphone carefree")</f>
        <v>Good product Very good quality box that allows the storage and the load. Pleasing to the ear without pain There are additional ambouts for LIVE different size pillows Works on android and iphone carefree</v>
      </c>
    </row>
    <row r="1603">
      <c r="A1603" s="1">
        <v>5.0</v>
      </c>
      <c r="B1603" s="1" t="s">
        <v>1596</v>
      </c>
      <c r="C1603" t="str">
        <f>IFERROR(__xludf.DUMMYFUNCTION("GOOGLETRANSLATE(B1603, ""fr"", ""en"")"),"Kettle sublime color to my kitchen, perfect look and functionality without surprise, I do not regret my purchase, everything is perfect")</f>
        <v>Kettle sublime color to my kitchen, perfect look and functionality without surprise, I do not regret my purchase, everything is perfect</v>
      </c>
    </row>
    <row r="1604">
      <c r="A1604" s="1">
        <v>2.0</v>
      </c>
      <c r="B1604" s="1" t="s">
        <v>1597</v>
      </c>
      <c r="C1604" t="str">
        <f>IFERROR(__xludf.DUMMYFUNCTION("GOOGLETRANSLATE(B1604, ""fr"", ""en"")"),"Medium Quality too thin paper")</f>
        <v>Medium Quality too thin paper</v>
      </c>
    </row>
    <row r="1605">
      <c r="A1605" s="1">
        <v>1.0</v>
      </c>
      <c r="B1605" s="1" t="s">
        <v>1598</v>
      </c>
      <c r="C1605" t="str">
        <f>IFERROR(__xludf.DUMMYFUNCTION("GOOGLETRANSLATE(B1605, ""fr"", ""en"")"),"go your way !!! 3 copies tested and nothing has to the printer does not want it !!! The lesson is that we must still go read reviews, even for a brand product and ""binary"" with over a thousand and appreciations 4 stars out of five. In short?")</f>
        <v>go your way !!! 3 copies tested and nothing has to the printer does not want it !!! The lesson is that we must still go read reviews, even for a brand product and "binary" with over a thousand and appreciations 4 stars out of five. In short?</v>
      </c>
    </row>
    <row r="1606">
      <c r="A1606" s="1">
        <v>1.0</v>
      </c>
      <c r="B1606" s="1" t="s">
        <v>1599</v>
      </c>
      <c r="C1606" t="str">
        <f>IFERROR(__xludf.DUMMYFUNCTION("GOOGLETRANSLATE(B1606, ""fr"", ""en"")"),"Too bad too many. Even for one wrist strong it will not work. No possibility of adjusting and tightening or: pity.")</f>
        <v>Too bad too many. Even for one wrist strong it will not work. No possibility of adjusting and tightening or: pity.</v>
      </c>
    </row>
    <row r="1607">
      <c r="A1607" s="1">
        <v>3.0</v>
      </c>
      <c r="B1607" s="1" t="s">
        <v>1600</v>
      </c>
      <c r="C1607" t="str">
        <f>IFERROR(__xludf.DUMMYFUNCTION("GOOGLETRANSLATE(B1607, ""fr"", ""en"")"),"blah well but a little disappointed, my son likes against by not playing a lot with. We use it together with the computer next to research the named countries. the numbers are too long suddenly it's complicated to understand (distance, area, population, ."&amp;"..)")</f>
        <v>blah well but a little disappointed, my son likes against by not playing a lot with. We use it together with the computer next to research the named countries. the numbers are too long suddenly it's complicated to understand (distance, area, population, ...)</v>
      </c>
    </row>
    <row r="1608">
      <c r="A1608" s="1">
        <v>3.0</v>
      </c>
      <c r="B1608" s="1" t="s">
        <v>1601</v>
      </c>
      <c r="C1608" t="str">
        <f>IFERROR(__xludf.DUMMYFUNCTION("GOOGLETRANSLATE(B1608, ""fr"", ""en"")"),"Mrs. shoes beautiful color fashion model, the shoe goes well with nice feet I wear has recommended others")</f>
        <v>Mrs. shoes beautiful color fashion model, the shoe goes well with nice feet I wear has recommended others</v>
      </c>
    </row>
    <row r="1609">
      <c r="A1609" s="1">
        <v>4.0</v>
      </c>
      <c r="B1609" s="1" t="s">
        <v>1602</v>
      </c>
      <c r="C1609" t="str">
        <f>IFERROR(__xludf.DUMMYFUNCTION("GOOGLETRANSLATE(B1609, ""fr"", ""en"")"),"Fun With Exact Match Description")</f>
        <v>Fun With Exact Match Description</v>
      </c>
    </row>
    <row r="1610">
      <c r="A1610" s="1">
        <v>4.0</v>
      </c>
      <c r="B1610" s="1" t="s">
        <v>1603</v>
      </c>
      <c r="C1610" t="str">
        <f>IFERROR(__xludf.DUMMYFUNCTION("GOOGLETRANSLATE(B1610, ""fr"", ""en"")"),"beautiful ring I love it!")</f>
        <v>beautiful ring I love it!</v>
      </c>
    </row>
    <row r="1611">
      <c r="A1611" s="1">
        <v>4.0</v>
      </c>
      <c r="B1611" s="1" t="s">
        <v>1604</v>
      </c>
      <c r="C1611" t="str">
        <f>IFERROR(__xludf.DUMMYFUNCTION("GOOGLETRANSLATE(B1611, ""fr"", ""en"")"),"Nickel Nothing to say the quality is good, just a little flat on the smell when the fate of the package, it should from time.")</f>
        <v>Nickel Nothing to say the quality is good, just a little flat on the smell when the fate of the package, it should from time.</v>
      </c>
    </row>
    <row r="1612">
      <c r="A1612" s="1">
        <v>4.0</v>
      </c>
      <c r="B1612" s="1" t="s">
        <v>1605</v>
      </c>
      <c r="C1612" t="str">
        <f>IFERROR(__xludf.DUMMYFUNCTION("GOOGLETRANSLATE(B1612, ""fr"", ""en"")"),"Very good assist lamp It is a quality of extra light. The intensity adjustment is easily done by touch, it fits the bill perfectly. It is not very high, about the height of a 24-inch PC screen. I recommend this lamp has a good value for money.")</f>
        <v>Very good assist lamp It is a quality of extra light. The intensity adjustment is easily done by touch, it fits the bill perfectly. It is not very high, about the height of a 24-inch PC screen. I recommend this lamp has a good value for money.</v>
      </c>
    </row>
    <row r="1613">
      <c r="A1613" s="1">
        <v>5.0</v>
      </c>
      <c r="B1613" s="1" t="s">
        <v>1606</v>
      </c>
      <c r="C1613" t="str">
        <f>IFERROR(__xludf.DUMMYFUNCTION("GOOGLETRANSLATE(B1613, ""fr"", ""en"")"),"The price fast shipping shoes suitable for its nickel walk")</f>
        <v>The price fast shipping shoes suitable for its nickel walk</v>
      </c>
    </row>
    <row r="1614">
      <c r="A1614" s="1">
        <v>5.0</v>
      </c>
      <c r="B1614" s="1" t="s">
        <v>1607</v>
      </c>
      <c r="C1614" t="str">
        <f>IFERROR(__xludf.DUMMYFUNCTION("GOOGLETRANSLATE(B1614, ""fr"", ""en"")"),"Perfect They work very well and above all they are non-toxic to children. They consists of liquid chalk which fades on the table glass with all wipers (sopalin) dry or wet. they have become indispensable in our kitchen!")</f>
        <v>Perfect They work very well and above all they are non-toxic to children. They consists of liquid chalk which fades on the table glass with all wipers (sopalin) dry or wet. they have become indispensable in our kitchen!</v>
      </c>
    </row>
    <row r="1615">
      <c r="A1615" s="1">
        <v>5.0</v>
      </c>
      <c r="B1615" s="1" t="s">
        <v>1608</v>
      </c>
      <c r="C1615" t="str">
        <f>IFERROR(__xludf.DUMMYFUNCTION("GOOGLETRANSLATE(B1615, ""fr"", ""en"")"),"Without hesitation ! Very good model, which is also suitable for the feet! comfortable and sturdy shoe, made of quality leather. Very pretty and more.")</f>
        <v>Without hesitation ! Very good model, which is also suitable for the feet! comfortable and sturdy shoe, made of quality leather. Very pretty and more.</v>
      </c>
    </row>
    <row r="1616">
      <c r="A1616" s="1">
        <v>5.0</v>
      </c>
      <c r="B1616" s="1" t="s">
        <v>1609</v>
      </c>
      <c r="C1616" t="str">
        <f>IFERROR(__xludf.DUMMYFUNCTION("GOOGLETRANSLATE(B1616, ""fr"", ""en"")"),"Aukey IS ok Great sound, perfect comfort, great autonomy, more allied to the small cargo box allows an even longer use.")</f>
        <v>Aukey IS ok Great sound, perfect comfort, great autonomy, more allied to the small cargo box allows an even longer use.</v>
      </c>
    </row>
    <row r="1617">
      <c r="A1617" s="1">
        <v>5.0</v>
      </c>
      <c r="B1617" s="1" t="s">
        <v>1610</v>
      </c>
      <c r="C1617" t="str">
        <f>IFERROR(__xludf.DUMMYFUNCTION("GOOGLETRANSLATE(B1617, ""fr"", ""en"")"),"very good vacuum cleaner I chose this cordless vacuum to small size but with very good performance in exchange for my traditional corded vacuum cleaner. I am a very satisfied customer because in addition to having a beautiful design and a beautiful color,"&amp;" it is easy to use, vacuums as well as my old vacuum cleaner known brand, it is compact with its charging base, autonomy is correct (being manic I spend every day vacuuming!). Delivered quickly again with premium amazon. I can not recommend this vacuum.")</f>
        <v>very good vacuum cleaner I chose this cordless vacuum to small size but with very good performance in exchange for my traditional corded vacuum cleaner. I am a very satisfied customer because in addition to having a beautiful design and a beautiful color, it is easy to use, vacuums as well as my old vacuum cleaner known brand, it is compact with its charging base, autonomy is correct (being manic I spend every day vacuuming!). Delivered quickly again with premium amazon. I can not recommend this vacuum.</v>
      </c>
    </row>
    <row r="1618">
      <c r="A1618" s="1">
        <v>5.0</v>
      </c>
      <c r="B1618" s="1" t="s">
        <v>1611</v>
      </c>
      <c r="C1618" t="str">
        <f>IFERROR(__xludf.DUMMYFUNCTION("GOOGLETRANSLATE(B1618, ""fr"", ""en"")"),"PRODUCT MIRACLE 'with a little elbow grease still great job with this product. Our chair was a mess 11 years without cleaning or product (Recycling) but now it is like new; No more cushion to hide the misery NICKEL")</f>
        <v>PRODUCT MIRACLE 'with a little elbow grease still great job with this product. Our chair was a mess 11 years without cleaning or product (Recycling) but now it is like new; No more cushion to hide the misery NICKEL</v>
      </c>
    </row>
    <row r="1619">
      <c r="A1619" s="1">
        <v>5.0</v>
      </c>
      <c r="B1619" s="1" t="s">
        <v>1612</v>
      </c>
      <c r="C1619" t="str">
        <f>IFERROR(__xludf.DUMMYFUNCTION("GOOGLETRANSLATE(B1619, ""fr"", ""en"")"),"Very good buy My first earpieces BLUET, and I do not regret ..! Very good packaging, with a small storage bag for lugging quiet, easy to implement despite the absence of French instruction, good battery life, and above all a very good support thanks to ea"&amp;"r frames, the sound is okay, j 'I holed a bit limited in the treble, but the bass is excellent, self-correct, .. short, I advise buying ..")</f>
        <v>Very good buy My first earpieces BLUET, and I do not regret ..! Very good packaging, with a small storage bag for lugging quiet, easy to implement despite the absence of French instruction, good battery life, and above all a very good support thanks to ear frames, the sound is okay, j 'I holed a bit limited in the treble, but the bass is excellent, self-correct, .. short, I advise buying ..</v>
      </c>
    </row>
    <row r="1620">
      <c r="A1620" s="1">
        <v>5.0</v>
      </c>
      <c r="B1620" s="1" t="s">
        <v>1613</v>
      </c>
      <c r="C1620" t="str">
        <f>IFERROR(__xludf.DUMMYFUNCTION("GOOGLETRANSLATE(B1620, ""fr"", ""en"")"),"quo vadis? still functional, efficient, clear wide enough to slide .... documents without them beyond .... My benchmark for civil calendar.")</f>
        <v>quo vadis? still functional, efficient, clear wide enough to slide .... documents without them beyond .... My benchmark for civil calendar.</v>
      </c>
    </row>
    <row r="1621">
      <c r="A1621" s="1">
        <v>5.0</v>
      </c>
      <c r="B1621" s="1" t="s">
        <v>1614</v>
      </c>
      <c r="C1621" t="str">
        <f>IFERROR(__xludf.DUMMYFUNCTION("GOOGLETRANSLATE(B1621, ""fr"", ""en"")"),"Okay Bought to replace the ones I had. Excellent in every way.")</f>
        <v>Okay Bought to replace the ones I had. Excellent in every way.</v>
      </c>
    </row>
    <row r="1622">
      <c r="A1622" s="1">
        <v>5.0</v>
      </c>
      <c r="B1622" s="1" t="s">
        <v>1615</v>
      </c>
      <c r="C1622" t="str">
        <f>IFERROR(__xludf.DUMMYFUNCTION("GOOGLETRANSLATE(B1622, ""fr"", ""en"")"),"A little expensive Received in a timely manner, as planned. Items comply with the order. A little expensive!")</f>
        <v>A little expensive Received in a timely manner, as planned. Items comply with the order. A little expensive!</v>
      </c>
    </row>
    <row r="1623">
      <c r="A1623" s="1">
        <v>5.0</v>
      </c>
      <c r="B1623" s="1" t="s">
        <v>1616</v>
      </c>
      <c r="C1623" t="str">
        <f>IFERROR(__xludf.DUMMYFUNCTION("GOOGLETRANSLATE(B1623, ""fr"", ""en"")"),"Beautiful ! Perfect")</f>
        <v>Beautiful ! Perfect</v>
      </c>
    </row>
    <row r="1624">
      <c r="A1624" s="1">
        <v>5.0</v>
      </c>
      <c r="B1624" s="1" t="s">
        <v>1617</v>
      </c>
      <c r="C1624" t="str">
        <f>IFERROR(__xludf.DUMMYFUNCTION("GOOGLETRANSLATE(B1624, ""fr"", ""en"")"),"Very beautiful necklace is always on my neck I keep preciously beautiful it is robust to the wire time is not seen I recommend it is really beautiful and sparkly")</f>
        <v>Very beautiful necklace is always on my neck I keep preciously beautiful it is robust to the wire time is not seen I recommend it is really beautiful and sparkly</v>
      </c>
    </row>
    <row r="1625">
      <c r="A1625" s="1">
        <v>5.0</v>
      </c>
      <c r="B1625" s="1" t="s">
        <v>1618</v>
      </c>
      <c r="C1625" t="str">
        <f>IFERROR(__xludf.DUMMYFUNCTION("GOOGLETRANSLATE(B1625, ""fr"", ""en"")"),"Good quality clothing I'm a 40 but I also quite strong calves. If waist and buttocks, this sport leggings size M fits me perfectly, in the legs is a tad too tight so that it brings down the fabric as and movements. For a good 40, I recommend taking the L "&amp;"in this model .. After testing different models of this brand, sizes slightly different each time. I recommend you trust the comments left by buyers. Apart from about size, I find this very nice leggings in purple graphic. It is not used to the size, and "&amp;"is particularly comfortable (provided one is chosen the right size from the start). Do not move to washing and dry very quickly. There is a good quality garment on the garment. This is the case of all Auric products I've tried so far.")</f>
        <v>Good quality clothing I'm a 40 but I also quite strong calves. If waist and buttocks, this sport leggings size M fits me perfectly, in the legs is a tad too tight so that it brings down the fabric as and movements. For a good 40, I recommend taking the L in this model .. After testing different models of this brand, sizes slightly different each time. I recommend you trust the comments left by buyers. Apart from about size, I find this very nice leggings in purple graphic. It is not used to the size, and is particularly comfortable (provided one is chosen the right size from the start). Do not move to washing and dry very quickly. There is a good quality garment on the garment. This is the case of all Auric products I've tried so far.</v>
      </c>
    </row>
    <row r="1626">
      <c r="A1626" s="1">
        <v>5.0</v>
      </c>
      <c r="B1626" s="1" t="s">
        <v>1619</v>
      </c>
      <c r="C1626" t="str">
        <f>IFERROR(__xludf.DUMMYFUNCTION("GOOGLETRANSLATE(B1626, ""fr"", ""en"")"),"Hyper Hyper practice practice, if suction well")</f>
        <v>Hyper Hyper practice practice, if suction well</v>
      </c>
    </row>
    <row r="1627">
      <c r="A1627" s="1">
        <v>5.0</v>
      </c>
      <c r="B1627" s="1" t="s">
        <v>1620</v>
      </c>
      <c r="C1627" t="str">
        <f>IFERROR(__xludf.DUMMYFUNCTION("GOOGLETRANSLATE(B1627, ""fr"", ""en"")"),"Converse runs every Timeless eras, nothing to say I buy for years, never disappointed!")</f>
        <v>Converse runs every Timeless eras, nothing to say I buy for years, never disappointed!</v>
      </c>
    </row>
    <row r="1628">
      <c r="A1628" s="1">
        <v>2.0</v>
      </c>
      <c r="B1628" s="1" t="s">
        <v>1621</v>
      </c>
      <c r="C1628" t="str">
        <f>IFERROR(__xludf.DUMMYFUNCTION("GOOGLETRANSLATE(B1628, ""fr"", ""en"")"),"Too bad little disappointed too small size would otherwise have good support")</f>
        <v>Too bad little disappointed too small size would otherwise have good support</v>
      </c>
    </row>
    <row r="1629">
      <c r="A1629" s="1">
        <v>1.0</v>
      </c>
      <c r="B1629" s="1" t="s">
        <v>1622</v>
      </c>
      <c r="C1629" t="str">
        <f>IFERROR(__xludf.DUMMYFUNCTION("GOOGLETRANSLATE(B1629, ""fr"", ""en"")"),"Way. Take another paper for better rendering quality ratio / price top as cheap but not terrible either in quality. The impression it is not great. Regardless of the printer settings. The paper pump too much ink, suddenly becomes dark brown limit, he fina"&amp;"lly tarnished too.")</f>
        <v>Way. Take another paper for better rendering quality ratio / price top as cheap but not terrible either in quality. The impression it is not great. Regardless of the printer settings. The paper pump too much ink, suddenly becomes dark brown limit, he finally tarnished too.</v>
      </c>
    </row>
    <row r="1630">
      <c r="A1630" s="1">
        <v>1.0</v>
      </c>
      <c r="B1630" s="1" t="s">
        <v>1623</v>
      </c>
      <c r="C1630" t="str">
        <f>IFERROR(__xludf.DUMMYFUNCTION("GOOGLETRANSLATE(B1630, ""fr"", ""en"")"),"please do not buy this product very fragile boots degrades at all levels of the sole of the cook and the junction between the two do not especially take this model")</f>
        <v>please do not buy this product very fragile boots degrades at all levels of the sole of the cook and the junction between the two do not especially take this model</v>
      </c>
    </row>
    <row r="1631">
      <c r="A1631" s="1">
        <v>3.0</v>
      </c>
      <c r="B1631" s="1" t="s">
        <v>1624</v>
      </c>
      <c r="C1631" t="str">
        <f>IFERROR(__xludf.DUMMYFUNCTION("GOOGLETRANSLATE(B1631, ""fr"", ""en"")"),"Mixed Very good product but on the 2 ordered an XL two tshirts comes in size M, so I remain disappointed")</f>
        <v>Mixed Very good product but on the 2 ordered an XL two tshirts comes in size M, so I remain disappointed</v>
      </c>
    </row>
    <row r="1632">
      <c r="A1632" s="1">
        <v>4.0</v>
      </c>
      <c r="B1632" s="1" t="s">
        <v>1625</v>
      </c>
      <c r="C1632" t="str">
        <f>IFERROR(__xludf.DUMMYFUNCTION("GOOGLETRANSLATE(B1632, ""fr"", ""en"")"),"What happiness After a hard day what better to lie on this mat to de-stress and relax")</f>
        <v>What happiness After a hard day what better to lie on this mat to de-stress and relax</v>
      </c>
    </row>
    <row r="1633">
      <c r="A1633" s="1">
        <v>4.0</v>
      </c>
      <c r="B1633" s="1" t="s">
        <v>1626</v>
      </c>
      <c r="C1633" t="str">
        <f>IFERROR(__xludf.DUMMYFUNCTION("GOOGLETRANSLATE(B1633, ""fr"", ""en"")"),"Grading dde headphones Listen music on youtub Good performance, comfort on the ears, lightness of the helmet on the head Satisfied good value for money product")</f>
        <v>Grading dde headphones Listen music on youtub Good performance, comfort on the ears, lightness of the helmet on the head Satisfied good value for money product</v>
      </c>
    </row>
    <row r="1634">
      <c r="A1634" s="1">
        <v>4.0</v>
      </c>
      <c r="B1634" s="1" t="s">
        <v>1627</v>
      </c>
      <c r="C1634" t="str">
        <f>IFERROR(__xludf.DUMMYFUNCTION("GOOGLETRANSLATE(B1634, ""fr"", ""en"")"),"Beautiful design, shame about the coffee maker elegant beep beep, which heats quickly and well. But why inflict (and neighbors also probably) mandatory as shrill beeping? The ring should be optional and sweet to the ear.")</f>
        <v>Beautiful design, shame about the coffee maker elegant beep beep, which heats quickly and well. But why inflict (and neighbors also probably) mandatory as shrill beeping? The ring should be optional and sweet to the ear.</v>
      </c>
    </row>
    <row r="1635">
      <c r="A1635" s="1">
        <v>4.0</v>
      </c>
      <c r="B1635" s="1" t="s">
        <v>1628</v>
      </c>
      <c r="C1635" t="str">
        <f>IFERROR(__xludf.DUMMYFUNCTION("GOOGLETRANSLATE(B1635, ""fr"", ""en"")"),"Very good investment Leather is a very good quality, delivery very ponctuel.Légèrement disappointed because the inner sole is slightly peeling at the opening of the package. After only a few days the shoe is made to my pied.Je'm still very happy with my p"&amp;"urchase.")</f>
        <v>Very good investment Leather is a very good quality, delivery very ponctuel.Légèrement disappointed because the inner sole is slightly peeling at the opening of the package. After only a few days the shoe is made to my pied.Je'm still very happy with my purchase.</v>
      </c>
    </row>
    <row r="1636">
      <c r="A1636" s="1">
        <v>5.0</v>
      </c>
      <c r="B1636" s="1" t="s">
        <v>1629</v>
      </c>
      <c r="C1636" t="str">
        <f>IFERROR(__xludf.DUMMYFUNCTION("GOOGLETRANSLATE(B1636, ""fr"", ""en"")"),"Perfect for winter cute and comfortable shoes. The exterior is consistent with the picture. And the inside is soft, thick and warm. My little 9 year old leaves do more at home. I recommend !! Check ""&amp; nbsp; yes &amp; nbsp;"" if my review was helpful. Thank y"&amp;"ou !")</f>
        <v>Perfect for winter cute and comfortable shoes. The exterior is consistent with the picture. And the inside is soft, thick and warm. My little 9 year old leaves do more at home. I recommend !! Check "&amp; nbsp; yes &amp; nbsp;" if my review was helpful. Thank you !</v>
      </c>
    </row>
    <row r="1637">
      <c r="A1637" s="1">
        <v>5.0</v>
      </c>
      <c r="B1637" s="1" t="s">
        <v>1630</v>
      </c>
      <c r="C1637" t="str">
        <f>IFERROR(__xludf.DUMMYFUNCTION("GOOGLETRANSLATE(B1637, ""fr"", ""en"")"),"Comfortable, ideal for summer ...")</f>
        <v>Comfortable, ideal for summer ...</v>
      </c>
    </row>
    <row r="1638">
      <c r="A1638" s="1">
        <v>5.0</v>
      </c>
      <c r="B1638" s="1" t="s">
        <v>1631</v>
      </c>
      <c r="C1638" t="str">
        <f>IFERROR(__xludf.DUMMYFUNCTION("GOOGLETRANSLATE(B1638, ""fr"", ""en"")"),"VERY AFFORDABLE GIVES AN HOUR JUST")</f>
        <v>VERY AFFORDABLE GIVES AN HOUR JUST</v>
      </c>
    </row>
    <row r="1639">
      <c r="A1639" s="1">
        <v>5.0</v>
      </c>
      <c r="B1639" s="1" t="s">
        <v>1632</v>
      </c>
      <c r="C1639" t="str">
        <f>IFERROR(__xludf.DUMMYFUNCTION("GOOGLETRANSLATE(B1639, ""fr"", ""en"")"),"Product according Jacketing pleasant sole. comfortable cushioning. In short, they do the work")</f>
        <v>Product according Jacketing pleasant sole. comfortable cushioning. In short, they do the work</v>
      </c>
    </row>
    <row r="1640">
      <c r="A1640" s="1">
        <v>5.0</v>
      </c>
      <c r="B1640" s="1" t="s">
        <v>1633</v>
      </c>
      <c r="C1640" t="str">
        <f>IFERROR(__xludf.DUMMYFUNCTION("GOOGLETRANSLATE(B1640, ""fr"", ""en"")"),"Convenient, comfortable, stylish not to wear shoes to a child 10 years so far. Except this model. Perfect for winter!")</f>
        <v>Convenient, comfortable, stylish not to wear shoes to a child 10 years so far. Except this model. Perfect for winter!</v>
      </c>
    </row>
    <row r="1641">
      <c r="A1641" s="1">
        <v>5.0</v>
      </c>
      <c r="B1641" s="1" t="s">
        <v>1634</v>
      </c>
      <c r="C1641" t="str">
        <f>IFERROR(__xludf.DUMMYFUNCTION("GOOGLETRANSLATE(B1641, ""fr"", ""en"")"),"Top! Delivery on the scheduled day, basketball ditto in stores, no complaints")</f>
        <v>Top! Delivery on the scheduled day, basketball ditto in stores, no complaints</v>
      </c>
    </row>
    <row r="1642">
      <c r="A1642" s="1">
        <v>5.0</v>
      </c>
      <c r="B1642" s="1" t="s">
        <v>1635</v>
      </c>
      <c r="C1642" t="str">
        <f>IFERROR(__xludf.DUMMYFUNCTION("GOOGLETRANSLATE(B1642, ""fr"", ""en"")"),"Super Model TBS late September received this model, I can conclude that I am delighted, first of all the beautiful blue color and comfort is to go for a walk, or walk into town. only downside for me and I confirm some comment, some small size and thus for"&amp;" maximum comfort take one size bigger. so I took a 39 instead of 38.")</f>
        <v>Super Model TBS late September received this model, I can conclude that I am delighted, first of all the beautiful blue color and comfort is to go for a walk, or walk into town. only downside for me and I confirm some comment, some small size and thus for maximum comfort take one size bigger. so I took a 39 instead of 38.</v>
      </c>
    </row>
    <row r="1643">
      <c r="A1643" s="1">
        <v>5.0</v>
      </c>
      <c r="B1643" s="1" t="s">
        <v>1636</v>
      </c>
      <c r="C1643" t="str">
        <f>IFERROR(__xludf.DUMMYFUNCTION("GOOGLETRANSLATE(B1643, ""fr"", ""en"")"),"Meets Perfect")</f>
        <v>Meets Perfect</v>
      </c>
    </row>
    <row r="1644">
      <c r="A1644" s="1">
        <v>5.0</v>
      </c>
      <c r="B1644" s="1" t="s">
        <v>1637</v>
      </c>
      <c r="C1644" t="str">
        <f>IFERROR(__xludf.DUMMYFUNCTION("GOOGLETRANSLATE(B1644, ""fr"", ""en"")"),"practice shoes Nothing to say, I love it is both convenient and flexible. I do not have any being to take another color soon. Thank you for this beautiful shoe")</f>
        <v>practice shoes Nothing to say, I love it is both convenient and flexible. I do not have any being to take another color soon. Thank you for this beautiful shoe</v>
      </c>
    </row>
    <row r="1645">
      <c r="A1645" s="1">
        <v>5.0</v>
      </c>
      <c r="B1645" s="1" t="s">
        <v>1638</v>
      </c>
      <c r="C1645" t="str">
        <f>IFERROR(__xludf.DUMMYFUNCTION("GOOGLETRANSLATE(B1645, ""fr"", ""en"")"),"Bracelet very good value Very easy to replace. He got that from 6 months, but for now I no problems. It should be noted that I do not put my watch every day")</f>
        <v>Bracelet very good value Very easy to replace. He got that from 6 months, but for now I no problems. It should be noted that I do not put my watch every day</v>
      </c>
    </row>
    <row r="1646">
      <c r="A1646" s="1">
        <v>5.0</v>
      </c>
      <c r="B1646" s="1" t="s">
        <v>1639</v>
      </c>
      <c r="C1646" t="str">
        <f>IFERROR(__xludf.DUMMYFUNCTION("GOOGLETRANSLATE(B1646, ""fr"", ""en"")"),"Original HP cartridge Original HP Product. I use these cartridges for my HP 8600 Pro. While these cartridges are expensive but they have a price page among the cheapest in the market (4.8 cents according to test digital). With my use, it lasts a year and "&amp;"around 2500 pages. Excellent value for money.")</f>
        <v>Original HP cartridge Original HP Product. I use these cartridges for my HP 8600 Pro. While these cartridges are expensive but they have a price page among the cheapest in the market (4.8 cents according to test digital). With my use, it lasts a year and around 2500 pages. Excellent value for money.</v>
      </c>
    </row>
    <row r="1647">
      <c r="A1647" s="1">
        <v>5.0</v>
      </c>
      <c r="B1647" s="1" t="s">
        <v>1640</v>
      </c>
      <c r="C1647" t="str">
        <f>IFERROR(__xludf.DUMMYFUNCTION("GOOGLETRANSLATE(B1647, ""fr"", ""en"")"),"Meets Perfect order")</f>
        <v>Meets Perfect order</v>
      </c>
    </row>
    <row r="1648">
      <c r="A1648" s="1">
        <v>5.0</v>
      </c>
      <c r="B1648" s="1" t="s">
        <v>1641</v>
      </c>
      <c r="C1648" t="str">
        <f>IFERROR(__xludf.DUMMYFUNCTION("GOOGLETRANSLATE(B1648, ""fr"", ""en"")"),"Watch Sublime")</f>
        <v>Watch Sublime</v>
      </c>
    </row>
    <row r="1649">
      <c r="A1649" s="1">
        <v>5.0</v>
      </c>
      <c r="B1649" s="1" t="s">
        <v>1642</v>
      </c>
      <c r="C1649" t="str">
        <f>IFERROR(__xludf.DUMMYFUNCTION("GOOGLETRANSLATE(B1649, ""fr"", ""en"")"),"Very good I am very satisfied with this tracksuit, the quality of fabric is beautiful I wore it twice and I washed it once and it is still intact, the color gentleness ... etc.")</f>
        <v>Very good I am very satisfied with this tracksuit, the quality of fabric is beautiful I wore it twice and I washed it once and it is still intact, the color gentleness ... etc.</v>
      </c>
    </row>
    <row r="1650">
      <c r="A1650" s="1">
        <v>5.0</v>
      </c>
      <c r="B1650" s="1" t="s">
        <v>1643</v>
      </c>
      <c r="C1650" t="str">
        <f>IFERROR(__xludf.DUMMYFUNCTION("GOOGLETRANSLATE(B1650, ""fr"", ""en"")"),"The best of whiteboard marker. Large consumer erase markers work, I look forward to each I come across these Bic Velleda wide tip and translucent reservoir. While most of Bic products are manufactured in France or elsewhere in the European Union, these co"&amp;"pies come from China. Batch 4 felts in 4 different colors is packed in a carton. The broad point is very nice if the surface of the table is good. The colors are bright and quick drying ink. Erasing is easy.")</f>
        <v>The best of whiteboard marker. Large consumer erase markers work, I look forward to each I come across these Bic Velleda wide tip and translucent reservoir. While most of Bic products are manufactured in France or elsewhere in the European Union, these copies come from China. Batch 4 felts in 4 different colors is packed in a carton. The broad point is very nice if the surface of the table is good. The colors are bright and quick drying ink. Erasing is easy.</v>
      </c>
    </row>
    <row r="1651">
      <c r="A1651" s="1">
        <v>5.0</v>
      </c>
      <c r="B1651" s="1" t="s">
        <v>1644</v>
      </c>
      <c r="C1651" t="str">
        <f>IFERROR(__xludf.DUMMYFUNCTION("GOOGLETRANSLATE(B1651, ""fr"", ""en"")"),"P'tit gift Beautiful little necklace that made fun thank you")</f>
        <v>P'tit gift Beautiful little necklace that made fun thank you</v>
      </c>
    </row>
    <row r="1652">
      <c r="A1652" s="1">
        <v>2.0</v>
      </c>
      <c r="B1652" s="1" t="s">
        <v>1645</v>
      </c>
      <c r="C1652" t="str">
        <f>IFERROR(__xludf.DUMMYFUNCTION("GOOGLETRANSLATE(B1652, ""fr"", ""en"")"),"baskettes I sold very sore feet otherwise damage the color and perfect stass not do for me")</f>
        <v>baskettes I sold very sore feet otherwise damage the color and perfect stass not do for me</v>
      </c>
    </row>
    <row r="1653">
      <c r="A1653" s="1">
        <v>1.0</v>
      </c>
      <c r="B1653" s="1" t="s">
        <v>1646</v>
      </c>
      <c r="C1653" t="str">
        <f>IFERROR(__xludf.DUMMYFUNCTION("GOOGLETRANSLATE(B1653, ""fr"", ""en"")"),"Poor advice I not this")</f>
        <v>Poor advice I not this</v>
      </c>
    </row>
    <row r="1654">
      <c r="A1654" s="1">
        <v>3.0</v>
      </c>
      <c r="B1654" s="1" t="s">
        <v>1647</v>
      </c>
      <c r="C1654" t="str">
        <f>IFERROR(__xludf.DUMMYFUNCTION("GOOGLETRANSLATE(B1654, ""fr"", ""en"")"),"Good Very soft and very warm, this jacket has just one flaw: the sleeves are a little long. Do not necessarily take the size below, unless you are slender, otherwise you'll be too tight at the waist.")</f>
        <v>Good Very soft and very warm, this jacket has just one flaw: the sleeves are a little long. Do not necessarily take the size below, unless you are slender, otherwise you'll be too tight at the waist.</v>
      </c>
    </row>
    <row r="1655">
      <c r="A1655" s="1">
        <v>3.0</v>
      </c>
      <c r="B1655" s="1" t="s">
        <v>1648</v>
      </c>
      <c r="C1655" t="str">
        <f>IFERROR(__xludf.DUMMYFUNCTION("GOOGLETRANSLATE(B1655, ""fr"", ""en"")"),"a gtx is different things to normal. hello, on the Amazon site is noted black white shoe gtx sure I got a normal pace gtx I am disabled the gtx is to keep feet dry unfortunately it is not.")</f>
        <v>a gtx is different things to normal. hello, on the Amazon site is noted black white shoe gtx sure I got a normal pace gtx I am disabled the gtx is to keep feet dry unfortunately it is not.</v>
      </c>
    </row>
    <row r="1656">
      <c r="A1656" s="1">
        <v>4.0</v>
      </c>
      <c r="B1656" s="1" t="s">
        <v>1649</v>
      </c>
      <c r="C1656" t="str">
        <f>IFERROR(__xludf.DUMMYFUNCTION("GOOGLETRANSLATE(B1656, ""fr"", ""en"")"),"cool I bought off, for it is not tight and hide my curves, it makes it all! a bit transparent, it gives a sporty and casual look, I removed a star for finishing seams which pull a little, but not serious! Pretty ...")</f>
        <v>cool I bought off, for it is not tight and hide my curves, it makes it all! a bit transparent, it gives a sporty and casual look, I removed a star for finishing seams which pull a little, but not serious! Pretty ...</v>
      </c>
    </row>
    <row r="1657">
      <c r="A1657" s="1">
        <v>4.0</v>
      </c>
      <c r="B1657" s="1" t="s">
        <v>1650</v>
      </c>
      <c r="C1657" t="str">
        <f>IFERROR(__xludf.DUMMYFUNCTION("GOOGLETRANSLATE(B1657, ""fr"", ""en"")"),"FLOWER CARPET FIELD Glad this, pity there is no manual inside, we do not know very well command to use")</f>
        <v>FLOWER CARPET FIELD Glad this, pity there is no manual inside, we do not know very well command to use</v>
      </c>
    </row>
    <row r="1658">
      <c r="A1658" s="1">
        <v>4.0</v>
      </c>
      <c r="B1658" s="1" t="s">
        <v>1651</v>
      </c>
      <c r="C1658" t="str">
        <f>IFERROR(__xludf.DUMMYFUNCTION("GOOGLETRANSLATE(B1658, ""fr"", ""en"")"),"Very nice pendant")</f>
        <v>Very nice pendant</v>
      </c>
    </row>
    <row r="1659">
      <c r="A1659" s="1">
        <v>4.0</v>
      </c>
      <c r="B1659" s="1" t="s">
        <v>1652</v>
      </c>
      <c r="C1659" t="str">
        <f>IFERROR(__xludf.DUMMYFUNCTION("GOOGLETRANSLATE(B1659, ""fr"", ""en"")"),"No problem Nickel")</f>
        <v>No problem Nickel</v>
      </c>
    </row>
    <row r="1660">
      <c r="A1660" s="1">
        <v>4.0</v>
      </c>
      <c r="B1660" s="1" t="s">
        <v>1653</v>
      </c>
      <c r="C1660" t="str">
        <f>IFERROR(__xludf.DUMMYFUNCTION("GOOGLETRANSLATE(B1660, ""fr"", ""en"")"),"A package quickly received Parcels received before the end of the delivery period. Cartridges packed well. For print quality and longevity, I will answer when I used cartridges, which is not yet the case.")</f>
        <v>A package quickly received Parcels received before the end of the delivery period. Cartridges packed well. For print quality and longevity, I will answer when I used cartridges, which is not yet the case.</v>
      </c>
    </row>
    <row r="1661">
      <c r="A1661" s="1">
        <v>5.0</v>
      </c>
      <c r="B1661" s="1" t="s">
        <v>1654</v>
      </c>
      <c r="C1661" t="str">
        <f>IFERROR(__xludf.DUMMYFUNCTION("GOOGLETRANSLATE(B1661, ""fr"", ""en"")"),"Good price / quality jute twine classic. Fine but sufficient for the utility that I intend to do.")</f>
        <v>Good price / quality jute twine classic. Fine but sufficient for the utility that I intend to do.</v>
      </c>
    </row>
    <row r="1662">
      <c r="A1662" s="1">
        <v>5.0</v>
      </c>
      <c r="B1662" s="1" t="s">
        <v>1655</v>
      </c>
      <c r="C1662" t="str">
        <f>IFERROR(__xludf.DUMMYFUNCTION("GOOGLETRANSLATE(B1662, ""fr"", ""en"")"),"Necklace I just fell in love with this product. He looks beacoup more beautiful than in the picture and seems to be very expensive. The colors are very vivid and claires😍 This is a perfect gift and I will still buy another one for my sister.")</f>
        <v>Necklace I just fell in love with this product. He looks beacoup more beautiful than in the picture and seems to be very expensive. The colors are very vivid and claires😍 This is a perfect gift and I will still buy another one for my sister.</v>
      </c>
    </row>
    <row r="1663">
      <c r="A1663" s="1">
        <v>5.0</v>
      </c>
      <c r="B1663" s="1" t="s">
        <v>1656</v>
      </c>
      <c r="C1663" t="str">
        <f>IFERROR(__xludf.DUMMYFUNCTION("GOOGLETRANSLATE(B1663, ""fr"", ""en"")"),"The headset MPOW EM13 is really on top of the sound quality and comfort The headset has MPOW EM13 was really well designed small light is nice to reach the sound is perfect even outside in the garden the sound is top small is handy is very easy to use. By"&amp;" cons is a pity he did not box for storage and charge at the same time apart ca5je do not regret my purchase")</f>
        <v>The headset MPOW EM13 is really on top of the sound quality and comfort The headset has MPOW EM13 was really well designed small light is nice to reach the sound is perfect even outside in the garden the sound is top small is handy is very easy to use. By cons is a pity he did not box for storage and charge at the same time apart ca5je do not regret my purchase</v>
      </c>
    </row>
    <row r="1664">
      <c r="A1664" s="1">
        <v>5.0</v>
      </c>
      <c r="B1664" s="1" t="s">
        <v>1657</v>
      </c>
      <c r="C1664" t="str">
        <f>IFERROR(__xludf.DUMMYFUNCTION("GOOGLETRANSLATE(B1664, ""fr"", ""en"")"),"Super Good coat for this season Inter! Coat, fleece with hood. I like the cut and style, he will accompany me a few years. The texture appears strong and the overall quality is good (zipper, buttons, hood etc ...). I'm happy with my purchase!")</f>
        <v>Super Good coat for this season Inter! Coat, fleece with hood. I like the cut and style, he will accompany me a few years. The texture appears strong and the overall quality is good (zipper, buttons, hood etc ...). I'm happy with my purchase!</v>
      </c>
    </row>
    <row r="1665">
      <c r="A1665" s="1">
        <v>5.0</v>
      </c>
      <c r="B1665" s="1" t="s">
        <v>1658</v>
      </c>
      <c r="C1665" t="str">
        <f>IFERROR(__xludf.DUMMYFUNCTION("GOOGLETRANSLATE(B1665, ""fr"", ""en"")"),"Fan of the 80 Very nice watch for fans, it reminds me of my childhood memories, I have offered my 13 year old daughter who never left wrist.")</f>
        <v>Fan of the 80 Very nice watch for fans, it reminds me of my childhood memories, I have offered my 13 year old daughter who never left wrist.</v>
      </c>
    </row>
    <row r="1666">
      <c r="A1666" s="1">
        <v>5.0</v>
      </c>
      <c r="B1666" s="1" t="s">
        <v>1659</v>
      </c>
      <c r="C1666" t="str">
        <f>IFERROR(__xludf.DUMMYFUNCTION("GOOGLETRANSLATE(B1666, ""fr"", ""en"")"),"Very Good Very nice product and very good quality. Very easy to use. The beep will sound only enough without waking the whole house! Very design, I recommend completely")</f>
        <v>Very Good Very nice product and very good quality. Very easy to use. The beep will sound only enough without waking the whole house! Very design, I recommend completely</v>
      </c>
    </row>
    <row r="1667">
      <c r="A1667" s="1">
        <v>5.0</v>
      </c>
      <c r="B1667" s="1" t="s">
        <v>1660</v>
      </c>
      <c r="C1667" t="str">
        <f>IFERROR(__xludf.DUMMYFUNCTION("GOOGLETRANSLATE(B1667, ""fr"", ""en"")"),"Super perfect! The boss does not bother me park I do not put the secu ... It is pleasant and nice nothing to say .. and the price is great.")</f>
        <v>Super perfect! The boss does not bother me park I do not put the secu ... It is pleasant and nice nothing to say .. and the price is great.</v>
      </c>
    </row>
    <row r="1668">
      <c r="A1668" s="1">
        <v>5.0</v>
      </c>
      <c r="B1668" s="1" t="s">
        <v>1661</v>
      </c>
      <c r="C1668" t="str">
        <f>IFERROR(__xludf.DUMMYFUNCTION("GOOGLETRANSLATE(B1668, ""fr"", ""en"")"),"small tea ready, heats quickly. I use it every day, consider making a first rinse.")</f>
        <v>small tea ready, heats quickly. I use it every day, consider making a first rinse.</v>
      </c>
    </row>
    <row r="1669">
      <c r="A1669" s="1">
        <v>5.0</v>
      </c>
      <c r="B1669" s="1" t="s">
        <v>1662</v>
      </c>
      <c r="C1669" t="str">
        <f>IFERROR(__xludf.DUMMYFUNCTION("GOOGLETRANSLATE(B1669, ""fr"", ""en"")"),"I recommend for small budget much I appreciate this helmet and now more than a year that I lutilise. It is very comfortable and has a good quality bb for its price. This makes a very good value for money. I advice you tonight for you or for a gift")</f>
        <v>I recommend for small budget much I appreciate this helmet and now more than a year that I lutilise. It is very comfortable and has a good quality bb for its price. This makes a very good value for money. I advice you tonight for you or for a gift</v>
      </c>
    </row>
    <row r="1670">
      <c r="A1670" s="1">
        <v>5.0</v>
      </c>
      <c r="B1670" s="1" t="s">
        <v>1663</v>
      </c>
      <c r="C1670" t="str">
        <f>IFERROR(__xludf.DUMMYFUNCTION("GOOGLETRANSLATE(B1670, ""fr"", ""en"")"),"Very good cable I use it to connect my keyboard to my amp and he fills his role very well. Very good quality / price ratio, it seems solid and keep in time.")</f>
        <v>Very good cable I use it to connect my keyboard to my amp and he fills his role very well. Very good quality / price ratio, it seems solid and keep in time.</v>
      </c>
    </row>
    <row r="1671">
      <c r="A1671" s="1">
        <v>5.0</v>
      </c>
      <c r="B1671" s="1" t="s">
        <v>1664</v>
      </c>
      <c r="C1671" t="str">
        <f>IFERROR(__xludf.DUMMYFUNCTION("GOOGLETRANSLATE(B1671, ""fr"", ""en"")"),"Too big but beautiful sweater Pleasant, very sweet and funny inside her hood with the but really too big caught XXL ultimately a million would have been enough! According to your advice by looking at the size chart in order ... Back to the complicated exc"&amp;"hange, see impossible..je have sold a friend to put her dog in the pocket !! So be careful when you order for size ...")</f>
        <v>Too big but beautiful sweater Pleasant, very sweet and funny inside her hood with the but really too big caught XXL ultimately a million would have been enough! According to your advice by looking at the size chart in order ... Back to the complicated exchange, see impossible..je have sold a friend to put her dog in the pocket !! So be careful when you order for size ...</v>
      </c>
    </row>
    <row r="1672">
      <c r="A1672" s="1">
        <v>5.0</v>
      </c>
      <c r="B1672" s="1" t="s">
        <v>1665</v>
      </c>
      <c r="C1672" t="str">
        <f>IFERROR(__xludf.DUMMYFUNCTION("GOOGLETRANSLATE(B1672, ""fr"", ""en"")"),"Headphones on top! Headphones relatively well take the ears and the sound of good quality, it completely isolates the noise. For the battery well they hold around 7am but it depends on the volume.")</f>
        <v>Headphones on top! Headphones relatively well take the ears and the sound of good quality, it completely isolates the noise. For the battery well they hold around 7am but it depends on the volume.</v>
      </c>
    </row>
    <row r="1673">
      <c r="A1673" s="1">
        <v>5.0</v>
      </c>
      <c r="B1673" s="1" t="s">
        <v>1666</v>
      </c>
      <c r="C1673" t="str">
        <f>IFERROR(__xludf.DUMMYFUNCTION("GOOGLETRANSLATE(B1673, ""fr"", ""en"")"),"Top basketball Superb I also have one in the red top")</f>
        <v>Top basketball Superb I also have one in the red top</v>
      </c>
    </row>
    <row r="1674">
      <c r="A1674" s="1">
        <v>5.0</v>
      </c>
      <c r="B1674" s="1" t="s">
        <v>1667</v>
      </c>
      <c r="C1674" t="str">
        <f>IFERROR(__xludf.DUMMYFUNCTION("GOOGLETRANSLATE(B1674, ""fr"", ""en"")"),"Chain of good quality I recommend this security chain and is easy to put on and of good quality I'm reassured!")</f>
        <v>Chain of good quality I recommend this security chain and is easy to put on and of good quality I'm reassured!</v>
      </c>
    </row>
    <row r="1675">
      <c r="A1675" s="1">
        <v>5.0</v>
      </c>
      <c r="B1675" s="1" t="s">
        <v>1668</v>
      </c>
      <c r="C1675" t="str">
        <f>IFERROR(__xludf.DUMMYFUNCTION("GOOGLETRANSLATE(B1675, ""fr"", ""en"")"),"Please many A beautiful album offered to avoid chocolates traditional Advent calendars. Very pretty colors, read at least 30 times since early December, it is without doubt that in December will have 40 days this year! Happy Holidays to all.")</f>
        <v>Please many A beautiful album offered to avoid chocolates traditional Advent calendars. Very pretty colors, read at least 30 times since early December, it is without doubt that in December will have 40 days this year! Happy Holidays to all.</v>
      </c>
    </row>
    <row r="1676">
      <c r="A1676" s="1">
        <v>2.0</v>
      </c>
      <c r="B1676" s="1" t="s">
        <v>1669</v>
      </c>
      <c r="C1676" t="str">
        <f>IFERROR(__xludf.DUMMYFUNCTION("GOOGLETRANSLATE(B1676, ""fr"", ""en"")"),"VERY GOOD PRODUCT MY LITTLE SON IN THIS COLLECTION rafolle")</f>
        <v>VERY GOOD PRODUCT MY LITTLE SON IN THIS COLLECTION rafolle</v>
      </c>
    </row>
    <row r="1677">
      <c r="A1677" s="1">
        <v>1.0</v>
      </c>
      <c r="B1677" s="1" t="s">
        <v>1670</v>
      </c>
      <c r="C1677" t="str">
        <f>IFERROR(__xludf.DUMMYFUNCTION("GOOGLETRANSLATE(B1677, ""fr"", ""en"")"),"Sensitivity Rode VideoMic The Rode VideoMic Microphone Me Me microphone, soon received, immediately tested on Samsung Galaxy S4 and Galaxy Note 8, soon returned: microphone sensitivity ""directive"" disappointing. The recording level is less limited than "&amp;"the built-in microphones for mobile. Mitigation of ""noise"" side is certainly effective ... Material tested undisturbed closed place, without the windscreen anti wind, facing a TV (for sound and image). The recorded sound is beginning to be noticeable wi"&amp;"thin 1.5 meters of the audio source ... Not tested out, with the windshield ...!")</f>
        <v>Sensitivity Rode VideoMic The Rode VideoMic Microphone Me Me microphone, soon received, immediately tested on Samsung Galaxy S4 and Galaxy Note 8, soon returned: microphone sensitivity "directive" disappointing. The recording level is less limited than the built-in microphones for mobile. Mitigation of "noise" side is certainly effective ... Material tested undisturbed closed place, without the windscreen anti wind, facing a TV (for sound and image). The recorded sound is beginning to be noticeable within 1.5 meters of the audio source ... Not tested out, with the windshield ...!</v>
      </c>
    </row>
    <row r="1678">
      <c r="A1678" s="1">
        <v>1.0</v>
      </c>
      <c r="B1678" s="1" t="s">
        <v>1671</v>
      </c>
      <c r="C1678" t="str">
        <f>IFERROR(__xludf.DUMMYFUNCTION("GOOGLETRANSLATE(B1678, ""fr"", ""en"")"),"Move along Receipt already used tape to hold the water tank, the bristles on the plug, no protection cardboard or polystyrene in the carton (very damaged) containing the machine. Damage to pay a repackaged product as expensive as a new, and not be warned "&amp;"....")</f>
        <v>Move along Receipt already used tape to hold the water tank, the bristles on the plug, no protection cardboard or polystyrene in the carton (very damaged) containing the machine. Damage to pay a repackaged product as expensive as a new, and not be warned ....</v>
      </c>
    </row>
    <row r="1679">
      <c r="A1679" s="1">
        <v>3.0</v>
      </c>
      <c r="B1679" s="1" t="s">
        <v>1672</v>
      </c>
      <c r="C1679" t="str">
        <f>IFERROR(__xludf.DUMMYFUNCTION("GOOGLETRANSLATE(B1679, ""fr"", ""en"")"),"Good value These socks are very comfortable but alas 1 tennis match and already a bell.")</f>
        <v>Good value These socks are very comfortable but alas 1 tennis match and already a bell.</v>
      </c>
    </row>
    <row r="1680">
      <c r="A1680" s="1">
        <v>3.0</v>
      </c>
      <c r="B1680" s="1" t="s">
        <v>1673</v>
      </c>
      <c r="C1680" t="str">
        <f>IFERROR(__xludf.DUMMYFUNCTION("GOOGLETRANSLATE(B1680, ""fr"", ""en"")"),"Gibeciere Gibecière Visconti Visconti very consistent with my expectations. Very good value for money. Nice quality and finish. I have no regrets and I recommend")</f>
        <v>Gibeciere Gibecière Visconti Visconti very consistent with my expectations. Very good value for money. Nice quality and finish. I have no regrets and I recommend</v>
      </c>
    </row>
    <row r="1681">
      <c r="A1681" s="1">
        <v>4.0</v>
      </c>
      <c r="B1681" s="1" t="s">
        <v>1674</v>
      </c>
      <c r="C1681" t="str">
        <f>IFERROR(__xludf.DUMMYFUNCTION("GOOGLETRANSLATE(B1681, ""fr"", ""en"")"),"Meets Received description before the scheduled date consistent with the description. Satisfied with my purchase")</f>
        <v>Meets Received description before the scheduled date consistent with the description. Satisfied with my purchase</v>
      </c>
    </row>
    <row r="1682">
      <c r="A1682" s="1">
        <v>4.0</v>
      </c>
      <c r="B1682" s="1" t="s">
        <v>1675</v>
      </c>
      <c r="C1682" t="str">
        <f>IFERROR(__xludf.DUMMYFUNCTION("GOOGLETRANSLATE(B1682, ""fr"", ""en"")"),"Meets Sublime picture beautiful jewel necklace conform to the picture with very very pretty shade and a beautiful box that brings into the jewel.")</f>
        <v>Meets Sublime picture beautiful jewel necklace conform to the picture with very very pretty shade and a beautiful box that brings into the jewel.</v>
      </c>
    </row>
    <row r="1683">
      <c r="A1683" s="1">
        <v>4.0</v>
      </c>
      <c r="B1683" s="1" t="s">
        <v>1676</v>
      </c>
      <c r="C1683" t="str">
        <f>IFERROR(__xludf.DUMMYFUNCTION("GOOGLETRANSLATE(B1683, ""fr"", ""en"")"),"well It is a very good article I have not had any problems for this article which is much cheaper than the original")</f>
        <v>well It is a very good article I have not had any problems for this article which is much cheaper than the original</v>
      </c>
    </row>
    <row r="1684">
      <c r="A1684" s="1">
        <v>4.0</v>
      </c>
      <c r="B1684" s="1" t="s">
        <v>1677</v>
      </c>
      <c r="C1684" t="str">
        <f>IFERROR(__xludf.DUMMYFUNCTION("GOOGLETRANSLATE(B1684, ""fr"", ""en"")"),"Suunto original After 3 years of loyal daily services bracelet of my watch began showing weaknesses ... It was time to change. With my previous Suunto (older model) the change of the bracelet was very (VERY) wrong, making it unusable watch. This time not!"&amp;" First of all it must be emphasized that this is an original Suunto product. The received packet contains both arms of the bracelet, a manual, and the screws with spare bolts, and an adhesive tube. To replace a turn-screw T7 (in 5-pointed star) is require"&amp;"d and is not included. To remove the old bolts made a screwdriver 1.3 the case. The replacement took me about ten minutes. Being an original product no surprises adjustment is perfect. Just to note the difference in design (see photo: the new is on the le"&amp;"ft and the former right) irrelevant in my opinion. The only negative glue to secure the clamping is to be or even the back of screw ... and given the size of the latter difficult to work properly. In short very satisfied ... My Ambit 3 went back for a rid"&amp;"e!")</f>
        <v>Suunto original After 3 years of loyal daily services bracelet of my watch began showing weaknesses ... It was time to change. With my previous Suunto (older model) the change of the bracelet was very (VERY) wrong, making it unusable watch. This time not! First of all it must be emphasized that this is an original Suunto product. The received packet contains both arms of the bracelet, a manual, and the screws with spare bolts, and an adhesive tube. To replace a turn-screw T7 (in 5-pointed star) is required and is not included. To remove the old bolts made a screwdriver 1.3 the case. The replacement took me about ten minutes. Being an original product no surprises adjustment is perfect. Just to note the difference in design (see photo: the new is on the left and the former right) irrelevant in my opinion. The only negative glue to secure the clamping is to be or even the back of screw ... and given the size of the latter difficult to work properly. In short very satisfied ... My Ambit 3 went back for a ride!</v>
      </c>
    </row>
    <row r="1685">
      <c r="A1685" s="1">
        <v>5.0</v>
      </c>
      <c r="B1685" s="1" t="s">
        <v>1678</v>
      </c>
      <c r="C1685" t="str">
        <f>IFERROR(__xludf.DUMMYFUNCTION("GOOGLETRANSLATE(B1685, ""fr"", ""en"")"),"Perfect well as 1 kit.")</f>
        <v>Perfect well as 1 kit.</v>
      </c>
    </row>
    <row r="1686">
      <c r="A1686" s="1">
        <v>5.0</v>
      </c>
      <c r="B1686" s="1" t="s">
        <v>1679</v>
      </c>
      <c r="C1686" t="str">
        <f>IFERROR(__xludf.DUMMYFUNCTION("GOOGLETRANSLATE(B1686, ""fr"", ""en"")"),"Really small !!! Beautiful object that works well The last dictaphone my daughter did not survive a fall amphi ... she opted for this model. Frankly the design of this dictation is really nice, and the small size is top !!! Leger, easy to use with good so"&amp;"und. She is very happy because it is really useful to take its course. Good gift for a student! I hope my review will be useful; )")</f>
        <v>Really small !!! Beautiful object that works well The last dictaphone my daughter did not survive a fall amphi ... she opted for this model. Frankly the design of this dictation is really nice, and the small size is top !!! Leger, easy to use with good sound. She is very happy because it is really useful to take its course. Good gift for a student! I hope my review will be useful; )</v>
      </c>
    </row>
    <row r="1687">
      <c r="A1687" s="1">
        <v>5.0</v>
      </c>
      <c r="B1687" s="1" t="s">
        <v>1680</v>
      </c>
      <c r="C1687" t="str">
        <f>IFERROR(__xludf.DUMMYFUNCTION("GOOGLETRANSLATE(B1687, ""fr"", ""en"")"),"Very good sound At its top super happy with my purchase because my daughter and I recommend happy thank you")</f>
        <v>Very good sound At its top super happy with my purchase because my daughter and I recommend happy thank you</v>
      </c>
    </row>
    <row r="1688">
      <c r="A1688" s="1">
        <v>5.0</v>
      </c>
      <c r="B1688" s="1" t="s">
        <v>1681</v>
      </c>
      <c r="C1688" t="str">
        <f>IFERROR(__xludf.DUMMYFUNCTION("GOOGLETRANSLATE(B1688, ""fr"", ""en"")"),"Perfect cartridges are perfect so that the original is no recognition problems with the printer and XL last much longer. They are also much cheaper than the store. I recommend them completely. I hope my review has been helpful.")</f>
        <v>Perfect cartridges are perfect so that the original is no recognition problems with the printer and XL last much longer. They are also much cheaper than the store. I recommend them completely. I hope my review has been helpful.</v>
      </c>
    </row>
    <row r="1689">
      <c r="A1689" s="1">
        <v>5.0</v>
      </c>
      <c r="B1689" s="1" t="s">
        <v>1682</v>
      </c>
      <c r="C1689" t="str">
        <f>IFERROR(__xludf.DUMMYFUNCTION("GOOGLETRANSLATE(B1689, ""fr"", ""en"")"),"Dodie Dodie rest ..... This set of 6 blue bottle is the perfect gift birth, for all moms know well, we never have enough bottles. The fact that there are 3 different sizes are helpful because at the smaller early enough then the medium and large when baby"&amp;" is bigger. And little can then be used for fruit juice or just water. The designs are very playful and triangular bottles, allows baby when he grows better take it alone. The teats are 3 speed and facilitates the flow of milk that one wishes for baby. In"&amp;" short, quality and brand that has nothing more to prove it. Even if they are a bit expensive, the expertise is there. I recommend +++")</f>
        <v>Dodie Dodie rest ..... This set of 6 blue bottle is the perfect gift birth, for all moms know well, we never have enough bottles. The fact that there are 3 different sizes are helpful because at the smaller early enough then the medium and large when baby is bigger. And little can then be used for fruit juice or just water. The designs are very playful and triangular bottles, allows baby when he grows better take it alone. The teats are 3 speed and facilitates the flow of milk that one wishes for baby. In short, quality and brand that has nothing more to prove it. Even if they are a bit expensive, the expertise is there. I recommend +++</v>
      </c>
    </row>
    <row r="1690">
      <c r="A1690" s="1">
        <v>5.0</v>
      </c>
      <c r="B1690" s="1" t="s">
        <v>224</v>
      </c>
      <c r="C1690" t="str">
        <f>IFERROR(__xludf.DUMMYFUNCTION("GOOGLETRANSLATE(B1690, ""fr"", ""en"")"),"perfect perfect")</f>
        <v>perfect perfect</v>
      </c>
    </row>
    <row r="1691">
      <c r="A1691" s="1">
        <v>5.0</v>
      </c>
      <c r="B1691" s="1" t="s">
        <v>1683</v>
      </c>
      <c r="C1691" t="str">
        <f>IFERROR(__xludf.DUMMYFUNCTION("GOOGLETRANSLATE(B1691, ""fr"", ""en"")"),"Same Basketball Perfect Great for anyone who works standing all day")</f>
        <v>Same Basketball Perfect Great for anyone who works standing all day</v>
      </c>
    </row>
    <row r="1692">
      <c r="A1692" s="1">
        <v>5.0</v>
      </c>
      <c r="B1692" s="1" t="s">
        <v>1684</v>
      </c>
      <c r="C1692" t="str">
        <f>IFERROR(__xludf.DUMMYFUNCTION("GOOGLETRANSLATE(B1692, ""fr"", ""en"")"),"Very happy I bought these socks for comfort and durability. Fully satisfied for the first aspect. They give a pleasant feeling and adapt well to the anatomy of the foot and lower leg without impeding the flow of blood. can wash at 40 ° so OK (lowest fails"&amp;"). It is too early to assess the life. But for now, this is my favorite choice.")</f>
        <v>Very happy I bought these socks for comfort and durability. Fully satisfied for the first aspect. They give a pleasant feeling and adapt well to the anatomy of the foot and lower leg without impeding the flow of blood. can wash at 40 ° so OK (lowest fails). It is too early to assess the life. But for now, this is my favorite choice.</v>
      </c>
    </row>
    <row r="1693">
      <c r="A1693" s="1">
        <v>5.0</v>
      </c>
      <c r="B1693" s="1" t="s">
        <v>1685</v>
      </c>
      <c r="C1693" t="str">
        <f>IFERROR(__xludf.DUMMYFUNCTION("GOOGLETRANSLATE(B1693, ""fr"", ""en"")"),"Comfortable My son loves these shoes. They are ideal for its strong and comfortable feet. Also effective against odors Good quality they last, I have recommended when changing size. Provide may be just one size bigger.")</f>
        <v>Comfortable My son loves these shoes. They are ideal for its strong and comfortable feet. Also effective against odors Good quality they last, I have recommended when changing size. Provide may be just one size bigger.</v>
      </c>
    </row>
    <row r="1694">
      <c r="A1694" s="1">
        <v>5.0</v>
      </c>
      <c r="B1694" s="1" t="s">
        <v>1686</v>
      </c>
      <c r="C1694" t="str">
        <f>IFERROR(__xludf.DUMMYFUNCTION("GOOGLETRANSLATE(B1694, ""fr"", ""en"")"),"OK even with the ""big"" feet I make the 45, with the Ras 41/46")</f>
        <v>OK even with the "big" feet I make the 45, with the Ras 41/46</v>
      </c>
    </row>
    <row r="1695">
      <c r="A1695" s="1">
        <v>5.0</v>
      </c>
      <c r="B1695" s="1" t="s">
        <v>1687</v>
      </c>
      <c r="C1695" t="str">
        <f>IFERROR(__xludf.DUMMYFUNCTION("GOOGLETRANSLATE(B1695, ""fr"", ""en"")"),"Super Super")</f>
        <v>Super Super</v>
      </c>
    </row>
    <row r="1696">
      <c r="A1696" s="1">
        <v>5.0</v>
      </c>
      <c r="B1696" s="1" t="s">
        <v>1688</v>
      </c>
      <c r="C1696" t="str">
        <f>IFERROR(__xludf.DUMMYFUNCTION("GOOGLETRANSLATE(B1696, ""fr"", ""en"")"),"Top Quality Magnificent shows")</f>
        <v>Top Quality Magnificent shows</v>
      </c>
    </row>
    <row r="1697">
      <c r="A1697" s="1">
        <v>5.0</v>
      </c>
      <c r="B1697" s="1" t="s">
        <v>1689</v>
      </c>
      <c r="C1697" t="str">
        <f>IFERROR(__xludf.DUMMYFUNCTION("GOOGLETRANSLATE(B1697, ""fr"", ""en"")"),"very well. I have a wide foot. With the tops of shoes, Velcro being, I am able to adjust my exact. depreciation on the plant excellent feet. I'm also a very big man, so I tend to be very hard on elements like shoes.as now, they remain very well.")</f>
        <v>very well. I have a wide foot. With the tops of shoes, Velcro being, I am able to adjust my exact. depreciation on the plant excellent feet. I'm also a very big man, so I tend to be very hard on elements like shoes.as now, they remain very well.</v>
      </c>
    </row>
    <row r="1698">
      <c r="A1698" s="1">
        <v>5.0</v>
      </c>
      <c r="B1698" s="1" t="s">
        <v>1690</v>
      </c>
      <c r="C1698" t="str">
        <f>IFERROR(__xludf.DUMMYFUNCTION("GOOGLETRANSLATE(B1698, ""fr"", ""en"")"),"Excellent shows cheap Unbeatable value for money. I love this watch. The bracelet quickly took a vintage leather color but I adore. Works very well. One detail: the sound of the second hand at night")</f>
        <v>Excellent shows cheap Unbeatable value for money. I love this watch. The bracelet quickly took a vintage leather color but I adore. Works very well. One detail: the sound of the second hand at night</v>
      </c>
    </row>
    <row r="1699">
      <c r="A1699" s="1">
        <v>5.0</v>
      </c>
      <c r="B1699" s="1" t="s">
        <v>1691</v>
      </c>
      <c r="C1699" t="str">
        <f>IFERROR(__xludf.DUMMYFUNCTION("GOOGLETRANSLATE(B1699, ""fr"", ""en"")"),"Magic Before I spent some good hundred in € Garmin trackers and other brands of high reputation, with several setbacks on the reliability and quality. I Wincase there with an efficient and reliable wristband for the 10th of the price of other brands. What"&amp;" more !!! Reliable and comfortable to wear it never leaves me. We bet that the quality is sustainable. Next to all these I can only recommend the purchase !!!")</f>
        <v>Magic Before I spent some good hundred in € Garmin trackers and other brands of high reputation, with several setbacks on the reliability and quality. I Wincase there with an efficient and reliable wristband for the 10th of the price of other brands. What more !!! Reliable and comfortable to wear it never leaves me. We bet that the quality is sustainable. Next to all these I can only recommend the purchase !!!</v>
      </c>
    </row>
    <row r="1700">
      <c r="A1700" s="1">
        <v>2.0</v>
      </c>
      <c r="B1700" s="1" t="s">
        <v>1692</v>
      </c>
      <c r="C1700" t="str">
        <f>IFERROR(__xludf.DUMMYFUNCTION("GOOGLETRANSLATE(B1700, ""fr"", ""en"")"),"Seams a little frail Nice bag practical and not too expensive but do not ask him too. Fasteners seams are weak and tear rather easily. Do not overload therefore neither too shot. If your children have to pull your bag it may tear. After course some sewing"&amp;" and it holds much better than before but ...")</f>
        <v>Seams a little frail Nice bag practical and not too expensive but do not ask him too. Fasteners seams are weak and tear rather easily. Do not overload therefore neither too shot. If your children have to pull your bag it may tear. After course some sewing and it holds much better than before but ...</v>
      </c>
    </row>
    <row r="1701">
      <c r="A1701" s="1">
        <v>1.0</v>
      </c>
      <c r="B1701" s="1" t="s">
        <v>1693</v>
      </c>
      <c r="C1701" t="str">
        <f>IFERROR(__xludf.DUMMYFUNCTION("GOOGLETRANSLATE(B1701, ""fr"", ""en"")"),"Socks Socks dutout avoid uncomfortable. I have shed because my daughter does not support them. Printing wear synthetic 😱 I highly recommend.")</f>
        <v>Socks Socks dutout avoid uncomfortable. I have shed because my daughter does not support them. Printing wear synthetic 😱 I highly recommend.</v>
      </c>
    </row>
    <row r="1702">
      <c r="A1702" s="1">
        <v>1.0</v>
      </c>
      <c r="B1702" s="1" t="s">
        <v>1694</v>
      </c>
      <c r="C1702" t="str">
        <f>IFERROR(__xludf.DUMMYFUNCTION("GOOGLETRANSLATE(B1702, ""fr"", ""en"")"),"quality defect after a month After a month one of the 2 A black eighth off the zipper is mysteriously removed (as crumbled). Unable to return the product because the purchase date there just a month how to operate the SVP warranty? I am very surprised at "&amp;"the low quality of this kit is used to the Eastpak products.")</f>
        <v>quality defect after a month After a month one of the 2 A black eighth off the zipper is mysteriously removed (as crumbled). Unable to return the product because the purchase date there just a month how to operate the SVP warranty? I am very surprised at the low quality of this kit is used to the Eastpak products.</v>
      </c>
    </row>
    <row r="1703">
      <c r="A1703" s="1">
        <v>3.0</v>
      </c>
      <c r="B1703" s="1" t="s">
        <v>1695</v>
      </c>
      <c r="C1703" t="str">
        <f>IFERROR(__xludf.DUMMYFUNCTION("GOOGLETRANSLATE(B1703, ""fr"", ""en"")"),"damage received in due time but too small not suitable for a wallet, a mobile (6 ''), door map (car papers) or 2/3 small things with")</f>
        <v>damage received in due time but too small not suitable for a wallet, a mobile (6 ''), door map (car papers) or 2/3 small things with</v>
      </c>
    </row>
    <row r="1704">
      <c r="A1704" s="1">
        <v>3.0</v>
      </c>
      <c r="B1704" s="1" t="s">
        <v>1696</v>
      </c>
      <c r="C1704" t="str">
        <f>IFERROR(__xludf.DUMMYFUNCTION("GOOGLETRANSLATE(B1704, ""fr"", ""en"")"),"size large, improper color a bit large size and the color yellow is rather old stale mustard. But overall, it's comfortable.")</f>
        <v>size large, improper color a bit large size and the color yellow is rather old stale mustard. But overall, it's comfortable.</v>
      </c>
    </row>
    <row r="1705">
      <c r="A1705" s="1">
        <v>4.0</v>
      </c>
      <c r="B1705" s="1" t="s">
        <v>1697</v>
      </c>
      <c r="C1705" t="str">
        <f>IFERROR(__xludf.DUMMYFUNCTION("GOOGLETRANSLATE(B1705, ""fr"", ""en"")"),"Buy it! I decided to listen to the comments of each of these headphones and I can say that I am not at all disappointed! Comfort excellent, its a good quality for the price and easily stowable. It is very discreet and does not attract attention on the str"&amp;"eet is what I was looking first. The only downside is that the battery is displayed only when one connects a device, why not make a special touch to battery rating of the control buttons next time? Despite this, the 18 times are insured 👍🏾 Anyway, nothi"&amp;"ng to say, buy it.")</f>
        <v>Buy it! I decided to listen to the comments of each of these headphones and I can say that I am not at all disappointed! Comfort excellent, its a good quality for the price and easily stowable. It is very discreet and does not attract attention on the street is what I was looking first. The only downside is that the battery is displayed only when one connects a device, why not make a special touch to battery rating of the control buttons next time? Despite this, the 18 times are insured 👍🏾 Anyway, nothing to say, buy it.</v>
      </c>
    </row>
    <row r="1706">
      <c r="A1706" s="1">
        <v>4.0</v>
      </c>
      <c r="B1706" s="1" t="s">
        <v>1698</v>
      </c>
      <c r="C1706" t="str">
        <f>IFERROR(__xludf.DUMMYFUNCTION("GOOGLETRANSLATE(B1706, ""fr"", ""en"")"),"very good headphones! very good reproduction of sounds. comfortable.")</f>
        <v>very good headphones! very good reproduction of sounds. comfortable.</v>
      </c>
    </row>
    <row r="1707">
      <c r="A1707" s="1">
        <v>4.0</v>
      </c>
      <c r="B1707" s="1" t="s">
        <v>1699</v>
      </c>
      <c r="C1707" t="str">
        <f>IFERROR(__xludf.DUMMYFUNCTION("GOOGLETRANSLATE(B1707, ""fr"", ""en"")"),"In principle bra lovely lifejackets are dark with average maintenance ....... They are very nice, beautiful lace, and very very good support that we do not end up with lifejackets simple, properly size (size L jack for 42 and 95B, it is perfect)")</f>
        <v>In principle bra lovely lifejackets are dark with average maintenance ....... They are very nice, beautiful lace, and very very good support that we do not end up with lifejackets simple, properly size (size L jack for 42 and 95B, it is perfect)</v>
      </c>
    </row>
    <row r="1708">
      <c r="A1708" s="1">
        <v>4.0</v>
      </c>
      <c r="B1708" s="1" t="s">
        <v>1700</v>
      </c>
      <c r="C1708" t="str">
        <f>IFERROR(__xludf.DUMMYFUNCTION("GOOGLETRANSLATE(B1708, ""fr"", ""en"")"),"good product good cutting edge quality, very consistent with the descritpion by well against waiting ca dry if everything disappears ...")</f>
        <v>good product good cutting edge quality, very consistent with the descritpion by well against waiting ca dry if everything disappears ...</v>
      </c>
    </row>
    <row r="1709">
      <c r="A1709" s="1">
        <v>5.0</v>
      </c>
      <c r="B1709" s="1" t="s">
        <v>1701</v>
      </c>
      <c r="C1709" t="str">
        <f>IFERROR(__xludf.DUMMYFUNCTION("GOOGLETRANSLATE(B1709, ""fr"", ""en"")"),"Ideal size for sport")</f>
        <v>Ideal size for sport</v>
      </c>
    </row>
    <row r="1710">
      <c r="A1710" s="1">
        <v>5.0</v>
      </c>
      <c r="B1710" s="1" t="s">
        <v>1702</v>
      </c>
      <c r="C1710" t="str">
        <f>IFERROR(__xludf.DUMMYFUNCTION("GOOGLETRANSLATE(B1710, ""fr"", ""en"")"),"pacifier dodie I use her nipples with mam baby bottles because my daughter accepts that these teats since it takes the bottle. Teats three speeds at a fair price and good qualities")</f>
        <v>pacifier dodie I use her nipples with mam baby bottles because my daughter accepts that these teats since it takes the bottle. Teats three speeds at a fair price and good qualities</v>
      </c>
    </row>
    <row r="1711">
      <c r="A1711" s="1">
        <v>5.0</v>
      </c>
      <c r="B1711" s="1" t="s">
        <v>1703</v>
      </c>
      <c r="C1711" t="str">
        <f>IFERROR(__xludf.DUMMYFUNCTION("GOOGLETRANSLATE(B1711, ""fr"", ""en"")"),"blue hooded fur lined hood My 12 years measuring 1 m 52 loved this super cool and trendy jacket teen. (XS) From German brand so no problem on the quality and the price is very affordable.")</f>
        <v>blue hooded fur lined hood My 12 years measuring 1 m 52 loved this super cool and trendy jacket teen. (XS) From German brand so no problem on the quality and the price is very affordable.</v>
      </c>
    </row>
    <row r="1712">
      <c r="A1712" s="1">
        <v>5.0</v>
      </c>
      <c r="B1712" s="1" t="s">
        <v>1704</v>
      </c>
      <c r="C1712" t="str">
        <f>IFERROR(__xludf.DUMMYFUNCTION("GOOGLETRANSLATE(B1712, ""fr"", ""en"")"),"Very good (a little right dimension) product according to the description (adhesion, color, texture). I rather regret having taken this dimension mouse mat (23 x 18 cm), it is a little too just to comfortably work ... Apart from that, nothing to say!")</f>
        <v>Very good (a little right dimension) product according to the description (adhesion, color, texture). I rather regret having taken this dimension mouse mat (23 x 18 cm), it is a little too just to comfortably work ... Apart from that, nothing to say!</v>
      </c>
    </row>
    <row r="1713">
      <c r="A1713" s="1">
        <v>5.0</v>
      </c>
      <c r="B1713" s="1" t="s">
        <v>1705</v>
      </c>
      <c r="C1713" t="str">
        <f>IFERROR(__xludf.DUMMYFUNCTION("GOOGLETRANSLATE(B1713, ""fr"", ""en"")"),"SUN VERY GOOD PRODUCT VERY WELL TANK CLEANING THE DISHWASHER. LESS EXPENSIVE THAN IN TRADE. MORE CONTENT BAG RETURNS WITHOUT PROBLEM IN THE WASH FUND.")</f>
        <v>SUN VERY GOOD PRODUCT VERY WELL TANK CLEANING THE DISHWASHER. LESS EXPENSIVE THAN IN TRADE. MORE CONTENT BAG RETURNS WITHOUT PROBLEM IN THE WASH FUND.</v>
      </c>
    </row>
    <row r="1714">
      <c r="A1714" s="1">
        <v>5.0</v>
      </c>
      <c r="B1714" s="1" t="s">
        <v>1706</v>
      </c>
      <c r="C1714" t="str">
        <f>IFERROR(__xludf.DUMMYFUNCTION("GOOGLETRANSLATE(B1714, ""fr"", ""en"")"),"Super Perfect beautiful")</f>
        <v>Super Perfect beautiful</v>
      </c>
    </row>
    <row r="1715">
      <c r="A1715" s="1">
        <v>5.0</v>
      </c>
      <c r="B1715" s="1" t="s">
        <v>1707</v>
      </c>
      <c r="C1715" t="str">
        <f>IFERROR(__xludf.DUMMYFUNCTION("GOOGLETRANSLATE(B1715, ""fr"", ""en"")"),"Very handy Super practical! Very fast for sterilization in the microwave! Ideal for busy moms who do not always have the time to wait until the water boils in the pot. The base can also be used as baby bottles to drip!")</f>
        <v>Very handy Super practical! Very fast for sterilization in the microwave! Ideal for busy moms who do not always have the time to wait until the water boils in the pot. The base can also be used as baby bottles to drip!</v>
      </c>
    </row>
    <row r="1716">
      <c r="A1716" s="1">
        <v>5.0</v>
      </c>
      <c r="B1716" s="1" t="s">
        <v>1708</v>
      </c>
      <c r="C1716" t="str">
        <f>IFERROR(__xludf.DUMMYFUNCTION("GOOGLETRANSLATE(B1716, ""fr"", ""en"")"),"Super comfortable safety shoe and pretty to wear safety footwear, for against very large size. Supplied with 2 pairs of laces black and red.")</f>
        <v>Super comfortable safety shoe and pretty to wear safety footwear, for against very large size. Supplied with 2 pairs of laces black and red.</v>
      </c>
    </row>
    <row r="1717">
      <c r="A1717" s="1">
        <v>5.0</v>
      </c>
      <c r="B1717" s="1" t="s">
        <v>1709</v>
      </c>
      <c r="C1717" t="str">
        <f>IFERROR(__xludf.DUMMYFUNCTION("GOOGLETRANSLATE(B1717, ""fr"", ""en"")"),"Very Good Very hot sweet nothing wrong.")</f>
        <v>Very Good Very hot sweet nothing wrong.</v>
      </c>
    </row>
    <row r="1718">
      <c r="A1718" s="1">
        <v>5.0</v>
      </c>
      <c r="B1718" s="1" t="s">
        <v>1710</v>
      </c>
      <c r="C1718" t="str">
        <f>IFERROR(__xludf.DUMMYFUNCTION("GOOGLETRANSLATE(B1718, ""fr"", ""en"")"),"magnificent Nickel")</f>
        <v>magnificent Nickel</v>
      </c>
    </row>
    <row r="1719">
      <c r="A1719" s="1">
        <v>5.0</v>
      </c>
      <c r="B1719" s="1" t="s">
        <v>1711</v>
      </c>
      <c r="C1719" t="str">
        <f>IFERROR(__xludf.DUMMYFUNCTION("GOOGLETRANSLATE(B1719, ""fr"", ""en"")"),"Good quality Very easy to set up, he takes a good hour and a half to build, two hours if you Take good time. Satisfied with the rendering of the box")</f>
        <v>Good quality Very easy to set up, he takes a good hour and a half to build, two hours if you Take good time. Satisfied with the rendering of the box</v>
      </c>
    </row>
    <row r="1720">
      <c r="A1720" s="1">
        <v>5.0</v>
      </c>
      <c r="B1720" s="1" t="s">
        <v>1712</v>
      </c>
      <c r="C1720" t="str">
        <f>IFERROR(__xludf.DUMMYFUNCTION("GOOGLETRANSLATE(B1720, ""fr"", ""en"")"),"Compliant Product delivered on time, conform to its description and works great! I got back on the road an old Technics SL-B210 which runs on top now!")</f>
        <v>Compliant Product delivered on time, conform to its description and works great! I got back on the road an old Technics SL-B210 which runs on top now!</v>
      </c>
    </row>
    <row r="1721">
      <c r="A1721" s="1">
        <v>5.0</v>
      </c>
      <c r="B1721" s="1" t="s">
        <v>1713</v>
      </c>
      <c r="C1721" t="str">
        <f>IFERROR(__xludf.DUMMYFUNCTION("GOOGLETRANSLATE(B1721, ""fr"", ""en"")"),"Meets my expectations Works well")</f>
        <v>Meets my expectations Works well</v>
      </c>
    </row>
    <row r="1722">
      <c r="A1722" s="1">
        <v>5.0</v>
      </c>
      <c r="B1722" s="1" t="s">
        <v>1714</v>
      </c>
      <c r="C1722" t="str">
        <f>IFERROR(__xludf.DUMMYFUNCTION("GOOGLETRANSLATE(B1722, ""fr"", ""en"")"),"Assessment I am really pleased with my commande.ces socks are both hot and resistantes.c is a good product quality.The quality / price is imbattable.je highly recommend this article")</f>
        <v>Assessment I am really pleased with my commande.ces socks are both hot and resistantes.c is a good product quality.The quality / price is imbattable.je highly recommend this article</v>
      </c>
    </row>
    <row r="1723">
      <c r="A1723" s="1">
        <v>5.0</v>
      </c>
      <c r="B1723" s="1" t="s">
        <v>1715</v>
      </c>
      <c r="C1723" t="str">
        <f>IFERROR(__xludf.DUMMYFUNCTION("GOOGLETRANSLATE(B1723, ""fr"", ""en"")"),"Comfort Hello, sweat pants are comfortable to wear. It is also well cut. It can be worn for a whole morning to go about its business. It will have a slight perspiration.")</f>
        <v>Comfort Hello, sweat pants are comfortable to wear. It is also well cut. It can be worn for a whole morning to go about its business. It will have a slight perspiration.</v>
      </c>
    </row>
    <row r="1724">
      <c r="A1724" s="1">
        <v>2.0</v>
      </c>
      <c r="B1724" s="1" t="s">
        <v>1716</v>
      </c>
      <c r="C1724" t="str">
        <f>IFERROR(__xludf.DUMMYFUNCTION("GOOGLETRANSLATE(B1724, ""fr"", ""en"")"),"Good but ... In itself this bottle warmer that does its job but least - the heating time is slightly wrong because for a bottle of 150ml in the normally heated and well it really hot spring must either submit a little is put on the potty ... fontion - wat"&amp;"er tends to overflow the bottle warmer as it mud. - when removing the cap to recover the bottle actually you can burn and resort in the water once. - systematically forced to put water in the water bath. In short it is not very practical. Pros: - it is sm"&amp;"all so saving space. - compatible with bottles Advent. I still think that PPUR facilitate heating the bottle (especially at night) should be reviewed 2/3 points.")</f>
        <v>Good but ... In itself this bottle warmer that does its job but least - the heating time is slightly wrong because for a bottle of 150ml in the normally heated and well it really hot spring must either submit a little is put on the potty ... fontion - water tends to overflow the bottle warmer as it mud. - when removing the cap to recover the bottle actually you can burn and resort in the water once. - systematically forced to put water in the water bath. In short it is not very practical. Pros: - it is small so saving space. - compatible with bottles Advent. I still think that PPUR facilitate heating the bottle (especially at night) should be reviewed 2/3 points.</v>
      </c>
    </row>
    <row r="1725">
      <c r="A1725" s="1">
        <v>1.0</v>
      </c>
      <c r="B1725" s="1" t="s">
        <v>1717</v>
      </c>
      <c r="C1725" t="str">
        <f>IFERROR(__xludf.DUMMYFUNCTION("GOOGLETRANSLATE(B1725, ""fr"", ""en"")"),"Bad size. Order Receipts size XL shirt which seems to me to be M.Je size is 1.90m 75kgs to see so inutilisable.Faudrais has put correctement.Merci sizes.")</f>
        <v>Bad size. Order Receipts size XL shirt which seems to me to be M.Je size is 1.90m 75kgs to see so inutilisable.Faudrais has put correctement.Merci sizes.</v>
      </c>
    </row>
    <row r="1726">
      <c r="A1726" s="1">
        <v>1.0</v>
      </c>
      <c r="B1726" s="1" t="s">
        <v>1718</v>
      </c>
      <c r="C1726" t="str">
        <f>IFERROR(__xludf.DUMMYFUNCTION("GOOGLETRANSLATE(B1726, ""fr"", ""en"")"),"decue There pads in the throat supports that move in every wash! very difficult to recover conrrectement Not a very good support")</f>
        <v>decue There pads in the throat supports that move in every wash! very difficult to recover conrrectement Not a very good support</v>
      </c>
    </row>
    <row r="1727">
      <c r="A1727" s="1">
        <v>3.0</v>
      </c>
      <c r="B1727" s="1" t="s">
        <v>1719</v>
      </c>
      <c r="C1727" t="str">
        <f>IFERROR(__xludf.DUMMYFUNCTION("GOOGLETRANSLATE(B1727, ""fr"", ""en"")"),"Quality item but not good smells good quality product and good presentable but be careful they do not feel very good we still be on citrus or eucalyptus styles, but not modern and pleasant odor")</f>
        <v>Quality item but not good smells good quality product and good presentable but be careful they do not feel very good we still be on citrus or eucalyptus styles, but not modern and pleasant odor</v>
      </c>
    </row>
    <row r="1728">
      <c r="A1728" s="1">
        <v>4.0</v>
      </c>
      <c r="B1728" s="1" t="s">
        <v>1720</v>
      </c>
      <c r="C1728" t="str">
        <f>IFERROR(__xludf.DUMMYFUNCTION("GOOGLETRANSLATE(B1728, ""fr"", ""en"")"),"Discreet discreet, easy to use.")</f>
        <v>Discreet discreet, easy to use.</v>
      </c>
    </row>
    <row r="1729">
      <c r="A1729" s="1">
        <v>4.0</v>
      </c>
      <c r="B1729" s="1" t="s">
        <v>1721</v>
      </c>
      <c r="C1729" t="str">
        <f>IFERROR(__xludf.DUMMYFUNCTION("GOOGLETRANSLATE(B1729, ""fr"", ""en"")"),"Good but late Attention follower of Puma socks, I took it between another for sporting use, is to forget immediately. The fabric is nice, but very fine, it is to bring in city sneakers, to get out and walk around, but do not expect in any case to it for r"&amp;"unning or tennis. Otherwise, as always with Puma, the sock is good, seems to hold the wash.")</f>
        <v>Good but late Attention follower of Puma socks, I took it between another for sporting use, is to forget immediately. The fabric is nice, but very fine, it is to bring in city sneakers, to get out and walk around, but do not expect in any case to it for running or tennis. Otherwise, as always with Puma, the sock is good, seems to hold the wash.</v>
      </c>
    </row>
    <row r="1730">
      <c r="A1730" s="1">
        <v>4.0</v>
      </c>
      <c r="B1730" s="1" t="s">
        <v>1722</v>
      </c>
      <c r="C1730" t="str">
        <f>IFERROR(__xludf.DUMMYFUNCTION("GOOGLETRANSLATE(B1730, ""fr"", ""en"")"),"Good socks well studied socks with toes and heels reinforced part. Do not cut off circulation, before putting, I've washed at 30 °. it's a bit narrow, but they can be put on without problem.")</f>
        <v>Good socks well studied socks with toes and heels reinforced part. Do not cut off circulation, before putting, I've washed at 30 °. it's a bit narrow, but they can be put on without problem.</v>
      </c>
    </row>
    <row r="1731">
      <c r="A1731" s="1">
        <v>4.0</v>
      </c>
      <c r="B1731" s="1" t="s">
        <v>1723</v>
      </c>
      <c r="C1731" t="str">
        <f>IFERROR(__xludf.DUMMYFUNCTION("GOOGLETRANSLATE(B1731, ""fr"", ""en"")"),"Usual Daily and much cheaper than tobacco!")</f>
        <v>Usual Daily and much cheaper than tobacco!</v>
      </c>
    </row>
    <row r="1732">
      <c r="A1732" s="1">
        <v>5.0</v>
      </c>
      <c r="B1732" s="1" t="s">
        <v>1724</v>
      </c>
      <c r="C1732" t="str">
        <f>IFERROR(__xludf.DUMMYFUNCTION("GOOGLETRANSLATE(B1732, ""fr"", ""en"")"),"great perfect for led alimention and 110 v")</f>
        <v>great perfect for led alimention and 110 v</v>
      </c>
    </row>
    <row r="1733">
      <c r="A1733" s="1">
        <v>5.0</v>
      </c>
      <c r="B1733" s="1" t="s">
        <v>1725</v>
      </c>
      <c r="C1733" t="str">
        <f>IFERROR(__xludf.DUMMYFUNCTION("GOOGLETRANSLATE(B1733, ""fr"", ""en"")"),"This sublime bola is just beautiful, very good quality. The ringing is discreet and very pleasant. I am delighted with this purchase!")</f>
        <v>This sublime bola is just beautiful, very good quality. The ringing is discreet and very pleasant. I am delighted with this purchase!</v>
      </c>
    </row>
    <row r="1734">
      <c r="A1734" s="1">
        <v>5.0</v>
      </c>
      <c r="B1734" s="1" t="s">
        <v>1726</v>
      </c>
      <c r="C1734" t="str">
        <f>IFERROR(__xludf.DUMMYFUNCTION("GOOGLETRANSLATE(B1734, ""fr"", ""en"")"),"Top Super'produit Very easy to use even for very young bin'e quality and the sound is great")</f>
        <v>Top Super'produit Very easy to use even for very young bin'e quality and the sound is great</v>
      </c>
    </row>
    <row r="1735">
      <c r="A1735" s="1">
        <v>5.0</v>
      </c>
      <c r="B1735" s="1" t="s">
        <v>1727</v>
      </c>
      <c r="C1735" t="str">
        <f>IFERROR(__xludf.DUMMYFUNCTION("GOOGLETRANSLATE(B1735, ""fr"", ""en"")"),"Shoes comply super lightweight shoes well protected I use them for two weeks to work any problems I recommend.")</f>
        <v>Shoes comply super lightweight shoes well protected I use them for two weeks to work any problems I recommend.</v>
      </c>
    </row>
    <row r="1736">
      <c r="A1736" s="1">
        <v>5.0</v>
      </c>
      <c r="B1736" s="1" t="s">
        <v>1728</v>
      </c>
      <c r="C1736" t="str">
        <f>IFERROR(__xludf.DUMMYFUNCTION("GOOGLETRANSLATE(B1736, ""fr"", ""en"")"),"Pretty Gorgeous colors")</f>
        <v>Pretty Gorgeous colors</v>
      </c>
    </row>
    <row r="1737">
      <c r="A1737" s="1">
        <v>5.0</v>
      </c>
      <c r="B1737" s="1" t="s">
        <v>1729</v>
      </c>
      <c r="C1737" t="str">
        <f>IFERROR(__xludf.DUMMYFUNCTION("GOOGLETRANSLATE(B1737, ""fr"", ""en"")"),"Perfect I has tried several brands but this one is better, does not fall, does not slip. the difference is seen")</f>
        <v>Perfect I has tried several brands but this one is better, does not fall, does not slip. the difference is seen</v>
      </c>
    </row>
    <row r="1738">
      <c r="A1738" s="1">
        <v>5.0</v>
      </c>
      <c r="B1738" s="1" t="s">
        <v>1730</v>
      </c>
      <c r="C1738" t="str">
        <f>IFERROR(__xludf.DUMMYFUNCTION("GOOGLETRANSLATE(B1738, ""fr"", ""en"")"),"Consistent with the description and urges article comes with a day late. But exactly with the description. sturdy table, comfortable for a first treatment table I highly recommend. Very good quality.")</f>
        <v>Consistent with the description and urges article comes with a day late. But exactly with the description. sturdy table, comfortable for a first treatment table I highly recommend. Very good quality.</v>
      </c>
    </row>
    <row r="1739">
      <c r="A1739" s="1">
        <v>5.0</v>
      </c>
      <c r="B1739" s="1" t="s">
        <v>1731</v>
      </c>
      <c r="C1739" t="str">
        <f>IFERROR(__xludf.DUMMYFUNCTION("GOOGLETRANSLATE(B1739, ""fr"", ""en"")"),"Very good quality product")</f>
        <v>Very good quality product</v>
      </c>
    </row>
    <row r="1740">
      <c r="A1740" s="1">
        <v>5.0</v>
      </c>
      <c r="B1740" s="1" t="s">
        <v>1732</v>
      </c>
      <c r="C1740" t="str">
        <f>IFERROR(__xludf.DUMMYFUNCTION("GOOGLETRANSLATE(B1740, ""fr"", ""en"")"),"Superb sweater !!! Buy this winter I often door has not moved washing")</f>
        <v>Superb sweater !!! Buy this winter I often door has not moved washing</v>
      </c>
    </row>
    <row r="1741">
      <c r="A1741" s="1">
        <v>5.0</v>
      </c>
      <c r="B1741" s="1" t="s">
        <v>1733</v>
      </c>
      <c r="C1741" t="str">
        <f>IFERROR(__xludf.DUMMYFUNCTION("GOOGLETRANSLATE(B1741, ""fr"", ""en"")"),"Oh, geniale I have back problems. Three interventions already (herniated disc and arthrodesis). You can choose between three temperature. It takes some time for AC heater. What I did is that I put on a timer (not included). Automatically, the timer operat"&amp;"es in the lowest temperature. But it's nickel. As soon as I get into bed, the bed temperature is super nice (lukewarm, not hot). If I want a little more heat, I adjust the tuning Minute. Very good buy. And very good brand.")</f>
        <v>Oh, geniale I have back problems. Three interventions already (herniated disc and arthrodesis). You can choose between three temperature. It takes some time for AC heater. What I did is that I put on a timer (not included). Automatically, the timer operates in the lowest temperature. But it's nickel. As soon as I get into bed, the bed temperature is super nice (lukewarm, not hot). If I want a little more heat, I adjust the tuning Minute. Very good buy. And very good brand.</v>
      </c>
    </row>
    <row r="1742">
      <c r="A1742" s="1">
        <v>5.0</v>
      </c>
      <c r="B1742" s="1" t="s">
        <v>1734</v>
      </c>
      <c r="C1742" t="str">
        <f>IFERROR(__xludf.DUMMYFUNCTION("GOOGLETRANSLATE(B1742, ""fr"", ""en"")"),"Modern Super quality")</f>
        <v>Modern Super quality</v>
      </c>
    </row>
    <row r="1743">
      <c r="A1743" s="1">
        <v>5.0</v>
      </c>
      <c r="B1743" s="1" t="s">
        <v>1735</v>
      </c>
      <c r="C1743" t="str">
        <f>IFERROR(__xludf.DUMMYFUNCTION("GOOGLETRANSLATE(B1743, ""fr"", ""en"")"),"Too beautiful, I love really beautiful, shoe size and correct and the barrel price (compared to other resellers of the brand)")</f>
        <v>Too beautiful, I love really beautiful, shoe size and correct and the barrel price (compared to other resellers of the brand)</v>
      </c>
    </row>
    <row r="1744">
      <c r="A1744" s="1">
        <v>5.0</v>
      </c>
      <c r="B1744" s="1" t="s">
        <v>1736</v>
      </c>
      <c r="C1744" t="str">
        <f>IFERROR(__xludf.DUMMYFUNCTION("GOOGLETRANSLATE(B1744, ""fr"", ""en"")"),"Great product to top Please just fast delivery I can listen quietly Netflix sound is like in the movies I recommend go for")</f>
        <v>Great product to top Please just fast delivery I can listen quietly Netflix sound is like in the movies I recommend go for</v>
      </c>
    </row>
    <row r="1745">
      <c r="A1745" s="1">
        <v>5.0</v>
      </c>
      <c r="B1745" s="1" t="s">
        <v>1737</v>
      </c>
      <c r="C1745" t="str">
        <f>IFERROR(__xludf.DUMMYFUNCTION("GOOGLETRANSLATE(B1745, ""fr"", ""en"")"),"Very satisfied Very satisfied")</f>
        <v>Very satisfied Very satisfied</v>
      </c>
    </row>
    <row r="1746">
      <c r="A1746" s="1">
        <v>5.0</v>
      </c>
      <c r="B1746" s="1" t="s">
        <v>1738</v>
      </c>
      <c r="C1746" t="str">
        <f>IFERROR(__xludf.DUMMYFUNCTION("GOOGLETRANSLATE(B1746, ""fr"", ""en"")"),"Pretty, practical, perfect! This batch of bottles is at first sight very pretty, the colors are nice, the decor lovely. The shape of the bottles allows growing baby to hold easily by himself. The cap is convenient and uncapped with one hand (a big plus wh"&amp;"en you're Mom and you always have your hands full). The round teats (but not wider) are classic but well suited because breastfeeding is already far for us. Cleaning is easy for both the body of the bottle for pacifiers. The Dodie brand never disappoints "&amp;"us, it's pretty, it's solid, it's convenient, you trust 100%, what more? In addition, this lot can make a nice gift of birth. I recommend, yes, without hesitation!")</f>
        <v>Pretty, practical, perfect! This batch of bottles is at first sight very pretty, the colors are nice, the decor lovely. The shape of the bottles allows growing baby to hold easily by himself. The cap is convenient and uncapped with one hand (a big plus when you're Mom and you always have your hands full). The round teats (but not wider) are classic but well suited because breastfeeding is already far for us. Cleaning is easy for both the body of the bottle for pacifiers. The Dodie brand never disappoints us, it's pretty, it's solid, it's convenient, you trust 100%, what more? In addition, this lot can make a nice gift of birth. I recommend, yes, without hesitation!</v>
      </c>
    </row>
    <row r="1747">
      <c r="A1747" s="1">
        <v>2.0</v>
      </c>
      <c r="B1747" s="1" t="s">
        <v>1739</v>
      </c>
      <c r="C1747" t="str">
        <f>IFERROR(__xludf.DUMMYFUNCTION("GOOGLETRANSLATE(B1747, ""fr"", ""en"")"),"Moderately satisfied Working Out 39 I took the 40 but it is a ""40"" small I feel to have 38 feet ...")</f>
        <v>Moderately satisfied Working Out 39 I took the 40 but it is a "40" small I feel to have 38 feet ...</v>
      </c>
    </row>
    <row r="1748">
      <c r="A1748" s="1">
        <v>1.0</v>
      </c>
      <c r="B1748" s="1" t="s">
        <v>1740</v>
      </c>
      <c r="C1748" t="str">
        <f>IFERROR(__xludf.DUMMYFUNCTION("GOOGLETRANSLATE(B1748, ""fr"", ""en"")"),"Tong The item was returned because much larger than the corresponding size. The product matches the photo. A bit expensive for flip-flops.")</f>
        <v>Tong The item was returned because much larger than the corresponding size. The product matches the photo. A bit expensive for flip-flops.</v>
      </c>
    </row>
    <row r="1749">
      <c r="A1749" s="1">
        <v>3.0</v>
      </c>
      <c r="B1749" s="1" t="s">
        <v>1417</v>
      </c>
      <c r="C1749" t="str">
        <f>IFERROR(__xludf.DUMMYFUNCTION("GOOGLETRANSLATE(B1749, ""fr"", ""en"")"),"ras ras")</f>
        <v>ras ras</v>
      </c>
    </row>
    <row r="1750">
      <c r="A1750" s="1">
        <v>3.0</v>
      </c>
      <c r="B1750" s="1" t="s">
        <v>1741</v>
      </c>
      <c r="C1750" t="str">
        <f>IFERROR(__xludf.DUMMYFUNCTION("GOOGLETRANSLATE(B1750, ""fr"", ""en"")"),"Good but very fragile I am a school teacher and the mother of the party I have made with my students earrings product matches the description the only problem is that on 3 breaks mounting so handle with care")</f>
        <v>Good but very fragile I am a school teacher and the mother of the party I have made with my students earrings product matches the description the only problem is that on 3 breaks mounting so handle with care</v>
      </c>
    </row>
    <row r="1751">
      <c r="A1751" s="1">
        <v>4.0</v>
      </c>
      <c r="B1751" s="1" t="s">
        <v>1742</v>
      </c>
      <c r="C1751" t="str">
        <f>IFERROR(__xludf.DUMMYFUNCTION("GOOGLETRANSLATE(B1751, ""fr"", ""en"")"),"Command compliant command conforming")</f>
        <v>Command compliant command conforming</v>
      </c>
    </row>
    <row r="1752">
      <c r="A1752" s="1">
        <v>4.0</v>
      </c>
      <c r="B1752" s="1" t="s">
        <v>1743</v>
      </c>
      <c r="C1752" t="str">
        <f>IFERROR(__xludf.DUMMYFUNCTION("GOOGLETRANSLATE(B1752, ""fr"", ""en"")"),"Quality and silent in the print jobs ... Quiet! Not too expensive compared to other brands! Its strong point: it accepts generic cartridges.")</f>
        <v>Quality and silent in the print jobs ... Quiet! Not too expensive compared to other brands! Its strong point: it accepts generic cartridges.</v>
      </c>
    </row>
    <row r="1753">
      <c r="A1753" s="1">
        <v>4.0</v>
      </c>
      <c r="B1753" s="1" t="s">
        <v>1744</v>
      </c>
      <c r="C1753" t="str">
        <f>IFERROR(__xludf.DUMMYFUNCTION("GOOGLETRANSLATE(B1753, ""fr"", ""en"")"),"Material, color, pockets all is well I bought this bag for everyday life. It is very soft and comfortable material. Small flat on the runners (the part that is taken strawberry and slide open the zip) that are a little chipped. But the ""&amp; nbsp; closing i"&amp;"s easy and fluid. Many pocket that are dealt face up against us and not outwards As opposed to before logo. Ideal for not cluttering And take just the basics. The format is ideal.")</f>
        <v>Material, color, pockets all is well I bought this bag for everyday life. It is very soft and comfortable material. Small flat on the runners (the part that is taken strawberry and slide open the zip) that are a little chipped. But the "&amp; nbsp; closing is easy and fluid. Many pocket that are dealt face up against us and not outwards As opposed to before logo. Ideal for not cluttering And take just the basics. The format is ideal.</v>
      </c>
    </row>
    <row r="1754">
      <c r="A1754" s="1">
        <v>4.0</v>
      </c>
      <c r="B1754" s="1" t="s">
        <v>1745</v>
      </c>
      <c r="C1754" t="str">
        <f>IFERROR(__xludf.DUMMYFUNCTION("GOOGLETRANSLATE(B1754, ""fr"", ""en"")"),"Bra Sports Bras on top, nicquel maintenance. They dry quickly! Only small problem, they keep warm ... but they have become indispensable to me")</f>
        <v>Bra Sports Bras on top, nicquel maintenance. They dry quickly! Only small problem, they keep warm ... but they have become indispensable to me</v>
      </c>
    </row>
    <row r="1755">
      <c r="A1755" s="1">
        <v>5.0</v>
      </c>
      <c r="B1755" s="1" t="s">
        <v>1746</v>
      </c>
      <c r="C1755" t="str">
        <f>IFERROR(__xludf.DUMMYFUNCTION("GOOGLETRANSLATE(B1755, ""fr"", ""en"")"),"Good deal Earring it seems to 2 euro. Good quality .on could almost believe that c is the or.malgre that are pending are slight porter.je has recommended you ladies for parties or other.")</f>
        <v>Good deal Earring it seems to 2 euro. Good quality .on could almost believe that c is the or.malgre that are pending are slight porter.je has recommended you ladies for parties or other.</v>
      </c>
    </row>
    <row r="1756">
      <c r="A1756" s="1">
        <v>5.0</v>
      </c>
      <c r="B1756" s="1" t="s">
        <v>1747</v>
      </c>
      <c r="C1756" t="str">
        <f>IFERROR(__xludf.DUMMYFUNCTION("GOOGLETRANSLATE(B1756, ""fr"", ""en"")"),"Really top !!! I recommend this sport together. I measure 1m67 and I size 38 down and 36 up. He sized me perfectly!")</f>
        <v>Really top !!! I recommend this sport together. I measure 1m67 and I size 38 down and 36 up. He sized me perfectly!</v>
      </c>
    </row>
    <row r="1757">
      <c r="A1757" s="1">
        <v>5.0</v>
      </c>
      <c r="B1757" s="1" t="s">
        <v>1748</v>
      </c>
      <c r="C1757" t="str">
        <f>IFERROR(__xludf.DUMMYFUNCTION("GOOGLETRANSLATE(B1757, ""fr"", ""en"")"),"Good etb earmuff Since I could compare TaoTroncs TT-BH22 Bose QC35II (but let us know that QC35II 5x average costs): Noise reduction: reduction TaoTronics offers performance up to 25% -30 % Bose QC35II. This is much less compared face to face, but TT is n"&amp;"evertheless quite useful at work or on the plane and allows to become familiar with the benefits of reduced active noise. Sound Quality: the sound quality is very good in TT and in a very surprisingly quick test it seems not far to that of Bose, in any ca"&amp;"se for a single use. Comfort: TaoTronics are comfortable to wear and similar to Bose. Both have a similar fork out mechanical engineering and can be bent in the same way. Interface: The interface controls is not ideal TT (no indication on, branch of the r"&amp;"eduction by a separate button). The characteristic sound of TT oddly exchange (bad) when noise reduction is disabled. Bose does not have this type of defects, in addition Bose has a mobile application for its configuration. Battery life: very satisfactory"&amp;" for TT seems to specification. Same for Bose. Overall, TT offers many features for its low price. Perfect for everyday use. Noise reduction is considerably lower compared to the market leader, but it is not ridiculous and supply additional comfort in noi"&amp;"sy places.")</f>
        <v>Good etb earmuff Since I could compare TaoTroncs TT-BH22 Bose QC35II (but let us know that QC35II 5x average costs): Noise reduction: reduction TaoTronics offers performance up to 25% -30 % Bose QC35II. This is much less compared face to face, but TT is nevertheless quite useful at work or on the plane and allows to become familiar with the benefits of reduced active noise. Sound Quality: the sound quality is very good in TT and in a very surprisingly quick test it seems not far to that of Bose, in any case for a single use. Comfort: TaoTronics are comfortable to wear and similar to Bose. Both have a similar fork out mechanical engineering and can be bent in the same way. Interface: The interface controls is not ideal TT (no indication on, branch of the reduction by a separate button). The characteristic sound of TT oddly exchange (bad) when noise reduction is disabled. Bose does not have this type of defects, in addition Bose has a mobile application for its configuration. Battery life: very satisfactory for TT seems to specification. Same for Bose. Overall, TT offers many features for its low price. Perfect for everyday use. Noise reduction is considerably lower compared to the market leader, but it is not ridiculous and supply additional comfort in noisy places.</v>
      </c>
    </row>
    <row r="1758">
      <c r="A1758" s="1">
        <v>5.0</v>
      </c>
      <c r="B1758" s="1" t="s">
        <v>1749</v>
      </c>
      <c r="C1758" t="str">
        <f>IFERROR(__xludf.DUMMYFUNCTION("GOOGLETRANSLATE(B1758, ""fr"", ""en"")"),"The perfect bag perfectly matches the description and photos. Good quality products Greatness allows to a laptop and several accessories")</f>
        <v>The perfect bag perfectly matches the description and photos. Good quality products Greatness allows to a laptop and several accessories</v>
      </c>
    </row>
    <row r="1759">
      <c r="A1759" s="1">
        <v>5.0</v>
      </c>
      <c r="B1759" s="1" t="s">
        <v>1750</v>
      </c>
      <c r="C1759" t="str">
        <f>IFERROR(__xludf.DUMMYFUNCTION("GOOGLETRANSLATE(B1759, ""fr"", ""en"")"),"Pretty Pretty And she heats my father adopted dad happy but happiness")</f>
        <v>Pretty Pretty And she heats my father adopted dad happy but happiness</v>
      </c>
    </row>
    <row r="1760">
      <c r="A1760" s="1">
        <v>5.0</v>
      </c>
      <c r="B1760" s="1" t="s">
        <v>1751</v>
      </c>
      <c r="C1760" t="str">
        <f>IFERROR(__xludf.DUMMYFUNCTION("GOOGLETRANSLATE(B1760, ""fr"", ""en"")"),"To comply refills printer photos, ideal for printing from time to time some pictures.")</f>
        <v>To comply refills printer photos, ideal for printing from time to time some pictures.</v>
      </c>
    </row>
    <row r="1761">
      <c r="A1761" s="1">
        <v>5.0</v>
      </c>
      <c r="B1761" s="1" t="s">
        <v>1752</v>
      </c>
      <c r="C1761" t="str">
        <f>IFERROR(__xludf.DUMMYFUNCTION("GOOGLETRANSLATE(B1761, ""fr"", ""en"")"),"Beautiful jewelry I gave this bracelet and I find it frankly very nice and gracious to a woman. It is a beautiful gift to")</f>
        <v>Beautiful jewelry I gave this bracelet and I find it frankly very nice and gracious to a woman. It is a beautiful gift to</v>
      </c>
    </row>
    <row r="1762">
      <c r="A1762" s="1">
        <v>5.0</v>
      </c>
      <c r="B1762" s="1" t="s">
        <v>1753</v>
      </c>
      <c r="C1762" t="str">
        <f>IFERROR(__xludf.DUMMYFUNCTION("GOOGLETRANSLATE(B1762, ""fr"", ""en"")"),"Purchase parfais! Purchasing parfais!")</f>
        <v>Purchase parfais! Purchasing parfais!</v>
      </c>
    </row>
    <row r="1763">
      <c r="A1763" s="1">
        <v>5.0</v>
      </c>
      <c r="B1763" s="1" t="s">
        <v>1754</v>
      </c>
      <c r="C1763" t="str">
        <f>IFERROR(__xludf.DUMMYFUNCTION("GOOGLETRANSLATE(B1763, ""fr"", ""en"")"),"very comfortable I bought these shoes for my teen son who usually covers only the brand, in addition to finding the ""too"" nice, he is really comfortable. I'm happy with my purchase especially at this price!")</f>
        <v>very comfortable I bought these shoes for my teen son who usually covers only the brand, in addition to finding the "too" nice, he is really comfortable. I'm happy with my purchase especially at this price!</v>
      </c>
    </row>
    <row r="1764">
      <c r="A1764" s="1">
        <v>5.0</v>
      </c>
      <c r="B1764" s="1" t="s">
        <v>1755</v>
      </c>
      <c r="C1764" t="str">
        <f>IFERROR(__xludf.DUMMYFUNCTION("GOOGLETRANSLATE(B1764, ""fr"", ""en"")"),"Invicta ... The lens diameter is 30 mm, 38 without measuring notched crown dive time, 40 with external teeth of the crown, which may be small for muscular people, who prefer strong, I guess a 45 mm. (Measures taken on a double decimeter, not foot slide av"&amp;"ailable). Not too heavy, well presented, leaving glass background see the mechanism and have read on the frame of the movement 24 jewels which I translate by 24 jewels, encouraging sign of a quality mechanism. My Seiko must have only 21 jewels. So satisfi"&amp;"ed that I command a second to offer. G.")</f>
        <v>Invicta ... The lens diameter is 30 mm, 38 without measuring notched crown dive time, 40 with external teeth of the crown, which may be small for muscular people, who prefer strong, I guess a 45 mm. (Measures taken on a double decimeter, not foot slide available). Not too heavy, well presented, leaving glass background see the mechanism and have read on the frame of the movement 24 jewels which I translate by 24 jewels, encouraging sign of a quality mechanism. My Seiko must have only 21 jewels. So satisfied that I command a second to offer. G.</v>
      </c>
    </row>
    <row r="1765">
      <c r="A1765" s="1">
        <v>5.0</v>
      </c>
      <c r="B1765" s="1" t="s">
        <v>1756</v>
      </c>
      <c r="C1765" t="str">
        <f>IFERROR(__xludf.DUMMYFUNCTION("GOOGLETRANSLATE(B1765, ""fr"", ""en"")"),"felts for great family afternoon of tranquility for all surfaces")</f>
        <v>felts for great family afternoon of tranquility for all surfaces</v>
      </c>
    </row>
    <row r="1766">
      <c r="A1766" s="1">
        <v>5.0</v>
      </c>
      <c r="B1766" s="1" t="s">
        <v>1757</v>
      </c>
      <c r="C1766" t="str">
        <f>IFERROR(__xludf.DUMMYFUNCTION("GOOGLETRANSLATE(B1766, ""fr"", ""en"")"),"Super Good product of very good quality")</f>
        <v>Super Good product of very good quality</v>
      </c>
    </row>
    <row r="1767">
      <c r="A1767" s="1">
        <v>5.0</v>
      </c>
      <c r="B1767" s="1" t="s">
        <v>1758</v>
      </c>
      <c r="C1767" t="str">
        <f>IFERROR(__xludf.DUMMYFUNCTION("GOOGLETRANSLATE(B1767, ""fr"", ""en"")"),"Quite consistent Good product, entirely consistent with the description. The oil is of good quality.")</f>
        <v>Quite consistent Good product, entirely consistent with the description. The oil is of good quality.</v>
      </c>
    </row>
    <row r="1768">
      <c r="A1768" s="1">
        <v>5.0</v>
      </c>
      <c r="B1768" s="1" t="s">
        <v>1759</v>
      </c>
      <c r="C1768" t="str">
        <f>IFERROR(__xludf.DUMMYFUNCTION("GOOGLETRANSLATE(B1768, ""fr"", ""en"")"),"What fangs No problems at all. robust and lightweight Crocs that can be used inside and out. Very good product that does not slip on the floor.")</f>
        <v>What fangs No problems at all. robust and lightweight Crocs that can be used inside and out. Very good product that does not slip on the floor.</v>
      </c>
    </row>
    <row r="1769">
      <c r="A1769" s="1">
        <v>5.0</v>
      </c>
      <c r="B1769" s="1" t="s">
        <v>1760</v>
      </c>
      <c r="C1769" t="str">
        <f>IFERROR(__xludf.DUMMYFUNCTION("GOOGLETRANSLATE(B1769, ""fr"", ""en"")"),"I recommend Comfortable, good size, good quality, it complies with the file. It looks good with my sports clothes, and bought two more after I tried the first.")</f>
        <v>I recommend Comfortable, good size, good quality, it complies with the file. It looks good with my sports clothes, and bought two more after I tried the first.</v>
      </c>
    </row>
    <row r="1770">
      <c r="A1770" s="1">
        <v>2.0</v>
      </c>
      <c r="B1770" s="1" t="s">
        <v>1761</v>
      </c>
      <c r="C1770" t="str">
        <f>IFERROR(__xludf.DUMMYFUNCTION("GOOGLETRANSLATE(B1770, ""fr"", ""en"")"),"Very average No adjustable shoulder strap. Zipper on the front very hard to utiliser.Je do not recommend the tout.Je am disappointed.")</f>
        <v>Very average No adjustable shoulder strap. Zipper on the front very hard to utiliser.Je do not recommend the tout.Je am disappointed.</v>
      </c>
    </row>
    <row r="1771">
      <c r="A1771" s="1">
        <v>1.0</v>
      </c>
      <c r="B1771" s="1" t="s">
        <v>1762</v>
      </c>
      <c r="C1771" t="str">
        <f>IFERROR(__xludf.DUMMYFUNCTION("GOOGLETRANSLATE(B1771, ""fr"", ""en"")"),"Warning not converse sneakers The suit me, for against beware not converse all star but a brand that's very well copied (if not counterfeit). Disappointed because I thought really bought converse ...")</f>
        <v>Warning not converse sneakers The suit me, for against beware not converse all star but a brand that's very well copied (if not counterfeit). Disappointed because I thought really bought converse ...</v>
      </c>
    </row>
    <row r="1772">
      <c r="A1772" s="1">
        <v>1.0</v>
      </c>
      <c r="B1772" s="1" t="s">
        <v>1763</v>
      </c>
      <c r="C1772" t="str">
        <f>IFERROR(__xludf.DUMMYFUNCTION("GOOGLETRANSLATE(B1772, ""fr"", ""en"")"),"The ""case"" is in its box. Product received with the sides of the flanges protruding in several places. I have not found immediately, for litters later. It was a repackaged product with the following information: dirt. Knowing well off this matter, I'm n"&amp;"ot worried and I thought make a deal. There was no dirt. It was an outright large manufacturing defect. It is irreparable given the color of porous leather shoes. Can not use a glue without impregnating leather and try. Dixit a shoemaker who does not want"&amp;" to take that risk. (While it is true goldsmith. ..). The ""case"" is in its box for months.")</f>
        <v>The "case" is in its box. Product received with the sides of the flanges protruding in several places. I have not found immediately, for litters later. It was a repackaged product with the following information: dirt. Knowing well off this matter, I'm not worried and I thought make a deal. There was no dirt. It was an outright large manufacturing defect. It is irreparable given the color of porous leather shoes. Can not use a glue without impregnating leather and try. Dixit a shoemaker who does not want to take that risk. (While it is true goldsmith. ..). The "case" is in its box for months.</v>
      </c>
    </row>
    <row r="1773">
      <c r="A1773" s="1">
        <v>3.0</v>
      </c>
      <c r="B1773" s="1" t="s">
        <v>1764</v>
      </c>
      <c r="C1773" t="str">
        <f>IFERROR(__xludf.DUMMYFUNCTION("GOOGLETRANSLATE(B1773, ""fr"", ""en"")"),"Pearl Andante Stones I bought these for my bracelet stoppers P ....... not easy to slip on the bracelet must really force.")</f>
        <v>Pearl Andante Stones I bought these for my bracelet stoppers P ....... not easy to slip on the bracelet must really force.</v>
      </c>
    </row>
    <row r="1774">
      <c r="A1774" s="1">
        <v>3.0</v>
      </c>
      <c r="B1774" s="1" t="s">
        <v>1765</v>
      </c>
      <c r="C1774" t="str">
        <f>IFERROR(__xludf.DUMMYFUNCTION("GOOGLETRANSLATE(B1774, ""fr"", ""en"")"),"It'll Currently there is nothing to be seen direIl suiteÇa the fact that two weeks I have good day")</f>
        <v>It'll Currently there is nothing to be seen direIl suiteÇa the fact that two weeks I have good day</v>
      </c>
    </row>
    <row r="1775">
      <c r="A1775" s="1">
        <v>4.0</v>
      </c>
      <c r="B1775" s="1" t="s">
        <v>1766</v>
      </c>
      <c r="C1775" t="str">
        <f>IFERROR(__xludf.DUMMYFUNCTION("GOOGLETRANSLATE(B1775, ""fr"", ""en"")"),"Use with caution Very good diffuser with beautiful colors. It is small and requires very little maintenance. It is not so loud as possible to let it run overnight without discomfort. The only complaint we get is the volume of water (150ml) which I think i"&amp;"s quite small if allowed to run 4 to 5 hours a day. PS: I notice a sharp price fluctuations for this diffuser. I bought there 15 days at € 11.99 and now it is 14.99 €. Be alert to price and Mr. The manufacturer if you read me, please be less greedy. Here "&amp;"is a list of different essential oils to use depending on your needs: 1. Difficulty falling asleep: the essential oils of ylang yang (enchanting fragrance), lavender and valerian are known to help sleep. Pour 4 drops ylang ylang and powerful enough for 4 "&amp;"to 5 drops for others. 2. Air purification: pour 4 to 5 drops of essential oils of lemon or lavender. &amp; Nbsp; 3. Boost energy and mind: pour 4 to 5 drops of essential oils of bergamot, or peppermint or clary sage (smell a bit repulsive to my taste but eff"&amp;"ective). 4- repels insects pour 4-5 drops of essential oils citronella, clove, or cedar. Remember to clean the diffuser pan vinegar to each use of various essential oils. If the smell of the oils do not mind you can increase the amount (5 to 7 drops). I b"&amp;"uy my essential oils from Aroma Zone. Good use and live the natural!")</f>
        <v>Use with caution Very good diffuser with beautiful colors. It is small and requires very little maintenance. It is not so loud as possible to let it run overnight without discomfort. The only complaint we get is the volume of water (150ml) which I think is quite small if allowed to run 4 to 5 hours a day. PS: I notice a sharp price fluctuations for this diffuser. I bought there 15 days at € 11.99 and now it is 14.99 €. Be alert to price and Mr. The manufacturer if you read me, please be less greedy. Here is a list of different essential oils to use depending on your needs: 1. Difficulty falling asleep: the essential oils of ylang yang (enchanting fragrance), lavender and valerian are known to help sleep. Pour 4 drops ylang ylang and powerful enough for 4 to 5 drops for others. 2. Air purification: pour 4 to 5 drops of essential oils of lemon or lavender. &amp; Nbsp; 3. Boost energy and mind: pour 4 to 5 drops of essential oils of bergamot, or peppermint or clary sage (smell a bit repulsive to my taste but effective). 4- repels insects pour 4-5 drops of essential oils citronella, clove, or cedar. Remember to clean the diffuser pan vinegar to each use of various essential oils. If the smell of the oils do not mind you can increase the amount (5 to 7 drops). I buy my essential oils from Aroma Zone. Good use and live the natural!</v>
      </c>
    </row>
    <row r="1776">
      <c r="A1776" s="1">
        <v>4.0</v>
      </c>
      <c r="B1776" s="1" t="s">
        <v>1767</v>
      </c>
      <c r="C1776" t="str">
        <f>IFERROR(__xludf.DUMMYFUNCTION("GOOGLETRANSLATE(B1776, ""fr"", ""en"")"),"Good bottle warmer J've swapped my bottle warmer Avent for it. Much faster and convenient. By co'tre I can not find the small heater function terrible pot is a long and often not at the right temperature")</f>
        <v>Good bottle warmer J've swapped my bottle warmer Avent for it. Much faster and convenient. By co'tre I can not find the small heater function terrible pot is a long and often not at the right temperature</v>
      </c>
    </row>
    <row r="1777">
      <c r="A1777" s="1">
        <v>4.0</v>
      </c>
      <c r="B1777" s="1" t="s">
        <v>1768</v>
      </c>
      <c r="C1777" t="str">
        <f>IFERROR(__xludf.DUMMYFUNCTION("GOOGLETRANSLATE(B1777, ""fr"", ""en"")"),"Ballerinas for international flights. Normal size. I bought these shoes for use in my travels long haul. 10 to 12 aircraft ... They are lightweight, comfortable, slip-resistant and smart ... and do not take much room. That's great ! I recommend.")</f>
        <v>Ballerinas for international flights. Normal size. I bought these shoes for use in my travels long haul. 10 to 12 aircraft ... They are lightweight, comfortable, slip-resistant and smart ... and do not take much room. That's great ! I recommend.</v>
      </c>
    </row>
    <row r="1778">
      <c r="A1778" s="1">
        <v>4.0</v>
      </c>
      <c r="B1778" s="1" t="s">
        <v>1769</v>
      </c>
      <c r="C1778" t="str">
        <f>IFERROR(__xludf.DUMMYFUNCTION("GOOGLETRANSLATE(B1778, ""fr"", ""en"")"),"Correct Good quality. .. fits the description .. less flexible than those I used to but usually without consequence")</f>
        <v>Correct Good quality. .. fits the description .. less flexible than those I used to but usually without consequence</v>
      </c>
    </row>
    <row r="1779">
      <c r="A1779" s="1">
        <v>5.0</v>
      </c>
      <c r="B1779" s="1" t="s">
        <v>1770</v>
      </c>
      <c r="C1779" t="str">
        <f>IFERROR(__xludf.DUMMYFUNCTION("GOOGLETRANSLATE(B1779, ""fr"", ""en"")"),"A simple but essential shows moderate price for this watch that offers the essential and above all a well-read dial. Look classic and understated. Free operation for 1 month.")</f>
        <v>A simple but essential shows moderate price for this watch that offers the essential and above all a well-read dial. Look classic and understated. Free operation for 1 month.</v>
      </c>
    </row>
    <row r="1780">
      <c r="A1780" s="1">
        <v>5.0</v>
      </c>
      <c r="B1780" s="1" t="s">
        <v>1771</v>
      </c>
      <c r="C1780" t="str">
        <f>IFERROR(__xludf.DUMMYFUNCTION("GOOGLETRANSLATE(B1780, ""fr"", ""en"")"),"Perfect and comfortable Very satisfied with my order, very light, perfect for if I wanted to. Comfortable ear.")</f>
        <v>Perfect and comfortable Very satisfied with my order, very light, perfect for if I wanted to. Comfortable ear.</v>
      </c>
    </row>
    <row r="1781">
      <c r="A1781" s="1">
        <v>5.0</v>
      </c>
      <c r="B1781" s="1" t="s">
        <v>1772</v>
      </c>
      <c r="C1781" t="str">
        <f>IFERROR(__xludf.DUMMYFUNCTION("GOOGLETRANSLATE(B1781, ""fr"", ""en"")"),"Good qualities and elegant Watch cheap for the quality of the product. Works great at first seen")</f>
        <v>Good qualities and elegant Watch cheap for the quality of the product. Works great at first seen</v>
      </c>
    </row>
    <row r="1782">
      <c r="A1782" s="1">
        <v>5.0</v>
      </c>
      <c r="B1782" s="1" t="s">
        <v>1773</v>
      </c>
      <c r="C1782" t="str">
        <f>IFERROR(__xludf.DUMMYFUNCTION("GOOGLETRANSLATE(B1782, ""fr"", ""en"")"),"it is a very functional machine Hello, very easy to install, very good print quality including photos. I recommend this machine, it brings together a lot of useful features.")</f>
        <v>it is a very functional machine Hello, very easy to install, very good print quality including photos. I recommend this machine, it brings together a lot of useful features.</v>
      </c>
    </row>
    <row r="1783">
      <c r="A1783" s="1">
        <v>5.0</v>
      </c>
      <c r="B1783" s="1" t="s">
        <v>1774</v>
      </c>
      <c r="C1783" t="str">
        <f>IFERROR(__xludf.DUMMYFUNCTION("GOOGLETRANSLATE(B1783, ""fr"", ""en"")"),"good gift")</f>
        <v>good gift</v>
      </c>
    </row>
    <row r="1784">
      <c r="A1784" s="1">
        <v>5.0</v>
      </c>
      <c r="B1784" s="1" t="s">
        <v>1775</v>
      </c>
      <c r="C1784" t="str">
        <f>IFERROR(__xludf.DUMMYFUNCTION("GOOGLETRANSLATE(B1784, ""fr"", ""en"")"),"AGAINST COLD Article a bit long to arrive, but it is there and is quite to my expectations. Well finished, nice, my dog ​​love it !! Difficult to assess the ideal size, I was wrong in my previous purchase.")</f>
        <v>AGAINST COLD Article a bit long to arrive, but it is there and is quite to my expectations. Well finished, nice, my dog ​​love it !! Difficult to assess the ideal size, I was wrong in my previous purchase.</v>
      </c>
    </row>
    <row r="1785">
      <c r="A1785" s="1">
        <v>5.0</v>
      </c>
      <c r="B1785" s="1" t="s">
        <v>1776</v>
      </c>
      <c r="C1785" t="str">
        <f>IFERROR(__xludf.DUMMYFUNCTION("GOOGLETRANSLATE(B1785, ""fr"", ""en"")"),"⭐ Beautiful G-Shock Red Color red ⭐ not too flashy, beautiful watch, my 6th G-Shock is in style. Timeless and solid, my older G-Shock was in 1999 purchased in Australia. For illumination of the dial, all watches of this series and the model with the light"&amp;" button at the bottom of the screen (GA-700) will illuminate very little. A simple diode. I had the Illuminator system on G-Shock in the 90s, it is unfortunate that it is not currently used on these watches. Anyway, as I rarely use the light that is not f"&amp;"atal. Information for potential buyers, purchased 59.99 € on 08/29/2017. As the price fluctuates, if it helps ... If you found my review helpful, please feel free to click ""USEFUL"" below, it's always fun :)")</f>
        <v>⭐ Beautiful G-Shock Red Color red ⭐ not too flashy, beautiful watch, my 6th G-Shock is in style. Timeless and solid, my older G-Shock was in 1999 purchased in Australia. For illumination of the dial, all watches of this series and the model with the light button at the bottom of the screen (GA-700) will illuminate very little. A simple diode. I had the Illuminator system on G-Shock in the 90s, it is unfortunate that it is not currently used on these watches. Anyway, as I rarely use the light that is not fatal. Information for potential buyers, purchased 59.99 € on 08/29/2017. As the price fluctuates, if it helps ... If you found my review helpful, please feel free to click "USEFUL" below, it's always fun :)</v>
      </c>
    </row>
    <row r="1786">
      <c r="A1786" s="1">
        <v>5.0</v>
      </c>
      <c r="B1786" s="1" t="s">
        <v>1777</v>
      </c>
      <c r="C1786" t="str">
        <f>IFERROR(__xludf.DUMMYFUNCTION("GOOGLETRANSLATE(B1786, ""fr"", ""en"")"),"Top product according to the description Nickel")</f>
        <v>Top product according to the description Nickel</v>
      </c>
    </row>
    <row r="1787">
      <c r="A1787" s="1">
        <v>5.0</v>
      </c>
      <c r="B1787" s="1" t="s">
        <v>1778</v>
      </c>
      <c r="C1787" t="str">
        <f>IFERROR(__xludf.DUMMYFUNCTION("GOOGLETRANSLATE(B1787, ""fr"", ""en"")"),"Ok Essentials of summer. Product according to the description.")</f>
        <v>Ok Essentials of summer. Product according to the description.</v>
      </c>
    </row>
    <row r="1788">
      <c r="A1788" s="1">
        <v>5.0</v>
      </c>
      <c r="B1788" s="1" t="s">
        <v>1779</v>
      </c>
      <c r="C1788" t="str">
        <f>IFERROR(__xludf.DUMMYFUNCTION("GOOGLETRANSLATE(B1788, ""fr"", ""en"")"),"Beautiful nice dress to wear Confirms the description and image. Satisfied with this dress.")</f>
        <v>Beautiful nice dress to wear Confirms the description and image. Satisfied with this dress.</v>
      </c>
    </row>
    <row r="1789">
      <c r="A1789" s="1">
        <v>5.0</v>
      </c>
      <c r="B1789" s="1" t="s">
        <v>1780</v>
      </c>
      <c r="C1789" t="str">
        <f>IFERROR(__xludf.DUMMYFUNCTION("GOOGLETRANSLATE(B1789, ""fr"", ""en"")"),"Received very good quality headphones at the time moment to open the package and read the instructions pairing is done without problems or wrong note. These are not the first Bluetooth headset that I buy but surprisingly they are very good. Very good perf"&amp;"ormance, impeccable and at times I even forget I earphones. For me it's all good at all levels especially the value for money is great")</f>
        <v>Received very good quality headphones at the time moment to open the package and read the instructions pairing is done without problems or wrong note. These are not the first Bluetooth headset that I buy but surprisingly they are very good. Very good performance, impeccable and at times I even forget I earphones. For me it's all good at all levels especially the value for money is great</v>
      </c>
    </row>
    <row r="1790">
      <c r="A1790" s="1">
        <v>5.0</v>
      </c>
      <c r="B1790" s="1" t="s">
        <v>1781</v>
      </c>
      <c r="C1790" t="str">
        <f>IFERROR(__xludf.DUMMYFUNCTION("GOOGLETRANSLATE(B1790, ""fr"", ""en"")"),"very well watch perfectly fulfills its function, we must think of the exposure to light regularly to avoid losing capacity battery. colon regrettable in my view: the tides are not geotagged ... but at that price it is normal and the screws on the case are"&amp;" false ... great shows otherwise !!!")</f>
        <v>very well watch perfectly fulfills its function, we must think of the exposure to light regularly to avoid losing capacity battery. colon regrettable in my view: the tides are not geotagged ... but at that price it is normal and the screws on the case are false ... great shows otherwise !!!</v>
      </c>
    </row>
    <row r="1791">
      <c r="A1791" s="1">
        <v>5.0</v>
      </c>
      <c r="B1791" s="1" t="s">
        <v>1782</v>
      </c>
      <c r="C1791" t="str">
        <f>IFERROR(__xludf.DUMMYFUNCTION("GOOGLETRANSLATE(B1791, ""fr"", ""en"")"),"Grigri Pretty cheap at all. A great investment for some nice gifts. These bracelets are suitable for girls than for boys.")</f>
        <v>Grigri Pretty cheap at all. A great investment for some nice gifts. These bracelets are suitable for girls than for boys.</v>
      </c>
    </row>
    <row r="1792">
      <c r="A1792" s="1">
        <v>5.0</v>
      </c>
      <c r="B1792" s="1" t="s">
        <v>1783</v>
      </c>
      <c r="C1792" t="str">
        <f>IFERROR(__xludf.DUMMYFUNCTION("GOOGLETRANSLATE(B1792, ""fr"", ""en"")"),"Well in my shoes lacoste The basketball are very comfortable, I have the sensitive foot so I'm very difficult. Size although it is too big or tight.")</f>
        <v>Well in my shoes lacoste The basketball are very comfortable, I have the sensitive foot so I'm very difficult. Size although it is too big or tight.</v>
      </c>
    </row>
    <row r="1793">
      <c r="A1793" s="1">
        <v>5.0</v>
      </c>
      <c r="B1793" s="1" t="s">
        <v>1784</v>
      </c>
      <c r="C1793" t="str">
        <f>IFERROR(__xludf.DUMMYFUNCTION("GOOGLETRANSLATE(B1793, ""fr"", ""en"")"),"Excellent slippers I am in my second pair. The first pair is still in very good condition after more than two years of daily use. Very good: thick sole and does not sag with time, warm but not too much. Sober and aesthetic.")</f>
        <v>Excellent slippers I am in my second pair. The first pair is still in very good condition after more than two years of daily use. Very good: thick sole and does not sag with time, warm but not too much. Sober and aesthetic.</v>
      </c>
    </row>
    <row r="1794">
      <c r="A1794" s="1">
        <v>2.0</v>
      </c>
      <c r="B1794" s="1" t="s">
        <v>1785</v>
      </c>
      <c r="C1794" t="str">
        <f>IFERROR(__xludf.DUMMYFUNCTION("GOOGLETRANSLATE(B1794, ""fr"", ""en"")"),"No new The product received is clearly not new. A few scratches here and there and traces of glue. The angle was 90 ° and the game is not entirely granted. The product does not look solid and not worth the price, it should be worth more than 15 €. Not sur"&amp;"e it takes one year. 3 stars less because of the inconvenience.")</f>
        <v>No new The product received is clearly not new. A few scratches here and there and traces of glue. The angle was 90 ° and the game is not entirely granted. The product does not look solid and not worth the price, it should be worth more than 15 €. Not sure it takes one year. 3 stars less because of the inconvenience.</v>
      </c>
    </row>
    <row r="1795">
      <c r="A1795" s="1">
        <v>1.0</v>
      </c>
      <c r="B1795" s="1" t="s">
        <v>1786</v>
      </c>
      <c r="C1795" t="str">
        <f>IFERROR(__xludf.DUMMYFUNCTION("GOOGLETRANSLATE(B1795, ""fr"", ""en"")"),"Very low-end &lt;div id = ""video-block-R34BFRAM3DUB3P"" class = ""a-section-spacing-small in-spacing-top mini video-block""&gt; &lt;/ div&gt; &lt;input type = ""hidden"" name = """" value = ""https://images-eu.ssl-images-amazon.com/images/I/81UgpzLHMwS.mp4"" class = """&amp;"video-url""&gt; &lt;input type = ""hidden"" name = """" value = ""https://images-eu.ssl-images-amazon.com/images/I/81YgWAjLt5S.png"" class = ""video-slate-img-url""&gt; &amp; nbsp; beautiful far, far from being beautiful! 😂 From Made in China, low-end. The days are p"&amp;"ictograms ... Disappointed with my purchase!")</f>
        <v>Very low-end &lt;div id = "video-block-R34BFRAM3DUB3P" class = "a-section-spacing-small in-spacing-top mini video-block"&gt; &lt;/ div&gt; &lt;input type = "hidden" name = "" value = "https://images-eu.ssl-images-amazon.com/images/I/81UgpzLHMwS.mp4" class = "video-url"&gt; &lt;input type = "hidden" name = "" value = "https://images-eu.ssl-images-amazon.com/images/I/81YgWAjLt5S.png" class = "video-slate-img-url"&gt; &amp; nbsp; beautiful far, far from being beautiful! 😂 From Made in China, low-end. The days are pictograms ... Disappointed with my purchase!</v>
      </c>
    </row>
    <row r="1796">
      <c r="A1796" s="1">
        <v>1.0</v>
      </c>
      <c r="B1796" s="1" t="s">
        <v>1787</v>
      </c>
      <c r="C1796" t="str">
        <f>IFERROR(__xludf.DUMMYFUNCTION("GOOGLETRANSLATE(B1796, ""fr"", ""en"")"),"Too little too small")</f>
        <v>Too little too small</v>
      </c>
    </row>
    <row r="1797">
      <c r="A1797" s="1">
        <v>3.0</v>
      </c>
      <c r="B1797" s="1" t="s">
        <v>1788</v>
      </c>
      <c r="C1797" t="str">
        <f>IFERROR(__xludf.DUMMYFUNCTION("GOOGLETRANSLATE(B1797, ""fr"", ""en"")"),"good value for money just a little problem with the elastic over the instep, short and impossible to retract the foot. I cut!!!")</f>
        <v>good value for money just a little problem with the elastic over the instep, short and impossible to retract the foot. I cut!!!</v>
      </c>
    </row>
    <row r="1798">
      <c r="A1798" s="1">
        <v>4.0</v>
      </c>
      <c r="B1798" s="1" t="s">
        <v>1789</v>
      </c>
      <c r="C1798" t="str">
        <f>IFERROR(__xludf.DUMMYFUNCTION("GOOGLETRANSLATE(B1798, ""fr"", ""en"")"),"For larger babies when her baby grows (or whatever you call) must be adapted material. The bottle of milk is important and necessary (when it does not give suckled) baby, it brings him both water and also the calcium and protein of milk and a whole bunch "&amp;"of stuff writing on boxes milk. But baby also loves to drink in quantity; ie more than 210 ml and also it likes to keep his bottle. This bottle is ideal to be held between the little baby hands. Indeed, it is thinned on the sides allowing a good grip. But"&amp;" if given the bottle, I find it not too convenient. The pacifier has several speeds: 3. It is flexible and ""remember"" the breast, which should allow for a better grip. For cleaning, I do it by hand, much easier (since I have not machine) and I use a bru"&amp;"sh. Bottles sold by 2. They are practical and baby is happy.")</f>
        <v>For larger babies when her baby grows (or whatever you call) must be adapted material. The bottle of milk is important and necessary (when it does not give suckled) baby, it brings him both water and also the calcium and protein of milk and a whole bunch of stuff writing on boxes milk. But baby also loves to drink in quantity; ie more than 210 ml and also it likes to keep his bottle. This bottle is ideal to be held between the little baby hands. Indeed, it is thinned on the sides allowing a good grip. But if given the bottle, I find it not too convenient. The pacifier has several speeds: 3. It is flexible and "remember" the breast, which should allow for a better grip. For cleaning, I do it by hand, much easier (since I have not machine) and I use a brush. Bottles sold by 2. They are practical and baby is happy.</v>
      </c>
    </row>
    <row r="1799">
      <c r="A1799" s="1">
        <v>4.0</v>
      </c>
      <c r="B1799" s="1" t="s">
        <v>1790</v>
      </c>
      <c r="C1799" t="str">
        <f>IFERROR(__xludf.DUMMYFUNCTION("GOOGLETRANSLATE(B1799, ""fr"", ""en"")"),"While the headphones are correct, the sound is very good, with a small knob to adjust the volume on the wire, which is very convenient. I recommend")</f>
        <v>While the headphones are correct, the sound is very good, with a small knob to adjust the volume on the wire, which is very convenient. I recommend</v>
      </c>
    </row>
    <row r="1800">
      <c r="A1800" s="1">
        <v>4.0</v>
      </c>
      <c r="B1800" s="1" t="s">
        <v>1791</v>
      </c>
      <c r="C1800" t="str">
        <f>IFERROR(__xludf.DUMMYFUNCTION("GOOGLETRANSLATE(B1800, ""fr"", ""en"")"),"Efficient and enjoyable Gift with my wife for Christmas and has delighted the whole family! The ""points"" of massage are quite thick and do not hurt. Heating is light but enough to be felt and enjoyable. The product is convenient and efficient, perfect! "&amp;"only downside: the control buttons on the left shoulder strap are misplaced. The location was close to the ""handles"" left or right would have been perfect. Nevertheless, I recommend.")</f>
        <v>Efficient and enjoyable Gift with my wife for Christmas and has delighted the whole family! The "points" of massage are quite thick and do not hurt. Heating is light but enough to be felt and enjoyable. The product is convenient and efficient, perfect! only downside: the control buttons on the left shoulder strap are misplaced. The location was close to the "handles" left or right would have been perfect. Nevertheless, I recommend.</v>
      </c>
    </row>
    <row r="1801">
      <c r="A1801" s="1">
        <v>4.0</v>
      </c>
      <c r="B1801" s="1" t="s">
        <v>1792</v>
      </c>
      <c r="C1801" t="str">
        <f>IFERROR(__xludf.DUMMYFUNCTION("GOOGLETRANSLATE(B1801, ""fr"", ""en"")"),"visibility Table ideal student for diagrams")</f>
        <v>visibility Table ideal student for diagrams</v>
      </c>
    </row>
    <row r="1802">
      <c r="A1802" s="1">
        <v>5.0</v>
      </c>
      <c r="B1802" s="1" t="s">
        <v>1793</v>
      </c>
      <c r="C1802" t="str">
        <f>IFERROR(__xludf.DUMMYFUNCTION("GOOGLETRANSLATE(B1802, ""fr"", ""en"")"),"Super midriff top, I wanted a good maintains it's done! I can only advise seen the ca price worth it!")</f>
        <v>Super midriff top, I wanted a good maintains it's done! I can only advise seen the ca price worth it!</v>
      </c>
    </row>
    <row r="1803">
      <c r="A1803" s="1">
        <v>5.0</v>
      </c>
      <c r="B1803" s="1" t="s">
        <v>1794</v>
      </c>
      <c r="C1803" t="str">
        <f>IFERROR(__xludf.DUMMYFUNCTION("GOOGLETRANSLATE(B1803, ""fr"", ""en"")"),"Okay bag and congratulations for the quality")</f>
        <v>Okay bag and congratulations for the quality</v>
      </c>
    </row>
    <row r="1804">
      <c r="A1804" s="1">
        <v>5.0</v>
      </c>
      <c r="B1804" s="1" t="s">
        <v>1795</v>
      </c>
      <c r="C1804" t="str">
        <f>IFERROR(__xludf.DUMMYFUNCTION("GOOGLETRANSLATE(B1804, ""fr"", ""en"")"),"the top technical and aesthetic boots. carry in water, mud and snow without problem. the feet are warm, the interior coat is soft: slippers true even at -12o")</f>
        <v>the top technical and aesthetic boots. carry in water, mud and snow without problem. the feet are warm, the interior coat is soft: slippers true even at -12o</v>
      </c>
    </row>
    <row r="1805">
      <c r="A1805" s="1">
        <v>5.0</v>
      </c>
      <c r="B1805" s="1" t="s">
        <v>1796</v>
      </c>
      <c r="C1805" t="str">
        <f>IFERROR(__xludf.DUMMYFUNCTION("GOOGLETRANSLATE(B1805, ""fr"", ""en"")"),"perfect value for money I useful for karaoke, they are awesome")</f>
        <v>perfect value for money I useful for karaoke, they are awesome</v>
      </c>
    </row>
    <row r="1806">
      <c r="A1806" s="1">
        <v>5.0</v>
      </c>
      <c r="B1806" s="1" t="s">
        <v>1797</v>
      </c>
      <c r="C1806" t="str">
        <f>IFERROR(__xludf.DUMMYFUNCTION("GOOGLETRANSLATE(B1806, ""fr"", ""en"")"),"Very convenient ! No more glue tube that buckling photos! The cutting of the square is simple and poses more! Ideal for making home photo albums! I recommend !")</f>
        <v>Very convenient ! No more glue tube that buckling photos! The cutting of the square is simple and poses more! Ideal for making home photo albums! I recommend !</v>
      </c>
    </row>
    <row r="1807">
      <c r="A1807" s="1">
        <v>5.0</v>
      </c>
      <c r="B1807" s="1" t="s">
        <v>1798</v>
      </c>
      <c r="C1807" t="str">
        <f>IFERROR(__xludf.DUMMYFUNCTION("GOOGLETRANSLATE(B1807, ""fr"", ""en"")"),"Audio 3.5mm to 6.35mm Double Cable 2M Article corresponding to the indications given by the site and apparently very good. Not fault it")</f>
        <v>Audio 3.5mm to 6.35mm Double Cable 2M Article corresponding to the indications given by the site and apparently very good. Not fault it</v>
      </c>
    </row>
    <row r="1808">
      <c r="A1808" s="1">
        <v>5.0</v>
      </c>
      <c r="B1808" s="1" t="s">
        <v>1799</v>
      </c>
      <c r="C1808" t="str">
        <f>IFERROR(__xludf.DUMMYFUNCTION("GOOGLETRANSLATE(B1808, ""fr"", ""en"")"),"Absolute class Okay, it's expensive but frankly, this teapot is worth its price. And the objects of this brand are made to last, the investment is worth it. On the box it says ""objects culinary art"" and not a figment of the imagination. This teapot is b"&amp;"eautiful, as much as can be a teapot, but mostly it is functional, comprehensive and practical. Modes preset according to the type of tea or infusion, personal programmable modes, kettle function and even iced tea function, yes. The function keeps the hot"&amp;" reactivated may be useful in the case of larger preparations. Note that the teapot accepts loose tea as well as that bag. You can set the camera almost to the desired degree and the duration of infusion. All the controls are intuitive and can do without "&amp;"the manual to use the unit immediately unpacked. A small aluminum cup is provided to place the receptacle tea, it is in the detail but it nevertheless remains very significant. This whole satin aluminum and tempered glass is the best effect and can stay o"&amp;"n the kitchen worktop without shame. Anti slip pads line the bottom of the teapot and the cup for added safety. Treaty BPA for plastic parts and given to 20% energy efficient. We also appreciate the ability to wind the power cord in the base for efficient"&amp;" storage. Really a very beautiful object, efficient and easy to use that you can only recommend.")</f>
        <v>Absolute class Okay, it's expensive but frankly, this teapot is worth its price. And the objects of this brand are made to last, the investment is worth it. On the box it says "objects culinary art" and not a figment of the imagination. This teapot is beautiful, as much as can be a teapot, but mostly it is functional, comprehensive and practical. Modes preset according to the type of tea or infusion, personal programmable modes, kettle function and even iced tea function, yes. The function keeps the hot reactivated may be useful in the case of larger preparations. Note that the teapot accepts loose tea as well as that bag. You can set the camera almost to the desired degree and the duration of infusion. All the controls are intuitive and can do without the manual to use the unit immediately unpacked. A small aluminum cup is provided to place the receptacle tea, it is in the detail but it nevertheless remains very significant. This whole satin aluminum and tempered glass is the best effect and can stay on the kitchen worktop without shame. Anti slip pads line the bottom of the teapot and the cup for added safety. Treaty BPA for plastic parts and given to 20% energy efficient. We also appreciate the ability to wind the power cord in the base for efficient storage. Really a very beautiful object, efficient and easy to use that you can only recommend.</v>
      </c>
    </row>
    <row r="1809">
      <c r="A1809" s="1">
        <v>5.0</v>
      </c>
      <c r="B1809" s="1" t="s">
        <v>1800</v>
      </c>
      <c r="C1809" t="str">
        <f>IFERROR(__xludf.DUMMYFUNCTION("GOOGLETRANSLATE(B1809, ""fr"", ""en"")"),"Great product I took these felt for my daughter and the love he did not dry and is easily removed when necessary baby clean mine flat slightly rounded does not move even if high quality is the apui")</f>
        <v>Great product I took these felt for my daughter and the love he did not dry and is easily removed when necessary baby clean mine flat slightly rounded does not move even if high quality is the apui</v>
      </c>
    </row>
    <row r="1810">
      <c r="A1810" s="1">
        <v>5.0</v>
      </c>
      <c r="B1810" s="1" t="s">
        <v>1801</v>
      </c>
      <c r="C1810" t="str">
        <f>IFERROR(__xludf.DUMMYFUNCTION("GOOGLETRANSLATE(B1810, ""fr"", ""en"")"),"slipper these slippers are perfect super thick for my dad who is at home, these slippers its Thick, hot and fit properly has the size")</f>
        <v>slipper these slippers are perfect super thick for my dad who is at home, these slippers its Thick, hot and fit properly has the size</v>
      </c>
    </row>
    <row r="1811">
      <c r="A1811" s="1">
        <v>5.0</v>
      </c>
      <c r="B1811" s="1" t="s">
        <v>1802</v>
      </c>
      <c r="C1811" t="str">
        <f>IFERROR(__xludf.DUMMYFUNCTION("GOOGLETRANSLATE(B1811, ""fr"", ""en"")"),"Super Price / no complaints. Super quality. I bought 2. The neck is very well suited for introduction into the bottle without putting everywhere. The fact that the doses are cumulative, it's perfect, you can put in the diaper bag or a dose or several dose"&amp;"s, it's very convenient. I recommend.")</f>
        <v>Super Price / no complaints. Super quality. I bought 2. The neck is very well suited for introduction into the bottle without putting everywhere. The fact that the doses are cumulative, it's perfect, you can put in the diaper bag or a dose or several doses, it's very convenient. I recommend.</v>
      </c>
    </row>
    <row r="1812">
      <c r="A1812" s="1">
        <v>5.0</v>
      </c>
      <c r="B1812" s="1" t="s">
        <v>1803</v>
      </c>
      <c r="C1812" t="str">
        <f>IFERROR(__xludf.DUMMYFUNCTION("GOOGLETRANSLATE(B1812, ""fr"", ""en"")"),"Very good essential oil! Great value and I use it like that! Cutaneous abscess, acne, eczema, gingivitis, herpes, fungal infections, skin parasites, insect bites, toned physique (cardiac fatigue) Respiratory Tract (diffusion, inhalation): Sore throat, bro"&amp;"nchitis, flu, ear infections, nasopharyngitis, colds, sinusitis , cough internal use (oral, rectal, vaginal): bronchitis, cystitis, flu, intestinal parasites, nasopharyngitis")</f>
        <v>Very good essential oil! Great value and I use it like that! Cutaneous abscess, acne, eczema, gingivitis, herpes, fungal infections, skin parasites, insect bites, toned physique (cardiac fatigue) Respiratory Tract (diffusion, inhalation): Sore throat, bronchitis, flu, ear infections, nasopharyngitis, colds, sinusitis , cough internal use (oral, rectal, vaginal): bronchitis, cystitis, flu, intestinal parasites, nasopharyngitis</v>
      </c>
    </row>
    <row r="1813">
      <c r="A1813" s="1">
        <v>5.0</v>
      </c>
      <c r="B1813" s="1" t="s">
        <v>1804</v>
      </c>
      <c r="C1813" t="str">
        <f>IFERROR(__xludf.DUMMYFUNCTION("GOOGLETRANSLATE(B1813, ""fr"", ""en"")"),"Excellent quality / price Used in recent months is consistent with the description. So they are still in the machine / dryer.")</f>
        <v>Excellent quality / price Used in recent months is consistent with the description. So they are still in the machine / dryer.</v>
      </c>
    </row>
    <row r="1814">
      <c r="A1814" s="1">
        <v>5.0</v>
      </c>
      <c r="B1814" s="1" t="s">
        <v>1261</v>
      </c>
      <c r="C1814" t="str">
        <f>IFERROR(__xludf.DUMMYFUNCTION("GOOGLETRANSLATE(B1814, ""fr"", ""en"")"),"good good")</f>
        <v>good good</v>
      </c>
    </row>
    <row r="1815">
      <c r="A1815" s="1">
        <v>5.0</v>
      </c>
      <c r="B1815" s="1" t="s">
        <v>1805</v>
      </c>
      <c r="C1815" t="str">
        <f>IFERROR(__xludf.DUMMYFUNCTION("GOOGLETRANSLATE(B1815, ""fr"", ""en"")"),"watch the great shows !! sees with the linen cloths all dressed !! thank you amazon")</f>
        <v>watch the great shows !! sees with the linen cloths all dressed !! thank you amazon</v>
      </c>
    </row>
    <row r="1816">
      <c r="A1816" s="1">
        <v>5.0</v>
      </c>
      <c r="B1816" s="1" t="s">
        <v>1806</v>
      </c>
      <c r="C1816" t="str">
        <f>IFERROR(__xludf.DUMMYFUNCTION("GOOGLETRANSLATE(B1816, ""fr"", ""en"")"),"Good Apple product but the price is still very high as all products produced apple Good sound very good but still expensive for headphones")</f>
        <v>Good Apple product but the price is still very high as all products produced apple Good sound very good but still expensive for headphones</v>
      </c>
    </row>
    <row r="1817">
      <c r="A1817" s="1">
        <v>5.0</v>
      </c>
      <c r="B1817" s="1" t="s">
        <v>1807</v>
      </c>
      <c r="C1817" t="str">
        <f>IFERROR(__xludf.DUMMYFUNCTION("GOOGLETRANSLATE(B1817, ""fr"", ""en"")"),"Perfect Very nice helmet and very good sound")</f>
        <v>Perfect Very nice helmet and very good sound</v>
      </c>
    </row>
    <row r="1818">
      <c r="A1818" s="1">
        <v>2.0</v>
      </c>
      <c r="B1818" s="1" t="s">
        <v>1808</v>
      </c>
      <c r="C1818" t="str">
        <f>IFERROR(__xludf.DUMMYFUNCTION("GOOGLETRANSLATE(B1818, ""fr"", ""en"")"),"In a box broken Gift received birthday the day of my 8 year old son in a box broken 😠au top 👎pfff much say I'm just a little disgusted but my son was still very happy !!!")</f>
        <v>In a box broken Gift received birthday the day of my 8 year old son in a box broken 😠au top 👎pfff much say I'm just a little disgusted but my son was still very happy !!!</v>
      </c>
    </row>
    <row r="1819">
      <c r="A1819" s="1">
        <v>1.0</v>
      </c>
      <c r="B1819" s="1" t="s">
        <v>1809</v>
      </c>
      <c r="C1819" t="str">
        <f>IFERROR(__xludf.DUMMYFUNCTION("GOOGLETRANSLATE(B1819, ""fr"", ""en"")"),"Disconnecting the right atrium proper audio quality, good battery life, big super convenient battery ... but the right atrium is micro-breaks every 10 seconds. Tested with Samsung Galaxy S7 and LG G4 tested with a Dell XPS 15 Same behavior. It's unusable "&amp;"state. We can accept a lower audio quality apple product but not the behavior. I tried everything, hard reset, atrium change, I still have the same behavior. Problem of my copy? I do not know. I decided to return after one day. I do not understand the goo"&amp;"d ratings from buyers.")</f>
        <v>Disconnecting the right atrium proper audio quality, good battery life, big super convenient battery ... but the right atrium is micro-breaks every 10 seconds. Tested with Samsung Galaxy S7 and LG G4 tested with a Dell XPS 15 Same behavior. It's unusable state. We can accept a lower audio quality apple product but not the behavior. I tried everything, hard reset, atrium change, I still have the same behavior. Problem of my copy? I do not know. I decided to return after one day. I do not understand the good ratings from buyers.</v>
      </c>
    </row>
    <row r="1820">
      <c r="A1820" s="1">
        <v>3.0</v>
      </c>
      <c r="B1820" s="1" t="s">
        <v>1810</v>
      </c>
      <c r="C1820" t="str">
        <f>IFERROR(__xludf.DUMMYFUNCTION("GOOGLETRANSLATE(B1820, ""fr"", ""en"")"),"takes longer to reach boiling puts heating time")</f>
        <v>takes longer to reach boiling puts heating time</v>
      </c>
    </row>
    <row r="1821">
      <c r="A1821" s="1">
        <v>3.0</v>
      </c>
      <c r="B1821" s="1" t="s">
        <v>1811</v>
      </c>
      <c r="C1821" t="str">
        <f>IFERROR(__xludf.DUMMYFUNCTION("GOOGLETRANSLATE(B1821, ""fr"", ""en"")"),"Very big watch. Very good to me consistent with the description. Commissioned 13 M 22 M 40 received by the same date (for € 4.99 more) very well returned after 8 days: analog display delays in relation to digital (1H overnight)")</f>
        <v>Very big watch. Very good to me consistent with the description. Commissioned 13 M 22 M 40 received by the same date (for € 4.99 more) very well returned after 8 days: analog display delays in relation to digital (1H overnight)</v>
      </c>
    </row>
    <row r="1822">
      <c r="A1822" s="1">
        <v>4.0</v>
      </c>
      <c r="B1822" s="1" t="s">
        <v>1812</v>
      </c>
      <c r="C1822" t="str">
        <f>IFERROR(__xludf.DUMMYFUNCTION("GOOGLETRANSLATE(B1822, ""fr"", ""en"")"),"Okay Super nothing to say for the price very nice")</f>
        <v>Okay Super nothing to say for the price very nice</v>
      </c>
    </row>
    <row r="1823">
      <c r="A1823" s="1">
        <v>4.0</v>
      </c>
      <c r="B1823" s="1" t="s">
        <v>1813</v>
      </c>
      <c r="C1823" t="str">
        <f>IFERROR(__xludf.DUMMYFUNCTION("GOOGLETRANSLATE(B1823, ""fr"", ""en"")"),"this is good socks. I put on the 44 and it goes. as well that greenhouse up and it stays in place.")</f>
        <v>this is good socks. I put on the 44 and it goes. as well that greenhouse up and it stays in place.</v>
      </c>
    </row>
    <row r="1824">
      <c r="A1824" s="1">
        <v>4.0</v>
      </c>
      <c r="B1824" s="1" t="s">
        <v>1814</v>
      </c>
      <c r="C1824" t="str">
        <f>IFERROR(__xludf.DUMMYFUNCTION("GOOGLETRANSLATE(B1824, ""fr"", ""en"")"),"Not bad I put 4 stars because I did not have the bandage that should be included in the lot! If the article is correct. The barbs are plastic, when I touched at first, I thought it would be too painful to bear, but in the end I was quite pleasantly surpri"&amp;"sed. Tested 10 minutes is not bad for a start! I'm happy")</f>
        <v>Not bad I put 4 stars because I did not have the bandage that should be included in the lot! If the article is correct. The barbs are plastic, when I touched at first, I thought it would be too painful to bear, but in the end I was quite pleasantly surprised. Tested 10 minutes is not bad for a start! I'm happy</v>
      </c>
    </row>
    <row r="1825">
      <c r="A1825" s="1">
        <v>4.0</v>
      </c>
      <c r="B1825" s="1" t="s">
        <v>1815</v>
      </c>
      <c r="C1825" t="str">
        <f>IFERROR(__xludf.DUMMYFUNCTION("GOOGLETRANSLATE(B1825, ""fr"", ""en"")"),"Default well observed: Info difficult to settle temperature paint on the outline that starts easily Stripe possible to the glass if forced contact with an especially sharp object.")</f>
        <v>Default well observed: Info difficult to settle temperature paint on the outline that starts easily Stripe possible to the glass if forced contact with an especially sharp object.</v>
      </c>
    </row>
    <row r="1826">
      <c r="A1826" s="1">
        <v>4.0</v>
      </c>
      <c r="B1826" s="1" t="s">
        <v>1816</v>
      </c>
      <c r="C1826" t="str">
        <f>IFERROR(__xludf.DUMMYFUNCTION("GOOGLETRANSLATE(B1826, ""fr"", ""en"")"),"Ideal for listening in the heat In this period of heat wave, it is inconceivable for me to listen to music in public transport with my usual helmet. He really needed a headphone / earphone preventing perspiration. I did not know the existence of bone cond"&amp;"uction headphones until a colleague talks to me and makes me try 10 seconds his Aftershokz Air Trek. I was attracted by its design, light weight and very especially its open side. I decided to take this type of helmet. I finally opted for Aftershokz Aerop"&amp;"ex. After several searches on the net, it turns out that this is the best bone conduction headset to date. The packaging is really great, everything we see immediately that this is a finished product and neat. I was a little confused by the presence of tw"&amp;"o cables of the case with magnetic closure but especially earplugs. The helmet is itself very light and sound reproduction quality (treble, medium) has almost nothing to envy to conventional helmets except bass. They are desperately short of punch despite"&amp;" the improvements made in relation to Air Trek. The return of voice is also really great. So, certainly, it will not be worth a good helmet. Some sound details disappear completely. The first 5 minutes of listening were quite unpleasant because the listen"&amp;"er puts pressure on the temples and the fact that the transducers vibrate tremendously. Even having removed, I still felt this discomfort. But the next day I was able to string together a listening almost non-stop in transport and at the office. I only re"&amp;"gret the absence of well punchy bass and especially the use of connectivity owner (probably due to IP67 / IP68). In short, the technology is promising. And if you are looking for a way to listen to music during a heat wave so go for it.")</f>
        <v>Ideal for listening in the heat In this period of heat wave, it is inconceivable for me to listen to music in public transport with my usual helmet. He really needed a headphone / earphone preventing perspiration. I did not know the existence of bone conduction headphones until a colleague talks to me and makes me try 10 seconds his Aftershokz Air Trek. I was attracted by its design, light weight and very especially its open side. I decided to take this type of helmet. I finally opted for Aftershokz Aeropex. After several searches on the net, it turns out that this is the best bone conduction headset to date. The packaging is really great, everything we see immediately that this is a finished product and neat. I was a little confused by the presence of two cables of the case with magnetic closure but especially earplugs. The helmet is itself very light and sound reproduction quality (treble, medium) has almost nothing to envy to conventional helmets except bass. They are desperately short of punch despite the improvements made in relation to Air Trek. The return of voice is also really great. So, certainly, it will not be worth a good helmet. Some sound details disappear completely. The first 5 minutes of listening were quite unpleasant because the listener puts pressure on the temples and the fact that the transducers vibrate tremendously. Even having removed, I still felt this discomfort. But the next day I was able to string together a listening almost non-stop in transport and at the office. I only regret the absence of well punchy bass and especially the use of connectivity owner (probably due to IP67 / IP68). In short, the technology is promising. And if you are looking for a way to listen to music during a heat wave so go for it.</v>
      </c>
    </row>
    <row r="1827">
      <c r="A1827" s="1">
        <v>5.0</v>
      </c>
      <c r="B1827" s="1" t="s">
        <v>1817</v>
      </c>
      <c r="C1827" t="str">
        <f>IFERROR(__xludf.DUMMYFUNCTION("GOOGLETRANSLATE(B1827, ""fr"", ""en"")"),"It's strange I received earpiece well packaged and in a cute little box and all protected. But after a few days of use, the headset cuts the music starts playing, change song and to top it off, it no longer works. Yesterday I looked and I saw that the wir"&amp;"e is broken from the inside. Maybe this is a manufacturing defect. Still, given the price.")</f>
        <v>It's strange I received earpiece well packaged and in a cute little box and all protected. But after a few days of use, the headset cuts the music starts playing, change song and to top it off, it no longer works. Yesterday I looked and I saw that the wire is broken from the inside. Maybe this is a manufacturing defect. Still, given the price.</v>
      </c>
    </row>
    <row r="1828">
      <c r="A1828" s="1">
        <v>5.0</v>
      </c>
      <c r="B1828" s="1" t="s">
        <v>1818</v>
      </c>
      <c r="C1828" t="str">
        <f>IFERROR(__xludf.DUMMYFUNCTION("GOOGLETRANSLATE(B1828, ""fr"", ""en"")"),"Adidas Super tower just nothing to add.")</f>
        <v>Adidas Super tower just nothing to add.</v>
      </c>
    </row>
    <row r="1829">
      <c r="A1829" s="1">
        <v>5.0</v>
      </c>
      <c r="B1829" s="1" t="s">
        <v>1819</v>
      </c>
      <c r="C1829" t="str">
        <f>IFERROR(__xludf.DUMMYFUNCTION("GOOGLETRANSLATE(B1829, ""fr"", ""en"")"),"satisfied did much pleasure")</f>
        <v>satisfied did much pleasure</v>
      </c>
    </row>
    <row r="1830">
      <c r="A1830" s="1">
        <v>5.0</v>
      </c>
      <c r="B1830" s="1" t="s">
        <v>1820</v>
      </c>
      <c r="C1830" t="str">
        <f>IFERROR(__xludf.DUMMYFUNCTION("GOOGLETRANSLATE(B1830, ""fr"", ""en"")"),"GORGEOUS I daily door is WONDERFUL and delivered in a beautiful box The chain is a bit long for my taste so I changed to the tree of life or battery in the creu of my neck It shines and is very good I aM vERY HAPPY THANKS")</f>
        <v>GORGEOUS I daily door is WONDERFUL and delivered in a beautiful box The chain is a bit long for my taste so I changed to the tree of life or battery in the creu of my neck It shines and is very good I aM vERY HAPPY THANKS</v>
      </c>
    </row>
    <row r="1831">
      <c r="A1831" s="1">
        <v>5.0</v>
      </c>
      <c r="B1831" s="1" t="s">
        <v>1821</v>
      </c>
      <c r="C1831" t="str">
        <f>IFERROR(__xludf.DUMMYFUNCTION("GOOGLETRANSLATE(B1831, ""fr"", ""en"")"),"Convenient Very convenient, lots of storage")</f>
        <v>Convenient Very convenient, lots of storage</v>
      </c>
    </row>
    <row r="1832">
      <c r="A1832" s="1">
        <v>5.0</v>
      </c>
      <c r="B1832" s="1" t="s">
        <v>1822</v>
      </c>
      <c r="C1832" t="str">
        <f>IFERROR(__xludf.DUMMYFUNCTION("GOOGLETRANSLATE(B1832, ""fr"", ""en"")"),"Ad complies with Amazon Product Brand - AURIQUE Jogger - Pants - Women What to say it: You never leave this jogging pants designed for you to feel comfortable in any situation. Whether to go to the sport with a tracksuit top, or stay home to pampered, thi"&amp;"s soft and stretchy model offers maximum comfort. Packaging: In a bag The negative: The positive: The material is soft inside applied The pockets are large. Beautiful fabric and pretty cut. Very handy to slip, softness, comfort of the fabric. Cédric")</f>
        <v>Ad complies with Amazon Product Brand - AURIQUE Jogger - Pants - Women What to say it: You never leave this jogging pants designed for you to feel comfortable in any situation. Whether to go to the sport with a tracksuit top, or stay home to pampered, this soft and stretchy model offers maximum comfort. Packaging: In a bag The negative: The positive: The material is soft inside applied The pockets are large. Beautiful fabric and pretty cut. Very handy to slip, softness, comfort of the fabric. Cédric</v>
      </c>
    </row>
    <row r="1833">
      <c r="A1833" s="1">
        <v>5.0</v>
      </c>
      <c r="B1833" s="1" t="s">
        <v>1823</v>
      </c>
      <c r="C1833" t="str">
        <f>IFERROR(__xludf.DUMMYFUNCTION("GOOGLETRANSLATE(B1833, ""fr"", ""en"")"),"boots nothing to say perfect !!!")</f>
        <v>boots nothing to say perfect !!!</v>
      </c>
    </row>
    <row r="1834">
      <c r="A1834" s="1">
        <v>5.0</v>
      </c>
      <c r="B1834" s="1" t="s">
        <v>1824</v>
      </c>
      <c r="C1834" t="str">
        <f>IFERROR(__xludf.DUMMYFUNCTION("GOOGLETRANSLATE(B1834, ""fr"", ""en"")"),"perfect ^ - ^ I bought this watch for my father and it looks so good that he is very happy. Watch consistent with the description and photos. It has a simple shape and elegant and packed in a beautiful box. its black color exudes a dimension of mystery. s"&amp;"he &amp; nbsp; brings rigor by its color. The bracelet made of quality stainless steel, it is durable, practical and adjustable, ideal for everyday use, with smooth surface for comfortable wear. It has a minimalist designated with colored needles and markings"&amp;" in red contrasting with the black dial, which gives the watch a look that is both elegant and seductive. In short, in general, I'm so happy with this watch and I recommend it.")</f>
        <v>perfect ^ - ^ I bought this watch for my father and it looks so good that he is very happy. Watch consistent with the description and photos. It has a simple shape and elegant and packed in a beautiful box. its black color exudes a dimension of mystery. she &amp; nbsp; brings rigor by its color. The bracelet made of quality stainless steel, it is durable, practical and adjustable, ideal for everyday use, with smooth surface for comfortable wear. It has a minimalist designated with colored needles and markings in red contrasting with the black dial, which gives the watch a look that is both elegant and seductive. In short, in general, I'm so happy with this watch and I recommend it.</v>
      </c>
    </row>
    <row r="1835">
      <c r="A1835" s="1">
        <v>5.0</v>
      </c>
      <c r="B1835" s="1" t="s">
        <v>1825</v>
      </c>
      <c r="C1835" t="str">
        <f>IFERROR(__xludf.DUMMYFUNCTION("GOOGLETRANSLATE(B1835, ""fr"", ""en"")"),"perfect a brave, little space on a work surface, very fast, very easy to clean. saving time every morning")</f>
        <v>perfect a brave, little space on a work surface, very fast, very easy to clean. saving time every morning</v>
      </c>
    </row>
    <row r="1836">
      <c r="A1836" s="1">
        <v>5.0</v>
      </c>
      <c r="B1836" s="1" t="s">
        <v>1826</v>
      </c>
      <c r="C1836" t="str">
        <f>IFERROR(__xludf.DUMMYFUNCTION("GOOGLETRANSLATE(B1836, ""fr"", ""en"")"),"Perfect People who like lots of storage, go your way! Small bag perfect for travel as possible to take the essence during a visit without a hitch.")</f>
        <v>Perfect People who like lots of storage, go your way! Small bag perfect for travel as possible to take the essence during a visit without a hitch.</v>
      </c>
    </row>
    <row r="1837">
      <c r="A1837" s="1">
        <v>5.0</v>
      </c>
      <c r="B1837" s="1" t="s">
        <v>1827</v>
      </c>
      <c r="C1837" t="str">
        <f>IFERROR(__xludf.DUMMYFUNCTION("GOOGLETRANSLATE(B1837, ""fr"", ""en"")"),"Men's jacket Good size good quality keeps you warm")</f>
        <v>Men's jacket Good size good quality keeps you warm</v>
      </c>
    </row>
    <row r="1838">
      <c r="A1838" s="1">
        <v>5.0</v>
      </c>
      <c r="B1838" s="1" t="s">
        <v>1828</v>
      </c>
      <c r="C1838" t="str">
        <f>IFERROR(__xludf.DUMMYFUNCTION("GOOGLETRANSLATE(B1838, ""fr"", ""en"")"),"Not great too thick. Works great with a small laminator 30 € purchased here. RAS. Very happy with my purchase.")</f>
        <v>Not great too thick. Works great with a small laminator 30 € purchased here. RAS. Very happy with my purchase.</v>
      </c>
    </row>
    <row r="1839">
      <c r="A1839" s="1">
        <v>5.0</v>
      </c>
      <c r="B1839" s="1" t="s">
        <v>1829</v>
      </c>
      <c r="C1839" t="str">
        <f>IFERROR(__xludf.DUMMYFUNCTION("GOOGLETRANSLATE(B1839, ""fr"", ""en"")"),"Okay Happiness chills guarantees")</f>
        <v>Okay Happiness chills guarantees</v>
      </c>
    </row>
    <row r="1840">
      <c r="A1840" s="1">
        <v>5.0</v>
      </c>
      <c r="B1840" s="1" t="s">
        <v>1830</v>
      </c>
      <c r="C1840" t="str">
        <f>IFERROR(__xludf.DUMMYFUNCTION("GOOGLETRANSLATE(B1840, ""fr"", ""en"")"),"Perfect Milk sellers always write as powdered milk mixture is easy. When the baby howls at his bottle plugged with a lump, it no longer believes. this utensil is essential for quiet nights!")</f>
        <v>Perfect Milk sellers always write as powdered milk mixture is easy. When the baby howls at his bottle plugged with a lump, it no longer believes. this utensil is essential for quiet nights!</v>
      </c>
    </row>
    <row r="1841">
      <c r="A1841" s="1">
        <v>5.0</v>
      </c>
      <c r="B1841" s="1" t="s">
        <v>1831</v>
      </c>
      <c r="C1841" t="str">
        <f>IFERROR(__xludf.DUMMYFUNCTION("GOOGLETRANSLATE(B1841, ""fr"", ""en"")"),"Swatch watch strap silicone strap Very nice and easy to mount on a watch, tools are provided.")</f>
        <v>Swatch watch strap silicone strap Very nice and easy to mount on a watch, tools are provided.</v>
      </c>
    </row>
    <row r="1842">
      <c r="A1842" s="1">
        <v>2.0</v>
      </c>
      <c r="B1842" s="1" t="s">
        <v>1832</v>
      </c>
      <c r="C1842" t="str">
        <f>IFERROR(__xludf.DUMMYFUNCTION("GOOGLETRANSLATE(B1842, ""fr"", ""en"")"),"Disappointed I ordered these beach shoes for my son. She is pretty but carve too small !! The controlled size does not correspond to the usual size of the brand. I returned.")</f>
        <v>Disappointed I ordered these beach shoes for my son. She is pretty but carve too small !! The controlled size does not correspond to the usual size of the brand. I returned.</v>
      </c>
    </row>
    <row r="1843">
      <c r="A1843" s="1">
        <v>1.0</v>
      </c>
      <c r="B1843" s="1" t="s">
        <v>1833</v>
      </c>
      <c r="C1843" t="str">
        <f>IFERROR(__xludf.DUMMYFUNCTION("GOOGLETRANSLATE(B1843, ""fr"", ""en"")"),"disappointing really childish")</f>
        <v>disappointing really childish</v>
      </c>
    </row>
    <row r="1844">
      <c r="A1844" s="1">
        <v>1.0</v>
      </c>
      <c r="B1844" s="1" t="s">
        <v>1834</v>
      </c>
      <c r="C1844" t="str">
        <f>IFERROR(__xludf.DUMMYFUNCTION("GOOGLETRANSLATE(B1844, ""fr"", ""en"")"),"infringement that are not true, I did return immediately")</f>
        <v>infringement that are not true, I did return immediately</v>
      </c>
    </row>
    <row r="1845">
      <c r="A1845" s="1">
        <v>3.0</v>
      </c>
      <c r="B1845" s="1" t="s">
        <v>1835</v>
      </c>
      <c r="C1845" t="str">
        <f>IFERROR(__xludf.DUMMYFUNCTION("GOOGLETRANSLATE(B1845, ""fr"", ""en"")"),"Disappointed 5 small simple books and a cardboard box to fill the void")</f>
        <v>Disappointed 5 small simple books and a cardboard box to fill the void</v>
      </c>
    </row>
    <row r="1846">
      <c r="A1846" s="1">
        <v>3.0</v>
      </c>
      <c r="B1846" s="1" t="s">
        <v>1836</v>
      </c>
      <c r="C1846" t="str">
        <f>IFERROR(__xludf.DUMMYFUNCTION("GOOGLETRANSLATE(B1846, ""fr"", ""en"")"),"Size small I ordered this sweater for Christmas for my boyfriend. He carries one brand between size M L view (it is late but very large). Not to take risks that I commanded her sweater size L, which rather suits him but all the same size a little small fo"&amp;"r a size L. If the sweater is of good quality, this remains basic to have in his cabinet.")</f>
        <v>Size small I ordered this sweater for Christmas for my boyfriend. He carries one brand between size M L view (it is late but very large). Not to take risks that I commanded her sweater size L, which rather suits him but all the same size a little small for a size L. If the sweater is of good quality, this remains basic to have in his cabinet.</v>
      </c>
    </row>
    <row r="1847">
      <c r="A1847" s="1">
        <v>4.0</v>
      </c>
      <c r="B1847" s="1" t="s">
        <v>1837</v>
      </c>
      <c r="C1847" t="str">
        <f>IFERROR(__xludf.DUMMYFUNCTION("GOOGLETRANSLATE(B1847, ""fr"", ""en"")"),"Good Good")</f>
        <v>Good Good</v>
      </c>
    </row>
    <row r="1848">
      <c r="A1848" s="1">
        <v>4.0</v>
      </c>
      <c r="B1848" s="1" t="s">
        <v>1838</v>
      </c>
      <c r="C1848" t="str">
        <f>IFERROR(__xludf.DUMMYFUNCTION("GOOGLETRANSLATE(B1848, ""fr"", ""en"")"),"To eat! For a first experience, it is rather a success. That's shoes are very comfortable to wear, as well outside as inside, at home or on vacation. They are lightweight, easy to put on, comfortable, well hold the feet. hoofs of terrain. The only downsid"&amp;"e, they run small, you have to know before buying, providing a size more. In short, a purchase I do not regret, provided it lasts.")</f>
        <v>To eat! For a first experience, it is rather a success. That's shoes are very comfortable to wear, as well outside as inside, at home or on vacation. They are lightweight, easy to put on, comfortable, well hold the feet. hoofs of terrain. The only downside, they run small, you have to know before buying, providing a size more. In short, a purchase I do not regret, provided it lasts.</v>
      </c>
    </row>
    <row r="1849">
      <c r="A1849" s="1">
        <v>4.0</v>
      </c>
      <c r="B1849" s="1" t="s">
        <v>1839</v>
      </c>
      <c r="C1849" t="str">
        <f>IFERROR(__xludf.DUMMYFUNCTION("GOOGLETRANSLATE(B1849, ""fr"", ""en"")"),"Pretty beautiful and adequate size beads")</f>
        <v>Pretty beautiful and adequate size beads</v>
      </c>
    </row>
    <row r="1850">
      <c r="A1850" s="1">
        <v>4.0</v>
      </c>
      <c r="B1850" s="1" t="s">
        <v>1840</v>
      </c>
      <c r="C1850" t="str">
        <f>IFERROR(__xludf.DUMMYFUNCTION("GOOGLETRANSLATE(B1850, ""fr"", ""en"")"),"A light and sweet Good article")</f>
        <v>A light and sweet Good article</v>
      </c>
    </row>
    <row r="1851">
      <c r="A1851" s="1">
        <v>5.0</v>
      </c>
      <c r="B1851" s="1" t="s">
        <v>1841</v>
      </c>
      <c r="C1851" t="str">
        <f>IFERROR(__xludf.DUMMYFUNCTION("GOOGLETRANSLATE(B1851, ""fr"", ""en"")"),"Satisfied Satisfied with the necklace ... the perfect length ... neither too long nor too short ... screw closure ... I recommend this necklace for our babies.")</f>
        <v>Satisfied Satisfied with the necklace ... the perfect length ... neither too long nor too short ... screw closure ... I recommend this necklace for our babies.</v>
      </c>
    </row>
    <row r="1852">
      <c r="A1852" s="1">
        <v>5.0</v>
      </c>
      <c r="B1852" s="1" t="s">
        <v>1842</v>
      </c>
      <c r="C1852" t="str">
        <f>IFERROR(__xludf.DUMMYFUNCTION("GOOGLETRANSLATE(B1852, ""fr"", ""en"")"),"leather man bag Gorgeous !!! Very nice quality, smells like leather, beautiful colors and perfect seams. I am delighted with this purchase.")</f>
        <v>leather man bag Gorgeous !!! Very nice quality, smells like leather, beautiful colors and perfect seams. I am delighted with this purchase.</v>
      </c>
    </row>
    <row r="1853">
      <c r="A1853" s="1">
        <v>5.0</v>
      </c>
      <c r="B1853" s="1" t="s">
        <v>1843</v>
      </c>
      <c r="C1853" t="str">
        <f>IFERROR(__xludf.DUMMYFUNCTION("GOOGLETRANSLATE(B1853, ""fr"", ""en"")"),"quello che da poco This cercavo say paio identico ad un altro che ho dovuto buttare perched ormai distrutte. Restano semper un valore sicuro.")</f>
        <v>quello che da poco This cercavo say paio identico ad un altro che ho dovuto buttare perched ormai distrutte. Restano semper un valore sicuro.</v>
      </c>
    </row>
    <row r="1854">
      <c r="A1854" s="1">
        <v>5.0</v>
      </c>
      <c r="B1854" s="1" t="s">
        <v>1844</v>
      </c>
      <c r="C1854" t="str">
        <f>IFERROR(__xludf.DUMMYFUNCTION("GOOGLETRANSLATE(B1854, ""fr"", ""en"")"),"Perfect No specific comment")</f>
        <v>Perfect No specific comment</v>
      </c>
    </row>
    <row r="1855">
      <c r="A1855" s="1">
        <v>5.0</v>
      </c>
      <c r="B1855" s="1" t="s">
        <v>1845</v>
      </c>
      <c r="C1855" t="str">
        <f>IFERROR(__xludf.DUMMYFUNCTION("GOOGLETRANSLATE(B1855, ""fr"", ""en"")"),"Perfect ... Perfect for a man rather big, but this shows ""&amp; nbsp; has the mouth &amp; nbsp;"" and works great. Easy to set up.")</f>
        <v>Perfect ... Perfect for a man rather big, but this shows "&amp; nbsp; has the mouth &amp; nbsp;" and works great. Easy to set up.</v>
      </c>
    </row>
    <row r="1856">
      <c r="A1856" s="1">
        <v>5.0</v>
      </c>
      <c r="B1856" s="1" t="s">
        <v>1846</v>
      </c>
      <c r="C1856" t="str">
        <f>IFERROR(__xludf.DUMMYFUNCTION("GOOGLETRANSLATE(B1856, ""fr"", ""en"")"),"ideal essential when you have animals, safe for sensitive skins")</f>
        <v>ideal essential when you have animals, safe for sensitive skins</v>
      </c>
    </row>
    <row r="1857">
      <c r="A1857" s="1">
        <v>5.0</v>
      </c>
      <c r="B1857" s="1" t="s">
        <v>1847</v>
      </c>
      <c r="C1857" t="str">
        <f>IFERROR(__xludf.DUMMYFUNCTION("GOOGLETRANSLATE(B1857, ""fr"", ""en"")"),"light and comfortable comfortable")</f>
        <v>light and comfortable comfortable</v>
      </c>
    </row>
    <row r="1858">
      <c r="A1858" s="1">
        <v>5.0</v>
      </c>
      <c r="B1858" s="1" t="s">
        <v>1848</v>
      </c>
      <c r="C1858" t="str">
        <f>IFERROR(__xludf.DUMMYFUNCTION("GOOGLETRANSLATE(B1858, ""fr"", ""en"")"),"Excellent leather bag It's real leather. Many storage. Finishes and quality are excellent quality prenium to buy without hesitation. Two modes handy uses: to back and normal satchel bag")</f>
        <v>Excellent leather bag It's real leather. Many storage. Finishes and quality are excellent quality prenium to buy without hesitation. Two modes handy uses: to back and normal satchel bag</v>
      </c>
    </row>
    <row r="1859">
      <c r="A1859" s="1">
        <v>5.0</v>
      </c>
      <c r="B1859" s="1" t="s">
        <v>1849</v>
      </c>
      <c r="C1859" t="str">
        <f>IFERROR(__xludf.DUMMYFUNCTION("GOOGLETRANSLATE(B1859, ""fr"", ""en"")"),"Finesse product Very nice article Very feminine and well cut")</f>
        <v>Finesse product Very nice article Very feminine and well cut</v>
      </c>
    </row>
    <row r="1860">
      <c r="A1860" s="1">
        <v>5.0</v>
      </c>
      <c r="B1860" s="1" t="s">
        <v>1850</v>
      </c>
      <c r="C1860" t="str">
        <f>IFERROR(__xludf.DUMMYFUNCTION("GOOGLETRANSLATE(B1860, ""fr"", ""en"")"),"Steriliser, bottle warmer ... top Super gift for the birth of a little bit, the device has a superb finish, many functions, it is not too large. Everything is well explained easy to use. I recommend")</f>
        <v>Steriliser, bottle warmer ... top Super gift for the birth of a little bit, the device has a superb finish, many functions, it is not too large. Everything is well explained easy to use. I recommend</v>
      </c>
    </row>
    <row r="1861">
      <c r="A1861" s="1">
        <v>5.0</v>
      </c>
      <c r="B1861" s="1" t="s">
        <v>1851</v>
      </c>
      <c r="C1861" t="str">
        <f>IFERROR(__xludf.DUMMYFUNCTION("GOOGLETRANSLATE(B1861, ""fr"", ""en"")"),"Good brand socks Sun Very bine branded socks Sun")</f>
        <v>Good brand socks Sun Very bine branded socks Sun</v>
      </c>
    </row>
    <row r="1862">
      <c r="A1862" s="1">
        <v>5.0</v>
      </c>
      <c r="B1862" s="1" t="s">
        <v>1852</v>
      </c>
      <c r="C1862" t="str">
        <f>IFERROR(__xludf.DUMMYFUNCTION("GOOGLETRANSLATE(B1862, ""fr"", ""en"")"),"Perfect ! Bought for studies and to comply with regulations against programmable calculators.")</f>
        <v>Perfect ! Bought for studies and to comply with regulations against programmable calculators.</v>
      </c>
    </row>
    <row r="1863">
      <c r="A1863" s="1">
        <v>5.0</v>
      </c>
      <c r="B1863" s="1" t="s">
        <v>1853</v>
      </c>
      <c r="C1863" t="str">
        <f>IFERROR(__xludf.DUMMYFUNCTION("GOOGLETRANSLATE(B1863, ""fr"", ""en"")"),"Beautiful lamp I had already bought from nature and discovery, not at all the same price as on the Amazon website, I'm just glad she is of exceptional quality")</f>
        <v>Beautiful lamp I had already bought from nature and discovery, not at all the same price as on the Amazon website, I'm just glad she is of exceptional quality</v>
      </c>
    </row>
    <row r="1864">
      <c r="A1864" s="1">
        <v>5.0</v>
      </c>
      <c r="B1864" s="1" t="s">
        <v>1854</v>
      </c>
      <c r="C1864" t="str">
        <f>IFERROR(__xludf.DUMMYFUNCTION("GOOGLETRANSLATE(B1864, ""fr"", ""en"")"),"Comment This is a good product, I like. It has good quality; so I recommend it.")</f>
        <v>Comment This is a good product, I like. It has good quality; so I recommend it.</v>
      </c>
    </row>
    <row r="1865">
      <c r="A1865" s="1">
        <v>5.0</v>
      </c>
      <c r="B1865" s="1" t="s">
        <v>1855</v>
      </c>
      <c r="C1865" t="str">
        <f>IFERROR(__xludf.DUMMYFUNCTION("GOOGLETRANSLATE(B1865, ""fr"", ""en"")"),"mini travel kettle I am very happy with my purchase. it is perfect for a speed cup of tea at all hours of the day and takes up little space.")</f>
        <v>mini travel kettle I am very happy with my purchase. it is perfect for a speed cup of tea at all hours of the day and takes up little space.</v>
      </c>
    </row>
    <row r="1866">
      <c r="A1866" s="1">
        <v>2.0</v>
      </c>
      <c r="B1866" s="1" t="s">
        <v>1856</v>
      </c>
      <c r="C1866" t="str">
        <f>IFERROR(__xludf.DUMMYFUNCTION("GOOGLETRANSLATE(B1866, ""fr"", ""en"")"),"Barely received and already it does not work I received the dymo date all happy and wanting to try it turns out that this one does not. I am literally the explanations and nothing happens. I am disappointed that I was so happy to have it!")</f>
        <v>Barely received and already it does not work I received the dymo date all happy and wanting to try it turns out that this one does not. I am literally the explanations and nothing happens. I am disappointed that I was so happy to have it!</v>
      </c>
    </row>
    <row r="1867">
      <c r="A1867" s="1">
        <v>1.0</v>
      </c>
      <c r="B1867" s="1" t="s">
        <v>1857</v>
      </c>
      <c r="C1867" t="str">
        <f>IFERROR(__xludf.DUMMYFUNCTION("GOOGLETRANSLATE(B1867, ""fr"", ""en"")"),"Puma size small so take 2 sizes dessu happy to have received quickly but disappointed with product quality, workmanship is clearly questionable and a yellow spot at interrieur shoe .. Nevertheless pleased with the reception but for his price manufacturers"&amp;" could at least make an effort on the BMW logo")</f>
        <v>Puma size small so take 2 sizes dessu happy to have received quickly but disappointed with product quality, workmanship is clearly questionable and a yellow spot at interrieur shoe .. Nevertheless pleased with the reception but for his price manufacturers could at least make an effort on the BMW logo</v>
      </c>
    </row>
    <row r="1868">
      <c r="A1868" s="1">
        <v>1.0</v>
      </c>
      <c r="B1868" s="1" t="s">
        <v>1858</v>
      </c>
      <c r="C1868" t="str">
        <f>IFERROR(__xludf.DUMMYFUNCTION("GOOGLETRANSLATE(B1868, ""fr"", ""en"")"),"Poor / not match the description I received product without cabinet in a simple plastic bag. No use No warranty manual No metal rod for fixing the strap to the dial The set does not match the description of the product and the expected quality.")</f>
        <v>Poor / not match the description I received product without cabinet in a simple plastic bag. No use No warranty manual No metal rod for fixing the strap to the dial The set does not match the description of the product and the expected quality.</v>
      </c>
    </row>
    <row r="1869">
      <c r="A1869" s="1">
        <v>3.0</v>
      </c>
      <c r="B1869" s="1" t="s">
        <v>1859</v>
      </c>
      <c r="C1869" t="str">
        <f>IFERROR(__xludf.DUMMYFUNCTION("GOOGLETRANSLATE(B1869, ""fr"", ""en"")"),"A great design but not very practical, they are very beautiful design but not super convenient. They are wider than normal. Our 9 month old has no trouble hold up well in hand, however, it's hard to drink her milk. Indeed, it does not leave the milk flowi"&amp;"ng.")</f>
        <v>A great design but not very practical, they are very beautiful design but not super convenient. They are wider than normal. Our 9 month old has no trouble hold up well in hand, however, it's hard to drink her milk. Indeed, it does not leave the milk flowing.</v>
      </c>
    </row>
    <row r="1870">
      <c r="A1870" s="1">
        <v>3.0</v>
      </c>
      <c r="B1870" s="1" t="s">
        <v>1860</v>
      </c>
      <c r="C1870" t="str">
        <f>IFERROR(__xludf.DUMMYFUNCTION("GOOGLETRANSLATE(B1870, ""fr"", ""en"")"),"good quality but size problem a bra that could have been perfect, very good support. Lined inside, adjustable straps X with cushioning system back in my size ... except that at least one size smaller, the 85A = 80A and again! Chinese sizes ???? Pity!!!")</f>
        <v>good quality but size problem a bra that could have been perfect, very good support. Lined inside, adjustable straps X with cushioning system back in my size ... except that at least one size smaller, the 85A = 80A and again! Chinese sizes ???? Pity!!!</v>
      </c>
    </row>
    <row r="1871">
      <c r="A1871" s="1">
        <v>4.0</v>
      </c>
      <c r="B1871" s="1" t="s">
        <v>1861</v>
      </c>
      <c r="C1871" t="str">
        <f>IFERROR(__xludf.DUMMYFUNCTION("GOOGLETRANSLATE(B1871, ""fr"", ""en"")"),"nikel chrome while I had tried in the store, and he had not my size, I found them on Amazon, delivered in 72 hours and 35 € expensive month at the store!")</f>
        <v>nikel chrome while I had tried in the store, and he had not my size, I found them on Amazon, delivered in 72 hours and 35 € expensive month at the store!</v>
      </c>
    </row>
    <row r="1872">
      <c r="A1872" s="1">
        <v>4.0</v>
      </c>
      <c r="B1872" s="1" t="s">
        <v>1862</v>
      </c>
      <c r="C1872" t="str">
        <f>IFERROR(__xludf.DUMMYFUNCTION("GOOGLETRANSLATE(B1872, ""fr"", ""en"")"),"Very good sound Very good helmet, only downside there is no microphone to talk on the phone. The quality to price ratio is excellent")</f>
        <v>Very good sound Very good helmet, only downside there is no microphone to talk on the phone. The quality to price ratio is excellent</v>
      </c>
    </row>
    <row r="1873">
      <c r="A1873" s="1">
        <v>4.0</v>
      </c>
      <c r="B1873" s="1" t="s">
        <v>1863</v>
      </c>
      <c r="C1873" t="str">
        <f>IFERROR(__xludf.DUMMYFUNCTION("GOOGLETRANSLATE(B1873, ""fr"", ""en"")"),"very useful very useful rules especially for graduates in geography sketch. Very easy to use. I take off one star because they gave the same symbols around (square, rectangle) while in the same dimensions they might suggest others. Feel free to leave a po"&amp;"sitive opinion if my review has helped you. Thank you.")</f>
        <v>very useful very useful rules especially for graduates in geography sketch. Very easy to use. I take off one star because they gave the same symbols around (square, rectangle) while in the same dimensions they might suggest others. Feel free to leave a positive opinion if my review has helped you. Thank you.</v>
      </c>
    </row>
    <row r="1874">
      <c r="A1874" s="1">
        <v>4.0</v>
      </c>
      <c r="B1874" s="1" t="s">
        <v>1864</v>
      </c>
      <c r="C1874" t="str">
        <f>IFERROR(__xludf.DUMMYFUNCTION("GOOGLETRANSLATE(B1874, ""fr"", ""en"")"),"Excellent Very Good Pleasant and comfortable product")</f>
        <v>Excellent Very Good Pleasant and comfortable product</v>
      </c>
    </row>
    <row r="1875">
      <c r="A1875" s="1">
        <v>5.0</v>
      </c>
      <c r="B1875" s="1" t="s">
        <v>1865</v>
      </c>
      <c r="C1875" t="str">
        <f>IFERROR(__xludf.DUMMYFUNCTION("GOOGLETRANSLATE(B1875, ""fr"", ""en"")"),"folding massage table right width, leg stainless. Just the hole for the head at a seam and this is inconvenient. accessories are well below the table")</f>
        <v>folding massage table right width, leg stainless. Just the hole for the head at a seam and this is inconvenient. accessories are well below the table</v>
      </c>
    </row>
    <row r="1876">
      <c r="A1876" s="1">
        <v>5.0</v>
      </c>
      <c r="B1876" s="1" t="s">
        <v>1866</v>
      </c>
      <c r="C1876" t="str">
        <f>IFERROR(__xludf.DUMMYFUNCTION("GOOGLETRANSLATE(B1876, ""fr"", ""en"")"),"Good cheap headphones Product support received on time, well packaged, no surprises. The helmet holder complies with the ad, used for Sennheiser PC 360 headset G4ME and perfectly fulfilled its job. Very easy to install, it is also very light. At this pric"&amp;"e, the 5 stars are fully deserved. I recomme the product and seller.")</f>
        <v>Good cheap headphones Product support received on time, well packaged, no surprises. The helmet holder complies with the ad, used for Sennheiser PC 360 headset G4ME and perfectly fulfilled its job. Very easy to install, it is also very light. At this price, the 5 stars are fully deserved. I recomme the product and seller.</v>
      </c>
    </row>
    <row r="1877">
      <c r="A1877" s="1">
        <v>5.0</v>
      </c>
      <c r="B1877" s="1" t="s">
        <v>1867</v>
      </c>
      <c r="C1877" t="str">
        <f>IFERROR(__xludf.DUMMYFUNCTION("GOOGLETRANSLATE(B1877, ""fr"", ""en"")"),"Great bags! Good product Hello everyone, really great! Do not hesitate. If you have any questions, consider me a message.")</f>
        <v>Great bags! Good product Hello everyone, really great! Do not hesitate. If you have any questions, consider me a message.</v>
      </c>
    </row>
    <row r="1878">
      <c r="A1878" s="1">
        <v>5.0</v>
      </c>
      <c r="B1878" s="1" t="s">
        <v>1868</v>
      </c>
      <c r="C1878" t="str">
        <f>IFERROR(__xludf.DUMMYFUNCTION("GOOGLETRANSLATE(B1878, ""fr"", ""en"")"),"Useful practice")</f>
        <v>Useful practice</v>
      </c>
    </row>
    <row r="1879">
      <c r="A1879" s="1">
        <v>5.0</v>
      </c>
      <c r="B1879" s="1" t="s">
        <v>1869</v>
      </c>
      <c r="C1879" t="str">
        <f>IFERROR(__xludf.DUMMYFUNCTION("GOOGLETRANSLATE(B1879, ""fr"", ""en"")"),"top was very well done job! it was invaded by moths at home in less than 3 days nothing :-)")</f>
        <v>top was very well done job! it was invaded by moths at home in less than 3 days nothing :-)</v>
      </c>
    </row>
    <row r="1880">
      <c r="A1880" s="1">
        <v>5.0</v>
      </c>
      <c r="B1880" s="1" t="s">
        <v>1870</v>
      </c>
      <c r="C1880" t="str">
        <f>IFERROR(__xludf.DUMMYFUNCTION("GOOGLETRANSLATE(B1880, ""fr"", ""en"")"),"Pretty and practical Very convenient to pay. Good grip of the handle. Pretty retro design and not too bulky saw the countenance.")</f>
        <v>Pretty and practical Very convenient to pay. Good grip of the handle. Pretty retro design and not too bulky saw the countenance.</v>
      </c>
    </row>
    <row r="1881">
      <c r="A1881" s="1">
        <v>5.0</v>
      </c>
      <c r="B1881" s="1" t="s">
        <v>1871</v>
      </c>
      <c r="C1881" t="str">
        <f>IFERROR(__xludf.DUMMYFUNCTION("GOOGLETRANSLATE(B1881, ""fr"", ""en"")"),"pretty, top it're just beautiful")</f>
        <v>pretty, top it're just beautiful</v>
      </c>
    </row>
    <row r="1882">
      <c r="A1882" s="1">
        <v>5.0</v>
      </c>
      <c r="B1882" s="1" t="s">
        <v>1872</v>
      </c>
      <c r="C1882" t="str">
        <f>IFERROR(__xludf.DUMMYFUNCTION("GOOGLETRANSLATE(B1882, ""fr"", ""en"")"),"Autonomy / quality / her Top Super use, once loaded the headset lasts a long time or even days. His Nikel, nothing to say. I'm not disappointed that after MPOW brand headphones ordered the same brand and also super quality. I recommande🎧✅👌")</f>
        <v>Autonomy / quality / her Top Super use, once loaded the headset lasts a long time or even days. His Nikel, nothing to say. I'm not disappointed that after MPOW brand headphones ordered the same brand and also super quality. I recommande🎧✅👌</v>
      </c>
    </row>
    <row r="1883">
      <c r="A1883" s="1">
        <v>5.0</v>
      </c>
      <c r="B1883" s="1" t="s">
        <v>1873</v>
      </c>
      <c r="C1883" t="str">
        <f>IFERROR(__xludf.DUMMYFUNCTION("GOOGLETRANSLATE(B1883, ""fr"", ""en"")"),"Heater temperature quickly and keeps the kettle This gives me satisfaction: good grip, small does not take place. easy to use, rapid temperature rise, it pays well, not particularly loud, elegant design. Easily select the desired temperature for water. Ma"&amp;"intains the temperature once reached. This mode ""Maintain temperature"" is very effective I am satisfied.")</f>
        <v>Heater temperature quickly and keeps the kettle This gives me satisfaction: good grip, small does not take place. easy to use, rapid temperature rise, it pays well, not particularly loud, elegant design. Easily select the desired temperature for water. Maintains the temperature once reached. This mode "Maintain temperature" is very effective I am satisfied.</v>
      </c>
    </row>
    <row r="1884">
      <c r="A1884" s="1">
        <v>5.0</v>
      </c>
      <c r="B1884" s="1" t="s">
        <v>1874</v>
      </c>
      <c r="C1884" t="str">
        <f>IFERROR(__xludf.DUMMYFUNCTION("GOOGLETRANSLATE(B1884, ""fr"", ""en"")"),"Great Great for cleaning bottles and the endpiece nipple is nickel, bottles and clean")</f>
        <v>Great Great for cleaning bottles and the endpiece nipple is nickel, bottles and clean</v>
      </c>
    </row>
    <row r="1885">
      <c r="A1885" s="1">
        <v>5.0</v>
      </c>
      <c r="B1885" s="1" t="s">
        <v>1875</v>
      </c>
      <c r="C1885" t="str">
        <f>IFERROR(__xludf.DUMMYFUNCTION("GOOGLETRANSLATE(B1885, ""fr"", ""en"")"),"Very good value for money product for a great price with fast delivery Pleased with this purchase")</f>
        <v>Very good value for money product for a great price with fast delivery Pleased with this purchase</v>
      </c>
    </row>
    <row r="1886">
      <c r="A1886" s="1">
        <v>5.0</v>
      </c>
      <c r="B1886" s="1" t="s">
        <v>1876</v>
      </c>
      <c r="C1886" t="str">
        <f>IFERROR(__xludf.DUMMYFUNCTION("GOOGLETRANSLATE(B1886, ""fr"", ""en"")"),"Very good quality paper towel roll, I recommend")</f>
        <v>Very good quality paper towel roll, I recommend</v>
      </c>
    </row>
    <row r="1887">
      <c r="A1887" s="1">
        <v>5.0</v>
      </c>
      <c r="B1887" s="1" t="s">
        <v>1877</v>
      </c>
      <c r="C1887" t="str">
        <f>IFERROR(__xludf.DUMMYFUNCTION("GOOGLETRANSLATE(B1887, ""fr"", ""en"")"),"Do not leak and quickly heats! The bottle does not leak if it complies assembly recommended: for transportation, purple cover must be screwed SUB bottle (photo 2). The container then covers the bottle (photo 3), even screwed it relies not on the spout of "&amp;"the bottle: so there is no leakage during transport. There is a table on the container which indicates the time to reach 37 ° C depending on the amount of water in the bottle and its temperature (ambient or out of the refrigerator). So I filled the bottle"&amp;" with boiling water, I assemble as stated above and I go for a walk. At the time the bottle I unscrewed the container and the lid, I put my bottle filled with 210 ml of water at room temperature in the container. I pour hot water bottle in the container u"&amp;"p to the mark ""Max"", and I screwed the lid to keep warm (photo 1). After 2 min 30 s I leave the bottle container, it is at 37 ° C. I'm using the same home, and baby patient for the same duration that is at home or on the go, eliminating the frustration "&amp;"of tears.")</f>
        <v>Do not leak and quickly heats! The bottle does not leak if it complies assembly recommended: for transportation, purple cover must be screwed SUB bottle (photo 2). The container then covers the bottle (photo 3), even screwed it relies not on the spout of the bottle: so there is no leakage during transport. There is a table on the container which indicates the time to reach 37 ° C depending on the amount of water in the bottle and its temperature (ambient or out of the refrigerator). So I filled the bottle with boiling water, I assemble as stated above and I go for a walk. At the time the bottle I unscrewed the container and the lid, I put my bottle filled with 210 ml of water at room temperature in the container. I pour hot water bottle in the container up to the mark "Max", and I screwed the lid to keep warm (photo 1). After 2 min 30 s I leave the bottle container, it is at 37 ° C. I'm using the same home, and baby patient for the same duration that is at home or on the go, eliminating the frustration of tears.</v>
      </c>
    </row>
    <row r="1888">
      <c r="A1888" s="1">
        <v>5.0</v>
      </c>
      <c r="B1888" s="1" t="s">
        <v>1878</v>
      </c>
      <c r="C1888" t="str">
        <f>IFERROR(__xludf.DUMMYFUNCTION("GOOGLETRANSLATE(B1888, ""fr"", ""en"")"),"Beau Beau sweatshirt hoodie, good quality, good size, great color choices. I recommend this article.")</f>
        <v>Beau Beau sweatshirt hoodie, good quality, good size, great color choices. I recommend this article.</v>
      </c>
    </row>
    <row r="1889">
      <c r="A1889" s="1">
        <v>5.0</v>
      </c>
      <c r="B1889" s="1" t="s">
        <v>1879</v>
      </c>
      <c r="C1889" t="str">
        <f>IFERROR(__xludf.DUMMYFUNCTION("GOOGLETRANSLATE(B1889, ""fr"", ""en"")"),"Very good product Product identical to photos, very fast delivery. Very good buy, I recommend.")</f>
        <v>Very good product Product identical to photos, very fast delivery. Very good buy, I recommend.</v>
      </c>
    </row>
    <row r="1890">
      <c r="A1890" s="1">
        <v>2.0</v>
      </c>
      <c r="B1890" s="1" t="s">
        <v>1880</v>
      </c>
      <c r="C1890" t="str">
        <f>IFERROR(__xludf.DUMMYFUNCTION("GOOGLETRANSLATE(B1890, ""fr"", ""en"")"),"declining quality back two weeks trekking. Insoles much less efficient than my old pattern: Too thin and zero adhesion on surfaces (stone) humides.Également, I have never had wet feet with previous ... then yes. I'm disappointed with my purchase. The race"&amp;" to the weight at a price!")</f>
        <v>declining quality back two weeks trekking. Insoles much less efficient than my old pattern: Too thin and zero adhesion on surfaces (stone) humides.Également, I have never had wet feet with previous ... then yes. I'm disappointed with my purchase. The race to the weight at a price!</v>
      </c>
    </row>
    <row r="1891">
      <c r="A1891" s="1">
        <v>1.0</v>
      </c>
      <c r="B1891" s="1" t="s">
        <v>1881</v>
      </c>
      <c r="C1891" t="str">
        <f>IFERROR(__xludf.DUMMYFUNCTION("GOOGLETRANSLATE(B1891, ""fr"", ""en"")"),"Stay away order ever received Certainly loops cheap Not even taken steps to complaint but should be avoided heavily")</f>
        <v>Stay away order ever received Certainly loops cheap Not even taken steps to complaint but should be avoided heavily</v>
      </c>
    </row>
    <row r="1892">
      <c r="A1892" s="1">
        <v>1.0</v>
      </c>
      <c r="B1892" s="1" t="s">
        <v>1882</v>
      </c>
      <c r="C1892" t="str">
        <f>IFERROR(__xludf.DUMMYFUNCTION("GOOGLETRANSLATE(B1892, ""fr"", ""en"")"),"Quality mediocre Very disappointed with the quality of pairs of socks. N They have not dress. My son bought for 35-38, they go to my friend 43-46")</f>
        <v>Quality mediocre Very disappointed with the quality of pairs of socks. N They have not dress. My son bought for 35-38, they go to my friend 43-46</v>
      </c>
    </row>
    <row r="1893">
      <c r="A1893" s="1">
        <v>3.0</v>
      </c>
      <c r="B1893" s="1" t="s">
        <v>1883</v>
      </c>
      <c r="C1893" t="str">
        <f>IFERROR(__xludf.DUMMYFUNCTION("GOOGLETRANSLATE(B1893, ""fr"", ""en"")"),"Good product but ... Large bottles of other brands (remond for example) do not fit into the sterilizer. The base rust quickly. Fortunately sterilization is fast.")</f>
        <v>Good product but ... Large bottles of other brands (remond for example) do not fit into the sterilizer. The base rust quickly. Fortunately sterilization is fast.</v>
      </c>
    </row>
    <row r="1894">
      <c r="A1894" s="1">
        <v>4.0</v>
      </c>
      <c r="B1894" s="1" t="s">
        <v>1884</v>
      </c>
      <c r="C1894" t="str">
        <f>IFERROR(__xludf.DUMMYFUNCTION("GOOGLETRANSLATE(B1894, ""fr"", ""en"")"),"Compare this choice I had a helmet of the same brand bought it 2 years ago, but he found himself crushed between two suitcases in a bag .. So I bought the new model of the brand. From a sound quality point of view, I am a bit puzzled. He frankly lack bass"&amp;", and when switches the mode ""noise reduction"", the sound is amplified (we find ourselves in a comfort bubble), but the bass disappear .. Certainly we can compensate by changing the settings on the smartphone, but if I happen to find the right setting f"&amp;"or music, it does not match the next musical ... well eventually we made it. I compared with a Bose 350 €, and given the price difference, I'm not disappointed .I absolujment even feel that the S7, at that price - 100 € with a 25 € is present. Regarding a"&amp;"utonomy, it's perfect. Paris-San Francisco, 12 flight hours without any problem, Bluetooth. This is ideal for the plane, because the Noise Reduction mode eliminates REALLY engine noise, but it is possible to hear the hostess to ask if you want ""Chicken /"&amp;" Rice"" or ""Beef / Carrots"" .. . I also tested the integrated microphone for handsfree calls ... it is ... no need cable. I recommend.")</f>
        <v>Compare this choice I had a helmet of the same brand bought it 2 years ago, but he found himself crushed between two suitcases in a bag .. So I bought the new model of the brand. From a sound quality point of view, I am a bit puzzled. He frankly lack bass, and when switches the mode "noise reduction", the sound is amplified (we find ourselves in a comfort bubble), but the bass disappear .. Certainly we can compensate by changing the settings on the smartphone, but if I happen to find the right setting for music, it does not match the next musical ... well eventually we made it. I compared with a Bose 350 €, and given the price difference, I'm not disappointed .I absolujment even feel that the S7, at that price - 100 € with a 25 € is present. Regarding autonomy, it's perfect. Paris-San Francisco, 12 flight hours without any problem, Bluetooth. This is ideal for the plane, because the Noise Reduction mode eliminates REALLY engine noise, but it is possible to hear the hostess to ask if you want "Chicken / Rice" or "Beef / Carrots" .. . I also tested the integrated microphone for handsfree calls ... it is ... no need cable. I recommend.</v>
      </c>
    </row>
    <row r="1895">
      <c r="A1895" s="1">
        <v>4.0</v>
      </c>
      <c r="B1895" s="1" t="s">
        <v>1885</v>
      </c>
      <c r="C1895" t="str">
        <f>IFERROR(__xludf.DUMMYFUNCTION("GOOGLETRANSLATE(B1895, ""fr"", ""en"")"),"One good product defect, it stops by itself after a few seconds. We must act quickly for off weighing system for handling the balance off. Otherwise very satisfactory and precise.")</f>
        <v>One good product defect, it stops by itself after a few seconds. We must act quickly for off weighing system for handling the balance off. Otherwise very satisfactory and precise.</v>
      </c>
    </row>
    <row r="1896">
      <c r="A1896" s="1">
        <v>4.0</v>
      </c>
      <c r="B1896" s="1" t="s">
        <v>1886</v>
      </c>
      <c r="C1896" t="str">
        <f>IFERROR(__xludf.DUMMYFUNCTION("GOOGLETRANSLATE(B1896, ""fr"", ""en"")"),"Product line with my expectations. The watch is easy to use and is very convenient to use. The beeper is however a little weak and it will light sleepers to wake up with the alarm. It only remains to test the seal.")</f>
        <v>Product line with my expectations. The watch is easy to use and is very convenient to use. The beeper is however a little weak and it will light sleepers to wake up with the alarm. It only remains to test the seal.</v>
      </c>
    </row>
    <row r="1897">
      <c r="A1897" s="1">
        <v>4.0</v>
      </c>
      <c r="B1897" s="1" t="s">
        <v>1887</v>
      </c>
      <c r="C1897" t="str">
        <f>IFERROR(__xludf.DUMMYFUNCTION("GOOGLETRANSLATE(B1897, ""fr"", ""en"")"),"To the DJ! Great gift for one or a teenager. Great gift for those who like to experiment in music and toy want to DJ at a party. For those who share the apartment or house, maybe it will be a little more difficult to bear. Installs via a USB port on the l"&amp;"aptop and there, the music sounds. It's time auditory experiments. There are all the necessary functions for a DJ. For the holidays, it's a nice tool.")</f>
        <v>To the DJ! Great gift for one or a teenager. Great gift for those who like to experiment in music and toy want to DJ at a party. For those who share the apartment or house, maybe it will be a little more difficult to bear. Installs via a USB port on the laptop and there, the music sounds. It's time auditory experiments. There are all the necessary functions for a DJ. For the holidays, it's a nice tool.</v>
      </c>
    </row>
    <row r="1898">
      <c r="A1898" s="1">
        <v>5.0</v>
      </c>
      <c r="B1898" s="1" t="s">
        <v>1888</v>
      </c>
      <c r="C1898" t="str">
        <f>IFERROR(__xludf.DUMMYFUNCTION("GOOGLETRANSLATE(B1898, ""fr"", ""en"")"),"Perfect Perfect size")</f>
        <v>Perfect Perfect size</v>
      </c>
    </row>
    <row r="1899">
      <c r="A1899" s="1">
        <v>5.0</v>
      </c>
      <c r="B1899" s="1" t="s">
        <v>1889</v>
      </c>
      <c r="C1899" t="str">
        <f>IFERROR(__xludf.DUMMYFUNCTION("GOOGLETRANSLATE(B1899, ""fr"", ""en"")"),"Although I recommend")</f>
        <v>Although I recommend</v>
      </c>
    </row>
    <row r="1900">
      <c r="A1900" s="1">
        <v>5.0</v>
      </c>
      <c r="B1900" s="1" t="s">
        <v>1890</v>
      </c>
      <c r="C1900" t="str">
        <f>IFERROR(__xludf.DUMMYFUNCTION("GOOGLETRANSLATE(B1900, ""fr"", ""en"")"),"Size a little big Very good shoe sole with reliefs which hugs the hollow of the feet, waist a little big so take out your size 1/2 see below.")</f>
        <v>Size a little big Very good shoe sole with reliefs which hugs the hollow of the feet, waist a little big so take out your size 1/2 see below.</v>
      </c>
    </row>
    <row r="1901">
      <c r="A1901" s="1">
        <v>5.0</v>
      </c>
      <c r="B1901" s="1" t="s">
        <v>1891</v>
      </c>
      <c r="C1901" t="str">
        <f>IFERROR(__xludf.DUMMYFUNCTION("GOOGLETRANSLATE(B1901, ""fr"", ""en"")"),"Slippers comfortable and pleasant to wear and good size.")</f>
        <v>Slippers comfortable and pleasant to wear and good size.</v>
      </c>
    </row>
    <row r="1902">
      <c r="A1902" s="1">
        <v>5.0</v>
      </c>
      <c r="B1902" s="1" t="s">
        <v>1892</v>
      </c>
      <c r="C1902" t="str">
        <f>IFERROR(__xludf.DUMMYFUNCTION("GOOGLETRANSLATE(B1902, ""fr"", ""en"")"),"Fast delivery Perfect")</f>
        <v>Fast delivery Perfect</v>
      </c>
    </row>
    <row r="1903">
      <c r="A1903" s="1">
        <v>5.0</v>
      </c>
      <c r="B1903" s="1" t="s">
        <v>1893</v>
      </c>
      <c r="C1903" t="str">
        <f>IFERROR(__xludf.DUMMYFUNCTION("GOOGLETRANSLATE(B1903, ""fr"", ""en"")"),"GENIALES !!! They are really lovely and very good quality! She really make their effect ""little aquarium"". By buying I wondered if it was really water with a small plastic fish but it's hard resin. I received them very quickly too! For the price I recom"&amp;"mend !! (If you comment more, click on ""useful"" Thank you :))")</f>
        <v>GENIALES !!! They are really lovely and very good quality! She really make their effect "little aquarium". By buying I wondered if it was really water with a small plastic fish but it's hard resin. I received them very quickly too! For the price I recommend !! (If you comment more, click on "useful" Thank you :))</v>
      </c>
    </row>
    <row r="1904">
      <c r="A1904" s="1">
        <v>5.0</v>
      </c>
      <c r="B1904" s="1" t="s">
        <v>1894</v>
      </c>
      <c r="C1904" t="str">
        <f>IFERROR(__xludf.DUMMYFUNCTION("GOOGLETRANSLATE(B1904, ""fr"", ""en"")"),"Hard to beat ! We greatly appreciate this range because the felts do not dry out, the mine is resistant to pressure and falls, the colors are bright, and especially ink easily share with possibly soapy water (skin tissue ...) It are several forms of felt "&amp;"and mines. Here the 2 packs of 18 felt the ship medium mines and relatively fine pens. For preschool children, prefer the thicker felt that their little hands can grab them and especially keep them more easily. In late kindergarten or early elementary (th"&amp;"is will also be true for more!) These felts perfectly meet the exigeances and are therefore quite recommendable without limitation.")</f>
        <v>Hard to beat ! We greatly appreciate this range because the felts do not dry out, the mine is resistant to pressure and falls, the colors are bright, and especially ink easily share with possibly soapy water (skin tissue ...) It are several forms of felt and mines. Here the 2 packs of 18 felt the ship medium mines and relatively fine pens. For preschool children, prefer the thicker felt that their little hands can grab them and especially keep them more easily. In late kindergarten or early elementary (this will also be true for more!) These felts perfectly meet the exigeances and are therefore quite recommendable without limitation.</v>
      </c>
    </row>
    <row r="1905">
      <c r="A1905" s="1">
        <v>5.0</v>
      </c>
      <c r="B1905" s="1" t="s">
        <v>1895</v>
      </c>
      <c r="C1905" t="str">
        <f>IFERROR(__xludf.DUMMYFUNCTION("GOOGLETRANSLATE(B1905, ""fr"", ""en"")"),"bought 2 pack because I know it's good I had already purchased ... good good quality pens and strong enough for even writing me I find it very good and well received 10 pieces of bags; I am satisfied and I will advice")</f>
        <v>bought 2 pack because I know it's good I had already purchased ... good good quality pens and strong enough for even writing me I find it very good and well received 10 pieces of bags; I am satisfied and I will advice</v>
      </c>
    </row>
    <row r="1906">
      <c r="A1906" s="1">
        <v>5.0</v>
      </c>
      <c r="B1906" s="1" t="s">
        <v>1896</v>
      </c>
      <c r="C1906" t="str">
        <f>IFERROR(__xludf.DUMMYFUNCTION("GOOGLETRANSLATE(B1906, ""fr"", ""en"")"),"Muscle Boom I am very pleased to boom very fast delivery")</f>
        <v>Muscle Boom I am very pleased to boom very fast delivery</v>
      </c>
    </row>
    <row r="1907">
      <c r="A1907" s="1">
        <v>5.0</v>
      </c>
      <c r="B1907" s="1" t="s">
        <v>1897</v>
      </c>
      <c r="C1907" t="str">
        <f>IFERROR(__xludf.DUMMYFUNCTION("GOOGLETRANSLATE(B1907, ""fr"", ""en"")"),"Dinosaur Box Set I bought to give for Christmas for my nephew fan of Dinosaur, I do not know what it actually contains, but the cabinet and lovely to outside.")</f>
        <v>Dinosaur Box Set I bought to give for Christmas for my nephew fan of Dinosaur, I do not know what it actually contains, but the cabinet and lovely to outside.</v>
      </c>
    </row>
    <row r="1908">
      <c r="A1908" s="1">
        <v>5.0</v>
      </c>
      <c r="B1908" s="1" t="s">
        <v>1898</v>
      </c>
      <c r="C1908" t="str">
        <f>IFERROR(__xludf.DUMMYFUNCTION("GOOGLETRANSLATE(B1908, ""fr"", ""en"")"),"Super great practice. Hygienic. Can be separated, compared to other models.")</f>
        <v>Super great practice. Hygienic. Can be separated, compared to other models.</v>
      </c>
    </row>
    <row r="1909">
      <c r="A1909" s="1">
        <v>5.0</v>
      </c>
      <c r="B1909" s="1" t="s">
        <v>1899</v>
      </c>
      <c r="C1909" t="str">
        <f>IFERROR(__xludf.DUMMYFUNCTION("GOOGLETRANSLATE(B1909, ""fr"", ""en"")"),"A first for me! This is the first time I buy converse! I am 30 years old. Well I'm super satisfied! This crayon ""jeans"" goes with everything! Fortunately for against I went into a store, try a pair for me that puts the 39, I had to order ........ 38 !!!"&amp;"!!! I had a little trouble the first two days but the painting is done quickly to my feet. I am already planning to take me brown rising for next fall ;-)")</f>
        <v>A first for me! This is the first time I buy converse! I am 30 years old. Well I'm super satisfied! This crayon "jeans" goes with everything! Fortunately for against I went into a store, try a pair for me that puts the 39, I had to order ........ 38 !!!!!! I had a little trouble the first two days but the painting is done quickly to my feet. I am already planning to take me brown rising for next fall ;-)</v>
      </c>
    </row>
    <row r="1910">
      <c r="A1910" s="1">
        <v>5.0</v>
      </c>
      <c r="B1910" s="1" t="s">
        <v>1900</v>
      </c>
      <c r="C1910" t="str">
        <f>IFERROR(__xludf.DUMMYFUNCTION("GOOGLETRANSLATE(B1910, ""fr"", ""en"")"),"Fast, accurate, advanced I received this Christmas kettle (so I can not say where it was purchased). Originally, I had spoken of QD658A of the same brand, but the negative comments (smell and taste of plastic in water) made me hesitate ... And also my par"&amp;"ents who wanted to offer me and finally opted for this model. In short, the benefits of Serena - fast heating with temperature that appears as and (so we know where we are at any time of the heater). - Adjustable accurate temperature: 5 ° 5 ° 50 ° 100 ° +"&amp;" 3 preset temperatures. In short, you can do anything! - keeping warm 30 minutes ideal for anticipating (here we start the kettle tea and prepared everything before meals, water is perfect at the end and it remains only to pay!). - stop start button: If y"&amp;"ou throw water and finally it is longer needed, or if you want to stop keeping warm, for example, no need to lift the kettle from its base, just a button press . - no permanent LED light: besides the mess, some evoke eye hazard ... I do not know what it i"&amp;"s but when in doubt I prefer to avoid. The least (because you have to say something): - opening / closing cover: I had a kettle with handle top open button and I could well open and maintain the boiler with one hand. There must be two hands, it's a little"&amp;" less convenient. - location of the water level: below the handle and not on the sides, it is less convenient to see. These are the only flaws I currently it after a few days of use, and frankly anything that makes me regret another model seen the benefit"&amp;"s of this tea.")</f>
        <v>Fast, accurate, advanced I received this Christmas kettle (so I can not say where it was purchased). Originally, I had spoken of QD658A of the same brand, but the negative comments (smell and taste of plastic in water) made me hesitate ... And also my parents who wanted to offer me and finally opted for this model. In short, the benefits of Serena - fast heating with temperature that appears as and (so we know where we are at any time of the heater). - Adjustable accurate temperature: 5 ° 5 ° 50 ° 100 ° + 3 preset temperatures. In short, you can do anything! - keeping warm 30 minutes ideal for anticipating (here we start the kettle tea and prepared everything before meals, water is perfect at the end and it remains only to pay!). - stop start button: If you throw water and finally it is longer needed, or if you want to stop keeping warm, for example, no need to lift the kettle from its base, just a button press . - no permanent LED light: besides the mess, some evoke eye hazard ... I do not know what it is but when in doubt I prefer to avoid. The least (because you have to say something): - opening / closing cover: I had a kettle with handle top open button and I could well open and maintain the boiler with one hand. There must be two hands, it's a little less convenient. - location of the water level: below the handle and not on the sides, it is less convenient to see. These are the only flaws I currently it after a few days of use, and frankly anything that makes me regret another model seen the benefits of this tea.</v>
      </c>
    </row>
    <row r="1911">
      <c r="A1911" s="1">
        <v>5.0</v>
      </c>
      <c r="B1911" s="1" t="s">
        <v>1901</v>
      </c>
      <c r="C1911" t="str">
        <f>IFERROR(__xludf.DUMMYFUNCTION("GOOGLETRANSLATE(B1911, ""fr"", ""en"")"),"impressive value for money • Fast delivery and packaging nickel • RAS product consistent with the description • My daughter no longer colic through its bottles and teats • Long service life I would definitely recommend")</f>
        <v>impressive value for money • Fast delivery and packaging nickel • RAS product consistent with the description • My daughter no longer colic through its bottles and teats • Long service life I would definitely recommend</v>
      </c>
    </row>
    <row r="1912">
      <c r="A1912" s="1">
        <v>5.0</v>
      </c>
      <c r="B1912" s="1" t="s">
        <v>1902</v>
      </c>
      <c r="C1912" t="str">
        <f>IFERROR(__xludf.DUMMYFUNCTION("GOOGLETRANSLATE(B1912, ""fr"", ""en"")"),"Good gift idea Bought for a Christmas gift. Very nice presentation in a nice box.")</f>
        <v>Good gift idea Bought for a Christmas gift. Very nice presentation in a nice box.</v>
      </c>
    </row>
    <row r="1913">
      <c r="A1913" s="1">
        <v>2.0</v>
      </c>
      <c r="B1913" s="1" t="s">
        <v>1903</v>
      </c>
      <c r="C1913" t="str">
        <f>IFERROR(__xludf.DUMMYFUNCTION("GOOGLETRANSLATE(B1913, ""fr"", ""en"")"),"7 months later used with a raspberry pi + 3B default power no longer delivers sufficient amperage")</f>
        <v>7 months later used with a raspberry pi + 3B default power no longer delivers sufficient amperage</v>
      </c>
    </row>
    <row r="1914">
      <c r="A1914" s="1">
        <v>1.0</v>
      </c>
      <c r="B1914" s="1" t="s">
        <v>1904</v>
      </c>
      <c r="C1914" t="str">
        <f>IFERROR(__xludf.DUMMYFUNCTION("GOOGLETRANSLATE(B1914, ""fr"", ""en"")"),"too small pocket computer My computer 15.6 ""does not fit into the pocket (missing 4cm high).")</f>
        <v>too small pocket computer My computer 15.6 "does not fit into the pocket (missing 4cm high).</v>
      </c>
    </row>
    <row r="1915">
      <c r="A1915" s="1">
        <v>3.0</v>
      </c>
      <c r="B1915" s="1" t="s">
        <v>1905</v>
      </c>
      <c r="C1915" t="str">
        <f>IFERROR(__xludf.DUMMYFUNCTION("GOOGLETRANSLATE(B1915, ""fr"", ""en"")"),"Shoe comfortable but really great hot, if you please take the size down. Warm, comfortable, my father is slippery (of 1 carpet coating type)")</f>
        <v>Shoe comfortable but really great hot, if you please take the size down. Warm, comfortable, my father is slippery (of 1 carpet coating type)</v>
      </c>
    </row>
    <row r="1916">
      <c r="A1916" s="1">
        <v>3.0</v>
      </c>
      <c r="B1916" s="1" t="s">
        <v>1906</v>
      </c>
      <c r="C1916" t="str">
        <f>IFERROR(__xludf.DUMMYFUNCTION("GOOGLETRANSLATE(B1916, ""fr"", ""en"")"),"Not bad, but ... The sound, Bluetooth connectivity, autonomy, not bad. No problem to get away from &amp; gt; 10m from the computer or the telephone, the Bluetooth connection keeps running. By cons, disappointed by the noise canceling mode, you always hear peo"&amp;"ple talking and it takes up the volume of what we listen to. The microphone is sensitive, but too sensitive for Skype conversations; The microphone picks up the voice of people to 2-3 meters, and if they are in the same Skype chat does it work very well. "&amp;"And microphone works only via Bluetooth; the wired audio connection only for listening to music. On this model, the USB connection only serves to recharge the battery, unlike other Sennheiser PX550 or like Momentum M2 Wireless that act as headphones / hea"&amp;"dset USB.")</f>
        <v>Not bad, but ... The sound, Bluetooth connectivity, autonomy, not bad. No problem to get away from &amp; gt; 10m from the computer or the telephone, the Bluetooth connection keeps running. By cons, disappointed by the noise canceling mode, you always hear people talking and it takes up the volume of what we listen to. The microphone is sensitive, but too sensitive for Skype conversations; The microphone picks up the voice of people to 2-3 meters, and if they are in the same Skype chat does it work very well. And microphone works only via Bluetooth; the wired audio connection only for listening to music. On this model, the USB connection only serves to recharge the battery, unlike other Sennheiser PX550 or like Momentum M2 Wireless that act as headphones / headset USB.</v>
      </c>
    </row>
    <row r="1917">
      <c r="A1917" s="1">
        <v>4.0</v>
      </c>
      <c r="B1917" s="1" t="s">
        <v>1907</v>
      </c>
      <c r="C1917" t="str">
        <f>IFERROR(__xludf.DUMMYFUNCTION("GOOGLETRANSLATE(B1917, ""fr"", ""en"")"),"Good product Product consistent with the description, very comfortable.")</f>
        <v>Good product Product consistent with the description, very comfortable.</v>
      </c>
    </row>
    <row r="1918">
      <c r="A1918" s="1">
        <v>4.0</v>
      </c>
      <c r="B1918" s="1" t="s">
        <v>1908</v>
      </c>
      <c r="C1918" t="str">
        <f>IFERROR(__xludf.DUMMYFUNCTION("GOOGLETRANSLATE(B1918, ""fr"", ""en"")"),"attention to half size corresponds exactly to the description but be careful, I'm doing 37 1/2 and 38 is still very large and 37 really too small ... (normally I find my happiness despite my odd feet).")</f>
        <v>attention to half size corresponds exactly to the description but be careful, I'm doing 37 1/2 and 38 is still very large and 37 really too small ... (normally I find my happiness despite my odd feet).</v>
      </c>
    </row>
    <row r="1919">
      <c r="A1919" s="1">
        <v>4.0</v>
      </c>
      <c r="B1919" s="1" t="s">
        <v>1909</v>
      </c>
      <c r="C1919" t="str">
        <f>IFERROR(__xludf.DUMMYFUNCTION("GOOGLETRANSLATE(B1919, ""fr"", ""en"")"),"Reception fast but lower quality ink seems less quality than original cartridges. Yellow outweighs my impressions. Can I still have a message stating that I do not use the official cartridges. However, fast receipt and price. Update: great customer servic"&amp;"e and follow-up. Do not hesitate to order to get a good price for printing ""house""")</f>
        <v>Reception fast but lower quality ink seems less quality than original cartridges. Yellow outweighs my impressions. Can I still have a message stating that I do not use the official cartridges. However, fast receipt and price. Update: great customer service and follow-up. Do not hesitate to order to get a good price for printing "house"</v>
      </c>
    </row>
    <row r="1920">
      <c r="A1920" s="1">
        <v>4.0</v>
      </c>
      <c r="B1920" s="1" t="s">
        <v>1910</v>
      </c>
      <c r="C1920" t="str">
        <f>IFERROR(__xludf.DUMMYFUNCTION("GOOGLETRANSLATE(B1920, ""fr"", ""en"")"),"Although Fits clipper.une flint is a flint suitable for Zippo probably ..")</f>
        <v>Although Fits clipper.une flint is a flint suitable for Zippo probably ..</v>
      </c>
    </row>
    <row r="1921">
      <c r="A1921" s="1">
        <v>5.0</v>
      </c>
      <c r="B1921" s="1" t="s">
        <v>1911</v>
      </c>
      <c r="C1921" t="str">
        <f>IFERROR(__xludf.DUMMYFUNCTION("GOOGLETRANSLATE(B1921, ""fr"", ""en"")"),"Adapted to cold They spent the winter at my feet in the Canadian north and all is well !! I recommend this brand")</f>
        <v>Adapted to cold They spent the winter at my feet in the Canadian north and all is well !! I recommend this brand</v>
      </c>
    </row>
    <row r="1922">
      <c r="A1922" s="1">
        <v>5.0</v>
      </c>
      <c r="B1922" s="1" t="s">
        <v>1912</v>
      </c>
      <c r="C1922" t="str">
        <f>IFERROR(__xludf.DUMMYFUNCTION("GOOGLETRANSLATE(B1922, ""fr"", ""en"")"),"Top Super range of bottle used dice the 2nd month for water, anti colic and nice design. Friendly silicone teat")</f>
        <v>Top Super range of bottle used dice the 2nd month for water, anti colic and nice design. Friendly silicone teat</v>
      </c>
    </row>
    <row r="1923">
      <c r="A1923" s="1">
        <v>5.0</v>
      </c>
      <c r="B1923" s="1" t="s">
        <v>1913</v>
      </c>
      <c r="C1923" t="str">
        <f>IFERROR(__xludf.DUMMYFUNCTION("GOOGLETRANSLATE(B1923, ""fr"", ""en"")"),"impeccable effective all what I expected. small practice")</f>
        <v>impeccable effective all what I expected. small practice</v>
      </c>
    </row>
    <row r="1924">
      <c r="A1924" s="1">
        <v>5.0</v>
      </c>
      <c r="B1924" s="1" t="s">
        <v>1914</v>
      </c>
      <c r="C1924" t="str">
        <f>IFERROR(__xludf.DUMMYFUNCTION("GOOGLETRANSLATE(B1924, ""fr"", ""en"")"),"HAPPY I was looking for this model for a long time and after a look on amazon I found my happiness! Very good quality / price, I am fully satisfied with my ICE WATCH!")</f>
        <v>HAPPY I was looking for this model for a long time and after a look on amazon I found my happiness! Very good quality / price, I am fully satisfied with my ICE WATCH!</v>
      </c>
    </row>
    <row r="1925">
      <c r="A1925" s="1">
        <v>5.0</v>
      </c>
      <c r="B1925" s="1" t="s">
        <v>1915</v>
      </c>
      <c r="C1925" t="str">
        <f>IFERROR(__xludf.DUMMYFUNCTION("GOOGLETRANSLATE(B1925, ""fr"", ""en"")"),"Solid / Practice / Capacity Just Perfect box After 3 trials, this one is the best. Unscrewing system is really solid and not buckle eventually like dodies. The capacity is top: 7 + 4 spoon cereal !! The same use, nothing to say negative! And I hesitate be"&amp;"cause the price was low ... no regrets !!!!")</f>
        <v>Solid / Practice / Capacity Just Perfect box After 3 trials, this one is the best. Unscrewing system is really solid and not buckle eventually like dodies. The capacity is top: 7 + 4 spoon cereal !! The same use, nothing to say negative! And I hesitate because the price was low ... no regrets !!!!</v>
      </c>
    </row>
    <row r="1926">
      <c r="A1926" s="1">
        <v>5.0</v>
      </c>
      <c r="B1926" s="1" t="s">
        <v>1916</v>
      </c>
      <c r="C1926" t="str">
        <f>IFERROR(__xludf.DUMMYFUNCTION("GOOGLETRANSLATE(B1926, ""fr"", ""en"")"),"Ok compliant Product")</f>
        <v>Ok compliant Product</v>
      </c>
    </row>
    <row r="1927">
      <c r="A1927" s="1">
        <v>5.0</v>
      </c>
      <c r="B1927" s="1" t="s">
        <v>1687</v>
      </c>
      <c r="C1927" t="str">
        <f>IFERROR(__xludf.DUMMYFUNCTION("GOOGLETRANSLATE(B1927, ""fr"", ""en"")"),"Super Super")</f>
        <v>Super Super</v>
      </c>
    </row>
    <row r="1928">
      <c r="A1928" s="1">
        <v>5.0</v>
      </c>
      <c r="B1928" s="1" t="s">
        <v>1917</v>
      </c>
      <c r="C1928" t="str">
        <f>IFERROR(__xludf.DUMMYFUNCTION("GOOGLETRANSLATE(B1928, ""fr"", ""en"")"),"vintage watch casio watch more than bronze rose gold. But I love it. The CASIO quality is at the appointment. The bracelet is painted steel and so far no scratches. so it looks solid :-)")</f>
        <v>vintage watch casio watch more than bronze rose gold. But I love it. The CASIO quality is at the appointment. The bracelet is painted steel and so far no scratches. so it looks solid :-)</v>
      </c>
    </row>
    <row r="1929">
      <c r="A1929" s="1">
        <v>5.0</v>
      </c>
      <c r="B1929" s="1" t="s">
        <v>1918</v>
      </c>
      <c r="C1929" t="str">
        <f>IFERROR(__xludf.DUMMYFUNCTION("GOOGLETRANSLATE(B1929, ""fr"", ""en"")"),"All functional cartridge made functional on my HP printer cartridge that perfectly meets my occasional printing needs. Easy installation and quality printing.")</f>
        <v>All functional cartridge made functional on my HP printer cartridge that perfectly meets my occasional printing needs. Easy installation and quality printing.</v>
      </c>
    </row>
    <row r="1930">
      <c r="A1930" s="1">
        <v>5.0</v>
      </c>
      <c r="B1930" s="1" t="s">
        <v>1919</v>
      </c>
      <c r="C1930" t="str">
        <f>IFERROR(__xludf.DUMMYFUNCTION("GOOGLETRANSLATE(B1930, ""fr"", ""en"")"),"Coffee for large families. Coffee which I know the brand and quality that its greater capacity offers me a coffee as my tastes and desires. Just one thing, provide filters No. 5 or 6 for my part I took the number 6 for not having a pool overflow in my mor"&amp;"ning coffee. I definitely recommend this product ...")</f>
        <v>Coffee for large families. Coffee which I know the brand and quality that its greater capacity offers me a coffee as my tastes and desires. Just one thing, provide filters No. 5 or 6 for my part I took the number 6 for not having a pool overflow in my morning coffee. I definitely recommend this product ...</v>
      </c>
    </row>
    <row r="1931">
      <c r="A1931" s="1">
        <v>5.0</v>
      </c>
      <c r="B1931" s="1" t="s">
        <v>1920</v>
      </c>
      <c r="C1931" t="str">
        <f>IFERROR(__xludf.DUMMYFUNCTION("GOOGLETRANSLATE(B1931, ""fr"", ""en"")"),"Beautiful shoes Good value, my daughter love it, fast delivery and well packed")</f>
        <v>Beautiful shoes Good value, my daughter love it, fast delivery and well packed</v>
      </c>
    </row>
    <row r="1932">
      <c r="A1932" s="1">
        <v>5.0</v>
      </c>
      <c r="B1932" s="1" t="s">
        <v>1921</v>
      </c>
      <c r="C1932" t="str">
        <f>IFERROR(__xludf.DUMMYFUNCTION("GOOGLETRANSLATE(B1932, ""fr"", ""en"")"),"Size S Having small breasts (80 A) I took the size s, I thought his was going to go myself too but ultimately it is right Poile my size. Aesthetic level they are very pretty. And money mean anything")</f>
        <v>Size S Having small breasts (80 A) I took the size s, I thought his was going to go myself too but ultimately it is right Poile my size. Aesthetic level they are very pretty. And money mean anything</v>
      </c>
    </row>
    <row r="1933">
      <c r="A1933" s="1">
        <v>5.0</v>
      </c>
      <c r="B1933" s="1" t="s">
        <v>1922</v>
      </c>
      <c r="C1933" t="str">
        <f>IFERROR(__xludf.DUMMYFUNCTION("GOOGLETRANSLATE(B1933, ""fr"", ""en"")"),"VERY GOOD SOUND Phone sony headphones sony ... both are perfect")</f>
        <v>VERY GOOD SOUND Phone sony headphones sony ... both are perfect</v>
      </c>
    </row>
    <row r="1934">
      <c r="A1934" s="1">
        <v>5.0</v>
      </c>
      <c r="B1934" s="1" t="s">
        <v>1687</v>
      </c>
      <c r="C1934" t="str">
        <f>IFERROR(__xludf.DUMMYFUNCTION("GOOGLETRANSLATE(B1934, ""fr"", ""en"")"),"Super Super")</f>
        <v>Super Super</v>
      </c>
    </row>
    <row r="1935">
      <c r="A1935" s="1">
        <v>5.0</v>
      </c>
      <c r="B1935" s="1" t="s">
        <v>1923</v>
      </c>
      <c r="C1935" t="str">
        <f>IFERROR(__xludf.DUMMYFUNCTION("GOOGLETRANSLATE(B1935, ""fr"", ""en"")"),"Practical pack and solid bag with multiple pockets handy for walking and have his papers on oneself. Solid and seems impervious to see the use ...")</f>
        <v>Practical pack and solid bag with multiple pockets handy for walking and have his papers on oneself. Solid and seems impervious to see the use ...</v>
      </c>
    </row>
    <row r="1936">
      <c r="A1936" s="1">
        <v>2.0</v>
      </c>
      <c r="B1936" s="1" t="s">
        <v>1924</v>
      </c>
      <c r="C1936" t="str">
        <f>IFERROR(__xludf.DUMMYFUNCTION("GOOGLETRANSLATE(B1936, ""fr"", ""en"")"),"unworthy FM Radio reception I chose this model for embedded FM radio function, but the reception is not sufficient to make the product usable. Only spitting are net regardless of the selected frequency. ... I refer.")</f>
        <v>unworthy FM Radio reception I chose this model for embedded FM radio function, but the reception is not sufficient to make the product usable. Only spitting are net regardless of the selected frequency. ... I refer.</v>
      </c>
    </row>
    <row r="1937">
      <c r="A1937" s="1">
        <v>1.0</v>
      </c>
      <c r="B1937" s="1" t="s">
        <v>1925</v>
      </c>
      <c r="C1937" t="str">
        <f>IFERROR(__xludf.DUMMYFUNCTION("GOOGLETRANSLATE(B1937, ""fr"", ""en"")"),"Stop selling wind. The product has nothing to do with selling pictures. Big scam! Guys its just to avoid this. I had to wait months to receive a presqu'1 flocking logo on the back and sleeves. The fabric looks like plastic. Do not be fooled it's fake 100%")</f>
        <v>Stop selling wind. The product has nothing to do with selling pictures. Big scam! Guys its just to avoid this. I had to wait months to receive a presqu'1 flocking logo on the back and sleeves. The fabric looks like plastic. Do not be fooled it's fake 100%</v>
      </c>
    </row>
    <row r="1938">
      <c r="A1938" s="1">
        <v>1.0</v>
      </c>
      <c r="B1938" s="1" t="s">
        <v>1926</v>
      </c>
      <c r="C1938" t="str">
        <f>IFERROR(__xludf.DUMMYFUNCTION("GOOGLETRANSLATE(B1938, ""fr"", ""en"")"),"Basketball Semelle.dessous that this en.moins fent 3 weeks disappointing because I'm there bien.dedans")</f>
        <v>Basketball Semelle.dessous that this en.moins fent 3 weeks disappointing because I'm there bien.dedans</v>
      </c>
    </row>
    <row r="1939">
      <c r="A1939" s="1">
        <v>3.0</v>
      </c>
      <c r="B1939" s="1" t="s">
        <v>1927</v>
      </c>
      <c r="C1939" t="str">
        <f>IFERROR(__xludf.DUMMYFUNCTION("GOOGLETRANSLATE(B1939, ""fr"", ""en"")"),"Between 3 and 4 stars Received yesterday ... This is my impression of this helmet: Cons: - disappointed bass headphone, too acute in my taste - a bit pricey for a sound quality like that of Sennheiser accustomed to better gaming headset - sort of whistle,"&amp;" ball slamming at times early sponsorship with such - beug at times with blueetown pc on film Goodies: - helmet that looks solid - high enough volume - anti noise helmet, practice in public transport etc. - lege, holds well on the head")</f>
        <v>Between 3 and 4 stars Received yesterday ... This is my impression of this helmet: Cons: - disappointed bass headphone, too acute in my taste - a bit pricey for a sound quality like that of Sennheiser accustomed to better gaming headset - sort of whistle, ball slamming at times early sponsorship with such - beug at times with blueetown pc on film Goodies: - helmet that looks solid - high enough volume - anti noise helmet, practice in public transport etc. - lege, holds well on the head</v>
      </c>
    </row>
    <row r="1940">
      <c r="A1940" s="1">
        <v>3.0</v>
      </c>
      <c r="B1940" s="1" t="s">
        <v>1928</v>
      </c>
      <c r="C1940" t="str">
        <f>IFERROR(__xludf.DUMMYFUNCTION("GOOGLETRANSLATE(B1940, ""fr"", ""en"")"),"Nice pair may marry many outfits. This pair of white shoes make you stand out of the lot and Stan Smith Adidas superstar. The shoe is simple and well proportioned. They are very comfortable. Beware however quite fragile leather. The sole is also very frag"&amp;"ile and seam slowly, letting all the dirt and the air inside the shoe. Mixed record so.")</f>
        <v>Nice pair may marry many outfits. This pair of white shoes make you stand out of the lot and Stan Smith Adidas superstar. The shoe is simple and well proportioned. They are very comfortable. Beware however quite fragile leather. The sole is also very fragile and seam slowly, letting all the dirt and the air inside the shoe. Mixed record so.</v>
      </c>
    </row>
    <row r="1941">
      <c r="A1941" s="1">
        <v>4.0</v>
      </c>
      <c r="B1941" s="1" t="s">
        <v>1929</v>
      </c>
      <c r="C1941" t="str">
        <f>IFERROR(__xludf.DUMMYFUNCTION("GOOGLETRANSLATE(B1941, ""fr"", ""en"")"),"essential for geography Use throughout her education until college: to make a detailed and clean copy in this matter until master! The scarcity makes the price but the quality is the appointment")</f>
        <v>essential for geography Use throughout her education until college: to make a detailed and clean copy in this matter until master! The scarcity makes the price but the quality is the appointment</v>
      </c>
    </row>
    <row r="1942">
      <c r="A1942" s="1">
        <v>4.0</v>
      </c>
      <c r="B1942" s="1" t="s">
        <v>1930</v>
      </c>
      <c r="C1942" t="str">
        <f>IFERROR(__xludf.DUMMYFUNCTION("GOOGLETRANSLATE(B1942, ""fr"", ""en"")"),"product well")</f>
        <v>product well</v>
      </c>
    </row>
    <row r="1943">
      <c r="A1943" s="1">
        <v>4.0</v>
      </c>
      <c r="B1943" s="1" t="s">
        <v>1931</v>
      </c>
      <c r="C1943" t="str">
        <f>IFERROR(__xludf.DUMMYFUNCTION("GOOGLETRANSLATE(B1943, ""fr"", ""en"")"),"ok correct Value for money for the price I buy art")</f>
        <v>ok correct Value for money for the price I buy art</v>
      </c>
    </row>
    <row r="1944">
      <c r="A1944" s="1">
        <v>4.0</v>
      </c>
      <c r="B1944" s="1" t="s">
        <v>1932</v>
      </c>
      <c r="C1944" t="str">
        <f>IFERROR(__xludf.DUMMYFUNCTION("GOOGLETRANSLATE(B1944, ""fr"", ""en"")"),"My 16 year old daughter loves offered to my daughter, and adopted immediately. Too bad there's no gilding on the sides of the bracelet, but you really have the eye.")</f>
        <v>My 16 year old daughter loves offered to my daughter, and adopted immediately. Too bad there's no gilding on the sides of the bracelet, but you really have the eye.</v>
      </c>
    </row>
    <row r="1945">
      <c r="A1945" s="1">
        <v>5.0</v>
      </c>
      <c r="B1945" s="1" t="s">
        <v>1933</v>
      </c>
      <c r="C1945" t="str">
        <f>IFERROR(__xludf.DUMMYFUNCTION("GOOGLETRANSLATE(B1945, ""fr"", ""en"")"),"BO BO with style Very nice. They are fine.")</f>
        <v>BO BO with style Very nice. They are fine.</v>
      </c>
    </row>
    <row r="1946">
      <c r="A1946" s="1">
        <v>5.0</v>
      </c>
      <c r="B1946" s="1" t="s">
        <v>1934</v>
      </c>
      <c r="C1946" t="str">
        <f>IFERROR(__xludf.DUMMYFUNCTION("GOOGLETRANSLATE(B1946, ""fr"", ""en"")"),"Hooded Sweatshirt adidas beautiful quality nice price received in advance nikel")</f>
        <v>Hooded Sweatshirt adidas beautiful quality nice price received in advance nikel</v>
      </c>
    </row>
    <row r="1947">
      <c r="A1947" s="1">
        <v>5.0</v>
      </c>
      <c r="B1947" s="1" t="s">
        <v>1935</v>
      </c>
      <c r="C1947" t="str">
        <f>IFERROR(__xludf.DUMMYFUNCTION("GOOGLETRANSLATE(B1947, ""fr"", ""en"")"),"Canon - KP-108IN - Origin Inkjet Cartridge. No problem with this whole cartridge and paper for SELPHY CP810 Canon printer. I will order from another similar product.")</f>
        <v>Canon - KP-108IN - Origin Inkjet Cartridge. No problem with this whole cartridge and paper for SELPHY CP810 Canon printer. I will order from another similar product.</v>
      </c>
    </row>
    <row r="1948">
      <c r="A1948" s="1">
        <v>5.0</v>
      </c>
      <c r="B1948" s="1" t="s">
        <v>1936</v>
      </c>
      <c r="C1948" t="str">
        <f>IFERROR(__xludf.DUMMYFUNCTION("GOOGLETRANSLATE(B1948, ""fr"", ""en"")"),"Top Very fun, the sound is a more than surprising quality. Really good and very pretty. Kids love")</f>
        <v>Top Very fun, the sound is a more than surprising quality. Really good and very pretty. Kids love</v>
      </c>
    </row>
    <row r="1949">
      <c r="A1949" s="1">
        <v>5.0</v>
      </c>
      <c r="B1949" s="1" t="s">
        <v>1937</v>
      </c>
      <c r="C1949" t="str">
        <f>IFERROR(__xludf.DUMMYFUNCTION("GOOGLETRANSLATE(B1949, ""fr"", ""en"")"),"It works with all ages Good")</f>
        <v>It works with all ages Good</v>
      </c>
    </row>
    <row r="1950">
      <c r="A1950" s="1">
        <v>5.0</v>
      </c>
      <c r="B1950" s="1" t="s">
        <v>1938</v>
      </c>
      <c r="C1950" t="str">
        <f>IFERROR(__xludf.DUMMYFUNCTION("GOOGLETRANSLATE(B1950, ""fr"", ""en"")"),"Perfect for tucking his helmet The helmet is placed on it and is very stable. This is perfect, design and it avoids that it drags!")</f>
        <v>Perfect for tucking his helmet The helmet is placed on it and is very stable. This is perfect, design and it avoids that it drags!</v>
      </c>
    </row>
    <row r="1951">
      <c r="A1951" s="1">
        <v>5.0</v>
      </c>
      <c r="B1951" s="1" t="s">
        <v>1939</v>
      </c>
      <c r="C1951" t="str">
        <f>IFERROR(__xludf.DUMMYFUNCTION("GOOGLETRANSLATE(B1951, ""fr"", ""en"")"),"This good machine vacuum machine does its job by drawing air properly and effortlessly whether dry or wet food, for bread we can even do it manually empty and sealed, and even put under seal without empty. I'm very happy")</f>
        <v>This good machine vacuum machine does its job by drawing air properly and effortlessly whether dry or wet food, for bread we can even do it manually empty and sealed, and even put under seal without empty. I'm very happy</v>
      </c>
    </row>
    <row r="1952">
      <c r="A1952" s="1">
        <v>5.0</v>
      </c>
      <c r="B1952" s="1" t="s">
        <v>1940</v>
      </c>
      <c r="C1952" t="str">
        <f>IFERROR(__xludf.DUMMYFUNCTION("GOOGLETRANSLATE(B1952, ""fr"", ""en"")"),"Adept superb Polychromos faber castle and prismacolors, I am blown away by the quality of the pencils, they are bold, bright colors, no need to press for a nice effect, mix very subtle. Solid, frankly a very good surprise to recommend without hesitation.")</f>
        <v>Adept superb Polychromos faber castle and prismacolors, I am blown away by the quality of the pencils, they are bold, bright colors, no need to press for a nice effect, mix very subtle. Solid, frankly a very good surprise to recommend without hesitation.</v>
      </c>
    </row>
    <row r="1953">
      <c r="A1953" s="1">
        <v>5.0</v>
      </c>
      <c r="B1953" s="1" t="s">
        <v>1941</v>
      </c>
      <c r="C1953" t="str">
        <f>IFERROR(__xludf.DUMMYFUNCTION("GOOGLETRANSLATE(B1953, ""fr"", ""en"")"),"Perfect Product compliant, perfect for a baby 6 month old daughter loves it and lets not anxious at the idea that she chokes on a piece of fruit.")</f>
        <v>Perfect Product compliant, perfect for a baby 6 month old daughter loves it and lets not anxious at the idea that she chokes on a piece of fruit.</v>
      </c>
    </row>
    <row r="1954">
      <c r="A1954" s="1">
        <v>5.0</v>
      </c>
      <c r="B1954" s="1" t="s">
        <v>1942</v>
      </c>
      <c r="C1954" t="str">
        <f>IFERROR(__xludf.DUMMYFUNCTION("GOOGLETRANSLATE(B1954, ""fr"", ""en"")"),"Solomon Like all Solomon nickel sneakers. By cons I took the same size as usual and just a little damage")</f>
        <v>Solomon Like all Solomon nickel sneakers. By cons I took the same size as usual and just a little damage</v>
      </c>
    </row>
    <row r="1955">
      <c r="A1955" s="1">
        <v>5.0</v>
      </c>
      <c r="B1955" s="1" t="s">
        <v>1943</v>
      </c>
      <c r="C1955" t="str">
        <f>IFERROR(__xludf.DUMMYFUNCTION("GOOGLETRANSLATE(B1955, ""fr"", ""en"")"),"very cozy! bright winter! it's perfect to return to his warm bed! the advantage, it is the 2 remote controls! each rule as he wants! good quality..")</f>
        <v>very cozy! bright winter! it's perfect to return to his warm bed! the advantage, it is the 2 remote controls! each rule as he wants! good quality..</v>
      </c>
    </row>
    <row r="1956">
      <c r="A1956" s="1">
        <v>5.0</v>
      </c>
      <c r="B1956" s="1" t="s">
        <v>1944</v>
      </c>
      <c r="C1956" t="str">
        <f>IFERROR(__xludf.DUMMYFUNCTION("GOOGLETRANSLATE(B1956, ""fr"", ""en"")"),"Superb sneakers Size perfectly!")</f>
        <v>Superb sneakers Size perfectly!</v>
      </c>
    </row>
    <row r="1957">
      <c r="A1957" s="1">
        <v>5.0</v>
      </c>
      <c r="B1957" s="1" t="s">
        <v>1945</v>
      </c>
      <c r="C1957" t="str">
        <f>IFERROR(__xludf.DUMMYFUNCTION("GOOGLETRANSLATE(B1957, ""fr"", ""en"")"),"PERFECT!! practical, spacious, original design. hygienic quality drainer at the top: solid +++ value for money: Sustainable investment is also convenient for baby dishes")</f>
        <v>PERFECT!! practical, spacious, original design. hygienic quality drainer at the top: solid +++ value for money: Sustainable investment is also convenient for baby dishes</v>
      </c>
    </row>
    <row r="1958">
      <c r="A1958" s="1">
        <v>5.0</v>
      </c>
      <c r="B1958" s="1" t="s">
        <v>1946</v>
      </c>
      <c r="C1958" t="str">
        <f>IFERROR(__xludf.DUMMYFUNCTION("GOOGLETRANSLATE(B1958, ""fr"", ""en"")"),"Stunning !! These earrings are just superb. Very elegant, really beautiful. I just love it !!")</f>
        <v>Stunning !! These earrings are just superb. Very elegant, really beautiful. I just love it !!</v>
      </c>
    </row>
    <row r="1959">
      <c r="A1959" s="1">
        <v>5.0</v>
      </c>
      <c r="B1959" s="1" t="s">
        <v>1947</v>
      </c>
      <c r="C1959" t="str">
        <f>IFERROR(__xludf.DUMMYFUNCTION("GOOGLETRANSLATE(B1959, ""fr"", ""en"")"),"To buy eyes closed Only 11 €, this bracelet does not work mounted on a watch over 1,500 €. After over two years of use, it shows some signs of wear but was more patient than the original strap of this luxury watch.")</f>
        <v>To buy eyes closed Only 11 €, this bracelet does not work mounted on a watch over 1,500 €. After over two years of use, it shows some signs of wear but was more patient than the original strap of this luxury watch.</v>
      </c>
    </row>
    <row r="1960">
      <c r="A1960" s="1">
        <v>2.0</v>
      </c>
      <c r="B1960" s="1" t="s">
        <v>1948</v>
      </c>
      <c r="C1960" t="str">
        <f>IFERROR(__xludf.DUMMYFUNCTION("GOOGLETRANSLATE(B1960, ""fr"", ""en"")"),"A little disappointed but not Pretty easy to attach because they are very thin and small so a little disappointed .. they have the fragile air")</f>
        <v>A little disappointed but not Pretty easy to attach because they are very thin and small so a little disappointed .. they have the fragile air</v>
      </c>
    </row>
    <row r="1961">
      <c r="A1961" s="1">
        <v>1.0</v>
      </c>
      <c r="B1961" s="1" t="s">
        <v>1949</v>
      </c>
      <c r="C1961" t="str">
        <f>IFERROR(__xludf.DUMMYFUNCTION("GOOGLETRANSLATE(B1961, ""fr"", ""en"")"),"I do not recommend Quality is blah parts breakage that before we are able to ask them properly.")</f>
        <v>I do not recommend Quality is blah parts breakage that before we are able to ask them properly.</v>
      </c>
    </row>
    <row r="1962">
      <c r="A1962" s="1">
        <v>1.0</v>
      </c>
      <c r="B1962" s="1" t="s">
        <v>1950</v>
      </c>
      <c r="C1962" t="str">
        <f>IFERROR(__xludf.DUMMYFUNCTION("GOOGLETRANSLATE(B1962, ""fr"", ""en"")"),"lousy quality ... One of the two pairs was broken with the arrival of the very light control, its bad I do not recommend at all")</f>
        <v>lousy quality ... One of the two pairs was broken with the arrival of the very light control, its bad I do not recommend at all</v>
      </c>
    </row>
    <row r="1963">
      <c r="A1963" s="1">
        <v>3.0</v>
      </c>
      <c r="B1963" s="1" t="s">
        <v>1951</v>
      </c>
      <c r="C1963" t="str">
        <f>IFERROR(__xludf.DUMMYFUNCTION("GOOGLETRANSLATE(B1963, ""fr"", ""en"")"),"Impeccable Very good model, slightly smaller size than other brands (molded sole), comfort. Excellent value")</f>
        <v>Impeccable Very good model, slightly smaller size than other brands (molded sole), comfort. Excellent value</v>
      </c>
    </row>
    <row r="1964">
      <c r="A1964" s="1">
        <v>4.0</v>
      </c>
      <c r="B1964" s="1" t="s">
        <v>1952</v>
      </c>
      <c r="C1964" t="str">
        <f>IFERROR(__xludf.DUMMYFUNCTION("GOOGLETRANSLATE(B1964, ""fr"", ""en"")"),"Fine products for the price Fine products for the price")</f>
        <v>Fine products for the price Fine products for the price</v>
      </c>
    </row>
    <row r="1965">
      <c r="A1965" s="1">
        <v>4.0</v>
      </c>
      <c r="B1965" s="1" t="s">
        <v>1953</v>
      </c>
      <c r="C1965" t="str">
        <f>IFERROR(__xludf.DUMMYFUNCTION("GOOGLETRANSLATE(B1965, ""fr"", ""en"")"),"triangular surprisingly large capacity bottle (270 ml) to the readable scale. The handles - removable - help baby learn to take her as a great bibi. One star less for the triangular shape that I find surprising and more difficult to clean than a bottle ro"&amp;"und.")</f>
        <v>triangular surprisingly large capacity bottle (270 ml) to the readable scale. The handles - removable - help baby learn to take her as a great bibi. One star less for the triangular shape that I find surprising and more difficult to clean than a bottle round.</v>
      </c>
    </row>
    <row r="1966">
      <c r="A1966" s="1">
        <v>4.0</v>
      </c>
      <c r="B1966" s="1" t="s">
        <v>1954</v>
      </c>
      <c r="C1966" t="str">
        <f>IFERROR(__xludf.DUMMYFUNCTION("GOOGLETRANSLATE(B1966, ""fr"", ""en"")"),"Micro okay Pros: - Cheap - Space saving - Convenient: no worries because battery is plugged into the device Negative: - Even indoors without noise around, there is a large parasitic noise it I need to correct in post-production. We lose a lot in sound qua"&amp;"lity, even if the sound picked up close to the microphone. I received a defective microphone?")</f>
        <v>Micro okay Pros: - Cheap - Space saving - Convenient: no worries because battery is plugged into the device Negative: - Even indoors without noise around, there is a large parasitic noise it I need to correct in post-production. We lose a lot in sound quality, even if the sound picked up close to the microphone. I received a defective microphone?</v>
      </c>
    </row>
    <row r="1967">
      <c r="A1967" s="1">
        <v>4.0</v>
      </c>
      <c r="B1967" s="1" t="s">
        <v>1955</v>
      </c>
      <c r="C1967" t="str">
        <f>IFERROR(__xludf.DUMMYFUNCTION("GOOGLETRANSLATE(B1967, ""fr"", ""en"")"),"Well maintained and comfortable I took size M (S) and the size is perfect! A good support without being too tight so comfortable! The only small downside (for the summer) is that the material keeps you warm. I plan to order more jackets this brand and I r"&amp;"ecommend them.")</f>
        <v>Well maintained and comfortable I took size M (S) and the size is perfect! A good support without being too tight so comfortable! The only small downside (for the summer) is that the material keeps you warm. I plan to order more jackets this brand and I recommend them.</v>
      </c>
    </row>
    <row r="1968">
      <c r="A1968" s="1">
        <v>5.0</v>
      </c>
      <c r="B1968" s="1" t="s">
        <v>1956</v>
      </c>
      <c r="C1968" t="str">
        <f>IFERROR(__xludf.DUMMYFUNCTION("GOOGLETRANSLATE(B1968, ""fr"", ""en"")"),"Ras Protection is the right size for a 3 pronged gray card with the detachable coupon for vehicle registration information published in 2017 a little complicated to put on, so go gently to the last part as this may damage the card gray The shipment was re"&amp;"latively fast, a few days")</f>
        <v>Ras Protection is the right size for a 3 pronged gray card with the detachable coupon for vehicle registration information published in 2017 a little complicated to put on, so go gently to the last part as this may damage the card gray The shipment was relatively fast, a few days</v>
      </c>
    </row>
    <row r="1969">
      <c r="A1969" s="1">
        <v>5.0</v>
      </c>
      <c r="B1969" s="1" t="s">
        <v>1957</v>
      </c>
      <c r="C1969" t="str">
        <f>IFERROR(__xludf.DUMMYFUNCTION("GOOGLETRANSLATE(B1969, ""fr"", ""en"")"),"good value prices ras")</f>
        <v>good value prices ras</v>
      </c>
    </row>
    <row r="1970">
      <c r="A1970" s="1">
        <v>5.0</v>
      </c>
      <c r="B1970" s="1" t="s">
        <v>1958</v>
      </c>
      <c r="C1970" t="str">
        <f>IFERROR(__xludf.DUMMYFUNCTION("GOOGLETRANSLATE(B1970, ""fr"", ""en"")"),"Ok I love it! The shoes are very comfortable and the quality is présente.Je am very pleased to have achhiverr his shoes because they are well suited as expected and more I got delivered rapidement.En short, a good pair of shoes , airy with a very raisonna"&amp;"ble.Je price recommends, the size is correct.")</f>
        <v>Ok I love it! The shoes are very comfortable and the quality is présente.Je am very pleased to have achhiverr his shoes because they are well suited as expected and more I got delivered rapidement.En short, a good pair of shoes , airy with a very raisonnable.Je price recommends, the size is correct.</v>
      </c>
    </row>
    <row r="1971">
      <c r="A1971" s="1">
        <v>5.0</v>
      </c>
      <c r="B1971" s="1" t="s">
        <v>1959</v>
      </c>
      <c r="C1971" t="str">
        <f>IFERROR(__xludf.DUMMYFUNCTION("GOOGLETRANSLATE(B1971, ""fr"", ""en"")"),"Diffuser perfect I ordered this diffuser of essential oils in a very friendly seller. The package was delivered very quickly and in perfect condition. Very easy to use, I installed without assistance and easily. The leaflet is clear and simple, so I could"&amp;" start up the diffuser without any complications. It works perfectly well, is quiet and stops by itself when the water level is too low. The changing light diffuser are soothing. I am very satisfied with my purchase. I recommend this seller.")</f>
        <v>Diffuser perfect I ordered this diffuser of essential oils in a very friendly seller. The package was delivered very quickly and in perfect condition. Very easy to use, I installed without assistance and easily. The leaflet is clear and simple, so I could start up the diffuser without any complications. It works perfectly well, is quiet and stops by itself when the water level is too low. The changing light diffuser are soothing. I am very satisfied with my purchase. I recommend this seller.</v>
      </c>
    </row>
    <row r="1972">
      <c r="A1972" s="1">
        <v>5.0</v>
      </c>
      <c r="B1972" s="1" t="s">
        <v>1960</v>
      </c>
      <c r="C1972" t="str">
        <f>IFERROR(__xludf.DUMMYFUNCTION("GOOGLETRANSLATE(B1972, ""fr"", ""en"")"),"Heater Super fast water product")</f>
        <v>Heater Super fast water product</v>
      </c>
    </row>
    <row r="1973">
      <c r="A1973" s="1">
        <v>5.0</v>
      </c>
      <c r="B1973" s="1" t="s">
        <v>1961</v>
      </c>
      <c r="C1973" t="str">
        <f>IFERROR(__xludf.DUMMYFUNCTION("GOOGLETRANSLATE(B1973, ""fr"", ""en"")"),"Wouahw Very nice, and very simple. I wash with every day for the past 1 months, it holds very well, the color does not go or will transfer into a green on my wrist. For my leaving it does not bother me at all and clings anywhere, even in woolen sweaters.")</f>
        <v>Wouahw Very nice, and very simple. I wash with every day for the past 1 months, it holds very well, the color does not go or will transfer into a green on my wrist. For my leaving it does not bother me at all and clings anywhere, even in woolen sweaters.</v>
      </c>
    </row>
    <row r="1974">
      <c r="A1974" s="1">
        <v>5.0</v>
      </c>
      <c r="B1974" s="1" t="s">
        <v>1962</v>
      </c>
      <c r="C1974" t="str">
        <f>IFERROR(__xludf.DUMMYFUNCTION("GOOGLETRANSLATE(B1974, ""fr"", ""en"")"),"Beautiful shoulder bag - Perfect for EDC I thought the product was going to be great because of the size but in the end it's perfect. The capacity is important with any pocket. A ventral, dorsal and central, what fill your bag. My check book goes smoothly"&amp;" and a small bottle of water. This bag has done its job for urban EDC survival flashlight coverage tourniquet turnstile military, baton bright guy Cyalume, firesteel, small medical kit, folding knife, pliers multitools markers / pencils, paper identities,"&amp;" logbook, checkbook key clip ... I left a bag on a maxpedition brand to do my EDC but 90 euros a bag similar in size I preferred to fall back on it much cheaper and goes everywhere. I recommend. For color, it would be more of a dark gray than black")</f>
        <v>Beautiful shoulder bag - Perfect for EDC I thought the product was going to be great because of the size but in the end it's perfect. The capacity is important with any pocket. A ventral, dorsal and central, what fill your bag. My check book goes smoothly and a small bottle of water. This bag has done its job for urban EDC survival flashlight coverage tourniquet turnstile military, baton bright guy Cyalume, firesteel, small medical kit, folding knife, pliers multitools markers / pencils, paper identities, logbook, checkbook key clip ... I left a bag on a maxpedition brand to do my EDC but 90 euros a bag similar in size I preferred to fall back on it much cheaper and goes everywhere. I recommend. For color, it would be more of a dark gray than black</v>
      </c>
    </row>
    <row r="1975">
      <c r="A1975" s="1">
        <v>5.0</v>
      </c>
      <c r="B1975" s="1" t="s">
        <v>1963</v>
      </c>
      <c r="C1975" t="str">
        <f>IFERROR(__xludf.DUMMYFUNCTION("GOOGLETRANSLATE(B1975, ""fr"", ""en"")"),"Sony MDR-ZX310B Foldable Headphones - Black ... Just perfect for the use for which it is intended. Mainly used to listen to music videos and movies on your smartphone, tablet, computer or TV, this headset fulfills its role. I find it comfortable and makes"&amp;" it pliable allows me to follow in the backpack when I travel by motorcycle. I also find it very convenient to the jack 90 which allows the wire to be always in line for a possible tightness. Hard to ask for much more for such a price.")</f>
        <v>Sony MDR-ZX310B Foldable Headphones - Black ... Just perfect for the use for which it is intended. Mainly used to listen to music videos and movies on your smartphone, tablet, computer or TV, this headset fulfills its role. I find it comfortable and makes it pliable allows me to follow in the backpack when I travel by motorcycle. I also find it very convenient to the jack 90 which allows the wire to be always in line for a possible tightness. Hard to ask for much more for such a price.</v>
      </c>
    </row>
    <row r="1976">
      <c r="A1976" s="1">
        <v>5.0</v>
      </c>
      <c r="B1976" s="1" t="s">
        <v>1964</v>
      </c>
      <c r="C1976" t="str">
        <f>IFERROR(__xludf.DUMMYFUNCTION("GOOGLETRANSLATE(B1976, ""fr"", ""en"")"),"I love I love, size 3XL very well. Quality is also very good. ca visually throws! I ca 37years 10years rejuvenated me!")</f>
        <v>I love I love, size 3XL very well. Quality is also very good. ca visually throws! I ca 37years 10years rejuvenated me!</v>
      </c>
    </row>
    <row r="1977">
      <c r="A1977" s="1">
        <v>5.0</v>
      </c>
      <c r="B1977" s="1" t="s">
        <v>1965</v>
      </c>
      <c r="C1977" t="str">
        <f>IFERROR(__xludf.DUMMYFUNCTION("GOOGLETRANSLATE(B1977, ""fr"", ""en"")"),"Okay These magnets are powerful. Are often subject to pain in the calf (Achilles tendon). I slipped into my socks and it is effective.")</f>
        <v>Okay These magnets are powerful. Are often subject to pain in the calf (Achilles tendon). I slipped into my socks and it is effective.</v>
      </c>
    </row>
    <row r="1978">
      <c r="A1978" s="1">
        <v>5.0</v>
      </c>
      <c r="B1978" s="1" t="s">
        <v>1966</v>
      </c>
      <c r="C1978" t="str">
        <f>IFERROR(__xludf.DUMMYFUNCTION("GOOGLETRANSLATE(B1978, ""fr"", ""en"")"),"Excellent Very good shoes")</f>
        <v>Excellent Very good shoes</v>
      </c>
    </row>
    <row r="1979">
      <c r="A1979" s="1">
        <v>5.0</v>
      </c>
      <c r="B1979" s="1" t="s">
        <v>1967</v>
      </c>
      <c r="C1979" t="str">
        <f>IFERROR(__xludf.DUMMYFUNCTION("GOOGLETRANSLATE(B1979, ""fr"", ""en"")"),"PADGENE Sneakers The sneakers are nice but provide a size up. Return and refund made in less than 24 hours. I recommend this very professional seller.")</f>
        <v>PADGENE Sneakers The sneakers are nice but provide a size up. Return and refund made in less than 24 hours. I recommend this very professional seller.</v>
      </c>
    </row>
    <row r="1980">
      <c r="A1980" s="1">
        <v>5.0</v>
      </c>
      <c r="B1980" s="1" t="s">
        <v>1968</v>
      </c>
      <c r="C1980" t="str">
        <f>IFERROR(__xludf.DUMMYFUNCTION("GOOGLETRANSLATE(B1980, ""fr"", ""en"")"),"Very comfortable shoes very pretty and pleasant to wear shoes but 8JE of 38 and have found some great advice I take half a size below below sq usual size")</f>
        <v>Very comfortable shoes very pretty and pleasant to wear shoes but 8JE of 38 and have found some great advice I take half a size below below sq usual size</v>
      </c>
    </row>
    <row r="1981">
      <c r="A1981" s="1">
        <v>5.0</v>
      </c>
      <c r="B1981" s="1" t="s">
        <v>1969</v>
      </c>
      <c r="C1981" t="str">
        <f>IFERROR(__xludf.DUMMYFUNCTION("GOOGLETRANSLATE(B1981, ""fr"", ""en"")"),"Really pretty nice")</f>
        <v>Really pretty nice</v>
      </c>
    </row>
    <row r="1982">
      <c r="A1982" s="1">
        <v>5.0</v>
      </c>
      <c r="B1982" s="1" t="s">
        <v>1970</v>
      </c>
      <c r="C1982" t="str">
        <f>IFERROR(__xludf.DUMMYFUNCTION("GOOGLETRANSLATE(B1982, ""fr"", ""en"")"),"Super I recommend these books. My daughter is in PC lilies alone. The story is written in large letters and art not charge its not discouraged children")</f>
        <v>Super I recommend these books. My daughter is in PC lilies alone. The story is written in large letters and art not charge its not discouraged children</v>
      </c>
    </row>
    <row r="1983">
      <c r="A1983" s="1">
        <v>2.0</v>
      </c>
      <c r="B1983" s="1" t="s">
        <v>1971</v>
      </c>
      <c r="C1983" t="str">
        <f>IFERROR(__xludf.DUMMYFUNCTION("GOOGLETRANSLATE(B1983, ""fr"", ""en"")"),"Disappointed by Article Synthetic")</f>
        <v>Disappointed by Article Synthetic</v>
      </c>
    </row>
    <row r="1984">
      <c r="A1984" s="1">
        <v>1.0</v>
      </c>
      <c r="B1984" s="1" t="s">
        <v>1972</v>
      </c>
      <c r="C1984" t="str">
        <f>IFERROR(__xludf.DUMMYFUNCTION("GOOGLETRANSLATE(B1984, ""fr"", ""en"")"),"I recommend the lightweight plastic garbage bag does not like, the plastic structure very light and very expensive for what it is !! disappointed")</f>
        <v>I recommend the lightweight plastic garbage bag does not like, the plastic structure very light and very expensive for what it is !! disappointed</v>
      </c>
    </row>
    <row r="1985">
      <c r="A1985" s="1">
        <v>3.0</v>
      </c>
      <c r="B1985" s="1" t="s">
        <v>1973</v>
      </c>
      <c r="C1985" t="str">
        <f>IFERROR(__xludf.DUMMYFUNCTION("GOOGLETRANSLATE(B1985, ""fr"", ""en"")"),"various parameters to take into account I did not know and I found out. Well, the first test I would return, then the taming or, more accurately, bypassing trouble, I admit that this is not so bad, but it's not paradise either. I'll explain. We must recog"&amp;"nize that if it is placed on a chaise longue (semi-horizontal position) in total normal walking, we destroyed back in stride ... and I am convinced that for any device like this it ' is more of the same, but nevermind. Indeed, if placed vertically the fel"&amp;"t can be assayed, but it's perfectly uncomfortable because then you tend to go on before seen the place that he needs and takes on the chair or the chair where it is installed. As I said earlier, I bypassed the problem by placing between the camera and my"&amp;" back (on a couch, note), a beach mattress ... and there, everything is different ... and above all possible!")</f>
        <v>various parameters to take into account I did not know and I found out. Well, the first test I would return, then the taming or, more accurately, bypassing trouble, I admit that this is not so bad, but it's not paradise either. I'll explain. We must recognize that if it is placed on a chaise longue (semi-horizontal position) in total normal walking, we destroyed back in stride ... and I am convinced that for any device like this it ' is more of the same, but nevermind. Indeed, if placed vertically the felt can be assayed, but it's perfectly uncomfortable because then you tend to go on before seen the place that he needs and takes on the chair or the chair where it is installed. As I said earlier, I bypassed the problem by placing between the camera and my back (on a couch, note), a beach mattress ... and there, everything is different ... and above all possible!</v>
      </c>
    </row>
    <row r="1986">
      <c r="A1986" s="1">
        <v>3.0</v>
      </c>
      <c r="B1986" s="1" t="s">
        <v>1974</v>
      </c>
      <c r="C1986" t="str">
        <f>IFERROR(__xludf.DUMMYFUNCTION("GOOGLETRANSLATE(B1986, ""fr"", ""en"")"),"the bell does not work ringer not working, so no alarm")</f>
        <v>the bell does not work ringer not working, so no alarm</v>
      </c>
    </row>
    <row r="1987">
      <c r="A1987" s="1">
        <v>4.0</v>
      </c>
      <c r="B1987" s="1" t="s">
        <v>1975</v>
      </c>
      <c r="C1987" t="str">
        <f>IFERROR(__xludf.DUMMYFUNCTION("GOOGLETRANSLATE(B1987, ""fr"", ""en"")"),"Although product according to the expected")</f>
        <v>Although product according to the expected</v>
      </c>
    </row>
    <row r="1988">
      <c r="A1988" s="1">
        <v>4.0</v>
      </c>
      <c r="B1988" s="1" t="s">
        <v>1976</v>
      </c>
      <c r="C1988" t="str">
        <f>IFERROR(__xludf.DUMMYFUNCTION("GOOGLETRANSLATE(B1988, ""fr"", ""en"")"),"Simple Simple principle of bain marie We just have to anticipate the bottle and take it 10 minutes before Easy to carry")</f>
        <v>Simple Simple principle of bain marie We just have to anticipate the bottle and take it 10 minutes before Easy to carry</v>
      </c>
    </row>
    <row r="1989">
      <c r="A1989" s="1">
        <v>4.0</v>
      </c>
      <c r="B1989" s="1" t="s">
        <v>1977</v>
      </c>
      <c r="C1989" t="str">
        <f>IFERROR(__xludf.DUMMYFUNCTION("GOOGLETRANSLATE(B1989, ""fr"", ""en"")"),"Magnificent beautiful watch but watch, just you can hear the needle is hard enough when you are in a quiet place or before sleeping")</f>
        <v>Magnificent beautiful watch but watch, just you can hear the needle is hard enough when you are in a quiet place or before sleeping</v>
      </c>
    </row>
    <row r="1990">
      <c r="A1990" s="1">
        <v>4.0</v>
      </c>
      <c r="B1990" s="1" t="s">
        <v>1978</v>
      </c>
      <c r="C1990" t="str">
        <f>IFERROR(__xludf.DUMMYFUNCTION("GOOGLETRANSLATE(B1990, ""fr"", ""en"")"),"Good value for sports shoes. Very light and very comfortable.")</f>
        <v>Good value for sports shoes. Very light and very comfortable.</v>
      </c>
    </row>
    <row r="1991">
      <c r="A1991" s="1">
        <v>4.0</v>
      </c>
      <c r="B1991" s="1" t="s">
        <v>1979</v>
      </c>
      <c r="C1991" t="str">
        <f>IFERROR(__xludf.DUMMYFUNCTION("GOOGLETRANSLATE(B1991, ""fr"", ""en"")"),"Good. A little damaged on top from the start, a large folds across, over time it merges with another.")</f>
        <v>Good. A little damaged on top from the start, a large folds across, over time it merges with another.</v>
      </c>
    </row>
    <row r="1992">
      <c r="A1992" s="1">
        <v>5.0</v>
      </c>
      <c r="B1992" s="1" t="s">
        <v>1980</v>
      </c>
      <c r="C1992" t="str">
        <f>IFERROR(__xludf.DUMMYFUNCTION("GOOGLETRANSLATE(B1992, ""fr"", ""en"")"),"Bottles Perfect perfect. To me these are the best bottles.")</f>
        <v>Bottles Perfect perfect. To me these are the best bottles.</v>
      </c>
    </row>
    <row r="1993">
      <c r="A1993" s="1">
        <v>5.0</v>
      </c>
      <c r="B1993" s="1" t="s">
        <v>1981</v>
      </c>
      <c r="C1993" t="str">
        <f>IFERROR(__xludf.DUMMYFUNCTION("GOOGLETRANSLATE(B1993, ""fr"", ""en"")"),"Beautiful and practical Very nice bag, not cumbersome, perfect size for a wallet. I took a gray, beautiful color and quality. I recommend")</f>
        <v>Beautiful and practical Very nice bag, not cumbersome, perfect size for a wallet. I took a gray, beautiful color and quality. I recommend</v>
      </c>
    </row>
    <row r="1994">
      <c r="A1994" s="1">
        <v>5.0</v>
      </c>
      <c r="B1994" s="1" t="s">
        <v>1982</v>
      </c>
      <c r="C1994" t="str">
        <f>IFERROR(__xludf.DUMMYFUNCTION("GOOGLETRANSLATE(B1994, ""fr"", ""en"")"),"Basketball quality basketball quality, good size, comfortable from the user. delivery in time.")</f>
        <v>Basketball quality basketball quality, good size, comfortable from the user. delivery in time.</v>
      </c>
    </row>
    <row r="1995">
      <c r="A1995" s="1">
        <v>5.0</v>
      </c>
      <c r="B1995" s="1" t="s">
        <v>1983</v>
      </c>
      <c r="C1995" t="str">
        <f>IFERROR(__xludf.DUMMYFUNCTION("GOOGLETRANSLATE(B1995, ""fr"", ""en"")"),"INTERACTIVE OUTSTANDING 1 year intensive use and always on top. THE MORE .All works perfectly / reactivity good external connections / good sound / battery ok / very light / solid / protective cover travel ok / good design more discreet / options on the h"&amp;"eadset simple and useful / quality ok prices. THE LESSERS . Despite a voice and a LED on the headset indicates the connections, a visual icon on screen is a plus .. A headset while a really pro and operational, I recommend. Operation of purchase and deliv"&amp;"ery 👍🚀 Amazon.")</f>
        <v>INTERACTIVE OUTSTANDING 1 year intensive use and always on top. THE MORE .All works perfectly / reactivity good external connections / good sound / battery ok / very light / solid / protective cover travel ok / good design more discreet / options on the headset simple and useful / quality ok prices. THE LESSERS . Despite a voice and a LED on the headset indicates the connections, a visual icon on screen is a plus .. A headset while a really pro and operational, I recommend. Operation of purchase and delivery 👍🚀 Amazon.</v>
      </c>
    </row>
    <row r="1996">
      <c r="A1996" s="1">
        <v>5.0</v>
      </c>
      <c r="B1996" s="1" t="s">
        <v>1984</v>
      </c>
      <c r="C1996" t="str">
        <f>IFERROR(__xludf.DUMMYFUNCTION("GOOGLETRANSLATE(B1996, ""fr"", ""en"")"),"TIGER MCA68-BK Microphone stand Easy to install and use, for ceremony in a church, I would recommend this product to anyone who needs it.")</f>
        <v>TIGER MCA68-BK Microphone stand Easy to install and use, for ceremony in a church, I would recommend this product to anyone who needs it.</v>
      </c>
    </row>
    <row r="1997">
      <c r="A1997" s="1">
        <v>5.0</v>
      </c>
      <c r="B1997" s="1" t="s">
        <v>1985</v>
      </c>
      <c r="C1997" t="str">
        <f>IFERROR(__xludf.DUMMYFUNCTION("GOOGLETRANSLATE(B1997, ""fr"", ""en"")"),"Clarks Batcombe Lo Boots very comfortable, good size and are beautiful. Thank you")</f>
        <v>Clarks Batcombe Lo Boots very comfortable, good size and are beautiful. Thank you</v>
      </c>
    </row>
    <row r="1998">
      <c r="A1998" s="1">
        <v>5.0</v>
      </c>
      <c r="B1998" s="1" t="s">
        <v>1986</v>
      </c>
      <c r="C1998" t="str">
        <f>IFERROR(__xludf.DUMMYFUNCTION("GOOGLETRANSLATE(B1998, ""fr"", ""en"")"),"Good value a product that I like, it prevents limescale dyed in the bottom of the bowl. Clean feeling every time we flushed.")</f>
        <v>Good value a product that I like, it prevents limescale dyed in the bottom of the bowl. Clean feeling every time we flushed.</v>
      </c>
    </row>
    <row r="1999">
      <c r="A1999" s="1">
        <v>5.0</v>
      </c>
      <c r="B1999" s="1" t="s">
        <v>1987</v>
      </c>
      <c r="C1999" t="str">
        <f>IFERROR(__xludf.DUMMYFUNCTION("GOOGLETRANSLATE(B1999, ""fr"", ""en"")"),"Very happy Matches perfectly with my expectations")</f>
        <v>Very happy Matches perfectly with my expectations</v>
      </c>
    </row>
    <row r="2000">
      <c r="A2000" s="1">
        <v>5.0</v>
      </c>
      <c r="B2000" s="1" t="s">
        <v>1988</v>
      </c>
      <c r="C2000" t="str">
        <f>IFERROR(__xludf.DUMMYFUNCTION("GOOGLETRANSLATE(B2000, ""fr"", ""en"")"),"Well, pretty lovely bracelet, consistent with the description ... I love the color of different stones, the size of the stones is good for me ... He joined other band ... I did not bought for a health effect, if after he has a good ...")</f>
        <v>Well, pretty lovely bracelet, consistent with the description ... I love the color of different stones, the size of the stones is good for me ... He joined other band ... I did not bought for a health effect, if after he has a good ...</v>
      </c>
    </row>
    <row r="2001">
      <c r="A2001" s="1">
        <v>5.0</v>
      </c>
      <c r="B2001" s="1" t="s">
        <v>1989</v>
      </c>
      <c r="C2001" t="str">
        <f>IFERROR(__xludf.DUMMYFUNCTION("GOOGLETRANSLATE(B2001, ""fr"", ""en"")"),"RAS Very comfortable and dou")</f>
        <v>RAS Very comfortable and dou</v>
      </c>
    </row>
    <row r="2002">
      <c r="A2002" s="1">
        <v>5.0</v>
      </c>
      <c r="B2002" s="1" t="s">
        <v>1990</v>
      </c>
      <c r="C2002" t="str">
        <f>IFERROR(__xludf.DUMMYFUNCTION("GOOGLETRANSLATE(B2002, ""fr"", ""en"")"),"Okay, I'm not an expert in watercolor, just a beginner, but I find these brushes good qualities. The hairs hold well and are silky. Very good quality / price ratio.")</f>
        <v>Okay, I'm not an expert in watercolor, just a beginner, but I find these brushes good qualities. The hairs hold well and are silky. Very good quality / price ratio.</v>
      </c>
    </row>
    <row r="2003">
      <c r="A2003" s="1">
        <v>5.0</v>
      </c>
      <c r="B2003" s="1" t="s">
        <v>1991</v>
      </c>
      <c r="C2003" t="str">
        <f>IFERROR(__xludf.DUMMYFUNCTION("GOOGLETRANSLATE(B2003, ""fr"", ""en"")"),"Excellent bottle warmer, fast and complete &lt;div id = ""video-block-R7Y3J2JITN1IU"" class = ""a-section-spacing-small in-spacing-top mini video-block""&gt; &lt;/ div&gt; &lt;input type = "" hidden ""name ="" ""value ="" https://images-eu.ssl-images-amazon.com/images/I"&amp;"/C1uCRB9aZqS.mp4 ""class ="" video-url ""&gt; &lt;input type ="" hidden ""name = """" value = ""https://images-eu.ssl-images-amazon.com/images/I/81Vd3IRfSyS.png"" class = ""video-slate-img-url""&gt; &amp; nbsp; I bought this bottle warmer for small that I keep and fra"&amp;"nkly I'm not disappointed. It heats the bottle at 37 ° in 1 minute max, maintains warm, sterilized bottles. It's expensive but comprehensive, practical and easy to use. In addition, the bain-marie is convenient to hold the bottle warm when baby pauses.")</f>
        <v>Excellent bottle warmer, fast and complete &lt;div id = "video-block-R7Y3J2JITN1IU" class = "a-section-spacing-small in-spacing-top mini video-block"&gt; &lt;/ div&gt; &lt;input type = " hidden "name =" "value =" https://images-eu.ssl-images-amazon.com/images/I/C1uCRB9aZqS.mp4 "class =" video-url "&gt; &lt;input type =" hidden "name = "" value = "https://images-eu.ssl-images-amazon.com/images/I/81Vd3IRfSyS.png" class = "video-slate-img-url"&gt; &amp; nbsp; I bought this bottle warmer for small that I keep and frankly I'm not disappointed. It heats the bottle at 37 ° in 1 minute max, maintains warm, sterilized bottles. It's expensive but comprehensive, practical and easy to use. In addition, the bain-marie is convenient to hold the bottle warm when baby pauses.</v>
      </c>
    </row>
    <row r="2004">
      <c r="A2004" s="1">
        <v>5.0</v>
      </c>
      <c r="B2004" s="1" t="s">
        <v>1992</v>
      </c>
      <c r="C2004" t="str">
        <f>IFERROR(__xludf.DUMMYFUNCTION("GOOGLETRANSLATE(B2004, ""fr"", ""en"")"),"Very well written and is cleared properly.")</f>
        <v>Very well written and is cleared properly.</v>
      </c>
    </row>
    <row r="2005">
      <c r="A2005" s="1">
        <v>5.0</v>
      </c>
      <c r="B2005" s="1" t="s">
        <v>1993</v>
      </c>
      <c r="C2005" t="str">
        <f>IFERROR(__xludf.DUMMYFUNCTION("GOOGLETRANSLATE(B2005, ""fr"", ""en"")"),"Good headphones with good features The headphones are comfortable to wear and the sound quality is as expected. The left and right headphones can work together or independently of each other. headphones have touch control and easy to use. The carrying cas"&amp;"e has a LED display to show you the status of remaining charge. There is also a USB port that can be used to charge your phone, but the integrated battery has enough capacity to completely change your phone, but it is useful in an emergency. Warning: The "&amp;"outside of the loading case is easily scratched. So be sure to store it. if not it's a good product")</f>
        <v>Good headphones with good features The headphones are comfortable to wear and the sound quality is as expected. The left and right headphones can work together or independently of each other. headphones have touch control and easy to use. The carrying case has a LED display to show you the status of remaining charge. There is also a USB port that can be used to charge your phone, but the integrated battery has enough capacity to completely change your phone, but it is useful in an emergency. Warning: The outside of the loading case is easily scratched. So be sure to store it. if not it's a good product</v>
      </c>
    </row>
    <row r="2006">
      <c r="A2006" s="1">
        <v>5.0</v>
      </c>
      <c r="B2006" s="1" t="s">
        <v>1994</v>
      </c>
      <c r="C2006" t="str">
        <f>IFERROR(__xludf.DUMMYFUNCTION("GOOGLETRANSLATE(B2006, ""fr"", ""en"")"),"Complies description This shredder is fine. I took the micro version of cut. These are really small pieces. I have not yet had the opportunity to pass a credit card but in piles of leaves 7-8 pass a slower but they pass. Level noise saying that if it is f"&amp;"or one or two papers that will. But if you have several documents to be destroyed may need to wait to be during the day. The evening is a bit noisy. Not enough to remove a star. For me it completed the contract I will edit my review if I have concerns for"&amp;" the destruction of credit card")</f>
        <v>Complies description This shredder is fine. I took the micro version of cut. These are really small pieces. I have not yet had the opportunity to pass a credit card but in piles of leaves 7-8 pass a slower but they pass. Level noise saying that if it is for one or two papers that will. But if you have several documents to be destroyed may need to wait to be during the day. The evening is a bit noisy. Not enough to remove a star. For me it completed the contract I will edit my review if I have concerns for the destruction of credit card</v>
      </c>
    </row>
    <row r="2007">
      <c r="A2007" s="1">
        <v>5.0</v>
      </c>
      <c r="B2007" s="1" t="s">
        <v>1995</v>
      </c>
      <c r="C2007" t="str">
        <f>IFERROR(__xludf.DUMMYFUNCTION("GOOGLETRANSLATE(B2007, ""fr"", ""en"")"),"Super Super kettle produces a color for each temperature. RAS")</f>
        <v>Super Super kettle produces a color for each temperature. RAS</v>
      </c>
    </row>
    <row r="2008">
      <c r="A2008" s="1">
        <v>2.0</v>
      </c>
      <c r="B2008" s="1" t="s">
        <v>1996</v>
      </c>
      <c r="C2008" t="str">
        <f>IFERROR(__xludf.DUMMYFUNCTION("GOOGLETRANSLATE(B2008, ""fr"", ""en"")"),"In like c manner against jacket nikel ... but the pants are too big in size like the .. This is a shame for the price 215 €. I'm really over")</f>
        <v>In like c manner against jacket nikel ... but the pants are too big in size like the .. This is a shame for the price 215 €. I'm really over</v>
      </c>
    </row>
    <row r="2009">
      <c r="A2009" s="1">
        <v>1.0</v>
      </c>
      <c r="B2009" s="1" t="s">
        <v>1997</v>
      </c>
      <c r="C2009" t="str">
        <f>IFERROR(__xludf.DUMMYFUNCTION("GOOGLETRANSLATE(B2009, ""fr"", ""en"")"),"LEGGINGS arrived too transparent, I do not recommend")</f>
        <v>LEGGINGS arrived too transparent, I do not recommend</v>
      </c>
    </row>
    <row r="2010">
      <c r="A2010" s="1">
        <v>1.0</v>
      </c>
      <c r="B2010" s="1" t="s">
        <v>1998</v>
      </c>
      <c r="C2010" t="str">
        <f>IFERROR(__xludf.DUMMYFUNCTION("GOOGLETRANSLATE(B2010, ""fr"", ""en"")"),"Too small I will not use too small")</f>
        <v>Too small I will not use too small</v>
      </c>
    </row>
    <row r="2011">
      <c r="A2011" s="1">
        <v>3.0</v>
      </c>
      <c r="B2011" s="1" t="s">
        <v>1999</v>
      </c>
      <c r="C2011" t="str">
        <f>IFERROR(__xludf.DUMMYFUNCTION("GOOGLETRANSLATE(B2011, ""fr"", ""en"")"),"Very good record if he n'e No wet. Very nice bracelet, but must not be wet, even accidentally because the halos will leave more.")</f>
        <v>Very good record if he n'e No wet. Very nice bracelet, but must not be wet, even accidentally because the halos will leave more.</v>
      </c>
    </row>
    <row r="2012">
      <c r="A2012" s="1">
        <v>3.0</v>
      </c>
      <c r="B2012" s="1" t="s">
        <v>2000</v>
      </c>
      <c r="C2012" t="str">
        <f>IFERROR(__xludf.DUMMYFUNCTION("GOOGLETRANSLATE(B2012, ""fr"", ""en"")"),"Although Good product overall, but cotton leaves many tucking into the machine the first wash and I find the neckline and sleeves a bit too wide ..!")</f>
        <v>Although Good product overall, but cotton leaves many tucking into the machine the first wash and I find the neckline and sleeves a bit too wide ..!</v>
      </c>
    </row>
    <row r="2013">
      <c r="A2013" s="1">
        <v>4.0</v>
      </c>
      <c r="B2013" s="1" t="s">
        <v>2001</v>
      </c>
      <c r="C2013" t="str">
        <f>IFERROR(__xludf.DUMMYFUNCTION("GOOGLETRANSLATE(B2013, ""fr"", ""en"")"),"Super maintaining After a month of use 3x / week the item is not moved. The maintenance is still top. Not necessarily easy to put on and remove, but this is the price for that fit.")</f>
        <v>Super maintaining After a month of use 3x / week the item is not moved. The maintenance is still top. Not necessarily easy to put on and remove, but this is the price for that fit.</v>
      </c>
    </row>
    <row r="2014">
      <c r="A2014" s="1">
        <v>4.0</v>
      </c>
      <c r="B2014" s="1" t="s">
        <v>2002</v>
      </c>
      <c r="C2014" t="str">
        <f>IFERROR(__xludf.DUMMYFUNCTION("GOOGLETRANSLATE(B2014, ""fr"", ""en"")"),"great I bought purple size M instead of L and I did well because large size. The M may correspond to a person placing of 42. The fabric is thin careful not crazy lol batting. purple color is just beautiful I recommend")</f>
        <v>great I bought purple size M instead of L and I did well because large size. The M may correspond to a person placing of 42. The fabric is thin careful not crazy lol batting. purple color is just beautiful I recommend</v>
      </c>
    </row>
    <row r="2015">
      <c r="A2015" s="1">
        <v>4.0</v>
      </c>
      <c r="B2015" s="1" t="s">
        <v>2003</v>
      </c>
      <c r="C2015" t="str">
        <f>IFERROR(__xludf.DUMMYFUNCTION("GOOGLETRANSLATE(B2015, ""fr"", ""en"")"),"Great product Extractor happy with my purchase works great beautiful effect in the kitchen")</f>
        <v>Great product Extractor happy with my purchase works great beautiful effect in the kitchen</v>
      </c>
    </row>
    <row r="2016">
      <c r="A2016" s="1">
        <v>4.0</v>
      </c>
      <c r="B2016" s="1" t="s">
        <v>2004</v>
      </c>
      <c r="C2016" t="str">
        <f>IFERROR(__xludf.DUMMYFUNCTION("GOOGLETRANSLATE(B2016, ""fr"", ""en"")"),"Super Super nice this penditif ... Can be worn for any occasion, it is discreet and at the same time super nice ... Returning from vacation on a small tan, a black dress, it is really perfect ...")</f>
        <v>Super Super nice this penditif ... Can be worn for any occasion, it is discreet and at the same time super nice ... Returning from vacation on a small tan, a black dress, it is really perfect ...</v>
      </c>
    </row>
    <row r="2017">
      <c r="A2017" s="1">
        <v>5.0</v>
      </c>
      <c r="B2017" s="1" t="s">
        <v>2005</v>
      </c>
      <c r="C2017" t="str">
        <f>IFERROR(__xludf.DUMMYFUNCTION("GOOGLETRANSLATE(B2017, ""fr"", ""en"")"),"Very well I bought for my daughter, size we asked is, the fabric is soft to touch and stretch. At waist level it does not fall and it does not greenhouse. Jogging suits him very well two front pockets. I'm happy with my purchase.")</f>
        <v>Very well I bought for my daughter, size we asked is, the fabric is soft to touch and stretch. At waist level it does not fall and it does not greenhouse. Jogging suits him very well two front pockets. I'm happy with my purchase.</v>
      </c>
    </row>
    <row r="2018">
      <c r="A2018" s="1">
        <v>5.0</v>
      </c>
      <c r="B2018" s="1" t="s">
        <v>2006</v>
      </c>
      <c r="C2018" t="str">
        <f>IFERROR(__xludf.DUMMYFUNCTION("GOOGLETRANSLATE(B2018, ""fr"", ""en"")"),"Super Simple and effective product, nothing more to say on this.")</f>
        <v>Super Simple and effective product, nothing more to say on this.</v>
      </c>
    </row>
    <row r="2019">
      <c r="A2019" s="1">
        <v>5.0</v>
      </c>
      <c r="B2019" s="1" t="s">
        <v>2007</v>
      </c>
      <c r="C2019" t="str">
        <f>IFERROR(__xludf.DUMMYFUNCTION("GOOGLETRANSLATE(B2019, ""fr"", ""en"")"),"Quality and efficiency almost perfect microphone for my use, I need is a pop filter to avoid some unpleasant noises but easily erasable mounting. Do not take too much space, easy to use even for novices, beautiful design very professional, resistant foot "&amp;"with a slip underneath to hold it. We can pass the wire to the back foot which is extremely convenient. For me there is no real downside, if perhaps only the microphone records surrounding sounds but it remains a detail again recoverable mounting. Nothing"&amp;" to report, it changes your life! Especially for budget travelers who want quality.")</f>
        <v>Quality and efficiency almost perfect microphone for my use, I need is a pop filter to avoid some unpleasant noises but easily erasable mounting. Do not take too much space, easy to use even for novices, beautiful design very professional, resistant foot with a slip underneath to hold it. We can pass the wire to the back foot which is extremely convenient. For me there is no real downside, if perhaps only the microphone records surrounding sounds but it remains a detail again recoverable mounting. Nothing to report, it changes your life! Especially for budget travelers who want quality.</v>
      </c>
    </row>
    <row r="2020">
      <c r="A2020" s="1">
        <v>5.0</v>
      </c>
      <c r="B2020" s="1" t="s">
        <v>2008</v>
      </c>
      <c r="C2020" t="str">
        <f>IFERROR(__xludf.DUMMYFUNCTION("GOOGLETRANSLATE(B2020, ""fr"", ""en"")"),"Made in italy it is very good for Greek feet Made in italy it is very good for Greek feet. I had already ordered other model even more feminine size of Chinese manufacturing but better suited to the Egyptian or Asiatic feet. This model there remains class"&amp;"ic shape and more standard size.")</f>
        <v>Made in italy it is very good for Greek feet Made in italy it is very good for Greek feet. I had already ordered other model even more feminine size of Chinese manufacturing but better suited to the Egyptian or Asiatic feet. This model there remains classic shape and more standard size.</v>
      </c>
    </row>
    <row r="2021">
      <c r="A2021" s="1">
        <v>5.0</v>
      </c>
      <c r="B2021" s="1" t="s">
        <v>2009</v>
      </c>
      <c r="C2021" t="str">
        <f>IFERROR(__xludf.DUMMYFUNCTION("GOOGLETRANSLATE(B2021, ""fr"", ""en"")"),"Very effective shelf that cleans well zero trace! very satisfied")</f>
        <v>Very effective shelf that cleans well zero trace! very satisfied</v>
      </c>
    </row>
    <row r="2022">
      <c r="A2022" s="1">
        <v>5.0</v>
      </c>
      <c r="B2022" s="1" t="s">
        <v>2010</v>
      </c>
      <c r="C2022" t="str">
        <f>IFERROR(__xludf.DUMMYFUNCTION("GOOGLETRANSLATE(B2022, ""fr"", ""en"")"),"Good product ! Very happy with my purchase. I cumulus 17, these new shoes are lighter and very pleasant.")</f>
        <v>Good product ! Very happy with my purchase. I cumulus 17, these new shoes are lighter and very pleasant.</v>
      </c>
    </row>
    <row r="2023">
      <c r="A2023" s="1">
        <v>5.0</v>
      </c>
      <c r="B2023" s="1" t="s">
        <v>2011</v>
      </c>
      <c r="C2023" t="str">
        <f>IFERROR(__xludf.DUMMYFUNCTION("GOOGLETRANSLATE(B2023, ""fr"", ""en"")"),"Perfect. The top. No complaints. Operation at the top. The progressiveness of the lighting is very well distributed. In short I am very satisfied")</f>
        <v>Perfect. The top. No complaints. Operation at the top. The progressiveness of the lighting is very well distributed. In short I am very satisfied</v>
      </c>
    </row>
    <row r="2024">
      <c r="A2024" s="1">
        <v>5.0</v>
      </c>
      <c r="B2024" s="1" t="s">
        <v>2012</v>
      </c>
      <c r="C2024" t="str">
        <f>IFERROR(__xludf.DUMMYFUNCTION("GOOGLETRANSLATE(B2024, ""fr"", ""en"")"),"The boot as a boot Aigle boots are guarantees of quality and in addition this model is very comfortable. Moreover it is made for large calves.")</f>
        <v>The boot as a boot Aigle boots are guarantees of quality and in addition this model is very comfortable. Moreover it is made for large calves.</v>
      </c>
    </row>
    <row r="2025">
      <c r="A2025" s="1">
        <v>5.0</v>
      </c>
      <c r="B2025" s="1" t="s">
        <v>2013</v>
      </c>
      <c r="C2025" t="str">
        <f>IFERROR(__xludf.DUMMYFUNCTION("GOOGLETRANSLATE(B2025, ""fr"", ""en"")"),"Great product! Parents of twins are therefore seeking effective products and good value for money! We bought 2 bottles was much !! Here no concern that the positive! Very easy to clean, very durable. Only negative, we bought 2 but not at the same time ..."&amp;" One was bright green (very good) and the other was old green (ugly ...). If my review was helpful to you, thank you to click! If my comments and experience sharing interest you, you can subscribe you! Thank you!")</f>
        <v>Great product! Parents of twins are therefore seeking effective products and good value for money! We bought 2 bottles was much !! Here no concern that the positive! Very easy to clean, very durable. Only negative, we bought 2 but not at the same time ... One was bright green (very good) and the other was old green (ugly ...). If my review was helpful to you, thank you to click! If my comments and experience sharing interest you, you can subscribe you! Thank you!</v>
      </c>
    </row>
    <row r="2026">
      <c r="A2026" s="1">
        <v>5.0</v>
      </c>
      <c r="B2026" s="1" t="s">
        <v>2014</v>
      </c>
      <c r="C2026" t="str">
        <f>IFERROR(__xludf.DUMMYFUNCTION("GOOGLETRANSLATE(B2026, ""fr"", ""en"")"),"More efficient Product no sting because the insects avoid me now")</f>
        <v>More efficient Product no sting because the insects avoid me now</v>
      </c>
    </row>
    <row r="2027">
      <c r="A2027" s="1">
        <v>5.0</v>
      </c>
      <c r="B2027" s="1" t="s">
        <v>2015</v>
      </c>
      <c r="C2027" t="str">
        <f>IFERROR(__xludf.DUMMYFUNCTION("GOOGLETRANSLATE(B2027, ""fr"", ""en"")"),"Anti limestone Perfect")</f>
        <v>Anti limestone Perfect</v>
      </c>
    </row>
    <row r="2028">
      <c r="A2028" s="1">
        <v>5.0</v>
      </c>
      <c r="B2028" s="1" t="s">
        <v>2016</v>
      </c>
      <c r="C2028" t="str">
        <f>IFERROR(__xludf.DUMMYFUNCTION("GOOGLETRANSLATE(B2028, ""fr"", ""en"")"),"Perfect Kids love this collection!")</f>
        <v>Perfect Kids love this collection!</v>
      </c>
    </row>
    <row r="2029">
      <c r="A2029" s="1">
        <v>5.0</v>
      </c>
      <c r="B2029" s="1" t="s">
        <v>2017</v>
      </c>
      <c r="C2029" t="str">
        <f>IFERROR(__xludf.DUMMYFUNCTION("GOOGLETRANSLATE(B2029, ""fr"", ""en"")"),"Wonderful Pandora charm Very nice quality for this Pandora charm that my husband gave me for Christmas. I like the deep blue color. I was really spoiled.")</f>
        <v>Wonderful Pandora charm Very nice quality for this Pandora charm that my husband gave me for Christmas. I like the deep blue color. I was really spoiled.</v>
      </c>
    </row>
    <row r="2030">
      <c r="A2030" s="1">
        <v>5.0</v>
      </c>
      <c r="B2030" s="1" t="s">
        <v>2018</v>
      </c>
      <c r="C2030" t="str">
        <f>IFERROR(__xludf.DUMMYFUNCTION("GOOGLETRANSLATE(B2030, ""fr"", ""en"")"),"Super I recommend it very convenient to follow us everywhere Ideal for camping small and convenient")</f>
        <v>Super I recommend it very convenient to follow us everywhere Ideal for camping small and convenient</v>
      </c>
    </row>
    <row r="2031">
      <c r="A2031" s="1">
        <v>5.0</v>
      </c>
      <c r="B2031" s="1" t="s">
        <v>2019</v>
      </c>
      <c r="C2031" t="str">
        <f>IFERROR(__xludf.DUMMYFUNCTION("GOOGLETRANSLATE(B2031, ""fr"", ""en"")"),"Facial mask. Perfect facial mask! Be careful you rinse it off before it gets too light green, as this can dehydrate the skin and tug you. The container is of good quality: very tight.")</f>
        <v>Facial mask. Perfect facial mask! Be careful you rinse it off before it gets too light green, as this can dehydrate the skin and tug you. The container is of good quality: very tight.</v>
      </c>
    </row>
    <row r="2032">
      <c r="A2032" s="1">
        <v>2.0</v>
      </c>
      <c r="B2032" s="1" t="s">
        <v>2020</v>
      </c>
      <c r="C2032" t="str">
        <f>IFERROR(__xludf.DUMMYFUNCTION("GOOGLETRANSLATE(B2032, ""fr"", ""en"")"),"Too bad all types of baby bottles do not fit properly. I have both Dodies, the Advent of Mam's, Tommee Tippee and of Suavinex and when I put they do not fit properly and I have to remove either the rings or caps. Besides this sterilizer take much space")</f>
        <v>Too bad all types of baby bottles do not fit properly. I have both Dodies, the Advent of Mam's, Tommee Tippee and of Suavinex and when I put they do not fit properly and I have to remove either the rings or caps. Besides this sterilizer take much space</v>
      </c>
    </row>
    <row r="2033">
      <c r="A2033" s="1">
        <v>1.0</v>
      </c>
      <c r="B2033" s="1" t="s">
        <v>2021</v>
      </c>
      <c r="C2033" t="str">
        <f>IFERROR(__xludf.DUMMYFUNCTION("GOOGLETRANSLATE(B2033, ""fr"", ""en"")"),"Very bad cut Not all fit, we believe buy s limit but we are left with a size between M and L")</f>
        <v>Very bad cut Not all fit, we believe buy s limit but we are left with a size between M and L</v>
      </c>
    </row>
    <row r="2034">
      <c r="A2034" s="1">
        <v>1.0</v>
      </c>
      <c r="B2034" s="1" t="s">
        <v>2022</v>
      </c>
      <c r="C2034" t="str">
        <f>IFERROR(__xludf.DUMMYFUNCTION("GOOGLETRANSLATE(B2034, ""fr"", ""en"")"),"DECEPTION SHIRT THIS PRODUCT IS NOT IN CHIFFON SILK C BUT IS A SHIRT POLYESTER 100% AGO DECEIT PRODUCT")</f>
        <v>DECEPTION SHIRT THIS PRODUCT IS NOT IN CHIFFON SILK C BUT IS A SHIRT POLYESTER 100% AGO DECEIT PRODUCT</v>
      </c>
    </row>
    <row r="2035">
      <c r="A2035" s="1">
        <v>3.0</v>
      </c>
      <c r="B2035" s="1" t="s">
        <v>2023</v>
      </c>
      <c r="C2035" t="str">
        <f>IFERROR(__xludf.DUMMYFUNCTION("GOOGLETRANSLATE(B2035, ""fr"", ""en"")"),"Do not use on fabric Bought for scratching cushions on a bed frame to make a round bed, Velcro does not stick to the fabric and trying to sew the fabric, the glue adhesive is deposited on the needle and makes it unusable. As part of my use I do not recomm"&amp;"end the adhesive Velcro.")</f>
        <v>Do not use on fabric Bought for scratching cushions on a bed frame to make a round bed, Velcro does not stick to the fabric and trying to sew the fabric, the glue adhesive is deposited on the needle and makes it unusable. As part of my use I do not recommend the adhesive Velcro.</v>
      </c>
    </row>
    <row r="2036">
      <c r="A2036" s="1">
        <v>3.0</v>
      </c>
      <c r="B2036" s="1" t="s">
        <v>2024</v>
      </c>
      <c r="C2036" t="str">
        <f>IFERROR(__xludf.DUMMYFUNCTION("GOOGLETRANSLATE(B2036, ""fr"", ""en"")"),"Quality / unjustified price Excludes hot as long as a traditional water bottle. Moreover it is necessary to heat the 2minute 30 that roughly hot")</f>
        <v>Quality / unjustified price Excludes hot as long as a traditional water bottle. Moreover it is necessary to heat the 2minute 30 that roughly hot</v>
      </c>
    </row>
    <row r="2037">
      <c r="A2037" s="1">
        <v>4.0</v>
      </c>
      <c r="B2037" s="1" t="s">
        <v>2025</v>
      </c>
      <c r="C2037" t="str">
        <f>IFERROR(__xludf.DUMMYFUNCTION("GOOGLETRANSLATE(B2037, ""fr"", ""en"")"),"Noisy but Good fast kettle large capacity and easy to use. Heater fast but a bit noisy")</f>
        <v>Noisy but Good fast kettle large capacity and easy to use. Heater fast but a bit noisy</v>
      </c>
    </row>
    <row r="2038">
      <c r="A2038" s="1">
        <v>4.0</v>
      </c>
      <c r="B2038" s="1" t="s">
        <v>2026</v>
      </c>
      <c r="C2038" t="str">
        <f>IFERROR(__xludf.DUMMYFUNCTION("GOOGLETRANSLATE(B2038, ""fr"", ""en"")"),"Nickel Super product")</f>
        <v>Nickel Super product</v>
      </c>
    </row>
    <row r="2039">
      <c r="A2039" s="1">
        <v>4.0</v>
      </c>
      <c r="B2039" s="1" t="s">
        <v>2027</v>
      </c>
      <c r="C2039" t="str">
        <f>IFERROR(__xludf.DUMMYFUNCTION("GOOGLETRANSLATE(B2039, ""fr"", ""en"")"),"Fast delivery Gift")</f>
        <v>Fast delivery Gift</v>
      </c>
    </row>
    <row r="2040">
      <c r="A2040" s="1">
        <v>4.0</v>
      </c>
      <c r="B2040" s="1" t="s">
        <v>2028</v>
      </c>
      <c r="C2040" t="str">
        <f>IFERROR(__xludf.DUMMYFUNCTION("GOOGLETRANSLATE(B2040, ""fr"", ""en"")"),"perfect bag; My wife made me push to buy this bag, since I left the more so it is convenient. Everything holds in portfolio, car papers, reading light and even a small umbrella. Really good")</f>
        <v>perfect bag; My wife made me push to buy this bag, since I left the more so it is convenient. Everything holds in portfolio, car papers, reading light and even a small umbrella. Really good</v>
      </c>
    </row>
    <row r="2041">
      <c r="A2041" s="1">
        <v>5.0</v>
      </c>
      <c r="B2041" s="1" t="s">
        <v>2029</v>
      </c>
      <c r="C2041" t="str">
        <f>IFERROR(__xludf.DUMMYFUNCTION("GOOGLETRANSLATE(B2041, ""fr"", ""en"")"),"Legging with handy pocket leggings good quality non-transparent and pocket on the practical side")</f>
        <v>Legging with handy pocket leggings good quality non-transparent and pocket on the practical side</v>
      </c>
    </row>
    <row r="2042">
      <c r="A2042" s="1">
        <v>5.0</v>
      </c>
      <c r="B2042" s="1" t="s">
        <v>2030</v>
      </c>
      <c r="C2042" t="str">
        <f>IFERROR(__xludf.DUMMYFUNCTION("GOOGLETRANSLATE(B2042, ""fr"", ""en"")"),"Eyes closed I highly recommend this watch at very low prices for auto of this quality! Invicta is a brand to which I will buy more for sure!")</f>
        <v>Eyes closed I highly recommend this watch at very low prices for auto of this quality! Invicta is a brand to which I will buy more for sure!</v>
      </c>
    </row>
    <row r="2043">
      <c r="A2043" s="1">
        <v>5.0</v>
      </c>
      <c r="B2043" s="1" t="s">
        <v>2031</v>
      </c>
      <c r="C2043" t="str">
        <f>IFERROR(__xludf.DUMMYFUNCTION("GOOGLETRANSLATE(B2043, ""fr"", ""en"")"),"A beautiful ornament to give his love or to yourself I was looking for a gift for the birthday of my girlfriend. This all seemed to be the right answer. I was not disappointed with my choice. The first surprise is the size of the ""heart"" of the pendant:"&amp;" much bigger than I imagined it to me. Besides the crystal is very beautiful and shines a lot. The small crystals surrounding the heart they too are very bright (see photos). With the frame of shining golden brown, the whole is truly lovely and luxurious."&amp;" Much more than its price. The seller claims crystals from Zwarovski home, and saw the beauty of crystals I think that's the case. The earrings are in keeping. The stones are very pretty and installation is rather well done. The whole is tasteful and spar"&amp;"kles in the sun or under the lights dimmed for a romantic evening. The sublime adornment happy wearer. Suffice to say that I love my wife and love to the point of going to work with and almost want to sleep with.")</f>
        <v>A beautiful ornament to give his love or to yourself I was looking for a gift for the birthday of my girlfriend. This all seemed to be the right answer. I was not disappointed with my choice. The first surprise is the size of the "heart" of the pendant: much bigger than I imagined it to me. Besides the crystal is very beautiful and shines a lot. The small crystals surrounding the heart they too are very bright (see photos). With the frame of shining golden brown, the whole is truly lovely and luxurious. Much more than its price. The seller claims crystals from Zwarovski home, and saw the beauty of crystals I think that's the case. The earrings are in keeping. The stones are very pretty and installation is rather well done. The whole is tasteful and sparkles in the sun or under the lights dimmed for a romantic evening. The sublime adornment happy wearer. Suffice to say that I love my wife and love to the point of going to work with and almost want to sleep with.</v>
      </c>
    </row>
    <row r="2044">
      <c r="A2044" s="1">
        <v>5.0</v>
      </c>
      <c r="B2044" s="1" t="s">
        <v>2032</v>
      </c>
      <c r="C2044" t="str">
        <f>IFERROR(__xludf.DUMMYFUNCTION("GOOGLETRANSLATE(B2044, ""fr"", ""en"")"),"Perfect, except for the absence of a one / off button This version 2019 MixAmp is very good, both in the construction of product quality sound (with beyerdynamic DT 770 modded and modmic home for Antlion me). So no disappointment regarding the sound. The "&amp;"only downside MixAmp 2019, is the incomprehensible lack of an on / off button. So either you disconnect each time (risking damage to your ports USB / Micro USB for power) or leave you permanently turn (LED lit and premature wear, even if it is supposed to"&amp;" be designed for), including if your consoles remain on standby. Suffice to say that no solution is satisfactory. To overcome this design flaw, it will go through a micro magnetic USB cable / USB type Netdot gen 10 (eg) that solve the perennial way proble"&amp;"m and without degradation USB slot / micro usb caused by connections / power disconnect multiple.")</f>
        <v>Perfect, except for the absence of a one / off button This version 2019 MixAmp is very good, both in the construction of product quality sound (with beyerdynamic DT 770 modded and modmic home for Antlion me). So no disappointment regarding the sound. The only downside MixAmp 2019, is the incomprehensible lack of an on / off button. So either you disconnect each time (risking damage to your ports USB / Micro USB for power) or leave you permanently turn (LED lit and premature wear, even if it is supposed to be designed for), including if your consoles remain on standby. Suffice to say that no solution is satisfactory. To overcome this design flaw, it will go through a micro magnetic USB cable / USB type Netdot gen 10 (eg) that solve the perennial way problem and without degradation USB slot / micro usb caused by connections / power disconnect multiple.</v>
      </c>
    </row>
    <row r="2045">
      <c r="A2045" s="1">
        <v>5.0</v>
      </c>
      <c r="B2045" s="1" t="s">
        <v>2033</v>
      </c>
      <c r="C2045" t="str">
        <f>IFERROR(__xludf.DUMMYFUNCTION("GOOGLETRANSLATE(B2045, ""fr"", ""en"")"),"Pleasant I bought these for my Bluetooth headset specially jogging or when I ride my bike. As in the picture, the headphones come in a box with 4 LEDs to indicate the charge level. This case serves as charger can fully recharge the headphones 4-5 times. T"&amp;"he earphones are expected to have a range of 6 hours. I never used them until complete discharge, so point to check. The holding is excellent and the sound quality is good if one thinks in terms of price / quality ratio. A USB cable-c is provided with the"&amp;" assembly. I recommend.")</f>
        <v>Pleasant I bought these for my Bluetooth headset specially jogging or when I ride my bike. As in the picture, the headphones come in a box with 4 LEDs to indicate the charge level. This case serves as charger can fully recharge the headphones 4-5 times. The earphones are expected to have a range of 6 hours. I never used them until complete discharge, so point to check. The holding is excellent and the sound quality is good if one thinks in terms of price / quality ratio. A USB cable-c is provided with the assembly. I recommend.</v>
      </c>
    </row>
    <row r="2046">
      <c r="A2046" s="1">
        <v>5.0</v>
      </c>
      <c r="B2046" s="1" t="s">
        <v>2034</v>
      </c>
      <c r="C2046" t="str">
        <f>IFERROR(__xludf.DUMMYFUNCTION("GOOGLETRANSLATE(B2046, ""fr"", ""en"")"),"a package insert key to set the hour I had a hard time putting it on time! no more explanation leaflet was attached. again, I am obliged to return it to you, with a difference e twenty minutes between the digital time and the needles!")</f>
        <v>a package insert key to set the hour I had a hard time putting it on time! no more explanation leaflet was attached. again, I am obliged to return it to you, with a difference e twenty minutes between the digital time and the needles!</v>
      </c>
    </row>
    <row r="2047">
      <c r="A2047" s="1">
        <v>5.0</v>
      </c>
      <c r="B2047" s="1" t="s">
        <v>2035</v>
      </c>
      <c r="C2047" t="str">
        <f>IFERROR(__xludf.DUMMYFUNCTION("GOOGLETRANSLATE(B2047, ""fr"", ""en"")"),"Amazing &lt;div id = ""video-block-R2LDEI7GVTESQ"" class = ""a-section-spacing-small in-spacing-top mini video-block""&gt; &lt;/ div&gt; &lt;input type = ""hidden"" name = """" value = ""https://images-eu.ssl-images-amazon.com/images/I/81RqPW52qDS.mp4"" class = ""video-"&amp;"url""&gt; &lt;input type = ""hidden"" name = """" value = ""https : //images-eu.ssl-images-amazon.com/images/I/91lO8taRhVS.png ""class ="" video-slate-img-url ""&gt; &amp; nbsp; I was pleasantly surprised by the visual appearance of this watch. I wear it every day. I "&amp;"hope she will in time")</f>
        <v>Amazing &lt;div id = "video-block-R2LDEI7GVTESQ" class = "a-section-spacing-small in-spacing-top mini video-block"&gt; &lt;/ div&gt; &lt;input type = "hidden" name = "" value = "https://images-eu.ssl-images-amazon.com/images/I/81RqPW52qDS.mp4" class = "video-url"&gt; &lt;input type = "hidden" name = "" value = "https : //images-eu.ssl-images-amazon.com/images/I/91lO8taRhVS.png "class =" video-slate-img-url "&gt; &amp; nbsp; I was pleasantly surprised by the visual appearance of this watch. I wear it every day. I hope she will in time</v>
      </c>
    </row>
    <row r="2048">
      <c r="A2048" s="1">
        <v>5.0</v>
      </c>
      <c r="B2048" s="1" t="s">
        <v>2036</v>
      </c>
      <c r="C2048" t="str">
        <f>IFERROR(__xludf.DUMMYFUNCTION("GOOGLETRANSLATE(B2048, ""fr"", ""en"")"),"Super Super I offered to my husband. He loves cool too.")</f>
        <v>Super Super I offered to my husband. He loves cool too.</v>
      </c>
    </row>
    <row r="2049">
      <c r="A2049" s="1">
        <v>5.0</v>
      </c>
      <c r="B2049" s="1" t="s">
        <v>2037</v>
      </c>
      <c r="C2049" t="str">
        <f>IFERROR(__xludf.DUMMYFUNCTION("GOOGLETRANSLATE(B2049, ""fr"", ""en"")"),"The article Very nice sneakers line with my expectations. delivery ok")</f>
        <v>The article Very nice sneakers line with my expectations. delivery ok</v>
      </c>
    </row>
    <row r="2050">
      <c r="A2050" s="1">
        <v>5.0</v>
      </c>
      <c r="B2050" s="1" t="s">
        <v>2038</v>
      </c>
      <c r="C2050" t="str">
        <f>IFERROR(__xludf.DUMMYFUNCTION("GOOGLETRANSLATE(B2050, ""fr"", ""en"")"),"Super offers an attractive price Not used but they seem to me very strong, there for a while and in addition to a challenging question price competition. I advise.")</f>
        <v>Super offers an attractive price Not used but they seem to me very strong, there for a while and in addition to a challenging question price competition. I advise.</v>
      </c>
    </row>
    <row r="2051">
      <c r="A2051" s="1">
        <v>5.0</v>
      </c>
      <c r="B2051" s="1" t="s">
        <v>2039</v>
      </c>
      <c r="C2051" t="str">
        <f>IFERROR(__xludf.DUMMYFUNCTION("GOOGLETRANSLATE(B2051, ""fr"", ""en"")"),"Very good product great product conforms to the description Not disappointed by the Puma brand that keeps its quality")</f>
        <v>Very good product great product conforms to the description Not disappointed by the Puma brand that keeps its quality</v>
      </c>
    </row>
    <row r="2052">
      <c r="A2052" s="1">
        <v>5.0</v>
      </c>
      <c r="B2052" s="1" t="s">
        <v>2040</v>
      </c>
      <c r="C2052" t="str">
        <f>IFERROR(__xludf.DUMMYFUNCTION("GOOGLETRANSLATE(B2052, ""fr"", ""en"")"),"Good Very useful in case of overflow layer on the sheets, if cold or gastrointestinal well to eliminate viruses ....")</f>
        <v>Good Very useful in case of overflow layer on the sheets, if cold or gastrointestinal well to eliminate viruses ....</v>
      </c>
    </row>
    <row r="2053">
      <c r="A2053" s="1">
        <v>5.0</v>
      </c>
      <c r="B2053" s="1" t="s">
        <v>2041</v>
      </c>
      <c r="C2053" t="str">
        <f>IFERROR(__xludf.DUMMYFUNCTION("GOOGLETRANSLATE(B2053, ""fr"", ""en"")"),"Nice product I buy this mic for my son who uses it very often on a suspended boom arm. It is good quality with a visual rendering great. I recommend this microphone, Classy")</f>
        <v>Nice product I buy this mic for my son who uses it very often on a suspended boom arm. It is good quality with a visual rendering great. I recommend this microphone, Classy</v>
      </c>
    </row>
    <row r="2054">
      <c r="A2054" s="1">
        <v>5.0</v>
      </c>
      <c r="B2054" s="1" t="s">
        <v>2042</v>
      </c>
      <c r="C2054" t="str">
        <f>IFERROR(__xludf.DUMMYFUNCTION("GOOGLETRANSLATE(B2054, ""fr"", ""en"")"),"Very good shoes my daughter love them!")</f>
        <v>Very good shoes my daughter love them!</v>
      </c>
    </row>
    <row r="2055">
      <c r="A2055" s="1">
        <v>5.0</v>
      </c>
      <c r="B2055" s="1" t="s">
        <v>2043</v>
      </c>
      <c r="C2055" t="str">
        <f>IFERROR(__xludf.DUMMYFUNCTION("GOOGLETRANSLATE(B2055, ""fr"", ""en"")"),"Superb Really suprise very good, wearable and pretty on the dial has a gradient color that is not a reflection as one might think in the photo, my son the love, more well received and quickly packed guarantee")</f>
        <v>Superb Really suprise very good, wearable and pretty on the dial has a gradient color that is not a reflection as one might think in the photo, my son the love, more well received and quickly packed guarantee</v>
      </c>
    </row>
    <row r="2056">
      <c r="A2056" s="1">
        <v>2.0</v>
      </c>
      <c r="B2056" s="1" t="s">
        <v>2044</v>
      </c>
      <c r="C2056" t="str">
        <f>IFERROR(__xludf.DUMMYFUNCTION("GOOGLETRANSLATE(B2056, ""fr"", ""en"")"),"Too little too small but c okay I'll offer")</f>
        <v>Too little too small but c okay I'll offer</v>
      </c>
    </row>
    <row r="2057">
      <c r="A2057" s="1">
        <v>1.0</v>
      </c>
      <c r="B2057" s="1" t="s">
        <v>2045</v>
      </c>
      <c r="C2057" t="str">
        <f>IFERROR(__xludf.DUMMYFUNCTION("GOOGLETRANSLATE(B2057, ""fr"", ""en"")"),"Scam !! Can not put the safety chain. Very disappointed. Do not take for pandora bracelet")</f>
        <v>Scam !! Can not put the safety chain. Very disappointed. Do not take for pandora bracelet</v>
      </c>
    </row>
    <row r="2058">
      <c r="A2058" s="1">
        <v>1.0</v>
      </c>
      <c r="B2058" s="1" t="s">
        <v>2046</v>
      </c>
      <c r="C2058" t="str">
        <f>IFERROR(__xludf.DUMMYFUNCTION("GOOGLETRANSLATE(B2058, ""fr"", ""en"")"),"Irrelevant cable with 2 bullets that makes cable manufactured in a hurry I took the first one that had that teach m")</f>
        <v>Irrelevant cable with 2 bullets that makes cable manufactured in a hurry I took the first one that had that teach m</v>
      </c>
    </row>
    <row r="2059">
      <c r="A2059" s="1">
        <v>3.0</v>
      </c>
      <c r="B2059" s="1" t="s">
        <v>2047</v>
      </c>
      <c r="C2059" t="str">
        <f>IFERROR(__xludf.DUMMYFUNCTION("GOOGLETRANSLATE(B2059, ""fr"", ""en"")"),"Solid is a bit small. But it is solid.")</f>
        <v>Solid is a bit small. But it is solid.</v>
      </c>
    </row>
    <row r="2060">
      <c r="A2060" s="1">
        <v>4.0</v>
      </c>
      <c r="B2060" s="1" t="s">
        <v>2048</v>
      </c>
      <c r="C2060" t="str">
        <f>IFERROR(__xludf.DUMMYFUNCTION("GOOGLETRANSLATE(B2060, ""fr"", ""en"")"),"Pretty headbands. Very pretty and well-encompassing as I like. The colors are consistent with the picture. The downside is that they cil relax during the day.")</f>
        <v>Pretty headbands. Very pretty and well-encompassing as I like. The colors are consistent with the picture. The downside is that they cil relax during the day.</v>
      </c>
    </row>
    <row r="2061">
      <c r="A2061" s="1">
        <v>4.0</v>
      </c>
      <c r="B2061" s="1" t="s">
        <v>2049</v>
      </c>
      <c r="C2061" t="str">
        <f>IFERROR(__xludf.DUMMYFUNCTION("GOOGLETRANSLATE(B2061, ""fr"", ""en"")"),"Please note the size !!! Good product, good finishes ... however please take at least 2 sizes above especially if like me you had a strong kick ... I just send my pair of 44 of the 45 when I put on the 43 usually ... I hope it will go ....")</f>
        <v>Please note the size !!! Good product, good finishes ... however please take at least 2 sizes above especially if like me you had a strong kick ... I just send my pair of 44 of the 45 when I put on the 43 usually ... I hope it will go ....</v>
      </c>
    </row>
    <row r="2062">
      <c r="A2062" s="1">
        <v>4.0</v>
      </c>
      <c r="B2062" s="1" t="s">
        <v>2050</v>
      </c>
      <c r="C2062" t="str">
        <f>IFERROR(__xludf.DUMMYFUNCTION("GOOGLETRANSLATE(B2062, ""fr"", ""en"")"),"Grid any bread A good grid Adjustments Temp affluent To order")</f>
        <v>Grid any bread A good grid Adjustments Temp affluent To order</v>
      </c>
    </row>
    <row r="2063">
      <c r="A2063" s="1">
        <v>4.0</v>
      </c>
      <c r="B2063" s="1" t="s">
        <v>2051</v>
      </c>
      <c r="C2063" t="str">
        <f>IFERROR(__xludf.DUMMYFUNCTION("GOOGLETRANSLATE(B2063, ""fr"", ""en"")"),"Good product quality. Shoes, I'll use them to walk!")</f>
        <v>Good product quality. Shoes, I'll use them to walk!</v>
      </c>
    </row>
    <row r="2064">
      <c r="A2064" s="1">
        <v>5.0</v>
      </c>
      <c r="B2064" s="1" t="s">
        <v>2052</v>
      </c>
      <c r="C2064" t="str">
        <f>IFERROR(__xludf.DUMMYFUNCTION("GOOGLETRANSLATE(B2064, ""fr"", ""en"")"),"t this sweatshirt is very well suited for my work is hot with his hood and having washed and rewashed, the fabric did not move I'm happy with my purchase")</f>
        <v>t this sweatshirt is very well suited for my work is hot with his hood and having washed and rewashed, the fabric did not move I'm happy with my purchase</v>
      </c>
    </row>
    <row r="2065">
      <c r="A2065" s="1">
        <v>5.0</v>
      </c>
      <c r="B2065" s="1" t="s">
        <v>2053</v>
      </c>
      <c r="C2065" t="str">
        <f>IFERROR(__xludf.DUMMYFUNCTION("GOOGLETRANSLATE(B2065, ""fr"", ""en"")"),"Very Good Very nice watch! And long warranty")</f>
        <v>Very Good Very nice watch! And long warranty</v>
      </c>
    </row>
    <row r="2066">
      <c r="A2066" s="1">
        <v>5.0</v>
      </c>
      <c r="B2066" s="1" t="s">
        <v>2054</v>
      </c>
      <c r="C2066" t="str">
        <f>IFERROR(__xludf.DUMMYFUNCTION("GOOGLETRANSLATE(B2066, ""fr"", ""en"")"),"Perfect converse, cut much perfect for my 5 year old daughter. Prune correctly, rather large. Not easy to slip on for kindergarten.")</f>
        <v>Perfect converse, cut much perfect for my 5 year old daughter. Prune correctly, rather large. Not easy to slip on for kindergarten.</v>
      </c>
    </row>
    <row r="2067">
      <c r="A2067" s="1">
        <v>5.0</v>
      </c>
      <c r="B2067" s="1" t="s">
        <v>2055</v>
      </c>
      <c r="C2067" t="str">
        <f>IFERROR(__xludf.DUMMYFUNCTION("GOOGLETRANSLATE(B2067, ""fr"", ""en"")"),"Comfortable great, I've never had blisters, this is the first time I feel so good in a running shoe")</f>
        <v>Comfortable great, I've never had blisters, this is the first time I feel so good in a running shoe</v>
      </c>
    </row>
    <row r="2068">
      <c r="A2068" s="1">
        <v>5.0</v>
      </c>
      <c r="B2068" s="1" t="s">
        <v>2056</v>
      </c>
      <c r="C2068" t="str">
        <f>IFERROR(__xludf.DUMMYFUNCTION("GOOGLETRANSLATE(B2068, ""fr"", ""en"")"),"Indispensable Fast delivery in good condition. Practice hand the number of pod even when baby is small and drinks several times the milk small dose. Small flat on the clip caps which tend to break but nothing prevents the use of pods. In case of loss of a"&amp;" cap, bottle caps hold very well.")</f>
        <v>Indispensable Fast delivery in good condition. Practice hand the number of pod even when baby is small and drinks several times the milk small dose. Small flat on the clip caps which tend to break but nothing prevents the use of pods. In case of loss of a cap, bottle caps hold very well.</v>
      </c>
    </row>
    <row r="2069">
      <c r="A2069" s="1">
        <v>5.0</v>
      </c>
      <c r="B2069" s="1" t="s">
        <v>2057</v>
      </c>
      <c r="C2069" t="str">
        <f>IFERROR(__xludf.DUMMYFUNCTION("GOOGLETRANSLATE(B2069, ""fr"", ""en"")"),"Perfect Works well")</f>
        <v>Perfect Works well</v>
      </c>
    </row>
    <row r="2070">
      <c r="A2070" s="1">
        <v>5.0</v>
      </c>
      <c r="B2070" s="1" t="s">
        <v>2058</v>
      </c>
      <c r="C2070" t="str">
        <f>IFERROR(__xludf.DUMMYFUNCTION("GOOGLETRANSLATE(B2070, ""fr"", ""en"")"),"Perfect handy case to keep them tidy, color choices They are in line with my expectations and good qualities I recommend")</f>
        <v>Perfect handy case to keep them tidy, color choices They are in line with my expectations and good qualities I recommend</v>
      </c>
    </row>
    <row r="2071">
      <c r="A2071" s="1">
        <v>5.0</v>
      </c>
      <c r="B2071" s="1" t="s">
        <v>2059</v>
      </c>
      <c r="C2071" t="str">
        <f>IFERROR(__xludf.DUMMYFUNCTION("GOOGLETRANSLATE(B2071, ""fr"", ""en"")"),"Meanwhile practice to travel! It's better than a handbag! Especially for a walk in the big cities!")</f>
        <v>Meanwhile practice to travel! It's better than a handbag! Especially for a walk in the big cities!</v>
      </c>
    </row>
    <row r="2072">
      <c r="A2072" s="1">
        <v>5.0</v>
      </c>
      <c r="B2072" s="1" t="s">
        <v>2060</v>
      </c>
      <c r="C2072" t="str">
        <f>IFERROR(__xludf.DUMMYFUNCTION("GOOGLETRANSLATE(B2072, ""fr"", ""en"")"),"Men's watch with backlight Rugged and stylish worn every day for almost a year and no problems or signs of deterioration I am very satisfied with my purchase.")</f>
        <v>Men's watch with backlight Rugged and stylish worn every day for almost a year and no problems or signs of deterioration I am very satisfied with my purchase.</v>
      </c>
    </row>
    <row r="2073">
      <c r="A2073" s="1">
        <v>5.0</v>
      </c>
      <c r="B2073" s="1" t="s">
        <v>2061</v>
      </c>
      <c r="C2073" t="str">
        <f>IFERROR(__xludf.DUMMYFUNCTION("GOOGLETRANSLATE(B2073, ""fr"", ""en"")"),"Quality good value for money. 😉 Very beautiful these earrings for the birthday of my daughter (5 years) they all mimi it rained him 😉")</f>
        <v>Quality good value for money. 😉 Very beautiful these earrings for the birthday of my daughter (5 years) they all mimi it rained him 😉</v>
      </c>
    </row>
    <row r="2074">
      <c r="A2074" s="1">
        <v>5.0</v>
      </c>
      <c r="B2074" s="1" t="s">
        <v>2062</v>
      </c>
      <c r="C2074" t="str">
        <f>IFERROR(__xludf.DUMMYFUNCTION("GOOGLETRANSLATE(B2074, ""fr"", ""en"")"),"Perfect Perfect! Very nice and light! Thank you")</f>
        <v>Perfect Perfect! Very nice and light! Thank you</v>
      </c>
    </row>
    <row r="2075">
      <c r="A2075" s="1">
        <v>5.0</v>
      </c>
      <c r="B2075" s="1" t="s">
        <v>2063</v>
      </c>
      <c r="C2075" t="str">
        <f>IFERROR(__xludf.DUMMYFUNCTION("GOOGLETRANSLATE(B2075, ""fr"", ""en"")"),"small, precise and sensitive, do not blow it is false far !!! used for powders, tare allows multiple containers.")</f>
        <v>small, precise and sensitive, do not blow it is false far !!! used for powders, tare allows multiple containers.</v>
      </c>
    </row>
    <row r="2076">
      <c r="A2076" s="1">
        <v>5.0</v>
      </c>
      <c r="B2076" s="1" t="s">
        <v>2064</v>
      </c>
      <c r="C2076" t="str">
        <f>IFERROR(__xludf.DUMMYFUNCTION("GOOGLETRANSLATE(B2076, ""fr"", ""en"")"),"Ideal for helping to duty Really perfect for my little niece.")</f>
        <v>Ideal for helping to duty Really perfect for my little niece.</v>
      </c>
    </row>
    <row r="2077">
      <c r="A2077" s="1">
        <v>5.0</v>
      </c>
      <c r="B2077" s="1" t="s">
        <v>2065</v>
      </c>
      <c r="C2077" t="str">
        <f>IFERROR(__xludf.DUMMYFUNCTION("GOOGLETRANSLATE(B2077, ""fr"", ""en"")"),"Lightweight and comfortable Used for an afternoon of shopping, top comfort. I recommend to all fans of shoes slippers. It feels like home.")</f>
        <v>Lightweight and comfortable Used for an afternoon of shopping, top comfort. I recommend to all fans of shoes slippers. It feels like home.</v>
      </c>
    </row>
    <row r="2078">
      <c r="A2078" s="1">
        <v>5.0</v>
      </c>
      <c r="B2078" s="1" t="s">
        <v>2066</v>
      </c>
      <c r="C2078" t="str">
        <f>IFERROR(__xludf.DUMMYFUNCTION("GOOGLETRANSLATE(B2078, ""fr"", ""en"")"),"Delivery and fast. Very good product.")</f>
        <v>Delivery and fast. Very good product.</v>
      </c>
    </row>
    <row r="2079">
      <c r="A2079" s="1">
        <v>2.0</v>
      </c>
      <c r="B2079" s="1" t="s">
        <v>2067</v>
      </c>
      <c r="C2079" t="str">
        <f>IFERROR(__xludf.DUMMYFUNCTION("GOOGLETRANSLATE(B2079, ""fr"", ""en"")"),"Colors faded I put this note as 5 of the 10 foam discolored: the color lighter foam has rubbed off on others. If foams are correct.")</f>
        <v>Colors faded I put this note as 5 of the 10 foam discolored: the color lighter foam has rubbed off on others. If foams are correct.</v>
      </c>
    </row>
    <row r="2080">
      <c r="A2080" s="1">
        <v>1.0</v>
      </c>
      <c r="B2080" s="1" t="s">
        <v>2068</v>
      </c>
      <c r="C2080" t="str">
        <f>IFERROR(__xludf.DUMMYFUNCTION("GOOGLETRANSLATE(B2080, ""fr"", ""en"")"),"For high school Hello calculator is well presented but for the price it should be tactile. It's a pity more the model is imposed by the school")</f>
        <v>For high school Hello calculator is well presented but for the price it should be tactile. It's a pity more the model is imposed by the school</v>
      </c>
    </row>
    <row r="2081">
      <c r="A2081" s="1">
        <v>3.0</v>
      </c>
      <c r="B2081" s="1" t="s">
        <v>2069</v>
      </c>
      <c r="C2081" t="str">
        <f>IFERROR(__xludf.DUMMYFUNCTION("GOOGLETRANSLATE(B2081, ""fr"", ""en"")"),"Problem loading problem. Do not care if TV off?")</f>
        <v>Problem loading problem. Do not care if TV off?</v>
      </c>
    </row>
    <row r="2082">
      <c r="A2082" s="1">
        <v>3.0</v>
      </c>
      <c r="B2082" s="1" t="s">
        <v>2070</v>
      </c>
      <c r="C2082" t="str">
        <f>IFERROR(__xludf.DUMMYFUNCTION("GOOGLETRANSLATE(B2082, ""fr"", ""en"")"),"basic very fine fabric")</f>
        <v>basic very fine fabric</v>
      </c>
    </row>
    <row r="2083">
      <c r="A2083" s="1">
        <v>4.0</v>
      </c>
      <c r="B2083" s="1" t="s">
        <v>2071</v>
      </c>
      <c r="C2083" t="str">
        <f>IFERROR(__xludf.DUMMYFUNCTION("GOOGLETRANSLATE(B2083, ""fr"", ""en"")"),"Nice little pendant The pendant is nice and well presented but do not rely too much on the small chain provided a bit thin and weak if c is for a child.")</f>
        <v>Nice little pendant The pendant is nice and well presented but do not rely too much on the small chain provided a bit thin and weak if c is for a child.</v>
      </c>
    </row>
    <row r="2084">
      <c r="A2084" s="1">
        <v>4.0</v>
      </c>
      <c r="B2084" s="1" t="s">
        <v>2072</v>
      </c>
      <c r="C2084" t="str">
        <f>IFERROR(__xludf.DUMMYFUNCTION("GOOGLETRANSLATE(B2084, ""fr"", ""en"")"),"Beware the large size because size They are pretty, unfortunately for me I took my usual size and not half size smaller so they are much too large even with two pairs of insoles.")</f>
        <v>Beware the large size because size They are pretty, unfortunately for me I took my usual size and not half size smaller so they are much too large even with two pairs of insoles.</v>
      </c>
    </row>
    <row r="2085">
      <c r="A2085" s="1">
        <v>4.0</v>
      </c>
      <c r="B2085" s="1" t="s">
        <v>2073</v>
      </c>
      <c r="C2085" t="str">
        <f>IFERROR(__xludf.DUMMYFUNCTION("GOOGLETRANSLATE(B2085, ""fr"", ""en"")"),"Simple and effective Good product!")</f>
        <v>Simple and effective Good product!</v>
      </c>
    </row>
    <row r="2086">
      <c r="A2086" s="1">
        <v>4.0</v>
      </c>
      <c r="B2086" s="1" t="s">
        <v>2074</v>
      </c>
      <c r="C2086" t="str">
        <f>IFERROR(__xludf.DUMMYFUNCTION("GOOGLETRANSLATE(B2086, ""fr"", ""en"")"),"It works effectively to relax a little and slightly alleviate some pain.")</f>
        <v>It works effectively to relax a little and slightly alleviate some pain.</v>
      </c>
    </row>
    <row r="2087">
      <c r="A2087" s="1">
        <v>5.0</v>
      </c>
      <c r="B2087" s="1" t="s">
        <v>2075</v>
      </c>
      <c r="C2087" t="str">
        <f>IFERROR(__xludf.DUMMYFUNCTION("GOOGLETRANSLATE(B2087, ""fr"", ""en"")"),"conform a little watch cool!")</f>
        <v>conform a little watch cool!</v>
      </c>
    </row>
    <row r="2088">
      <c r="A2088" s="1">
        <v>5.0</v>
      </c>
      <c r="B2088" s="1" t="s">
        <v>2076</v>
      </c>
      <c r="C2088" t="str">
        <f>IFERROR(__xludf.DUMMYFUNCTION("GOOGLETRANSLATE(B2088, ""fr"", ""en"")"),"Very large very functional Very good product, my husband is very satisfied with his bag")</f>
        <v>Very large very functional Very good product, my husband is very satisfied with his bag</v>
      </c>
    </row>
    <row r="2089">
      <c r="A2089" s="1">
        <v>5.0</v>
      </c>
      <c r="B2089" s="1" t="s">
        <v>2077</v>
      </c>
      <c r="C2089" t="str">
        <f>IFERROR(__xludf.DUMMYFUNCTION("GOOGLETRANSLATE(B2089, ""fr"", ""en"")"),"Effective I used that to my car. On the first morning, more than windows from misting")</f>
        <v>Effective I used that to my car. On the first morning, more than windows from misting</v>
      </c>
    </row>
    <row r="2090">
      <c r="A2090" s="1">
        <v>5.0</v>
      </c>
      <c r="B2090" s="1" t="s">
        <v>2078</v>
      </c>
      <c r="C2090" t="str">
        <f>IFERROR(__xludf.DUMMYFUNCTION("GOOGLETRANSLATE(B2090, ""fr"", ""en"")"),"Fleece Booties France. I took these shoes for my little boy of 9 years. They are beautiful very comfortable material is beautiful and they are hot. They are quite slippery in the first time. But my son loves them. Thank you and vivid Rondinaud")</f>
        <v>Fleece Booties France. I took these shoes for my little boy of 9 years. They are beautiful very comfortable material is beautiful and they are hot. They are quite slippery in the first time. But my son loves them. Thank you and vivid Rondinaud</v>
      </c>
    </row>
    <row r="2091">
      <c r="A2091" s="1">
        <v>5.0</v>
      </c>
      <c r="B2091" s="1" t="s">
        <v>2079</v>
      </c>
      <c r="C2091" t="str">
        <f>IFERROR(__xludf.DUMMYFUNCTION("GOOGLETRANSLATE(B2091, ""fr"", ""en"")"),"Good quality ! good quality cable - no problem.")</f>
        <v>Good quality ! good quality cable - no problem.</v>
      </c>
    </row>
    <row r="2092">
      <c r="A2092" s="1">
        <v>5.0</v>
      </c>
      <c r="B2092" s="1" t="s">
        <v>2080</v>
      </c>
      <c r="C2092" t="str">
        <f>IFERROR(__xludf.DUMMYFUNCTION("GOOGLETRANSLATE(B2092, ""fr"", ""en"")"),"Perfect !!! My food and my new graphics card could not function without this adapter and the result is up !! For some € I have avoided buying a new power supply My card is an Asus GeForce GTX 1070 Ti Cerberus and everything works perfectly")</f>
        <v>Perfect !!! My food and my new graphics card could not function without this adapter and the result is up !! For some € I have avoided buying a new power supply My card is an Asus GeForce GTX 1070 Ti Cerberus and everything works perfectly</v>
      </c>
    </row>
    <row r="2093">
      <c r="A2093" s="1">
        <v>5.0</v>
      </c>
      <c r="B2093" s="1" t="s">
        <v>2081</v>
      </c>
      <c r="C2093" t="str">
        <f>IFERROR(__xludf.DUMMYFUNCTION("GOOGLETRANSLATE(B2093, ""fr"", ""en"")"),"product quality good product. Ideal for baby bottles doddie")</f>
        <v>product quality good product. Ideal for baby bottles doddie</v>
      </c>
    </row>
    <row r="2094">
      <c r="A2094" s="1">
        <v>5.0</v>
      </c>
      <c r="B2094" s="1" t="s">
        <v>2082</v>
      </c>
      <c r="C2094" t="str">
        <f>IFERROR(__xludf.DUMMYFUNCTION("GOOGLETRANSLATE(B2094, ""fr"", ""en"")"),"Practical idea I love these papers! They allow you to do everything and anything, stickers, labels, the only limit is your imagination")</f>
        <v>Practical idea I love these papers! They allow you to do everything and anything, stickers, labels, the only limit is your imagination</v>
      </c>
    </row>
    <row r="2095">
      <c r="A2095" s="1">
        <v>5.0</v>
      </c>
      <c r="B2095" s="1" t="s">
        <v>2083</v>
      </c>
      <c r="C2095" t="str">
        <f>IFERROR(__xludf.DUMMYFUNCTION("GOOGLETRANSLATE(B2095, ""fr"", ""en"")"),"Very satisfied &lt;div id = ""video-block-R1UZMRT0G3RM2U"" class = ""a-section-spacing-small in-spacing-top mini video-block""&gt; &lt;div tabindex = ""0"" class = ""airy airy-svg vmin-unsupported airy-skin-beacon ""style ="" background-color: rgb (0, 0, 0); posit"&amp;"ion: relative; width: 100%; height: 100%; font-size: 0px; overflow: hidden; outline : none; ""&gt; &lt;div class ="" airy-renderer-container ""style ="" position: relative; height: 100%; width: 100%; ""&gt; &lt;video id ="" 15 ""preload ="" auto ""src ="" https://ima"&amp;"ges-eu.ssl-images-amazon.com/images/I/91S87hhqNnS.mp4 ""style ="" position: absolute; left: 0px; top: 0px; overflow: hidden; height: 1px; width: 1px ; ""&gt; &lt;/ video&gt; &lt;/ div&gt; &lt;div id ="" airy-slate-preload ""style ="" background-color: rgb (0, 0, 0); backgr"&amp;"ound-image: url (&amp; quot; https: // images-eu.ssl-images-amazon.com/images/I/81o-BceE5YS.png&amp;quot;); background-size: contain; background-position: center center; background-repeat: no-repeat; position: absolute; top : 0px; left: 0px; visibility: visible; "&amp;"width: 100%; height: 100% ""&gt; &lt;/ div&gt; &lt;iframe scrollin g = ""no"" frameborder = ""0"" src = ""about: blank"" style = ""display: none;""&gt; &lt;/ iframe&gt; &lt;div tabindex = ""- 1"" class = ""airy-controls-container"" style = "" opacity: 0; visibility: hidden; ""&gt; "&amp;"&lt;div tabindex ="" - 1 ""class ="" airy-screen-size-toggle airy-fullscreen ""&gt; &lt;/ div&gt; &lt;div tabindex ="" - 1 ""class ="" airy-container-bottom "" &gt; &lt;div tabindex = ""- 1"" class = ""airy-track-bar spacer-left"" style = ""width: 11px;""&gt; &lt;/ div&gt; &lt;div tabind"&amp;"ex = ""- 1"" class = ""airy-play- toggle airy-play ""style ="" width: 12px; margin-right: 12px; ""&gt; &lt;/ div&gt; &lt;div tabindex ="" - 1 ""class ="" airy-audio-elements ""style ="" float: right; width: 34px; ""&gt; &lt;div tabindex ="" - 1 ""class ="" airy-audio-toggl"&amp;"e airy-on ""&gt; &lt;/ div&gt; &lt;div tabindex ="" - 1 ""class ="" airy-audio-container ""style = ""opacity: 0; visibility: hidden; ""&gt; &lt;div tabindex ="" - 1 ""class ="" airy-audio-track-bar ""style ="" height: 80%; ""&gt; &lt;div tabindex ="" - 1 ""class ="" airy-audio- "&amp;"scrubber bar ""style ="" height: 85% ""&gt; &lt;/ div&gt; &lt;div tabindex ="" - 1 ""class ="" airy-audio-scrubber ""style ="" height: 12px; bottom: 85% ""&gt; &lt;/ div&gt; &lt;/ div&gt; &lt;/ div&gt; &lt;/ div&gt; &lt;div tabindex ="" - 1 ""class ="" airy-duration-label ""style ="" float: right"&amp;"; width: 26px; margin-right: 4px; text-align: center; ""&gt; 0:00 &lt;/ div&gt; &lt;div tabindex ="" - 1 ""class ="" airy-track-bar spacer-right ""style ="" float: right; width: 11px; ""&gt; &lt;/ div&gt; &lt;div tabindex ="" - 1 ""class ="" airy-track-bar-container ""style ="" "&amp;"margin-left: 35px; margin-right: 75px; ""&gt; &lt;div tabindex ="" - 1 ""class ="" airy-airy-track-bar vertical-centering-table ""&gt; &lt;div tabindex ="" - 1 ""class ="" airy-vertical-centering- table-cell ""&gt; &lt;div tabindex ="" - 1 ""class ="" airy-track-bar elemen"&amp;"ts ""&gt; &lt;div tabindex ="" - 1 ""class ="" airy-progress bar ""&gt; &lt;/ div&gt; &lt;div tabindex = ""- 1"" class = ""airy-scrubber bar""&gt; &lt;/ div&gt; &lt;div tabindex = ""- 1"" class = ""airy-scrubber""&gt; &lt;div tabindex = ""- 1"" class = ""airy-scrubber- icon ""&gt; &lt;/ div&gt; &lt;div"&amp;" tabindex ="" - 1 ""class ="" airy-adjusted-aui-tooltip ""style ="" opacity: 0; visibility: hidden; ""&gt; &lt;div tabindex ="" - 1 ""class ="" airy-adjusted-aui-tooltip-inner ""&gt; &lt;div tabindex ="" - 1 ""class ="" airy-current-time-label ""&gt; 0 00 &lt;/ div&gt; &lt;/ div"&amp;"&gt; &lt;div tabindex = ""- 1"" class = ""airy-adjusted-aui-arrow-border""&gt; &lt;div tabindex = ""- 1"" class = ""airy-adjusted-aui-arrow"" &gt; &lt;/ div&gt; &lt;/ div&gt; &lt;/ div&gt; &lt;/ div&gt; &lt;/ div&gt; &lt;/ div&gt; &lt;/ div&gt; &lt;/ div&gt; &lt;/ div&gt; &lt;/ div&gt; &lt;div tabindex = ""- 1"" class = ""airy-airy"&amp;"-age-gate course airy-vertical-centering table-airy-dialog""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W"&amp;"hat time were you born &lt;/ div&gt; &lt;div tabindex =.?"" - 1 ""class ="" airy-age-gate -inputs airy-dialog-inner-elements ""&gt; &lt;select tabindex ="" - 1 ""class ="" airy-age-gate-month ""&gt; &lt;option value ="" 1 ""&gt; January &lt;/ option&gt; &lt;option value ="" 2 ""&gt; Februar"&amp;"y &lt;/ option&gt; &lt;option value ="" 3 ""&gt; March &lt;/ option&gt; &lt;option value ="" 4 ""&gt; April &lt;/ option&gt; &lt;option value ="" 5 ""&gt; May &lt;/ option&gt; &lt;option value = ""6""&gt; June &lt;/ option&gt; &lt;option value = ""7""&gt; July &lt;/ option&gt; &lt;option value = ""8""&gt; August &lt;/ option&gt; &lt;o"&amp;"ption value = ""9""&gt; September &lt;/ option&gt; &lt;option value = ""10""&gt; October &lt;/ option&gt; &lt;option value = ""11""&gt; November &lt;/ option&gt; &lt;option value = ""12""&gt; December &lt;/ option&gt; &lt;/ select&gt; &lt;select tabindex = ""- 1"" class = ""airy-age-gate-day""&gt; &lt;opti = One v"&amp;"alue ""1""&gt; 1 &lt;/ option&gt; &lt;option value = ""2""&gt; 2 &lt;/ option&gt; &lt;option value = ""3""&gt; 3 &lt;/ option&gt; &lt;option value = ""4""&gt; 4 &lt;/ option &gt; &lt;option value = ""5""&gt; 5 &lt;/ option&gt; &lt;option value = ""6""&gt; 6 &lt;/ option&gt; &lt;option value = ""7""&gt; 7 &lt;/ option&gt; &lt;option value"&amp;" = ""8""&gt; 8 &lt; / option&gt; &lt;option value = ""9""&gt; 9 &lt;/ option&gt; &lt;option value = ""10""&gt; 10 &lt;/ option&gt; &lt;option value = ""11""&gt; 11 &lt;/ option&gt; &lt;option value = ""12""&gt; 12 &lt;/ option&gt; &lt;option value = ""13""&gt; 13 &lt;/ option&gt; &lt;option value = ""14""&gt; 14 &lt;/ option&gt; &lt;opti"&amp;"on value = ""15""&gt; 15 &lt;/ option&gt; &lt;option value = ""16 ""&gt; 16 &lt;/ option&gt; &lt;option value ="" 17 ""&gt; 17 &lt;/ option&gt; &lt;option value ="" 18 ""&gt; 18 &lt;/ option&gt; &lt;option value ="" 19 ""&gt; 19 &lt;/ option&gt; &lt;option value = ""20""&gt; 20 &lt;/ option&gt; &lt;option value = ""21""&gt; 21 &lt;"&amp;"/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optio"&amp;"n value = ""2018""&gt; 2018 &lt;/ option&gt; &lt;option value = ""2017""&gt; 2017 &lt;/ option&gt; &lt;option value = ""2016""&gt; ​​2016 &lt;/ option&gt; &lt;option value = ""2015""&gt; 2015 &lt;/ option &gt; &lt;option value = ""2014""&gt; 2014 &lt;/ option&gt; &lt;option value = ""2013""&gt; 2013 &lt;/ option&gt; &lt;optio"&amp;"n value = ""2012""&gt; 2012 &lt;/ option&gt; &lt;option value = ""2011""&gt; 2011 &lt; / option&gt; &lt;option value = ""2010""&gt; 2010 &lt;/ option&gt; &lt;option value = ""2009""&gt; 2009 &lt;/ option&gt; &lt;option value = ""2008""&gt; 2008 &lt;/ option&gt; &lt;option value = ""2007""&gt; 2007 &lt;/ option&gt; &lt;option "&amp;"value = ""2006""&gt; 2006 &lt;/ option&gt; &lt;option value = ""2005""&gt; 2005 &lt;/ option&gt; &lt;option value = ""2004""&gt; 2004 &lt;/ option&gt; &lt;option value = ""2003 ""&gt; 2003 &lt;/ option&gt; &lt;option value ="" 2002 ""&gt; 2002 &lt;/ option&gt; &lt;option value ="" 2001 ""&gt; 2001 &lt;/ option&gt; &lt;option "&amp;"value ="" 2000 ""&gt; 2000 &lt;/ option&gt; &lt;option value = ""1999""&gt; 1999 &lt;/ option&gt; &lt;option value = ""1998""&gt; 1998 &lt;/ option&gt; &lt;option value = ""1997""&gt; 1997 &lt;/ option&gt; &lt;option value = ""1996""&gt; 1996 &lt;/ option&gt; &lt;option value = ""1995""&gt; 1995 &lt;/ option&gt; &lt;option va"&amp;"lue = ""1994""&gt; 1994 &lt;/ option&gt; &lt;option value = ""1993""&gt; 1993 &lt;/ option&gt; &lt;option value = ""1992""&gt; 1992 &lt;/ option&gt; &lt;option value = ""1991""&gt; 1991 &lt;/ option&gt; &lt;option value = ""1990""&gt; 1990 &lt;/ option&gt; &lt;option value = "" 1989 ""&gt; 1989 &lt;/ option&gt; &lt;option val"&amp;"ue ="" 1988 ""&gt; 1988 &lt;/ option&gt; &lt;option value ="" 1987 ""&gt; 1987 &lt;/ option&gt; &lt;option value ="" 1986 ""&gt; 1986 &lt;/ option&gt; &lt;option value = ""1985""&gt; 1985 &lt;/ option&gt; &lt;option value = ""1984""&gt; 1984 &lt;/ option&gt; &lt;option value = ""1983""&gt; 1983 &lt;/ option&gt; &lt;option val"&amp;"ue = ""1982""&gt; 1982 &lt;/ option&gt; &lt; option value = ""1981""&gt; 1981 &lt;/ option&gt; &lt;option value = ""1980""&gt; 1980 &lt;/ option&gt; &lt;option value = ""1979""&gt; 1979 &lt;/ option&gt; &lt;option value = ""1978""&gt; 1978 &lt;/ option &gt; &lt;option value = ""1977""&gt; 1977 &lt;/ option&gt; &lt;option valu"&amp;"e = ""1976""&gt; 1976 &lt;/ option&gt; &lt;option value = ""1975""&gt; 1975 &lt;/ option&gt; &lt;option value = ""1974""&gt; 1974 &lt; / option&gt; &lt;option value = ""1973""&gt; 1973 &lt;/ option&gt; &lt;option value = ""1972""&gt; 1972 &lt;/ option&gt; &lt;option value = ""1971""&gt; 1971 &lt;/ option&gt; &lt;option value "&amp;"= ""1970""&gt;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="&amp;"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&lt;option value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""1"&amp;"928""&gt;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""1916""&gt;"&amp;" 1916 &lt;/ option&gt; &lt;option value = ""1915"" &gt; 1915 &lt;/ option&gt; &lt;option value = ""1914""&gt; 1914 &lt;/ option&gt; &lt;option value = ""1913""&gt; 1913 &lt;/ option&gt; &lt;option value = ""1912""&gt; 1912 &lt;/ option&gt; &lt;option value = "" 1911 ""&gt; 1911 &lt;/ option&gt; &lt;option value ="" 1910 """&amp;"&gt; 1910 &lt;/ option&gt; &lt;option value ="" 1909 ""&gt; 1909 &lt;/ option&gt; &lt;option value ="" 1908 ""&gt; 1908 &lt;/ option&gt; &lt;option value = ""1907""&gt; 1907 &lt;/ option&gt; &lt;option value = ""1906""&gt; 1906 &lt;/ option&gt; &lt;option value = ""1905""&gt; 1905 &lt;/ option&gt; &lt;option value = ""1904""&gt;"&amp;" 1904 &lt;/ option&gt; &lt; option value = ""1903""&gt; 1903 &lt;/ option&gt; &lt;option value = ""1902""&gt; 1902 &lt;/ option&gt; &lt;option value = ""1901""&gt; 19 01 &lt;/ option&gt; &lt;option value = ""1900""&gt; 1900 &lt;/ option&gt; &lt;/ select&gt; &lt;div tabindex = ""- 1"" class = ""airy-age-gate-submit ai"&amp;"ry-submit-button airy airy-submit- disabled ""&gt; Submit &lt;/ div&gt; &lt;/ div&gt; &lt;/ div&gt; &lt;/ div&gt; &lt;/ div&gt; &lt;/ div&gt; &lt;div tabindex ="" - 1 ""class ="" airy-install-flash-dialog airy-course airy -Vertical-centering-table dialog airy-airy-denied ""style ="" opacity: 0; v"&amp;"isibility: hidden; ""&gt; &lt;div tabindex ="" - 1 ""class ="" airy-install-flash-vertical-centering-table-cell airy-vertical-centering-table-cell ""&gt; &lt;div tabindex ="" - 1 ""class = ""airy-vertical-centering-wrapper airy-install-flash-elements-wrapper""&gt; &lt;div "&amp;"tabindex = ""- 1"" class = ""airy-install-flash-elements airy-dialog-elements""&gt; &lt;div tabindex = "" -1 ""class ="" airy-install-flash-prompt ""&gt; Adobe Flash Player is required to watch this video &lt;/ div&gt; &lt;div = tabindex."" - 1 ""class ="" airy-install-fla"&amp;"sh-button-wrapper airy -dialog-inner-elements ""&gt; &lt;div tabindex ="" - 1 ""class ="" airy-install-flash-button airy-button ""&gt; install Flash Player &lt;/ div&gt; &lt;/ div&gt; &lt;/ div&gt; &lt;/ div&gt; &lt;/ div&gt; &lt;/ div&gt; &lt;div tabindex = ""- 1"" class = ""airy-video-unsupported-dia"&amp;"log airy-course airy-vertical-centering table-airy-dialog airy-denied"" style = ""opacity: 0; visibility: hidden; ""&gt; &lt;div tabindex ="" - 1 ""class ="" airy-video-unsupported-vertical-centering-table-cell airy-vertical-centering-table-cell ""&gt; &lt;div tabind"&amp;"ex ="" - 1 ""class = ""airy-vertical-centering-wrapper airy-video-unsupported-elements-wrapper""&gt; &lt;div tabindex = ""- 1"" class = ""airy-video-unsupported-elements airy-dialog-elements""&gt; &lt;div tabindex = "" -1 ""class ="" airy-video-unsupported-prompt ""&gt;"&amp;" &lt;/ div&gt; &lt;/ div&gt; &lt;/ div&gt; &lt;/ div&gt; &lt;/ div&gt; &lt;div tabindex ="" - 1 ""class ="" airy-loading- spinner-stage airy-stage ""&gt; &lt;div tabindex ="" - 1 ""class ="" airy-loading-spinner-vertical-centering-table-cell airy-vertical-centering-table-cell ""&gt; &lt;div tabindex"&amp;" ="" - 1 ""class ="" airy-loading-spinner 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 airy-fullscreen ""style ="" visibility: hidden; ""&gt; &lt;/ div&gt; &lt;div tabindex = ""-1"" class = ""airy-ad-prompt-cont"&amp;"ainer"" style = ""visibility: hidden;""&gt; &lt;div tabindex = ""- 1"" class = ""airy-ad-prompt-vertical-centering table-airy-vertical- centering-table ""&gt; &lt;div tabindex ="" - 1 ""class ="" airy-ad-prompt-vertical-centering-table-cell airy-vertical-centering-ta"&amp;"ble-cell ""&gt; &lt;div tabindex ="" - 1 ""class = ""airy-ad-prompt-label""&gt; &lt;/ div&gt; &lt;/ div&gt; &lt;/ div&gt; &lt;/ div&gt; &lt;div tabindex = ""- 1"" class = ""airy-ads-controls-container"" style = ""visibility: hidden; ""&gt; &lt;div tabindex ="" - 1 ""class ="" airy-ads-audio-toggl"&amp;"e airy-audio-toggle airy-on ""style ="" visibility: hidden; ""&gt; &lt;/ div&gt; &lt;div tabindex ="" - 1 ""class ="" airy-time-remaining-label-container ""&gt; &lt;div tabindex ="" - 1 ""class ="" airy-time-remaining-vertical-centering table-airy-vertical-centering-table "&amp;"""&gt; &lt;div tabindex = ""- 1"" class = ""airy-time-remaining-vertical-centering-table-cell airy-vertical-centering-table-cell""&gt; &lt;div tabindex = ""- 1"" class = ""airy-vertical-centering-wrapper airy-time-remaining-label-wrapper ""&gt; &lt;div tabindex ="" - 1 ""c"&amp;"lass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airy-course airy-cursor""&gt; &lt;div tabindex = ""- 1"" cla"&amp;"ss = ""airy-play -toggle-hint-vertical-centering-table-cell airy-vertical-centering-table-cell airy-cursor ""&gt; &lt;div tabindex ="" - 1 ""class ="" airy-play-toggle-hint-container airy-scalable- hint-container ""&gt; &lt;div tabindex ="" - 1 ""class ="" airy-play-"&amp;"toggle-hint-dummy airy-scalable-dummy ""&gt; &lt;/ div&gt; &lt;div tabindex ="" - 1 ""class ="" airy-play -toggle airy-hint-hint-hint airy-play ""style ="" opacity: 1; visibility: visible; ""&gt; &lt;/ div&gt; &lt;/ div&gt; &lt;/ div&gt; &lt;/ div&gt; &lt;div tabindex ="" - 1 ""class ="" airy-rep"&amp;"lay-hint-stage airy-stage ""style ="" visibility: hidden ; ""&gt; &lt;div tabindex ="" - 1 ""class ="" airy-replay-hint-vertical-centering-table-cell airy-vertical-centering-table-cell airy-cursor ""&gt; &lt;div tabindex ="" - 1 ""class = ""airy-replay-hint-container"&amp;" airy-scalable-hint-container""&gt; &lt;div tabindex = ""- 1"" class = ""airy-replay-hint-dummy airy-scalable-dummy""&gt; &lt;/ div&gt; &lt;div tabindex = ""- 1"" class = ""airy-replay-hint airy-hint""&gt; &lt;/ div&gt; &lt;/ div&gt; &lt;/ div&gt; &lt;/ div&gt; &lt;div tabindex = ""- 1"" class = ""airy"&amp;"-autoplay-hint -stage airy-stage ""style ="" visibility: hidden; ""&gt; &lt;div tabindex ="" - 1 ""class ="" airy-autoplay-hint-vertical-centering-table-cell airy-vertical-centering-table-cell airy- cursor ""&gt; &lt;div tabindex ="" - 1 ""class ="" autoplay airy-air"&amp;"y-hint-container-scalable-hint-container ""&gt; &lt;div tabindex ="" - 1 ""class ="" airy-autoplay-hint-dummy airy- scalable-dummy ""&gt; &lt;/ div&gt; &lt;/ div&gt; &lt;/ div&gt; &lt;/ div&gt; &lt;/ div&gt; &lt;/ div&gt; &lt;input type ="" hidden ""name ="" ""value ="" https: // pictures-eu .ssl-image"&amp;" amazon.com / images / I / 91S87hhqNnS.mp4 ""Class ="" video-url ""&gt; &lt;input type ="" hidden ""name ="" ""value ="" https://images-eu.ssl-images-amazon.com/images/I/81o-BceE5YS.png ""class = ""video-slate-img-url""&gt; &amp; nbsp; The masseur is very easy to use."&amp;" It is very comfortable after the massage and promotes blood circulation. The massager can also be heated and massaged to relax. The intensity can be adjusted at any time. Profitable. Very satisfied.")</f>
        <v>Very satisfied &lt;div id = "video-block-R1UZMRT0G3RM2U" class = "a-section-spacing-small in-spacing-top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15 "preload =" auto "src =" https://images-eu.ssl-images-amazon.com/images/I/91S87hhqNnS.mp4 "style =" position: absolute; left: 0px; top: 0px; overflow: hidden; height: 1px; width: 1px ; "&gt; &lt;/ video&gt; &lt;/ div&gt; &lt;div id =" airy-slate-preload "style =" background-color: rgb (0, 0, 0); background-image: url (&amp; quot; https: // images-eu.ssl-images-amazon.com/images/I/81o-BceE5YS.png&amp;quot;); background-size: contain; background-position: center center; background-repeat: no-repeat; position: absolute; top : 0px; left: 0px; visibility: visible; width: 100%; height: 100% "&gt; &lt;/ div&gt; &lt;iframe scrollin 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91S87hhqNnS.mp4 "Class =" video-url "&gt; &lt;input type =" hidden "name =" "value =" https://images-eu.ssl-images-amazon.com/images/I/81o-BceE5YS.png "class = "video-slate-img-url"&gt; &amp; nbsp; The masseur is very easy to use. It is very comfortable after the massage and promotes blood circulation. The massager can also be heated and massaged to relax. The intensity can be adjusted at any time. Profitable. Very satisfied.</v>
      </c>
    </row>
    <row r="2096">
      <c r="A2096" s="1">
        <v>5.0</v>
      </c>
      <c r="B2096" s="1" t="s">
        <v>2084</v>
      </c>
      <c r="C2096" t="str">
        <f>IFERROR(__xludf.DUMMYFUNCTION("GOOGLETRANSLATE(B2096, ""fr"", ""en"")"),"As expected the bag perfectly fits the description, it is normal size, not too big, not too small. We can put a shelf, reading light without a problem. Quality is at the rendezvous, and look very nice. Its recipient appreciated and leaves more!")</f>
        <v>As expected the bag perfectly fits the description, it is normal size, not too big, not too small. We can put a shelf, reading light without a problem. Quality is at the rendezvous, and look very nice. Its recipient appreciated and leaves more!</v>
      </c>
    </row>
    <row r="2097">
      <c r="A2097" s="1">
        <v>5.0</v>
      </c>
      <c r="B2097" s="1" t="s">
        <v>2085</v>
      </c>
      <c r="C2097" t="str">
        <f>IFERROR(__xludf.DUMMYFUNCTION("GOOGLETRANSLATE(B2097, ""fr"", ""en"")"),"beautiful awakening my teenage daughter is delighted with her alarm clock. very design")</f>
        <v>beautiful awakening my teenage daughter is delighted with her alarm clock. very design</v>
      </c>
    </row>
    <row r="2098">
      <c r="A2098" s="1">
        <v>5.0</v>
      </c>
      <c r="B2098" s="1" t="s">
        <v>2086</v>
      </c>
      <c r="C2098" t="str">
        <f>IFERROR(__xludf.DUMMYFUNCTION("GOOGLETRANSLATE(B2098, ""fr"", ""en"")"),"Very good I loved my baby he drinks very well")</f>
        <v>Very good I loved my baby he drinks very well</v>
      </c>
    </row>
    <row r="2099">
      <c r="A2099" s="1">
        <v>5.0</v>
      </c>
      <c r="B2099" s="1" t="s">
        <v>2087</v>
      </c>
      <c r="C2099" t="str">
        <f>IFERROR(__xludf.DUMMYFUNCTION("GOOGLETRANSLATE(B2099, ""fr"", ""en"")"),"Super cartridge ink cartridge compatible with my Canon printer recognizes the chip Value excellent price ... I recommend")</f>
        <v>Super cartridge ink cartridge compatible with my Canon printer recognizes the chip Value excellent price ... I recommend</v>
      </c>
    </row>
    <row r="2100">
      <c r="A2100" s="1">
        <v>5.0</v>
      </c>
      <c r="B2100" s="1" t="s">
        <v>2088</v>
      </c>
      <c r="C2100" t="str">
        <f>IFERROR(__xludf.DUMMYFUNCTION("GOOGLETRANSLATE(B2100, ""fr"", ""en"")"),"Nikel very good product. the diams are stylish and they hold up well on the crown. Combs well fix the tiara")</f>
        <v>Nikel very good product. the diams are stylish and they hold up well on the crown. Combs well fix the tiara</v>
      </c>
    </row>
    <row r="2101">
      <c r="A2101" s="1">
        <v>5.0</v>
      </c>
      <c r="B2101" s="1" t="s">
        <v>2089</v>
      </c>
      <c r="C2101" t="str">
        <f>IFERROR(__xludf.DUMMYFUNCTION("GOOGLETRANSLATE(B2101, ""fr"", ""en"")"),"Top The design is beautiful and easy to carry.")</f>
        <v>Top The design is beautiful and easy to carry.</v>
      </c>
    </row>
    <row r="2102">
      <c r="A2102" s="1">
        <v>2.0</v>
      </c>
      <c r="B2102" s="1" t="s">
        <v>2090</v>
      </c>
      <c r="C2102" t="str">
        <f>IFERROR(__xludf.DUMMYFUNCTION("GOOGLETRANSLATE(B2102, ""fr"", ""en"")"),"unfortunately common practice as usual, after inserting a new cartridge, the printer share in a cycle of ""maintenance"" long and empty cartridges ... other result, I replace my yellow ink cartridge, and color magenta, which remained a quarter, is now emp"&amp;"ty! cyan, he remained a good third, is now just limit: well, well, what chance unhappy. I wonder if the same phenomenon occurs in other brands, this one comes in any case to lose a customer. Stop Pigeons.")</f>
        <v>unfortunately common practice as usual, after inserting a new cartridge, the printer share in a cycle of "maintenance" long and empty cartridges ... other result, I replace my yellow ink cartridge, and color magenta, which remained a quarter, is now empty! cyan, he remained a good third, is now just limit: well, well, what chance unhappy. I wonder if the same phenomenon occurs in other brands, this one comes in any case to lose a customer. Stop Pigeons.</v>
      </c>
    </row>
    <row r="2103">
      <c r="A2103" s="1">
        <v>1.0</v>
      </c>
      <c r="B2103" s="1" t="s">
        <v>2091</v>
      </c>
      <c r="C2103" t="str">
        <f>IFERROR(__xludf.DUMMYFUNCTION("GOOGLETRANSLATE(B2103, ""fr"", ""en"")"),"too small at first I have ordered this shoe for the job very attractive to BTW I took a size 45 to be on whatsoever big enough bad luck took ..ilaurai take 46 damage: (((((( (")</f>
        <v>too small at first I have ordered this shoe for the job very attractive to BTW I took a size 45 to be on whatsoever big enough bad luck took ..ilaurai take 46 damage: (((((( (</v>
      </c>
    </row>
    <row r="2104">
      <c r="A2104" s="1">
        <v>1.0</v>
      </c>
      <c r="B2104" s="1" t="s">
        <v>2092</v>
      </c>
      <c r="C2104" t="str">
        <f>IFERROR(__xludf.DUMMYFUNCTION("GOOGLETRANSLATE(B2104, ""fr"", ""en"")"),"The damaged box box does not conform to the picture. It is corrupt! The products have the correct air to see in time ...")</f>
        <v>The damaged box box does not conform to the picture. It is corrupt! The products have the correct air to see in time ...</v>
      </c>
    </row>
    <row r="2105">
      <c r="A2105" s="1">
        <v>3.0</v>
      </c>
      <c r="B2105" s="1" t="s">
        <v>2093</v>
      </c>
      <c r="C2105" t="str">
        <f>IFERROR(__xludf.DUMMYFUNCTION("GOOGLETRANSLATE(B2105, ""fr"", ""en"")"),"No more Good quality / price ... no more")</f>
        <v>No more Good quality / price ... no more</v>
      </c>
    </row>
    <row r="2106">
      <c r="A2106" s="1">
        <v>3.0</v>
      </c>
      <c r="B2106" s="1" t="s">
        <v>2094</v>
      </c>
      <c r="C2106" t="str">
        <f>IFERROR(__xludf.DUMMYFUNCTION("GOOGLETRANSLATE(B2106, ""fr"", ""en"")"),"Too bad for the few above scratch Very good small bag, deep enough to put a lot of things. Only downside, she got scratched all over. Otherwise it is top")</f>
        <v>Too bad for the few above scratch Very good small bag, deep enough to put a lot of things. Only downside, she got scratched all over. Otherwise it is top</v>
      </c>
    </row>
    <row r="2107">
      <c r="A2107" s="1">
        <v>4.0</v>
      </c>
      <c r="B2107" s="1" t="s">
        <v>2095</v>
      </c>
      <c r="C2107" t="str">
        <f>IFERROR(__xludf.DUMMYFUNCTION("GOOGLETRANSLATE(B2107, ""fr"", ""en"")"),"well Clasp consistent and good quality. Product that complies the description of the ad. Good size. Not disappointed by this product")</f>
        <v>well Clasp consistent and good quality. Product that complies the description of the ad. Good size. Not disappointed by this product</v>
      </c>
    </row>
    <row r="2108">
      <c r="A2108" s="1">
        <v>4.0</v>
      </c>
      <c r="B2108" s="1" t="s">
        <v>2096</v>
      </c>
      <c r="C2108" t="str">
        <f>IFERROR(__xludf.DUMMYFUNCTION("GOOGLETRANSLATE(B2108, ""fr"", ""en"")"),"Good pop filter for small micro The pop filter is more effective, even if a pop filter should be rather close to the mouth rather than the microphone. Caution, however, the elastic are quite tight and suit all microphones. I use it with the Bird UM1, it i"&amp;"s ideal, so you have to have an equivalent microphone.")</f>
        <v>Good pop filter for small micro The pop filter is more effective, even if a pop filter should be rather close to the mouth rather than the microphone. Caution, however, the elastic are quite tight and suit all microphones. I use it with the Bird UM1, it is ideal, so you have to have an equivalent microphone.</v>
      </c>
    </row>
    <row r="2109">
      <c r="A2109" s="1">
        <v>4.0</v>
      </c>
      <c r="B2109" s="1" t="s">
        <v>2097</v>
      </c>
      <c r="C2109" t="str">
        <f>IFERROR(__xludf.DUMMYFUNCTION("GOOGLETRANSLATE(B2109, ""fr"", ""en"")"),"bottle bottle miracle against miracle I would love to do quevla brand darker dashes them because it's hard sometimes to see maivsinon exellent")</f>
        <v>bottle bottle miracle against miracle I would love to do quevla brand darker dashes them because it's hard sometimes to see maivsinon exellent</v>
      </c>
    </row>
    <row r="2110">
      <c r="A2110" s="1">
        <v>4.0</v>
      </c>
      <c r="B2110" s="1" t="s">
        <v>2098</v>
      </c>
      <c r="C2110" t="str">
        <f>IFERROR(__xludf.DUMMYFUNCTION("GOOGLETRANSLATE(B2110, ""fr"", ""en"")"),"Excellent quality / price elegant machine, good quality .. Practice")</f>
        <v>Excellent quality / price elegant machine, good quality .. Practice</v>
      </c>
    </row>
    <row r="2111">
      <c r="A2111" s="1">
        <v>5.0</v>
      </c>
      <c r="B2111" s="1" t="s">
        <v>2099</v>
      </c>
      <c r="C2111" t="str">
        <f>IFERROR(__xludf.DUMMYFUNCTION("GOOGLETRANSLATE(B2111, ""fr"", ""en"")"),"good product impecc")</f>
        <v>good product impecc</v>
      </c>
    </row>
    <row r="2112">
      <c r="A2112" s="1">
        <v>5.0</v>
      </c>
      <c r="B2112" s="1" t="s">
        <v>2100</v>
      </c>
      <c r="C2112" t="str">
        <f>IFERROR(__xludf.DUMMYFUNCTION("GOOGLETRANSLATE(B2112, ""fr"", ""en"")"),"Superb I really love too beautiful and more super fast delivery so great")</f>
        <v>Superb I really love too beautiful and more super fast delivery so great</v>
      </c>
    </row>
    <row r="2113">
      <c r="A2113" s="1">
        <v>5.0</v>
      </c>
      <c r="B2113" s="1" t="s">
        <v>2101</v>
      </c>
      <c r="C2113" t="str">
        <f>IFERROR(__xludf.DUMMYFUNCTION("GOOGLETRANSLATE(B2113, ""fr"", ""en"")"),"Top Perfect, comes with hardware to reduce or enlarge the wrist circumference, super")</f>
        <v>Top Perfect, comes with hardware to reduce or enlarge the wrist circumference, super</v>
      </c>
    </row>
    <row r="2114">
      <c r="A2114" s="1">
        <v>5.0</v>
      </c>
      <c r="B2114" s="1" t="s">
        <v>2102</v>
      </c>
      <c r="C2114" t="str">
        <f>IFERROR(__xludf.DUMMYFUNCTION("GOOGLETRANSLATE(B2114, ""fr"", ""en"")"),"IDEAL FOR SPORTS These three pairs of socks are ideal for sports on carpet with their non-slip coating. But also for sports like fitness and strength training for me. More suited to an autumn or winter, they are quite thick and allow to let breathe feet. "&amp;"The price is very affordable for this quality product.")</f>
        <v>IDEAL FOR SPORTS These three pairs of socks are ideal for sports on carpet with their non-slip coating. But also for sports like fitness and strength training for me. More suited to an autumn or winter, they are quite thick and allow to let breathe feet. The price is very affordable for this quality product.</v>
      </c>
    </row>
    <row r="2115">
      <c r="A2115" s="1">
        <v>5.0</v>
      </c>
      <c r="B2115" s="1" t="s">
        <v>2103</v>
      </c>
      <c r="C2115" t="str">
        <f>IFERROR(__xludf.DUMMYFUNCTION("GOOGLETRANSLATE(B2115, ""fr"", ""en"")"),"Ok Jogging")</f>
        <v>Ok Jogging</v>
      </c>
    </row>
    <row r="2116">
      <c r="A2116" s="1">
        <v>5.0</v>
      </c>
      <c r="B2116" s="1" t="s">
        <v>2104</v>
      </c>
      <c r="C2116" t="str">
        <f>IFERROR(__xludf.DUMMYFUNCTION("GOOGLETRANSLATE(B2116, ""fr"", ""en"")"),". Very good underwear, the fabric is very soft, it is very comfortable to wear, it will not warp after some lavages.pafait!")</f>
        <v>. Very good underwear, the fabric is very soft, it is very comfortable to wear, it will not warp after some lavages.pafait!</v>
      </c>
    </row>
    <row r="2117">
      <c r="A2117" s="1">
        <v>5.0</v>
      </c>
      <c r="B2117" s="1" t="s">
        <v>2105</v>
      </c>
      <c r="C2117" t="str">
        <f>IFERROR(__xludf.DUMMYFUNCTION("GOOGLETRANSLATE(B2117, ""fr"", ""en"")"),"perfect soft sole for plant sensitive feet; Heel height sufficient to relieve lower back pain; suitable material for the rainy season half; looking sport without too fancy; Rugged, pretty, soft touch ... What else? My only regret is that we did not do in "&amp;"blue (more suitable for jeans). I surely redeem (I still have my first pair, white, dating from fifteen years: tired but entirely made portable). I am a fan!")</f>
        <v>perfect soft sole for plant sensitive feet; Heel height sufficient to relieve lower back pain; suitable material for the rainy season half; looking sport without too fancy; Rugged, pretty, soft touch ... What else? My only regret is that we did not do in blue (more suitable for jeans). I surely redeem (I still have my first pair, white, dating from fifteen years: tired but entirely made portable). I am a fan!</v>
      </c>
    </row>
    <row r="2118">
      <c r="A2118" s="1">
        <v>5.0</v>
      </c>
      <c r="B2118" s="1" t="s">
        <v>2106</v>
      </c>
      <c r="C2118" t="str">
        <f>IFERROR(__xludf.DUMMYFUNCTION("GOOGLETRANSLATE(B2118, ""fr"", ""en"")"),"paper drawing just a bit too lissse, I thought it would be a little rougher this is to make drawings in ink, I can not sketching color pencil, I'll try to make the felt, but it was not planned !!! ok delivery, perfect packaging, fair price")</f>
        <v>paper drawing just a bit too lissse, I thought it would be a little rougher this is to make drawings in ink, I can not sketching color pencil, I'll try to make the felt, but it was not planned !!! ok delivery, perfect packaging, fair price</v>
      </c>
    </row>
    <row r="2119">
      <c r="A2119" s="1">
        <v>5.0</v>
      </c>
      <c r="B2119" s="1" t="s">
        <v>2107</v>
      </c>
      <c r="C2119" t="str">
        <f>IFERROR(__xludf.DUMMYFUNCTION("GOOGLETRANSLATE(B2119, ""fr"", ""en"")"),"I recommend Good product")</f>
        <v>I recommend Good product</v>
      </c>
    </row>
    <row r="2120">
      <c r="A2120" s="1">
        <v>5.0</v>
      </c>
      <c r="B2120" s="1" t="s">
        <v>2108</v>
      </c>
      <c r="C2120" t="str">
        <f>IFERROR(__xludf.DUMMYFUNCTION("GOOGLETRANSLATE(B2120, ""fr"", ""en"")"),"Beautiful compression Nothing negative to say about this compression. He is perfect. Evacuates perfectly so no sweat smell. Light and pleasant. This size as expected.")</f>
        <v>Beautiful compression Nothing negative to say about this compression. He is perfect. Evacuates perfectly so no sweat smell. Light and pleasant. This size as expected.</v>
      </c>
    </row>
    <row r="2121">
      <c r="A2121" s="1">
        <v>5.0</v>
      </c>
      <c r="B2121" s="1" t="s">
        <v>2109</v>
      </c>
      <c r="C2121" t="str">
        <f>IFERROR(__xludf.DUMMYFUNCTION("GOOGLETRANSLATE(B2121, ""fr"", ""en"")"),"very well I bought a pair for my grandfather. He likes c warm and comfortable. It is cheap. I'll buy another pair for my grandmother asussi.")</f>
        <v>very well I bought a pair for my grandfather. He likes c warm and comfortable. It is cheap. I'll buy another pair for my grandmother asussi.</v>
      </c>
    </row>
    <row r="2122">
      <c r="A2122" s="1">
        <v>5.0</v>
      </c>
      <c r="B2122" s="1" t="s">
        <v>2110</v>
      </c>
      <c r="C2122" t="str">
        <f>IFERROR(__xludf.DUMMYFUNCTION("GOOGLETRANSLATE(B2122, ""fr"", ""en"")"),"Perfect Very effective, very easy deletion. Quick delivery")</f>
        <v>Perfect Very effective, very easy deletion. Quick delivery</v>
      </c>
    </row>
    <row r="2123">
      <c r="A2123" s="1">
        <v>5.0</v>
      </c>
      <c r="B2123" s="1" t="s">
        <v>2111</v>
      </c>
      <c r="C2123" t="str">
        <f>IFERROR(__xludf.DUMMYFUNCTION("GOOGLETRANSLATE(B2123, ""fr"", ""en"")"),"Perfect! Very good quality Lightweight Although manufactured Its excellent high performance Micro")</f>
        <v>Perfect! Very good quality Lightweight Although manufactured Its excellent high performance Micro</v>
      </c>
    </row>
    <row r="2124">
      <c r="A2124" s="1">
        <v>5.0</v>
      </c>
      <c r="B2124" s="1" t="s">
        <v>2112</v>
      </c>
      <c r="C2124" t="str">
        <f>IFERROR(__xludf.DUMMYFUNCTION("GOOGLETRANSLATE(B2124, ""fr"", ""en"")"),"Good remote lightweight and easy to use remote control to its PPT presentations. She makes me do! Good value for money.")</f>
        <v>Good remote lightweight and easy to use remote control to its PPT presentations. She makes me do! Good value for money.</v>
      </c>
    </row>
    <row r="2125">
      <c r="A2125" s="1">
        <v>5.0</v>
      </c>
      <c r="B2125" s="1" t="s">
        <v>2113</v>
      </c>
      <c r="C2125" t="str">
        <f>IFERROR(__xludf.DUMMYFUNCTION("GOOGLETRANSLATE(B2125, ""fr"", ""en"")"),"As beautiful bare feet, they are forgotten. It is very low. It fit well as pants as skirts .. Pleased with my purchase")</f>
        <v>As beautiful bare feet, they are forgotten. It is very low. It fit well as pants as skirts .. Pleased with my purchase</v>
      </c>
    </row>
    <row r="2126">
      <c r="A2126" s="1">
        <v>2.0</v>
      </c>
      <c r="B2126" s="1" t="s">
        <v>2114</v>
      </c>
      <c r="C2126" t="str">
        <f>IFERROR(__xludf.DUMMYFUNCTION("GOOGLETRANSLATE(B2126, ""fr"", ""en"")"),"Doubt about the authenticity I received the article, I took size M usually like all my sweaters except that it's very fair, almost too small, plus I have real doubts about the authenticity ... the étiquuete was ill placed, quality fabrics seems to me égra"&amp;"nge short, I do not recommend")</f>
        <v>Doubt about the authenticity I received the article, I took size M usually like all my sweaters except that it's very fair, almost too small, plus I have real doubts about the authenticity ... the étiquuete was ill placed, quality fabrics seems to me égrange short, I do not recommend</v>
      </c>
    </row>
    <row r="2127">
      <c r="A2127" s="1">
        <v>1.0</v>
      </c>
      <c r="B2127" s="1" t="s">
        <v>2115</v>
      </c>
      <c r="C2127" t="str">
        <f>IFERROR(__xludf.DUMMYFUNCTION("GOOGLETRANSLATE(B2127, ""fr"", ""en"")"),"Down following a night operation ... In the package insert: ""The security system has disabled irreversibly mattress heater."" Nice for us !! It should return the item to the customer service. Second post, first denied by amazon.")</f>
        <v>Down following a night operation ... In the package insert: "The security system has disabled irreversibly mattress heater." Nice for us !! It should return the item to the customer service. Second post, first denied by amazon.</v>
      </c>
    </row>
    <row r="2128">
      <c r="A2128" s="1">
        <v>1.0</v>
      </c>
      <c r="B2128" s="1" t="s">
        <v>2116</v>
      </c>
      <c r="C2128" t="str">
        <f>IFERROR(__xludf.DUMMYFUNCTION("GOOGLETRANSLATE(B2128, ""fr"", ""en"")"),"perfect for a nice walk but uncomfortable by against big pain for the other foot. There is a manufacturing defect which makes them unusable without the intervention of a shoemaker bad because many compliments on the look!")</f>
        <v>perfect for a nice walk but uncomfortable by against big pain for the other foot. There is a manufacturing defect which makes them unusable without the intervention of a shoemaker bad because many compliments on the look!</v>
      </c>
    </row>
    <row r="2129">
      <c r="A2129" s="1">
        <v>3.0</v>
      </c>
      <c r="B2129" s="1" t="s">
        <v>2117</v>
      </c>
      <c r="C2129" t="str">
        <f>IFERROR(__xludf.DUMMYFUNCTION("GOOGLETRANSLATE(B2129, ""fr"", ""en"")"),"Yes, but ... It sounds correct it is very light very well but this is so ca necessarily because it is so completely in plastic medium, I think for the price you can expect a better level and its finish")</f>
        <v>Yes, but ... It sounds correct it is very light very well but this is so ca necessarily because it is so completely in plastic medium, I think for the price you can expect a better level and its finish</v>
      </c>
    </row>
    <row r="2130">
      <c r="A2130" s="1">
        <v>4.0</v>
      </c>
      <c r="B2130" s="1" t="s">
        <v>2118</v>
      </c>
      <c r="C2130" t="str">
        <f>IFERROR(__xludf.DUMMYFUNCTION("GOOGLETRANSLATE(B2130, ""fr"", ""en"")"),"The article offered for a birthday bracelet that had its effect with much questioning of the magnets (although the effectiveness remains to be demonstrated on the well being of the wearer ... nobody is fooled!)")</f>
        <v>The article offered for a birthday bracelet that had its effect with much questioning of the magnets (although the effectiveness remains to be demonstrated on the well being of the wearer ... nobody is fooled!)</v>
      </c>
    </row>
    <row r="2131">
      <c r="A2131" s="1">
        <v>4.0</v>
      </c>
      <c r="B2131" s="1" t="s">
        <v>2119</v>
      </c>
      <c r="C2131" t="str">
        <f>IFERROR(__xludf.DUMMYFUNCTION("GOOGLETRANSLATE(B2131, ""fr"", ""en"")"),"Comfortable, friendly and saves a few centimeters. I put the shoes every day because-VERY comfortable.")</f>
        <v>Comfortable, friendly and saves a few centimeters. I put the shoes every day because-VERY comfortable.</v>
      </c>
    </row>
    <row r="2132">
      <c r="A2132" s="1">
        <v>4.0</v>
      </c>
      <c r="B2132" s="1" t="s">
        <v>2120</v>
      </c>
      <c r="C2132" t="str">
        <f>IFERROR(__xludf.DUMMYFUNCTION("GOOGLETRANSLATE(B2132, ""fr"", ""en"")"),"Longevity very well Nothing to say Tip top.")</f>
        <v>Longevity very well Nothing to say Tip top.</v>
      </c>
    </row>
    <row r="2133">
      <c r="A2133" s="1">
        <v>4.0</v>
      </c>
      <c r="B2133" s="1" t="s">
        <v>2121</v>
      </c>
      <c r="C2133" t="str">
        <f>IFERROR(__xludf.DUMMYFUNCTION("GOOGLETRANSLATE(B2133, ""fr"", ""en"")"),"Vintage bag very good and practical with its numerous pockets and shoulder suited more good quality / price ratio. A good buy.")</f>
        <v>Vintage bag very good and practical with its numerous pockets and shoulder suited more good quality / price ratio. A good buy.</v>
      </c>
    </row>
    <row r="2134">
      <c r="A2134" s="1">
        <v>4.0</v>
      </c>
      <c r="B2134" s="1" t="s">
        <v>2122</v>
      </c>
      <c r="C2134" t="str">
        <f>IFERROR(__xludf.DUMMYFUNCTION("GOOGLETRANSLATE(B2134, ""fr"", ""en"")"),"Good but not sure it's nike Not sure this is a real good product but nike")</f>
        <v>Good but not sure it's nike Not sure this is a real good product but nike</v>
      </c>
    </row>
    <row r="2135">
      <c r="A2135" s="1">
        <v>5.0</v>
      </c>
      <c r="B2135" s="1" t="s">
        <v>2123</v>
      </c>
      <c r="C2135" t="str">
        <f>IFERROR(__xludf.DUMMYFUNCTION("GOOGLETRANSLATE(B2135, ""fr"", ""en"")"),"easy convenient quick start to see then over time I just bought it and am served me 2 times")</f>
        <v>easy convenient quick start to see then over time I just bought it and am served me 2 times</v>
      </c>
    </row>
    <row r="2136">
      <c r="A2136" s="1">
        <v>5.0</v>
      </c>
      <c r="B2136" s="1" t="s">
        <v>2124</v>
      </c>
      <c r="C2136" t="str">
        <f>IFERROR(__xludf.DUMMYFUNCTION("GOOGLETRANSLATE(B2136, ""fr"", ""en"")"),"disinfectant always worn my hand I 'm often serve for handles, knobs zapettes tap keyboards etc. gastroenteritis is less present in my family. I like her perfume and efficiency")</f>
        <v>disinfectant always worn my hand I 'm often serve for handles, knobs zapettes tap keyboards etc. gastroenteritis is less present in my family. I like her perfume and efficiency</v>
      </c>
    </row>
    <row r="2137">
      <c r="A2137" s="1">
        <v>5.0</v>
      </c>
      <c r="B2137" s="1" t="s">
        <v>224</v>
      </c>
      <c r="C2137" t="str">
        <f>IFERROR(__xludf.DUMMYFUNCTION("GOOGLETRANSLATE(B2137, ""fr"", ""en"")"),"perfect perfect")</f>
        <v>perfect perfect</v>
      </c>
    </row>
    <row r="2138">
      <c r="A2138" s="1">
        <v>5.0</v>
      </c>
      <c r="B2138" s="1" t="s">
        <v>2125</v>
      </c>
      <c r="C2138" t="str">
        <f>IFERROR(__xludf.DUMMYFUNCTION("GOOGLETRANSLATE(B2138, ""fr"", ""en"")"),"Watch simple and effective! Second watch brand I buy is very satisfied with the first. This black model is simple and effective: no fuss, discrete class. She is super flat and goes everywhere: the strap easily adjusts to fit any wrist. Note the delivery i"&amp;"n a felt pouch the best taste! Still satisfied with the brand.")</f>
        <v>Watch simple and effective! Second watch brand I buy is very satisfied with the first. This black model is simple and effective: no fuss, discrete class. She is super flat and goes everywhere: the strap easily adjusts to fit any wrist. Note the delivery in a felt pouch the best taste! Still satisfied with the brand.</v>
      </c>
    </row>
    <row r="2139">
      <c r="A2139" s="1">
        <v>5.0</v>
      </c>
      <c r="B2139" s="1" t="s">
        <v>2126</v>
      </c>
      <c r="C2139" t="str">
        <f>IFERROR(__xludf.DUMMYFUNCTION("GOOGLETRANSLATE(B2139, ""fr"", ""en"")"),"Very good quality is top notch. The foot march is strong, my child is safe when he goes up top. I am delighted with this purchase, and he, too, can now wash their hands alone and watch me room without difficulty.")</f>
        <v>Very good quality is top notch. The foot march is strong, my child is safe when he goes up top. I am delighted with this purchase, and he, too, can now wash their hands alone and watch me room without difficulty.</v>
      </c>
    </row>
    <row r="2140">
      <c r="A2140" s="1">
        <v>5.0</v>
      </c>
      <c r="B2140" s="1" t="s">
        <v>2127</v>
      </c>
      <c r="C2140" t="str">
        <f>IFERROR(__xludf.DUMMYFUNCTION("GOOGLETRANSLATE(B2140, ""fr"", ""en"")"),"Perfect perfectly meets the expectations, fast shipping")</f>
        <v>Perfect perfectly meets the expectations, fast shipping</v>
      </c>
    </row>
    <row r="2141">
      <c r="A2141" s="1">
        <v>5.0</v>
      </c>
      <c r="B2141" s="1" t="s">
        <v>2128</v>
      </c>
      <c r="C2141" t="str">
        <f>IFERROR(__xludf.DUMMYFUNCTION("GOOGLETRANSLATE(B2141, ""fr"", ""en"")"),"Very good ss wireless headset gift for my spouse it is very conent Buy primarily for pre-game it is not clutter and can concentrate all by causing its overheating with the phone in the pocket Great sound good battery life I penseen buy a 2nd for me")</f>
        <v>Very good ss wireless headset gift for my spouse it is very conent Buy primarily for pre-game it is not clutter and can concentrate all by causing its overheating with the phone in the pocket Great sound good battery life I penseen buy a 2nd for me</v>
      </c>
    </row>
    <row r="2142">
      <c r="A2142" s="1">
        <v>5.0</v>
      </c>
      <c r="B2142" s="1" t="s">
        <v>2129</v>
      </c>
      <c r="C2142" t="str">
        <f>IFERROR(__xludf.DUMMYFUNCTION("GOOGLETRANSLATE(B2142, ""fr"", ""en"")"),"In the top ! Great Value. Anime Karaoke evenings with friends C's all we ask!")</f>
        <v>In the top ! Great Value. Anime Karaoke evenings with friends C's all we ask!</v>
      </c>
    </row>
    <row r="2143">
      <c r="A2143" s="1">
        <v>5.0</v>
      </c>
      <c r="B2143" s="1" t="s">
        <v>2130</v>
      </c>
      <c r="C2143" t="str">
        <f>IFERROR(__xludf.DUMMYFUNCTION("GOOGLETRANSLATE(B2143, ""fr"", ""en"")"),"Finally the day in winter! That's 15 days since I use this lamp. The design is not bad. The intensity of the light is perfect, I rather used the morning to a distance of about 20 cm and no more than 30 minutes, it alarm clock well and it sets up for the d"&amp;"ay. Having worries headache right now, I noticed that after only 10 minutes of use, they leave without taking a fee. So, I use it sometimes in the evening a quarter of an hour. The lamp is easy to transport even if it is a little imposing. I do not know i"&amp;"f it plays the blues because I have not bought it, but to have daylight in the winter. She filled this function perfectly!")</f>
        <v>Finally the day in winter! That's 15 days since I use this lamp. The design is not bad. The intensity of the light is perfect, I rather used the morning to a distance of about 20 cm and no more than 30 minutes, it alarm clock well and it sets up for the day. Having worries headache right now, I noticed that after only 10 minutes of use, they leave without taking a fee. So, I use it sometimes in the evening a quarter of an hour. The lamp is easy to transport even if it is a little imposing. I do not know if it plays the blues because I have not bought it, but to have daylight in the winter. She filled this function perfectly!</v>
      </c>
    </row>
    <row r="2144">
      <c r="A2144" s="1">
        <v>5.0</v>
      </c>
      <c r="B2144" s="1" t="s">
        <v>2131</v>
      </c>
      <c r="C2144" t="str">
        <f>IFERROR(__xludf.DUMMYFUNCTION("GOOGLETRANSLATE(B2144, ""fr"", ""en"")"),"Shoulder bag Eastpak Product received in time. Extremely satisfied with the bag, beautiful, practical, good size, very good quality. Good closures. I absolutely recommend.")</f>
        <v>Shoulder bag Eastpak Product received in time. Extremely satisfied with the bag, beautiful, practical, good size, very good quality. Good closures. I absolutely recommend.</v>
      </c>
    </row>
    <row r="2145">
      <c r="A2145" s="1">
        <v>5.0</v>
      </c>
      <c r="B2145" s="1" t="s">
        <v>2132</v>
      </c>
      <c r="C2145" t="str">
        <f>IFERROR(__xludf.DUMMYFUNCTION("GOOGLETRANSLATE(B2145, ""fr"", ""en"")"),"Perfect kit perfect for motherhood! Do not take up space and is complete! The bottom is here to stay!")</f>
        <v>Perfect kit perfect for motherhood! Do not take up space and is complete! The bottom is here to stay!</v>
      </c>
    </row>
    <row r="2146">
      <c r="A2146" s="1">
        <v>5.0</v>
      </c>
      <c r="B2146" s="1" t="s">
        <v>2133</v>
      </c>
      <c r="C2146" t="str">
        <f>IFERROR(__xludf.DUMMYFUNCTION("GOOGLETRANSLATE(B2146, ""fr"", ""en"")"),"A classic No bad surprise. Beautiful summer shoe.")</f>
        <v>A classic No bad surprise. Beautiful summer shoe.</v>
      </c>
    </row>
    <row r="2147">
      <c r="A2147" s="1">
        <v>5.0</v>
      </c>
      <c r="B2147" s="1" t="s">
        <v>2134</v>
      </c>
      <c r="C2147" t="str">
        <f>IFERROR(__xludf.DUMMYFUNCTION("GOOGLETRANSLATE(B2147, ""fr"", ""en"")"),"Good product Headphones are great from light, comfortable to wear and tight fit They quickly connect Bluetooth and as soon as the out of the box The battery holds a long time it's top")</f>
        <v>Good product Headphones are great from light, comfortable to wear and tight fit They quickly connect Bluetooth and as soon as the out of the box The battery holds a long time it's top</v>
      </c>
    </row>
    <row r="2148">
      <c r="A2148" s="1">
        <v>5.0</v>
      </c>
      <c r="B2148" s="1" t="s">
        <v>2135</v>
      </c>
      <c r="C2148" t="str">
        <f>IFERROR(__xludf.DUMMYFUNCTION("GOOGLETRANSLATE(B2148, ""fr"", ""en"")"),"good quality products and top service! good quality products and top service!")</f>
        <v>good quality products and top service! good quality products and top service!</v>
      </c>
    </row>
    <row r="2149">
      <c r="A2149" s="1">
        <v>5.0</v>
      </c>
      <c r="B2149" s="1" t="s">
        <v>2136</v>
      </c>
      <c r="C2149" t="str">
        <f>IFERROR(__xludf.DUMMYFUNCTION("GOOGLETRANSLATE(B2149, ""fr"", ""en"")"),"Good look stylish, neat finish I recommend surely. To see in time how they take. Quick delivery. I am delighted")</f>
        <v>Good look stylish, neat finish I recommend surely. To see in time how they take. Quick delivery. I am delighted</v>
      </c>
    </row>
    <row r="2150">
      <c r="A2150" s="1">
        <v>2.0</v>
      </c>
      <c r="B2150" s="1" t="s">
        <v>2137</v>
      </c>
      <c r="C2150" t="str">
        <f>IFERROR(__xludf.DUMMYFUNCTION("GOOGLETRANSLATE(B2150, ""fr"", ""en"")"),"For heavy legs I do not recommend low performance: poor bubbles. And especially not to disconnect the heating !!! frightful")</f>
        <v>For heavy legs I do not recommend low performance: poor bubbles. And especially not to disconnect the heating !!! frightful</v>
      </c>
    </row>
    <row r="2151">
      <c r="A2151" s="1">
        <v>1.0</v>
      </c>
      <c r="B2151" s="1" t="s">
        <v>2138</v>
      </c>
      <c r="C2151" t="str">
        <f>IFERROR(__xludf.DUMMYFUNCTION("GOOGLETRANSLATE(B2151, ""fr"", ""en"")"),"Mini unnecessary mixer I purchased this mixer DJControl COMPACT is totally useless there's no preview on the console or on the software. Go your way I would not recommend this product. I sent my product for hercules platinum instinct P8.")</f>
        <v>Mini unnecessary mixer I purchased this mixer DJControl COMPACT is totally useless there's no preview on the console or on the software. Go your way I would not recommend this product. I sent my product for hercules platinum instinct P8.</v>
      </c>
    </row>
    <row r="2152">
      <c r="A2152" s="1">
        <v>3.0</v>
      </c>
      <c r="B2152" s="1" t="s">
        <v>2139</v>
      </c>
      <c r="C2152" t="str">
        <f>IFERROR(__xludf.DUMMYFUNCTION("GOOGLETRANSLATE(B2152, ""fr"", ""en"")"),"Complies but ... compliant product quality and correct but beware! Only works with a specific food (we must add € 22 to the bill)")</f>
        <v>Complies but ... compliant product quality and correct but beware! Only works with a specific food (we must add € 22 to the bill)</v>
      </c>
    </row>
    <row r="2153">
      <c r="A2153" s="1">
        <v>3.0</v>
      </c>
      <c r="B2153" s="1" t="s">
        <v>2140</v>
      </c>
      <c r="C2153" t="str">
        <f>IFERROR(__xludf.DUMMYFUNCTION("GOOGLETRANSLATE(B2153, ""fr"", ""en"")"),"Good but a bit too small The product is of good qualities and solid seems, though the size really are not optimal for proper insulation acouqtique")</f>
        <v>Good but a bit too small The product is of good qualities and solid seems, though the size really are not optimal for proper insulation acouqtique</v>
      </c>
    </row>
    <row r="2154">
      <c r="A2154" s="1">
        <v>4.0</v>
      </c>
      <c r="B2154" s="1" t="s">
        <v>2141</v>
      </c>
      <c r="C2154" t="str">
        <f>IFERROR(__xludf.DUMMYFUNCTION("GOOGLETRANSLATE(B2154, ""fr"", ""en"")"),"Top I love great sound and effect")</f>
        <v>Top I love great sound and effect</v>
      </c>
    </row>
    <row r="2155">
      <c r="A2155" s="1">
        <v>4.0</v>
      </c>
      <c r="B2155" s="1" t="s">
        <v>2142</v>
      </c>
      <c r="C2155" t="str">
        <f>IFERROR(__xludf.DUMMYFUNCTION("GOOGLETRANSLATE(B2155, ""fr"", ""en"")"),"Good value after over a month of use, I can say I am satisfied with the product. Although at first when you open the box, the diffuser is plastic, giving a look ""cheap"", for use with the play of colors the product fits in the living room. The 500ml capa"&amp;"city is very large or too big for our living room. The product works well.")</f>
        <v>Good value after over a month of use, I can say I am satisfied with the product. Although at first when you open the box, the diffuser is plastic, giving a look "cheap", for use with the play of colors the product fits in the living room. The 500ml capacity is very large or too big for our living room. The product works well.</v>
      </c>
    </row>
    <row r="2156">
      <c r="A2156" s="1">
        <v>4.0</v>
      </c>
      <c r="B2156" s="1" t="s">
        <v>2143</v>
      </c>
      <c r="C2156" t="str">
        <f>IFERROR(__xludf.DUMMYFUNCTION("GOOGLETRANSLATE(B2156, ""fr"", ""en"")"),"Pretty good")</f>
        <v>Pretty good</v>
      </c>
    </row>
    <row r="2157">
      <c r="A2157" s="1">
        <v>4.0</v>
      </c>
      <c r="B2157" s="1" t="s">
        <v>2144</v>
      </c>
      <c r="C2157" t="str">
        <f>IFERROR(__xludf.DUMMYFUNCTION("GOOGLETRANSLATE(B2157, ""fr"", ""en"")"),"Very nice very nice sneakers to wear with a casual or dressed for offset. I am glad. Very comfortable.")</f>
        <v>Very nice very nice sneakers to wear with a casual or dressed for offset. I am glad. Very comfortable.</v>
      </c>
    </row>
    <row r="2158">
      <c r="A2158" s="1">
        <v>5.0</v>
      </c>
      <c r="B2158" s="1" t="s">
        <v>2145</v>
      </c>
      <c r="C2158" t="str">
        <f>IFERROR(__xludf.DUMMYFUNCTION("GOOGLETRANSLATE(B2158, ""fr"", ""en"")"),"Laminated Pouches of excellent quality, I recommend all my documents are well protected, they are quite thick and hold well")</f>
        <v>Laminated Pouches of excellent quality, I recommend all my documents are well protected, they are quite thick and hold well</v>
      </c>
    </row>
    <row r="2159">
      <c r="A2159" s="1">
        <v>5.0</v>
      </c>
      <c r="B2159" s="1" t="s">
        <v>2146</v>
      </c>
      <c r="C2159" t="str">
        <f>IFERROR(__xludf.DUMMYFUNCTION("GOOGLETRANSLATE(B2159, ""fr"", ""en"")"),"real quality product Super boots cheaper than store I really recommend, they are warm and pleasant but also very strong. Ideal for work on the farm")</f>
        <v>real quality product Super boots cheaper than store I really recommend, they are warm and pleasant but also very strong. Ideal for work on the farm</v>
      </c>
    </row>
    <row r="2160">
      <c r="A2160" s="1">
        <v>5.0</v>
      </c>
      <c r="B2160" s="1" t="s">
        <v>2147</v>
      </c>
      <c r="C2160" t="str">
        <f>IFERROR(__xludf.DUMMYFUNCTION("GOOGLETRANSLATE(B2160, ""fr"", ""en"")"),"Reading The first reading")</f>
        <v>Reading The first reading</v>
      </c>
    </row>
    <row r="2161">
      <c r="A2161" s="1">
        <v>5.0</v>
      </c>
      <c r="B2161" s="1" t="s">
        <v>2148</v>
      </c>
      <c r="C2161" t="str">
        <f>IFERROR(__xludf.DUMMYFUNCTION("GOOGLETRANSLATE(B2161, ""fr"", ""en"")"),"Good bed preparation ... Placed in the bed 1 hour before bed, what happiness to sneak into the warm sheets.")</f>
        <v>Good bed preparation ... Placed in the bed 1 hour before bed, what happiness to sneak into the warm sheets.</v>
      </c>
    </row>
    <row r="2162">
      <c r="A2162" s="1">
        <v>5.0</v>
      </c>
      <c r="B2162" s="1" t="s">
        <v>2149</v>
      </c>
      <c r="C2162" t="str">
        <f>IFERROR(__xludf.DUMMYFUNCTION("GOOGLETRANSLATE(B2162, ""fr"", ""en"")"),"H-Mastery Basketball I love Very Comfortable")</f>
        <v>H-Mastery Basketball I love Very Comfortable</v>
      </c>
    </row>
    <row r="2163">
      <c r="A2163" s="1">
        <v>5.0</v>
      </c>
      <c r="B2163" s="1" t="s">
        <v>2150</v>
      </c>
      <c r="C2163" t="str">
        <f>IFERROR(__xludf.DUMMYFUNCTION("GOOGLETRANSLATE(B2163, ""fr"", ""en"")"),"The toppp I'm really happy with this watch. Holds great the load (I'm 5 days without charging the watch and I still have 42% battery) facilr connection. Cardiac monitoring and sleep nickel. I just love it")</f>
        <v>The toppp I'm really happy with this watch. Holds great the load (I'm 5 days without charging the watch and I still have 42% battery) facilr connection. Cardiac monitoring and sleep nickel. I just love it</v>
      </c>
    </row>
    <row r="2164">
      <c r="A2164" s="1">
        <v>5.0</v>
      </c>
      <c r="B2164" s="1" t="s">
        <v>2151</v>
      </c>
      <c r="C2164" t="str">
        <f>IFERROR(__xludf.DUMMYFUNCTION("GOOGLETRANSLATE(B2164, ""fr"", ""en"")"),"Impeccable! The product perfectly fits the description. I mainly use the watch for sport with its ""stopwatch"" function. At the opening, visually, the watch is small but with the time it used to it quickly. Ideal for small wrists. Small flat for backligh"&amp;"ting that I find a bit low.")</f>
        <v>Impeccable! The product perfectly fits the description. I mainly use the watch for sport with its "stopwatch" function. At the opening, visually, the watch is small but with the time it used to it quickly. Ideal for small wrists. Small flat for backlighting that I find a bit low.</v>
      </c>
    </row>
    <row r="2165">
      <c r="A2165" s="1">
        <v>5.0</v>
      </c>
      <c r="B2165" s="1" t="s">
        <v>2152</v>
      </c>
      <c r="C2165" t="str">
        <f>IFERROR(__xludf.DUMMYFUNCTION("GOOGLETRANSLATE(B2165, ""fr"", ""en"")"),"great ideal to share a moment of pleasure and happiness with baby")</f>
        <v>great ideal to share a moment of pleasure and happiness with baby</v>
      </c>
    </row>
    <row r="2166">
      <c r="A2166" s="1">
        <v>5.0</v>
      </c>
      <c r="B2166" s="1" t="s">
        <v>2153</v>
      </c>
      <c r="C2166" t="str">
        <f>IFERROR(__xludf.DUMMYFUNCTION("GOOGLETRANSLATE(B2166, ""fr"", ""en"")"),"Very useful !!! No worries with this device, heats up quickly through the outlet, and just ready 5 minutes via the cigarette lighter ... It is very useful especially that fate often.")</f>
        <v>Very useful !!! No worries with this device, heats up quickly through the outlet, and just ready 5 minutes via the cigarette lighter ... It is very useful especially that fate often.</v>
      </c>
    </row>
    <row r="2167">
      <c r="A2167" s="1">
        <v>5.0</v>
      </c>
      <c r="B2167" s="1" t="s">
        <v>2154</v>
      </c>
      <c r="C2167" t="str">
        <f>IFERROR(__xludf.DUMMYFUNCTION("GOOGLETRANSLATE(B2167, ""fr"", ""en"")"),"Paper Laminating This paper is really good to laminate large documents or possibly two A4 sheets. I recommend it to everyone.")</f>
        <v>Paper Laminating This paper is really good to laminate large documents or possibly two A4 sheets. I recommend it to everyone.</v>
      </c>
    </row>
    <row r="2168">
      <c r="A2168" s="1">
        <v>5.0</v>
      </c>
      <c r="B2168" s="1" t="s">
        <v>2155</v>
      </c>
      <c r="C2168" t="str">
        <f>IFERROR(__xludf.DUMMYFUNCTION("GOOGLETRANSLATE(B2168, ""fr"", ""en"")"),"Perfect Really great for kids. My girls 4 and 7 years old love!")</f>
        <v>Perfect Really great for kids. My girls 4 and 7 years old love!</v>
      </c>
    </row>
    <row r="2169">
      <c r="A2169" s="1">
        <v>5.0</v>
      </c>
      <c r="B2169" s="1" t="s">
        <v>2156</v>
      </c>
      <c r="C2169" t="str">
        <f>IFERROR(__xludf.DUMMYFUNCTION("GOOGLETRANSLATE(B2169, ""fr"", ""en"")"),"comfortable sports")</f>
        <v>comfortable sports</v>
      </c>
    </row>
    <row r="2170">
      <c r="A2170" s="1">
        <v>5.0</v>
      </c>
      <c r="B2170" s="1" t="s">
        <v>2157</v>
      </c>
      <c r="C2170" t="str">
        <f>IFERROR(__xludf.DUMMYFUNCTION("GOOGLETRANSLATE(B2170, ""fr"", ""en"")"),"Lovely Micro is very effective The sound of this microphone is very nice. it quickly loaded and simple to use my daughter loves")</f>
        <v>Lovely Micro is very effective The sound of this microphone is very nice. it quickly loaded and simple to use my daughter loves</v>
      </c>
    </row>
    <row r="2171">
      <c r="A2171" s="1">
        <v>5.0</v>
      </c>
      <c r="B2171" s="1" t="s">
        <v>2158</v>
      </c>
      <c r="C2171" t="str">
        <f>IFERROR(__xludf.DUMMYFUNCTION("GOOGLETRANSLATE(B2171, ""fr"", ""en"")"),"Works well for First purchase offer. Second purchase also. The third order is for me. My friends are very happy with their headphones and I was able to confirm the quality. Very good value for money. Good sound. Hold well during my workout. I am glad.")</f>
        <v>Works well for First purchase offer. Second purchase also. The third order is for me. My friends are very happy with their headphones and I was able to confirm the quality. Very good value for money. Good sound. Hold well during my workout. I am glad.</v>
      </c>
    </row>
    <row r="2172">
      <c r="A2172" s="1">
        <v>5.0</v>
      </c>
      <c r="B2172" s="1" t="s">
        <v>2159</v>
      </c>
      <c r="C2172" t="str">
        <f>IFERROR(__xludf.DUMMYFUNCTION("GOOGLETRANSLATE(B2172, ""fr"", ""en"")"),"Very happy with this oil Perfect with pregnancy, por the moment it works. Odor and pleasant texture. I will continue after delivery expected in January.")</f>
        <v>Very happy with this oil Perfect with pregnancy, por the moment it works. Odor and pleasant texture. I will continue after delivery expected in January.</v>
      </c>
    </row>
    <row r="2173">
      <c r="A2173" s="1">
        <v>2.0</v>
      </c>
      <c r="B2173" s="1" t="s">
        <v>2160</v>
      </c>
      <c r="C2173" t="str">
        <f>IFERROR(__xludf.DUMMYFUNCTION("GOOGLETRANSLATE(B2173, ""fr"", ""en"")"),"Kettle down after only 1 month of use I am disappointed for a kettle at this price! The kettle does not work at all, yet normal everyday use.")</f>
        <v>Kettle down after only 1 month of use I am disappointed for a kettle at this price! The kettle does not work at all, yet normal everyday use.</v>
      </c>
    </row>
    <row r="2174">
      <c r="A2174" s="1">
        <v>1.0</v>
      </c>
      <c r="B2174" s="1" t="s">
        <v>2161</v>
      </c>
      <c r="C2174" t="str">
        <f>IFERROR(__xludf.DUMMYFUNCTION("GOOGLETRANSLATE(B2174, ""fr"", ""en"")"),"Just nice nothing more can just say it's very nice but then the level of bad quality tout.J'ai could wear it once because it has blackened a few hours after having seen the good porté.Mais price, no one loses much")</f>
        <v>Just nice nothing more can just say it's very nice but then the level of bad quality tout.J'ai could wear it once because it has blackened a few hours after having seen the good porté.Mais price, no one loses much</v>
      </c>
    </row>
    <row r="2175">
      <c r="A2175" s="1">
        <v>1.0</v>
      </c>
      <c r="B2175" s="1" t="s">
        <v>2162</v>
      </c>
      <c r="C2175" t="str">
        <f>IFERROR(__xludf.DUMMYFUNCTION("GOOGLETRANSLATE(B2175, ""fr"", ""en"")"),"NOT RELIABLE Hello. The bags break, tear s below closures. unnecessary items. Bad quality. C is very unpleasant a garbage bag breaks. Refund. cordially")</f>
        <v>NOT RELIABLE Hello. The bags break, tear s below closures. unnecessary items. Bad quality. C is very unpleasant a garbage bag breaks. Refund. cordially</v>
      </c>
    </row>
    <row r="2176">
      <c r="A2176" s="1">
        <v>3.0</v>
      </c>
      <c r="B2176" s="1" t="s">
        <v>2163</v>
      </c>
      <c r="C2176" t="str">
        <f>IFERROR(__xludf.DUMMYFUNCTION("GOOGLETRANSLATE(B2176, ""fr"", ""en"")"),"Beautiful Pretty poor quality tea but tea but disappointed in the quality. Indeed you can not touch the stainless steel when the water is warm at the risk of burning yourself (attention to children), and rust occurs at the junction of the lid and the cont"&amp;"ainer after only 3 months of use. ..")</f>
        <v>Beautiful Pretty poor quality tea but tea but disappointed in the quality. Indeed you can not touch the stainless steel when the water is warm at the risk of burning yourself (attention to children), and rust occurs at the junction of the lid and the container after only 3 months of use. ..</v>
      </c>
    </row>
    <row r="2177">
      <c r="A2177" s="1">
        <v>3.0</v>
      </c>
      <c r="B2177" s="1" t="s">
        <v>2164</v>
      </c>
      <c r="C2177" t="str">
        <f>IFERROR(__xludf.DUMMYFUNCTION("GOOGLETRANSLATE(B2177, ""fr"", ""en"")"),"This is a man shows (not woman) watch man with interesting features (including alarms). But: no instruction in French or guidance to remove links to the bracelet.")</f>
        <v>This is a man shows (not woman) watch man with interesting features (including alarms). But: no instruction in French or guidance to remove links to the bracelet.</v>
      </c>
    </row>
    <row r="2178">
      <c r="A2178" s="1">
        <v>4.0</v>
      </c>
      <c r="B2178" s="1" t="s">
        <v>2165</v>
      </c>
      <c r="C2178" t="str">
        <f>IFERROR(__xludf.DUMMYFUNCTION("GOOGLETRANSLATE(B2178, ""fr"", ""en"")"),"Sweat Sweat for autumn-winter I use to hang out at home. For use in autumn and winter because it gives quite warm. Goes to the dryer, even if the label it is not recommended. Hence ironing unnecessary. .")</f>
        <v>Sweat Sweat for autumn-winter I use to hang out at home. For use in autumn and winter because it gives quite warm. Goes to the dryer, even if the label it is not recommended. Hence ironing unnecessary. .</v>
      </c>
    </row>
    <row r="2179">
      <c r="A2179" s="1">
        <v>4.0</v>
      </c>
      <c r="B2179" s="1" t="s">
        <v>2166</v>
      </c>
      <c r="C2179" t="str">
        <f>IFERROR(__xludf.DUMMYFUNCTION("GOOGLETRANSLATE(B2179, ""fr"", ""en"")"),"Good! Well received at temps.Vendeur nice. Thank you for the note. I feel that with time the paper changes and becomes thinner, less fragrant and burns faster.")</f>
        <v>Good! Well received at temps.Vendeur nice. Thank you for the note. I feel that with time the paper changes and becomes thinner, less fragrant and burns faster.</v>
      </c>
    </row>
    <row r="2180">
      <c r="A2180" s="1">
        <v>4.0</v>
      </c>
      <c r="B2180" s="1" t="s">
        <v>2167</v>
      </c>
      <c r="C2180" t="str">
        <f>IFERROR(__xludf.DUMMYFUNCTION("GOOGLETRANSLATE(B2180, ""fr"", ""en"")"),"good article Printer")</f>
        <v>good article Printer</v>
      </c>
    </row>
    <row r="2181">
      <c r="A2181" s="1">
        <v>4.0</v>
      </c>
      <c r="B2181" s="1" t="s">
        <v>2168</v>
      </c>
      <c r="C2181" t="str">
        <f>IFERROR(__xludf.DUMMYFUNCTION("GOOGLETRANSLATE(B2181, ""fr"", ""en"")"),"Plays its role. It can be difficult to judge clearly enough the efficiency of such a product in a bathroom, damp room in the toilet, and meant to be adequately ventilated. Nevertheless, I found an attenuation of humidity sensation in the minutes following"&amp;" the waltz showers. The product is in the form of a blue tray on which a large white puck is fixed and which is covered with a kind of roof allowing passage of moisture. The water collected in the air ends up in the blue bin must be emptied when full. A s"&amp;"mall cap allows easy emptying water. Easy to install, therefore, and use. Just ask him somewhere. In a corner of the bathroom for me. It seems therefore do his job, after use on a full week.")</f>
        <v>Plays its role. It can be difficult to judge clearly enough the efficiency of such a product in a bathroom, damp room in the toilet, and meant to be adequately ventilated. Nevertheless, I found an attenuation of humidity sensation in the minutes following the waltz showers. The product is in the form of a blue tray on which a large white puck is fixed and which is covered with a kind of roof allowing passage of moisture. The water collected in the air ends up in the blue bin must be emptied when full. A small cap allows easy emptying water. Easy to install, therefore, and use. Just ask him somewhere. In a corner of the bathroom for me. It seems therefore do his job, after use on a full week.</v>
      </c>
    </row>
    <row r="2182">
      <c r="A2182" s="1">
        <v>5.0</v>
      </c>
      <c r="B2182" s="1" t="s">
        <v>2169</v>
      </c>
      <c r="C2182" t="str">
        <f>IFERROR(__xludf.DUMMYFUNCTION("GOOGLETRANSLATE(B2182, ""fr"", ""en"")"),"Consistent with the description, and appears robust (see time) For tea, and small size")</f>
        <v>Consistent with the description, and appears robust (see time) For tea, and small size</v>
      </c>
    </row>
    <row r="2183">
      <c r="A2183" s="1">
        <v>5.0</v>
      </c>
      <c r="B2183" s="1" t="s">
        <v>2170</v>
      </c>
      <c r="C2183" t="str">
        <f>IFERROR(__xludf.DUMMYFUNCTION("GOOGLETRANSLATE(B2183, ""fr"", ""en"")"),"Ras everything is perfect Fast, pleasant sound quality at this price is better change everything rather than go in search of a sapphire unusual vintage ... Audiophiles by upgrading")</f>
        <v>Ras everything is perfect Fast, pleasant sound quality at this price is better change everything rather than go in search of a sapphire unusual vintage ... Audiophiles by upgrading</v>
      </c>
    </row>
    <row r="2184">
      <c r="A2184" s="1">
        <v>5.0</v>
      </c>
      <c r="B2184" s="1" t="s">
        <v>2171</v>
      </c>
      <c r="C2184" t="str">
        <f>IFERROR(__xludf.DUMMYFUNCTION("GOOGLETRANSLATE(B2184, ""fr"", ""en"")"),"Good product good size Very good right size good quality and beautiful appearance right product")</f>
        <v>Good product good size Very good right size good quality and beautiful appearance right product</v>
      </c>
    </row>
    <row r="2185">
      <c r="A2185" s="1">
        <v>5.0</v>
      </c>
      <c r="B2185" s="1" t="s">
        <v>2172</v>
      </c>
      <c r="C2185" t="str">
        <f>IFERROR(__xludf.DUMMYFUNCTION("GOOGLETRANSLATE(B2185, ""fr"", ""en"")"),"Very nice water bottle water bottle beautiful, when it's on, it has a beautiful display of light blue, and the temperature of the digital display, the speed of the hot water is very fast, really perfect. My mother also left to help him buy another!")</f>
        <v>Very nice water bottle water bottle beautiful, when it's on, it has a beautiful display of light blue, and the temperature of the digital display, the speed of the hot water is very fast, really perfect. My mother also left to help him buy another!</v>
      </c>
    </row>
    <row r="2186">
      <c r="A2186" s="1">
        <v>5.0</v>
      </c>
      <c r="B2186" s="1" t="s">
        <v>2173</v>
      </c>
      <c r="C2186" t="str">
        <f>IFERROR(__xludf.DUMMYFUNCTION("GOOGLETRANSLATE(B2186, ""fr"", ""en"")"),"Very good behavior in the ears Finally headphones that fit in my ears during my running sessions on foot! They are lightweight deliver quality sound. For the autonomy I have not enough experience to talk about but it's enough for me")</f>
        <v>Very good behavior in the ears Finally headphones that fit in my ears during my running sessions on foot! They are lightweight deliver quality sound. For the autonomy I have not enough experience to talk about but it's enough for me</v>
      </c>
    </row>
    <row r="2187">
      <c r="A2187" s="1">
        <v>5.0</v>
      </c>
      <c r="B2187" s="1" t="s">
        <v>2174</v>
      </c>
      <c r="C2187" t="str">
        <f>IFERROR(__xludf.DUMMYFUNCTION("GOOGLETRANSLATE(B2187, ""fr"", ""en"")"),"Nikel Great product, as in my memories")</f>
        <v>Nikel Great product, as in my memories</v>
      </c>
    </row>
    <row r="2188">
      <c r="A2188" s="1">
        <v>5.0</v>
      </c>
      <c r="B2188" s="1" t="s">
        <v>2175</v>
      </c>
      <c r="C2188" t="str">
        <f>IFERROR(__xludf.DUMMYFUNCTION("GOOGLETRANSLATE(B2188, ""fr"", ""en"")"),"Perfect Matter is superb the perfect size. I love it. I will recommend")</f>
        <v>Perfect Matter is superb the perfect size. I love it. I will recommend</v>
      </c>
    </row>
    <row r="2189">
      <c r="A2189" s="1">
        <v>5.0</v>
      </c>
      <c r="B2189" s="1" t="s">
        <v>2176</v>
      </c>
      <c r="C2189" t="str">
        <f>IFERROR(__xludf.DUMMYFUNCTION("GOOGLETRANSLATE(B2189, ""fr"", ""en"")"),"Very elegant product consistent with the description, the bracelet comes in a nice box and an ideal bag for a gift. The closure system is clever. discreet pretty stylish. A buy and provide")</f>
        <v>Very elegant product consistent with the description, the bracelet comes in a nice box and an ideal bag for a gift. The closure system is clever. discreet pretty stylish. A buy and provide</v>
      </c>
    </row>
    <row r="2190">
      <c r="A2190" s="1">
        <v>5.0</v>
      </c>
      <c r="B2190" s="1" t="s">
        <v>2177</v>
      </c>
      <c r="C2190" t="str">
        <f>IFERROR(__xludf.DUMMYFUNCTION("GOOGLETRANSLATE(B2190, ""fr"", ""en"")"),"Ultra comfort hardly delivered immediately mises.je've worn them several days following, and comfort is unparalleled. I recommend them for their comfort and efficiency, you can face the water, mud, silt and other no problems .I was not tired and no inconv"&amp;"enience of having worn all day.")</f>
        <v>Ultra comfort hardly delivered immediately mises.je've worn them several days following, and comfort is unparalleled. I recommend them for their comfort and efficiency, you can face the water, mud, silt and other no problems .I was not tired and no inconvenience of having worn all day.</v>
      </c>
    </row>
    <row r="2191">
      <c r="A2191" s="1">
        <v>5.0</v>
      </c>
      <c r="B2191" s="1" t="s">
        <v>2178</v>
      </c>
      <c r="C2191" t="str">
        <f>IFERROR(__xludf.DUMMYFUNCTION("GOOGLETRANSLATE(B2191, ""fr"", ""en"")"),"Very good product after 4 months of regular use, I recommend this product. Along is the software update and find good tips on first use. The headphones are comfortable and good quality sound, including during calls in noisy places. A most--have")</f>
        <v>Very good product after 4 months of regular use, I recommend this product. Along is the software update and find good tips on first use. The headphones are comfortable and good quality sound, including during calls in noisy places. A most--have</v>
      </c>
    </row>
    <row r="2192">
      <c r="A2192" s="1">
        <v>5.0</v>
      </c>
      <c r="B2192" s="1" t="s">
        <v>508</v>
      </c>
      <c r="C2192" t="str">
        <f>IFERROR(__xludf.DUMMYFUNCTION("GOOGLETRANSLATE(B2192, ""fr"", ""en"")"),"Very well very well")</f>
        <v>Very well very well</v>
      </c>
    </row>
    <row r="2193">
      <c r="A2193" s="1">
        <v>5.0</v>
      </c>
      <c r="B2193" s="1" t="s">
        <v>2179</v>
      </c>
      <c r="C2193" t="str">
        <f>IFERROR(__xludf.DUMMYFUNCTION("GOOGLETRANSLATE(B2193, ""fr"", ""en"")"),"Excellent !!! Great product very well presented in his little bag frankly I advise all and I do not regret my purchase")</f>
        <v>Excellent !!! Great product very well presented in his little bag frankly I advise all and I do not regret my purchase</v>
      </c>
    </row>
    <row r="2194">
      <c r="A2194" s="1">
        <v>5.0</v>
      </c>
      <c r="B2194" s="1" t="s">
        <v>2180</v>
      </c>
      <c r="C2194" t="str">
        <f>IFERROR(__xludf.DUMMYFUNCTION("GOOGLETRANSLATE(B2194, ""fr"", ""en"")"),"Useful At first I doubted its going to be a different way than I would have imagined, but it is not the mytho it is consistent with the description, but also cheaper than some seller Yippee")</f>
        <v>Useful At first I doubted its going to be a different way than I would have imagined, but it is not the mytho it is consistent with the description, but also cheaper than some seller Yippee</v>
      </c>
    </row>
    <row r="2195">
      <c r="A2195" s="1">
        <v>5.0</v>
      </c>
      <c r="B2195" s="1" t="s">
        <v>2181</v>
      </c>
      <c r="C2195" t="str">
        <f>IFERROR(__xludf.DUMMYFUNCTION("GOOGLETRANSLATE(B2195, ""fr"", ""en"")"),"Very good very good as usual with this brand silicone However a little trouble with time but if the nipple does not crack is of good quality")</f>
        <v>Very good very good as usual with this brand silicone However a little trouble with time but if the nipple does not crack is of good quality</v>
      </c>
    </row>
    <row r="2196">
      <c r="A2196" s="1">
        <v>5.0</v>
      </c>
      <c r="B2196" s="1" t="s">
        <v>2182</v>
      </c>
      <c r="C2196" t="str">
        <f>IFERROR(__xludf.DUMMYFUNCTION("GOOGLETRANSLATE(B2196, ""fr"", ""en"")"),"Excellent value for money I highly recommend this pair BLUETOOTH headset. I was pleasantly surprised by the quality of materials and sound. Small detail connected easily and fast, the charge level is indicated for the connections with the smartphone. Exce"&amp;"llent battery life, in terms of sound quality are good bass and treble too. The case is also a charging base and increases autonomy. I recommend these headphones that can easily compete with the best known brands.")</f>
        <v>Excellent value for money I highly recommend this pair BLUETOOTH headset. I was pleasantly surprised by the quality of materials and sound. Small detail connected easily and fast, the charge level is indicated for the connections with the smartphone. Excellent battery life, in terms of sound quality are good bass and treble too. The case is also a charging base and increases autonomy. I recommend these headphones that can easily compete with the best known brands.</v>
      </c>
    </row>
    <row r="2197">
      <c r="A2197" s="1">
        <v>5.0</v>
      </c>
      <c r="B2197" s="1" t="s">
        <v>2183</v>
      </c>
      <c r="C2197" t="str">
        <f>IFERROR(__xludf.DUMMYFUNCTION("GOOGLETRANSLATE(B2197, ""fr"", ""en"")"),"Use warm jacket in winter.")</f>
        <v>Use warm jacket in winter.</v>
      </c>
    </row>
    <row r="2198">
      <c r="A2198" s="1">
        <v>2.0</v>
      </c>
      <c r="B2198" s="1" t="s">
        <v>2184</v>
      </c>
      <c r="C2198" t="str">
        <f>IFERROR(__xludf.DUMMYFUNCTION("GOOGLETRANSLATE(B2198, ""fr"", ""en"")"),"Not quite conform They do what they are told by contrast the ""click 3 times to the previous song"" does not work at all.")</f>
        <v>Not quite conform They do what they are told by contrast the "click 3 times to the previous song" does not work at all.</v>
      </c>
    </row>
    <row r="2199">
      <c r="A2199" s="1">
        <v>1.0</v>
      </c>
      <c r="B2199" s="1" t="s">
        <v>2185</v>
      </c>
      <c r="C2199" t="str">
        <f>IFERROR(__xludf.DUMMYFUNCTION("GOOGLETRANSLATE(B2199, ""fr"", ""en"")"),"USELESS! Paper ultra thin and raspy. I do not believe for one second to 4 and 5 star reviews, this is not possible. It's useless ...")</f>
        <v>USELESS! Paper ultra thin and raspy. I do not believe for one second to 4 and 5 star reviews, this is not possible. It's useless ...</v>
      </c>
    </row>
    <row r="2200">
      <c r="A2200" s="1">
        <v>1.0</v>
      </c>
      <c r="B2200" s="1" t="s">
        <v>2186</v>
      </c>
      <c r="C2200" t="str">
        <f>IFERROR(__xludf.DUMMYFUNCTION("GOOGLETRANSLATE(B2200, ""fr"", ""en"")"),"Avoid The strap broke less than 24 hours after the wire connecting the elements is too late")</f>
        <v>Avoid The strap broke less than 24 hours after the wire connecting the elements is too late</v>
      </c>
    </row>
    <row r="2201">
      <c r="A2201" s="1">
        <v>3.0</v>
      </c>
      <c r="B2201" s="1" t="s">
        <v>2187</v>
      </c>
      <c r="C2201" t="str">
        <f>IFERROR(__xludf.DUMMYFUNCTION("GOOGLETRANSLATE(B2201, ""fr"", ""en"")"),"LIFE: 1 YEAR! After wearing these Caterpillars almost every day (day), alternating with a different pair of shoes (in the evening), the rear sole of the heel is lifted. The report LIFE TIME / PRICE therefore be taken into consideration when buying.")</f>
        <v>LIFE: 1 YEAR! After wearing these Caterpillars almost every day (day), alternating with a different pair of shoes (in the evening), the rear sole of the heel is lifted. The report LIFE TIME / PRICE therefore be taken into consideration when buying.</v>
      </c>
    </row>
    <row r="2202">
      <c r="A2202" s="1">
        <v>3.0</v>
      </c>
      <c r="B2202" s="1" t="s">
        <v>2188</v>
      </c>
      <c r="C2202" t="str">
        <f>IFERROR(__xludf.DUMMYFUNCTION("GOOGLETRANSLATE(B2202, ""fr"", ""en"")"),"TBS Archer comfortable white tennis usual but this white model scratch is too large and wide in comparison to the black model laces same size (45) thus taking wrong foot! Forced to put a good sole.")</f>
        <v>TBS Archer comfortable white tennis usual but this white model scratch is too large and wide in comparison to the black model laces same size (45) thus taking wrong foot! Forced to put a good sole.</v>
      </c>
    </row>
    <row r="2203">
      <c r="A2203" s="1">
        <v>4.0</v>
      </c>
      <c r="B2203" s="1" t="s">
        <v>2189</v>
      </c>
      <c r="C2203" t="str">
        <f>IFERROR(__xludf.DUMMYFUNCTION("GOOGLETRANSLATE(B2203, ""fr"", ""en"")"),"all nice in my kitchen it does the job")</f>
        <v>all nice in my kitchen it does the job</v>
      </c>
    </row>
    <row r="2204">
      <c r="A2204" s="1">
        <v>4.0</v>
      </c>
      <c r="B2204" s="1" t="s">
        <v>2190</v>
      </c>
      <c r="C2204" t="str">
        <f>IFERROR(__xludf.DUMMYFUNCTION("GOOGLETRANSLATE(B2204, ""fr"", ""en"")"),"practice does good work")</f>
        <v>practice does good work</v>
      </c>
    </row>
    <row r="2205">
      <c r="A2205" s="1">
        <v>4.0</v>
      </c>
      <c r="B2205" s="1" t="s">
        <v>2191</v>
      </c>
      <c r="C2205" t="str">
        <f>IFERROR(__xludf.DUMMYFUNCTION("GOOGLETRANSLATE(B2205, ""fr"", ""en"")"),"Very good buy useful resistant")</f>
        <v>Very good buy useful resistant</v>
      </c>
    </row>
    <row r="2206">
      <c r="A2206" s="1">
        <v>4.0</v>
      </c>
      <c r="B2206" s="1" t="s">
        <v>2192</v>
      </c>
      <c r="C2206" t="str">
        <f>IFERROR(__xludf.DUMMYFUNCTION("GOOGLETRANSLATE(B2206, ""fr"", ""en"")"),"Not bad it's good to have an air vent hole this pacifier, by cons is fast for a newborn anyway.")</f>
        <v>Not bad it's good to have an air vent hole this pacifier, by cons is fast for a newborn anyway.</v>
      </c>
    </row>
    <row r="2207">
      <c r="A2207" s="1">
        <v>5.0</v>
      </c>
      <c r="B2207" s="1" t="s">
        <v>2193</v>
      </c>
      <c r="C2207" t="str">
        <f>IFERROR(__xludf.DUMMYFUNCTION("GOOGLETRANSLATE(B2207, ""fr"", ""en"")"),"Not bad at all. Excellent value product that makes its way more than respectable job. compact size, it is a nice touch for small spaces.")</f>
        <v>Not bad at all. Excellent value product that makes its way more than respectable job. compact size, it is a nice touch for small spaces.</v>
      </c>
    </row>
    <row r="2208">
      <c r="A2208" s="1">
        <v>5.0</v>
      </c>
      <c r="B2208" s="1" t="s">
        <v>2194</v>
      </c>
      <c r="C2208" t="str">
        <f>IFERROR(__xludf.DUMMYFUNCTION("GOOGLETRANSLATE(B2208, ""fr"", ""en"")"),"Indispensable The smell is a little low and it is a little difficult to break down drops (or is it just me who it incorrect) but my god, what a smell! I wanted the essential oil of lemon for so long and it has done its job so go for it!")</f>
        <v>Indispensable The smell is a little low and it is a little difficult to break down drops (or is it just me who it incorrect) but my god, what a smell! I wanted the essential oil of lemon for so long and it has done its job so go for it!</v>
      </c>
    </row>
    <row r="2209">
      <c r="A2209" s="1">
        <v>5.0</v>
      </c>
      <c r="B2209" s="1" t="s">
        <v>2195</v>
      </c>
      <c r="C2209" t="str">
        <f>IFERROR(__xludf.DUMMYFUNCTION("GOOGLETRANSLATE(B2209, ""fr"", ""en"")"),"Excellent convenient earphone. For the price it has a great sound design very cool without being uncomfortable or as flashy buttons are nice and easy to access and mic really well. The quality / price uneven'm getting e recommend after having tried severa"&amp;"l.")</f>
        <v>Excellent convenient earphone. For the price it has a great sound design very cool without being uncomfortable or as flashy buttons are nice and easy to access and mic really well. The quality / price uneven'm getting e recommend after having tried several.</v>
      </c>
    </row>
    <row r="2210">
      <c r="A2210" s="1">
        <v>5.0</v>
      </c>
      <c r="B2210" s="1" t="s">
        <v>2196</v>
      </c>
      <c r="C2210" t="str">
        <f>IFERROR(__xludf.DUMMYFUNCTION("GOOGLETRANSLATE(B2210, ""fr"", ""en"")"),"Very well done diploma in Classics, I chose this book to introduce my children to mythology. One reads about 3 episodes each evening. They claim it! The narration of the myths is child friendly, there is always outstanding at the end of the episode, and a"&amp;" small summary begins the next. We almost finished, I bought the two other volumes to continue. Flawless!")</f>
        <v>Very well done diploma in Classics, I chose this book to introduce my children to mythology. One reads about 3 episodes each evening. They claim it! The narration of the myths is child friendly, there is always outstanding at the end of the episode, and a small summary begins the next. We almost finished, I bought the two other volumes to continue. Flawless!</v>
      </c>
    </row>
    <row r="2211">
      <c r="A2211" s="1">
        <v>5.0</v>
      </c>
      <c r="B2211" s="1" t="s">
        <v>2197</v>
      </c>
      <c r="C2211" t="str">
        <f>IFERROR(__xludf.DUMMYFUNCTION("GOOGLETRANSLATE(B2211, ""fr"", ""en"")"),"Nice Very nice necklace end and discreet! There husband perfectly with an evening gown! I'm happy with this purchase")</f>
        <v>Nice Very nice necklace end and discreet! There husband perfectly with an evening gown! I'm happy with this purchase</v>
      </c>
    </row>
    <row r="2212">
      <c r="A2212" s="1">
        <v>5.0</v>
      </c>
      <c r="B2212" s="1" t="s">
        <v>2198</v>
      </c>
      <c r="C2212" t="str">
        <f>IFERROR(__xludf.DUMMYFUNCTION("GOOGLETRANSLATE(B2212, ""fr"", ""en"")"),"Top pajamas I just tried, it is top, fuid extra, large, cocooning effect guarantee I'll put often, I just ring the belt is staying in my hands, but good is not good serious. I recommend .")</f>
        <v>Top pajamas I just tried, it is top, fuid extra, large, cocooning effect guarantee I'll put often, I just ring the belt is staying in my hands, but good is not good serious. I recommend .</v>
      </c>
    </row>
    <row r="2213">
      <c r="A2213" s="1">
        <v>5.0</v>
      </c>
      <c r="B2213" s="1" t="s">
        <v>2199</v>
      </c>
      <c r="C2213" t="str">
        <f>IFERROR(__xludf.DUMMYFUNCTION("GOOGLETRANSLATE(B2213, ""fr"", ""en"")"),"Good product real product, no complaints")</f>
        <v>Good product real product, no complaints</v>
      </c>
    </row>
    <row r="2214">
      <c r="A2214" s="1">
        <v>5.0</v>
      </c>
      <c r="B2214" s="1" t="s">
        <v>2200</v>
      </c>
      <c r="C2214" t="str">
        <f>IFERROR(__xludf.DUMMYFUNCTION("GOOGLETRANSLATE(B2214, ""fr"", ""en"")"),"Well Satisfied")</f>
        <v>Well Satisfied</v>
      </c>
    </row>
    <row r="2215">
      <c r="A2215" s="1">
        <v>5.0</v>
      </c>
      <c r="B2215" s="1" t="s">
        <v>2201</v>
      </c>
      <c r="C2215" t="str">
        <f>IFERROR(__xludf.DUMMYFUNCTION("GOOGLETRANSLATE(B2215, ""fr"", ""en"")"),"very good product good battery, good sound, children and adults whoop")</f>
        <v>very good product good battery, good sound, children and adults whoop</v>
      </c>
    </row>
    <row r="2216">
      <c r="A2216" s="1">
        <v>5.0</v>
      </c>
      <c r="B2216" s="1" t="s">
        <v>2202</v>
      </c>
      <c r="C2216" t="str">
        <f>IFERROR(__xludf.DUMMYFUNCTION("GOOGLETRANSLATE(B2216, ""fr"", ""en"")"),"Top Great product I recommend hopping.")</f>
        <v>Top Great product I recommend hopping.</v>
      </c>
    </row>
    <row r="2217">
      <c r="A2217" s="1">
        <v>5.0</v>
      </c>
      <c r="B2217" s="1" t="s">
        <v>2203</v>
      </c>
      <c r="C2217" t="str">
        <f>IFERROR(__xludf.DUMMYFUNCTION("GOOGLETRANSLATE(B2217, ""fr"", ""en"")"),"Very beautiful object very beautiful device that makes little noise. It is not very big blow but little capacity ideal for cramped locations. It really decorated the room in addition to holding its primary role of essential oil diffuser")</f>
        <v>Very beautiful object very beautiful device that makes little noise. It is not very big blow but little capacity ideal for cramped locations. It really decorated the room in addition to holding its primary role of essential oil diffuser</v>
      </c>
    </row>
    <row r="2218">
      <c r="A2218" s="1">
        <v>5.0</v>
      </c>
      <c r="B2218" s="1" t="s">
        <v>2204</v>
      </c>
      <c r="C2218" t="str">
        <f>IFERROR(__xludf.DUMMYFUNCTION("GOOGLETRANSLATE(B2218, ""fr"", ""en"")"),"Good value Arrived quickly as always very happy with the pack even if I do not change the two together I bought meantime black ink")</f>
        <v>Good value Arrived quickly as always very happy with the pack even if I do not change the two together I bought meantime black ink</v>
      </c>
    </row>
    <row r="2219">
      <c r="A2219" s="1">
        <v>5.0</v>
      </c>
      <c r="B2219" s="1" t="s">
        <v>2205</v>
      </c>
      <c r="C2219" t="str">
        <f>IFERROR(__xludf.DUMMYFUNCTION("GOOGLETRANSLATE(B2219, ""fr"", ""en"")"),"corresponds to pending Fast delivery of the fragile but appears more effective product than the needle supplied with the disc rotates. My daughter could finally listen modern albums")</f>
        <v>corresponds to pending Fast delivery of the fragile but appears more effective product than the needle supplied with the disc rotates. My daughter could finally listen modern albums</v>
      </c>
    </row>
    <row r="2220">
      <c r="A2220" s="1">
        <v>5.0</v>
      </c>
      <c r="B2220" s="1" t="s">
        <v>2206</v>
      </c>
      <c r="C2220" t="str">
        <f>IFERROR(__xludf.DUMMYFUNCTION("GOOGLETRANSLATE(B2220, ""fr"", ""en"")"),"Good quality ... very satisfied ... Running. .. good running outfits. .. good quality and durable ... seem recommend in smaller size for the shorts to gain compression (M or L ...), high compressive well in M ​​... but because this will really elastic fab"&amp;"rics ... but next time the L ...")</f>
        <v>Good quality ... very satisfied ... Running. .. good running outfits. .. good quality and durable ... seem recommend in smaller size for the shorts to gain compression (M or L ...), high compressive well in M ​​... but because this will really elastic fabrics ... but next time the L ...</v>
      </c>
    </row>
    <row r="2221">
      <c r="A2221" s="1">
        <v>5.0</v>
      </c>
      <c r="B2221" s="1" t="s">
        <v>2207</v>
      </c>
      <c r="C2221" t="str">
        <f>IFERROR(__xludf.DUMMYFUNCTION("GOOGLETRANSLATE(B2221, ""fr"", ""en"")"),"Super good product its very good quality I am very satisfied with this headset and I recommend")</f>
        <v>Super good product its very good quality I am very satisfied with this headset and I recommend</v>
      </c>
    </row>
    <row r="2222">
      <c r="A2222" s="1">
        <v>2.0</v>
      </c>
      <c r="B2222" s="1" t="s">
        <v>2208</v>
      </c>
      <c r="C2222" t="str">
        <f>IFERROR(__xludf.DUMMYFUNCTION("GOOGLETRANSLATE(B2222, ""fr"", ""en"")"),"The brush for the bottle deforms two 15 days. The brush for the bottle deforms two 15 days, which allows no more clean bottles correctly. The small brush to the nipple on the other hand is fine!")</f>
        <v>The brush for the bottle deforms two 15 days. The brush for the bottle deforms two 15 days, which allows no more clean bottles correctly. The small brush to the nipple on the other hand is fine!</v>
      </c>
    </row>
    <row r="2223">
      <c r="A2223" s="1">
        <v>1.0</v>
      </c>
      <c r="B2223" s="1" t="s">
        <v>2209</v>
      </c>
      <c r="C2223" t="str">
        <f>IFERROR(__xludf.DUMMYFUNCTION("GOOGLETRANSLATE(B2223, ""fr"", ""en"")"),"Default Product arrived quickly flush, but the cartridge goes into default, it is useless, and I'm stuck, and I have to buy a cartridge ... Double expense! very dissatisfied")</f>
        <v>Default Product arrived quickly flush, but the cartridge goes into default, it is useless, and I'm stuck, and I have to buy a cartridge ... Double expense! very dissatisfied</v>
      </c>
    </row>
    <row r="2224">
      <c r="A2224" s="1">
        <v>1.0</v>
      </c>
      <c r="B2224" s="1" t="s">
        <v>2210</v>
      </c>
      <c r="C2224" t="str">
        <f>IFERROR(__xludf.DUMMYFUNCTION("GOOGLETRANSLATE(B2224, ""fr"", ""en"")"),"Disappointed Received the next day he took crack at the eyelets")</f>
        <v>Disappointed Received the next day he took crack at the eyelets</v>
      </c>
    </row>
    <row r="2225">
      <c r="A2225" s="1">
        <v>3.0</v>
      </c>
      <c r="B2225" s="1" t="s">
        <v>2211</v>
      </c>
      <c r="C2225" t="str">
        <f>IFERROR(__xludf.DUMMYFUNCTION("GOOGLETRANSLATE(B2225, ""fr"", ""en"")"),"Not a paragon of comfort Note that I have an old Sennheiser wired rather oriented conference / job, particularly light and excellent microphone, which inevitably color my experience. Anyway, I wanted wireless gamer, level and quality / price ratio it seem"&amp;"ed frequently recommended. The pros: - satisfactory sound quality - Solid and sturdy! - Excellent battery life (from my experience, 2 hour session in stereo - &amp; gt; ~ 10% battery) - The software is good, especially his little system dashboard damn good th"&amp;"at could become a permanent resident of my office. - He does not move a hair on the head. You can wheel in your living room without fear (I return below). The blah: - Micro pretty bad (from the Sennheiser under my Discord playmates wondered why I was sudd"&amp;"enly past ""in a basement"" ... at least it has the merit of being clear: '( .) - 7.1 surround sound that distorts (after to be honest I have not tested under conditions that could take advantage of the spatial, so I only saw the negative aspect.) - the i"&amp;"nsulation: the helmet does not fully isolate outside noise (not a problem for me, on the contrary), but stifles still not bad ... I feel that this positioning ""median"" satisfies no one in the end those. favoring immersion max will be disappointed, unlik"&amp;"e those like me who prefer to remain ""available"" to external requests will feel disconnected the arghs: -. Damn it's heavy - the arch could have been a little more! padded. there, it is positioned in the middle of my head it ends up hurting me (because "&amp;"e helmet is heavy, have I said?). - The ""clamp"" hard head! So yes ok, so he does not move a muscle during a session, but I had almost hurt maxillary first time. - Things are getting hot ! Not that the atria are unpleasant but again, why the hell is it a"&amp;"s strong greenhouse ?? Will gamers are supposed to do the pogo in front of their screen? Especially since the coup, if like me you are used to shift a headset to occasionally listen to someone who you speak, you end up with excessive pressure on the skull"&amp;" and it is not comfortable at all .. . in short, I am aware that many of these reactions are due to the fact that I have a particularly light wired ... Indeed, after a few days, I was already getting used to the weight and the wireless convenience is unde"&amp;"niable . I also know that some problems are systematic about wireless headsets (the average microphone, for example). Recognizing my limited representativeness, so I did not too sanctionnerai the product at this stage, but I must admit I'm a little disapp"&amp;"ointed ... I revisiterai perhaps this opinion with time :)")</f>
        <v>Not a paragon of comfort Note that I have an old Sennheiser wired rather oriented conference / job, particularly light and excellent microphone, which inevitably color my experience. Anyway, I wanted wireless gamer, level and quality / price ratio it seemed frequently recommended. The pros: - satisfactory sound quality - Solid and sturdy! - Excellent battery life (from my experience, 2 hour session in stereo - &amp; gt; ~ 10% battery) - The software is good, especially his little system dashboard damn good that could become a permanent resident of my office. - He does not move a hair on the head. You can wheel in your living room without fear (I return below). The blah: - Micro pretty bad (from the Sennheiser under my Discord playmates wondered why I was suddenly past "in a basement" ... at least it has the merit of being clear: '( .) - 7.1 surround sound that distorts (after to be honest I have not tested under conditions that could take advantage of the spatial, so I only saw the negative aspect.) - the insulation: the helmet does not fully isolate outside noise (not a problem for me, on the contrary), but stifles still not bad ... I feel that this positioning "median" satisfies no one in the end those. favoring immersion max will be disappointed, unlike those like me who prefer to remain "available" to external requests will feel disconnected the arghs: -. Damn it's heavy - the arch could have been a little more! padded. there, it is positioned in the middle of my head it ends up hurting me (because e helmet is heavy, have I said?). - The "clamp" hard head! So yes ok, so he does not move a muscle during a session, but I had almost hurt maxillary first time. - Things are getting hot ! Not that the atria are unpleasant but again, why the hell is it as strong greenhouse ?? Will gamers are supposed to do the pogo in front of their screen? Especially since the coup, if like me you are used to shift a headset to occasionally listen to someone who you speak, you end up with excessive pressure on the skull and it is not comfortable at all .. . in short, I am aware that many of these reactions are due to the fact that I have a particularly light wired ... Indeed, after a few days, I was already getting used to the weight and the wireless convenience is undeniable . I also know that some problems are systematic about wireless headsets (the average microphone, for example). Recognizing my limited representativeness, so I did not too sanctionnerai the product at this stage, but I must admit I'm a little disappointed ... I revisiterai perhaps this opinion with time :)</v>
      </c>
    </row>
    <row r="2226">
      <c r="A2226" s="1">
        <v>4.0</v>
      </c>
      <c r="B2226" s="1" t="s">
        <v>2212</v>
      </c>
      <c r="C2226" t="str">
        <f>IFERROR(__xludf.DUMMYFUNCTION("GOOGLETRANSLATE(B2226, ""fr"", ""en"")"),"Good A little loud for my taste")</f>
        <v>Good A little loud for my taste</v>
      </c>
    </row>
    <row r="2227">
      <c r="A2227" s="1">
        <v>4.0</v>
      </c>
      <c r="B2227" s="1" t="s">
        <v>2213</v>
      </c>
      <c r="C2227" t="str">
        <f>IFERROR(__xludf.DUMMYFUNCTION("GOOGLETRANSLATE(B2227, ""fr"", ""en"")"),"Not bad bottle pack very well to start the output of motherhood, even if it is good to clarify that it will invest a little to say to have enough stock bottle for the first month. Loved these products, yet I am used to the Mam brand, very good too, but th"&amp;"e formats of anti-collic bottles bothering me during cleaning, because of their silicone valve, it was completely disassemble Everytime. Here the bottles are light light, though sturdy, enrollment hold up well even after several washings in the dishwasher"&amp;". Teats sound good, but still very soft, suitable for small mouths.")</f>
        <v>Not bad bottle pack very well to start the output of motherhood, even if it is good to clarify that it will invest a little to say to have enough stock bottle for the first month. Loved these products, yet I am used to the Mam brand, very good too, but the formats of anti-collic bottles bothering me during cleaning, because of their silicone valve, it was completely disassemble Everytime. Here the bottles are light light, though sturdy, enrollment hold up well even after several washings in the dishwasher. Teats sound good, but still very soft, suitable for small mouths.</v>
      </c>
    </row>
    <row r="2228">
      <c r="A2228" s="1">
        <v>4.0</v>
      </c>
      <c r="B2228" s="1" t="s">
        <v>2214</v>
      </c>
      <c r="C2228" t="str">
        <f>IFERROR(__xludf.DUMMYFUNCTION("GOOGLETRANSLATE(B2228, ""fr"", ""en"")"),"Superb .. but beautiful necklace and loved Caution was the price reduction is not real The rest of the product made in china sham")</f>
        <v>Superb .. but beautiful necklace and loved Caution was the price reduction is not real The rest of the product made in china sham</v>
      </c>
    </row>
    <row r="2229">
      <c r="A2229" s="1">
        <v>4.0</v>
      </c>
      <c r="B2229" s="1" t="s">
        <v>2215</v>
      </c>
      <c r="C2229" t="str">
        <f>IFERROR(__xludf.DUMMYFUNCTION("GOOGLETRANSLATE(B2229, ""fr"", ""en"")"),"Great helmet Great helmet hurts my ears when one is a little too long for me with")</f>
        <v>Great helmet Great helmet hurts my ears when one is a little too long for me with</v>
      </c>
    </row>
    <row r="2230">
      <c r="A2230" s="1">
        <v>5.0</v>
      </c>
      <c r="B2230" s="1" t="s">
        <v>2216</v>
      </c>
      <c r="C2230" t="str">
        <f>IFERROR(__xludf.DUMMYFUNCTION("GOOGLETRANSLATE(B2230, ""fr"", ""en"")"),"Perfect Very beautiful design, and comfortable. I preferred changed soles to put leather shoes because my son sweats too legs and c is nickel")</f>
        <v>Perfect Very beautiful design, and comfortable. I preferred changed soles to put leather shoes because my son sweats too legs and c is nickel</v>
      </c>
    </row>
    <row r="2231">
      <c r="A2231" s="1">
        <v>5.0</v>
      </c>
      <c r="B2231" s="1" t="s">
        <v>2217</v>
      </c>
      <c r="C2231" t="str">
        <f>IFERROR(__xludf.DUMMYFUNCTION("GOOGLETRANSLATE(B2231, ""fr"", ""en"")"),"Very good book series of books easy to read.")</f>
        <v>Very good book series of books easy to read.</v>
      </c>
    </row>
    <row r="2232">
      <c r="A2232" s="1">
        <v>5.0</v>
      </c>
      <c r="B2232" s="1" t="s">
        <v>2218</v>
      </c>
      <c r="C2232" t="str">
        <f>IFERROR(__xludf.DUMMYFUNCTION("GOOGLETRANSLATE(B2232, ""fr"", ""en"")"),"Very satisfied The box is very pretty. Jewelry is well finished, I was afraid they make toys, but no, they are really good.")</f>
        <v>Very satisfied The box is very pretty. Jewelry is well finished, I was afraid they make toys, but no, they are really good.</v>
      </c>
    </row>
    <row r="2233">
      <c r="A2233" s="1">
        <v>5.0</v>
      </c>
      <c r="B2233" s="1" t="s">
        <v>2219</v>
      </c>
      <c r="C2233" t="str">
        <f>IFERROR(__xludf.DUMMYFUNCTION("GOOGLETRANSLATE(B2233, ""fr"", ""en"")"),"I love this pendant This jewel is very comfortable to wear, good size, it helps to have a beautiful pendant neck, very classy. A small light touch. Very happy")</f>
        <v>I love this pendant This jewel is very comfortable to wear, good size, it helps to have a beautiful pendant neck, very classy. A small light touch. Very happy</v>
      </c>
    </row>
    <row r="2234">
      <c r="A2234" s="1">
        <v>5.0</v>
      </c>
      <c r="B2234" s="1" t="s">
        <v>2220</v>
      </c>
      <c r="C2234" t="str">
        <f>IFERROR(__xludf.DUMMYFUNCTION("GOOGLETRANSLATE(B2234, ""fr"", ""en"")"),"Top ! Big fan of MMA products I highly recommend!")</f>
        <v>Top ! Big fan of MMA products I highly recommend!</v>
      </c>
    </row>
    <row r="2235">
      <c r="A2235" s="1">
        <v>5.0</v>
      </c>
      <c r="B2235" s="1" t="s">
        <v>2221</v>
      </c>
      <c r="C2235" t="str">
        <f>IFERROR(__xludf.DUMMYFUNCTION("GOOGLETRANSLATE(B2235, ""fr"", ""en"")"),"Good Good")</f>
        <v>Good Good</v>
      </c>
    </row>
    <row r="2236">
      <c r="A2236" s="1">
        <v>5.0</v>
      </c>
      <c r="B2236" s="1" t="s">
        <v>2222</v>
      </c>
      <c r="C2236" t="str">
        <f>IFERROR(__xludf.DUMMYFUNCTION("GOOGLETRANSLATE(B2236, ""fr"", ""en"")"),"If Backpack bag can be used for good things, I use it for my sport but also to go o work. I can put my laptop, my helmet all my chargers, some books, .. shoes. Easy does well.")</f>
        <v>If Backpack bag can be used for good things, I use it for my sport but also to go o work. I can put my laptop, my helmet all my chargers, some books, .. shoes. Easy does well.</v>
      </c>
    </row>
    <row r="2237">
      <c r="A2237" s="1">
        <v>5.0</v>
      </c>
      <c r="B2237" s="1" t="s">
        <v>2223</v>
      </c>
      <c r="C2237" t="str">
        <f>IFERROR(__xludf.DUMMYFUNCTION("GOOGLETRANSLATE(B2237, ""fr"", ""en"")"),"format If I order this product is that it suits me, if I do not take. That suits me to note is that I do every day; at my age (85 passed) I tend to forget.")</f>
        <v>format If I order this product is that it suits me, if I do not take. That suits me to note is that I do every day; at my age (85 passed) I tend to forget.</v>
      </c>
    </row>
    <row r="2238">
      <c r="A2238" s="1">
        <v>5.0</v>
      </c>
      <c r="B2238" s="1" t="s">
        <v>2224</v>
      </c>
      <c r="C2238" t="str">
        <f>IFERROR(__xludf.DUMMYFUNCTION("GOOGLETRANSLATE(B2238, ""fr"", ""en"")"),"Watch Casio Super nice watch is my second I ordered a white and one black I mixed the two and I have two watches unique.la first is black and white in the center crown and second inverted 👍.")</f>
        <v>Watch Casio Super nice watch is my second I ordered a white and one black I mixed the two and I have two watches unique.la first is black and white in the center crown and second inverted 👍.</v>
      </c>
    </row>
    <row r="2239">
      <c r="A2239" s="1">
        <v>5.0</v>
      </c>
      <c r="B2239" s="1" t="s">
        <v>2225</v>
      </c>
      <c r="C2239" t="str">
        <f>IFERROR(__xludf.DUMMYFUNCTION("GOOGLETRANSLATE(B2239, ""fr"", ""en"")"),"Best Impec boots I've ever had. Very comfortable, flexible and resilient. Plan a waterproofing spray, they are worth it!")</f>
        <v>Best Impec boots I've ever had. Very comfortable, flexible and resilient. Plan a waterproofing spray, they are worth it!</v>
      </c>
    </row>
    <row r="2240">
      <c r="A2240" s="1">
        <v>5.0</v>
      </c>
      <c r="B2240" s="1" t="s">
        <v>224</v>
      </c>
      <c r="C2240" t="str">
        <f>IFERROR(__xludf.DUMMYFUNCTION("GOOGLETRANSLATE(B2240, ""fr"", ""en"")"),"perfect perfect")</f>
        <v>perfect perfect</v>
      </c>
    </row>
    <row r="2241">
      <c r="A2241" s="1">
        <v>5.0</v>
      </c>
      <c r="B2241" s="1" t="s">
        <v>2226</v>
      </c>
      <c r="C2241" t="str">
        <f>IFERROR(__xludf.DUMMYFUNCTION("GOOGLETRANSLATE(B2241, ""fr"", ""en"")"),"Nickel Delivery made 1 day before 👌. Product (shoes for my son), perfect.")</f>
        <v>Nickel Delivery made 1 day before 👌. Product (shoes for my son), perfect.</v>
      </c>
    </row>
    <row r="2242">
      <c r="A2242" s="1">
        <v>5.0</v>
      </c>
      <c r="B2242" s="1" t="s">
        <v>2227</v>
      </c>
      <c r="C2242" t="str">
        <f>IFERROR(__xludf.DUMMYFUNCTION("GOOGLETRANSLATE(B2242, ""fr"", ""en"")"),"Buy Perfect definitely are two very simple nipples that fulfill their function I can not say anything more it adapts very well to bottle Mam and other standard brands")</f>
        <v>Buy Perfect definitely are two very simple nipples that fulfill their function I can not say anything more it adapts very well to bottle Mam and other standard brands</v>
      </c>
    </row>
    <row r="2243">
      <c r="A2243" s="1">
        <v>5.0</v>
      </c>
      <c r="B2243" s="1" t="s">
        <v>2228</v>
      </c>
      <c r="C2243" t="str">
        <f>IFERROR(__xludf.DUMMYFUNCTION("GOOGLETRANSLATE(B2243, ""fr"", ""en"")"),"To recommend ? a bit fragile, it's pretty disposable product but after a little more than five months of utilisati9n substance oxidizes and turns green. I do not know if I'll use it over a long time of not appealing and it may be toxic damage ....")</f>
        <v>To recommend ? a bit fragile, it's pretty disposable product but after a little more than five months of utilisati9n substance oxidizes and turns green. I do not know if I'll use it over a long time of not appealing and it may be toxic damage ....</v>
      </c>
    </row>
    <row r="2244">
      <c r="A2244" s="1">
        <v>5.0</v>
      </c>
      <c r="B2244" s="1" t="s">
        <v>2229</v>
      </c>
      <c r="C2244" t="str">
        <f>IFERROR(__xludf.DUMMYFUNCTION("GOOGLETRANSLATE(B2244, ""fr"", ""en"")"),"Very good headphones I recommend Super helmet nickel features (Bluetooth) very well as planned already knowing the item before buying I knew what to expect déjà.Bonne autonomy, especially good sounding bass and the interaction of music and different from "&amp;"one ear to another or always sounds a small effect as musiques.Couleur cute and discreet pale pink, I aime.Pour the moment held all the promise hopefully keep very long.")</f>
        <v>Very good headphones I recommend Super helmet nickel features (Bluetooth) very well as planned already knowing the item before buying I knew what to expect déjà.Bonne autonomy, especially good sounding bass and the interaction of music and different from one ear to another or always sounds a small effect as musiques.Couleur cute and discreet pale pink, I aime.Pour the moment held all the promise hopefully keep very long.</v>
      </c>
    </row>
    <row r="2245">
      <c r="A2245" s="1">
        <v>2.0</v>
      </c>
      <c r="B2245" s="1" t="s">
        <v>2230</v>
      </c>
      <c r="C2245" t="str">
        <f>IFERROR(__xludf.DUMMYFUNCTION("GOOGLETRANSLATE(B2245, ""fr"", ""en"")"),"Poor quality in photos looked better")</f>
        <v>Poor quality in photos looked better</v>
      </c>
    </row>
    <row r="2246">
      <c r="A2246" s="1">
        <v>1.0</v>
      </c>
      <c r="B2246" s="1" t="s">
        <v>2231</v>
      </c>
      <c r="C2246" t="str">
        <f>IFERROR(__xludf.DUMMYFUNCTION("GOOGLETRANSLATE(B2246, ""fr"", ""en"")"),"More than blah ... Very disappointed with the quality. C is the same material as for items of costume or dress up doll. And not hot at all. closet background Directorate ...")</f>
        <v>More than blah ... Very disappointed with the quality. C is the same material as for items of costume or dress up doll. And not hot at all. closet background Directorate ...</v>
      </c>
    </row>
    <row r="2247">
      <c r="A2247" s="1">
        <v>3.0</v>
      </c>
      <c r="B2247" s="1" t="s">
        <v>2232</v>
      </c>
      <c r="C2247" t="str">
        <f>IFERROR(__xludf.DUMMYFUNCTION("GOOGLETRANSLATE(B2247, ""fr"", ""en"")"),"Meets the photo Stylish watch with a beautiful aesthetic, even if it is thicker than it looks. I think for that price it should not complain, it works perfectly.")</f>
        <v>Meets the photo Stylish watch with a beautiful aesthetic, even if it is thicker than it looks. I think for that price it should not complain, it works perfectly.</v>
      </c>
    </row>
    <row r="2248">
      <c r="A2248" s="1">
        <v>3.0</v>
      </c>
      <c r="B2248" s="1" t="s">
        <v>2233</v>
      </c>
      <c r="C2248" t="str">
        <f>IFERROR(__xludf.DUMMYFUNCTION("GOOGLETRANSLATE(B2248, ""fr"", ""en"")"),"satisfied very good article I like I recommend to all who want to purchase it is highly recommended not to hesitate is the quality")</f>
        <v>satisfied very good article I like I recommend to all who want to purchase it is highly recommended not to hesitate is the quality</v>
      </c>
    </row>
    <row r="2249">
      <c r="A2249" s="1">
        <v>4.0</v>
      </c>
      <c r="B2249" s="1" t="s">
        <v>2234</v>
      </c>
      <c r="C2249" t="str">
        <f>IFERROR(__xludf.DUMMYFUNCTION("GOOGLETRANSLATE(B2249, ""fr"", ""en"")"),"disappointed hello I have received my order was ripped cardboard morning thus q laundry stopper and protective plastic bag a quarter of laundry a part of package and during delivery I do not follow very glad I ' hope the prochiene control it will be much "&amp;"pack")</f>
        <v>disappointed hello I have received my order was ripped cardboard morning thus q laundry stopper and protective plastic bag a quarter of laundry a part of package and during delivery I do not follow very glad I ' hope the prochiene control it will be much pack</v>
      </c>
    </row>
    <row r="2250">
      <c r="A2250" s="1">
        <v>4.0</v>
      </c>
      <c r="B2250" s="1" t="s">
        <v>2235</v>
      </c>
      <c r="C2250" t="str">
        <f>IFERROR(__xludf.DUMMYFUNCTION("GOOGLETRANSLATE(B2250, ""fr"", ""en"")"),"Not bad but ...... Ok but watch size too big! So 2 sizes less to be fine!")</f>
        <v>Not bad but ...... Ok but watch size too big! So 2 sizes less to be fine!</v>
      </c>
    </row>
    <row r="2251">
      <c r="A2251" s="1">
        <v>4.0</v>
      </c>
      <c r="B2251" s="1" t="s">
        <v>2236</v>
      </c>
      <c r="C2251" t="str">
        <f>IFERROR(__xludf.DUMMYFUNCTION("GOOGLETRANSLATE(B2251, ""fr"", ""en"")"),"I recommend top but I find it a bit small for a large family")</f>
        <v>I recommend top but I find it a bit small for a large family</v>
      </c>
    </row>
    <row r="2252">
      <c r="A2252" s="1">
        <v>4.0</v>
      </c>
      <c r="B2252" s="1" t="s">
        <v>2237</v>
      </c>
      <c r="C2252" t="str">
        <f>IFERROR(__xludf.DUMMYFUNCTION("GOOGLETRANSLATE(B2252, ""fr"", ""en"")"),"control well received very good qualities and flexibility guaranteed advance")</f>
        <v>control well received very good qualities and flexibility guaranteed advance</v>
      </c>
    </row>
    <row r="2253">
      <c r="A2253" s="1">
        <v>5.0</v>
      </c>
      <c r="B2253" s="1" t="s">
        <v>2238</v>
      </c>
      <c r="C2253" t="str">
        <f>IFERROR(__xludf.DUMMYFUNCTION("GOOGLETRANSLATE(B2253, ""fr"", ""en"")"),"Instructive Birthday Gift")</f>
        <v>Instructive Birthday Gift</v>
      </c>
    </row>
    <row r="2254">
      <c r="A2254" s="1">
        <v>5.0</v>
      </c>
      <c r="B2254" s="1" t="s">
        <v>2239</v>
      </c>
      <c r="C2254" t="str">
        <f>IFERROR(__xludf.DUMMYFUNCTION("GOOGLETRANSLATE(B2254, ""fr"", ""en"")"),"Pleasant Hello community, I just bought her wireless headphones for sports practice, especially weight training. The earphones are suitable for practical and well held ears. The sound is nice, however I can not tell you the battery capacity by lack of tim"&amp;"e of use. They are sold with a very tile protective cover. I recommend !")</f>
        <v>Pleasant Hello community, I just bought her wireless headphones for sports practice, especially weight training. The earphones are suitable for practical and well held ears. The sound is nice, however I can not tell you the battery capacity by lack of time of use. They are sold with a very tile protective cover. I recommend !</v>
      </c>
    </row>
    <row r="2255">
      <c r="A2255" s="1">
        <v>5.0</v>
      </c>
      <c r="B2255" s="1" t="s">
        <v>2240</v>
      </c>
      <c r="C2255" t="str">
        <f>IFERROR(__xludf.DUMMYFUNCTION("GOOGLETRANSLATE(B2255, ""fr"", ""en"")"),"perfect a very good support and good fit for my height - I take the A 105 without reinforcement when I found - is not in the torso and for the sport, it's perfect")</f>
        <v>perfect a very good support and good fit for my height - I take the A 105 without reinforcement when I found - is not in the torso and for the sport, it's perfect</v>
      </c>
    </row>
    <row r="2256">
      <c r="A2256" s="1">
        <v>5.0</v>
      </c>
      <c r="B2256" s="1" t="s">
        <v>2241</v>
      </c>
      <c r="C2256" t="str">
        <f>IFERROR(__xludf.DUMMYFUNCTION("GOOGLETRANSLATE(B2256, ""fr"", ""en"")"),"Very good value for money Beautiful, comfortable, ms very warm, very good for the winter.")</f>
        <v>Very good value for money Beautiful, comfortable, ms very warm, very good for the winter.</v>
      </c>
    </row>
    <row r="2257">
      <c r="A2257" s="1">
        <v>5.0</v>
      </c>
      <c r="B2257" s="1" t="s">
        <v>2242</v>
      </c>
      <c r="C2257" t="str">
        <f>IFERROR(__xludf.DUMMYFUNCTION("GOOGLETRANSLATE(B2257, ""fr"", ""en"")"),"Pretty model and good quality. I offered my daughter for Christmas since she never leaves and gold is stuck.")</f>
        <v>Pretty model and good quality. I offered my daughter for Christmas since she never leaves and gold is stuck.</v>
      </c>
    </row>
    <row r="2258">
      <c r="A2258" s="1">
        <v>5.0</v>
      </c>
      <c r="B2258" s="1" t="s">
        <v>2243</v>
      </c>
      <c r="C2258" t="str">
        <f>IFERROR(__xludf.DUMMYFUNCTION("GOOGLETRANSLATE(B2258, ""fr"", ""en"")"),"RAS Purchased for a micro ZOOM H1 ... fits well and does what it is intended")</f>
        <v>RAS Purchased for a micro ZOOM H1 ... fits well and does what it is intended</v>
      </c>
    </row>
    <row r="2259">
      <c r="A2259" s="1">
        <v>5.0</v>
      </c>
      <c r="B2259" s="1" t="s">
        <v>2244</v>
      </c>
      <c r="C2259" t="str">
        <f>IFERROR(__xludf.DUMMYFUNCTION("GOOGLETRANSLATE(B2259, ""fr"", ""en"")"),"Very small and yet so powerful! Dictaphone extremely easy to use (I have not even used the manual). Saves really well and faithfully reproduce voices and sounds. Transfer files easily. I can only recommend it!")</f>
        <v>Very small and yet so powerful! Dictaphone extremely easy to use (I have not even used the manual). Saves really well and faithfully reproduce voices and sounds. Transfer files easily. I can only recommend it!</v>
      </c>
    </row>
    <row r="2260">
      <c r="A2260" s="1">
        <v>5.0</v>
      </c>
      <c r="B2260" s="1" t="s">
        <v>2245</v>
      </c>
      <c r="C2260" t="str">
        <f>IFERROR(__xludf.DUMMYFUNCTION("GOOGLETRANSLATE(B2260, ""fr"", ""en"")"),"Perfect Just the kind of album I wanted. The cover is very thick and star patterns are a little extra thickness, they are very friendly. The pockets for the 10/15 pictures are the right size and I especially like the part annotation can next to each plast"&amp;"ic bag.")</f>
        <v>Perfect Just the kind of album I wanted. The cover is very thick and star patterns are a little extra thickness, they are very friendly. The pockets for the 10/15 pictures are the right size and I especially like the part annotation can next to each plastic bag.</v>
      </c>
    </row>
    <row r="2261">
      <c r="A2261" s="1">
        <v>5.0</v>
      </c>
      <c r="B2261" s="1" t="s">
        <v>2246</v>
      </c>
      <c r="C2261" t="str">
        <f>IFERROR(__xludf.DUMMYFUNCTION("GOOGLETRANSLATE(B2261, ""fr"", ""en"")"),"Although Article perfect, I recommend without hesitation.")</f>
        <v>Although Article perfect, I recommend without hesitation.</v>
      </c>
    </row>
    <row r="2262">
      <c r="A2262" s="1">
        <v>5.0</v>
      </c>
      <c r="B2262" s="1" t="s">
        <v>2247</v>
      </c>
      <c r="C2262" t="str">
        <f>IFERROR(__xludf.DUMMYFUNCTION("GOOGLETRANSLATE(B2262, ""fr"", ""en"")"),"perfect Sends fast Bluetooth headsets working properly connects easily my my iPhone and my MacBook my business phone Samsung I recommend")</f>
        <v>perfect Sends fast Bluetooth headsets working properly connects easily my my iPhone and my MacBook my business phone Samsung I recommend</v>
      </c>
    </row>
    <row r="2263">
      <c r="A2263" s="1">
        <v>5.0</v>
      </c>
      <c r="B2263" s="1" t="s">
        <v>2248</v>
      </c>
      <c r="C2263" t="str">
        <f>IFERROR(__xludf.DUMMYFUNCTION("GOOGLETRANSLATE(B2263, ""fr"", ""en"")"),"Very effective ! I am very happy this microphone, simple and effective. The sound is excellent and even in strong winds, with the Bonette, the quality remains the same. I use it for 3 weeks now remains to see its durability.")</f>
        <v>Very effective ! I am very happy this microphone, simple and effective. The sound is excellent and even in strong winds, with the Bonette, the quality remains the same. I use it for 3 weeks now remains to see its durability.</v>
      </c>
    </row>
    <row r="2264">
      <c r="A2264" s="1">
        <v>5.0</v>
      </c>
      <c r="B2264" s="1" t="s">
        <v>2249</v>
      </c>
      <c r="C2264" t="str">
        <f>IFERROR(__xludf.DUMMYFUNCTION("GOOGLETRANSLATE(B2264, ""fr"", ""en"")"),"Beautiful attractive finery finery, all very pretty. Obtained during sales, I am very satisfied. I often put with a dress.")</f>
        <v>Beautiful attractive finery finery, all very pretty. Obtained during sales, I am very satisfied. I often put with a dress.</v>
      </c>
    </row>
    <row r="2265">
      <c r="A2265" s="1">
        <v>5.0</v>
      </c>
      <c r="B2265" s="1" t="s">
        <v>2250</v>
      </c>
      <c r="C2265" t="str">
        <f>IFERROR(__xludf.DUMMYFUNCTION("GOOGLETRANSLATE(B2265, ""fr"", ""en"")"),"Good product product line with our expectation")</f>
        <v>Good product product line with our expectation</v>
      </c>
    </row>
    <row r="2266">
      <c r="A2266" s="1">
        <v>5.0</v>
      </c>
      <c r="B2266" s="1" t="s">
        <v>2251</v>
      </c>
      <c r="C2266" t="str">
        <f>IFERROR(__xludf.DUMMYFUNCTION("GOOGLETRANSLATE(B2266, ""fr"", ""en"")"),"ok flush")</f>
        <v>ok flush</v>
      </c>
    </row>
    <row r="2267">
      <c r="A2267" s="1">
        <v>5.0</v>
      </c>
      <c r="B2267" s="1" t="s">
        <v>2252</v>
      </c>
      <c r="C2267" t="str">
        <f>IFERROR(__xludf.DUMMYFUNCTION("GOOGLETRANSLATE(B2267, ""fr"", ""en"")"),"Ideal shoes. Purchased as shoes to work on site. Ideal for outdoor use. Very comfortable, waterproof, lightweight. Perfect! Would recommend to any worker.")</f>
        <v>Ideal shoes. Purchased as shoes to work on site. Ideal for outdoor use. Very comfortable, waterproof, lightweight. Perfect! Would recommend to any worker.</v>
      </c>
    </row>
    <row r="2268">
      <c r="A2268" s="1">
        <v>2.0</v>
      </c>
      <c r="B2268" s="1" t="s">
        <v>2253</v>
      </c>
      <c r="C2268" t="str">
        <f>IFERROR(__xludf.DUMMYFUNCTION("GOOGLETRANSLATE(B2268, ""fr"", ""en"")"),"Not good teat received Written information on the presentation mentioned a medium speed and I received a pacifier 1 .... I have to buy other teats")</f>
        <v>Not good teat received Written information on the presentation mentioned a medium speed and I received a pacifier 1 .... I have to buy other teats</v>
      </c>
    </row>
    <row r="2269">
      <c r="A2269" s="1">
        <v>1.0</v>
      </c>
      <c r="B2269" s="1" t="s">
        <v>2254</v>
      </c>
      <c r="C2269" t="str">
        <f>IFERROR(__xludf.DUMMYFUNCTION("GOOGLETRANSLATE(B2269, ""fr"", ""en"")"),"Remote diffuser essential oils Hello, my camera worked great until I had wanted to change the battery. Unable to open the cell compartment and now everything is stuck. I am dissatisfied with this product. Finally, instead of putting a remote control, on /"&amp;" off button would be more useful.")</f>
        <v>Remote diffuser essential oils Hello, my camera worked great until I had wanted to change the battery. Unable to open the cell compartment and now everything is stuck. I am dissatisfied with this product. Finally, instead of putting a remote control, on / off button would be more useful.</v>
      </c>
    </row>
    <row r="2270">
      <c r="A2270" s="1">
        <v>1.0</v>
      </c>
      <c r="B2270" s="1" t="s">
        <v>2255</v>
      </c>
      <c r="C2270" t="str">
        <f>IFERROR(__xludf.DUMMYFUNCTION("GOOGLETRANSLATE(B2270, ""fr"", ""en"")"),"Display defective after just over a year as others have reported, characters half is no longer visible, this after 14 days ... The watch is guaranteed 24 months, more than to try to obtain warranty ...")</f>
        <v>Display defective after just over a year as others have reported, characters half is no longer visible, this after 14 days ... The watch is guaranteed 24 months, more than to try to obtain warranty ...</v>
      </c>
    </row>
    <row r="2271">
      <c r="A2271" s="1">
        <v>3.0</v>
      </c>
      <c r="B2271" s="1" t="s">
        <v>2256</v>
      </c>
      <c r="C2271" t="str">
        <f>IFERROR(__xludf.DUMMYFUNCTION("GOOGLETRANSLATE(B2271, ""fr"", ""en"")"),"medium tape which rips across the dice that looks a bit maliciously take patience. If it sticks and it including like after several months in dry cold (high altitude).")</f>
        <v>medium tape which rips across the dice that looks a bit maliciously take patience. If it sticks and it including like after several months in dry cold (high altitude).</v>
      </c>
    </row>
    <row r="2272">
      <c r="A2272" s="1">
        <v>3.0</v>
      </c>
      <c r="B2272" s="1" t="s">
        <v>2257</v>
      </c>
      <c r="C2272" t="str">
        <f>IFERROR(__xludf.DUMMYFUNCTION("GOOGLETRANSLATE(B2272, ""fr"", ""en"")"),"Gw 2pcs charms chain spacer Hello, I'm not disappointed with the gifts I gave my child.")</f>
        <v>Gw 2pcs charms chain spacer Hello, I'm not disappointed with the gifts I gave my child.</v>
      </c>
    </row>
    <row r="2273">
      <c r="A2273" s="1">
        <v>4.0</v>
      </c>
      <c r="B2273" s="1" t="s">
        <v>2258</v>
      </c>
      <c r="C2273" t="str">
        <f>IFERROR(__xludf.DUMMYFUNCTION("GOOGLETRANSLATE(B2273, ""fr"", ""en"")"),"ok cool")</f>
        <v>ok cool</v>
      </c>
    </row>
    <row r="2274">
      <c r="A2274" s="1">
        <v>4.0</v>
      </c>
      <c r="B2274" s="1" t="s">
        <v>2259</v>
      </c>
      <c r="C2274" t="str">
        <f>IFERROR(__xludf.DUMMYFUNCTION("GOOGLETRANSLATE(B2274, ""fr"", ""en"")"),"good pockets This is the third time I order this article and pockets always suit me much. They are used with a small laminator bought cheap and they do not move. I appreciate their outfit. They do not take off, and do not form folds. A very good value for"&amp;" money.")</f>
        <v>good pockets This is the third time I order this article and pockets always suit me much. They are used with a small laminator bought cheap and they do not move. I appreciate their outfit. They do not take off, and do not form folds. A very good value for money.</v>
      </c>
    </row>
    <row r="2275">
      <c r="A2275" s="1">
        <v>4.0</v>
      </c>
      <c r="B2275" s="1" t="s">
        <v>2260</v>
      </c>
      <c r="C2275" t="str">
        <f>IFERROR(__xludf.DUMMYFUNCTION("GOOGLETRANSLATE(B2275, ""fr"", ""en"")"),"bottle very satisfied with the product, but very disappointed that the deliveryman m threw my package in the garden because absent at the time of delivery; Frankly, anyone could've pass over the portal and fly package. Thank you")</f>
        <v>bottle very satisfied with the product, but very disappointed that the deliveryman m threw my package in the garden because absent at the time of delivery; Frankly, anyone could've pass over the portal and fly package. Thank you</v>
      </c>
    </row>
    <row r="2276">
      <c r="A2276" s="1">
        <v>4.0</v>
      </c>
      <c r="B2276" s="1" t="s">
        <v>2261</v>
      </c>
      <c r="C2276" t="str">
        <f>IFERROR(__xludf.DUMMYFUNCTION("GOOGLETRANSLATE(B2276, ""fr"", ""en"")"),"Satisfied Small, light, but I was faster in the past. Fulfills its office modest but significant for who wants his tea waking at hotel")</f>
        <v>Satisfied Small, light, but I was faster in the past. Fulfills its office modest but significant for who wants his tea waking at hotel</v>
      </c>
    </row>
    <row r="2277">
      <c r="A2277" s="1">
        <v>4.0</v>
      </c>
      <c r="B2277" s="1" t="s">
        <v>2262</v>
      </c>
      <c r="C2277" t="str">
        <f>IFERROR(__xludf.DUMMYFUNCTION("GOOGLETRANSLATE(B2277, ""fr"", ""en"")"),"Animal Print Sweater Sweater cut it right, even a little big. Attention handwash, which may be binding. For me, it is perfect for use as I intend to do.")</f>
        <v>Animal Print Sweater Sweater cut it right, even a little big. Attention handwash, which may be binding. For me, it is perfect for use as I intend to do.</v>
      </c>
    </row>
    <row r="2278">
      <c r="A2278" s="1">
        <v>5.0</v>
      </c>
      <c r="B2278" s="1" t="s">
        <v>2263</v>
      </c>
      <c r="C2278" t="str">
        <f>IFERROR(__xludf.DUMMYFUNCTION("GOOGLETRANSLATE(B2278, ""fr"", ""en"")"),"Practical and comfortable Used to Nordic walking. It is a pleasure to play sports and listen to music wirelessly! The installation is easy. The sound quality is good. Orders are accessible to the listener right. This helmet is more comfortable than-ear an"&amp;"d I think it is best to keep their hearing ability. I recommend.")</f>
        <v>Practical and comfortable Used to Nordic walking. It is a pleasure to play sports and listen to music wirelessly! The installation is easy. The sound quality is good. Orders are accessible to the listener right. This helmet is more comfortable than-ear and I think it is best to keep their hearing ability. I recommend.</v>
      </c>
    </row>
    <row r="2279">
      <c r="A2279" s="1">
        <v>5.0</v>
      </c>
      <c r="B2279" s="1" t="s">
        <v>2264</v>
      </c>
      <c r="C2279" t="str">
        <f>IFERROR(__xludf.DUMMYFUNCTION("GOOGLETRANSLATE(B2279, ""fr"", ""en"")"),"Although surprised Puma comfortable well suited to my size and robust I recommend")</f>
        <v>Although surprised Puma comfortable well suited to my size and robust I recommend</v>
      </c>
    </row>
    <row r="2280">
      <c r="A2280" s="1">
        <v>5.0</v>
      </c>
      <c r="B2280" s="1" t="s">
        <v>2265</v>
      </c>
      <c r="C2280" t="str">
        <f>IFERROR(__xludf.DUMMYFUNCTION("GOOGLETRANSLATE(B2280, ""fr"", ""en"")"),"Adapted My son making basketball wished this accessory, it seems that this brand is known for its quality, we'll see. The size M is perfect for teens aged 14; above c is too big I think")</f>
        <v>Adapted My son making basketball wished this accessory, it seems that this brand is known for its quality, we'll see. The size M is perfect for teens aged 14; above c is too big I think</v>
      </c>
    </row>
    <row r="2281">
      <c r="A2281" s="1">
        <v>5.0</v>
      </c>
      <c r="B2281" s="1" t="s">
        <v>2266</v>
      </c>
      <c r="C2281" t="str">
        <f>IFERROR(__xludf.DUMMYFUNCTION("GOOGLETRANSLATE(B2281, ""fr"", ""en"")"),"Armenia paper on top! natural fragrance, perfume perfectly, odor remains. Value nice price. I urge especially against cigarette smoke ...")</f>
        <v>Armenia paper on top! natural fragrance, perfume perfectly, odor remains. Value nice price. I urge especially against cigarette smoke ...</v>
      </c>
    </row>
    <row r="2282">
      <c r="A2282" s="1">
        <v>5.0</v>
      </c>
      <c r="B2282" s="1" t="s">
        <v>2267</v>
      </c>
      <c r="C2282" t="str">
        <f>IFERROR(__xludf.DUMMYFUNCTION("GOOGLETRANSLATE(B2282, ""fr"", ""en"")"),"Super Very good microphone! As in the description! Good points: - Compatible with all types of phones - Small. - Value for money very well. - Clear sound. Caveats: - His best distance (20cm) - Fragility - a short little cable if you want to put it under t"&amp;"he shirt. I still put 5 stars because the microphone is very good overall and for that price * _ *")</f>
        <v>Super Very good microphone! As in the description! Good points: - Compatible with all types of phones - Small. - Value for money very well. - Clear sound. Caveats: - His best distance (20cm) - Fragility - a short little cable if you want to put it under the shirt. I still put 5 stars because the microphone is very good overall and for that price * _ *</v>
      </c>
    </row>
    <row r="2283">
      <c r="A2283" s="1">
        <v>5.0</v>
      </c>
      <c r="B2283" s="1" t="s">
        <v>2268</v>
      </c>
      <c r="C2283" t="str">
        <f>IFERROR(__xludf.DUMMYFUNCTION("GOOGLETRANSLATE(B2283, ""fr"", ""en"")"),"comfort my son and my husband love they are comfortable and warm well I recommend a d other person working outside")</f>
        <v>comfort my son and my husband love they are comfortable and warm well I recommend a d other person working outside</v>
      </c>
    </row>
    <row r="2284">
      <c r="A2284" s="1">
        <v>5.0</v>
      </c>
      <c r="B2284" s="1" t="s">
        <v>2269</v>
      </c>
      <c r="C2284" t="str">
        <f>IFERROR(__xludf.DUMMYFUNCTION("GOOGLETRANSLATE(B2284, ""fr"", ""en"")"),"Very good value for money A massage really nice, the pillow really well relaxes the muscles. It is more warm than hot, but it is enough. I definitely recommend for the price!")</f>
        <v>Very good value for money A massage really nice, the pillow really well relaxes the muscles. It is more warm than hot, but it is enough. I definitely recommend for the price!</v>
      </c>
    </row>
    <row r="2285">
      <c r="A2285" s="1">
        <v>5.0</v>
      </c>
      <c r="B2285" s="1" t="s">
        <v>2270</v>
      </c>
      <c r="C2285" t="str">
        <f>IFERROR(__xludf.DUMMYFUNCTION("GOOGLETRANSLATE(B2285, ""fr"", ""en"")"),"Super relaxation for those standing business !!! Device high quality and good design very nice after a good day of work my wife n 'Not expecting mother wanted the party to use good one said anything to children !!!")</f>
        <v>Super relaxation for those standing business !!! Device high quality and good design very nice after a good day of work my wife n 'Not expecting mother wanted the party to use good one said anything to children !!!</v>
      </c>
    </row>
    <row r="2286">
      <c r="A2286" s="1">
        <v>5.0</v>
      </c>
      <c r="B2286" s="1" t="s">
        <v>2271</v>
      </c>
      <c r="C2286" t="str">
        <f>IFERROR(__xludf.DUMMYFUNCTION("GOOGLETRANSLATE(B2286, ""fr"", ""en"")"),"its very good the sound is excellent, the micro stars, too good and easy to use I love, to advise; here is")</f>
        <v>its very good the sound is excellent, the micro stars, too good and easy to use I love, to advise; here is</v>
      </c>
    </row>
    <row r="2287">
      <c r="A2287" s="1">
        <v>5.0</v>
      </c>
      <c r="B2287" s="1" t="s">
        <v>2272</v>
      </c>
      <c r="C2287" t="str">
        <f>IFERROR(__xludf.DUMMYFUNCTION("GOOGLETRANSLATE(B2287, ""fr"", ""en"")"),"size small damage they are nice")</f>
        <v>size small damage they are nice</v>
      </c>
    </row>
    <row r="2288">
      <c r="A2288" s="1">
        <v>5.0</v>
      </c>
      <c r="B2288" s="1" t="s">
        <v>2273</v>
      </c>
      <c r="C2288" t="str">
        <f>IFERROR(__xludf.DUMMYFUNCTION("GOOGLETRANSLATE(B2288, ""fr"", ""en"")"),"fast it works very well for small cannon printer for small pictures that we need right now thank you")</f>
        <v>fast it works very well for small cannon printer for small pictures that we need right now thank you</v>
      </c>
    </row>
    <row r="2289">
      <c r="A2289" s="1">
        <v>5.0</v>
      </c>
      <c r="B2289" s="1" t="s">
        <v>2274</v>
      </c>
      <c r="C2289" t="str">
        <f>IFERROR(__xludf.DUMMYFUNCTION("GOOGLETRANSLATE(B2289, ""fr"", ""en"")"),"Hot Very Hot")</f>
        <v>Hot Very Hot</v>
      </c>
    </row>
    <row r="2290">
      <c r="A2290" s="1">
        <v>5.0</v>
      </c>
      <c r="B2290" s="1" t="s">
        <v>2275</v>
      </c>
      <c r="C2290" t="str">
        <f>IFERROR(__xludf.DUMMYFUNCTION("GOOGLETRANSLATE(B2290, ""fr"", ""en"")"),"VERY GOOD HORSE. RAS")</f>
        <v>VERY GOOD HORSE. RAS</v>
      </c>
    </row>
    <row r="2291">
      <c r="A2291" s="1">
        <v>5.0</v>
      </c>
      <c r="B2291" s="1" t="s">
        <v>2276</v>
      </c>
      <c r="C2291" t="str">
        <f>IFERROR(__xludf.DUMMYFUNCTION("GOOGLETRANSLATE(B2291, ""fr"", ""en"")"),"Trainers at the top Fast delivery before the date, at least 15jrs before and then on top quality")</f>
        <v>Trainers at the top Fast delivery before the date, at least 15jrs before and then on top quality</v>
      </c>
    </row>
    <row r="2292">
      <c r="A2292" s="1">
        <v>5.0</v>
      </c>
      <c r="B2292" s="1" t="s">
        <v>2277</v>
      </c>
      <c r="C2292" t="str">
        <f>IFERROR(__xludf.DUMMYFUNCTION("GOOGLETRANSLATE(B2292, ""fr"", ""en"")"),"Okay Foot microphone used in several evenings! Perfect ! WARNING: CHECK THE DIAMETER OF YOUR MICRO (because there is only one tip) must be provided to buy another cap according to the diameter of your microphone (available for 3 €) CHECK WEIGHT, if a bana"&amp;"l micro plastic no problem, but I had a big sony iron ... and the walking trend look! Conc: FOOT OF QUALITY")</f>
        <v>Okay Foot microphone used in several evenings! Perfect ! WARNING: CHECK THE DIAMETER OF YOUR MICRO (because there is only one tip) must be provided to buy another cap according to the diameter of your microphone (available for 3 €) CHECK WEIGHT, if a banal micro plastic no problem, but I had a big sony iron ... and the walking trend look! Conc: FOOT OF QUALITY</v>
      </c>
    </row>
    <row r="2293">
      <c r="A2293" s="1">
        <v>2.0</v>
      </c>
      <c r="B2293" s="1" t="s">
        <v>2278</v>
      </c>
      <c r="C2293" t="str">
        <f>IFERROR(__xludf.DUMMYFUNCTION("GOOGLETRANSLATE(B2293, ""fr"", ""en"")"),"If abyss very quickly I'm pretty disappointed with this article, he abyss very quickly. After just 1 week after the bristles are all crushed ... by cons, very suitable for my bottles!")</f>
        <v>If abyss very quickly I'm pretty disappointed with this article, he abyss very quickly. After just 1 week after the bristles are all crushed ... by cons, very suitable for my bottles!</v>
      </c>
    </row>
    <row r="2294">
      <c r="A2294" s="1">
        <v>1.0</v>
      </c>
      <c r="B2294" s="1" t="s">
        <v>2279</v>
      </c>
      <c r="C2294" t="str">
        <f>IFERROR(__xludf.DUMMYFUNCTION("GOOGLETRANSLATE(B2294, ""fr"", ""en"")"),"No official product of very poor quality, not according to photos, the very poor. Buyer if you are looking official headphones go your way")</f>
        <v>No official product of very poor quality, not according to photos, the very poor. Buyer if you are looking official headphones go your way</v>
      </c>
    </row>
    <row r="2295">
      <c r="A2295" s="1">
        <v>1.0</v>
      </c>
      <c r="B2295" s="1" t="s">
        <v>2280</v>
      </c>
      <c r="C2295" t="str">
        <f>IFERROR(__xludf.DUMMYFUNCTION("GOOGLETRANSLATE(B2295, ""fr"", ""en"")"),"Achetee in January 2017, March 2017 and exchanged unusable in October 2018! I bought this kettle in January 2017, had to make me a gift three months later because the lid closed over. In October 2018 it does not work at all I do not know what's it's ... F"&amp;"or the price ca is not very resistant!")</f>
        <v>Achetee in January 2017, March 2017 and exchanged unusable in October 2018! I bought this kettle in January 2017, had to make me a gift three months later because the lid closed over. In October 2018 it does not work at all I do not know what's it's ... For the price ca is not very resistant!</v>
      </c>
    </row>
    <row r="2296">
      <c r="A2296" s="1">
        <v>3.0</v>
      </c>
      <c r="B2296" s="1" t="s">
        <v>2281</v>
      </c>
      <c r="C2296" t="str">
        <f>IFERROR(__xludf.DUMMYFUNCTION("GOOGLETRANSLATE(B2296, ""fr"", ""en"")"),"This practice but not solid nipple is convenient because you can select the desired flow rate depending on the thickness of the milk. My son having spit, he must drink milk AR which has a thick enough texture. With this nipple, it easily sucks the milk. H"&amp;"owever, after a month of use, the nipple cracks at the slot which greatly increases the flow rate becomes uncontrollable.")</f>
        <v>This practice but not solid nipple is convenient because you can select the desired flow rate depending on the thickness of the milk. My son having spit, he must drink milk AR which has a thick enough texture. With this nipple, it easily sucks the milk. However, after a month of use, the nipple cracks at the slot which greatly increases the flow rate becomes uncontrollable.</v>
      </c>
    </row>
    <row r="2297">
      <c r="A2297" s="1">
        <v>3.0</v>
      </c>
      <c r="B2297" s="1" t="s">
        <v>2282</v>
      </c>
      <c r="C2297" t="str">
        <f>IFERROR(__xludf.DUMMYFUNCTION("GOOGLETRANSLATE(B2297, ""fr"", ""en"")"),"Warning device does not release him even milk. Looking at the beautiful video presentation we say it is good the device prepares itself the bottle, in fact it is false, you must wait until the first jet of water at 70 degrees, then put the milk powder and"&amp;" then the device adds water. I not pay 70 euros a device that does not work for me. Requested a refund on the grounds that the video does not show the product correctly. I prefer to take a more expensive but that really is the Dolce Gusto the bottle.")</f>
        <v>Warning device does not release him even milk. Looking at the beautiful video presentation we say it is good the device prepares itself the bottle, in fact it is false, you must wait until the first jet of water at 70 degrees, then put the milk powder and then the device adds water. I not pay 70 euros a device that does not work for me. Requested a refund on the grounds that the video does not show the product correctly. I prefer to take a more expensive but that really is the Dolce Gusto the bottle.</v>
      </c>
    </row>
    <row r="2298">
      <c r="A2298" s="1">
        <v>4.0</v>
      </c>
      <c r="B2298" s="1" t="s">
        <v>2283</v>
      </c>
      <c r="C2298" t="str">
        <f>IFERROR(__xludf.DUMMYFUNCTION("GOOGLETRANSLATE(B2298, ""fr"", ""en"")"),"Meets the announcement not more effective than other products because before it resist antibiotics and bleach but now why?")</f>
        <v>Meets the announcement not more effective than other products because before it resist antibiotics and bleach but now why?</v>
      </c>
    </row>
    <row r="2299">
      <c r="A2299" s="1">
        <v>4.0</v>
      </c>
      <c r="B2299" s="1" t="s">
        <v>2284</v>
      </c>
      <c r="C2299" t="str">
        <f>IFERROR(__xludf.DUMMYFUNCTION("GOOGLETRANSLATE(B2299, ""fr"", ""en"")"),"Very comfortable and light to work and walk. I recommandrai Very light and comfortable to walk and work. I recommandrai.")</f>
        <v>Very comfortable and light to work and walk. I recommandrai Very light and comfortable to walk and work. I recommandrai.</v>
      </c>
    </row>
    <row r="2300">
      <c r="A2300" s="1">
        <v>4.0</v>
      </c>
      <c r="B2300" s="1" t="s">
        <v>2285</v>
      </c>
      <c r="C2300" t="str">
        <f>IFERROR(__xludf.DUMMYFUNCTION("GOOGLETRANSLATE(B2300, ""fr"", ""en"")"),"Impeccable great coffee.")</f>
        <v>Impeccable great coffee.</v>
      </c>
    </row>
    <row r="2301">
      <c r="A2301" s="1">
        <v>4.0</v>
      </c>
      <c r="B2301" s="1" t="s">
        <v>2286</v>
      </c>
      <c r="C2301" t="str">
        <f>IFERROR(__xludf.DUMMYFUNCTION("GOOGLETRANSLATE(B2301, ""fr"", ""en"")"),"Good but bags that close well to freeze or store in the fridge. As 4 * because it is not environmentally friendly plastic everything ... I took them to add to my cart ;-)")</f>
        <v>Good but bags that close well to freeze or store in the fridge. As 4 * because it is not environmentally friendly plastic everything ... I took them to add to my cart ;-)</v>
      </c>
    </row>
    <row r="2302">
      <c r="A2302" s="1">
        <v>5.0</v>
      </c>
      <c r="B2302" s="1" t="s">
        <v>2287</v>
      </c>
      <c r="C2302" t="str">
        <f>IFERROR(__xludf.DUMMYFUNCTION("GOOGLETRANSLATE(B2302, ""fr"", ""en"")"),"Very happy with the product very good value.")</f>
        <v>Very happy with the product very good value.</v>
      </c>
    </row>
    <row r="2303">
      <c r="A2303" s="1">
        <v>5.0</v>
      </c>
      <c r="B2303" s="1" t="s">
        <v>2288</v>
      </c>
      <c r="C2303" t="str">
        <f>IFERROR(__xludf.DUMMYFUNCTION("GOOGLETRANSLATE(B2303, ""fr"", ""en"")"),"Nickel product according to the description. Nothing to say it. Easy to clean. The kettle heats up quickly. I recommend this product.")</f>
        <v>Nickel product according to the description. Nothing to say it. Easy to clean. The kettle heats up quickly. I recommend this product.</v>
      </c>
    </row>
    <row r="2304">
      <c r="A2304" s="1">
        <v>5.0</v>
      </c>
      <c r="B2304" s="1" t="s">
        <v>2289</v>
      </c>
      <c r="C2304" t="str">
        <f>IFERROR(__xludf.DUMMYFUNCTION("GOOGLETRANSLATE(B2304, ""fr"", ""en"")"),"While keeping with its photo presentation. True to the quality scotch, RAS. Fun little drawing on the tubes that appeal well. The small metal box is solid and friendly. Can be used for all sorts of things after ...")</f>
        <v>While keeping with its photo presentation. True to the quality scotch, RAS. Fun little drawing on the tubes that appeal well. The small metal box is solid and friendly. Can be used for all sorts of things after ...</v>
      </c>
    </row>
    <row r="2305">
      <c r="A2305" s="1">
        <v>5.0</v>
      </c>
      <c r="B2305" s="1" t="s">
        <v>2290</v>
      </c>
      <c r="C2305" t="str">
        <f>IFERROR(__xludf.DUMMYFUNCTION("GOOGLETRANSLATE(B2305, ""fr"", ""en"")"),"Reviews Although Article")</f>
        <v>Reviews Although Article</v>
      </c>
    </row>
    <row r="2306">
      <c r="A2306" s="1">
        <v>5.0</v>
      </c>
      <c r="B2306" s="1" t="s">
        <v>2291</v>
      </c>
      <c r="C2306" t="str">
        <f>IFERROR(__xludf.DUMMYFUNCTION("GOOGLETRANSLATE(B2306, ""fr"", ""en"")"),"Super Nothing to say")</f>
        <v>Super Nothing to say</v>
      </c>
    </row>
    <row r="2307">
      <c r="A2307" s="1">
        <v>5.0</v>
      </c>
      <c r="B2307" s="1" t="s">
        <v>2292</v>
      </c>
      <c r="C2307" t="str">
        <f>IFERROR(__xludf.DUMMYFUNCTION("GOOGLETRANSLATE(B2307, ""fr"", ""en"")"),"Reebok classic timeless Very good quality product, white goes with everything, however, we must take care because it became very messy, pay attention to the jeans that may bleed.")</f>
        <v>Reebok classic timeless Very good quality product, white goes with everything, however, we must take care because it became very messy, pay attention to the jeans that may bleed.</v>
      </c>
    </row>
    <row r="2308">
      <c r="A2308" s="1">
        <v>5.0</v>
      </c>
      <c r="B2308" s="1" t="s">
        <v>2293</v>
      </c>
      <c r="C2308" t="str">
        <f>IFERROR(__xludf.DUMMYFUNCTION("GOOGLETRANSLATE(B2308, ""fr"", ""en"")"),"Foldable table Foldable table for PC fairly robust. after finding the right height and the right angle, perfect for working up for example. Although steady on a desk, for cons I have not tried on a bed")</f>
        <v>Foldable table Foldable table for PC fairly robust. after finding the right height and the right angle, perfect for working up for example. Although steady on a desk, for cons I have not tried on a bed</v>
      </c>
    </row>
    <row r="2309">
      <c r="A2309" s="1">
        <v>5.0</v>
      </c>
      <c r="B2309" s="1" t="s">
        <v>2294</v>
      </c>
      <c r="C2309" t="str">
        <f>IFERROR(__xludf.DUMMYFUNCTION("GOOGLETRANSLATE(B2309, ""fr"", ""en"")"),"Excellent value for money ... Very handy! Small footprint ... very happy with this purchase!")</f>
        <v>Excellent value for money ... Very handy! Small footprint ... very happy with this purchase!</v>
      </c>
    </row>
    <row r="2310">
      <c r="A2310" s="1">
        <v>5.0</v>
      </c>
      <c r="B2310" s="1" t="s">
        <v>2295</v>
      </c>
      <c r="C2310" t="str">
        <f>IFERROR(__xludf.DUMMYFUNCTION("GOOGLETRANSLATE(B2310, ""fr"", ""en"")"),"perfectly sized very comfortable perfect for someone who has to wear bandages")</f>
        <v>perfectly sized very comfortable perfect for someone who has to wear bandages</v>
      </c>
    </row>
    <row r="2311">
      <c r="A2311" s="1">
        <v>5.0</v>
      </c>
      <c r="B2311" s="1" t="s">
        <v>2296</v>
      </c>
      <c r="C2311" t="str">
        <f>IFERROR(__xludf.DUMMYFUNCTION("GOOGLETRANSLATE(B2311, ""fr"", ""en"")"),"Arcicle super super happy with my purchase, all glass, good quality, very pleased with my choice")</f>
        <v>Arcicle super super happy with my purchase, all glass, good quality, very pleased with my choice</v>
      </c>
    </row>
    <row r="2312">
      <c r="A2312" s="1">
        <v>5.0</v>
      </c>
      <c r="B2312" s="1" t="s">
        <v>2297</v>
      </c>
      <c r="C2312" t="str">
        <f>IFERROR(__xludf.DUMMYFUNCTION("GOOGLETRANSLATE(B2312, ""fr"", ""en"")"),"Ravi Very nice product")</f>
        <v>Ravi Very nice product</v>
      </c>
    </row>
    <row r="2313">
      <c r="A2313" s="1">
        <v>5.0</v>
      </c>
      <c r="B2313" s="1" t="s">
        <v>2298</v>
      </c>
      <c r="C2313" t="str">
        <f>IFERROR(__xludf.DUMMYFUNCTION("GOOGLETRANSLATE(B2313, ""fr"", ""en"")"),"Great ! great item ... Shoes accordance with the announcement super comfortable ... I highly recommend this product")</f>
        <v>Great ! great item ... Shoes accordance with the announcement super comfortable ... I highly recommend this product</v>
      </c>
    </row>
    <row r="2314">
      <c r="A2314" s="1">
        <v>5.0</v>
      </c>
      <c r="B2314" s="1" t="s">
        <v>2299</v>
      </c>
      <c r="C2314" t="str">
        <f>IFERROR(__xludf.DUMMYFUNCTION("GOOGLETRANSLATE(B2314, ""fr"", ""en"")"),"Excellent product Great product! They are flexible comfortable and have a nice shape. I put every day they are light and highly resistant. I recommend it.")</f>
        <v>Excellent product Great product! They are flexible comfortable and have a nice shape. I put every day they are light and highly resistant. I recommend it.</v>
      </c>
    </row>
    <row r="2315">
      <c r="A2315" s="1">
        <v>5.0</v>
      </c>
      <c r="B2315" s="1" t="s">
        <v>2300</v>
      </c>
      <c r="C2315" t="str">
        <f>IFERROR(__xludf.DUMMYFUNCTION("GOOGLETRANSLATE(B2315, ""fr"", ""en"")"),"Top and delivered to the scheduled date Super, very good price / quality ratio.")</f>
        <v>Top and delivered to the scheduled date Super, very good price / quality ratio.</v>
      </c>
    </row>
    <row r="2316">
      <c r="A2316" s="1">
        <v>5.0</v>
      </c>
      <c r="B2316" s="1" t="s">
        <v>2301</v>
      </c>
      <c r="C2316" t="str">
        <f>IFERROR(__xludf.DUMMYFUNCTION("GOOGLETRANSLATE(B2316, ""fr"", ""en"")"),"This recent purchase is exactly the athletic shoe I wanted. It perfectly fits my foot. Very very good product value. cordially")</f>
        <v>This recent purchase is exactly the athletic shoe I wanted. It perfectly fits my foot. Very very good product value. cordially</v>
      </c>
    </row>
    <row r="2317">
      <c r="A2317" s="1">
        <v>2.0</v>
      </c>
      <c r="B2317" s="1" t="s">
        <v>2302</v>
      </c>
      <c r="C2317" t="str">
        <f>IFERROR(__xludf.DUMMYFUNCTION("GOOGLETRANSLATE(B2317, ""fr"", ""en"")"),"Basic shows I am disappointed by this article and expected better. Of course the price must not ask too much.")</f>
        <v>Basic shows I am disappointed by this article and expected better. Of course the price must not ask too much.</v>
      </c>
    </row>
    <row r="2318">
      <c r="A2318" s="1">
        <v>1.0</v>
      </c>
      <c r="B2318" s="1" t="s">
        <v>2303</v>
      </c>
      <c r="C2318" t="str">
        <f>IFERROR(__xludf.DUMMYFUNCTION("GOOGLETRANSLATE(B2318, ""fr"", ""en"")"),"Damaged after five months of Putting nikes for many years, I was looking for a black leather pair nike air. Having found those it on amazon I bought. My opinion 5 months after purchase: big doubt about the authenticity of the product. Never will any of my"&amp;" nikes were damaged as fast. After 3 months, the plastic on the heels started from as a skin peel, after five months, the color goes on the front of the shoe. First purchase remote for shoes and probably the last. Very disappointed...")</f>
        <v>Damaged after five months of Putting nikes for many years, I was looking for a black leather pair nike air. Having found those it on amazon I bought. My opinion 5 months after purchase: big doubt about the authenticity of the product. Never will any of my nikes were damaged as fast. After 3 months, the plastic on the heels started from as a skin peel, after five months, the color goes on the front of the shoe. First purchase remote for shoes and probably the last. Very disappointed...</v>
      </c>
    </row>
    <row r="2319">
      <c r="A2319" s="1">
        <v>1.0</v>
      </c>
      <c r="B2319" s="1" t="s">
        <v>2304</v>
      </c>
      <c r="C2319" t="str">
        <f>IFERROR(__xludf.DUMMYFUNCTION("GOOGLETRANSLATE(B2319, ""fr"", ""en"")"),"very very hard I have never been so bad")</f>
        <v>very very hard I have never been so bad</v>
      </c>
    </row>
    <row r="2320">
      <c r="A2320" s="1">
        <v>3.0</v>
      </c>
      <c r="B2320" s="1" t="s">
        <v>2305</v>
      </c>
      <c r="C2320" t="str">
        <f>IFERROR(__xludf.DUMMYFUNCTION("GOOGLETRANSLATE(B2320, ""fr"", ""en"")"),"Bad Textile torn ... not resistant to the first port")</f>
        <v>Bad Textile torn ... not resistant to the first port</v>
      </c>
    </row>
    <row r="2321">
      <c r="A2321" s="1">
        <v>4.0</v>
      </c>
      <c r="B2321" s="1" t="s">
        <v>2306</v>
      </c>
      <c r="C2321" t="str">
        <f>IFERROR(__xludf.DUMMYFUNCTION("GOOGLETRANSLATE(B2321, ""fr"", ""en"")"),"Fine ... but comfortable, no smell, but the interior is in the process of tearing after 1 month of use.")</f>
        <v>Fine ... but comfortable, no smell, but the interior is in the process of tearing after 1 month of use.</v>
      </c>
    </row>
    <row r="2322">
      <c r="A2322" s="1">
        <v>4.0</v>
      </c>
      <c r="B2322" s="1" t="s">
        <v>2307</v>
      </c>
      <c r="C2322" t="str">
        <f>IFERROR(__xludf.DUMMYFUNCTION("GOOGLETRANSLATE(B2322, ""fr"", ""en"")"),"Good product very good product aesthetics. Small flat, the window for viewing the amount of water is constantly fogged. Otherwise, nothing very aesthetic dire.produit")</f>
        <v>Good product very good product aesthetics. Small flat, the window for viewing the amount of water is constantly fogged. Otherwise, nothing very aesthetic dire.produit</v>
      </c>
    </row>
    <row r="2323">
      <c r="A2323" s="1">
        <v>4.0</v>
      </c>
      <c r="B2323" s="1" t="s">
        <v>2308</v>
      </c>
      <c r="C2323" t="str">
        <f>IFERROR(__xludf.DUMMYFUNCTION("GOOGLETRANSLATE(B2323, ""fr"", ""en"")"),"too fast flow of bb for 1 month For milk thickened bb than a month milk flows too fast to be used can be from 2 to 3 months")</f>
        <v>too fast flow of bb for 1 month For milk thickened bb than a month milk flows too fast to be used can be from 2 to 3 months</v>
      </c>
    </row>
    <row r="2324">
      <c r="A2324" s="1">
        <v>4.0</v>
      </c>
      <c r="B2324" s="1" t="s">
        <v>2309</v>
      </c>
      <c r="C2324" t="str">
        <f>IFERROR(__xludf.DUMMYFUNCTION("GOOGLETRANSLATE(B2324, ""fr"", ""en"")"),"Very effective for the fresh and delicate scent could use some work! We are in the good old fragrance shit! The product itself clings well to the bowl and the turnstile inside releases of the product that conversation between two scouring for small commis"&amp;"sions!")</f>
        <v>Very effective for the fresh and delicate scent could use some work! We are in the good old fragrance shit! The product itself clings well to the bowl and the turnstile inside releases of the product that conversation between two scouring for small commissions!</v>
      </c>
    </row>
    <row r="2325">
      <c r="A2325" s="1">
        <v>5.0</v>
      </c>
      <c r="B2325" s="1" t="s">
        <v>2310</v>
      </c>
      <c r="C2325" t="str">
        <f>IFERROR(__xludf.DUMMYFUNCTION("GOOGLETRANSLATE(B2325, ""fr"", ""en"")"),"Converse Converse beautiful beautiful beautiful red. Size 36.5 chosen for a size 37. Quick delivery: ordered January 22 and received on 29. Very satisfied.")</f>
        <v>Converse Converse beautiful beautiful beautiful red. Size 36.5 chosen for a size 37. Quick delivery: ordered January 22 and received on 29. Very satisfied.</v>
      </c>
    </row>
    <row r="2326">
      <c r="A2326" s="1">
        <v>5.0</v>
      </c>
      <c r="B2326" s="1" t="s">
        <v>2311</v>
      </c>
      <c r="C2326" t="str">
        <f>IFERROR(__xludf.DUMMYFUNCTION("GOOGLETRANSLATE(B2326, ""fr"", ""en"")"),"well amballer calendar this calendar completely consistent with what I desired spot large enough to write the date next to be desired,")</f>
        <v>well amballer calendar this calendar completely consistent with what I desired spot large enough to write the date next to be desired,</v>
      </c>
    </row>
    <row r="2327">
      <c r="A2327" s="1">
        <v>5.0</v>
      </c>
      <c r="B2327" s="1" t="s">
        <v>2312</v>
      </c>
      <c r="C2327" t="str">
        <f>IFERROR(__xludf.DUMMYFUNCTION("GOOGLETRANSLATE(B2327, ""fr"", ""en"")"),"Excellent value. I received a package containing: -2 Bluetooth Wireless Earphone -1 -1 loading box charging cable -3 caps of different sizes -a cloth bag -the Manual. After several days of testing, the headphones work fine. They are pleasant and light to "&amp;"wear. They do not hurt and are forgotten. The mouthpiece texture adapts perfectly to the shape of my ear. Pairing with my smartphone is carefree. The sound quality is good. I use it both for calls and for listening to music, and I am free of my movements,"&amp;" especially at the gym. Pros: -Small, -légers, 'They keep very much in place, once found the right size of tip, -The sound is quite satisfactory, -Autonomy quite satisfactory, more than 3 hours of listening continuous, effective noise -reduction, -the use"&amp;" is simple and intuitive, -The small transport box allows the charge and at the same time the ranger -The scope of bluetooth is good. For me it is a great product.")</f>
        <v>Excellent value. I received a package containing: -2 Bluetooth Wireless Earphone -1 -1 loading box charging cable -3 caps of different sizes -a cloth bag -the Manual. After several days of testing, the headphones work fine. They are pleasant and light to wear. They do not hurt and are forgotten. The mouthpiece texture adapts perfectly to the shape of my ear. Pairing with my smartphone is carefree. The sound quality is good. I use it both for calls and for listening to music, and I am free of my movements, especially at the gym. Pros: -Small, -légers, 'They keep very much in place, once found the right size of tip, -The sound is quite satisfactory, -Autonomy quite satisfactory, more than 3 hours of listening continuous, effective noise -reduction, -the use is simple and intuitive, -The small transport box allows the charge and at the same time the ranger -The scope of bluetooth is good. For me it is a great product.</v>
      </c>
    </row>
    <row r="2328">
      <c r="A2328" s="1">
        <v>5.0</v>
      </c>
      <c r="B2328" s="1" t="s">
        <v>2313</v>
      </c>
      <c r="C2328" t="str">
        <f>IFERROR(__xludf.DUMMYFUNCTION("GOOGLETRANSLATE(B2328, ""fr"", ""en"")"),"secu Shoe jb Safety shoes perfectly fit me it is very beautiful and there the protective shell ... very good product")</f>
        <v>secu Shoe jb Safety shoes perfectly fit me it is very beautiful and there the protective shell ... very good product</v>
      </c>
    </row>
    <row r="2329">
      <c r="A2329" s="1">
        <v>5.0</v>
      </c>
      <c r="B2329" s="1" t="s">
        <v>2314</v>
      </c>
      <c r="C2329" t="str">
        <f>IFERROR(__xludf.DUMMYFUNCTION("GOOGLETRANSLATE(B2329, ""fr"", ""en"")"),"Satisfied Complies Complies description Received as agreed at the date")</f>
        <v>Satisfied Complies Complies description Received as agreed at the date</v>
      </c>
    </row>
    <row r="2330">
      <c r="A2330" s="1">
        <v>5.0</v>
      </c>
      <c r="B2330" s="1" t="s">
        <v>2315</v>
      </c>
      <c r="C2330" t="str">
        <f>IFERROR(__xludf.DUMMYFUNCTION("GOOGLETRANSLATE(B2330, ""fr"", ""en"")"),"Well designed and easy to use design is super good, the axes are the step by step, holes allow to access between 2 positions. Really nice, I served in my car, the serifs are perfectly suited to the seat of my 208")</f>
        <v>Well designed and easy to use design is super good, the axes are the step by step, holes allow to access between 2 positions. Really nice, I served in my car, the serifs are perfectly suited to the seat of my 208</v>
      </c>
    </row>
    <row r="2331">
      <c r="A2331" s="1">
        <v>5.0</v>
      </c>
      <c r="B2331" s="1" t="s">
        <v>2316</v>
      </c>
      <c r="C2331" t="str">
        <f>IFERROR(__xludf.DUMMYFUNCTION("GOOGLETRANSLATE(B2331, ""fr"", ""en"")"),"perfect perfect high quality")</f>
        <v>perfect perfect high quality</v>
      </c>
    </row>
    <row r="2332">
      <c r="A2332" s="1">
        <v>5.0</v>
      </c>
      <c r="B2332" s="1" t="s">
        <v>2317</v>
      </c>
      <c r="C2332" t="str">
        <f>IFERROR(__xludf.DUMMYFUNCTION("GOOGLETRANSLATE(B2332, ""fr"", ""en"")"),"Super surprise very good gift surprise for my girlfriend. The gift is very different from what one can usually find in shops or supermarkets. With the supplied components, has the ability to make it unique and remarkable. I am quite convinced.")</f>
        <v>Super surprise very good gift surprise for my girlfriend. The gift is very different from what one can usually find in shops or supermarkets. With the supplied components, has the ability to make it unique and remarkable. I am quite convinced.</v>
      </c>
    </row>
    <row r="2333">
      <c r="A2333" s="1">
        <v>5.0</v>
      </c>
      <c r="B2333" s="1" t="s">
        <v>2318</v>
      </c>
      <c r="C2333" t="str">
        <f>IFERROR(__xludf.DUMMYFUNCTION("GOOGLETRANSLATE(B2333, ""fr"", ""en"")"),"Excellent beautiful shoe, right size. In any case my husband is very happy!")</f>
        <v>Excellent beautiful shoe, right size. In any case my husband is very happy!</v>
      </c>
    </row>
    <row r="2334">
      <c r="A2334" s="1">
        <v>5.0</v>
      </c>
      <c r="B2334" s="1" t="s">
        <v>2319</v>
      </c>
      <c r="C2334" t="str">
        <f>IFERROR(__xludf.DUMMYFUNCTION("GOOGLETRANSLATE(B2334, ""fr"", ""en"")"),"One of the best purchase I made! Bought it two years ago. I use it all day. It's comfortable, the sound is good. I really got attached. I had to change the cable once. But I'm not particularly careful with the cable. And the fact that we know to change th"&amp;"e cable is really a bonus.")</f>
        <v>One of the best purchase I made! Bought it two years ago. I use it all day. It's comfortable, the sound is good. I really got attached. I had to change the cable once. But I'm not particularly careful with the cable. And the fact that we know to change the cable is really a bonus.</v>
      </c>
    </row>
    <row r="2335">
      <c r="A2335" s="1">
        <v>5.0</v>
      </c>
      <c r="B2335" s="1" t="s">
        <v>2320</v>
      </c>
      <c r="C2335" t="str">
        <f>IFERROR(__xludf.DUMMYFUNCTION("GOOGLETRANSLATE(B2335, ""fr"", ""en"")"),"Good desk lamp lamp handy desktop with touch and various light intensities and the USB connection that can charge their devices without stooping to a floor outlet.")</f>
        <v>Good desk lamp lamp handy desktop with touch and various light intensities and the USB connection that can charge their devices without stooping to a floor outlet.</v>
      </c>
    </row>
    <row r="2336">
      <c r="A2336" s="1">
        <v>5.0</v>
      </c>
      <c r="B2336" s="1" t="s">
        <v>2321</v>
      </c>
      <c r="C2336" t="str">
        <f>IFERROR(__xludf.DUMMYFUNCTION("GOOGLETRANSLATE(B2336, ""fr"", ""en"")"),"good quality leather very beautiful thick leather, it perfectly matches my expectations, real leather bag just enough neither too big nor too small looks solid, good quality and very practical, it is important for me to wear shoulder. plenty of storage. V"&amp;"ery satisfied with my purchase .")</f>
        <v>good quality leather very beautiful thick leather, it perfectly matches my expectations, real leather bag just enough neither too big nor too small looks solid, good quality and very practical, it is important for me to wear shoulder. plenty of storage. Very satisfied with my purchase .</v>
      </c>
    </row>
    <row r="2337">
      <c r="A2337" s="1">
        <v>5.0</v>
      </c>
      <c r="B2337" s="1" t="s">
        <v>2322</v>
      </c>
      <c r="C2337" t="str">
        <f>IFERROR(__xludf.DUMMYFUNCTION("GOOGLETRANSLATE(B2337, ""fr"", ""en"")"),"Bottle Philips Advent For all my baby is still this brand I buy, this is the best bottle.")</f>
        <v>Bottle Philips Advent For all my baby is still this brand I buy, this is the best bottle.</v>
      </c>
    </row>
    <row r="2338">
      <c r="A2338" s="1">
        <v>5.0</v>
      </c>
      <c r="B2338" s="1" t="s">
        <v>2323</v>
      </c>
      <c r="C2338" t="str">
        <f>IFERROR(__xludf.DUMMYFUNCTION("GOOGLETRANSLATE(B2338, ""fr"", ""en"")"),"perfect watch Beautiful and super strong. Considering life as watches suffer with me it took me at least that. The metal bracelet is a real plus in terms of strength and also it has a system of hooks which stands where the plastic bracelets made soul. I a"&amp;"m satisfied.")</f>
        <v>perfect watch Beautiful and super strong. Considering life as watches suffer with me it took me at least that. The metal bracelet is a real plus in terms of strength and also it has a system of hooks which stands where the plastic bracelets made soul. I am satisfied.</v>
      </c>
    </row>
    <row r="2339">
      <c r="A2339" s="1">
        <v>5.0</v>
      </c>
      <c r="B2339" s="1" t="s">
        <v>2324</v>
      </c>
      <c r="C2339" t="str">
        <f>IFERROR(__xludf.DUMMYFUNCTION("GOOGLETRANSLATE(B2339, ""fr"", ""en"")"),"Beautiful serious product! After 3 weeks of use ... seriously buying ... very happy to have changed the model for this one ... I did not know the brand well and go ... this is a serious brand. .. no regrets !!!! Besides the quality is go")</f>
        <v>Beautiful serious product! After 3 weeks of use ... seriously buying ... very happy to have changed the model for this one ... I did not know the brand well and go ... this is a serious brand. .. no regrets !!!! Besides the quality is go</v>
      </c>
    </row>
    <row r="2340">
      <c r="A2340" s="1">
        <v>2.0</v>
      </c>
      <c r="B2340" s="1" t="s">
        <v>2325</v>
      </c>
      <c r="C2340" t="str">
        <f>IFERROR(__xludf.DUMMYFUNCTION("GOOGLETRANSLATE(B2340, ""fr"", ""en"")"),"Good product, but does not take a long time I use it for more than 3 months and it is very convenient with small bottle brush for teats. I regret that in against the big brush does not look like anything after so little time ... The ""hairs"" of the brush"&amp;" are all gathered. It should already that I bought another.")</f>
        <v>Good product, but does not take a long time I use it for more than 3 months and it is very convenient with small bottle brush for teats. I regret that in against the big brush does not look like anything after so little time ... The "hairs" of the brush are all gathered. It should already that I bought another.</v>
      </c>
    </row>
    <row r="2341">
      <c r="A2341" s="1">
        <v>1.0</v>
      </c>
      <c r="B2341" s="1" t="s">
        <v>2326</v>
      </c>
      <c r="C2341" t="str">
        <f>IFERROR(__xludf.DUMMYFUNCTION("GOOGLETRANSLATE(B2341, ""fr"", ""en"")"),"Its no bad unpleasant wore expensive for nothing")</f>
        <v>Its no bad unpleasant wore expensive for nothing</v>
      </c>
    </row>
    <row r="2342">
      <c r="A2342" s="1">
        <v>3.0</v>
      </c>
      <c r="B2342" s="1" t="s">
        <v>2327</v>
      </c>
      <c r="C2342" t="str">
        <f>IFERROR(__xludf.DUMMYFUNCTION("GOOGLETRANSLATE(B2342, ""fr"", ""en"")"),"Price interesting but shoes too large a size Makes service for occasional use, the time of a construction sustainability poses still question the finish is a little cheap, and especially size too big, good size at least offset by a large extra pair of soc"&amp;"ks")</f>
        <v>Price interesting but shoes too large a size Makes service for occasional use, the time of a construction sustainability poses still question the finish is a little cheap, and especially size too big, good size at least offset by a large extra pair of socks</v>
      </c>
    </row>
    <row r="2343">
      <c r="A2343" s="1">
        <v>3.0</v>
      </c>
      <c r="B2343" s="1" t="s">
        <v>2328</v>
      </c>
      <c r="C2343" t="str">
        <f>IFERROR(__xludf.DUMMYFUNCTION("GOOGLETRANSLATE(B2343, ""fr"", ""en"")"),"Good quality but ... Good quality leather but steep. They would have deserved the assouplir.Habitué of this brand are not the most comfortable but do the job")</f>
        <v>Good quality but ... Good quality leather but steep. They would have deserved the assouplir.Habitué of this brand are not the most comfortable but do the job</v>
      </c>
    </row>
    <row r="2344">
      <c r="A2344" s="1">
        <v>4.0</v>
      </c>
      <c r="B2344" s="1" t="s">
        <v>2329</v>
      </c>
      <c r="C2344" t="str">
        <f>IFERROR(__xludf.DUMMYFUNCTION("GOOGLETRANSLATE(B2344, ""fr"", ""en"")"),"Good order. Helmet of good quality of gaming, the sheets are strong and protected delivery. Adjusting audio and microphone mute possible. The microphone is replit not obstruct the helmet without it. Fits any head size, even for a child of 7 years.")</f>
        <v>Good order. Helmet of good quality of gaming, the sheets are strong and protected delivery. Adjusting audio and microphone mute possible. The microphone is replit not obstruct the helmet without it. Fits any head size, even for a child of 7 years.</v>
      </c>
    </row>
    <row r="2345">
      <c r="A2345" s="1">
        <v>4.0</v>
      </c>
      <c r="B2345" s="1" t="s">
        <v>2330</v>
      </c>
      <c r="C2345" t="str">
        <f>IFERROR(__xludf.DUMMYFUNCTION("GOOGLETRANSLATE(B2345, ""fr"", ""en"")"),"The nice sweatshirt fabric is of good quality and do not move during washing. The cut is rather slim at the waist (I was not expecting it) for a 38 I took size M and it's perfect but the size is marked. The color is identical to the photo: very nice. But "&amp;"I recommend attention to the size!")</f>
        <v>The nice sweatshirt fabric is of good quality and do not move during washing. The cut is rather slim at the waist (I was not expecting it) for a 38 I took size M and it's perfect but the size is marked. The color is identical to the photo: very nice. But I recommend attention to the size!</v>
      </c>
    </row>
    <row r="2346">
      <c r="A2346" s="1">
        <v>4.0</v>
      </c>
      <c r="B2346" s="1" t="s">
        <v>2331</v>
      </c>
      <c r="C2346" t="str">
        <f>IFERROR(__xludf.DUMMYFUNCTION("GOOGLETRANSLATE(B2346, ""fr"", ""en"")"),"some very good flat no on / off buttons that becomes a low nowadays sound .. not powerful enough, there is no reduction of the surrounding noise or the sound is relatively clean in that price can not expect a lot better, the arm is perfect for against, ve"&amp;"ry fluid, strong enough and long enough")</f>
        <v>some very good flat no on / off buttons that becomes a low nowadays sound .. not powerful enough, there is no reduction of the surrounding noise or the sound is relatively clean in that price can not expect a lot better, the arm is perfect for against, very fluid, strong enough and long enough</v>
      </c>
    </row>
    <row r="2347">
      <c r="A2347" s="1">
        <v>4.0</v>
      </c>
      <c r="B2347" s="1" t="s">
        <v>2332</v>
      </c>
      <c r="C2347" t="str">
        <f>IFERROR(__xludf.DUMMYFUNCTION("GOOGLETRANSLATE(B2347, ""fr"", ""en"")"),"Although Good paper quality, attention to small cuts not necessarily easy to cut! I recommend if need still")</f>
        <v>Although Good paper quality, attention to small cuts not necessarily easy to cut! I recommend if need still</v>
      </c>
    </row>
    <row r="2348">
      <c r="A2348" s="1">
        <v>5.0</v>
      </c>
      <c r="B2348" s="1" t="s">
        <v>2333</v>
      </c>
      <c r="C2348" t="str">
        <f>IFERROR(__xludf.DUMMYFUNCTION("GOOGLETRANSLATE(B2348, ""fr"", ""en"")"),"Budget product")</f>
        <v>Budget product</v>
      </c>
    </row>
    <row r="2349">
      <c r="A2349" s="1">
        <v>5.0</v>
      </c>
      <c r="B2349" s="1" t="s">
        <v>2334</v>
      </c>
      <c r="C2349" t="str">
        <f>IFERROR(__xludf.DUMMYFUNCTION("GOOGLETRANSLATE(B2349, ""fr"", ""en"")"),"Fine fragrance washing machine quality and size appropriée.La spray is very fine, the essential oil is added to water and the smell of spray smoke becomes very douce.Petit exquisite household object, it is much more comfortable to sleep on soir.Ajouter of"&amp;" essential oil to facilitate sommeil.C 'is putting it on the bed and use it as a night light diffuses the fragrance soir.AIR comfortable to relax, the report cost - effectiveness, quality, easy to carry.")</f>
        <v>Fine fragrance washing machine quality and size appropriée.La spray is very fine, the essential oil is added to water and the smell of spray smoke becomes very douce.Petit exquisite household object, it is much more comfortable to sleep on soir.Ajouter of essential oil to facilitate sommeil.C 'is putting it on the bed and use it as a night light diffuses the fragrance soir.AIR comfortable to relax, the report cost - effectiveness, quality, easy to carry.</v>
      </c>
    </row>
    <row r="2350">
      <c r="A2350" s="1">
        <v>5.0</v>
      </c>
      <c r="B2350" s="1" t="s">
        <v>2335</v>
      </c>
      <c r="C2350" t="str">
        <f>IFERROR(__xludf.DUMMYFUNCTION("GOOGLETRANSLATE(B2350, ""fr"", ""en"")"),"RAS good product fast delivery. true")</f>
        <v>RAS good product fast delivery. true</v>
      </c>
    </row>
    <row r="2351">
      <c r="A2351" s="1">
        <v>5.0</v>
      </c>
      <c r="B2351" s="1" t="s">
        <v>2336</v>
      </c>
      <c r="C2351" t="str">
        <f>IFERROR(__xludf.DUMMYFUNCTION("GOOGLETRANSLATE(B2351, ""fr"", ""en"")"),"RAS impeccable")</f>
        <v>RAS impeccable</v>
      </c>
    </row>
    <row r="2352">
      <c r="A2352" s="1">
        <v>5.0</v>
      </c>
      <c r="B2352" s="1" t="s">
        <v>2337</v>
      </c>
      <c r="C2352" t="str">
        <f>IFERROR(__xludf.DUMMYFUNCTION("GOOGLETRANSLATE(B2352, ""fr"", ""en"")"),"Comfortable and functional J bought this massage table for personal use. I am completely satisfied, the foam is thick enough to allow a comfortable reclining position, accessories used to do as a d beauty salon. It is very simple to mount Fully satisfied "&amp;"I recommend")</f>
        <v>Comfortable and functional J bought this massage table for personal use. I am completely satisfied, the foam is thick enough to allow a comfortable reclining position, accessories used to do as a d beauty salon. It is very simple to mount Fully satisfied I recommend</v>
      </c>
    </row>
    <row r="2353">
      <c r="A2353" s="1">
        <v>5.0</v>
      </c>
      <c r="B2353" s="1" t="s">
        <v>2338</v>
      </c>
      <c r="C2353" t="str">
        <f>IFERROR(__xludf.DUMMYFUNCTION("GOOGLETRANSLATE(B2353, ""fr"", ""en"")"),"Earrings Excellent Product")</f>
        <v>Earrings Excellent Product</v>
      </c>
    </row>
    <row r="2354">
      <c r="A2354" s="1">
        <v>5.0</v>
      </c>
      <c r="B2354" s="1" t="s">
        <v>2339</v>
      </c>
      <c r="C2354" t="str">
        <f>IFERROR(__xludf.DUMMYFUNCTION("GOOGLETRANSLATE(B2354, ""fr"", ""en"")"),"Very good quality sports bra, size perfectly, support good; nothing wrong, I am very happy!")</f>
        <v>Very good quality sports bra, size perfectly, support good; nothing wrong, I am very happy!</v>
      </c>
    </row>
    <row r="2355">
      <c r="A2355" s="1">
        <v>5.0</v>
      </c>
      <c r="B2355" s="1" t="s">
        <v>2340</v>
      </c>
      <c r="C2355" t="str">
        <f>IFERROR(__xludf.DUMMYFUNCTION("GOOGLETRANSLATE(B2355, ""fr"", ""en"")"),"Very classy ! Frankly, for the price you can not ask for more! The watch is simple and class, against the button to adjust the time can hurt a little if plit a little too wrist")</f>
        <v>Very classy ! Frankly, for the price you can not ask for more! The watch is simple and class, against the button to adjust the time can hurt a little if plit a little too wrist</v>
      </c>
    </row>
    <row r="2356">
      <c r="A2356" s="1">
        <v>5.0</v>
      </c>
      <c r="B2356" s="1" t="s">
        <v>2341</v>
      </c>
      <c r="C2356" t="str">
        <f>IFERROR(__xludf.DUMMYFUNCTION("GOOGLETRANSLATE(B2356, ""fr"", ""en"")"),"Ordering and delivery Satisfied nothing to say quality of product used for rides cushy walk on soft ground, muddy or wet grass: no problem impermeability Difficulty to put on and remove the feet but it lends itself to long (normal and predictable )")</f>
        <v>Ordering and delivery Satisfied nothing to say quality of product used for rides cushy walk on soft ground, muddy or wet grass: no problem impermeability Difficulty to put on and remove the feet but it lends itself to long (normal and predictable )</v>
      </c>
    </row>
    <row r="2357">
      <c r="A2357" s="1">
        <v>5.0</v>
      </c>
      <c r="B2357" s="1" t="s">
        <v>2342</v>
      </c>
      <c r="C2357" t="str">
        <f>IFERROR(__xludf.DUMMYFUNCTION("GOOGLETRANSLATE(B2357, ""fr"", ""en"")"),"Super Nike MD Runner I'm already a fan of Nike MD Runner but this is the first time I order online. I am very satisfied with the product and delivery. Like many Nike, take the size above (I put on the 42 but I still Nike takes 43)")</f>
        <v>Super Nike MD Runner I'm already a fan of Nike MD Runner but this is the first time I order online. I am very satisfied with the product and delivery. Like many Nike, take the size above (I put on the 42 but I still Nike takes 43)</v>
      </c>
    </row>
    <row r="2358">
      <c r="A2358" s="1">
        <v>5.0</v>
      </c>
      <c r="B2358" s="1" t="s">
        <v>2343</v>
      </c>
      <c r="C2358" t="str">
        <f>IFERROR(__xludf.DUMMYFUNCTION("GOOGLETRANSLATE(B2358, ""fr"", ""en"")"),"Coffee coffee coffee EXELENT my fast and makes good coffee talks very well and value. Bravo")</f>
        <v>Coffee coffee coffee EXELENT my fast and makes good coffee talks very well and value. Bravo</v>
      </c>
    </row>
    <row r="2359">
      <c r="A2359" s="1">
        <v>5.0</v>
      </c>
      <c r="B2359" s="1" t="s">
        <v>2344</v>
      </c>
      <c r="C2359" t="str">
        <f>IFERROR(__xludf.DUMMYFUNCTION("GOOGLETRANSLATE(B2359, ""fr"", ""en"")"),"great product fast delivery, good product that has reached my requests I highly recommend this product. the resistance check after several usage over time but it is consistent with my expectations")</f>
        <v>great product fast delivery, good product that has reached my requests I highly recommend this product. the resistance check after several usage over time but it is consistent with my expectations</v>
      </c>
    </row>
    <row r="2360">
      <c r="A2360" s="1">
        <v>5.0</v>
      </c>
      <c r="B2360" s="1" t="s">
        <v>2345</v>
      </c>
      <c r="C2360" t="str">
        <f>IFERROR(__xludf.DUMMYFUNCTION("GOOGLETRANSLATE(B2360, ""fr"", ""en"")"),"In line with what I expected This is a watch like I had one in 1979, so the features have not varied, but it is a good product that does the job.")</f>
        <v>In line with what I expected This is a watch like I had one in 1979, so the features have not varied, but it is a good product that does the job.</v>
      </c>
    </row>
    <row r="2361">
      <c r="A2361" s="1">
        <v>5.0</v>
      </c>
      <c r="B2361" s="1" t="s">
        <v>2346</v>
      </c>
      <c r="C2361" t="str">
        <f>IFERROR(__xludf.DUMMYFUNCTION("GOOGLETRANSLATE(B2361, ""fr"", ""en"")"),"Recommendation Too perfect. I just love it")</f>
        <v>Recommendation Too perfect. I just love it</v>
      </c>
    </row>
    <row r="2362">
      <c r="A2362" s="1">
        <v>5.0</v>
      </c>
      <c r="B2362" s="1" t="s">
        <v>2347</v>
      </c>
      <c r="C2362" t="str">
        <f>IFERROR(__xludf.DUMMYFUNCTION("GOOGLETRANSLATE(B2362, ""fr"", ""en"")"),"Size ok super Perfect pants, size is correct it is nice and comfortable to wear. The design is nice.")</f>
        <v>Size ok super Perfect pants, size is correct it is nice and comfortable to wear. The design is nice.</v>
      </c>
    </row>
    <row r="2363">
      <c r="A2363" s="1">
        <v>5.0</v>
      </c>
      <c r="B2363" s="1" t="s">
        <v>2348</v>
      </c>
      <c r="C2363" t="str">
        <f>IFERROR(__xludf.DUMMYFUNCTION("GOOGLETRANSLATE(B2363, ""fr"", ""en"")"),"Top 5 ⭐")</f>
        <v>Top 5 ⭐</v>
      </c>
    </row>
    <row r="2364">
      <c r="A2364" s="1">
        <v>2.0</v>
      </c>
      <c r="B2364" s="1" t="s">
        <v>2349</v>
      </c>
      <c r="C2364" t="str">
        <f>IFERROR(__xludf.DUMMYFUNCTION("GOOGLETRANSLATE(B2364, ""fr"", ""en"")"),"Bad Very nice pendant. But after two days the channel darkens. I'm glad not to have paid that 9euros in promo and not 129 (original price).")</f>
        <v>Bad Very nice pendant. But after two days the channel darkens. I'm glad not to have paid that 9euros in promo and not 129 (original price).</v>
      </c>
    </row>
    <row r="2365">
      <c r="A2365" s="1">
        <v>1.0</v>
      </c>
      <c r="B2365" s="1" t="s">
        <v>2350</v>
      </c>
      <c r="C2365" t="str">
        <f>IFERROR(__xludf.DUMMYFUNCTION("GOOGLETRANSLATE(B2365, ""fr"", ""en"")"),"uncomfortable massage is painful there is just a net that covers the massage balls, it would have a thicker layer as leather.")</f>
        <v>uncomfortable massage is painful there is just a net that covers the massage balls, it would have a thicker layer as leather.</v>
      </c>
    </row>
    <row r="2366">
      <c r="A2366" s="1">
        <v>1.0</v>
      </c>
      <c r="B2366" s="1" t="s">
        <v>2351</v>
      </c>
      <c r="C2366" t="str">
        <f>IFERROR(__xludf.DUMMYFUNCTION("GOOGLETRANSLATE(B2366, ""fr"", ""en"")"),"Move along. Bought to allow my mother to try without breaking the bank, and happily! Carpets too soft, painless flowers on the first try (I know, it sounds ""masochistic"" but that's the effect it must do to operate, ie has to get you to relax). In short,"&amp;" instead of wanting to save money, better put aside the money to ""true"".")</f>
        <v>Move along. Bought to allow my mother to try without breaking the bank, and happily! Carpets too soft, painless flowers on the first try (I know, it sounds "masochistic" but that's the effect it must do to operate, ie has to get you to relax). In short, instead of wanting to save money, better put aside the money to "true".</v>
      </c>
    </row>
    <row r="2367">
      <c r="A2367" s="1">
        <v>3.0</v>
      </c>
      <c r="B2367" s="1" t="s">
        <v>2352</v>
      </c>
      <c r="C2367" t="str">
        <f>IFERROR(__xludf.DUMMYFUNCTION("GOOGLETRANSLATE(B2367, ""fr"", ""en"")"),"Good but not resistant socks are already pierced below (friction in the palm) The principle of a low sock and good, but the quality is a bit light")</f>
        <v>Good but not resistant socks are already pierced below (friction in the palm) The principle of a low sock and good, but the quality is a bit light</v>
      </c>
    </row>
    <row r="2368">
      <c r="A2368" s="1">
        <v>3.0</v>
      </c>
      <c r="B2368" s="1" t="s">
        <v>2353</v>
      </c>
      <c r="C2368" t="str">
        <f>IFERROR(__xludf.DUMMYFUNCTION("GOOGLETRANSLATE(B2368, ""fr"", ""en"")"),"Very nice pendant It's a nice but be careful there because it is really very end despite that it is very beautiful")</f>
        <v>Very nice pendant It's a nice but be careful there because it is really very end despite that it is very beautiful</v>
      </c>
    </row>
    <row r="2369">
      <c r="A2369" s="1">
        <v>4.0</v>
      </c>
      <c r="B2369" s="1" t="s">
        <v>2354</v>
      </c>
      <c r="C2369" t="str">
        <f>IFERROR(__xludf.DUMMYFUNCTION("GOOGLETRANSLATE(B2369, ""fr"", ""en"")"),"Can still do better This is perfect, it is sure not to be wrong but it would be even better if we could add a note.")</f>
        <v>Can still do better This is perfect, it is sure not to be wrong but it would be even better if we could add a note.</v>
      </c>
    </row>
    <row r="2370">
      <c r="A2370" s="1">
        <v>4.0</v>
      </c>
      <c r="B2370" s="1" t="s">
        <v>2355</v>
      </c>
      <c r="C2370" t="str">
        <f>IFERROR(__xludf.DUMMYFUNCTION("GOOGLETRANSLATE(B2370, ""fr"", ""en"")"),"Bad Pretty flashy not study for my job (body shop painter), 2 months, I can already see the wards, I will not say disappointed because it is held at the time branded as f ..... or ks ..... but a certain fragility")</f>
        <v>Bad Pretty flashy not study for my job (body shop painter), 2 months, I can already see the wards, I will not say disappointed because it is held at the time branded as f ..... or ks ..... but a certain fragility</v>
      </c>
    </row>
    <row r="2371">
      <c r="A2371" s="1">
        <v>4.0</v>
      </c>
      <c r="B2371" s="1" t="s">
        <v>2356</v>
      </c>
      <c r="C2371" t="str">
        <f>IFERROR(__xludf.DUMMYFUNCTION("GOOGLETRANSLATE(B2371, ""fr"", ""en"")"),"Not bad Nice, beautiful design. See with time ...")</f>
        <v>Not bad Nice, beautiful design. See with time ...</v>
      </c>
    </row>
    <row r="2372">
      <c r="A2372" s="1">
        <v>4.0</v>
      </c>
      <c r="B2372" s="1" t="s">
        <v>2357</v>
      </c>
      <c r="C2372" t="str">
        <f>IFERROR(__xludf.DUMMYFUNCTION("GOOGLETRANSLATE(B2372, ""fr"", ""en"")"),"Excellent Received quickly, in a single package but the shoes were in perfect condition. Pleasant was wearing, I ordered my usual size and fit me perfectly. The laces are great and look good. 1 month wear and no complaints")</f>
        <v>Excellent Received quickly, in a single package but the shoes were in perfect condition. Pleasant was wearing, I ordered my usual size and fit me perfectly. The laces are great and look good. 1 month wear and no complaints</v>
      </c>
    </row>
    <row r="2373">
      <c r="A2373" s="1">
        <v>5.0</v>
      </c>
      <c r="B2373" s="1" t="s">
        <v>2358</v>
      </c>
      <c r="C2373" t="str">
        <f>IFERROR(__xludf.DUMMYFUNCTION("GOOGLETRANSLATE(B2373, ""fr"", ""en"")"),"Great ! Very useful, easy to use. Its large screen enables easy readability of the remaining time. Purchase recommend despite a price a little high.")</f>
        <v>Great ! Very useful, easy to use. Its large screen enables easy readability of the remaining time. Purchase recommend despite a price a little high.</v>
      </c>
    </row>
    <row r="2374">
      <c r="A2374" s="1">
        <v>5.0</v>
      </c>
      <c r="B2374" s="1" t="s">
        <v>2359</v>
      </c>
      <c r="C2374" t="str">
        <f>IFERROR(__xludf.DUMMYFUNCTION("GOOGLETRANSLATE(B2374, ""fr"", ""en"")"),"Several colors can be very reasonable price. No special occasions shape and color I liked,")</f>
        <v>Several colors can be very reasonable price. No special occasions shape and color I liked,</v>
      </c>
    </row>
    <row r="2375">
      <c r="A2375" s="1">
        <v>5.0</v>
      </c>
      <c r="B2375" s="1" t="s">
        <v>2360</v>
      </c>
      <c r="C2375" t="str">
        <f>IFERROR(__xludf.DUMMYFUNCTION("GOOGLETRANSLATE(B2375, ""fr"", ""en"")"),"Very very confortablee I took size 37.5 and 38 not usual size")</f>
        <v>Very very confortablee I took size 37.5 and 38 not usual size</v>
      </c>
    </row>
    <row r="2376">
      <c r="A2376" s="1">
        <v>5.0</v>
      </c>
      <c r="B2376" s="1" t="s">
        <v>2361</v>
      </c>
      <c r="C2376" t="str">
        <f>IFERROR(__xludf.DUMMYFUNCTION("GOOGLETRANSLATE(B2376, ""fr"", ""en"")"),"Kit KARAOKE amp with 2 microphones Wireless KARAOKE This set has become indispensable to finish our evenings Saturday night singing. The 2 wireless microphones are wandering hands. Blue light is also his little effect in the evening with candlelight. 2 mi"&amp;"crophones aluminum are quite heavy and are really professional. The radio transmission is good and I can not recommend this product.")</f>
        <v>Kit KARAOKE amp with 2 microphones Wireless KARAOKE This set has become indispensable to finish our evenings Saturday night singing. The 2 wireless microphones are wandering hands. Blue light is also his little effect in the evening with candlelight. 2 microphones aluminum are quite heavy and are really professional. The radio transmission is good and I can not recommend this product.</v>
      </c>
    </row>
    <row r="2377">
      <c r="A2377" s="1">
        <v>5.0</v>
      </c>
      <c r="B2377" s="1" t="s">
        <v>2362</v>
      </c>
      <c r="C2377" t="str">
        <f>IFERROR(__xludf.DUMMYFUNCTION("GOOGLETRANSLATE(B2377, ""fr"", ""en"")"),"SUPER Finally a supplier who understood that some people are already working their schedule next year, plus French agenda. We only regret that 2021 is not already available, but hey, maybe too demanding. thank you anyway")</f>
        <v>SUPER Finally a supplier who understood that some people are already working their schedule next year, plus French agenda. We only regret that 2021 is not already available, but hey, maybe too demanding. thank you anyway</v>
      </c>
    </row>
    <row r="2378">
      <c r="A2378" s="1">
        <v>5.0</v>
      </c>
      <c r="B2378" s="1" t="s">
        <v>2363</v>
      </c>
      <c r="C2378" t="str">
        <f>IFERROR(__xludf.DUMMYFUNCTION("GOOGLETRANSLATE(B2378, ""fr"", ""en"")"),"Basketball sports I bought these shoes in purple and the color is very pretty. I took my usual size and do not shake me at the ankle, they are doing well. I use it for jogging and the gym and soles cushion shocks perfectly when I run. The shoes have vents"&amp;" that allow the foot to breathe. Quite satisfied.")</f>
        <v>Basketball sports I bought these shoes in purple and the color is very pretty. I took my usual size and do not shake me at the ankle, they are doing well. I use it for jogging and the gym and soles cushion shocks perfectly when I run. The shoes have vents that allow the foot to breathe. Quite satisfied.</v>
      </c>
    </row>
    <row r="2379">
      <c r="A2379" s="1">
        <v>5.0</v>
      </c>
      <c r="B2379" s="1" t="s">
        <v>2364</v>
      </c>
      <c r="C2379" t="str">
        <f>IFERROR(__xludf.DUMMYFUNCTION("GOOGLETRANSLATE(B2379, ""fr"", ""en"")"),"Baby love for once baby can paint with fingers and loves :-)")</f>
        <v>Baby love for once baby can paint with fingers and loves :-)</v>
      </c>
    </row>
    <row r="2380">
      <c r="A2380" s="1">
        <v>5.0</v>
      </c>
      <c r="B2380" s="1" t="s">
        <v>2365</v>
      </c>
      <c r="C2380" t="str">
        <f>IFERROR(__xludf.DUMMYFUNCTION("GOOGLETRANSLATE(B2380, ""fr"", ""en"")"),"The perfect Tong Tong perfect. The former I had were bought in stores and it cellle no complaints. I took the size by referring to the size chart. The tong ideal for out of the shower and hang out at home!")</f>
        <v>The perfect Tong Tong perfect. The former I had were bought in stores and it cellle no complaints. I took the size by referring to the size chart. The tong ideal for out of the shower and hang out at home!</v>
      </c>
    </row>
    <row r="2381">
      <c r="A2381" s="1">
        <v>5.0</v>
      </c>
      <c r="B2381" s="1" t="s">
        <v>2366</v>
      </c>
      <c r="C2381" t="str">
        <f>IFERROR(__xludf.DUMMYFUNCTION("GOOGLETRANSLATE(B2381, ""fr"", ""en"")"),"Very class Earrings received in a beautiful box. They are very beautiful, with a small rubber button so they do not move. I am very satisfied with my purchase.")</f>
        <v>Very class Earrings received in a beautiful box. They are very beautiful, with a small rubber button so they do not move. I am very satisfied with my purchase.</v>
      </c>
    </row>
    <row r="2382">
      <c r="A2382" s="1">
        <v>5.0</v>
      </c>
      <c r="B2382" s="1" t="s">
        <v>2367</v>
      </c>
      <c r="C2382" t="str">
        <f>IFERROR(__xludf.DUMMYFUNCTION("GOOGLETRANSLATE(B2382, ""fr"", ""en"")"),"Gorgeous bra Very comfortable to wear, good material, well sewn, no bad details. Good product !")</f>
        <v>Gorgeous bra Very comfortable to wear, good material, well sewn, no bad details. Good product !</v>
      </c>
    </row>
    <row r="2383">
      <c r="A2383" s="1">
        <v>5.0</v>
      </c>
      <c r="B2383" s="1" t="s">
        <v>2368</v>
      </c>
      <c r="C2383" t="str">
        <f>IFERROR(__xludf.DUMMYFUNCTION("GOOGLETRANSLATE(B2383, ""fr"", ""en"")"),"100% 100% ok ok")</f>
        <v>100% 100% ok ok</v>
      </c>
    </row>
    <row r="2384">
      <c r="A2384" s="1">
        <v>5.0</v>
      </c>
      <c r="B2384" s="1" t="s">
        <v>2369</v>
      </c>
      <c r="C2384" t="str">
        <f>IFERROR(__xludf.DUMMYFUNCTION("GOOGLETRANSLATE(B2384, ""fr"", ""en"")"),"Very friendly Really nice I love")</f>
        <v>Very friendly Really nice I love</v>
      </c>
    </row>
    <row r="2385">
      <c r="A2385" s="1">
        <v>5.0</v>
      </c>
      <c r="B2385" s="1" t="s">
        <v>2370</v>
      </c>
      <c r="C2385" t="str">
        <f>IFERROR(__xludf.DUMMYFUNCTION("GOOGLETRANSLATE(B2385, ""fr"", ""en"")"),"Comfortable and convenient Complies")</f>
        <v>Comfortable and convenient Complies</v>
      </c>
    </row>
    <row r="2386">
      <c r="A2386" s="1">
        <v>5.0</v>
      </c>
      <c r="B2386" s="1" t="s">
        <v>2371</v>
      </c>
      <c r="C2386" t="str">
        <f>IFERROR(__xludf.DUMMYFUNCTION("GOOGLETRANSLATE(B2386, ""fr"", ""en"")"),"Beefy used every day for my job, it seems indestructible compared to many models that I already ""tested"".")</f>
        <v>Beefy used every day for my job, it seems indestructible compared to many models that I already "tested".</v>
      </c>
    </row>
    <row r="2387">
      <c r="A2387" s="1">
        <v>5.0</v>
      </c>
      <c r="B2387" s="1" t="s">
        <v>2372</v>
      </c>
      <c r="C2387" t="str">
        <f>IFERROR(__xludf.DUMMYFUNCTION("GOOGLETRANSLATE(B2387, ""fr"", ""en"")"),"Top Very beautiful bracelet! 😉 I recommend!")</f>
        <v>Top Very beautiful bracelet! 😉 I recommend!</v>
      </c>
    </row>
    <row r="2388">
      <c r="A2388" s="1">
        <v>2.0</v>
      </c>
      <c r="B2388" s="1" t="s">
        <v>2373</v>
      </c>
      <c r="C2388" t="str">
        <f>IFERROR(__xludf.DUMMYFUNCTION("GOOGLETRANSLATE(B2388, ""fr"", ""en"")"),"Far too small I just got it running, there a worry, I have watched it before placing the order size guide I size 38 jeans pants, so since it is placed in the guide table sizes 38 to 40 that is S, I made a S, bha missed, it's too small a size below, it too"&amp;"k me a aurrait M take as I thought, but I preferred fied in the table on the jog control page. I have difficulty understanding those who find that size large, I absolutely contrary effect, it's a shame, the quality is not bad for the taking, but it will s"&amp;"tay in the closet, pfff .........")</f>
        <v>Far too small I just got it running, there a worry, I have watched it before placing the order size guide I size 38 jeans pants, so since it is placed in the guide table sizes 38 to 40 that is S, I made a S, bha missed, it's too small a size below, it took me a aurrait M take as I thought, but I preferred fied in the table on the jog control page. I have difficulty understanding those who find that size large, I absolutely contrary effect, it's a shame, the quality is not bad for the taking, but it will stay in the closet, pfff .........</v>
      </c>
    </row>
    <row r="2389">
      <c r="A2389" s="1">
        <v>1.0</v>
      </c>
      <c r="B2389" s="1" t="s">
        <v>2374</v>
      </c>
      <c r="C2389" t="str">
        <f>IFERROR(__xludf.DUMMYFUNCTION("GOOGLETRANSLATE(B2389, ""fr"", ""en"")"),"Lack gently rolls rather small with a big hole. toilet paper and enough blatant lack of sweetness; in short, a toilet paper low end and uneconomical.")</f>
        <v>Lack gently rolls rather small with a big hole. toilet paper and enough blatant lack of sweetness; in short, a toilet paper low end and uneconomical.</v>
      </c>
    </row>
    <row r="2390">
      <c r="A2390" s="1">
        <v>1.0</v>
      </c>
      <c r="B2390" s="1" t="s">
        <v>2375</v>
      </c>
      <c r="C2390" t="str">
        <f>IFERROR(__xludf.DUMMYFUNCTION("GOOGLETRANSLATE(B2390, ""fr"", ""en"")"),"Product arrived disappointed, soleplate badly adhered so that the shoe takes water. One solution proposed by amazon: recommend them, except that they are now 159 euros instead of 102. No commercial gesture can finally if a good 5 euros. I find this unacce"&amp;"ptable.")</f>
        <v>Product arrived disappointed, soleplate badly adhered so that the shoe takes water. One solution proposed by amazon: recommend them, except that they are now 159 euros instead of 102. No commercial gesture can finally if a good 5 euros. I find this unacceptable.</v>
      </c>
    </row>
    <row r="2391">
      <c r="A2391" s="1">
        <v>3.0</v>
      </c>
      <c r="B2391" s="1" t="s">
        <v>2376</v>
      </c>
      <c r="C2391" t="str">
        <f>IFERROR(__xludf.DUMMYFUNCTION("GOOGLETRANSLATE(B2391, ""fr"", ""en"")"),"Useful Lack flap down to avoid losing leaves")</f>
        <v>Useful Lack flap down to avoid losing leaves</v>
      </c>
    </row>
    <row r="2392">
      <c r="A2392" s="1">
        <v>4.0</v>
      </c>
      <c r="B2392" s="1" t="s">
        <v>2377</v>
      </c>
      <c r="C2392" t="str">
        <f>IFERROR(__xludf.DUMMYFUNCTION("GOOGLETRANSLATE(B2392, ""fr"", ""en"")"),"Nice effect These earrings are beautiful shame they are a bit heavy and bulky in thickness suddenly they bend down and the effect is less nice on the ear. Beautiful setting for the store")</f>
        <v>Nice effect These earrings are beautiful shame they are a bit heavy and bulky in thickness suddenly they bend down and the effect is less nice on the ear. Beautiful setting for the store</v>
      </c>
    </row>
    <row r="2393">
      <c r="A2393" s="1">
        <v>4.0</v>
      </c>
      <c r="B2393" s="1" t="s">
        <v>2378</v>
      </c>
      <c r="C2393" t="str">
        <f>IFERROR(__xludf.DUMMYFUNCTION("GOOGLETRANSLATE(B2393, ""fr"", ""en"")"),"Pretty Meets picture. Very pretty. fine channel without stopper at the ends; the two elements can therefore fall when removing the collar.")</f>
        <v>Pretty Meets picture. Very pretty. fine channel without stopper at the ends; the two elements can therefore fall when removing the collar.</v>
      </c>
    </row>
    <row r="2394">
      <c r="A2394" s="1">
        <v>4.0</v>
      </c>
      <c r="B2394" s="1" t="s">
        <v>2379</v>
      </c>
      <c r="C2394" t="str">
        <f>IFERROR(__xludf.DUMMYFUNCTION("GOOGLETRANSLATE(B2394, ""fr"", ""en"")"),"Stones beautiful I love this area of ​​black stones volcanic style, a little flat the size of the little big a bracelet for my small wrist, maybe it's a human model?")</f>
        <v>Stones beautiful I love this area of ​​black stones volcanic style, a little flat the size of the little big a bracelet for my small wrist, maybe it's a human model?</v>
      </c>
    </row>
    <row r="2395">
      <c r="A2395" s="1">
        <v>4.0</v>
      </c>
      <c r="B2395" s="1" t="s">
        <v>2380</v>
      </c>
      <c r="C2395" t="str">
        <f>IFERROR(__xludf.DUMMYFUNCTION("GOOGLETRANSLATE(B2395, ""fr"", ""en"")"),"Take a size bigger Ras")</f>
        <v>Take a size bigger Ras</v>
      </c>
    </row>
    <row r="2396">
      <c r="A2396" s="1">
        <v>5.0</v>
      </c>
      <c r="B2396" s="1" t="s">
        <v>2381</v>
      </c>
      <c r="C2396" t="str">
        <f>IFERROR(__xludf.DUMMYFUNCTION("GOOGLETRANSLATE(B2396, ""fr"", ""en"")"),"Leather Necklace No decue product of good quality. pretty solid matter. I make time savings jewelry necklaces to leather")</f>
        <v>Leather Necklace No decue product of good quality. pretty solid matter. I make time savings jewelry necklaces to leather</v>
      </c>
    </row>
    <row r="2397">
      <c r="A2397" s="1">
        <v>5.0</v>
      </c>
      <c r="B2397" s="1" t="s">
        <v>2382</v>
      </c>
      <c r="C2397" t="str">
        <f>IFERROR(__xludf.DUMMYFUNCTION("GOOGLETRANSLATE(B2397, ""fr"", ""en"")"),"My daughter loves the Super j 'have recommended other")</f>
        <v>My daughter loves the Super j 'have recommended other</v>
      </c>
    </row>
    <row r="2398">
      <c r="A2398" s="1">
        <v>5.0</v>
      </c>
      <c r="B2398" s="1" t="s">
        <v>2383</v>
      </c>
      <c r="C2398" t="str">
        <f>IFERROR(__xludf.DUMMYFUNCTION("GOOGLETRANSLATE(B2398, ""fr"", ""en"")"),"A beautiful product ... so british After various research on the toaster (internet, magazines consumers ...), my choice fell on this model that appears to offer the advantage of manufacturing strength, present many functions and, incidentally, to highligh"&amp;"t the beauty of the product. For the record, and Russel Hobbs is an old English house that has a solid reputation for the manufacture of its products retro range, as this indeed seems straight out of the kitchens of the 50s, in the novels of Agatha Christ"&amp;"ie. The body is made of steel empire red (my choice) topped with a carved Victorian perimeter stainless steel. A vintage dial indicates the time to toast / heat your breads or pastries (never exceeding 3 minutes) depending on the degree of cooking chosen."&amp;" The more is the grid (provided) that is placed on the toaster and which allows to gently heat the pastries are not or hardly in the slots (about 3 cm) for toasting the toast. Cooking is relatively fast, homogeneous (the walls are slightly warm but not ho"&amp;"t!) And the power of the unit requires proper selection, using a small lever, the level (1 to 6) cooking adequate (I've set to 2). Finally, a useful crumb tray (and yes, there is one!) Keeps the unit clean and clean just as quickly with relative ease. The"&amp;" defrost function is also provided and it is possible to raise the toast intrusion controller to verify, firsthand, the degree of cooking while maintaining the operating cycle. Finally, the value is very satisfactory compared to other products (much more "&amp;"expensive for some) does not have the same quality or the same aesthetic one ....")</f>
        <v>A beautiful product ... so british After various research on the toaster (internet, magazines consumers ...), my choice fell on this model that appears to offer the advantage of manufacturing strength, present many functions and, incidentally, to highlight the beauty of the product. For the record, and Russel Hobbs is an old English house that has a solid reputation for the manufacture of its products retro range, as this indeed seems straight out of the kitchens of the 50s, in the novels of Agatha Christie. The body is made of steel empire red (my choice) topped with a carved Victorian perimeter stainless steel. A vintage dial indicates the time to toast / heat your breads or pastries (never exceeding 3 minutes) depending on the degree of cooking chosen. The more is the grid (provided) that is placed on the toaster and which allows to gently heat the pastries are not or hardly in the slots (about 3 cm) for toasting the toast. Cooking is relatively fast, homogeneous (the walls are slightly warm but not hot!) And the power of the unit requires proper selection, using a small lever, the level (1 to 6) cooking adequate (I've set to 2). Finally, a useful crumb tray (and yes, there is one!) Keeps the unit clean and clean just as quickly with relative ease. The defrost function is also provided and it is possible to raise the toast intrusion controller to verify, firsthand, the degree of cooking while maintaining the operating cycle. Finally, the value is very satisfactory compared to other products (much more expensive for some) does not have the same quality or the same aesthetic one ....</v>
      </c>
    </row>
    <row r="2399">
      <c r="A2399" s="1">
        <v>5.0</v>
      </c>
      <c r="B2399" s="1" t="s">
        <v>2384</v>
      </c>
      <c r="C2399" t="str">
        <f>IFERROR(__xludf.DUMMYFUNCTION("GOOGLETRANSLATE(B2399, ""fr"", ""en"")"),"Good ground coffee taste good product quality Good ground coffee thermos that keeps the coffee hot for a long time Setting the number of cups appreciable easy cleaning and intuitive use")</f>
        <v>Good ground coffee taste good product quality Good ground coffee thermos that keeps the coffee hot for a long time Setting the number of cups appreciable easy cleaning and intuitive use</v>
      </c>
    </row>
    <row r="2400">
      <c r="A2400" s="1">
        <v>5.0</v>
      </c>
      <c r="B2400" s="1" t="s">
        <v>2385</v>
      </c>
      <c r="C2400" t="str">
        <f>IFERROR(__xludf.DUMMYFUNCTION("GOOGLETRANSLATE(B2400, ""fr"", ""en"")"),"Great I'm very happy with my purchase.")</f>
        <v>Great I'm very happy with my purchase.</v>
      </c>
    </row>
    <row r="2401">
      <c r="A2401" s="1">
        <v>5.0</v>
      </c>
      <c r="B2401" s="1" t="s">
        <v>2386</v>
      </c>
      <c r="C2401" t="str">
        <f>IFERROR(__xludf.DUMMYFUNCTION("GOOGLETRANSLATE(B2401, ""fr"", ""en"")"),"very good quality are not worth those of the 80 manufactured in England but even so, they still have the class and take still good road")</f>
        <v>very good quality are not worth those of the 80 manufactured in England but even so, they still have the class and take still good road</v>
      </c>
    </row>
    <row r="2402">
      <c r="A2402" s="1">
        <v>5.0</v>
      </c>
      <c r="B2402" s="1" t="s">
        <v>2387</v>
      </c>
      <c r="C2402" t="str">
        <f>IFERROR(__xludf.DUMMYFUNCTION("GOOGLETRANSLATE(B2402, ""fr"", ""en"")"),"Warm and comfortable. perfect 👌")</f>
        <v>Warm and comfortable. perfect 👌</v>
      </c>
    </row>
    <row r="2403">
      <c r="A2403" s="1">
        <v>5.0</v>
      </c>
      <c r="B2403" s="1" t="s">
        <v>2388</v>
      </c>
      <c r="C2403" t="str">
        <f>IFERROR(__xludf.DUMMYFUNCTION("GOOGLETRANSLATE(B2403, ""fr"", ""en"")"),"Good My son age rate adaptation used to these teats with a very age-appropriate rate compared to other brands")</f>
        <v>Good My son age rate adaptation used to these teats with a very age-appropriate rate compared to other brands</v>
      </c>
    </row>
    <row r="2404">
      <c r="A2404" s="1">
        <v>5.0</v>
      </c>
      <c r="B2404" s="1" t="s">
        <v>2389</v>
      </c>
      <c r="C2404" t="str">
        <f>IFERROR(__xludf.DUMMYFUNCTION("GOOGLETRANSLATE(B2404, ""fr"", ""en"")"),"Good Product That makes 2 months that I have and I am delighted. As maternal assistant I served very often. You can put 8 bottles (small, large, different brand). And teats and caps above. You can even put bottles of adults (Tupperware, Soda Stream ...) T"&amp;"he water drains well in the recovery through holes, water not so stagnating. It is solid I recommend this product.")</f>
        <v>Good Product That makes 2 months that I have and I am delighted. As maternal assistant I served very often. You can put 8 bottles (small, large, different brand). And teats and caps above. You can even put bottles of adults (Tupperware, Soda Stream ...) The water drains well in the recovery through holes, water not so stagnating. It is solid I recommend this product.</v>
      </c>
    </row>
    <row r="2405">
      <c r="A2405" s="1">
        <v>5.0</v>
      </c>
      <c r="B2405" s="1" t="s">
        <v>2390</v>
      </c>
      <c r="C2405" t="str">
        <f>IFERROR(__xludf.DUMMYFUNCTION("GOOGLETRANSLATE(B2405, ""fr"", ""en"")"),"Perfect ... for me, very happy, adapted to the size order, light, costal, good price, recommend no problem ..")</f>
        <v>Perfect ... for me, very happy, adapted to the size order, light, costal, good price, recommend no problem ..</v>
      </c>
    </row>
    <row r="2406">
      <c r="A2406" s="1">
        <v>5.0</v>
      </c>
      <c r="B2406" s="1" t="s">
        <v>2391</v>
      </c>
      <c r="C2406" t="str">
        <f>IFERROR(__xludf.DUMMYFUNCTION("GOOGLETRANSLATE(B2406, ""fr"", ""en"")"),"Amazon always amaze me. Wow, bought Thursday evening delivery on Saturday morning, while I have not even asked for express delivery, speed of Amazon and carriers always amaze me. (Metropolitan France). So what about those Timberland, they are perfect! The"&amp;"y are indeed true, true in their cardboard, do not fear it, and especially take good half see one size smaller. I followed what others we have said above, and in the end I make 45 I gained 44 and it is that I had. (Although I advise you one size smaller p"&amp;"ersonal, rather than half).")</f>
        <v>Amazon always amaze me. Wow, bought Thursday evening delivery on Saturday morning, while I have not even asked for express delivery, speed of Amazon and carriers always amaze me. (Metropolitan France). So what about those Timberland, they are perfect! They are indeed true, true in their cardboard, do not fear it, and especially take good half see one size smaller. I followed what others we have said above, and in the end I make 45 I gained 44 and it is that I had. (Although I advise you one size smaller personal, rather than half).</v>
      </c>
    </row>
    <row r="2407">
      <c r="A2407" s="1">
        <v>5.0</v>
      </c>
      <c r="B2407" s="1" t="s">
        <v>2392</v>
      </c>
      <c r="C2407" t="str">
        <f>IFERROR(__xludf.DUMMYFUNCTION("GOOGLETRANSLATE(B2407, ""fr"", ""en"")"),"Awesome. Just perfect")</f>
        <v>Awesome. Just perfect</v>
      </c>
    </row>
    <row r="2408">
      <c r="A2408" s="1">
        <v>5.0</v>
      </c>
      <c r="B2408" s="1" t="s">
        <v>2393</v>
      </c>
      <c r="C2408" t="str">
        <f>IFERROR(__xludf.DUMMYFUNCTION("GOOGLETRANSLATE(B2408, ""fr"", ""en"")"),"very good watch After almost 2 years of use no complaints. No need to deal with it is always at the exact time with automatic switchover for summer and winter hours. The sapphire crystal, the case and stainless steel bracelet are impeccable.")</f>
        <v>very good watch After almost 2 years of use no complaints. No need to deal with it is always at the exact time with automatic switchover for summer and winter hours. The sapphire crystal, the case and stainless steel bracelet are impeccable.</v>
      </c>
    </row>
    <row r="2409">
      <c r="A2409" s="1">
        <v>5.0</v>
      </c>
      <c r="B2409" s="1" t="s">
        <v>2394</v>
      </c>
      <c r="C2409" t="str">
        <f>IFERROR(__xludf.DUMMYFUNCTION("GOOGLETRANSLATE(B2409, ""fr"", ""en"")"),"Singing freely Orders were received very well packaged and on time. The microphone is a beautiful bright pink, and we found it very good. The device is lightweight, easy to handle and hold in hand, and I really recommend this microphone")</f>
        <v>Singing freely Orders were received very well packaged and on time. The microphone is a beautiful bright pink, and we found it very good. The device is lightweight, easy to handle and hold in hand, and I really recommend this microphone</v>
      </c>
    </row>
    <row r="2410">
      <c r="A2410" s="1">
        <v>5.0</v>
      </c>
      <c r="B2410" s="1" t="s">
        <v>2395</v>
      </c>
      <c r="C2410" t="str">
        <f>IFERROR(__xludf.DUMMYFUNCTION("GOOGLETRANSLATE(B2410, ""fr"", ""en"")"),"Excellent quality / price Very good microphone, ideal for beginners or karaoke evenings. It comes in a rugged plastic case, with a cut foam to its size and a support to be able to fit on a foot. The sound is very good once it has gauged the proper distanc"&amp;"e you set it to obtain the best. The weight is quite high but it gives it a qualitative aspect very seriously. A great product at a reasonable price, I recommend it completely.")</f>
        <v>Excellent quality / price Very good microphone, ideal for beginners or karaoke evenings. It comes in a rugged plastic case, with a cut foam to its size and a support to be able to fit on a foot. The sound is very good once it has gauged the proper distance you set it to obtain the best. The weight is quite high but it gives it a qualitative aspect very seriously. A great product at a reasonable price, I recommend it completely.</v>
      </c>
    </row>
    <row r="2411">
      <c r="A2411" s="1">
        <v>2.0</v>
      </c>
      <c r="B2411" s="1" t="s">
        <v>2396</v>
      </c>
      <c r="C2411" t="str">
        <f>IFERROR(__xludf.DUMMYFUNCTION("GOOGLETRANSLATE(B2411, ""fr"", ""en"")"),"Small enough very elegant shoes. The problem that the size is quite small. I chose one of 44 EU despite my shoe size is 43 but still small!")</f>
        <v>Small enough very elegant shoes. The problem that the size is quite small. I chose one of 44 EU despite my shoe size is 43 but still small!</v>
      </c>
    </row>
    <row r="2412">
      <c r="A2412" s="1">
        <v>1.0</v>
      </c>
      <c r="B2412" s="1" t="s">
        <v>2397</v>
      </c>
      <c r="C2412" t="str">
        <f>IFERROR(__xludf.DUMMYFUNCTION("GOOGLETRANSLATE(B2412, ""fr"", ""en"")"),"QUALITY IS NOT IN RV This product sold and shipped by Amazon is not a confidence criterion apparently. Indeed, a few months ago I ordered a black cartridge HP 302 XL, compatible with my HP printer, but it does not recognize. I have only to throw it in the"&amp;" trash - I am very disappointed.")</f>
        <v>QUALITY IS NOT IN RV This product sold and shipped by Amazon is not a confidence criterion apparently. Indeed, a few months ago I ordered a black cartridge HP 302 XL, compatible with my HP printer, but it does not recognize. I have only to throw it in the trash - I am very disappointed.</v>
      </c>
    </row>
    <row r="2413">
      <c r="A2413" s="1">
        <v>3.0</v>
      </c>
      <c r="B2413" s="1" t="s">
        <v>2398</v>
      </c>
      <c r="C2413" t="str">
        <f>IFERROR(__xludf.DUMMYFUNCTION("GOOGLETRANSLATE(B2413, ""fr"", ""en"")"),"Fair Beautiful shirt that has had its effect unfortunately washes force the nike point comes off that's unfortunate")</f>
        <v>Fair Beautiful shirt that has had its effect unfortunately washes force the nike point comes off that's unfortunate</v>
      </c>
    </row>
    <row r="2414">
      <c r="A2414" s="1">
        <v>3.0</v>
      </c>
      <c r="B2414" s="1" t="s">
        <v>2399</v>
      </c>
      <c r="C2414" t="str">
        <f>IFERROR(__xludf.DUMMYFUNCTION("GOOGLETRANSLATE(B2414, ""fr"", ""en"")"),"Beautiful and average quality. We purchased this bola immediately announcing my pregnancy. Two months of purchase, the bola is a few places down because the equipment used for the ball is fine. Also the cord broke, I made a knot to keep the time to buy an"&amp;"other cord. This is very unfortunate because it is a nice article but of low quality.")</f>
        <v>Beautiful and average quality. We purchased this bola immediately announcing my pregnancy. Two months of purchase, the bola is a few places down because the equipment used for the ball is fine. Also the cord broke, I made a knot to keep the time to buy another cord. This is very unfortunate because it is a nice article but of low quality.</v>
      </c>
    </row>
    <row r="2415">
      <c r="A2415" s="1">
        <v>4.0</v>
      </c>
      <c r="B2415" s="1" t="s">
        <v>2400</v>
      </c>
      <c r="C2415" t="str">
        <f>IFERROR(__xludf.DUMMYFUNCTION("GOOGLETRANSLATE(B2415, ""fr"", ""en"")"),"Size too small Excellent quality sweatshirt, nice cut, but size very small compared to other brands popular in college!")</f>
        <v>Size too small Excellent quality sweatshirt, nice cut, but size very small compared to other brands popular in college!</v>
      </c>
    </row>
    <row r="2416">
      <c r="A2416" s="1">
        <v>4.0</v>
      </c>
      <c r="B2416" s="1" t="s">
        <v>2401</v>
      </c>
      <c r="C2416" t="str">
        <f>IFERROR(__xludf.DUMMYFUNCTION("GOOGLETRANSLATE(B2416, ""fr"", ""en"")"),"Bottle warmer a little hard to understand explanations")</f>
        <v>Bottle warmer a little hard to understand explanations</v>
      </c>
    </row>
    <row r="2417">
      <c r="A2417" s="1">
        <v>4.0</v>
      </c>
      <c r="B2417" s="1" t="s">
        <v>2402</v>
      </c>
      <c r="C2417" t="str">
        <f>IFERROR(__xludf.DUMMYFUNCTION("GOOGLETRANSLATE(B2417, ""fr"", ""en"")"),"Practical pack and well thought out, but beware the seams of the front pocket bag Beautiful, nickel proportions, I can put everything I need, including my checkbook passing height. I also love the double color denim. Only downside, the front pocket seams "&amp;"which are too light at the corners of the zipper. I will have to consolidate because obviously they will quickly let go as they are stretched.")</f>
        <v>Practical pack and well thought out, but beware the seams of the front pocket bag Beautiful, nickel proportions, I can put everything I need, including my checkbook passing height. I also love the double color denim. Only downside, the front pocket seams which are too light at the corners of the zipper. I will have to consolidate because obviously they will quickly let go as they are stretched.</v>
      </c>
    </row>
    <row r="2418">
      <c r="A2418" s="1">
        <v>4.0</v>
      </c>
      <c r="B2418" s="1" t="s">
        <v>2403</v>
      </c>
      <c r="C2418" t="str">
        <f>IFERROR(__xludf.DUMMYFUNCTION("GOOGLETRANSLATE(B2418, ""fr"", ""en"")"),"Bad Unhappy about the quality of packaging and quality of the marking on the product. The assay numbers are erased half. If the bottles are.")</f>
        <v>Bad Unhappy about the quality of packaging and quality of the marking on the product. The assay numbers are erased half. If the bottles are.</v>
      </c>
    </row>
    <row r="2419">
      <c r="A2419" s="1">
        <v>4.0</v>
      </c>
      <c r="B2419" s="1" t="s">
        <v>2404</v>
      </c>
      <c r="C2419" t="str">
        <f>IFERROR(__xludf.DUMMYFUNCTION("GOOGLETRANSLATE(B2419, ""fr"", ""en"")"),"Although comfortable shoes because quite wide feet are comfortable in, the size is just good nickel, good value for money.")</f>
        <v>Although comfortable shoes because quite wide feet are comfortable in, the size is just good nickel, good value for money.</v>
      </c>
    </row>
    <row r="2420">
      <c r="A2420" s="1">
        <v>5.0</v>
      </c>
      <c r="B2420" s="1" t="s">
        <v>2405</v>
      </c>
      <c r="C2420" t="str">
        <f>IFERROR(__xludf.DUMMYFUNCTION("GOOGLETRANSLATE(B2420, ""fr"", ""en"")"),"cool cool")</f>
        <v>cool cool</v>
      </c>
    </row>
    <row r="2421">
      <c r="A2421" s="1">
        <v>5.0</v>
      </c>
      <c r="B2421" s="1" t="s">
        <v>2406</v>
      </c>
      <c r="C2421" t="str">
        <f>IFERROR(__xludf.DUMMYFUNCTION("GOOGLETRANSLATE(B2421, ""fr"", ""en"")"),"Thank you, thank you very much")</f>
        <v>Thank you, thank you very much</v>
      </c>
    </row>
    <row r="2422">
      <c r="A2422" s="1">
        <v>5.0</v>
      </c>
      <c r="B2422" s="1" t="s">
        <v>2407</v>
      </c>
      <c r="C2422" t="str">
        <f>IFERROR(__xludf.DUMMYFUNCTION("GOOGLETRANSLATE(B2422, ""fr"", ""en"")"),"Very good buy Chain well I wear it every day it does not move ... very good buy")</f>
        <v>Very good buy Chain well I wear it every day it does not move ... very good buy</v>
      </c>
    </row>
    <row r="2423">
      <c r="A2423" s="1">
        <v>5.0</v>
      </c>
      <c r="B2423" s="1" t="s">
        <v>2408</v>
      </c>
      <c r="C2423" t="str">
        <f>IFERROR(__xludf.DUMMYFUNCTION("GOOGLETRANSLATE(B2423, ""fr"", ""en"")"),"Good ergonomics I am very happy these headphones at first I was puzzled because he seemed a bit big but it remains perfectly in the ear is correct quality in sound and autonomy allowed me to a half-marathon.")</f>
        <v>Good ergonomics I am very happy these headphones at first I was puzzled because he seemed a bit big but it remains perfectly in the ear is correct quality in sound and autonomy allowed me to a half-marathon.</v>
      </c>
    </row>
    <row r="2424">
      <c r="A2424" s="1">
        <v>5.0</v>
      </c>
      <c r="B2424" s="1" t="s">
        <v>2409</v>
      </c>
      <c r="C2424" t="str">
        <f>IFERROR(__xludf.DUMMYFUNCTION("GOOGLETRANSLATE(B2424, ""fr"", ""en"")"),"The perfect shoes are very comfortable, aesthetically they are pretty and for driving them are very nice there is no discomfort.")</f>
        <v>The perfect shoes are very comfortable, aesthetically they are pretty and for driving them are very nice there is no discomfort.</v>
      </c>
    </row>
    <row r="2425">
      <c r="A2425" s="1">
        <v>5.0</v>
      </c>
      <c r="B2425" s="1" t="s">
        <v>2410</v>
      </c>
      <c r="C2425" t="str">
        <f>IFERROR(__xludf.DUMMYFUNCTION("GOOGLETRANSLATE(B2425, ""fr"", ""en"")"),"Not too small so convenient Meets description.")</f>
        <v>Not too small so convenient Meets description.</v>
      </c>
    </row>
    <row r="2426">
      <c r="A2426" s="1">
        <v>5.0</v>
      </c>
      <c r="B2426" s="1" t="s">
        <v>2411</v>
      </c>
      <c r="C2426" t="str">
        <f>IFERROR(__xludf.DUMMYFUNCTION("GOOGLETRANSLATE(B2426, ""fr"", ""en"")"),"Article corresponds exactly to my expectations. I got the product I wanted, the presentation was clear: good picture, good description, well supported prices. No, nothing wrong, very positive. And thank you for the accuracy of delivery.")</f>
        <v>Article corresponds exactly to my expectations. I got the product I wanted, the presentation was clear: good picture, good description, well supported prices. No, nothing wrong, very positive. And thank you for the accuracy of delivery.</v>
      </c>
    </row>
    <row r="2427">
      <c r="A2427" s="1">
        <v>5.0</v>
      </c>
      <c r="B2427" s="1" t="s">
        <v>2412</v>
      </c>
      <c r="C2427" t="str">
        <f>IFERROR(__xludf.DUMMYFUNCTION("GOOGLETRANSLATE(B2427, ""fr"", ""en"")"),"Dr Martens I love, just a little bit high but it does not matter !!!")</f>
        <v>Dr Martens I love, just a little bit high but it does not matter !!!</v>
      </c>
    </row>
    <row r="2428">
      <c r="A2428" s="1">
        <v>5.0</v>
      </c>
      <c r="B2428" s="1" t="s">
        <v>2413</v>
      </c>
      <c r="C2428" t="str">
        <f>IFERROR(__xludf.DUMMYFUNCTION("GOOGLETRANSLATE(B2428, ""fr"", ""en"")"),"Well I only use this brand for my baby")</f>
        <v>Well I only use this brand for my baby</v>
      </c>
    </row>
    <row r="2429">
      <c r="A2429" s="1">
        <v>5.0</v>
      </c>
      <c r="B2429" s="1" t="s">
        <v>2414</v>
      </c>
      <c r="C2429" t="str">
        <f>IFERROR(__xludf.DUMMYFUNCTION("GOOGLETRANSLATE(B2429, ""fr"", ""en"")"),"Perfect Perfect nothing to say")</f>
        <v>Perfect Perfect nothing to say</v>
      </c>
    </row>
    <row r="2430">
      <c r="A2430" s="1">
        <v>5.0</v>
      </c>
      <c r="B2430" s="1" t="s">
        <v>2415</v>
      </c>
      <c r="C2430" t="str">
        <f>IFERROR(__xludf.DUMMYFUNCTION("GOOGLETRANSLATE(B2430, ""fr"", ""en"")"),"Kimmes Great product painkiller. To offer")</f>
        <v>Kimmes Great product painkiller. To offer</v>
      </c>
    </row>
    <row r="2431">
      <c r="A2431" s="1">
        <v>5.0</v>
      </c>
      <c r="B2431" s="1" t="s">
        <v>2416</v>
      </c>
      <c r="C2431" t="str">
        <f>IFERROR(__xludf.DUMMYFUNCTION("GOOGLETRANSLATE(B2431, ""fr"", ""en"")"),"Sticker sticker good quality lots of choice shapes, patterns, colors, numbers, ideal for awakening children. If Decole easily and sticks very well.")</f>
        <v>Sticker sticker good quality lots of choice shapes, patterns, colors, numbers, ideal for awakening children. If Decole easily and sticks very well.</v>
      </c>
    </row>
    <row r="2432">
      <c r="A2432" s="1">
        <v>5.0</v>
      </c>
      <c r="B2432" s="1" t="s">
        <v>2417</v>
      </c>
      <c r="C2432" t="str">
        <f>IFERROR(__xludf.DUMMYFUNCTION("GOOGLETRANSLATE(B2432, ""fr"", ""en"")"),"Comfortable attractive, comfortable rather they would put with shoes. They are great because not too thin. I have spent several times the dryer without problems despite the fact that it is not recommended.")</f>
        <v>Comfortable attractive, comfortable rather they would put with shoes. They are great because not too thin. I have spent several times the dryer without problems despite the fact that it is not recommended.</v>
      </c>
    </row>
    <row r="2433">
      <c r="A2433" s="1">
        <v>5.0</v>
      </c>
      <c r="B2433" s="1" t="s">
        <v>2418</v>
      </c>
      <c r="C2433" t="str">
        <f>IFERROR(__xludf.DUMMYFUNCTION("GOOGLETRANSLATE(B2433, ""fr"", ""en"")"),"Top Perfect excellently feels good nothing to say really happy with my product and quick delivery what more and affordable surtt")</f>
        <v>Top Perfect excellently feels good nothing to say really happy with my product and quick delivery what more and affordable surtt</v>
      </c>
    </row>
    <row r="2434">
      <c r="A2434" s="1">
        <v>5.0</v>
      </c>
      <c r="B2434" s="1" t="s">
        <v>2419</v>
      </c>
      <c r="C2434" t="str">
        <f>IFERROR(__xludf.DUMMYFUNCTION("GOOGLETRANSLATE(B2434, ""fr"", ""en"")"),"Fine felts wipe clean with a damp cloth on non-porous surface (slate label).")</f>
        <v>Fine felts wipe clean with a damp cloth on non-porous surface (slate label).</v>
      </c>
    </row>
    <row r="2435">
      <c r="A2435" s="1">
        <v>2.0</v>
      </c>
      <c r="B2435" s="1" t="s">
        <v>2420</v>
      </c>
      <c r="C2435" t="str">
        <f>IFERROR(__xludf.DUMMYFUNCTION("GOOGLETRANSLATE(B2435, ""fr"", ""en"")"),"Not bad, but not brand redmi xiaomi Rather nice for the price, its good but not ideal microphone for calls and some links clippings By cons are not the half of xiaomi but the branded redmi")</f>
        <v>Not bad, but not brand redmi xiaomi Rather nice for the price, its good but not ideal microphone for calls and some links clippings By cons are not the half of xiaomi but the branded redmi</v>
      </c>
    </row>
    <row r="2436">
      <c r="A2436" s="1">
        <v>1.0</v>
      </c>
      <c r="B2436" s="1" t="s">
        <v>2421</v>
      </c>
      <c r="C2436" t="str">
        <f>IFERROR(__xludf.DUMMYFUNCTION("GOOGLETRANSLATE(B2436, ""fr"", ""en"")"),"Disappointed I expected better by reading the various comments ... not enough text for my taste, my son. 11 years, has read in 10 minutes ... considering the price - not negligible anyway - I expected better ...")</f>
        <v>Disappointed I expected better by reading the various comments ... not enough text for my taste, my son. 11 years, has read in 10 minutes ... considering the price - not negligible anyway - I expected better ...</v>
      </c>
    </row>
    <row r="2437">
      <c r="A2437" s="1">
        <v>1.0</v>
      </c>
      <c r="B2437" s="1" t="s">
        <v>2422</v>
      </c>
      <c r="C2437" t="str">
        <f>IFERROR(__xludf.DUMMYFUNCTION("GOOGLETRANSLATE(B2437, ""fr"", ""en"")"),"doesnt already / her far too strong after 2 months of use (normal, without falling) time no longer displayed and the alarm clock does not work anymore ... it's still a speaker that lights up at ... passage, the sound level of alarm was unbearable (a bless"&amp;"ing in disguise so!) last instructions unclear and unintuitive settings I recommend")</f>
        <v>doesnt already / her far too strong after 2 months of use (normal, without falling) time no longer displayed and the alarm clock does not work anymore ... it's still a speaker that lights up at ... passage, the sound level of alarm was unbearable (a blessing in disguise so!) last instructions unclear and unintuitive settings I recommend</v>
      </c>
    </row>
    <row r="2438">
      <c r="A2438" s="1">
        <v>3.0</v>
      </c>
      <c r="B2438" s="1" t="s">
        <v>2423</v>
      </c>
      <c r="C2438" t="str">
        <f>IFERROR(__xludf.DUMMYFUNCTION("GOOGLETRANSLATE(B2438, ""fr"", ""en"")"),"Although the descriptive announced. A combination while c is a whole. Maybe the translation! Nevertheless happy with this purchase ready to board an order")</f>
        <v>Although the descriptive announced. A combination while c is a whole. Maybe the translation! Nevertheless happy with this purchase ready to board an order</v>
      </c>
    </row>
    <row r="2439">
      <c r="A2439" s="1">
        <v>3.0</v>
      </c>
      <c r="B2439" s="1" t="s">
        <v>2424</v>
      </c>
      <c r="C2439" t="str">
        <f>IFERROR(__xludf.DUMMYFUNCTION("GOOGLETRANSLATE(B2439, ""fr"", ""en"")"),"the cable has held that evening and it was already broken. Micro cable of good quality but not really good.")</f>
        <v>the cable has held that evening and it was already broken. Micro cable of good quality but not really good.</v>
      </c>
    </row>
    <row r="2440">
      <c r="A2440" s="1">
        <v>4.0</v>
      </c>
      <c r="B2440" s="1" t="s">
        <v>2425</v>
      </c>
      <c r="C2440" t="str">
        <f>IFERROR(__xludf.DUMMYFUNCTION("GOOGLETRANSLATE(B2440, ""fr"", ""en"")"),"Done Ras job")</f>
        <v>Done Ras job</v>
      </c>
    </row>
    <row r="2441">
      <c r="A2441" s="1">
        <v>4.0</v>
      </c>
      <c r="B2441" s="1" t="s">
        <v>2426</v>
      </c>
      <c r="C2441" t="str">
        <f>IFERROR(__xludf.DUMMYFUNCTION("GOOGLETRANSLATE(B2441, ""fr"", ""en"")"),"Converse red color is beautiful, the shoe is therefore converse comfort, lightness and rest those converse. I recommend them.")</f>
        <v>Converse red color is beautiful, the shoe is therefore converse comfort, lightness and rest those converse. I recommend them.</v>
      </c>
    </row>
    <row r="2442">
      <c r="A2442" s="1">
        <v>4.0</v>
      </c>
      <c r="B2442" s="1" t="s">
        <v>2427</v>
      </c>
      <c r="C2442" t="str">
        <f>IFERROR(__xludf.DUMMYFUNCTION("GOOGLETRANSLATE(B2442, ""fr"", ""en"")"),"Very nice bracelet This is a Christmas present ... To see so later")</f>
        <v>Very nice bracelet This is a Christmas present ... To see so later</v>
      </c>
    </row>
    <row r="2443">
      <c r="A2443" s="1">
        <v>4.0</v>
      </c>
      <c r="B2443" s="1" t="s">
        <v>2428</v>
      </c>
      <c r="C2443" t="str">
        <f>IFERROR(__xludf.DUMMYFUNCTION("GOOGLETRANSLATE(B2443, ""fr"", ""en"")"),"Good product for the price no problem to do with time")</f>
        <v>Good product for the price no problem to do with time</v>
      </c>
    </row>
    <row r="2444">
      <c r="A2444" s="1">
        <v>5.0</v>
      </c>
      <c r="B2444" s="1" t="s">
        <v>2429</v>
      </c>
      <c r="C2444" t="str">
        <f>IFERROR(__xludf.DUMMYFUNCTION("GOOGLETRANSLATE(B2444, ""fr"", ""en"")"),"Perfect While hot, well cut. 1.73m size M, perfect! I recommend")</f>
        <v>Perfect While hot, well cut. 1.73m size M, perfect! I recommend</v>
      </c>
    </row>
    <row r="2445">
      <c r="A2445" s="1">
        <v>5.0</v>
      </c>
      <c r="B2445" s="1" t="s">
        <v>2430</v>
      </c>
      <c r="C2445" t="str">
        <f>IFERROR(__xludf.DUMMYFUNCTION("GOOGLETRANSLATE(B2445, ""fr"", ""en"")"),"Perfect and effective Satisfied")</f>
        <v>Perfect and effective Satisfied</v>
      </c>
    </row>
    <row r="2446">
      <c r="A2446" s="1">
        <v>5.0</v>
      </c>
      <c r="B2446" s="1" t="s">
        <v>2431</v>
      </c>
      <c r="C2446" t="str">
        <f>IFERROR(__xludf.DUMMYFUNCTION("GOOGLETRANSLATE(B2446, ""fr"", ""en"")"),"Very nice but very good. I had problems with the condenser microphone and sought an amplifier. Very easy to plug in, no problem of parasite. Only problem: the transformer heats, indicating that the product requires no electricity poorly.")</f>
        <v>Very nice but very good. I had problems with the condenser microphone and sought an amplifier. Very easy to plug in, no problem of parasite. Only problem: the transformer heats, indicating that the product requires no electricity poorly.</v>
      </c>
    </row>
    <row r="2447">
      <c r="A2447" s="1">
        <v>5.0</v>
      </c>
      <c r="B2447" s="1" t="s">
        <v>2432</v>
      </c>
      <c r="C2447" t="str">
        <f>IFERROR(__xludf.DUMMYFUNCTION("GOOGLETRANSLATE(B2447, ""fr"", ""en"")"),"good quality socks high quality socks and comfortable. Size it right, not very high. All this for a price more than correct.")</f>
        <v>good quality socks high quality socks and comfortable. Size it right, not very high. All this for a price more than correct.</v>
      </c>
    </row>
    <row r="2448">
      <c r="A2448" s="1">
        <v>5.0</v>
      </c>
      <c r="B2448" s="1" t="s">
        <v>2433</v>
      </c>
      <c r="C2448" t="str">
        <f>IFERROR(__xludf.DUMMYFUNCTION("GOOGLETRANSLATE(B2448, ""fr"", ""en"")"),"Good product used mainly for hot water at different temperatures Meets our expectation perfectly")</f>
        <v>Good product used mainly for hot water at different temperatures Meets our expectation perfectly</v>
      </c>
    </row>
    <row r="2449">
      <c r="A2449" s="1">
        <v>5.0</v>
      </c>
      <c r="B2449" s="1" t="s">
        <v>2434</v>
      </c>
      <c r="C2449" t="str">
        <f>IFERROR(__xludf.DUMMYFUNCTION("GOOGLETRANSLATE(B2449, ""fr"", ""en"")"),"Good sweat Received very quickly, consistent with the picture, quite thin sweater, size M should order hair cell")</f>
        <v>Good sweat Received very quickly, consistent with the picture, quite thin sweater, size M should order hair cell</v>
      </c>
    </row>
    <row r="2450">
      <c r="A2450" s="1">
        <v>5.0</v>
      </c>
      <c r="B2450" s="1" t="s">
        <v>2435</v>
      </c>
      <c r="C2450" t="str">
        <f>IFERROR(__xludf.DUMMYFUNCTION("GOOGLETRANSLATE(B2450, ""fr"", ""en"")"),"TB price quality T B")</f>
        <v>TB price quality T B</v>
      </c>
    </row>
    <row r="2451">
      <c r="A2451" s="1">
        <v>5.0</v>
      </c>
      <c r="B2451" s="1" t="s">
        <v>2436</v>
      </c>
      <c r="C2451" t="str">
        <f>IFERROR(__xludf.DUMMYFUNCTION("GOOGLETRANSLATE(B2451, ""fr"", ""en"")"),"Glad Very nice better than expected! I really like!")</f>
        <v>Glad Very nice better than expected! I really like!</v>
      </c>
    </row>
    <row r="2452">
      <c r="A2452" s="1">
        <v>5.0</v>
      </c>
      <c r="B2452" s="1" t="s">
        <v>2437</v>
      </c>
      <c r="C2452" t="str">
        <f>IFERROR(__xludf.DUMMYFUNCTION("GOOGLETRANSLATE(B2452, ""fr"", ""en"")"),"Sweat Dress burgundy Too nice and warm, to stay at home or for sorties.avec boots or sneakers, classy effect or cool effect. This is a dress hoodie that goes anywhere. I love her so much. The burgundy color is perfect. The size is just what I needed. I'm "&amp;"happy with my purchase.")</f>
        <v>Sweat Dress burgundy Too nice and warm, to stay at home or for sorties.avec boots or sneakers, classy effect or cool effect. This is a dress hoodie that goes anywhere. I love her so much. The burgundy color is perfect. The size is just what I needed. I'm happy with my purchase.</v>
      </c>
    </row>
    <row r="2453">
      <c r="A2453" s="1">
        <v>5.0</v>
      </c>
      <c r="B2453" s="1" t="s">
        <v>2438</v>
      </c>
      <c r="C2453" t="str">
        <f>IFERROR(__xludf.DUMMYFUNCTION("GOOGLETRANSLATE(B2453, ""fr"", ""en"")"),"Cf ff")</f>
        <v>Cf ff</v>
      </c>
    </row>
    <row r="2454">
      <c r="A2454" s="1">
        <v>5.0</v>
      </c>
      <c r="B2454" s="1" t="s">
        <v>2439</v>
      </c>
      <c r="C2454" t="str">
        <f>IFERROR(__xludf.DUMMYFUNCTION("GOOGLETRANSLATE(B2454, ""fr"", ""en"")"),"Orders received pretty ring with a little advance adjustable ring in silver, it is thin and very pretty. I recommend this ring")</f>
        <v>Orders received pretty ring with a little advance adjustable ring in silver, it is thin and very pretty. I recommend this ring</v>
      </c>
    </row>
    <row r="2455">
      <c r="A2455" s="1">
        <v>5.0</v>
      </c>
      <c r="B2455" s="1" t="s">
        <v>2440</v>
      </c>
      <c r="C2455" t="str">
        <f>IFERROR(__xludf.DUMMYFUNCTION("GOOGLETRANSLATE(B2455, ""fr"", ""en"")"),"Beautiful Nickel")</f>
        <v>Beautiful Nickel</v>
      </c>
    </row>
    <row r="2456">
      <c r="A2456" s="1">
        <v>5.0</v>
      </c>
      <c r="B2456" s="1" t="s">
        <v>2441</v>
      </c>
      <c r="C2456" t="str">
        <f>IFERROR(__xludf.DUMMYFUNCTION("GOOGLETRANSLATE(B2456, ""fr"", ""en"")"),"Seiko Watch SNG15K1 received in less than two weeks. No problem. Looks smaller in the photo. A flat, the band is a little cheap in terms of overall quality.")</f>
        <v>Seiko Watch SNG15K1 received in less than two weeks. No problem. Looks smaller in the photo. A flat, the band is a little cheap in terms of overall quality.</v>
      </c>
    </row>
    <row r="2457">
      <c r="A2457" s="1">
        <v>5.0</v>
      </c>
      <c r="B2457" s="1" t="s">
        <v>2442</v>
      </c>
      <c r="C2457" t="str">
        <f>IFERROR(__xludf.DUMMYFUNCTION("GOOGLETRANSLATE(B2457, ""fr"", ""en"")"),"Essential oils I tested my oils which have a very good smell. Each has its particularity: add a few drops into your massage oils on your tissues, in your shoes, your creams ... they give you well being, relaxation, anti-stress ... the bottles are busy, ve"&amp;"ry good money, économique.je recommends these essential oils")</f>
        <v>Essential oils I tested my oils which have a very good smell. Each has its particularity: add a few drops into your massage oils on your tissues, in your shoes, your creams ... they give you well being, relaxation, anti-stress ... the bottles are busy, very good money, économique.je recommends these essential oils</v>
      </c>
    </row>
    <row r="2458">
      <c r="A2458" s="1">
        <v>5.0</v>
      </c>
      <c r="B2458" s="1" t="s">
        <v>2443</v>
      </c>
      <c r="C2458" t="str">
        <f>IFERROR(__xludf.DUMMYFUNCTION("GOOGLETRANSLATE(B2458, ""fr"", ""en"")"),"Too pleasant This heating pad is very nice. Received just in time for a 3-day warm weekend ... I am delighted with my purchase and my husband also ensured battle. Very simple to use, plus it's washable. The security put it out alone is very significant if"&amp;" forgotten")</f>
        <v>Too pleasant This heating pad is very nice. Received just in time for a 3-day warm weekend ... I am delighted with my purchase and my husband also ensured battle. Very simple to use, plus it's washable. The security put it out alone is very significant if forgotten</v>
      </c>
    </row>
    <row r="2459">
      <c r="A2459" s="1">
        <v>2.0</v>
      </c>
      <c r="B2459" s="1" t="s">
        <v>2444</v>
      </c>
      <c r="C2459" t="str">
        <f>IFERROR(__xludf.DUMMYFUNCTION("GOOGLETRANSLATE(B2459, ""fr"", ""en"")"),"Certificate ? box ? I do not know if I'll keep, no certificate, a simple plastic bag, is it true? I am willing to trust Amazon, but I wonder if I will not go into jewelry")</f>
        <v>Certificate ? box ? I do not know if I'll keep, no certificate, a simple plastic bag, is it true? I am willing to trust Amazon, but I wonder if I will not go into jewelry</v>
      </c>
    </row>
    <row r="2460">
      <c r="A2460" s="1">
        <v>1.0</v>
      </c>
      <c r="B2460" s="1" t="s">
        <v>2445</v>
      </c>
      <c r="C2460" t="str">
        <f>IFERROR(__xludf.DUMMYFUNCTION("GOOGLETRANSLATE(B2460, ""fr"", ""en"")"),"Crocs fan of this brand, I bought into all the colors for the whole family. This is the first time I am disappointed that mark: left on the terrace this summer, they have narrowed significantly in not being able to put them! I explained that it was only t"&amp;"o shrink, the other pairs did not move. Inexplicable because of outdoor shoes")</f>
        <v>Crocs fan of this brand, I bought into all the colors for the whole family. This is the first time I am disappointed that mark: left on the terrace this summer, they have narrowed significantly in not being able to put them! I explained that it was only to shrink, the other pairs did not move. Inexplicable because of outdoor shoes</v>
      </c>
    </row>
    <row r="2461">
      <c r="A2461" s="1">
        <v>1.0</v>
      </c>
      <c r="B2461" s="1" t="s">
        <v>2446</v>
      </c>
      <c r="C2461" t="str">
        <f>IFERROR(__xludf.DUMMYFUNCTION("GOOGLETRANSLATE(B2461, ""fr"", ""en"")"),"Avoid Disappointment sewn upside down although the Chinese cheap but for the rest we will return")</f>
        <v>Avoid Disappointment sewn upside down although the Chinese cheap but for the rest we will return</v>
      </c>
    </row>
    <row r="2462">
      <c r="A2462" s="1">
        <v>3.0</v>
      </c>
      <c r="B2462" s="1" t="s">
        <v>2447</v>
      </c>
      <c r="C2462" t="str">
        <f>IFERROR(__xludf.DUMMYFUNCTION("GOOGLETRANSLATE(B2462, ""fr"", ""en"")"),"Too small The listing was not sufficiently detailed as to the size of the product. Pity. In other pockets are sufficiently functional.")</f>
        <v>Too small The listing was not sufficiently detailed as to the size of the product. Pity. In other pockets are sufficiently functional.</v>
      </c>
    </row>
    <row r="2463">
      <c r="A2463" s="1">
        <v>3.0</v>
      </c>
      <c r="B2463" s="1" t="s">
        <v>2448</v>
      </c>
      <c r="C2463" t="str">
        <f>IFERROR(__xludf.DUMMYFUNCTION("GOOGLETRANSLATE(B2463, ""fr"", ""en"")"),"top Very good book read also lecole")</f>
        <v>top Very good book read also lecole</v>
      </c>
    </row>
    <row r="2464">
      <c r="A2464" s="1">
        <v>4.0</v>
      </c>
      <c r="B2464" s="1" t="s">
        <v>2449</v>
      </c>
      <c r="C2464" t="str">
        <f>IFERROR(__xludf.DUMMYFUNCTION("GOOGLETRANSLATE(B2464, ""fr"", ""en"")"),"Very good considering the price Very nice, we just put with or without heat, by cons for the back if you want to lean against the massage can be a bit strong: with a towel between your back and the sail is better . Only downsides: when you put it in the b"&amp;"ack, the cable tends to disconnect easily. I recommend considering the price")</f>
        <v>Very good considering the price Very nice, we just put with or without heat, by cons for the back if you want to lean against the massage can be a bit strong: with a towel between your back and the sail is better . Only downsides: when you put it in the back, the cable tends to disconnect easily. I recommend considering the price</v>
      </c>
    </row>
    <row r="2465">
      <c r="A2465" s="1">
        <v>4.0</v>
      </c>
      <c r="B2465" s="1" t="s">
        <v>2450</v>
      </c>
      <c r="C2465" t="str">
        <f>IFERROR(__xludf.DUMMYFUNCTION("GOOGLETRANSLATE(B2465, ""fr"", ""en"")"),"Good product Very nice. Tien these promises")</f>
        <v>Good product Very nice. Tien these promises</v>
      </c>
    </row>
    <row r="2466">
      <c r="A2466" s="1">
        <v>4.0</v>
      </c>
      <c r="B2466" s="1" t="s">
        <v>2451</v>
      </c>
      <c r="C2466" t="str">
        <f>IFERROR(__xludf.DUMMYFUNCTION("GOOGLETRANSLATE(B2466, ""fr"", ""en"")"),"Very good balance price / performance Very good finishes, a nice look and a more than respectable in view of the price. Attention all the time, the remote control on the wire does not adjust the volume but just functions pause / play and take a call. I re"&amp;"commend for young and / or for use everyday (bus, train, subway ...). Audiophiles demanding passed your way;)")</f>
        <v>Very good balance price / performance Very good finishes, a nice look and a more than respectable in view of the price. Attention all the time, the remote control on the wire does not adjust the volume but just functions pause / play and take a call. I recommend for young and / or for use everyday (bus, train, subway ...). Audiophiles demanding passed your way;)</v>
      </c>
    </row>
    <row r="2467">
      <c r="A2467" s="1">
        <v>4.0</v>
      </c>
      <c r="B2467" s="1" t="s">
        <v>2452</v>
      </c>
      <c r="C2467" t="str">
        <f>IFERROR(__xludf.DUMMYFUNCTION("GOOGLETRANSLATE(B2467, ""fr"", ""en"")"),"Nickel Very good")</f>
        <v>Nickel Very good</v>
      </c>
    </row>
    <row r="2468">
      <c r="A2468" s="1">
        <v>5.0</v>
      </c>
      <c r="B2468" s="1" t="s">
        <v>2453</v>
      </c>
      <c r="C2468" t="str">
        <f>IFERROR(__xludf.DUMMYFUNCTION("GOOGLETRANSLATE(B2468, ""fr"", ""en"")"),"perfect Chic")</f>
        <v>perfect Chic</v>
      </c>
    </row>
    <row r="2469">
      <c r="A2469" s="1">
        <v>5.0</v>
      </c>
      <c r="B2469" s="1" t="s">
        <v>2454</v>
      </c>
      <c r="C2469" t="str">
        <f>IFERROR(__xludf.DUMMYFUNCTION("GOOGLETRANSLATE(B2469, ""fr"", ""en"")"),"Very easy to use It is not easy. To turn on the headset, simply remove the load box. Wait 5 sec as a bright rings quickly flashes to confirm that the headphones are paired. Open the Bluetooth smartphone and connect Hi-TWS device L. This connection will re"&amp;"cover with each new connection. It is also possible to connect a single earpiece. L or R. All this is very well explained in the manual in French. To turn it puts the headphones in the charging case, they will automatically turn off and starts charging. T"&amp;"he remaining capacity in the load box is indicated by 4 blue LEDs system. The charging case is solid, practical and compact. Faciler can be put in the pocket or attached to the belt. Unlike other models the headphones did not buttons but touch parts which"&amp;" avoids hurting the ears include pressing buttons. By using these touch parts on either ear, it is possible to adjust the volume, change the song, picking etc ... The headphones hold well in the ears during sport. You must use one of four games provided p"&amp;"ad to suit your morphomogie. The sound is not bad, the treble is clear and the stereo is perfect but compared to my Bluetooth headset (beucoup too large to be transported) I find this lack of bass. We can not have everything.")</f>
        <v>Very easy to use It is not easy. To turn on the headset, simply remove the load box. Wait 5 sec as a bright rings quickly flashes to confirm that the headphones are paired. Open the Bluetooth smartphone and connect Hi-TWS device L. This connection will recover with each new connection. It is also possible to connect a single earpiece. L or R. All this is very well explained in the manual in French. To turn it puts the headphones in the charging case, they will automatically turn off and starts charging. The remaining capacity in the load box is indicated by 4 blue LEDs system. The charging case is solid, practical and compact. Faciler can be put in the pocket or attached to the belt. Unlike other models the headphones did not buttons but touch parts which avoids hurting the ears include pressing buttons. By using these touch parts on either ear, it is possible to adjust the volume, change the song, picking etc ... The headphones hold well in the ears during sport. You must use one of four games provided pad to suit your morphomogie. The sound is not bad, the treble is clear and the stereo is perfect but compared to my Bluetooth headset (beucoup too large to be transported) I find this lack of bass. We can not have everything.</v>
      </c>
    </row>
    <row r="2470">
      <c r="A2470" s="1">
        <v>5.0</v>
      </c>
      <c r="B2470" s="1" t="s">
        <v>2455</v>
      </c>
      <c r="C2470" t="str">
        <f>IFERROR(__xludf.DUMMYFUNCTION("GOOGLETRANSLATE(B2470, ""fr"", ""en"")"),"Top ! Diffuser on top, works great and diffuse throughout the house with changing colors. Discreet and efficient")</f>
        <v>Top ! Diffuser on top, works great and diffuse throughout the house with changing colors. Discreet and efficient</v>
      </c>
    </row>
    <row r="2471">
      <c r="A2471" s="1">
        <v>5.0</v>
      </c>
      <c r="B2471" s="1" t="s">
        <v>2456</v>
      </c>
      <c r="C2471" t="str">
        <f>IFERROR(__xludf.DUMMYFUNCTION("GOOGLETRANSLATE(B2471, ""fr"", ""en"")"),"👍 Beautiful")</f>
        <v>👍 Beautiful</v>
      </c>
    </row>
    <row r="2472">
      <c r="A2472" s="1">
        <v>5.0</v>
      </c>
      <c r="B2472" s="1" t="s">
        <v>2457</v>
      </c>
      <c r="C2472" t="str">
        <f>IFERROR(__xludf.DUMMYFUNCTION("GOOGLETRANSLATE(B2472, ""fr"", ""en"")"),"Ok Ok")</f>
        <v>Ok Ok</v>
      </c>
    </row>
    <row r="2473">
      <c r="A2473" s="1">
        <v>5.0</v>
      </c>
      <c r="B2473" s="1" t="s">
        <v>2458</v>
      </c>
      <c r="C2473" t="str">
        <f>IFERROR(__xludf.DUMMYFUNCTION("GOOGLETRANSLATE(B2473, ""fr"", ""en"")"),"awesome awesome")</f>
        <v>awesome awesome</v>
      </c>
    </row>
    <row r="2474">
      <c r="A2474" s="1">
        <v>5.0</v>
      </c>
      <c r="B2474" s="1" t="s">
        <v>2459</v>
      </c>
      <c r="C2474" t="str">
        <f>IFERROR(__xludf.DUMMYFUNCTION("GOOGLETRANSLATE(B2474, ""fr"", ""en"")"),"Product satifaisant I wanted to try the experience of wireless and it's done! Good battery life, and sound good the product is satisfactory I recommend!")</f>
        <v>Product satifaisant I wanted to try the experience of wireless and it's done! Good battery life, and sound good the product is satisfactory I recommend!</v>
      </c>
    </row>
    <row r="2475">
      <c r="A2475" s="1">
        <v>5.0</v>
      </c>
      <c r="B2475" s="1" t="s">
        <v>2460</v>
      </c>
      <c r="C2475" t="str">
        <f>IFERROR(__xludf.DUMMYFUNCTION("GOOGLETRANSLATE(B2475, ""fr"", ""en"")"),"Very good quality. Really pleased with this purchase. The articles are very good qualities and maintained perfectly. I am very satisfied.")</f>
        <v>Very good quality. Really pleased with this purchase. The articles are very good qualities and maintained perfectly. I am very satisfied.</v>
      </c>
    </row>
    <row r="2476">
      <c r="A2476" s="1">
        <v>5.0</v>
      </c>
      <c r="B2476" s="1" t="s">
        <v>2461</v>
      </c>
      <c r="C2476" t="str">
        <f>IFERROR(__xludf.DUMMYFUNCTION("GOOGLETRANSLATE(B2476, ""fr"", ""en"")"),"Okay Aircraft are very well made. Good finishes. My son happens to fly them up to 15 seconds after the Max")</f>
        <v>Okay Aircraft are very well made. Good finishes. My son happens to fly them up to 15 seconds after the Max</v>
      </c>
    </row>
    <row r="2477">
      <c r="A2477" s="1">
        <v>5.0</v>
      </c>
      <c r="B2477" s="1" t="s">
        <v>2462</v>
      </c>
      <c r="C2477" t="str">
        <f>IFERROR(__xludf.DUMMYFUNCTION("GOOGLETRANSLATE(B2477, ""fr"", ""en"")"),"perfect great product. delivery and monitoring on top")</f>
        <v>perfect great product. delivery and monitoring on top</v>
      </c>
    </row>
    <row r="2478">
      <c r="A2478" s="1">
        <v>5.0</v>
      </c>
      <c r="B2478" s="1" t="s">
        <v>2463</v>
      </c>
      <c r="C2478" t="str">
        <f>IFERROR(__xludf.DUMMYFUNCTION("GOOGLETRANSLATE(B2478, ""fr"", ""en"")"),"Top I recommend Very elegant. magnificent top")</f>
        <v>Top I recommend Very elegant. magnificent top</v>
      </c>
    </row>
    <row r="2479">
      <c r="A2479" s="1">
        <v>5.0</v>
      </c>
      <c r="B2479" s="1" t="s">
        <v>2464</v>
      </c>
      <c r="C2479" t="str">
        <f>IFERROR(__xludf.DUMMYFUNCTION("GOOGLETRANSLATE(B2479, ""fr"", ""en"")"),"Headphones very good. I highly recommend these Bluetooth headphones. Their autonomy is very high, they largely reflect the day. His side they are very clean to listen to music, watch movies or videos. They cling well to the ears.")</f>
        <v>Headphones very good. I highly recommend these Bluetooth headphones. Their autonomy is very high, they largely reflect the day. His side they are very clean to listen to music, watch movies or videos. They cling well to the ears.</v>
      </c>
    </row>
    <row r="2480">
      <c r="A2480" s="1">
        <v>5.0</v>
      </c>
      <c r="B2480" s="1" t="s">
        <v>2465</v>
      </c>
      <c r="C2480" t="str">
        <f>IFERROR(__xludf.DUMMYFUNCTION("GOOGLETRANSLATE(B2480, ""fr"", ""en"")"),"More than perfect A nice quality (thick enough to not be transparent once donned) a soft and warm inside ... more than satisfied with the quality ... The deep side pocket lets slip a smartphone for a sport to music !!!!")</f>
        <v>More than perfect A nice quality (thick enough to not be transparent once donned) a soft and warm inside ... more than satisfied with the quality ... The deep side pocket lets slip a smartphone for a sport to music !!!!</v>
      </c>
    </row>
    <row r="2481">
      <c r="A2481" s="1">
        <v>5.0</v>
      </c>
      <c r="B2481" s="1" t="s">
        <v>2466</v>
      </c>
      <c r="C2481" t="str">
        <f>IFERROR(__xludf.DUMMYFUNCTION("GOOGLETRANSLATE(B2481, ""fr"", ""en"")"),"Beautiful jewelry for a reasonable price! Pendant unassuming yet full of color. This product is totally gorgeous very good value I highly recommend my friend was very happy to have him.")</f>
        <v>Beautiful jewelry for a reasonable price! Pendant unassuming yet full of color. This product is totally gorgeous very good value I highly recommend my friend was very happy to have him.</v>
      </c>
    </row>
    <row r="2482">
      <c r="A2482" s="1">
        <v>5.0</v>
      </c>
      <c r="B2482" s="1" t="s">
        <v>2467</v>
      </c>
      <c r="C2482" t="str">
        <f>IFERROR(__xludf.DUMMYFUNCTION("GOOGLETRANSLATE(B2482, ""fr"", ""en"")"),"super good product I recommend")</f>
        <v>super good product I recommend</v>
      </c>
    </row>
    <row r="2483">
      <c r="A2483" s="1">
        <v>2.0</v>
      </c>
      <c r="B2483" s="1" t="s">
        <v>2468</v>
      </c>
      <c r="C2483" t="str">
        <f>IFERROR(__xludf.DUMMYFUNCTION("GOOGLETRANSLATE(B2483, ""fr"", ""en"")"),"Do not do it I did not used to use mouse pad with wrist rest. However, I find this one frankly impractical. 1) As mentioned in another review, it is not flat, it was / is deformed, the edges back. 2) The wrist rest is too thick, not to break the wrist mus"&amp;"t slightly raise the front arms permanently, it is very unpleasant. Afterwards, as I said, I'm not used to the mouse pad with wrist rest. 3) Too small, having the wrist on the wrist rest, mouse exceeds the front of the mat. On the other hand, anti slip ho"&amp;"lds well and the tissue covering the carpet is not unpleasant.")</f>
        <v>Do not do it I did not used to use mouse pad with wrist rest. However, I find this one frankly impractical. 1) As mentioned in another review, it is not flat, it was / is deformed, the edges back. 2) The wrist rest is too thick, not to break the wrist must slightly raise the front arms permanently, it is very unpleasant. Afterwards, as I said, I'm not used to the mouse pad with wrist rest. 3) Too small, having the wrist on the wrist rest, mouse exceeds the front of the mat. On the other hand, anti slip holds well and the tissue covering the carpet is not unpleasant.</v>
      </c>
    </row>
    <row r="2484">
      <c r="A2484" s="1">
        <v>1.0</v>
      </c>
      <c r="B2484" s="1" t="s">
        <v>2469</v>
      </c>
      <c r="C2484" t="str">
        <f>IFERROR(__xludf.DUMMYFUNCTION("GOOGLETRANSLATE(B2484, ""fr"", ""en"")"),"Quality more than mediocre After a few weeks, the sole began to take off and today, as I did not have to wear them more than 20 times in total without much walking, the sole is completely detached at the front the right foot, so that I toes in the air! Mo"&amp;"reover, heel reinforcement part by piece, I find in the shoe regularly. I never bought Converse and I'm not ready to start! Even at 45 € there are much better shoes.")</f>
        <v>Quality more than mediocre After a few weeks, the sole began to take off and today, as I did not have to wear them more than 20 times in total without much walking, the sole is completely detached at the front the right foot, so that I toes in the air! Moreover, heel reinforcement part by piece, I find in the shoe regularly. I never bought Converse and I'm not ready to start! Even at 45 € there are much better shoes.</v>
      </c>
    </row>
    <row r="2485">
      <c r="A2485" s="1">
        <v>1.0</v>
      </c>
      <c r="B2485" s="1" t="s">
        <v>2470</v>
      </c>
      <c r="C2485" t="str">
        <f>IFERROR(__xludf.DUMMYFUNCTION("GOOGLETRANSLATE(B2485, ""fr"", ""en"")"),"No Frankly I received the article that not correspond at all to the image and the size does not fit. I find ugly.")</f>
        <v>No Frankly I received the article that not correspond at all to the image and the size does not fit. I find ugly.</v>
      </c>
    </row>
    <row r="2486">
      <c r="A2486" s="1">
        <v>3.0</v>
      </c>
      <c r="B2486" s="1" t="s">
        <v>2471</v>
      </c>
      <c r="C2486" t="str">
        <f>IFERROR(__xludf.DUMMYFUNCTION("GOOGLETRANSLATE(B2486, ""fr"", ""en"")"),"Good but ... Would be more convenient with more thickness by color in visible clothing")</f>
        <v>Good but ... Would be more convenient with more thickness by color in visible clothing</v>
      </c>
    </row>
    <row r="2487">
      <c r="A2487" s="1">
        <v>4.0</v>
      </c>
      <c r="B2487" s="1" t="s">
        <v>2472</v>
      </c>
      <c r="C2487" t="str">
        <f>IFERROR(__xludf.DUMMYFUNCTION("GOOGLETRANSLATE(B2487, ""fr"", ""en"")"),"Happiness Bought to replace an old Philips light alarm clock that had convinced me there 10 years, I am very satisfied of this device is going to wake up gently. In terms of regrets, I épinglerais - buttons, discrete but identifiable little in the dark. I"&amp;" had to identify with embossed stickers - unable to set the alarm for certain days of the week. - the time display that does not vary depending on the ambient light, which makes it too loud at night, or unreadable during the day.")</f>
        <v>Happiness Bought to replace an old Philips light alarm clock that had convinced me there 10 years, I am very satisfied of this device is going to wake up gently. In terms of regrets, I épinglerais - buttons, discrete but identifiable little in the dark. I had to identify with embossed stickers - unable to set the alarm for certain days of the week. - the time display that does not vary depending on the ambient light, which makes it too loud at night, or unreadable during the day.</v>
      </c>
    </row>
    <row r="2488">
      <c r="A2488" s="1">
        <v>4.0</v>
      </c>
      <c r="B2488" s="1" t="s">
        <v>2473</v>
      </c>
      <c r="C2488" t="str">
        <f>IFERROR(__xludf.DUMMYFUNCTION("GOOGLETRANSLATE(B2488, ""fr"", ""en"")"),"Check and following the test a little narrow milk for milk thickened my son is perfect but when will board on the classic milk")</f>
        <v>Check and following the test a little narrow milk for milk thickened my son is perfect but when will board on the classic milk</v>
      </c>
    </row>
    <row r="2489">
      <c r="A2489" s="1">
        <v>4.0</v>
      </c>
      <c r="B2489" s="1" t="s">
        <v>2474</v>
      </c>
      <c r="C2489" t="str">
        <f>IFERROR(__xludf.DUMMYFUNCTION("GOOGLETRANSLATE(B2489, ""fr"", ""en"")"),"good product I love DOC then yes I am satisfied !!! It should be more like the one produced in the year ended !!!!!")</f>
        <v>good product I love DOC then yes I am satisfied !!! It should be more like the one produced in the year ended !!!!!</v>
      </c>
    </row>
    <row r="2490">
      <c r="A2490" s="1">
        <v>4.0</v>
      </c>
      <c r="B2490" s="1" t="s">
        <v>2475</v>
      </c>
      <c r="C2490" t="str">
        <f>IFERROR(__xludf.DUMMYFUNCTION("GOOGLETRANSLATE(B2490, ""fr"", ""en"")"),"Lovely Pretty Product size but slightly smaller still. I will do with.")</f>
        <v>Lovely Pretty Product size but slightly smaller still. I will do with.</v>
      </c>
    </row>
    <row r="2491">
      <c r="A2491" s="1">
        <v>5.0</v>
      </c>
      <c r="B2491" s="1" t="s">
        <v>2476</v>
      </c>
      <c r="C2491" t="str">
        <f>IFERROR(__xludf.DUMMYFUNCTION("GOOGLETRANSLATE(B2491, ""fr"", ""en"")"),"Very satisfied with my purchase beautiful watch and really cheap. It took about 3 weeks to receive cons but it does not matter.")</f>
        <v>Very satisfied with my purchase beautiful watch and really cheap. It took about 3 weeks to receive cons but it does not matter.</v>
      </c>
    </row>
    <row r="2492">
      <c r="A2492" s="1">
        <v>5.0</v>
      </c>
      <c r="B2492" s="1" t="s">
        <v>2477</v>
      </c>
      <c r="C2492" t="str">
        <f>IFERROR(__xludf.DUMMYFUNCTION("GOOGLETRANSLATE(B2492, ""fr"", ""en"")"),"Boots boaters. A myth, a legend. They have made the world in solidarity towers or crew. Present on all pontoons of the world, of the Trinity in Dinard, they end at the coffee board to redo the edges, a carelessly discarded sweater over the shoulders. The "&amp;"shoe box flower good spray and seaweed and takes you on a walk from fishing, hunting for weeders. Nothing to do with vulgar green boots with large spikes, no, here it is the aristocracy of the boot or is in the hushed, quiet, between people of good educat"&amp;"ions without screams or gun noises.")</f>
        <v>Boots boaters. A myth, a legend. They have made the world in solidarity towers or crew. Present on all pontoons of the world, of the Trinity in Dinard, they end at the coffee board to redo the edges, a carelessly discarded sweater over the shoulders. The shoe box flower good spray and seaweed and takes you on a walk from fishing, hunting for weeders. Nothing to do with vulgar green boots with large spikes, no, here it is the aristocracy of the boot or is in the hushed, quiet, between people of good educations without screams or gun noises.</v>
      </c>
    </row>
    <row r="2493">
      <c r="A2493" s="1">
        <v>5.0</v>
      </c>
      <c r="B2493" s="1" t="s">
        <v>2478</v>
      </c>
      <c r="C2493" t="str">
        <f>IFERROR(__xludf.DUMMYFUNCTION("GOOGLETRANSLATE(B2493, ""fr"", ""en"")"),"Almost perfect! Sensitive, compact, economical, well-equipped home ... surely a better choice if not the best for a DSLR, bridge or camcorder with a microphone input mini-jack 3.5 mm. Food compulsory plug-in-power, so be careful to ensure that your equipm"&amp;"ent before the supplies. Be careful to flatten the hairs against the windscreen to suspension yoke (Rycote S.V.P.), she is captive but if we do not take this precaution, it may not cover the side vents of the microphone head. The suspension has a thread p"&amp;"itch of 3/8 ""which allows use on all poles, but with some limitations because no joint.")</f>
        <v>Almost perfect! Sensitive, compact, economical, well-equipped home ... surely a better choice if not the best for a DSLR, bridge or camcorder with a microphone input mini-jack 3.5 mm. Food compulsory plug-in-power, so be careful to ensure that your equipment before the supplies. Be careful to flatten the hairs against the windscreen to suspension yoke (Rycote S.V.P.), she is captive but if we do not take this precaution, it may not cover the side vents of the microphone head. The suspension has a thread pitch of 3/8 "which allows use on all poles, but with some limitations because no joint.</v>
      </c>
    </row>
    <row r="2494">
      <c r="A2494" s="1">
        <v>5.0</v>
      </c>
      <c r="B2494" s="1" t="s">
        <v>2479</v>
      </c>
      <c r="C2494" t="str">
        <f>IFERROR(__xludf.DUMMYFUNCTION("GOOGLETRANSLATE(B2494, ""fr"", ""en"")"),"perfect watch for my taste After two years of use, this watch also looks new as the day. Aesthetics remarkable quality of blameless materials. (A wish of improvement, the daily dater takes account of 30 months and 31 days)")</f>
        <v>perfect watch for my taste After two years of use, this watch also looks new as the day. Aesthetics remarkable quality of blameless materials. (A wish of improvement, the daily dater takes account of 30 months and 31 days)</v>
      </c>
    </row>
    <row r="2495">
      <c r="A2495" s="1">
        <v>5.0</v>
      </c>
      <c r="B2495" s="1" t="s">
        <v>2480</v>
      </c>
      <c r="C2495" t="str">
        <f>IFERROR(__xludf.DUMMYFUNCTION("GOOGLETRANSLATE(B2495, ""fr"", ""en"")"),"Top Model more suitable than my old g shock Awg M100B 1AER. It has better visibility. Also the lighting is well above. This watch is widely abused comparable with g steel for much less expensive.")</f>
        <v>Top Model more suitable than my old g shock Awg M100B 1AER. It has better visibility. Also the lighting is well above. This watch is widely abused comparable with g steel for much less expensive.</v>
      </c>
    </row>
    <row r="2496">
      <c r="A2496" s="1">
        <v>5.0</v>
      </c>
      <c r="B2496" s="1" t="s">
        <v>2481</v>
      </c>
      <c r="C2496" t="str">
        <f>IFERROR(__xludf.DUMMYFUNCTION("GOOGLETRANSLATE(B2496, ""fr"", ""en"")"),"Comfort and convenience Perfect Size!")</f>
        <v>Comfort and convenience Perfect Size!</v>
      </c>
    </row>
    <row r="2497">
      <c r="A2497" s="1">
        <v>5.0</v>
      </c>
      <c r="B2497" s="1" t="s">
        <v>2482</v>
      </c>
      <c r="C2497" t="str">
        <f>IFERROR(__xludf.DUMMYFUNCTION("GOOGLETRANSLATE(B2497, ""fr"", ""en"")"),"Great for the Tascam DR-05 I hesitated between the expected version for the Tascam DR-05, but reading the comments on the difficulty to put on, I preferred to take the larger size. Goes very well with a Tascam DR-05, no difficulty putting yours and relati"&amp;"vely well.")</f>
        <v>Great for the Tascam DR-05 I hesitated between the expected version for the Tascam DR-05, but reading the comments on the difficulty to put on, I preferred to take the larger size. Goes very well with a Tascam DR-05, no difficulty putting yours and relatively well.</v>
      </c>
    </row>
    <row r="2498">
      <c r="A2498" s="1">
        <v>5.0</v>
      </c>
      <c r="B2498" s="1" t="s">
        <v>2483</v>
      </c>
      <c r="C2498" t="str">
        <f>IFERROR(__xludf.DUMMYFUNCTION("GOOGLETRANSLATE(B2498, ""fr"", ""en"")"),"Super oil I bought bottles of this oil during pregnancy !! I started putting myself from the 2nd month, paranoid stretch marks I was ... Even if a priori no oil can prevent a priori to have in some women, I think it helps much to soften the skin and there"&amp;"fore it can only do good. At least for me, I did not have a single stretch mark. I keep putting myself sometimes because I find it very enjoyable.")</f>
        <v>Super oil I bought bottles of this oil during pregnancy !! I started putting myself from the 2nd month, paranoid stretch marks I was ... Even if a priori no oil can prevent a priori to have in some women, I think it helps much to soften the skin and therefore it can only do good. At least for me, I did not have a single stretch mark. I keep putting myself sometimes because I find it very enjoyable.</v>
      </c>
    </row>
    <row r="2499">
      <c r="A2499" s="1">
        <v>5.0</v>
      </c>
      <c r="B2499" s="1" t="s">
        <v>2484</v>
      </c>
      <c r="C2499" t="str">
        <f>IFERROR(__xludf.DUMMYFUNCTION("GOOGLETRANSLATE(B2499, ""fr"", ""en"")"),"Superb quality food This film is the ultimate quality: the film that attaches to the container cover and remaining paste !! When using cling film restoration, we see pretty much the difference with those sold in supermarkets and even the best known brands"&amp;". I found here a real quality of food film that sticks very well to dishes and other and that's what I was looking for my home. The zip strip is advantageous, cutting is very fast and it goes without getting upset over. And you have for some time! The fir"&amp;"st roller made from October 2014 to September 2016, 2nd September 2016 to November 2018! We are therefore currently the 3rd and I would not change no brand.")</f>
        <v>Superb quality food This film is the ultimate quality: the film that attaches to the container cover and remaining paste !! When using cling film restoration, we see pretty much the difference with those sold in supermarkets and even the best known brands. I found here a real quality of food film that sticks very well to dishes and other and that's what I was looking for my home. The zip strip is advantageous, cutting is very fast and it goes without getting upset over. And you have for some time! The first roller made from October 2014 to September 2016, 2nd September 2016 to November 2018! We are therefore currently the 3rd and I would not change no brand.</v>
      </c>
    </row>
    <row r="2500">
      <c r="A2500" s="1">
        <v>5.0</v>
      </c>
      <c r="B2500" s="1" t="s">
        <v>2485</v>
      </c>
      <c r="C2500" t="str">
        <f>IFERROR(__xludf.DUMMYFUNCTION("GOOGLETRANSLATE(B2500, ""fr"", ""en"")"),"Watch Very well received")</f>
        <v>Watch Very well received</v>
      </c>
    </row>
    <row r="2501">
      <c r="A2501" s="1">
        <v>5.0</v>
      </c>
      <c r="B2501" s="1" t="s">
        <v>2486</v>
      </c>
      <c r="C2501" t="str">
        <f>IFERROR(__xludf.DUMMYFUNCTION("GOOGLETRANSLATE(B2501, ""fr"", ""en"")"),"COMPLIANT RAS")</f>
        <v>COMPLIANT RAS</v>
      </c>
    </row>
    <row r="2502">
      <c r="A2502" s="1">
        <v>5.0</v>
      </c>
      <c r="B2502" s="1" t="s">
        <v>2487</v>
      </c>
      <c r="C2502" t="str">
        <f>IFERROR(__xludf.DUMMYFUNCTION("GOOGLETRANSLATE(B2502, ""fr"", ""en"")"),"Casio digital watches reference sound simple and precise Watch")</f>
        <v>Casio digital watches reference sound simple and precise Watch</v>
      </c>
    </row>
    <row r="2503">
      <c r="A2503" s="1">
        <v>5.0</v>
      </c>
      <c r="B2503" s="1" t="s">
        <v>2488</v>
      </c>
      <c r="C2503" t="str">
        <f>IFERROR(__xludf.DUMMYFUNCTION("GOOGLETRANSLATE(B2503, ""fr"", ""en"")"),"Belke For a wedding")</f>
        <v>Belke For a wedding</v>
      </c>
    </row>
    <row r="2504">
      <c r="A2504" s="1">
        <v>5.0</v>
      </c>
      <c r="B2504" s="1" t="s">
        <v>2489</v>
      </c>
      <c r="C2504" t="str">
        <f>IFERROR(__xludf.DUMMYFUNCTION("GOOGLETRANSLATE(B2504, ""fr"", ""en"")"),"Very nice bracelet Ladies Bracelet beautiful in a very elegant finesse for the price I highly recommend .... To book especially for women because relatively fine level diameter a little small for people a little strong, I could never have wear it if it we"&amp;"re for me")</f>
        <v>Very nice bracelet Ladies Bracelet beautiful in a very elegant finesse for the price I highly recommend .... To book especially for women because relatively fine level diameter a little small for people a little strong, I could never have wear it if it were for me</v>
      </c>
    </row>
    <row r="2505">
      <c r="A2505" s="1">
        <v>5.0</v>
      </c>
      <c r="B2505" s="1" t="s">
        <v>2490</v>
      </c>
      <c r="C2505" t="str">
        <f>IFERROR(__xludf.DUMMYFUNCTION("GOOGLETRANSLATE(B2505, ""fr"", ""en"")"),"beautiful aesthetic and efficient kettle I needed a pretty kettle for my tea. Its capacity of 1.8 L is ideal for serving several people at once. She's beautiful design, efficient and fast. It heated between 40 and 100 ° C .The temperature control is visib"&amp;"le on a LCD screen. She has a Keep Warm option glass with a nice blue LED light. Quality item, plus she is silent. I hope it will serve me long to see in time.")</f>
        <v>beautiful aesthetic and efficient kettle I needed a pretty kettle for my tea. Its capacity of 1.8 L is ideal for serving several people at once. She's beautiful design, efficient and fast. It heated between 40 and 100 ° C .The temperature control is visible on a LCD screen. She has a Keep Warm option glass with a nice blue LED light. Quality item, plus she is silent. I hope it will serve me long to see in time.</v>
      </c>
    </row>
    <row r="2506">
      <c r="A2506" s="1">
        <v>2.0</v>
      </c>
      <c r="B2506" s="1" t="s">
        <v>2491</v>
      </c>
      <c r="C2506" t="str">
        <f>IFERROR(__xludf.DUMMYFUNCTION("GOOGLETRANSLATE(B2506, ""fr"", ""en"")"),"No poor quality paper compared to those I have the habit of using it. Either I barely to turn off and it's constantly or it burns all of a sudden and no odor product")</f>
        <v>No poor quality paper compared to those I have the habit of using it. Either I barely to turn off and it's constantly or it burns all of a sudden and no odor product</v>
      </c>
    </row>
    <row r="2507">
      <c r="A2507" s="1">
        <v>1.0</v>
      </c>
      <c r="B2507" s="1" t="s">
        <v>2492</v>
      </c>
      <c r="C2507" t="str">
        <f>IFERROR(__xludf.DUMMYFUNCTION("GOOGLETRANSLATE(B2507, ""fr"", ""en"")"),"defective item My computer tells me that the cartridge is installed and as soon as I launch a print begins to print and half of the sheet, the printing stops and starts ""Remove and reinstall the specified cartridge, you ensuring it is fully installed. """&amp;" I repeated the unsuccessful operation. So, I bought another and now it works. So disappointed to have lost money and lay a new cartridge. Do you know if it is possible to make the refund through Amazon or HP? cordially")</f>
        <v>defective item My computer tells me that the cartridge is installed and as soon as I launch a print begins to print and half of the sheet, the printing stops and starts "Remove and reinstall the specified cartridge, you ensuring it is fully installed. " I repeated the unsuccessful operation. So, I bought another and now it works. So disappointed to have lost money and lay a new cartridge. Do you know if it is possible to make the refund through Amazon or HP? cordially</v>
      </c>
    </row>
    <row r="2508">
      <c r="A2508" s="1">
        <v>3.0</v>
      </c>
      <c r="B2508" s="1" t="s">
        <v>2493</v>
      </c>
      <c r="C2508" t="str">
        <f>IFERROR(__xludf.DUMMYFUNCTION("GOOGLETRANSLATE(B2508, ""fr"", ""en"")"),"Bags I have recommended they are solid closing fasteners also perfect for my trash kitchen trash bags good I recommend")</f>
        <v>Bags I have recommended they are solid closing fasteners also perfect for my trash kitchen trash bags good I recommend</v>
      </c>
    </row>
    <row r="2509">
      <c r="A2509" s="1">
        <v>3.0</v>
      </c>
      <c r="B2509" s="1" t="s">
        <v>2494</v>
      </c>
      <c r="C2509" t="str">
        <f>IFERROR(__xludf.DUMMYFUNCTION("GOOGLETRANSLATE(B2509, ""fr"", ""en"")"),"Too big and no exchange Basketball is too much impossible exchange. So I have never put myself. Otherwise beautiful appearance.")</f>
        <v>Too big and no exchange Basketball is too much impossible exchange. So I have never put myself. Otherwise beautiful appearance.</v>
      </c>
    </row>
    <row r="2510">
      <c r="A2510" s="1">
        <v>4.0</v>
      </c>
      <c r="B2510" s="1" t="s">
        <v>2495</v>
      </c>
      <c r="C2510" t="str">
        <f>IFERROR(__xludf.DUMMYFUNCTION("GOOGLETRANSLATE(B2510, ""fr"", ""en"")"),"NOT BAD AT ALL Ordered apprehensively, but satisfaction on arrival: this bag is not bad at all. Big enough as I wanted, beautiful, stands well ... The main compartment closes with a zipper, two side with a magnetic snap. I take off a star for the inner li"&amp;"ning rather cheap, which makes a sound of rustling paper, but it is not seen and overall I'm pretty happy")</f>
        <v>NOT BAD AT ALL Ordered apprehensively, but satisfaction on arrival: this bag is not bad at all. Big enough as I wanted, beautiful, stands well ... The main compartment closes with a zipper, two side with a magnetic snap. I take off a star for the inner lining rather cheap, which makes a sound of rustling paper, but it is not seen and overall I'm pretty happy</v>
      </c>
    </row>
    <row r="2511">
      <c r="A2511" s="1">
        <v>4.0</v>
      </c>
      <c r="B2511" s="1" t="s">
        <v>2496</v>
      </c>
      <c r="C2511" t="str">
        <f>IFERROR(__xludf.DUMMYFUNCTION("GOOGLETRANSLATE(B2511, ""fr"", ""en"")"),"Trusted seller and very accessible smaller size than the table but trade agreement with the seller.")</f>
        <v>Trusted seller and very accessible smaller size than the table but trade agreement with the seller.</v>
      </c>
    </row>
    <row r="2512">
      <c r="A2512" s="1">
        <v>4.0</v>
      </c>
      <c r="B2512" s="1" t="s">
        <v>2497</v>
      </c>
      <c r="C2512" t="str">
        <f>IFERROR(__xludf.DUMMYFUNCTION("GOOGLETRANSLATE(B2512, ""fr"", ""en"")"),"The natural is essential Beautiful skin firmer after clay")</f>
        <v>The natural is essential Beautiful skin firmer after clay</v>
      </c>
    </row>
    <row r="2513">
      <c r="A2513" s="1">
        <v>4.0</v>
      </c>
      <c r="B2513" s="1" t="s">
        <v>2498</v>
      </c>
      <c r="C2513" t="str">
        <f>IFERROR(__xludf.DUMMYFUNCTION("GOOGLETRANSLATE(B2513, ""fr"", ""en"")"),"Perfect Super optimal markers for fun family achievements. Game very playful and perfectly suited to the youth. Super activity")</f>
        <v>Perfect Super optimal markers for fun family achievements. Game very playful and perfectly suited to the youth. Super activity</v>
      </c>
    </row>
    <row r="2514">
      <c r="A2514" s="1">
        <v>5.0</v>
      </c>
      <c r="B2514" s="1" t="s">
        <v>2499</v>
      </c>
      <c r="C2514" t="str">
        <f>IFERROR(__xludf.DUMMYFUNCTION("GOOGLETRANSLATE(B2514, ""fr"", ""en"")"),"Microphone use for 1 year working perfectly")</f>
        <v>Microphone use for 1 year working perfectly</v>
      </c>
    </row>
    <row r="2515">
      <c r="A2515" s="1">
        <v>5.0</v>
      </c>
      <c r="B2515" s="1" t="s">
        <v>2500</v>
      </c>
      <c r="C2515" t="str">
        <f>IFERROR(__xludf.DUMMYFUNCTION("GOOGLETRANSLATE(B2515, ""fr"", ""en"")"),"Consistently good This is my third pair - Heavy use average duration 6 years - comfort - Goretex and Vibram knee")</f>
        <v>Consistently good This is my third pair - Heavy use average duration 6 years - comfort - Goretex and Vibram knee</v>
      </c>
    </row>
    <row r="2516">
      <c r="A2516" s="1">
        <v>5.0</v>
      </c>
      <c r="B2516" s="1" t="s">
        <v>2217</v>
      </c>
      <c r="C2516" t="str">
        <f>IFERROR(__xludf.DUMMYFUNCTION("GOOGLETRANSLATE(B2516, ""fr"", ""en"")"),"Very good book series of books easy to read.")</f>
        <v>Very good book series of books easy to read.</v>
      </c>
    </row>
    <row r="2517">
      <c r="A2517" s="1">
        <v>5.0</v>
      </c>
      <c r="B2517" s="1" t="s">
        <v>2501</v>
      </c>
      <c r="C2517" t="str">
        <f>IFERROR(__xludf.DUMMYFUNCTION("GOOGLETRANSLATE(B2517, ""fr"", ""en"")"),"Very satisfied Very nice silver necklace")</f>
        <v>Very satisfied Very nice silver necklace</v>
      </c>
    </row>
    <row r="2518">
      <c r="A2518" s="1">
        <v>5.0</v>
      </c>
      <c r="B2518" s="1" t="s">
        <v>2502</v>
      </c>
      <c r="C2518" t="str">
        <f>IFERROR(__xludf.DUMMYFUNCTION("GOOGLETRANSLATE(B2518, ""fr"", ""en"")"),"Perfect ! handy inverter on the side. Not checked the ""real"" temperature. Bel qualitative terms. The ""sieve"" is removable and can rest in a receptacle whose bottom is very easy to clean silicone. I advise.")</f>
        <v>Perfect ! handy inverter on the side. Not checked the "real" temperature. Bel qualitative terms. The "sieve" is removable and can rest in a receptacle whose bottom is very easy to clean silicone. I advise.</v>
      </c>
    </row>
    <row r="2519">
      <c r="A2519" s="1">
        <v>5.0</v>
      </c>
      <c r="B2519" s="1" t="s">
        <v>2503</v>
      </c>
      <c r="C2519" t="str">
        <f>IFERROR(__xludf.DUMMYFUNCTION("GOOGLETRANSLATE(B2519, ""fr"", ""en"")"),"I can not do without it I love. Very comfortable. Really aesthetic. And super efficient. I recommend 100%")</f>
        <v>I can not do without it I love. Very comfortable. Really aesthetic. And super efficient. I recommend 100%</v>
      </c>
    </row>
    <row r="2520">
      <c r="A2520" s="1">
        <v>5.0</v>
      </c>
      <c r="B2520" s="1" t="s">
        <v>2504</v>
      </c>
      <c r="C2520" t="str">
        <f>IFERROR(__xludf.DUMMYFUNCTION("GOOGLETRANSLATE(B2520, ""fr"", ""en"")"),"Bag Very happy with my bag I can recommend it to everyone")</f>
        <v>Bag Very happy with my bag I can recommend it to everyone</v>
      </c>
    </row>
    <row r="2521">
      <c r="A2521" s="1">
        <v>5.0</v>
      </c>
      <c r="B2521" s="1" t="s">
        <v>2505</v>
      </c>
      <c r="C2521" t="str">
        <f>IFERROR(__xludf.DUMMYFUNCTION("GOOGLETRANSLATE(B2521, ""fr"", ""en"")"),"Large Large Size")</f>
        <v>Large Large Size</v>
      </c>
    </row>
    <row r="2522">
      <c r="A2522" s="1">
        <v>5.0</v>
      </c>
      <c r="B2522" s="1" t="s">
        <v>2506</v>
      </c>
      <c r="C2522" t="str">
        <f>IFERROR(__xludf.DUMMYFUNCTION("GOOGLETRANSLATE(B2522, ""fr"", ""en"")"),"Sport shoes I already had a pair for years. Very comfortable, well hold the ankle. The scratches are great. Virtually indestructible ....")</f>
        <v>Sport shoes I already had a pair for years. Very comfortable, well hold the ankle. The scratches are great. Virtually indestructible ....</v>
      </c>
    </row>
    <row r="2523">
      <c r="A2523" s="1">
        <v>5.0</v>
      </c>
      <c r="B2523" s="1" t="s">
        <v>2507</v>
      </c>
      <c r="C2523" t="str">
        <f>IFERROR(__xludf.DUMMYFUNCTION("GOOGLETRANSLATE(B2523, ""fr"", ""en"")"),"Perfect for relaxing or release tight muscles !!! Subject to migraines, I rely on the head pad to remedy in part. I'm already a fan of carpet to the back and its effect is pleasant and helpful although all but a miracle cure of course. The carpet appears "&amp;"to be durable, easily transportable.")</f>
        <v>Perfect for relaxing or release tight muscles !!! Subject to migraines, I rely on the head pad to remedy in part. I'm already a fan of carpet to the back and its effect is pleasant and helpful although all but a miracle cure of course. The carpet appears to be durable, easily transportable.</v>
      </c>
    </row>
    <row r="2524">
      <c r="A2524" s="1">
        <v>5.0</v>
      </c>
      <c r="B2524" s="1" t="s">
        <v>2508</v>
      </c>
      <c r="C2524" t="str">
        <f>IFERROR(__xludf.DUMMYFUNCTION("GOOGLETRANSLATE(B2524, ""fr"", ""en"")"),"Word to the wise ... Hello, I have the ears which is better, at least in my case, in the field of sound reproduction, for me it serious tear Helmet is beyond everything I could hope for, right now I listen Pink Floy, I feel I hear for the first time, how "&amp;"I could do without it until now, it's just unbelievable. Let's talk about comfort, it perfectly envelope ears, and ""cushions"" are memory foam, no sound can enter or leave, it really is a great helmet, I would not give you any technical information every"&amp;"thing I can tell you is that it is powerful and really bowl, it is pil hair to my waist, I have no adjustment to do and that's pretty cool, I love the color it really is that I saw the pictures of this presentation is also that attracted me, then I consul"&amp;"ted some comments, generally, I look at 4 or 5, they were all favorable, I am more than satisfied by this acquisition, plus it comes in a beautiful black box very dull in which it found a small bag in imitation leather inside which lies the Cowin SE7, cab"&amp;"le charging usb jack + adapter cable, is also a small adapter to plug in an airplane, that's what I heard while watching a video, and I really appreciate it is a good manual in French, I'm sure I'd passed me but it's reassuring, I think I made the round o"&amp;"f question, it is also with a warranty of 18 months, I'm done with the cable that hangs all the time and everywhere, more than once I really thought rip my ears, I just entering another dimension, the real test is for tomorrow, but I already know what awa"&amp;"its me. Now I know why I have long hesitated before switching to Bluetooth, this morning I did not know the brand Cowin and yet ... I have the impression that this headset was designed specifically for me! Yesterday I was listening to music and now I hear"&amp;" it! Its price may seem high but I guarantee you it was worth the money! It is with pleasure that I recommend this Bluetooth headset Cowin SE7!")</f>
        <v>Word to the wise ... Hello, I have the ears which is better, at least in my case, in the field of sound reproduction, for me it serious tear Helmet is beyond everything I could hope for, right now I listen Pink Floy, I feel I hear for the first time, how I could do without it until now, it's just unbelievable. Let's talk about comfort, it perfectly envelope ears, and "cushions" are memory foam, no sound can enter or leave, it really is a great helmet, I would not give you any technical information everything I can tell you is that it is powerful and really bowl, it is pil hair to my waist, I have no adjustment to do and that's pretty cool, I love the color it really is that I saw the pictures of this presentation is also that attracted me, then I consulted some comments, generally, I look at 4 or 5, they were all favorable, I am more than satisfied by this acquisition, plus it comes in a beautiful black box very dull in which it found a small bag in imitation leather inside which lies the Cowin SE7, cable charging usb jack + adapter cable, is also a small adapter to plug in an airplane, that's what I heard while watching a video, and I really appreciate it is a good manual in French, I'm sure I'd passed me but it's reassuring, I think I made the round of question, it is also with a warranty of 18 months, I'm done with the cable that hangs all the time and everywhere, more than once I really thought rip my ears, I just entering another dimension, the real test is for tomorrow, but I already know what awaits me. Now I know why I have long hesitated before switching to Bluetooth, this morning I did not know the brand Cowin and yet ... I have the impression that this headset was designed specifically for me! Yesterday I was listening to music and now I hear it! Its price may seem high but I guarantee you it was worth the money! It is with pleasure that I recommend this Bluetooth headset Cowin SE7!</v>
      </c>
    </row>
    <row r="2525">
      <c r="A2525" s="1">
        <v>5.0</v>
      </c>
      <c r="B2525" s="1" t="s">
        <v>2509</v>
      </c>
      <c r="C2525" t="str">
        <f>IFERROR(__xludf.DUMMYFUNCTION("GOOGLETRANSLATE(B2525, ""fr"", ""en"")"),"Ideal elegant with brilliant un.peu jean.Elles are especially elegant.")</f>
        <v>Ideal elegant with brilliant un.peu jean.Elles are especially elegant.</v>
      </c>
    </row>
    <row r="2526">
      <c r="A2526" s="1">
        <v>5.0</v>
      </c>
      <c r="B2526" s="1" t="s">
        <v>2510</v>
      </c>
      <c r="C2526" t="str">
        <f>IFERROR(__xludf.DUMMYFUNCTION("GOOGLETRANSLATE(B2526, ""fr"", ""en"")"),"Complies description and especially has a very good sound qualities This helmet is a very good quality sound and very easy to use. I recommend you can watch movies without putting too much TV sound which spanked the echo before Very useful when you have a"&amp;" certain age, since each jet helmet that adjusts the volume to its taste")</f>
        <v>Complies description and especially has a very good sound qualities This helmet is a very good quality sound and very easy to use. I recommend you can watch movies without putting too much TV sound which spanked the echo before Very useful when you have a certain age, since each jet helmet that adjusts the volume to its taste</v>
      </c>
    </row>
    <row r="2527">
      <c r="A2527" s="1">
        <v>5.0</v>
      </c>
      <c r="B2527" s="1" t="s">
        <v>2511</v>
      </c>
      <c r="C2527" t="str">
        <f>IFERROR(__xludf.DUMMYFUNCTION("GOOGLETRANSLATE(B2527, ""fr"", ""en"")"),"Softening Very satisfied thank you")</f>
        <v>Softening Very satisfied thank you</v>
      </c>
    </row>
    <row r="2528">
      <c r="A2528" s="1">
        <v>5.0</v>
      </c>
      <c r="B2528" s="1" t="s">
        <v>2512</v>
      </c>
      <c r="C2528" t="str">
        <f>IFERROR(__xludf.DUMMYFUNCTION("GOOGLETRANSLATE(B2528, ""fr"", ""en"")"),"Fast shipping and product conformity Good price")</f>
        <v>Fast shipping and product conformity Good price</v>
      </c>
    </row>
    <row r="2529">
      <c r="A2529" s="1">
        <v>2.0</v>
      </c>
      <c r="B2529" s="1" t="s">
        <v>2513</v>
      </c>
      <c r="C2529" t="str">
        <f>IFERROR(__xludf.DUMMYFUNCTION("GOOGLETRANSLATE(B2529, ""fr"", ""en"")"),"Not terrible Some buttons do not work really, mediocre quality")</f>
        <v>Not terrible Some buttons do not work really, mediocre quality</v>
      </c>
    </row>
    <row r="2530">
      <c r="A2530" s="1">
        <v>1.0</v>
      </c>
      <c r="B2530" s="1" t="s">
        <v>2514</v>
      </c>
      <c r="C2530" t="str">
        <f>IFERROR(__xludf.DUMMYFUNCTION("GOOGLETRANSLATE(B2530, ""fr"", ""en"")"),"very disappointing First cable is double and has a tendency to twist ... Then the headphone playback power is really not good. The source must be thoroughly + the bottom dial to hear ""normally"". I highly recommend!")</f>
        <v>very disappointing First cable is double and has a tendency to twist ... Then the headphone playback power is really not good. The source must be thoroughly + the bottom dial to hear "normally". I highly recommend!</v>
      </c>
    </row>
    <row r="2531">
      <c r="A2531" s="1">
        <v>1.0</v>
      </c>
      <c r="B2531" s="1" t="s">
        <v>2515</v>
      </c>
      <c r="C2531" t="str">
        <f>IFERROR(__xludf.DUMMYFUNCTION("GOOGLETRANSLATE(B2531, ""fr"", ""en"")"),"Does not work after a week. Does not work after a week. Interestingly Pocket model but this is not reliable. Pity")</f>
        <v>Does not work after a week. Does not work after a week. Interestingly Pocket model but this is not reliable. Pity</v>
      </c>
    </row>
    <row r="2532">
      <c r="A2532" s="1">
        <v>3.0</v>
      </c>
      <c r="B2532" s="1" t="s">
        <v>2516</v>
      </c>
      <c r="C2532" t="str">
        <f>IFERROR(__xludf.DUMMYFUNCTION("GOOGLETRANSLATE(B2532, ""fr"", ""en"")"),"colored pencil art castle These pencils have the advantage of having a diverse color palette, which lack certain brands. Working with many different brand color pencil I will say that it is quality rather good but nothing to do with the high-end brands. T"&amp;"he box set and pencil is nice and sober.")</f>
        <v>colored pencil art castle These pencils have the advantage of having a diverse color palette, which lack certain brands. Working with many different brand color pencil I will say that it is quality rather good but nothing to do with the high-end brands. The box set and pencil is nice and sober.</v>
      </c>
    </row>
    <row r="2533">
      <c r="A2533" s="1">
        <v>3.0</v>
      </c>
      <c r="B2533" s="1" t="s">
        <v>2517</v>
      </c>
      <c r="C2533" t="str">
        <f>IFERROR(__xludf.DUMMYFUNCTION("GOOGLETRANSLATE(B2533, ""fr"", ""en"")"),"graduations illegible volume graduations are misplaced. I hold the kettle in the gauchche hand. In this position the levels are unreadable. The small grid of the pouring is impossible to fix ... if you are not specialist games lego ... Why make it complic"&amp;"ated?")</f>
        <v>graduations illegible volume graduations are misplaced. I hold the kettle in the gauchche hand. In this position the levels are unreadable. The small grid of the pouring is impossible to fix ... if you are not specialist games lego ... Why make it complicated?</v>
      </c>
    </row>
    <row r="2534">
      <c r="A2534" s="1">
        <v>4.0</v>
      </c>
      <c r="B2534" s="1" t="s">
        <v>2518</v>
      </c>
      <c r="C2534" t="str">
        <f>IFERROR(__xludf.DUMMYFUNCTION("GOOGLETRANSLATE(B2534, ""fr"", ""en"")"),"Good quality Good quality sole is solid size 39 a little big but with his sole should not be a problem")</f>
        <v>Good quality Good quality sole is solid size 39 a little big but with his sole should not be a problem</v>
      </c>
    </row>
    <row r="2535">
      <c r="A2535" s="1">
        <v>4.0</v>
      </c>
      <c r="B2535" s="1" t="s">
        <v>2519</v>
      </c>
      <c r="C2535" t="str">
        <f>IFERROR(__xludf.DUMMYFUNCTION("GOOGLETRANSLATE(B2535, ""fr"", ""en"")"),"Satisfied Design plump and friendly heating water fast long ago I was looking for a lower capacity model 1l")</f>
        <v>Satisfied Design plump and friendly heating water fast long ago I was looking for a lower capacity model 1l</v>
      </c>
    </row>
    <row r="2536">
      <c r="A2536" s="1">
        <v>4.0</v>
      </c>
      <c r="B2536" s="1" t="s">
        <v>2520</v>
      </c>
      <c r="C2536" t="str">
        <f>IFERROR(__xludf.DUMMYFUNCTION("GOOGLETRANSLATE(B2536, ""fr"", ""en"")"),"Pocket watch Considering the price, it's very nice")</f>
        <v>Pocket watch Considering the price, it's very nice</v>
      </c>
    </row>
    <row r="2537">
      <c r="A2537" s="1">
        <v>4.0</v>
      </c>
      <c r="B2537" s="1" t="s">
        <v>2521</v>
      </c>
      <c r="C2537" t="str">
        <f>IFERROR(__xludf.DUMMYFUNCTION("GOOGLETRANSLATE(B2537, ""fr"", ""en"")"),"Super sweet! I used this water bottle to relieve my pain experienced lower abdomen after childbirth during breastfeeding. The water bottle is very big and wide so the heat is spread over a large area, touch is very silky, soft and soothing. However strong"&amp;" latex smell persists.")</f>
        <v>Super sweet! I used this water bottle to relieve my pain experienced lower abdomen after childbirth during breastfeeding. The water bottle is very big and wide so the heat is spread over a large area, touch is very silky, soft and soothing. However strong latex smell persists.</v>
      </c>
    </row>
    <row r="2538">
      <c r="A2538" s="1">
        <v>5.0</v>
      </c>
      <c r="B2538" s="1" t="s">
        <v>2522</v>
      </c>
      <c r="C2538" t="str">
        <f>IFERROR(__xludf.DUMMYFUNCTION("GOOGLETRANSLATE(B2538, ""fr"", ""en"")"),"Okay Good quality, no problem")</f>
        <v>Okay Good quality, no problem</v>
      </c>
    </row>
    <row r="2539">
      <c r="A2539" s="1">
        <v>5.0</v>
      </c>
      <c r="B2539" s="1" t="s">
        <v>2523</v>
      </c>
      <c r="C2539" t="str">
        <f>IFERROR(__xludf.DUMMYFUNCTION("GOOGLETRANSLATE(B2539, ""fr"", ""en"")"),"Good basketball !! Very happy with my Vans sneakers, I think bought the same to my son but with Mario on the sides !!")</f>
        <v>Good basketball !! Very happy with my Vans sneakers, I think bought the same to my son but with Mario on the sides !!</v>
      </c>
    </row>
    <row r="2540">
      <c r="A2540" s="1">
        <v>5.0</v>
      </c>
      <c r="B2540" s="1" t="s">
        <v>2524</v>
      </c>
      <c r="C2540" t="str">
        <f>IFERROR(__xludf.DUMMYFUNCTION("GOOGLETRANSLATE(B2540, ""fr"", ""en"")"),"I bought lai very well because I am back and grandmother all current purchases for Christmas she c 2 years")</f>
        <v>I bought lai very well because I am back and grandmother all current purchases for Christmas she c 2 years</v>
      </c>
    </row>
    <row r="2541">
      <c r="A2541" s="1">
        <v>5.0</v>
      </c>
      <c r="B2541" s="1" t="s">
        <v>2525</v>
      </c>
      <c r="C2541" t="str">
        <f>IFERROR(__xludf.DUMMYFUNCTION("GOOGLETRANSLATE(B2541, ""fr"", ""en"")"),"Very good. Be careful, it's hot. It's very warm, it heats up quickly, is reliable and even ugly. I wish you good tea.")</f>
        <v>Very good. Be careful, it's hot. It's very warm, it heats up quickly, is reliable and even ugly. I wish you good tea.</v>
      </c>
    </row>
    <row r="2542">
      <c r="A2542" s="1">
        <v>5.0</v>
      </c>
      <c r="B2542" s="1" t="s">
        <v>2526</v>
      </c>
      <c r="C2542" t="str">
        <f>IFERROR(__xludf.DUMMYFUNCTION("GOOGLETRANSLATE(B2542, ""fr"", ""en"")"),"Product delivered quickly Fast shipping, I recommend.")</f>
        <v>Product delivered quickly Fast shipping, I recommend.</v>
      </c>
    </row>
    <row r="2543">
      <c r="A2543" s="1">
        <v>5.0</v>
      </c>
      <c r="B2543" s="1" t="s">
        <v>2527</v>
      </c>
      <c r="C2543" t="str">
        <f>IFERROR(__xludf.DUMMYFUNCTION("GOOGLETRANSLATE(B2543, ""fr"", ""en"")"),"This handy little pouch is handy. she likes a lot to my boyfriend who can put a rather large wallet, cell phone and keys easily. This is perfect for hiking to lighten the pockets of the pants. The closures work well. the pockets are padded which is an add"&amp;"itional security against blows or rain. The shoulder straps are functional and safe enough (well I do not like the shoulder belt bag but each his own). Anyway this little bag is handy .. it may be small but allows to have only the essentials. plus its bla"&amp;"ck color reinforces some discretion")</f>
        <v>This handy little pouch is handy. she likes a lot to my boyfriend who can put a rather large wallet, cell phone and keys easily. This is perfect for hiking to lighten the pockets of the pants. The closures work well. the pockets are padded which is an additional security against blows or rain. The shoulder straps are functional and safe enough (well I do not like the shoulder belt bag but each his own). Anyway this little bag is handy .. it may be small but allows to have only the essentials. plus its black color reinforces some discretion</v>
      </c>
    </row>
    <row r="2544">
      <c r="A2544" s="1">
        <v>5.0</v>
      </c>
      <c r="B2544" s="1" t="s">
        <v>2528</v>
      </c>
      <c r="C2544" t="str">
        <f>IFERROR(__xludf.DUMMYFUNCTION("GOOGLETRANSLATE(B2544, ""fr"", ""en"")"),"Complies as indicated conforms to what is stated")</f>
        <v>Complies as indicated conforms to what is stated</v>
      </c>
    </row>
    <row r="2545">
      <c r="A2545" s="1">
        <v>5.0</v>
      </c>
      <c r="B2545" s="1" t="s">
        <v>2529</v>
      </c>
      <c r="C2545" t="str">
        <f>IFERROR(__xludf.DUMMYFUNCTION("GOOGLETRANSLATE(B2545, ""fr"", ""en"")"),"gray Converse Super fast delivery neat and perfect my shoes are at the top and the size you need! It all at a fair price")</f>
        <v>gray Converse Super fast delivery neat and perfect my shoes are at the top and the size you need! It all at a fair price</v>
      </c>
    </row>
    <row r="2546">
      <c r="A2546" s="1">
        <v>5.0</v>
      </c>
      <c r="B2546" s="1" t="s">
        <v>2530</v>
      </c>
      <c r="C2546" t="str">
        <f>IFERROR(__xludf.DUMMYFUNCTION("GOOGLETRANSLATE(B2546, ""fr"", ""en"")"),"Excellent product Excellent product. The insulation is very good and the full bottle keeps hot drink more than 4 hours, unlike many cheap thermos. I have not noticed any particular difficulty with the opening or closing of the screw cap.")</f>
        <v>Excellent product Excellent product. The insulation is very good and the full bottle keeps hot drink more than 4 hours, unlike many cheap thermos. I have not noticed any particular difficulty with the opening or closing of the screw cap.</v>
      </c>
    </row>
    <row r="2547">
      <c r="A2547" s="1">
        <v>5.0</v>
      </c>
      <c r="B2547" s="1" t="s">
        <v>2531</v>
      </c>
      <c r="C2547" t="str">
        <f>IFERROR(__xludf.DUMMYFUNCTION("GOOGLETRANSLATE(B2547, ""fr"", ""en"")"),"Perfect for sports headset perfect for sport and comfortable")</f>
        <v>Perfect for sports headset perfect for sport and comfortable</v>
      </c>
    </row>
    <row r="2548">
      <c r="A2548" s="1">
        <v>5.0</v>
      </c>
      <c r="B2548" s="1" t="s">
        <v>2532</v>
      </c>
      <c r="C2548" t="str">
        <f>IFERROR(__xludf.DUMMYFUNCTION("GOOGLETRANSLATE(B2548, ""fr"", ""en"")"),"Impeccable Awesome nothing to say")</f>
        <v>Impeccable Awesome nothing to say</v>
      </c>
    </row>
    <row r="2549">
      <c r="A2549" s="1">
        <v>5.0</v>
      </c>
      <c r="B2549" s="1" t="s">
        <v>2533</v>
      </c>
      <c r="C2549" t="str">
        <f>IFERROR(__xludf.DUMMYFUNCTION("GOOGLETRANSLATE(B2549, ""fr"", ""en"")"),"cartridge canon cartridges are good quality. I take them all the time on this site. rapid dispatch")</f>
        <v>cartridge canon cartridges are good quality. I take them all the time on this site. rapid dispatch</v>
      </c>
    </row>
    <row r="2550">
      <c r="A2550" s="1">
        <v>5.0</v>
      </c>
      <c r="B2550" s="1" t="s">
        <v>2534</v>
      </c>
      <c r="C2550" t="str">
        <f>IFERROR(__xludf.DUMMYFUNCTION("GOOGLETRANSLATE(B2550, ""fr"", ""en"")"),"Beautiful gem Very nice product, delivered in a stylish box, which is itself very chic. The reflections are beautiful and it is discreet and yet we only see him. My mother is delighted.")</f>
        <v>Beautiful gem Very nice product, delivered in a stylish box, which is itself very chic. The reflections are beautiful and it is discreet and yet we only see him. My mother is delighted.</v>
      </c>
    </row>
    <row r="2551">
      <c r="A2551" s="1">
        <v>5.0</v>
      </c>
      <c r="B2551" s="1" t="s">
        <v>2535</v>
      </c>
      <c r="C2551" t="str">
        <f>IFERROR(__xludf.DUMMYFUNCTION("GOOGLETRANSLATE(B2551, ""fr"", ""en"")"),"Sending very fast, thank you very fast shipping, thank you")</f>
        <v>Sending very fast, thank you very fast shipping, thank you</v>
      </c>
    </row>
    <row r="2552">
      <c r="A2552" s="1">
        <v>5.0</v>
      </c>
      <c r="B2552" s="1" t="s">
        <v>2536</v>
      </c>
      <c r="C2552" t="str">
        <f>IFERROR(__xludf.DUMMYFUNCTION("GOOGLETRANSLATE(B2552, ""fr"", ""en"")"),"Fast Conforms to the description of vendeur.Je recommends.")</f>
        <v>Fast Conforms to the description of vendeur.Je recommends.</v>
      </c>
    </row>
    <row r="2553">
      <c r="A2553" s="1">
        <v>5.0</v>
      </c>
      <c r="B2553" s="1" t="s">
        <v>2537</v>
      </c>
      <c r="C2553" t="str">
        <f>IFERROR(__xludf.DUMMYFUNCTION("GOOGLETRANSLATE(B2553, ""fr"", ""en"")"),"Keeps well head Headphones are great! I really like noise reduction, especially outside it is impressive! The sound is very very good, and not lose quality even in very high amount. The headset itself is super comfortable, to forget that the door!")</f>
        <v>Keeps well head Headphones are great! I really like noise reduction, especially outside it is impressive! The sound is very very good, and not lose quality even in very high amount. The headset itself is super comfortable, to forget that the door!</v>
      </c>
    </row>
    <row r="2554">
      <c r="A2554" s="1">
        <v>2.0</v>
      </c>
      <c r="B2554" s="1" t="s">
        <v>2538</v>
      </c>
      <c r="C2554" t="str">
        <f>IFERROR(__xludf.DUMMYFUNCTION("GOOGLETRANSLATE(B2554, ""fr"", ""en"")"),"Very disappointed quickly worn sole and quickly split leather. Overpriced for quality become so poor. The company sits on his brand is worthless.")</f>
        <v>Very disappointed quickly worn sole and quickly split leather. Overpriced for quality become so poor. The company sits on his brand is worthless.</v>
      </c>
    </row>
    <row r="2555">
      <c r="A2555" s="1">
        <v>1.0</v>
      </c>
      <c r="B2555" s="1" t="s">
        <v>2539</v>
      </c>
      <c r="C2555" t="str">
        <f>IFERROR(__xludf.DUMMYFUNCTION("GOOGLETRANSLATE(B2555, ""fr"", ""en"")"),"disappointed and Delivery size: no problem. But ... I bought long boots Levi's before trying other brands. I wanted to try again Levi's. Big disappointment, it will be my last. The appearance of the shoes is consistent but big disappointment with the qual"&amp;"ity. A sole very ""plastic"", false-stitching, an interior that hurt me and caused blisters from the first use, especially at the heel. For a price [of origin] 140 euros, better add 50 euros and have a leather &amp; amp; finish / quality tip-top example in h "&amp;"by-Hudson (I use a pair of this brand for 5 years ...) rather than spend between 100 and 140 euros in boots that are not worth more 70.")</f>
        <v>disappointed and Delivery size: no problem. But ... I bought long boots Levi's before trying other brands. I wanted to try again Levi's. Big disappointment, it will be my last. The appearance of the shoes is consistent but big disappointment with the quality. A sole very "plastic", false-stitching, an interior that hurt me and caused blisters from the first use, especially at the heel. For a price [of origin] 140 euros, better add 50 euros and have a leather &amp; amp; finish / quality tip-top example in h by-Hudson (I use a pair of this brand for 5 years ...) rather than spend between 100 and 140 euros in boots that are not worth more 70.</v>
      </c>
    </row>
    <row r="2556">
      <c r="A2556" s="1">
        <v>1.0</v>
      </c>
      <c r="B2556" s="1" t="s">
        <v>2540</v>
      </c>
      <c r="C2556" t="str">
        <f>IFERROR(__xludf.DUMMYFUNCTION("GOOGLETRANSLATE(B2556, ""fr"", ""en"")"),"To flee ! To flee! Received early July early August ... the chain is black !!! It is not of 925 sterling silver !!! Plated silver at best and again! Very disapointed !")</f>
        <v>To flee ! To flee! Received early July early August ... the chain is black !!! It is not of 925 sterling silver !!! Plated silver at best and again! Very disapointed !</v>
      </c>
    </row>
    <row r="2557">
      <c r="A2557" s="1">
        <v>3.0</v>
      </c>
      <c r="B2557" s="1" t="s">
        <v>2541</v>
      </c>
      <c r="C2557" t="str">
        <f>IFERROR(__xludf.DUMMYFUNCTION("GOOGLETRANSLATE(B2557, ""fr"", ""en"")"),"Good product I use the headset all day for my work, autonomy is excellent and the sound is good, for it makes me very against earache, the output is too large.")</f>
        <v>Good product I use the headset all day for my work, autonomy is excellent and the sound is good, for it makes me very against earache, the output is too large.</v>
      </c>
    </row>
    <row r="2558">
      <c r="A2558" s="1">
        <v>4.0</v>
      </c>
      <c r="B2558" s="1" t="s">
        <v>2542</v>
      </c>
      <c r="C2558" t="str">
        <f>IFERROR(__xludf.DUMMYFUNCTION("GOOGLETRANSLATE(B2558, ""fr"", ""en"")"),"kdo mommy difficult to choose a pair of shoes when it's not for himself. Yet I did ..... to nearly half size. Small sole add and voila. Except for my next purchase New Balance, I know the size. Very nice color")</f>
        <v>kdo mommy difficult to choose a pair of shoes when it's not for himself. Yet I did ..... to nearly half size. Small sole add and voila. Except for my next purchase New Balance, I know the size. Very nice color</v>
      </c>
    </row>
    <row r="2559">
      <c r="A2559" s="1">
        <v>4.0</v>
      </c>
      <c r="B2559" s="1" t="s">
        <v>2543</v>
      </c>
      <c r="C2559" t="str">
        <f>IFERROR(__xludf.DUMMYFUNCTION("GOOGLETRANSLATE(B2559, ""fr"", ""en"")"),"Rode SC4 Perfect for taking her on a Samsung A5 from a microphone or connected to a mixer on output out. Small problem, the cable is a little late when a seeming fragility. It is only for this reason that I put only four stars. very quick and correct deli"&amp;"very packaging.")</f>
        <v>Rode SC4 Perfect for taking her on a Samsung A5 from a microphone or connected to a mixer on output out. Small problem, the cable is a little late when a seeming fragility. It is only for this reason that I put only four stars. very quick and correct delivery packaging.</v>
      </c>
    </row>
    <row r="2560">
      <c r="A2560" s="1">
        <v>4.0</v>
      </c>
      <c r="B2560" s="1" t="s">
        <v>2544</v>
      </c>
      <c r="C2560" t="str">
        <f>IFERROR(__xludf.DUMMYFUNCTION("GOOGLETRANSLATE(B2560, ""fr"", ""en"")"),"Perfect practice")</f>
        <v>Perfect practice</v>
      </c>
    </row>
    <row r="2561">
      <c r="A2561" s="1">
        <v>4.0</v>
      </c>
      <c r="B2561" s="1" t="s">
        <v>2545</v>
      </c>
      <c r="C2561" t="str">
        <f>IFERROR(__xludf.DUMMYFUNCTION("GOOGLETRANSLATE(B2561, ""fr"", ""en"")"),"Very Good for those who like energetic massage Having problems cervical I have decided to buy this massager. It is hard and did pretty badly. I do not use it often because it is too hard for me. For people loving energetic massage this device is perfect.")</f>
        <v>Very Good for those who like energetic massage Having problems cervical I have decided to buy this massager. It is hard and did pretty badly. I do not use it often because it is too hard for me. For people loving energetic massage this device is perfect.</v>
      </c>
    </row>
    <row r="2562">
      <c r="A2562" s="1">
        <v>4.0</v>
      </c>
      <c r="B2562" s="1" t="s">
        <v>2546</v>
      </c>
      <c r="C2562" t="str">
        <f>IFERROR(__xludf.DUMMYFUNCTION("GOOGLETRANSLATE(B2562, ""fr"", ""en"")"),"The slightly different material and elasticity are slightly different from the old bracelet my Vector. So, the loop is released more easily. Otherwise, the quality of materials is quite comparable and screws are founis.")</f>
        <v>The slightly different material and elasticity are slightly different from the old bracelet my Vector. So, the loop is released more easily. Otherwise, the quality of materials is quite comparable and screws are founis.</v>
      </c>
    </row>
    <row r="2563">
      <c r="A2563" s="1">
        <v>5.0</v>
      </c>
      <c r="B2563" s="1" t="s">
        <v>2547</v>
      </c>
      <c r="C2563" t="str">
        <f>IFERROR(__xludf.DUMMYFUNCTION("GOOGLETRANSLATE(B2563, ""fr"", ""en"")"),"Okay Meets description. Good value for money")</f>
        <v>Okay Meets description. Good value for money</v>
      </c>
    </row>
    <row r="2564">
      <c r="A2564" s="1">
        <v>5.0</v>
      </c>
      <c r="B2564" s="1" t="s">
        <v>2548</v>
      </c>
      <c r="C2564" t="str">
        <f>IFERROR(__xludf.DUMMYFUNCTION("GOOGLETRANSLATE(B2564, ""fr"", ""en"")"),"Reviews Super comfortable")</f>
        <v>Reviews Super comfortable</v>
      </c>
    </row>
    <row r="2565">
      <c r="A2565" s="1">
        <v>5.0</v>
      </c>
      <c r="B2565" s="1" t="s">
        <v>2549</v>
      </c>
      <c r="C2565" t="str">
        <f>IFERROR(__xludf.DUMMYFUNCTION("GOOGLETRANSLATE(B2565, ""fr"", ""en"")"),"ok nice watch legible for an aged man, but the band is hard at first, finally too rigid gift made fun")</f>
        <v>ok nice watch legible for an aged man, but the band is hard at first, finally too rigid gift made fun</v>
      </c>
    </row>
    <row r="2566">
      <c r="A2566" s="1">
        <v>5.0</v>
      </c>
      <c r="B2566" s="1" t="s">
        <v>2550</v>
      </c>
      <c r="C2566" t="str">
        <f>IFERROR(__xludf.DUMMYFUNCTION("GOOGLETRANSLATE(B2566, ""fr"", ""en"")"),"Very good I have to date no problem with the object, on the contrary, it served its purpose perfectly and the value for money is good.")</f>
        <v>Very good I have to date no problem with the object, on the contrary, it served its purpose perfectly and the value for money is good.</v>
      </c>
    </row>
    <row r="2567">
      <c r="A2567" s="1">
        <v>5.0</v>
      </c>
      <c r="B2567" s="1" t="s">
        <v>2551</v>
      </c>
      <c r="C2567" t="str">
        <f>IFERROR(__xludf.DUMMYFUNCTION("GOOGLETRANSLATE(B2567, ""fr"", ""en"")"),"Super Super 👍 products, practical")</f>
        <v>Super Super 👍 products, practical</v>
      </c>
    </row>
    <row r="2568">
      <c r="A2568" s="1">
        <v>5.0</v>
      </c>
      <c r="B2568" s="1" t="s">
        <v>2552</v>
      </c>
      <c r="C2568" t="str">
        <f>IFERROR(__xludf.DUMMYFUNCTION("GOOGLETRANSLATE(B2568, ""fr"", ""en"")"),"Perfect Nothing to say")</f>
        <v>Perfect Nothing to say</v>
      </c>
    </row>
    <row r="2569">
      <c r="A2569" s="1">
        <v>5.0</v>
      </c>
      <c r="B2569" s="1" t="s">
        <v>2553</v>
      </c>
      <c r="C2569" t="str">
        <f>IFERROR(__xludf.DUMMYFUNCTION("GOOGLETRANSLATE(B2569, ""fr"", ""en"")"),"Nikel Nothing to say flawless")</f>
        <v>Nikel Nothing to say flawless</v>
      </c>
    </row>
    <row r="2570">
      <c r="A2570" s="1">
        <v>5.0</v>
      </c>
      <c r="B2570" s="1" t="s">
        <v>2554</v>
      </c>
      <c r="C2570" t="str">
        <f>IFERROR(__xludf.DUMMYFUNCTION("GOOGLETRANSLATE(B2570, ""fr"", ""en"")"),"Trainers black Hammer To my job super pharmacology products I'm really happy with my purchase")</f>
        <v>Trainers black Hammer To my job super pharmacology products I'm really happy with my purchase</v>
      </c>
    </row>
    <row r="2571">
      <c r="A2571" s="1">
        <v>5.0</v>
      </c>
      <c r="B2571" s="1" t="s">
        <v>2555</v>
      </c>
      <c r="C2571" t="str">
        <f>IFERROR(__xludf.DUMMYFUNCTION("GOOGLETRANSLATE(B2571, ""fr"", ""en"")"),"perfect comfortable Perfect Light")</f>
        <v>perfect comfortable Perfect Light</v>
      </c>
    </row>
    <row r="2572">
      <c r="A2572" s="1">
        <v>5.0</v>
      </c>
      <c r="B2572" s="1" t="s">
        <v>2556</v>
      </c>
      <c r="C2572" t="str">
        <f>IFERROR(__xludf.DUMMYFUNCTION("GOOGLETRANSLATE(B2572, ""fr"", ""en"")"),"A Magnificent buy as pictured not esitez. It is shiny jewelry beautiful quiet a bit small for my taste circles")</f>
        <v>A Magnificent buy as pictured not esitez. It is shiny jewelry beautiful quiet a bit small for my taste circles</v>
      </c>
    </row>
    <row r="2573">
      <c r="A2573" s="1">
        <v>5.0</v>
      </c>
      <c r="B2573" s="1" t="s">
        <v>2557</v>
      </c>
      <c r="C2573" t="str">
        <f>IFERROR(__xludf.DUMMYFUNCTION("GOOGLETRANSLATE(B2573, ""fr"", ""en"")"),"Watch cheap Very nice watch, nothing to say money")</f>
        <v>Watch cheap Very nice watch, nothing to say money</v>
      </c>
    </row>
    <row r="2574">
      <c r="A2574" s="1">
        <v>5.0</v>
      </c>
      <c r="B2574" s="1" t="s">
        <v>2558</v>
      </c>
      <c r="C2574" t="str">
        <f>IFERROR(__xludf.DUMMYFUNCTION("GOOGLETRANSLATE(B2574, ""fr"", ""en"")"),"Super nice little sweater pullover Do not expect the most Folle quality for the reasons very well but given its price.")</f>
        <v>Super nice little sweater pullover Do not expect the most Folle quality for the reasons very well but given its price.</v>
      </c>
    </row>
    <row r="2575">
      <c r="A2575" s="1">
        <v>5.0</v>
      </c>
      <c r="B2575" s="1" t="s">
        <v>2559</v>
      </c>
      <c r="C2575" t="str">
        <f>IFERROR(__xludf.DUMMYFUNCTION("GOOGLETRANSLATE(B2575, ""fr"", ""en"")"),"great smells wonderful !! I suggest it's fresh !!")</f>
        <v>great smells wonderful !! I suggest it's fresh !!</v>
      </c>
    </row>
    <row r="2576">
      <c r="A2576" s="1">
        <v>5.0</v>
      </c>
      <c r="B2576" s="1" t="s">
        <v>2560</v>
      </c>
      <c r="C2576" t="str">
        <f>IFERROR(__xludf.DUMMYFUNCTION("GOOGLETRANSLATE(B2576, ""fr"", ""en"")"),"Perfect Everything was perfect to protect my logbook, very rigid and of good quality. Nothing to say about this =)")</f>
        <v>Perfect Everything was perfect to protect my logbook, very rigid and of good quality. Nothing to say about this =)</v>
      </c>
    </row>
    <row r="2577">
      <c r="A2577" s="1">
        <v>5.0</v>
      </c>
      <c r="B2577" s="1" t="s">
        <v>2561</v>
      </c>
      <c r="C2577" t="str">
        <f>IFERROR(__xludf.DUMMYFUNCTION("GOOGLETRANSLATE(B2577, ""fr"", ""en"")"),"pair of all-terrain shoes, perfect for leisure outside here essentially returns my companion made about these Columbia Redmond V2 Mid WP Hiking Boots High Woman, Black, Black Ch, 40 EU: they are comfortable shoes with good cushioning, whether on flat or r"&amp;"ocky terrain. to go on the rocks, they are resistant. the material is breathable without one has provided wet feet. the design is quite large for women hiking shoes. in short, she is satisfied.")</f>
        <v>pair of all-terrain shoes, perfect for leisure outside here essentially returns my companion made about these Columbia Redmond V2 Mid WP Hiking Boots High Woman, Black, Black Ch, 40 EU: they are comfortable shoes with good cushioning, whether on flat or rocky terrain. to go on the rocks, they are resistant. the material is breathable without one has provided wet feet. the design is quite large for women hiking shoes. in short, she is satisfied.</v>
      </c>
    </row>
    <row r="2578">
      <c r="A2578" s="1">
        <v>2.0</v>
      </c>
      <c r="B2578" s="1" t="s">
        <v>2562</v>
      </c>
      <c r="C2578" t="str">
        <f>IFERROR(__xludf.DUMMYFUNCTION("GOOGLETRANSLATE(B2578, ""fr"", ""en"")"),"Short I have not received the carrying pouch which should normally be the case if after the first session 3x20 min row I felt the little muscle soreness the next day so for the moment I am unable to tell you what is the short")</f>
        <v>Short I have not received the carrying pouch which should normally be the case if after the first session 3x20 min row I felt the little muscle soreness the next day so for the moment I am unable to tell you what is the short</v>
      </c>
    </row>
    <row r="2579">
      <c r="A2579" s="1">
        <v>1.0</v>
      </c>
      <c r="B2579" s="1" t="s">
        <v>2563</v>
      </c>
      <c r="C2579" t="str">
        <f>IFERROR(__xludf.DUMMYFUNCTION("GOOGLETRANSLATE(B2579, ""fr"", ""en"")"),"Must be good for the S see M no longer buy XL 42 The high waist is not the case even if I want to go there goes down as soon because the matter is smooth and elastic A little disappointed but hey jen needed I keep. Must be the top for who place see S M si"&amp;"ze for the high level otherwise drop")</f>
        <v>Must be good for the S see M no longer buy XL 42 The high waist is not the case even if I want to go there goes down as soon because the matter is smooth and elastic A little disappointed but hey jen needed I keep. Must be the top for who place see S M size for the high level otherwise drop</v>
      </c>
    </row>
    <row r="2580">
      <c r="A2580" s="1">
        <v>3.0</v>
      </c>
      <c r="B2580" s="1" t="s">
        <v>2564</v>
      </c>
      <c r="C2580" t="str">
        <f>IFERROR(__xludf.DUMMYFUNCTION("GOOGLETRANSLATE(B2580, ""fr"", ""en"")"),"Mixed I do not think AC is a real effect that colic ...")</f>
        <v>Mixed I do not think AC is a real effect that colic ...</v>
      </c>
    </row>
    <row r="2581">
      <c r="A2581" s="1">
        <v>3.0</v>
      </c>
      <c r="B2581" s="1" t="s">
        <v>2565</v>
      </c>
      <c r="C2581" t="str">
        <f>IFERROR(__xludf.DUMMYFUNCTION("GOOGLETRANSLATE(B2581, ""fr"", ""en"")"),"Too large size model and if like me chest generous attention because shell in bra")</f>
        <v>Too large size model and if like me chest generous attention because shell in bra</v>
      </c>
    </row>
    <row r="2582">
      <c r="A2582" s="1">
        <v>4.0</v>
      </c>
      <c r="B2582" s="1" t="s">
        <v>2566</v>
      </c>
      <c r="C2582" t="str">
        <f>IFERROR(__xludf.DUMMYFUNCTION("GOOGLETRANSLATE(B2582, ""fr"", ""en"")"),"Works well Overall not bad, at least my wife is thrilled. Warning not suitable for travel given the size, format is not compact but knew. Pros: - Efficient - very soft and easy tip washing - Different programs - The head pivots slightly to fit Cons: - A h"&amp;"air noisy ""normal"" operation - Very noisy in operation ""maximum"" - Connectivity at the loader that makes a little ""cheap"" to see what happens in time - the house of very average storage (garbage in my case) - No charger, only the USB cable")</f>
        <v>Works well Overall not bad, at least my wife is thrilled. Warning not suitable for travel given the size, format is not compact but knew. Pros: - Efficient - very soft and easy tip washing - Different programs - The head pivots slightly to fit Cons: - A hair noisy "normal" operation - Very noisy in operation "maximum" - Connectivity at the loader that makes a little "cheap" to see what happens in time - the house of very average storage (garbage in my case) - No charger, only the USB cable</v>
      </c>
    </row>
    <row r="2583">
      <c r="A2583" s="1">
        <v>4.0</v>
      </c>
      <c r="B2583" s="1" t="s">
        <v>1261</v>
      </c>
      <c r="C2583" t="str">
        <f>IFERROR(__xludf.DUMMYFUNCTION("GOOGLETRANSLATE(B2583, ""fr"", ""en"")"),"good good")</f>
        <v>good good</v>
      </c>
    </row>
    <row r="2584">
      <c r="A2584" s="1">
        <v>4.0</v>
      </c>
      <c r="B2584" s="1" t="s">
        <v>2567</v>
      </c>
      <c r="C2584" t="str">
        <f>IFERROR(__xludf.DUMMYFUNCTION("GOOGLETRANSLATE(B2584, ""fr"", ""en"")"),"The helmet of Sauron I am quite a fan of ""Bose sound"", which wants to sound more ""realistic"" and not ultra typed. I loved this helmet! Already by its format: it is small, and once cleverly fold in its case it fits everywhere in a protected manner. It "&amp;"is very light and suddenly it causes no fatigue. Pairing is very simple and above all it is with multiple devices. Indeed, paired with an Android smartphone, iPhone, Mac, ... as soon as one of the devices emits a sound, it switches on the helmet. It's qui"&amp;"te magical. Well sometimes it is necessary to ""force"" the connection but this is rare, especially during a call on a phone while listening to music from another device, I never missed a call. The connection is always made. Hence the title of my review: "&amp;"""Sauron's helmet"" in reference to the ring of Sauron from Lord of the Rings and the fact that this headset brings together all my bluetooth devices! It's super nice. An additional plus point: it is one of the few headsets that my interlocutors during a "&amp;"call phone, tell me they hear me very well. And yet I've tried bluetooth headsets! So why remove a star? In relation to quality. Certainly there helmet is all very nice, but it certainly does not last. For example my first Quiet Comfort, bought in the US,"&amp;" broke the fifth use (headphone € 400 at the time) because of a too brittle plastic. But this time ... the worst is the predecessor of the keg I got there 2 years (maximum), and cousins ​​not end up breaking up with time. It's a shame that these helmets d"&amp;"o not take the distance, because the sound is really good, this model is perfect for urban travel by its lightness, the use in communication is exceptional (according to my interlocutors) and pairing multiple devices enables a truly ultra comfortable use.")</f>
        <v>The helmet of Sauron I am quite a fan of "Bose sound", which wants to sound more "realistic" and not ultra typed. I loved this helmet! Already by its format: it is small, and once cleverly fold in its case it fits everywhere in a protected manner. It is very light and suddenly it causes no fatigue. Pairing is very simple and above all it is with multiple devices. Indeed, paired with an Android smartphone, iPhone, Mac, ... as soon as one of the devices emits a sound, it switches on the helmet. It's quite magical. Well sometimes it is necessary to "force" the connection but this is rare, especially during a call on a phone while listening to music from another device, I never missed a call. The connection is always made. Hence the title of my review: "Sauron's helmet" in reference to the ring of Sauron from Lord of the Rings and the fact that this headset brings together all my bluetooth devices! It's super nice. An additional plus point: it is one of the few headsets that my interlocutors during a call phone, tell me they hear me very well. And yet I've tried bluetooth headsets! So why remove a star? In relation to quality. Certainly there helmet is all very nice, but it certainly does not last. For example my first Quiet Comfort, bought in the US, broke the fifth use (headphone € 400 at the time) because of a too brittle plastic. But this time ... the worst is the predecessor of the keg I got there 2 years (maximum), and cousins ​​not end up breaking up with time. It's a shame that these helmets do not take the distance, because the sound is really good, this model is perfect for urban travel by its lightness, the use in communication is exceptional (according to my interlocutors) and pairing multiple devices enables a truly ultra comfortable use.</v>
      </c>
    </row>
    <row r="2585">
      <c r="A2585" s="1">
        <v>4.0</v>
      </c>
      <c r="B2585" s="1" t="s">
        <v>2568</v>
      </c>
      <c r="C2585" t="str">
        <f>IFERROR(__xludf.DUMMYFUNCTION("GOOGLETRANSLATE(B2585, ""fr"", ""en"")"),"Puma Good product, the photo matches the product! The seams are clean, the size and adapt as planned! Ideal for the beach or the pool!")</f>
        <v>Puma Good product, the photo matches the product! The seams are clean, the size and adapt as planned! Ideal for the beach or the pool!</v>
      </c>
    </row>
    <row r="2586">
      <c r="A2586" s="1">
        <v>5.0</v>
      </c>
      <c r="B2586" s="1" t="s">
        <v>2569</v>
      </c>
      <c r="C2586" t="str">
        <f>IFERROR(__xludf.DUMMYFUNCTION("GOOGLETRANSLATE(B2586, ""fr"", ""en"")"),"Rugged, beautiful, functional I use very often. This bag is very convenient. Are too large, are too small. She has an amazing look. The colors of autumn. She go with any kind of clothes. It is very convenient. Besides this brand completely the evidence.")</f>
        <v>Rugged, beautiful, functional I use very often. This bag is very convenient. Are too large, are too small. She has an amazing look. The colors of autumn. She go with any kind of clothes. It is very convenient. Besides this brand completely the evidence.</v>
      </c>
    </row>
    <row r="2587">
      <c r="A2587" s="1">
        <v>5.0</v>
      </c>
      <c r="B2587" s="1" t="s">
        <v>2570</v>
      </c>
      <c r="C2587" t="str">
        <f>IFERROR(__xludf.DUMMYFUNCTION("GOOGLETRANSLATE(B2587, ""fr"", ""en"")"),"Very good buy !! Awesome !!! Too good quality and beautiful! I just love it !! ❤️❤️❤️")</f>
        <v>Very good buy !! Awesome !!! Too good quality and beautiful! I just love it !! ❤️❤️❤️</v>
      </c>
    </row>
    <row r="2588">
      <c r="A2588" s="1">
        <v>5.0</v>
      </c>
      <c r="B2588" s="1" t="s">
        <v>2571</v>
      </c>
      <c r="C2588" t="str">
        <f>IFERROR(__xludf.DUMMYFUNCTION("GOOGLETRANSLATE(B2588, ""fr"", ""en"")"),"The best bottle warmer Top heater I use it by putting bottles of hot water and when I did I put the bottle half water half hot water bottle and c nikel The water is warm almost overnight Really very practical")</f>
        <v>The best bottle warmer Top heater I use it by putting bottles of hot water and when I did I put the bottle half water half hot water bottle and c nikel The water is warm almost overnight Really very practical</v>
      </c>
    </row>
    <row r="2589">
      <c r="A2589" s="1">
        <v>5.0</v>
      </c>
      <c r="B2589" s="1" t="s">
        <v>2572</v>
      </c>
      <c r="C2589" t="str">
        <f>IFERROR(__xludf.DUMMYFUNCTION("GOOGLETRANSLATE(B2589, ""fr"", ""en"")"),"Basketball The sneakers are comfortable and good quality! Good value for money ! I am very satisfied. 😊")</f>
        <v>Basketball The sneakers are comfortable and good quality! Good value for money ! I am very satisfied. 😊</v>
      </c>
    </row>
    <row r="2590">
      <c r="A2590" s="1">
        <v>5.0</v>
      </c>
      <c r="B2590" s="1" t="s">
        <v>2573</v>
      </c>
      <c r="C2590" t="str">
        <f>IFERROR(__xludf.DUMMYFUNCTION("GOOGLETRANSLATE(B2590, ""fr"", ""en"")"),"Good product Package Contents: - One bottle of 170 ml of product to clean your gold jewelry, platinum, diamonds, sapphires, rubies - a basket to put the jewelry in the product pool (included in the pot) - A small brush to clean jewelry simplicity with whi"&amp;"ch we appreciate jewelry cleaned, we put the jewelry in the basket, is stirred, allowed to act 2 minutes, rub with brush, rinse with warm water and towel with a soft cloth or a chamois, Material is pleasant to use because it feels good, the basket is big "&amp;"enough to clean several simultaneously jewelry. You should know that after opening the bottle, the product remains effective 12 months. The result is satisfactory, the shining jewels, you realize that they were ultimately very dirty when we see the state "&amp;"of the chamois with which the windshield, it is full of black streaks. Very good price / quality, easy to use, fun to use and effective so without hesitation, I recommend this product.")</f>
        <v>Good product Package Contents: - One bottle of 170 ml of product to clean your gold jewelry, platinum, diamonds, sapphires, rubies - a basket to put the jewelry in the product pool (included in the pot) - A small brush to clean jewelry simplicity with which we appreciate jewelry cleaned, we put the jewelry in the basket, is stirred, allowed to act 2 minutes, rub with brush, rinse with warm water and towel with a soft cloth or a chamois, Material is pleasant to use because it feels good, the basket is big enough to clean several simultaneously jewelry. You should know that after opening the bottle, the product remains effective 12 months. The result is satisfactory, the shining jewels, you realize that they were ultimately very dirty when we see the state of the chamois with which the windshield, it is full of black streaks. Very good price / quality, easy to use, fun to use and effective so without hesitation, I recommend this product.</v>
      </c>
    </row>
    <row r="2591">
      <c r="A2591" s="1">
        <v>5.0</v>
      </c>
      <c r="B2591" s="1" t="s">
        <v>224</v>
      </c>
      <c r="C2591" t="str">
        <f>IFERROR(__xludf.DUMMYFUNCTION("GOOGLETRANSLATE(B2591, ""fr"", ""en"")"),"perfect perfect")</f>
        <v>perfect perfect</v>
      </c>
    </row>
    <row r="2592">
      <c r="A2592" s="1">
        <v>5.0</v>
      </c>
      <c r="B2592" s="1" t="s">
        <v>2574</v>
      </c>
      <c r="C2592" t="str">
        <f>IFERROR(__xludf.DUMMYFUNCTION("GOOGLETRANSLATE(B2592, ""fr"", ""en"")"),"Elegant, beautiful hair Pretty Bracelet ordered to offer received in a beautiful setting. Elegance and finesse.")</f>
        <v>Elegant, beautiful hair Pretty Bracelet ordered to offer received in a beautiful setting. Elegance and finesse.</v>
      </c>
    </row>
    <row r="2593">
      <c r="A2593" s="1">
        <v>5.0</v>
      </c>
      <c r="B2593" s="1" t="s">
        <v>2575</v>
      </c>
      <c r="C2593" t="str">
        <f>IFERROR(__xludf.DUMMYFUNCTION("GOOGLETRANSLATE(B2593, ""fr"", ""en"")"),"perfect but a little punk but alls well laugh a little haircut before the after the placement of the microphone because otherwise appearance of hair on your film because too long hairs laugh Amazon c side is perfect, very serious people")</f>
        <v>perfect but a little punk but alls well laugh a little haircut before the after the placement of the microphone because otherwise appearance of hair on your film because too long hairs laugh Amazon c side is perfect, very serious people</v>
      </c>
    </row>
    <row r="2594">
      <c r="A2594" s="1">
        <v>5.0</v>
      </c>
      <c r="B2594" s="1" t="s">
        <v>2576</v>
      </c>
      <c r="C2594" t="str">
        <f>IFERROR(__xludf.DUMMYFUNCTION("GOOGLETRANSLATE(B2594, ""fr"", ""en"")"),"heavy watch and very beautiful otherwise perfect morning received quickly and very corect prices to offer it to my beautiful father he was very happy and c is a very beautiful climbs I recommend occurs without hesitation really nice shows can heavy if my "&amp;"too too pretty not disappointed")</f>
        <v>heavy watch and very beautiful otherwise perfect morning received quickly and very corect prices to offer it to my beautiful father he was very happy and c is a very beautiful climbs I recommend occurs without hesitation really nice shows can heavy if my too too pretty not disappointed</v>
      </c>
    </row>
    <row r="2595">
      <c r="A2595" s="1">
        <v>5.0</v>
      </c>
      <c r="B2595" s="1" t="s">
        <v>2577</v>
      </c>
      <c r="C2595" t="str">
        <f>IFERROR(__xludf.DUMMYFUNCTION("GOOGLETRANSLATE(B2595, ""fr"", ""en"")"),"Perfect Meets description")</f>
        <v>Perfect Meets description</v>
      </c>
    </row>
    <row r="2596">
      <c r="A2596" s="1">
        <v>5.0</v>
      </c>
      <c r="B2596" s="1" t="s">
        <v>2578</v>
      </c>
      <c r="C2596" t="str">
        <f>IFERROR(__xludf.DUMMYFUNCTION("GOOGLETRANSLATE(B2596, ""fr"", ""en"")"),"Very good and cheap I had a little doubt based on the price, but in reality this foil is very good.")</f>
        <v>Very good and cheap I had a little doubt based on the price, but in reality this foil is very good.</v>
      </c>
    </row>
    <row r="2597">
      <c r="A2597" s="1">
        <v>5.0</v>
      </c>
      <c r="B2597" s="1" t="s">
        <v>2579</v>
      </c>
      <c r="C2597" t="str">
        <f>IFERROR(__xludf.DUMMYFUNCTION("GOOGLETRANSLATE(B2597, ""fr"", ""en"")"),"Good buy Pleasantly surprised, the quality is good and the XL size selected following the advice of the seller for me (I am a 95D with 78 cm chest under the breasts). To sleep I would choose a larger size for comfort. Here I hope that this will serve to f"&amp;"uture clients!")</f>
        <v>Good buy Pleasantly surprised, the quality is good and the XL size selected following the advice of the seller for me (I am a 95D with 78 cm chest under the breasts). To sleep I would choose a larger size for comfort. Here I hope that this will serve to future clients!</v>
      </c>
    </row>
    <row r="2598">
      <c r="A2598" s="1">
        <v>5.0</v>
      </c>
      <c r="B2598" s="1" t="s">
        <v>2580</v>
      </c>
      <c r="C2598" t="str">
        <f>IFERROR(__xludf.DUMMYFUNCTION("GOOGLETRANSLATE(B2598, ""fr"", ""en"")"),"Excellent quality Good quality, good service")</f>
        <v>Excellent quality Good quality, good service</v>
      </c>
    </row>
    <row r="2599">
      <c r="A2599" s="1">
        <v>5.0</v>
      </c>
      <c r="B2599" s="1" t="s">
        <v>2581</v>
      </c>
      <c r="C2599" t="str">
        <f>IFERROR(__xludf.DUMMYFUNCTION("GOOGLETRANSLATE(B2599, ""fr"", ""en"")"),"Sound Quality &amp; amp; I had a comfort Audio Technica ATH-M50 before, and there is clearly a product of the same quality level, see a step up. The space is a problem, the helmet is really huge and I can not imagine myself with a walk. Bass hair too present "&amp;"for a monitoring headphones but this is broadly acceptable. Beware, though it is the most closed headphones Beyerdynamic DT range, it is actually a semi-closed headphones and insulation is too light for my taste. Comfort level, it takes a little hot but i"&amp;"t is clearly one of the most comfortable headphones I've tried.")</f>
        <v>Sound Quality &amp; amp; I had a comfort Audio Technica ATH-M50 before, and there is clearly a product of the same quality level, see a step up. The space is a problem, the helmet is really huge and I can not imagine myself with a walk. Bass hair too present for a monitoring headphones but this is broadly acceptable. Beware, though it is the most closed headphones Beyerdynamic DT range, it is actually a semi-closed headphones and insulation is too light for my taste. Comfort level, it takes a little hot but it is clearly one of the most comfortable headphones I've tried.</v>
      </c>
    </row>
    <row r="2600">
      <c r="A2600" s="1">
        <v>5.0</v>
      </c>
      <c r="B2600" s="1" t="s">
        <v>2582</v>
      </c>
      <c r="C2600" t="str">
        <f>IFERROR(__xludf.DUMMYFUNCTION("GOOGLETRANSLATE(B2600, ""fr"", ""en"")"),"❉ A nice necklace sparkly to wear in all circumstances ❉ This pendant necklace is my second order from B stain with whom I had enjoyed the fine jewelry and finishes. It has a totally different original form. The arches are embellished with shiny and it ha"&amp;"s a beautiful crystal central well entrenched, that does not move, and that gives it a nice finish to the eye. I did not hesitate a second to buy it because I find it very attractive, thin and graceful, may accompany any outfit whether casual or dressed. "&amp;"Its price is also very competitive with other brands. B-stain is more effort to deliver her jewelry in a black cardboard casket that allows the storage and proper course of the offer. The whole is protected by a plastic film (setting collar and inside). T"&amp;"his jewel in silver 925 is thin, graceful, well finished, the little string that accompanies it is elegant, I am very happy. Its price quite competitive lets have fun without breaking the bank or the offer simply through his good looks and nice packaging.")</f>
        <v>❉ A nice necklace sparkly to wear in all circumstances ❉ This pendant necklace is my second order from B stain with whom I had enjoyed the fine jewelry and finishes. It has a totally different original form. The arches are embellished with shiny and it has a beautiful crystal central well entrenched, that does not move, and that gives it a nice finish to the eye. I did not hesitate a second to buy it because I find it very attractive, thin and graceful, may accompany any outfit whether casual or dressed. Its price is also very competitive with other brands. B-stain is more effort to deliver her jewelry in a black cardboard casket that allows the storage and proper course of the offer. The whole is protected by a plastic film (setting collar and inside). This jewel in silver 925 is thin, graceful, well finished, the little string that accompanies it is elegant, I am very happy. Its price quite competitive lets have fun without breaking the bank or the offer simply through his good looks and nice packaging.</v>
      </c>
    </row>
    <row r="2601">
      <c r="A2601" s="1">
        <v>2.0</v>
      </c>
      <c r="B2601" s="1" t="s">
        <v>2583</v>
      </c>
      <c r="C2601" t="str">
        <f>IFERROR(__xludf.DUMMYFUNCTION("GOOGLETRANSLATE(B2601, ""fr"", ""en"")"),"Disappointed I had read rave reviews about this watch, so I ordered. I was really disappointed. Screen ""color"" of very poor quality and very small. Let me explain, do not think for images you might see on the pubs, the resolution is poor, brightness mor"&amp;"e than the limit and low contrast. Suunto would have remained on the monochrome, the quality would have been better. I do not see how with this weakness can be displayed 5 or 6 parameters and see clearly when one runs. Second crippling point for me: Suunt"&amp;"o Movescount. It is impossible from the web interface to plan precise and detailed output. We can only indicate the type of sport, the difficulty and length and that is all. It is only when the session is finished and uploaded to the app it is possible to"&amp;" go into detail! A detailed planning with split, rest time and sequence is not possible in advance. As it is not possible to create a complete program with all the details I mentioned above. Or create it on the watch, you can imagine the time required to "&amp;"output a bit complex. Finally, on the connected part is great to have the notifications of the phone but it does not stay on the screen if you do not play! It therefore disappear after a few moments and if we have missed ben too bad! Better not offer that"&amp;" kind of functionality! Well, apart from that, it's a nice discreet watch that offers many good GPS and a cardio quality a priori. As you can see, I have not had the opportunity to test these key features, I returned pronto.")</f>
        <v>Disappointed I had read rave reviews about this watch, so I ordered. I was really disappointed. Screen "color" of very poor quality and very small. Let me explain, do not think for images you might see on the pubs, the resolution is poor, brightness more than the limit and low contrast. Suunto would have remained on the monochrome, the quality would have been better. I do not see how with this weakness can be displayed 5 or 6 parameters and see clearly when one runs. Second crippling point for me: Suunto Movescount. It is impossible from the web interface to plan precise and detailed output. We can only indicate the type of sport, the difficulty and length and that is all. It is only when the session is finished and uploaded to the app it is possible to go into detail! A detailed planning with split, rest time and sequence is not possible in advance. As it is not possible to create a complete program with all the details I mentioned above. Or create it on the watch, you can imagine the time required to output a bit complex. Finally, on the connected part is great to have the notifications of the phone but it does not stay on the screen if you do not play! It therefore disappear after a few moments and if we have missed ben too bad! Better not offer that kind of functionality! Well, apart from that, it's a nice discreet watch that offers many good GPS and a cardio quality a priori. As you can see, I have not had the opportunity to test these key features, I returned pronto.</v>
      </c>
    </row>
    <row r="2602">
      <c r="A2602" s="1">
        <v>1.0</v>
      </c>
      <c r="B2602" s="1" t="s">
        <v>2584</v>
      </c>
      <c r="C2602" t="str">
        <f>IFERROR(__xludf.DUMMYFUNCTION("GOOGLETRANSLATE(B2602, ""fr"", ""en"")"),"Article too small, no return policy I ordered this polar, but size too small for the size M corresponding to European standards are not met, also plan 2 sizes 3 sizes see above. Crazy. So I asked a return for the fleece size bigger. NOT because they prefe"&amp;"r that you keep the same revendiez you, partly against, to do an order with them and you get a reduction of 15,30 or 40% if you insist on the return of the article. No refund even if fees are your responsibility. Not serious at all, abstain, or else be li"&amp;"ke shrimp and all is well.")</f>
        <v>Article too small, no return policy I ordered this polar, but size too small for the size M corresponding to European standards are not met, also plan 2 sizes 3 sizes see above. Crazy. So I asked a return for the fleece size bigger. NOT because they prefer that you keep the same revendiez you, partly against, to do an order with them and you get a reduction of 15,30 or 40% if you insist on the return of the article. No refund even if fees are your responsibility. Not serious at all, abstain, or else be like shrimp and all is well.</v>
      </c>
    </row>
    <row r="2603">
      <c r="A2603" s="1">
        <v>1.0</v>
      </c>
      <c r="B2603" s="1" t="s">
        <v>2585</v>
      </c>
      <c r="C2603" t="str">
        <f>IFERROR(__xludf.DUMMYFUNCTION("GOOGLETRANSLATE(B2603, ""fr"", ""en"")"),"There must be a problem with the battery Do not work")</f>
        <v>There must be a problem with the battery Do not work</v>
      </c>
    </row>
    <row r="2604">
      <c r="A2604" s="1">
        <v>3.0</v>
      </c>
      <c r="B2604" s="1" t="s">
        <v>2586</v>
      </c>
      <c r="C2604" t="str">
        <f>IFERROR(__xludf.DUMMYFUNCTION("GOOGLETRANSLATE(B2604, ""fr"", ""en"")"),"Perfect comfortable Very comfortable")</f>
        <v>Perfect comfortable Very comfortable</v>
      </c>
    </row>
    <row r="2605">
      <c r="A2605" s="1">
        <v>3.0</v>
      </c>
      <c r="B2605" s="1" t="s">
        <v>2587</v>
      </c>
      <c r="C2605" t="str">
        <f>IFERROR(__xludf.DUMMYFUNCTION("GOOGLETRANSLATE(B2605, ""fr"", ""en"")"),"Pretty dress a little big but with a tank top underneath the case is played")</f>
        <v>Pretty dress a little big but with a tank top underneath the case is played</v>
      </c>
    </row>
    <row r="2606">
      <c r="A2606" s="1">
        <v>4.0</v>
      </c>
      <c r="B2606" s="1" t="s">
        <v>2588</v>
      </c>
      <c r="C2606" t="str">
        <f>IFERROR(__xludf.DUMMYFUNCTION("GOOGLETRANSLATE(B2606, ""fr"", ""en"")"),"Product very sober puma simply")</f>
        <v>Product very sober puma simply</v>
      </c>
    </row>
    <row r="2607">
      <c r="A2607" s="1">
        <v>4.0</v>
      </c>
      <c r="B2607" s="1" t="s">
        <v>2589</v>
      </c>
      <c r="C2607" t="str">
        <f>IFERROR(__xludf.DUMMYFUNCTION("GOOGLETRANSLATE(B2607, ""fr"", ""en"")"),"Impeccable quality level size and quality")</f>
        <v>Impeccable quality level size and quality</v>
      </c>
    </row>
    <row r="2608">
      <c r="A2608" s="1">
        <v>4.0</v>
      </c>
      <c r="B2608" s="1" t="s">
        <v>2590</v>
      </c>
      <c r="C2608" t="str">
        <f>IFERROR(__xludf.DUMMYFUNCTION("GOOGLETRANSLATE(B2608, ""fr"", ""en"")"),"the pictures are beautiful! I think the pictures are very nice but I find not sharp enough to book the age indicated one learns not much .ca does not deserve the title of encyclopedia in my opinion")</f>
        <v>the pictures are beautiful! I think the pictures are very nice but I find not sharp enough to book the age indicated one learns not much .ca does not deserve the title of encyclopedia in my opinion</v>
      </c>
    </row>
    <row r="2609">
      <c r="A2609" s="1">
        <v>4.0</v>
      </c>
      <c r="B2609" s="1" t="s">
        <v>2591</v>
      </c>
      <c r="C2609" t="str">
        <f>IFERROR(__xludf.DUMMYFUNCTION("GOOGLETRANSLATE(B2609, ""fr"", ""en"")"),"Prevent the hand wash the first time .. Very confortable..par against the red should be wash only because it rubs off énormément..sa screw up my sweater 2 ....")</f>
        <v>Prevent the hand wash the first time .. Very confortable..par against the red should be wash only because it rubs off énormément..sa screw up my sweater 2 ....</v>
      </c>
    </row>
    <row r="2610">
      <c r="A2610" s="1">
        <v>5.0</v>
      </c>
      <c r="B2610" s="1" t="s">
        <v>2592</v>
      </c>
      <c r="C2610" t="str">
        <f>IFERROR(__xludf.DUMMYFUNCTION("GOOGLETRANSLATE(B2610, ""fr"", ""en"")"),"Adapter for speaker Bose Fast delivery. Complete adapter for Bose speaker. Well packed.")</f>
        <v>Adapter for speaker Bose Fast delivery. Complete adapter for Bose speaker. Well packed.</v>
      </c>
    </row>
    <row r="2611">
      <c r="A2611" s="1">
        <v>5.0</v>
      </c>
      <c r="B2611" s="1" t="s">
        <v>2593</v>
      </c>
      <c r="C2611" t="str">
        <f>IFERROR(__xludf.DUMMYFUNCTION("GOOGLETRANSLATE(B2611, ""fr"", ""en"")"),"Sophisticated, practical, long battery I was offered headphones unbranded son at Christmas past, but not like this because a wire connected the two earphones. The person who offered me the well thought offering me branded headphones, and I understand that"&amp;", but one year later, the battery and earphones HS does not hold a charge. Forced to listen to with the USB cable permanently connected, convenient wireless headphones. So I took the opportunity to buy sophisticated headsets and inspired all recent headph"&amp;"ones (like AirPods). I'm not disappointed at all. The small case for carrying the headset is compact and makes battery office. I did not need to reload the base one time since I earphones. The sound is good, but not exceptional. These are headphones and n"&amp;"ot a helmet to several hundred euros. More than enough for my use and to listen to my podcasts at night in bed or in transport. They are very discreet and tight fit. The base is magnetized, which allows to replace them headphones eyes closed (useful at ni"&amp;"ght). Only drawback, they emit light constantly, which is light certe, but still disturbing for the partner the night")</f>
        <v>Sophisticated, practical, long battery I was offered headphones unbranded son at Christmas past, but not like this because a wire connected the two earphones. The person who offered me the well thought offering me branded headphones, and I understand that, but one year later, the battery and earphones HS does not hold a charge. Forced to listen to with the USB cable permanently connected, convenient wireless headphones. So I took the opportunity to buy sophisticated headsets and inspired all recent headphones (like AirPods). I'm not disappointed at all. The small case for carrying the headset is compact and makes battery office. I did not need to reload the base one time since I earphones. The sound is good, but not exceptional. These are headphones and not a helmet to several hundred euros. More than enough for my use and to listen to my podcasts at night in bed or in transport. They are very discreet and tight fit. The base is magnetized, which allows to replace them headphones eyes closed (useful at night). Only drawback, they emit light constantly, which is light certe, but still disturbing for the partner the night</v>
      </c>
    </row>
    <row r="2612">
      <c r="A2612" s="1">
        <v>5.0</v>
      </c>
      <c r="B2612" s="1" t="s">
        <v>2594</v>
      </c>
      <c r="C2612" t="str">
        <f>IFERROR(__xludf.DUMMYFUNCTION("GOOGLETRANSLATE(B2612, ""fr"", ""en"")"),"Wonderful Wonderful, THANKS")</f>
        <v>Wonderful Wonderful, THANKS</v>
      </c>
    </row>
    <row r="2613">
      <c r="A2613" s="1">
        <v>5.0</v>
      </c>
      <c r="B2613" s="1" t="s">
        <v>2595</v>
      </c>
      <c r="C2613" t="str">
        <f>IFERROR(__xludf.DUMMYFUNCTION("GOOGLETRANSLATE(B2613, ""fr"", ""en"")"),"BEAU beautiful bracelet and fine for now, I wear it for three weeks")</f>
        <v>BEAU beautiful bracelet and fine for now, I wear it for three weeks</v>
      </c>
    </row>
    <row r="2614">
      <c r="A2614" s="1">
        <v>5.0</v>
      </c>
      <c r="B2614" s="1" t="s">
        <v>2596</v>
      </c>
      <c r="C2614" t="str">
        <f>IFERROR(__xludf.DUMMYFUNCTION("GOOGLETRANSLATE(B2614, ""fr"", ""en"")"),"Absolutely no complaints. I put on the 40 and contrary to what I read, the size absolutely corresponds to that announced, nor too tight nor too large. Very well padded and warm, I only have to wait what happens in time (I just receive them).")</f>
        <v>Absolutely no complaints. I put on the 40 and contrary to what I read, the size absolutely corresponds to that announced, nor too tight nor too large. Very well padded and warm, I only have to wait what happens in time (I just receive them).</v>
      </c>
    </row>
    <row r="2615">
      <c r="A2615" s="1">
        <v>5.0</v>
      </c>
      <c r="B2615" s="1" t="s">
        <v>2597</v>
      </c>
      <c r="C2615" t="str">
        <f>IFERROR(__xludf.DUMMYFUNCTION("GOOGLETRANSLATE(B2615, ""fr"", ""en"")"),"Value for the price, nothing to say, quality, lightweight finish. The size is good. In the summer it's very good")</f>
        <v>Value for the price, nothing to say, quality, lightweight finish. The size is good. In the summer it's very good</v>
      </c>
    </row>
    <row r="2616">
      <c r="A2616" s="1">
        <v>5.0</v>
      </c>
      <c r="B2616" s="1" t="s">
        <v>224</v>
      </c>
      <c r="C2616" t="str">
        <f>IFERROR(__xludf.DUMMYFUNCTION("GOOGLETRANSLATE(B2616, ""fr"", ""en"")"),"perfect perfect")</f>
        <v>perfect perfect</v>
      </c>
    </row>
    <row r="2617">
      <c r="A2617" s="1">
        <v>5.0</v>
      </c>
      <c r="B2617" s="1" t="s">
        <v>2598</v>
      </c>
      <c r="C2617" t="str">
        <f>IFERROR(__xludf.DUMMYFUNCTION("GOOGLETRANSLATE(B2617, ""fr"", ""en"")"),"Pretty cards English cards but conforms to the photo. Pretty colors. No complaints")</f>
        <v>Pretty cards English cards but conforms to the photo. Pretty colors. No complaints</v>
      </c>
    </row>
    <row r="2618">
      <c r="A2618" s="1">
        <v>5.0</v>
      </c>
      <c r="B2618" s="1" t="s">
        <v>2599</v>
      </c>
      <c r="C2618" t="str">
        <f>IFERROR(__xludf.DUMMYFUNCTION("GOOGLETRANSLATE(B2618, ""fr"", ""en"")"),"Späher bag This is a nice article well lined in leather perfect size top finish I recommend nothing more to say")</f>
        <v>Späher bag This is a nice article well lined in leather perfect size top finish I recommend nothing more to say</v>
      </c>
    </row>
    <row r="2619">
      <c r="A2619" s="1">
        <v>5.0</v>
      </c>
      <c r="B2619" s="1" t="s">
        <v>2600</v>
      </c>
      <c r="C2619" t="str">
        <f>IFERROR(__xludf.DUMMYFUNCTION("GOOGLETRANSLATE(B2619, ""fr"", ""en"")"),"must read !!! Super Awesome Book !!! Inspiring for all the little girls who want and need to believe in their dreams! This book tells the journey of 100 women with extraordinary destinies. To provide both girls and boys.")</f>
        <v>must read !!! Super Awesome Book !!! Inspiring for all the little girls who want and need to believe in their dreams! This book tells the journey of 100 women with extraordinary destinies. To provide both girls and boys.</v>
      </c>
    </row>
    <row r="2620">
      <c r="A2620" s="1">
        <v>5.0</v>
      </c>
      <c r="B2620" s="1" t="s">
        <v>2601</v>
      </c>
      <c r="C2620" t="str">
        <f>IFERROR(__xludf.DUMMYFUNCTION("GOOGLETRANSLATE(B2620, ""fr"", ""en"")"),"NECKLACE VERY WELL AND I AM PLEASED THANKS")</f>
        <v>NECKLACE VERY WELL AND I AM PLEASED THANKS</v>
      </c>
    </row>
    <row r="2621">
      <c r="A2621" s="1">
        <v>5.0</v>
      </c>
      <c r="B2621" s="1" t="s">
        <v>2602</v>
      </c>
      <c r="C2621" t="str">
        <f>IFERROR(__xludf.DUMMYFUNCTION("GOOGLETRANSLATE(B2621, ""fr"", ""en"")"),"Perfect Very cute for little twins !!! Convenient to use and good quality. The brand is really good ... After that is a bottle ...")</f>
        <v>Perfect Very cute for little twins !!! Convenient to use and good quality. The brand is really good ... After that is a bottle ...</v>
      </c>
    </row>
    <row r="2622">
      <c r="A2622" s="1">
        <v>5.0</v>
      </c>
      <c r="B2622" s="1" t="s">
        <v>2603</v>
      </c>
      <c r="C2622" t="str">
        <f>IFERROR(__xludf.DUMMYFUNCTION("GOOGLETRANSLATE(B2622, ""fr"", ""en"")"),"Comfortable Super nice, great size with the kinds of air bags walking is super comfortable")</f>
        <v>Comfortable Super nice, great size with the kinds of air bags walking is super comfortable</v>
      </c>
    </row>
    <row r="2623">
      <c r="A2623" s="1">
        <v>5.0</v>
      </c>
      <c r="B2623" s="1" t="s">
        <v>2604</v>
      </c>
      <c r="C2623" t="str">
        <f>IFERROR(__xludf.DUMMYFUNCTION("GOOGLETRANSLATE(B2623, ""fr"", ""en"")"),"design and performance from the wire that is too short forcing to have taken a close superb facilities. be little noisy and very fast. design and more. the price it justified by the quality of the product.")</f>
        <v>design and performance from the wire that is too short forcing to have taken a close superb facilities. be little noisy and very fast. design and more. the price it justified by the quality of the product.</v>
      </c>
    </row>
    <row r="2624">
      <c r="A2624" s="1">
        <v>5.0</v>
      </c>
      <c r="B2624" s="1" t="s">
        <v>2605</v>
      </c>
      <c r="C2624" t="str">
        <f>IFERROR(__xludf.DUMMYFUNCTION("GOOGLETRANSLATE(B2624, ""fr"", ""en"")"),"Perfect to top")</f>
        <v>Perfect to top</v>
      </c>
    </row>
    <row r="2625">
      <c r="A2625" s="1">
        <v>2.0</v>
      </c>
      <c r="B2625" s="1" t="s">
        <v>2606</v>
      </c>
      <c r="C2625" t="str">
        <f>IFERROR(__xludf.DUMMYFUNCTION("GOOGLETRANSLATE(B2625, ""fr"", ""en"")"),"not terrible pain at the plantar arch, and foot heated in this model ... pity they are beautiful to wear well 4h max")</f>
        <v>not terrible pain at the plantar arch, and foot heated in this model ... pity they are beautiful to wear well 4h max</v>
      </c>
    </row>
    <row r="2626">
      <c r="A2626" s="1">
        <v>1.0</v>
      </c>
      <c r="B2626" s="1" t="s">
        <v>2607</v>
      </c>
      <c r="C2626" t="str">
        <f>IFERROR(__xludf.DUMMYFUNCTION("GOOGLETRANSLATE(B2626, ""fr"", ""en"")"),"AMAZON .... Nine is not RECONDITIONE more I order from Amazon .... I end up with more articles refurbished .... Namely packaging and product OPEN .... obviously tested by ... of another user ... I find it misleading from AMAZON ..... I wish I could have t"&amp;"aken advantage of these listener .... but if I recommend with .... what am I still found myself :( very disappointed")</f>
        <v>AMAZON .... Nine is not RECONDITIONE more I order from Amazon .... I end up with more articles refurbished .... Namely packaging and product OPEN .... obviously tested by ... of another user ... I find it misleading from AMAZON ..... I wish I could have taken advantage of these listener .... but if I recommend with .... what am I still found myself :( very disappointed</v>
      </c>
    </row>
    <row r="2627">
      <c r="A2627" s="1">
        <v>1.0</v>
      </c>
      <c r="B2627" s="1" t="s">
        <v>2608</v>
      </c>
      <c r="C2627" t="str">
        <f>IFERROR(__xludf.DUMMYFUNCTION("GOOGLETRANSLATE(B2627, ""fr"", ""en"")"),"Not working Hello, one headset works It is not normal for a new product")</f>
        <v>Not working Hello, one headset works It is not normal for a new product</v>
      </c>
    </row>
    <row r="2628">
      <c r="A2628" s="1">
        <v>3.0</v>
      </c>
      <c r="B2628" s="1" t="s">
        <v>2609</v>
      </c>
      <c r="C2628" t="str">
        <f>IFERROR(__xludf.DUMMYFUNCTION("GOOGLETRANSLATE(B2628, ""fr"", ""en"")"),"Article Poor Article pretty but not good")</f>
        <v>Article Poor Article pretty but not good</v>
      </c>
    </row>
    <row r="2629">
      <c r="A2629" s="1">
        <v>3.0</v>
      </c>
      <c r="B2629" s="1" t="s">
        <v>2610</v>
      </c>
      <c r="C2629" t="str">
        <f>IFERROR(__xludf.DUMMYFUNCTION("GOOGLETRANSLATE(B2629, ""fr"", ""en"")"),"My opinion Good shoes, but heavy and especially do not forget the thick socks")</f>
        <v>My opinion Good shoes, but heavy and especially do not forget the thick socks</v>
      </c>
    </row>
    <row r="2630">
      <c r="A2630" s="1">
        <v>4.0</v>
      </c>
      <c r="B2630" s="1" t="s">
        <v>2611</v>
      </c>
      <c r="C2630" t="str">
        <f>IFERROR(__xludf.DUMMYFUNCTION("GOOGLETRANSLATE(B2630, ""fr"", ""en"")"),"Meets Beautiful tea quality. Instant heat with temperature control")</f>
        <v>Meets Beautiful tea quality. Instant heat with temperature control</v>
      </c>
    </row>
    <row r="2631">
      <c r="A2631" s="1">
        <v>4.0</v>
      </c>
      <c r="B2631" s="1" t="s">
        <v>2612</v>
      </c>
      <c r="C2631" t="str">
        <f>IFERROR(__xludf.DUMMYFUNCTION("GOOGLETRANSLATE(B2631, ""fr"", ""en"")"),"Although Ras")</f>
        <v>Although Ras</v>
      </c>
    </row>
    <row r="2632">
      <c r="A2632" s="1">
        <v>4.0</v>
      </c>
      <c r="B2632" s="1" t="s">
        <v>2613</v>
      </c>
      <c r="C2632" t="str">
        <f>IFERROR(__xludf.DUMMYFUNCTION("GOOGLETRANSLATE(B2632, ""fr"", ""en"")"),"Kettle Tbien nice, good value for money.")</f>
        <v>Kettle Tbien nice, good value for money.</v>
      </c>
    </row>
    <row r="2633">
      <c r="A2633" s="1">
        <v>4.0</v>
      </c>
      <c r="B2633" s="1" t="s">
        <v>2614</v>
      </c>
      <c r="C2633" t="str">
        <f>IFERROR(__xludf.DUMMYFUNCTION("GOOGLETRANSLATE(B2633, ""fr"", ""en"")"),"reliability humidification")</f>
        <v>reliability humidification</v>
      </c>
    </row>
    <row r="2634">
      <c r="A2634" s="1">
        <v>5.0</v>
      </c>
      <c r="B2634" s="1" t="s">
        <v>2615</v>
      </c>
      <c r="C2634" t="str">
        <f>IFERROR(__xludf.DUMMYFUNCTION("GOOGLETRANSLATE(B2634, ""fr"", ""en"")"),"nickel hiking boots Hiking shoes suitable for all terrain stairs")</f>
        <v>nickel hiking boots Hiking shoes suitable for all terrain stairs</v>
      </c>
    </row>
    <row r="2635">
      <c r="A2635" s="1">
        <v>5.0</v>
      </c>
      <c r="B2635" s="1" t="s">
        <v>2616</v>
      </c>
      <c r="C2635" t="str">
        <f>IFERROR(__xludf.DUMMYFUNCTION("GOOGLETRANSLATE(B2635, ""fr"", ""en"")"),"Superb successful !!!! The ones I like about the product is with John and blazer !! Classroom !!")</f>
        <v>Superb successful !!!! The ones I like about the product is with John and blazer !! Classroom !!</v>
      </c>
    </row>
    <row r="2636">
      <c r="A2636" s="1">
        <v>5.0</v>
      </c>
      <c r="B2636" s="1" t="s">
        <v>2617</v>
      </c>
      <c r="C2636" t="str">
        <f>IFERROR(__xludf.DUMMYFUNCTION("GOOGLETRANSLATE(B2636, ""fr"", ""en"")"),"the confidence birthday gift")</f>
        <v>the confidence birthday gift</v>
      </c>
    </row>
    <row r="2637">
      <c r="A2637" s="1">
        <v>5.0</v>
      </c>
      <c r="B2637" s="1" t="s">
        <v>2618</v>
      </c>
      <c r="C2637" t="str">
        <f>IFERROR(__xludf.DUMMYFUNCTION("GOOGLETRANSLATE(B2637, ""fr"", ""en"")"),"While a good acquisition in line with my expectations. This thermometer is accurate both inside and out. For the outside I advise putting the sheds water. Amazon delivery always on top.")</f>
        <v>While a good acquisition in line with my expectations. This thermometer is accurate both inside and out. For the outside I advise putting the sheds water. Amazon delivery always on top.</v>
      </c>
    </row>
    <row r="2638">
      <c r="A2638" s="1">
        <v>5.0</v>
      </c>
      <c r="B2638" s="1" t="s">
        <v>2619</v>
      </c>
      <c r="C2638" t="str">
        <f>IFERROR(__xludf.DUMMYFUNCTION("GOOGLETRANSLATE(B2638, ""fr"", ""en"")"),"Excelent !!! Delighted with this purchase, I wanted to version 4 for a fast connection with my Great TV, and quick to ""installation. Superb sound quality and the use of buttons on the earpiece of ease. I WILL THE COUNCIL EYES CLOSED !!!")</f>
        <v>Excelent !!! Delighted with this purchase, I wanted to version 4 for a fast connection with my Great TV, and quick to "installation. Superb sound quality and the use of buttons on the earpiece of ease. I WILL THE COUNCIL EYES CLOSED !!!</v>
      </c>
    </row>
    <row r="2639">
      <c r="A2639" s="1">
        <v>5.0</v>
      </c>
      <c r="B2639" s="1" t="s">
        <v>2620</v>
      </c>
      <c r="C2639" t="str">
        <f>IFERROR(__xludf.DUMMYFUNCTION("GOOGLETRANSLATE(B2639, ""fr"", ""en"")"),"it is very good! Fast delivery very good product and good size qualite.La ca keeps you warm. comfortable and soft.")</f>
        <v>it is very good! Fast delivery very good product and good size qualite.La ca keeps you warm. comfortable and soft.</v>
      </c>
    </row>
    <row r="2640">
      <c r="A2640" s="1">
        <v>5.0</v>
      </c>
      <c r="B2640" s="1" t="s">
        <v>2621</v>
      </c>
      <c r="C2640" t="str">
        <f>IFERROR(__xludf.DUMMYFUNCTION("GOOGLETRANSLATE(B2640, ""fr"", ""en"")"),"In the top! Perfect, simple and cute converse all! Just like all converse take a size smaller than your usual size")</f>
        <v>In the top! Perfect, simple and cute converse all! Just like all converse take a size smaller than your usual size</v>
      </c>
    </row>
    <row r="2641">
      <c r="A2641" s="1">
        <v>5.0</v>
      </c>
      <c r="B2641" s="1" t="s">
        <v>2622</v>
      </c>
      <c r="C2641" t="str">
        <f>IFERROR(__xludf.DUMMYFUNCTION("GOOGLETRANSLATE(B2641, ""fr"", ""en"")"),"Top Very nice as gift")</f>
        <v>Top Very nice as gift</v>
      </c>
    </row>
    <row r="2642">
      <c r="A2642" s="1">
        <v>5.0</v>
      </c>
      <c r="B2642" s="1" t="s">
        <v>2623</v>
      </c>
      <c r="C2642" t="str">
        <f>IFERROR(__xludf.DUMMYFUNCTION("GOOGLETRANSLATE(B2642, ""fr"", ""en"")"),"Great ! Beautiful boots I took a half size larger and it was perfect!")</f>
        <v>Great ! Beautiful boots I took a half size larger and it was perfect!</v>
      </c>
    </row>
    <row r="2643">
      <c r="A2643" s="1">
        <v>5.0</v>
      </c>
      <c r="B2643" s="1" t="s">
        <v>2624</v>
      </c>
      <c r="C2643" t="str">
        <f>IFERROR(__xludf.DUMMYFUNCTION("GOOGLETRANSLATE(B2643, ""fr"", ""en"")"),"Cheap for original fast shipping, cheap compared to shops, satisfied.")</f>
        <v>Cheap for original fast shipping, cheap compared to shops, satisfied.</v>
      </c>
    </row>
    <row r="2644">
      <c r="A2644" s="1">
        <v>5.0</v>
      </c>
      <c r="B2644" s="1" t="s">
        <v>2625</v>
      </c>
      <c r="C2644" t="str">
        <f>IFERROR(__xludf.DUMMYFUNCTION("GOOGLETRANSLATE(B2644, ""fr"", ""en"")"),"earrings are beautiful many thanks")</f>
        <v>earrings are beautiful many thanks</v>
      </c>
    </row>
    <row r="2645">
      <c r="A2645" s="1">
        <v>5.0</v>
      </c>
      <c r="B2645" s="1" t="s">
        <v>2626</v>
      </c>
      <c r="C2645" t="str">
        <f>IFERROR(__xludf.DUMMYFUNCTION("GOOGLETRANSLATE(B2645, ""fr"", ""en"")"),"Jacket I already bought this black jacket and I found it so good that I bought a red exactly the same in size as I had already put on another ad requires that we have a little more after I already knew because this kind of product sizes a bit small day if"&amp;" not for the price it is really great")</f>
        <v>Jacket I already bought this black jacket and I found it so good that I bought a red exactly the same in size as I had already put on another ad requires that we have a little more after I already knew because this kind of product sizes a bit small day if not for the price it is really great</v>
      </c>
    </row>
    <row r="2646">
      <c r="A2646" s="1">
        <v>5.0</v>
      </c>
      <c r="B2646" s="1" t="s">
        <v>2627</v>
      </c>
      <c r="C2646" t="str">
        <f>IFERROR(__xludf.DUMMYFUNCTION("GOOGLETRANSLATE(B2646, ""fr"", ""en"")"),"For the price they suit me This is the second time I buy these sneakers, they are comfortable with jeans and they are perfect I recommend")</f>
        <v>For the price they suit me This is the second time I buy these sneakers, they are comfortable with jeans and they are perfect I recommend</v>
      </c>
    </row>
    <row r="2647">
      <c r="A2647" s="1">
        <v>5.0</v>
      </c>
      <c r="B2647" s="1" t="s">
        <v>2628</v>
      </c>
      <c r="C2647" t="str">
        <f>IFERROR(__xludf.DUMMYFUNCTION("GOOGLETRANSLATE(B2647, ""fr"", ""en"")"),"Impeccable aesthetic and ergonomic product as a whole. Baby has no difficulty taking his bottle, very well adapted to the morphology of the hands of little ones. Six Bottles are sent to 3 different sizes each with a teat which allows baby to swallow a min"&amp;"imum air with his meal. A great product for young parents that I highly recommend.")</f>
        <v>Impeccable aesthetic and ergonomic product as a whole. Baby has no difficulty taking his bottle, very well adapted to the morphology of the hands of little ones. Six Bottles are sent to 3 different sizes each with a teat which allows baby to swallow a minimum air with his meal. A great product for young parents that I highly recommend.</v>
      </c>
    </row>
    <row r="2648">
      <c r="A2648" s="1">
        <v>5.0</v>
      </c>
      <c r="B2648" s="1" t="s">
        <v>2629</v>
      </c>
      <c r="C2648" t="str">
        <f>IFERROR(__xludf.DUMMYFUNCTION("GOOGLETRANSLATE(B2648, ""fr"", ""en"")"),"an incredible effect an incredible effect, the first minutes are a little uncomfortable, but it is imperative to persist because the suite is only happiness.")</f>
        <v>an incredible effect an incredible effect, the first minutes are a little uncomfortable, but it is imperative to persist because the suite is only happiness.</v>
      </c>
    </row>
    <row r="2649">
      <c r="A2649" s="1">
        <v>2.0</v>
      </c>
      <c r="B2649" s="1" t="s">
        <v>2630</v>
      </c>
      <c r="C2649" t="str">
        <f>IFERROR(__xludf.DUMMYFUNCTION("GOOGLETRANSLATE(B2649, ""fr"", ""en"")"),"Scotch that does not stick Bought for gift wrapping Christmas I was surprised to have to pick up several packages that opened very quickly after that. Thinking it was a problem of the first roll ... I changed all the same, it does not glue the plastic. He"&amp;" must stick the paper ""classic"" at least I hope so because this is not the case there is a tape that does not stick anything ...")</f>
        <v>Scotch that does not stick Bought for gift wrapping Christmas I was surprised to have to pick up several packages that opened very quickly after that. Thinking it was a problem of the first roll ... I changed all the same, it does not glue the plastic. He must stick the paper "classic" at least I hope so because this is not the case there is a tape that does not stick anything ...</v>
      </c>
    </row>
    <row r="2650">
      <c r="A2650" s="1">
        <v>1.0</v>
      </c>
      <c r="B2650" s="1" t="s">
        <v>2631</v>
      </c>
      <c r="C2650" t="str">
        <f>IFERROR(__xludf.DUMMYFUNCTION("GOOGLETRANSLATE(B2650, ""fr"", ""en"")"),"Very disappointed bracelet bracelets These are break after a week, no calving solid at all. I do not advise buying this product!")</f>
        <v>Very disappointed bracelet bracelets These are break after a week, no calving solid at all. I do not advise buying this product!</v>
      </c>
    </row>
    <row r="2651">
      <c r="A2651" s="1">
        <v>1.0</v>
      </c>
      <c r="B2651" s="1" t="s">
        <v>2632</v>
      </c>
      <c r="C2651" t="str">
        <f>IFERROR(__xludf.DUMMYFUNCTION("GOOGLETRANSLATE(B2651, ""fr"", ""en"")"),"Delivered without headphones Earphones absent of the box!")</f>
        <v>Delivered without headphones Earphones absent of the box!</v>
      </c>
    </row>
    <row r="2652">
      <c r="A2652" s="1">
        <v>3.0</v>
      </c>
      <c r="B2652" s="1" t="s">
        <v>2633</v>
      </c>
      <c r="C2652" t="str">
        <f>IFERROR(__xludf.DUMMYFUNCTION("GOOGLETRANSLATE(B2652, ""fr"", ""en"")"),"Just at the height If the plastic seems good quality gray card it comes into force. If in addition it has a few years, which would justify such a purchase, you have a risk of damage when you return indoors or when you go out for the technical control for "&amp;"example.")</f>
        <v>Just at the height If the plastic seems good quality gray card it comes into force. If in addition it has a few years, which would justify such a purchase, you have a risk of damage when you return indoors or when you go out for the technical control for example.</v>
      </c>
    </row>
    <row r="2653">
      <c r="A2653" s="1">
        <v>4.0</v>
      </c>
      <c r="B2653" s="1" t="s">
        <v>2634</v>
      </c>
      <c r="C2653" t="str">
        <f>IFERROR(__xludf.DUMMYFUNCTION("GOOGLETRANSLATE(B2653, ""fr"", ""en"")"),"Surprised small size of the pleasant texture for xl too just 1.87 m 100 Kilos, in arms over my son just fine too.")</f>
        <v>Surprised small size of the pleasant texture for xl too just 1.87 m 100 Kilos, in arms over my son just fine too.</v>
      </c>
    </row>
    <row r="2654">
      <c r="A2654" s="1">
        <v>4.0</v>
      </c>
      <c r="B2654" s="1" t="s">
        <v>2635</v>
      </c>
      <c r="C2654" t="str">
        <f>IFERROR(__xludf.DUMMYFUNCTION("GOOGLETRANSLATE(B2654, ""fr"", ""en"")"),"Product according article according to the picture. The size is consistent with the requested size, color is also consistent. No complaints")</f>
        <v>Product according article according to the picture. The size is consistent with the requested size, color is also consistent. No complaints</v>
      </c>
    </row>
    <row r="2655">
      <c r="A2655" s="1">
        <v>4.0</v>
      </c>
      <c r="B2655" s="1" t="s">
        <v>2636</v>
      </c>
      <c r="C2655" t="str">
        <f>IFERROR(__xludf.DUMMYFUNCTION("GOOGLETRANSLATE(B2655, ""fr"", ""en"")"),"Although Bon lot. Practice with the box for storage. A small brush for cleaning would not have been too much.")</f>
        <v>Although Bon lot. Practice with the box for storage. A small brush for cleaning would not have been too much.</v>
      </c>
    </row>
    <row r="2656">
      <c r="A2656" s="1">
        <v>4.0</v>
      </c>
      <c r="B2656" s="1" t="s">
        <v>2637</v>
      </c>
      <c r="C2656" t="str">
        <f>IFERROR(__xludf.DUMMYFUNCTION("GOOGLETRANSLATE(B2656, ""fr"", ""en"")"),"satisfied satisfied")</f>
        <v>satisfied satisfied</v>
      </c>
    </row>
    <row r="2657">
      <c r="A2657" s="1">
        <v>5.0</v>
      </c>
      <c r="B2657" s="1" t="s">
        <v>2638</v>
      </c>
      <c r="C2657" t="str">
        <f>IFERROR(__xludf.DUMMYFUNCTION("GOOGLETRANSLATE(B2657, ""fr"", ""en"")"),"Excellent kettle that does not burn the fingers quality product, the reinforcement rubber over the entire height adds security: it does not burn in error trailing his fingers or his hand near the kettle placed on a table. I recommend.")</f>
        <v>Excellent kettle that does not burn the fingers quality product, the reinforcement rubber over the entire height adds security: it does not burn in error trailing his fingers or his hand near the kettle placed on a table. I recommend.</v>
      </c>
    </row>
    <row r="2658">
      <c r="A2658" s="1">
        <v>5.0</v>
      </c>
      <c r="B2658" s="1" t="s">
        <v>2639</v>
      </c>
      <c r="C2658" t="str">
        <f>IFERROR(__xludf.DUMMYFUNCTION("GOOGLETRANSLATE(B2658, ""fr"", ""en"")"),"consistent good value")</f>
        <v>consistent good value</v>
      </c>
    </row>
    <row r="2659">
      <c r="A2659" s="1">
        <v>5.0</v>
      </c>
      <c r="B2659" s="1" t="s">
        <v>2640</v>
      </c>
      <c r="C2659" t="str">
        <f>IFERROR(__xludf.DUMMYFUNCTION("GOOGLETRANSLATE(B2659, ""fr"", ""en"")"),"Very good color pencils I bought these pencils have a wide range of color and I was not disappointed. The mine is oily enough and does not break easily so it is perfect for coloring. The box contains three floors of colored pencils that can be raised than"&amp;"ks to elastic sides and pencils are numbered. It's very useful.")</f>
        <v>Very good color pencils I bought these pencils have a wide range of color and I was not disappointed. The mine is oily enough and does not break easily so it is perfect for coloring. The box contains three floors of colored pencils that can be raised thanks to elastic sides and pencils are numbered. It's very useful.</v>
      </c>
    </row>
    <row r="2660">
      <c r="A2660" s="1">
        <v>5.0</v>
      </c>
      <c r="B2660" s="1" t="s">
        <v>2641</v>
      </c>
      <c r="C2660" t="str">
        <f>IFERROR(__xludf.DUMMYFUNCTION("GOOGLETRANSLATE(B2660, ""fr"", ""en"")"),"Converse all star Bjr and thank you very happy with my command c is exactly what I wanted magnfiques C is perfect to cheer soon")</f>
        <v>Converse all star Bjr and thank you very happy with my command c is exactly what I wanted magnfiques C is perfect to cheer soon</v>
      </c>
    </row>
    <row r="2661">
      <c r="A2661" s="1">
        <v>5.0</v>
      </c>
      <c r="B2661" s="1" t="s">
        <v>2642</v>
      </c>
      <c r="C2661" t="str">
        <f>IFERROR(__xludf.DUMMYFUNCTION("GOOGLETRANSLATE(B2661, ""fr"", ""en"")"),"Very good very good. Product")</f>
        <v>Very good very good. Product</v>
      </c>
    </row>
    <row r="2662">
      <c r="A2662" s="1">
        <v>5.0</v>
      </c>
      <c r="B2662" s="1" t="s">
        <v>2643</v>
      </c>
      <c r="C2662" t="str">
        <f>IFERROR(__xludf.DUMMYFUNCTION("GOOGLETRANSLATE(B2662, ""fr"", ""en"")"),"Perfect Quality / price: excellent! Very nice watch and despite the price does not charm")</f>
        <v>Perfect Quality / price: excellent! Very nice watch and despite the price does not charm</v>
      </c>
    </row>
    <row r="2663">
      <c r="A2663" s="1">
        <v>5.0</v>
      </c>
      <c r="B2663" s="1" t="s">
        <v>2644</v>
      </c>
      <c r="C2663" t="str">
        <f>IFERROR(__xludf.DUMMYFUNCTION("GOOGLETRANSLATE(B2663, ""fr"", ""en"")"),"Softness When one puts this sweater dress, we most want to get out so she is comfortable, soft and warm well with its interior while fleece! It rather large size, oversize model. I recommend for the coming winter.")</f>
        <v>Softness When one puts this sweater dress, we most want to get out so she is comfortable, soft and warm well with its interior while fleece! It rather large size, oversize model. I recommend for the coming winter.</v>
      </c>
    </row>
    <row r="2664">
      <c r="A2664" s="1">
        <v>5.0</v>
      </c>
      <c r="B2664" s="1" t="s">
        <v>2645</v>
      </c>
      <c r="C2664" t="str">
        <f>IFERROR(__xludf.DUMMYFUNCTION("GOOGLETRANSLATE(B2664, ""fr"", ""en"")"),"A super size leggings that although I struggled a bit with leggings before me who were all either too broad at the waist or too tight at the hips. He's dressed perfectly. Very nice color, soft, fine and extensible. I quickly ordered a second!")</f>
        <v>A super size leggings that although I struggled a bit with leggings before me who were all either too broad at the waist or too tight at the hips. He's dressed perfectly. Very nice color, soft, fine and extensible. I quickly ordered a second!</v>
      </c>
    </row>
    <row r="2665">
      <c r="A2665" s="1">
        <v>5.0</v>
      </c>
      <c r="B2665" s="1" t="s">
        <v>2646</v>
      </c>
      <c r="C2665" t="str">
        <f>IFERROR(__xludf.DUMMYFUNCTION("GOOGLETRANSLATE(B2665, ""fr"", ""en"")"),"Headset / Bluetooth headset with Bluetooth headset charging station with a portable charging station. I really like this helmet. Just load the black base, which can also be used to store your headphones, so you can carry them with you. The Bluetooth conne"&amp;"ction to a headset is simple and fast. The quality of listening, sound quality is very good, I am very satisfied. I fear that headphones fall during exercise, but eventually fall and are well adjusted to the ears. I am very pleased with this purchase! ! !")</f>
        <v>Headset / Bluetooth headset with Bluetooth headset charging station with a portable charging station. I really like this helmet. Just load the black base, which can also be used to store your headphones, so you can carry them with you. The Bluetooth connection to a headset is simple and fast. The quality of listening, sound quality is very good, I am very satisfied. I fear that headphones fall during exercise, but eventually fall and are well adjusted to the ears. I am very pleased with this purchase! ! !</v>
      </c>
    </row>
    <row r="2666">
      <c r="A2666" s="1">
        <v>5.0</v>
      </c>
      <c r="B2666" s="1" t="s">
        <v>2647</v>
      </c>
      <c r="C2666" t="str">
        <f>IFERROR(__xludf.DUMMYFUNCTION("GOOGLETRANSLATE(B2666, ""fr"", ""en"")"),"Finally some good Super Glue")</f>
        <v>Finally some good Super Glue</v>
      </c>
    </row>
    <row r="2667">
      <c r="A2667" s="1">
        <v>5.0</v>
      </c>
      <c r="B2667" s="1" t="s">
        <v>2648</v>
      </c>
      <c r="C2667" t="str">
        <f>IFERROR(__xludf.DUMMYFUNCTION("GOOGLETRANSLATE(B2667, ""fr"", ""en"")"),"Already won! Very nice bottle, solid and comfortable grip! Received on time!")</f>
        <v>Already won! Very nice bottle, solid and comfortable grip! Received on time!</v>
      </c>
    </row>
    <row r="2668">
      <c r="A2668" s="1">
        <v>5.0</v>
      </c>
      <c r="B2668" s="1" t="s">
        <v>2649</v>
      </c>
      <c r="C2668" t="str">
        <f>IFERROR(__xludf.DUMMYFUNCTION("GOOGLETRANSLATE(B2668, ""fr"", ""en"")"),"PERFECT long time I was looking for good support sports bra for my large chest and I heard a lot about Anita brand. So I wanted to try and I am not disappointed! This template (momentum) is perfect. I ordered my usual size and it's going very well. The br"&amp;"a is made: within the caps is very soft; elastic straps and back do not scratch and do not harm the skin; the elastic under the breast does not roll; it absorbs sweat well (sorry for this detail but it matters because we do sport!). As to maintain it's ju"&amp;"st great. I really recommend it!")</f>
        <v>PERFECT long time I was looking for good support sports bra for my large chest and I heard a lot about Anita brand. So I wanted to try and I am not disappointed! This template (momentum) is perfect. I ordered my usual size and it's going very well. The bra is made: within the caps is very soft; elastic straps and back do not scratch and do not harm the skin; the elastic under the breast does not roll; it absorbs sweat well (sorry for this detail but it matters because we do sport!). As to maintain it's just great. I really recommend it!</v>
      </c>
    </row>
    <row r="2669">
      <c r="A2669" s="1">
        <v>5.0</v>
      </c>
      <c r="B2669" s="1" t="s">
        <v>2650</v>
      </c>
      <c r="C2669" t="str">
        <f>IFERROR(__xludf.DUMMYFUNCTION("GOOGLETRANSLATE(B2669, ""fr"", ""en"")"),"Perfect Very good XLR. Used to connect an audio processor has a professional amplifier, the sound is nickel. No breath and looks solid. Happy with my purchase")</f>
        <v>Perfect Very good XLR. Used to connect an audio processor has a professional amplifier, the sound is nickel. No breath and looks solid. Happy with my purchase</v>
      </c>
    </row>
    <row r="2670">
      <c r="A2670" s="1">
        <v>5.0</v>
      </c>
      <c r="B2670" s="1" t="s">
        <v>2651</v>
      </c>
      <c r="C2670" t="str">
        <f>IFERROR(__xludf.DUMMYFUNCTION("GOOGLETRANSLATE(B2670, ""fr"", ""en"")"),"Top Very practical and easy to clean.")</f>
        <v>Top Very practical and easy to clean.</v>
      </c>
    </row>
    <row r="2671">
      <c r="A2671" s="1">
        <v>5.0</v>
      </c>
      <c r="B2671" s="1" t="s">
        <v>2652</v>
      </c>
      <c r="C2671" t="str">
        <f>IFERROR(__xludf.DUMMYFUNCTION("GOOGLETRANSLATE(B2671, ""fr"", ""en"")"),"R.A.S. Done the job on a Samson Meteor Mic anything more to say on a windshield. She did not tear during installation and foam appears ""generous"" I am satisfied")</f>
        <v>R.A.S. Done the job on a Samson Meteor Mic anything more to say on a windshield. She did not tear during installation and foam appears "generous" I am satisfied</v>
      </c>
    </row>
    <row r="2672">
      <c r="A2672" s="1">
        <v>2.0</v>
      </c>
      <c r="B2672" s="1" t="s">
        <v>2653</v>
      </c>
      <c r="C2672" t="str">
        <f>IFERROR(__xludf.DUMMYFUNCTION("GOOGLETRANSLATE(B2672, ""fr"", ""en"")"),"Device noisily This kettle emits a very loud noise, extensively cover the sound of the radio or television. We really feel that it will take off without knowing the cause! ... It's incomprehensible ... Although it heats well and fast, I decided to go back"&amp;" to my old kettle! ...")</f>
        <v>Device noisily This kettle emits a very loud noise, extensively cover the sound of the radio or television. We really feel that it will take off without knowing the cause! ... It's incomprehensible ... Although it heats well and fast, I decided to go back to my old kettle! ...</v>
      </c>
    </row>
    <row r="2673">
      <c r="A2673" s="1">
        <v>1.0</v>
      </c>
      <c r="B2673" s="1" t="s">
        <v>2654</v>
      </c>
      <c r="C2673" t="str">
        <f>IFERROR(__xludf.DUMMYFUNCTION("GOOGLETRANSLATE(B2673, ""fr"", ""en"")"),"Extremely Disappointed extremely disappointed with these Tongs, the clip right just let me go. In reading the comments it seems that this is a manufacturing defect or a fault caché.Mes Sandals Timberland had held Five Years.")</f>
        <v>Extremely Disappointed extremely disappointed with these Tongs, the clip right just let me go. In reading the comments it seems that this is a manufacturing defect or a fault caché.Mes Sandals Timberland had held Five Years.</v>
      </c>
    </row>
    <row r="2674">
      <c r="A2674" s="1">
        <v>3.0</v>
      </c>
      <c r="B2674" s="1" t="s">
        <v>2655</v>
      </c>
      <c r="C2674" t="str">
        <f>IFERROR(__xludf.DUMMYFUNCTION("GOOGLETRANSLATE(B2674, ""fr"", ""en"")"),"Okay Good pair of headphones, is slow to arrive as tt products from Asia, and for the time (2 months of use) nothing to report any works like the original earphones UPDATE 15/02/2017: the headphones do not work anymore, suddenly they have held 4 months fo"&amp;"r the price they have been helpful but I would not recommend this more.")</f>
        <v>Okay Good pair of headphones, is slow to arrive as tt products from Asia, and for the time (2 months of use) nothing to report any works like the original earphones UPDATE 15/02/2017: the headphones do not work anymore, suddenly they have held 4 months for the price they have been helpful but I would not recommend this more.</v>
      </c>
    </row>
    <row r="2675">
      <c r="A2675" s="1">
        <v>3.0</v>
      </c>
      <c r="B2675" s="1" t="s">
        <v>2656</v>
      </c>
      <c r="C2675" t="str">
        <f>IFERROR(__xludf.DUMMYFUNCTION("GOOGLETRANSLATE(B2675, ""fr"", ""en"")"),"PAT SIZE 89 SIZE OVER THE EQUAL XL")</f>
        <v>PAT SIZE 89 SIZE OVER THE EQUAL XL</v>
      </c>
    </row>
    <row r="2676">
      <c r="A2676" s="1">
        <v>4.0</v>
      </c>
      <c r="B2676" s="1" t="s">
        <v>2657</v>
      </c>
      <c r="C2676" t="str">
        <f>IFERROR(__xludf.DUMMYFUNCTION("GOOGLETRANSLATE(B2676, ""fr"", ""en"")"),"Corresponds I made a size 39 so I took the 39/42 size socks are a bit large")</f>
        <v>Corresponds I made a size 39 so I took the 39/42 size socks are a bit large</v>
      </c>
    </row>
    <row r="2677">
      <c r="A2677" s="1">
        <v>4.0</v>
      </c>
      <c r="B2677" s="1" t="s">
        <v>2658</v>
      </c>
      <c r="C2677" t="str">
        <f>IFERROR(__xludf.DUMMYFUNCTION("GOOGLETRANSLATE(B2677, ""fr"", ""en"")"),"Super good product headset with good sound practical and lightweight nothing to say 👍 value for money and very good quality")</f>
        <v>Super good product headset with good sound practical and lightweight nothing to say 👍 value for money and very good quality</v>
      </c>
    </row>
    <row r="2678">
      <c r="A2678" s="1">
        <v>4.0</v>
      </c>
      <c r="B2678" s="1" t="s">
        <v>2659</v>
      </c>
      <c r="C2678" t="str">
        <f>IFERROR(__xludf.DUMMYFUNCTION("GOOGLETRANSLATE(B2678, ""fr"", ""en"")"),"Great product with few flaws to easily print your photos, it is perfect, however, some negatives exist: - printing from a computer can cause problems, particularly since the MacOS or the print size is not well catered for - the pictures with deep blacks w"&amp;"ill not be printed with sufficient contrast, it is the process of sublimation which it seems to me, does not give enough contrast because of its colorization in RGB mode. A black support would undoubtedly welcome. - the supply is ultimately rather cheap, "&amp;"but a shame it is not ecological .. after use, there are no planned recycling program, and the cassettes are all plastic ...")</f>
        <v>Great product with few flaws to easily print your photos, it is perfect, however, some negatives exist: - printing from a computer can cause problems, particularly since the MacOS or the print size is not well catered for - the pictures with deep blacks will not be printed with sufficient contrast, it is the process of sublimation which it seems to me, does not give enough contrast because of its colorization in RGB mode. A black support would undoubtedly welcome. - the supply is ultimately rather cheap, but a shame it is not ecological .. after use, there are no planned recycling program, and the cassettes are all plastic ...</v>
      </c>
    </row>
    <row r="2679">
      <c r="A2679" s="1">
        <v>4.0</v>
      </c>
      <c r="B2679" s="1" t="s">
        <v>2660</v>
      </c>
      <c r="C2679" t="str">
        <f>IFERROR(__xludf.DUMMYFUNCTION("GOOGLETRANSLATE(B2679, ""fr"", ""en"")"),"Light Larger than I thought but nice and light.")</f>
        <v>Light Larger than I thought but nice and light.</v>
      </c>
    </row>
    <row r="2680">
      <c r="A2680" s="1">
        <v>5.0</v>
      </c>
      <c r="B2680" s="1" t="s">
        <v>2661</v>
      </c>
      <c r="C2680" t="str">
        <f>IFERROR(__xludf.DUMMYFUNCTION("GOOGLETRANSLATE(B2680, ""fr"", ""en"")"),"Perfect Very convenient")</f>
        <v>Perfect Very convenient</v>
      </c>
    </row>
    <row r="2681">
      <c r="A2681" s="1">
        <v>5.0</v>
      </c>
      <c r="B2681" s="1" t="s">
        <v>2662</v>
      </c>
      <c r="C2681" t="str">
        <f>IFERROR(__xludf.DUMMYFUNCTION("GOOGLETRANSLATE(B2681, ""fr"", ""en"")"),"Very well presented in a beautiful box to offer")</f>
        <v>Very well presented in a beautiful box to offer</v>
      </c>
    </row>
    <row r="2682">
      <c r="A2682" s="1">
        <v>5.0</v>
      </c>
      <c r="B2682" s="1" t="s">
        <v>2663</v>
      </c>
      <c r="C2682" t="str">
        <f>IFERROR(__xludf.DUMMYFUNCTION("GOOGLETRANSLATE(B2682, ""fr"", ""en"")"),"Very comfortable Taillant of 46, I took the 46-48 level and it is perfect size. They are very comfortable to wear, not too thick, so suitable for summer or mid season. Back on the ankle just what it takes. Brief for 2nd / pair (on the set of 6), I can onl"&amp;"y recommend!")</f>
        <v>Very comfortable Taillant of 46, I took the 46-48 level and it is perfect size. They are very comfortable to wear, not too thick, so suitable for summer or mid season. Back on the ankle just what it takes. Brief for 2nd / pair (on the set of 6), I can only recommend!</v>
      </c>
    </row>
    <row r="2683">
      <c r="A2683" s="1">
        <v>5.0</v>
      </c>
      <c r="B2683" s="1" t="s">
        <v>2664</v>
      </c>
      <c r="C2683" t="str">
        <f>IFERROR(__xludf.DUMMYFUNCTION("GOOGLETRANSLATE(B2683, ""fr"", ""en"")"),"Genial Micro on top super fast connection product which I highly recommend")</f>
        <v>Genial Micro on top super fast connection product which I highly recommend</v>
      </c>
    </row>
    <row r="2684">
      <c r="A2684" s="1">
        <v>5.0</v>
      </c>
      <c r="B2684" s="1" t="s">
        <v>2665</v>
      </c>
      <c r="C2684" t="str">
        <f>IFERROR(__xludf.DUMMYFUNCTION("GOOGLETRANSLATE(B2684, ""fr"", ""en"")"),"Very nice pendant Bought for a gift. Elegant and end. I recommend!")</f>
        <v>Very nice pendant Bought for a gift. Elegant and end. I recommend!</v>
      </c>
    </row>
    <row r="2685">
      <c r="A2685" s="1">
        <v>5.0</v>
      </c>
      <c r="B2685" s="1" t="s">
        <v>2666</v>
      </c>
      <c r="C2685" t="str">
        <f>IFERROR(__xludf.DUMMYFUNCTION("GOOGLETRANSLATE(B2685, ""fr"", ""en"")"),"Very satisfied Disassembly and cleaning easier.")</f>
        <v>Very satisfied Disassembly and cleaning easier.</v>
      </c>
    </row>
    <row r="2686">
      <c r="A2686" s="1">
        <v>5.0</v>
      </c>
      <c r="B2686" s="1" t="s">
        <v>2667</v>
      </c>
      <c r="C2686" t="str">
        <f>IFERROR(__xludf.DUMMYFUNCTION("GOOGLETRANSLATE(B2686, ""fr"", ""en"")"),"GOOD Good material. Essential for powering condenser microphones. The result is very good at sound reproduction perspective.")</f>
        <v>GOOD Good material. Essential for powering condenser microphones. The result is very good at sound reproduction perspective.</v>
      </c>
    </row>
    <row r="2687">
      <c r="A2687" s="1">
        <v>5.0</v>
      </c>
      <c r="B2687" s="1" t="s">
        <v>2668</v>
      </c>
      <c r="C2687" t="str">
        <f>IFERROR(__xludf.DUMMYFUNCTION("GOOGLETRANSLATE(B2687, ""fr"", ""en"")"),"Best The bag comes in a plastic bag without embellishment or tissue paper. The quality of fabric, velcro, zippers is undeniable. Its design is very good. There are many pockets of sufficient size that can store many accessories in a fairly small space. I "&amp;"ranks a 12.6 inch tablet mouse, cables, AC power, an A4 notebook and there is still room. I recommend this article.")</f>
        <v>Best The bag comes in a plastic bag without embellishment or tissue paper. The quality of fabric, velcro, zippers is undeniable. Its design is very good. There are many pockets of sufficient size that can store many accessories in a fairly small space. I ranks a 12.6 inch tablet mouse, cables, AC power, an A4 notebook and there is still room. I recommend this article.</v>
      </c>
    </row>
    <row r="2688">
      <c r="A2688" s="1">
        <v>5.0</v>
      </c>
      <c r="B2688" s="1" t="s">
        <v>2669</v>
      </c>
      <c r="C2688" t="str">
        <f>IFERROR(__xludf.DUMMYFUNCTION("GOOGLETRANSLATE(B2688, ""fr"", ""en"")"),"look classy !!! Shows very swanky ... you can wear whatever dress, sport or classic. The materials used for both the dial, which for the bracelet, are quality and finish is top ... Good quality / price ratio. so OK")</f>
        <v>look classy !!! Shows very swanky ... you can wear whatever dress, sport or classic. The materials used for both the dial, which for the bracelet, are quality and finish is top ... Good quality / price ratio. so OK</v>
      </c>
    </row>
    <row r="2689">
      <c r="A2689" s="1">
        <v>5.0</v>
      </c>
      <c r="B2689" s="1" t="s">
        <v>2670</v>
      </c>
      <c r="C2689" t="str">
        <f>IFERROR(__xludf.DUMMYFUNCTION("GOOGLETRANSLATE(B2689, ""fr"", ""en"")"),"Perfect! The Advent brand remains our leading brand for baby bottles. In these bottles, Advent has amended the form of the nipple, which is more like the shape of the breast of the mother. The feeding is done well, and baby does not swallow too much air. "&amp;"It is very good. The only thing that would make the perfect bottle for us is that they are glass, although now all bottles are free of toxic materials. Teats in rab, pacifier and brush are more in a birth kit.")</f>
        <v>Perfect! The Advent brand remains our leading brand for baby bottles. In these bottles, Advent has amended the form of the nipple, which is more like the shape of the breast of the mother. The feeding is done well, and baby does not swallow too much air. It is very good. The only thing that would make the perfect bottle for us is that they are glass, although now all bottles are free of toxic materials. Teats in rab, pacifier and brush are more in a birth kit.</v>
      </c>
    </row>
    <row r="2690">
      <c r="A2690" s="1">
        <v>5.0</v>
      </c>
      <c r="B2690" s="1" t="s">
        <v>2671</v>
      </c>
      <c r="C2690" t="str">
        <f>IFERROR(__xludf.DUMMYFUNCTION("GOOGLETRANSLATE(B2690, ""fr"", ""en"")"),"Good buy I am very satisfied with my purchase. The article is very good, the finishes are recommended soignées.je this article.")</f>
        <v>Good buy I am very satisfied with my purchase. The article is very good, the finishes are recommended soignées.je this article.</v>
      </c>
    </row>
    <row r="2691">
      <c r="A2691" s="1">
        <v>5.0</v>
      </c>
      <c r="B2691" s="1" t="s">
        <v>2672</v>
      </c>
      <c r="C2691" t="str">
        <f>IFERROR(__xludf.DUMMYFUNCTION("GOOGLETRANSLATE(B2691, ""fr"", ""en"")"),"Too good to be comfortable")</f>
        <v>Too good to be comfortable</v>
      </c>
    </row>
    <row r="2692">
      <c r="A2692" s="1">
        <v>5.0</v>
      </c>
      <c r="B2692" s="1" t="s">
        <v>2673</v>
      </c>
      <c r="C2692" t="str">
        <f>IFERROR(__xludf.DUMMYFUNCTION("GOOGLETRANSLATE(B2692, ""fr"", ""en"")"),"Converse with shoe beautiful and just, good quality and very good value for money. What happiness !! Very nice product !! they just Shoe. Beautiful quality black leather easy to clean. It is located dedans.on large sizes.")</f>
        <v>Converse with shoe beautiful and just, good quality and very good value for money. What happiness !! Very nice product !! they just Shoe. Beautiful quality black leather easy to clean. It is located dedans.on large sizes.</v>
      </c>
    </row>
    <row r="2693">
      <c r="A2693" s="1">
        <v>5.0</v>
      </c>
      <c r="B2693" s="1" t="s">
        <v>2674</v>
      </c>
      <c r="C2693" t="str">
        <f>IFERROR(__xludf.DUMMYFUNCTION("GOOGLETRANSLATE(B2693, ""fr"", ""en"")"),"DRAINED-bottles convenient and simple use. great article I recommend")</f>
        <v>DRAINED-bottles convenient and simple use. great article I recommend</v>
      </c>
    </row>
    <row r="2694">
      <c r="A2694" s="1">
        <v>5.0</v>
      </c>
      <c r="B2694" s="1" t="s">
        <v>2675</v>
      </c>
      <c r="C2694" t="str">
        <f>IFERROR(__xludf.DUMMYFUNCTION("GOOGLETRANSLATE(B2694, ""fr"", ""en"")"),"Perfect Great jacket, good size, good quality can be worn for sport or even with jeans for every day.")</f>
        <v>Perfect Great jacket, good size, good quality can be worn for sport or even with jeans for every day.</v>
      </c>
    </row>
    <row r="2695">
      <c r="A2695" s="1">
        <v>2.0</v>
      </c>
      <c r="B2695" s="1" t="s">
        <v>2676</v>
      </c>
      <c r="C2695" t="str">
        <f>IFERROR(__xludf.DUMMYFUNCTION("GOOGLETRANSLATE(B2695, ""fr"", ""en"")"),"Beautiful bag, but fragile closure system this somewhat reluctantly I put 2 stars this bag. Overall, it is really good and I find it aesthetically very nice. However, the closure system is far too fragile and irreparable. The two closure eclipses are each"&amp;" provided with a metal spring in the form of a metal arc wedged inside the binding. However, these are not fixed but simply kept very approximately because it is slightly wider than the opening. So it has not missed, I lost a spring and a two fasteners no"&amp;" longer close.")</f>
        <v>Beautiful bag, but fragile closure system this somewhat reluctantly I put 2 stars this bag. Overall, it is really good and I find it aesthetically very nice. However, the closure system is far too fragile and irreparable. The two closure eclipses are each provided with a metal spring in the form of a metal arc wedged inside the binding. However, these are not fixed but simply kept very approximately because it is slightly wider than the opening. So it has not missed, I lost a spring and a two fasteners no longer close.</v>
      </c>
    </row>
    <row r="2696">
      <c r="A2696" s="1">
        <v>1.0</v>
      </c>
      <c r="B2696" s="1" t="s">
        <v>2677</v>
      </c>
      <c r="C2696" t="str">
        <f>IFERROR(__xludf.DUMMYFUNCTION("GOOGLETRANSLATE(B2696, ""fr"", ""en"")"),"Plastic Material Received this pair of Puma Basketball 29 April 2019. The material is plastic! (leather Other supposedly) and non-leather as the description says when buying, can be seen on the label at of the tab that this product Get of China (Made in C"&amp;"hina) .and deformation of the right heel within 10 minutes followed. Quality not to go. At that price had suspected it ... But I brought this pair of basketball in two stores specialized brands, the first store was a big doubt about the material and the s"&amp;"econd store my well comfirmé he sagissait material that was not leather!, So no state of mind for me ... So back to this pair of Puma Basketball. Congratulations Amazon !. (Here is the link of a true authentic pair of sneakers Puma Classic LFS, for 10 eur"&amp;"os more, depending on the size!.) Https://www.amazon.fr/gp/product/B00HRAAZM4/ref=ppx_yo_dt_b_asin_title_o02_s00?ie = UTF8 &amp; amp; = 1 psc Ben")</f>
        <v>Plastic Material Received this pair of Puma Basketball 29 April 2019. The material is plastic! (leather Other supposedly) and non-leather as the description says when buying, can be seen on the label at of the tab that this product Get of China (Made in China) .and deformation of the right heel within 10 minutes followed. Quality not to go. At that price had suspected it ... But I brought this pair of basketball in two stores specialized brands, the first store was a big doubt about the material and the second store my well comfirmé he sagissait material that was not leather!, So no state of mind for me ... So back to this pair of Puma Basketball. Congratulations Amazon !. (Here is the link of a true authentic pair of sneakers Puma Classic LFS, for 10 euros more, depending on the size!.) Https://www.amazon.fr/gp/product/B00HRAAZM4/ref=ppx_yo_dt_b_asin_title_o02_s00?ie = UTF8 &amp; amp; = 1 psc Ben</v>
      </c>
    </row>
    <row r="2697">
      <c r="A2697" s="1">
        <v>1.0</v>
      </c>
      <c r="B2697" s="1" t="s">
        <v>2678</v>
      </c>
      <c r="C2697" t="str">
        <f>IFERROR(__xludf.DUMMYFUNCTION("GOOGLETRANSLATE(B2697, ""fr"", ""en"")"),"Microphone does not work on the second generation Micro is not working and the problem is recurring. Support for Beyerdynamic replies that he must turn and push hard ... Funny response ... but it does not change suddenly it's a return for me despite it be"&amp;"ing comfortable and a good sound I'm disappointed that mark. How can we make the micro unusable 300 € ??? Fortunately there is a good service like Amazon.")</f>
        <v>Microphone does not work on the second generation Micro is not working and the problem is recurring. Support for Beyerdynamic replies that he must turn and push hard ... Funny response ... but it does not change suddenly it's a return for me despite it being comfortable and a good sound I'm disappointed that mark. How can we make the micro unusable 300 € ??? Fortunately there is a good service like Amazon.</v>
      </c>
    </row>
    <row r="2698">
      <c r="A2698" s="1">
        <v>3.0</v>
      </c>
      <c r="B2698" s="1" t="s">
        <v>2679</v>
      </c>
      <c r="C2698" t="str">
        <f>IFERROR(__xludf.DUMMYFUNCTION("GOOGLETRANSLATE(B2698, ""fr"", ""en"")"),"Little better I'll tell you that for the price you can not complain. But do not do taff. My helmet is too large therefore obliged to add foam. I do not recommend for people with large and big headphones")</f>
        <v>Little better I'll tell you that for the price you can not complain. But do not do taff. My helmet is too large therefore obliged to add foam. I do not recommend for people with large and big headphones</v>
      </c>
    </row>
    <row r="2699">
      <c r="A2699" s="1">
        <v>3.0</v>
      </c>
      <c r="B2699" s="1" t="s">
        <v>2680</v>
      </c>
      <c r="C2699" t="str">
        <f>IFERROR(__xludf.DUMMYFUNCTION("GOOGLETRANSLATE(B2699, ""fr"", ""en"")"),"pretty in the picture it is likely that the stone is slightly translucent, with gold sequins, but in real life it is not so !! Stone is a nice blue but opaque and without any gold sequins c.est damage, nice single ring all the same ..")</f>
        <v>pretty in the picture it is likely that the stone is slightly translucent, with gold sequins, but in real life it is not so !! Stone is a nice blue but opaque and without any gold sequins c.est damage, nice single ring all the same ..</v>
      </c>
    </row>
    <row r="2700">
      <c r="A2700" s="1">
        <v>4.0</v>
      </c>
      <c r="B2700" s="1" t="s">
        <v>2681</v>
      </c>
      <c r="C2700" t="str">
        <f>IFERROR(__xludf.DUMMYFUNCTION("GOOGLETRANSLATE(B2700, ""fr"", ""en"")"),"The gentle wake alarm clock in the morning gently. Progressive and several possibilities of light intensity. It takes several days to settle it according to our desires. Radio not good.")</f>
        <v>The gentle wake alarm clock in the morning gently. Progressive and several possibilities of light intensity. It takes several days to settle it according to our desires. Radio not good.</v>
      </c>
    </row>
    <row r="2701">
      <c r="A2701" s="1">
        <v>4.0</v>
      </c>
      <c r="B2701" s="1" t="s">
        <v>2682</v>
      </c>
      <c r="C2701" t="str">
        <f>IFERROR(__xludf.DUMMYFUNCTION("GOOGLETRANSLATE(B2701, ""fr"", ""en"")"),"thanks to the economic side ""hyper-focused"" Timeless, Cajoline coaxes baby skin. And no surprises please !!! So .... I validate and recommend.")</f>
        <v>thanks to the economic side "hyper-focused" Timeless, Cajoline coaxes baby skin. And no surprises please !!! So .... I validate and recommend.</v>
      </c>
    </row>
    <row r="2702">
      <c r="A2702" s="1">
        <v>4.0</v>
      </c>
      <c r="B2702" s="1" t="s">
        <v>2683</v>
      </c>
      <c r="C2702" t="str">
        <f>IFERROR(__xludf.DUMMYFUNCTION("GOOGLETRANSLATE(B2702, ""fr"", ""en"")"),"Not disappointed but this bra keeps well my D cup, but I can still not be used alone for sports to ""bounce"", the material is tough and inelastic enabling better maintenance I find, I advise you to take your usual size")</f>
        <v>Not disappointed but this bra keeps well my D cup, but I can still not be used alone for sports to "bounce", the material is tough and inelastic enabling better maintenance I find, I advise you to take your usual size</v>
      </c>
    </row>
    <row r="2703">
      <c r="A2703" s="1">
        <v>4.0</v>
      </c>
      <c r="B2703" s="1" t="s">
        <v>2684</v>
      </c>
      <c r="C2703" t="str">
        <f>IFERROR(__xludf.DUMMYFUNCTION("GOOGLETRANSLATE(B2703, ""fr"", ""en"")"),"beautiful shoes and comfortable shoes very comfortable and pleasant to wear")</f>
        <v>beautiful shoes and comfortable shoes very comfortable and pleasant to wear</v>
      </c>
    </row>
    <row r="2704">
      <c r="A2704" s="1">
        <v>5.0</v>
      </c>
      <c r="B2704" s="1" t="s">
        <v>2685</v>
      </c>
      <c r="C2704" t="str">
        <f>IFERROR(__xludf.DUMMYFUNCTION("GOOGLETRANSLATE(B2704, ""fr"", ""en"")"),"Pretty bracelets This is my gift for mom. A beautiful bracelette ... My mother adores this gift.")</f>
        <v>Pretty bracelets This is my gift for mom. A beautiful bracelette ... My mother adores this gift.</v>
      </c>
    </row>
    <row r="2705">
      <c r="A2705" s="1">
        <v>5.0</v>
      </c>
      <c r="B2705" s="1" t="s">
        <v>2686</v>
      </c>
      <c r="C2705" t="str">
        <f>IFERROR(__xludf.DUMMYFUNCTION("GOOGLETRANSLATE(B2705, ""fr"", ""en"")"),"Very good choice Helmet received on time. Used for listening to music and videos. It can be easily connected, the connection is stable. In summary it meets my expectations.")</f>
        <v>Very good choice Helmet received on time. Used for listening to music and videos. It can be easily connected, the connection is stable. In summary it meets my expectations.</v>
      </c>
    </row>
    <row r="2706">
      <c r="A2706" s="1">
        <v>5.0</v>
      </c>
      <c r="B2706" s="1" t="s">
        <v>2687</v>
      </c>
      <c r="C2706" t="str">
        <f>IFERROR(__xludf.DUMMYFUNCTION("GOOGLETRANSLATE(B2706, ""fr"", ""en"")"),"Bag Complies photo, large and practical")</f>
        <v>Bag Complies photo, large and practical</v>
      </c>
    </row>
    <row r="2707">
      <c r="A2707" s="1">
        <v>5.0</v>
      </c>
      <c r="B2707" s="1" t="s">
        <v>2688</v>
      </c>
      <c r="C2707" t="str">
        <f>IFERROR(__xludf.DUMMYFUNCTION("GOOGLETRANSLATE(B2707, ""fr"", ""en"")"),"Compliant product. I work in hospital environment fit and comfortable as usual. I put on the 40 but fangs I always take a size below.")</f>
        <v>Compliant product. I work in hospital environment fit and comfortable as usual. I put on the 40 but fangs I always take a size below.</v>
      </c>
    </row>
    <row r="2708">
      <c r="A2708" s="1">
        <v>5.0</v>
      </c>
      <c r="B2708" s="1" t="s">
        <v>2689</v>
      </c>
      <c r="C2708" t="str">
        <f>IFERROR(__xludf.DUMMYFUNCTION("GOOGLETRANSLATE(B2708, ""fr"", ""en"")"),"Fast delivery and careful flawless is impeccable. my son will be able to resume his pen")</f>
        <v>Fast delivery and careful flawless is impeccable. my son will be able to resume his pen</v>
      </c>
    </row>
    <row r="2709">
      <c r="A2709" s="1">
        <v>5.0</v>
      </c>
      <c r="B2709" s="1" t="s">
        <v>2690</v>
      </c>
      <c r="C2709" t="str">
        <f>IFERROR(__xludf.DUMMYFUNCTION("GOOGLETRANSLATE(B2709, ""fr"", ""en"")"),"Silver Hoop This is a beautiful loop with nice effect of reflection my wife'm delighted. I recommend eyes closed.")</f>
        <v>Silver Hoop This is a beautiful loop with nice effect of reflection my wife'm delighted. I recommend eyes closed.</v>
      </c>
    </row>
    <row r="2710">
      <c r="A2710" s="1">
        <v>5.0</v>
      </c>
      <c r="B2710" s="1" t="s">
        <v>2691</v>
      </c>
      <c r="C2710" t="str">
        <f>IFERROR(__xludf.DUMMYFUNCTION("GOOGLETRANSLATE(B2710, ""fr"", ""en"")"),"Pretty sneakers They are very comfortable sneakers, light and with a good fabric qualité.Je do not regret this purchase.")</f>
        <v>Pretty sneakers They are very comfortable sneakers, light and with a good fabric qualité.Je do not regret this purchase.</v>
      </c>
    </row>
    <row r="2711">
      <c r="A2711" s="1">
        <v>5.0</v>
      </c>
      <c r="B2711" s="1" t="s">
        <v>2692</v>
      </c>
      <c r="C2711" t="str">
        <f>IFERROR(__xludf.DUMMYFUNCTION("GOOGLETRANSLATE(B2711, ""fr"", ""en"")"),"Good Choice Put it in the refrigerator and use it especially comfortably")</f>
        <v>Good Choice Put it in the refrigerator and use it especially comfortably</v>
      </c>
    </row>
    <row r="2712">
      <c r="A2712" s="1">
        <v>5.0</v>
      </c>
      <c r="B2712" s="1" t="s">
        <v>2693</v>
      </c>
      <c r="C2712" t="str">
        <f>IFERROR(__xludf.DUMMYFUNCTION("GOOGLETRANSLATE(B2712, ""fr"", ""en"")"),"J adore my little shoes! Purchased in 2015 and I still bears, they are in good condition, I'll take care and do the door in dry weather because I find them very comfortable and pretty. J had loved the scent in it when we receive them! Bought in a size 39 "&amp;"to 38.5, extra!")</f>
        <v>J adore my little shoes! Purchased in 2015 and I still bears, they are in good condition, I'll take care and do the door in dry weather because I find them very comfortable and pretty. J had loved the scent in it when we receive them! Bought in a size 39 to 38.5, extra!</v>
      </c>
    </row>
    <row r="2713">
      <c r="A2713" s="1">
        <v>5.0</v>
      </c>
      <c r="B2713" s="1" t="s">
        <v>2694</v>
      </c>
      <c r="C2713" t="str">
        <f>IFERROR(__xludf.DUMMYFUNCTION("GOOGLETRANSLATE(B2713, ""fr"", ""en"")"),"Excellent quality and perfect size Very good quality, this brand continues for decades to make comfortable and indémmodables products. Excellent value. No problem during the first wash.")</f>
        <v>Excellent quality and perfect size Very good quality, this brand continues for decades to make comfortable and indémmodables products. Excellent value. No problem during the first wash.</v>
      </c>
    </row>
    <row r="2714">
      <c r="A2714" s="1">
        <v>5.0</v>
      </c>
      <c r="B2714" s="1" t="s">
        <v>2695</v>
      </c>
      <c r="C2714" t="str">
        <f>IFERROR(__xludf.DUMMYFUNCTION("GOOGLETRANSLATE(B2714, ""fr"", ""en"")"),".. Very good product ... its been 3 years since I command occurs ...")</f>
        <v>.. Very good product ... its been 3 years since I command occurs ...</v>
      </c>
    </row>
    <row r="2715">
      <c r="A2715" s="1">
        <v>5.0</v>
      </c>
      <c r="B2715" s="1" t="s">
        <v>2696</v>
      </c>
      <c r="C2715" t="str">
        <f>IFERROR(__xludf.DUMMYFUNCTION("GOOGLETRANSLATE(B2715, ""fr"", ""en"")"),"Micro HF bluetooth more I needed a microphone to my mobile disco I wanted to test simple product Basic sound quality that can be good to do karaoke or party house")</f>
        <v>Micro HF bluetooth more I needed a microphone to my mobile disco I wanted to test simple product Basic sound quality that can be good to do karaoke or party house</v>
      </c>
    </row>
    <row r="2716">
      <c r="A2716" s="1">
        <v>5.0</v>
      </c>
      <c r="B2716" s="1" t="s">
        <v>2697</v>
      </c>
      <c r="C2716" t="str">
        <f>IFERROR(__xludf.DUMMYFUNCTION("GOOGLETRANSLATE(B2716, ""fr"", ""en"")"),"Very comfortable J bought these shoes for my husband. He loves them? Impeccable for people who travel a lot on building sites")</f>
        <v>Very comfortable J bought these shoes for my husband. He loves them? Impeccable for people who travel a lot on building sites</v>
      </c>
    </row>
    <row r="2717">
      <c r="A2717" s="1">
        <v>5.0</v>
      </c>
      <c r="B2717" s="1" t="s">
        <v>2698</v>
      </c>
      <c r="C2717" t="str">
        <f>IFERROR(__xludf.DUMMYFUNCTION("GOOGLETRANSLATE(B2717, ""fr"", ""en"")"),"Purchase Av converse converse is ss surprise. Any suitable. Small flat, the delivery has not been made at the agreed place. The new location was quite far from home")</f>
        <v>Purchase Av converse converse is ss surprise. Any suitable. Small flat, the delivery has not been made at the agreed place. The new location was quite far from home</v>
      </c>
    </row>
    <row r="2718">
      <c r="A2718" s="1">
        <v>5.0</v>
      </c>
      <c r="B2718" s="1" t="s">
        <v>2699</v>
      </c>
      <c r="C2718" t="str">
        <f>IFERROR(__xludf.DUMMYFUNCTION("GOOGLETRANSLATE(B2718, ""fr"", ""en"")"),"We are happy. Very easy for a smooth weaning after feeding, the big plus is easy to sterilization being output.")</f>
        <v>We are happy. Very easy for a smooth weaning after feeding, the big plus is easy to sterilization being output.</v>
      </c>
    </row>
    <row r="2719">
      <c r="A2719" s="1">
        <v>2.0</v>
      </c>
      <c r="B2719" s="1" t="s">
        <v>2700</v>
      </c>
      <c r="C2719" t="str">
        <f>IFERROR(__xludf.DUMMYFUNCTION("GOOGLETRANSLATE(B2719, ""fr"", ""en"")"),"be careful with the usually carve j'achete 46 (EN), 12 (US) in this case I should have taken a 13 (US), so I had to return the product.")</f>
        <v>be careful with the usually carve j'achete 46 (EN), 12 (US) in this case I should have taken a 13 (US), so I had to return the product.</v>
      </c>
    </row>
    <row r="2720">
      <c r="A2720" s="1">
        <v>1.0</v>
      </c>
      <c r="B2720" s="1" t="s">
        <v>2701</v>
      </c>
      <c r="C2720" t="str">
        <f>IFERROR(__xludf.DUMMYFUNCTION("GOOGLETRANSLATE(B2720, ""fr"", ""en"")"),"Error size I ordered size 41.5 shoes I receive in 41 !!!!")</f>
        <v>Error size I ordered size 41.5 shoes I receive in 41 !!!!</v>
      </c>
    </row>
    <row r="2721">
      <c r="A2721" s="1">
        <v>1.0</v>
      </c>
      <c r="B2721" s="1" t="s">
        <v>2702</v>
      </c>
      <c r="C2721" t="str">
        <f>IFERROR(__xludf.DUMMYFUNCTION("GOOGLETRANSLATE(B2721, ""fr"", ""en"")"),"innadmissible! Barely 3 months after purchase I have a listener that does not work anymore! saw the price is unacceptable.")</f>
        <v>innadmissible! Barely 3 months after purchase I have a listener that does not work anymore! saw the price is unacceptable.</v>
      </c>
    </row>
    <row r="2722">
      <c r="A2722" s="1">
        <v>3.0</v>
      </c>
      <c r="B2722" s="1" t="s">
        <v>2703</v>
      </c>
      <c r="C2722" t="str">
        <f>IFERROR(__xludf.DUMMYFUNCTION("GOOGLETRANSLATE(B2722, ""fr"", ""en"")"),"Zipper Zipper a little fragile.")</f>
        <v>Zipper Zipper a little fragile.</v>
      </c>
    </row>
    <row r="2723">
      <c r="A2723" s="1">
        <v>4.0</v>
      </c>
      <c r="B2723" s="1" t="s">
        <v>2704</v>
      </c>
      <c r="C2723" t="str">
        <f>IFERROR(__xludf.DUMMYFUNCTION("GOOGLETRANSLATE(B2723, ""fr"", ""en"")"),"Sizes consistent I thought size 40 would be a fair bit leggings, as it is also indicated Mr. I do well a 40 but I have enough muscular thighs and calves and was afraid to be a little tight. This is not the case. The legging suits me very comfortable way. "&amp;"It does not greenhouse waist. The model is original with its different colors. A micro pocket on the front of the size can accommodate a key. I just regret that the seams are felt on the inside. They are fairly large and many given the effects of fabric. "&amp;"Redhibitif not for me but this may annoy some.")</f>
        <v>Sizes consistent I thought size 40 would be a fair bit leggings, as it is also indicated Mr. I do well a 40 but I have enough muscular thighs and calves and was afraid to be a little tight. This is not the case. The legging suits me very comfortable way. It does not greenhouse waist. The model is original with its different colors. A micro pocket on the front of the size can accommodate a key. I just regret that the seams are felt on the inside. They are fairly large and many given the effects of fabric. Redhibitif not for me but this may annoy some.</v>
      </c>
    </row>
    <row r="2724">
      <c r="A2724" s="1">
        <v>4.0</v>
      </c>
      <c r="B2724" s="1" t="s">
        <v>2705</v>
      </c>
      <c r="C2724" t="str">
        <f>IFERROR(__xludf.DUMMYFUNCTION("GOOGLETRANSLATE(B2724, ""fr"", ""en"")"),"Solid and good headphones, long thread, micro disappointing build quality ⭐⭐⭐⭐⭐ The headphones are very good. Metal therefore seem a bit heavy after those supplied with the phone, but we made it fast and it is a guarantee of solidity :) Note that their ba"&amp;"ck is magnetized, which is convenient for storage. Micro ⭐⭐ The downside of the device. It has nice features (push button volume control, ""call"" button that play / pause on Android) But it shows its limits on appeal: crackling, grinding noises while I'm"&amp;" still (item ascended to the manufacturer, which m 'replied that it was intended for occasional calls. Duly noted.) news ⭐⭐⭐⭐ Very tough, reinforcements have been provided between the wire and the earpiece to avoid false contacts. The jack is bent not to "&amp;"sink into the pocket. I removed one star because it is too long for my use: it exceeds my pocket when I'm in the street / underground which does sometimes get caught in the edges. However, this can be solved with a clamp accessory. Audio quality ⭐⭐⭐⭐⭐ Sim"&amp;"ply unbeatable in this price range! Everything is there, treble bass. It is clear and balanced, and the sound is powerful. Accessories ⭐⭐⭐⭐⭐ The manufacturer does not skimp: no less than 4 pairs of additional tips (see photo) of different sizes to meet al"&amp;"l users. Some memory foam, other plastic. All insulate well from the outside, and it's a pleasure to have them on the subway. Note that it will probably not lead to bike with, otherwise misheard other road users. There are also: - pliers to handle the len"&amp;"gth of the wire - a padded storage pouch that will properly protect your headphones shock. - no problem with the package is a metal box that will best protect your precious Summary ⭐⭐⭐⭐ It borders on excellence! Very satisfied with my purchase, and I acco"&amp;"mmodates its flaws. Those who spend a lot of calls, go your way, however, because the call quality is just average. Others do not hesitate :) Feel free to indicate below if my review was helpful")</f>
        <v>Solid and good headphones, long thread, micro disappointing build quality ⭐⭐⭐⭐⭐ The headphones are very good. Metal therefore seem a bit heavy after those supplied with the phone, but we made it fast and it is a guarantee of solidity :) Note that their back is magnetized, which is convenient for storage. Micro ⭐⭐ The downside of the device. It has nice features (push button volume control, "call" button that play / pause on Android) But it shows its limits on appeal: crackling, grinding noises while I'm still (item ascended to the manufacturer, which m 'replied that it was intended for occasional calls. Duly noted.) news ⭐⭐⭐⭐ Very tough, reinforcements have been provided between the wire and the earpiece to avoid false contacts. The jack is bent not to sink into the pocket. I removed one star because it is too long for my use: it exceeds my pocket when I'm in the street / underground which does sometimes get caught in the edges. However, this can be solved with a clamp accessory. Audio quality ⭐⭐⭐⭐⭐ Simply unbeatable in this price range! Everything is there, treble bass. It is clear and balanced, and the sound is powerful. Accessories ⭐⭐⭐⭐⭐ The manufacturer does not skimp: no less than 4 pairs of additional tips (see photo) of different sizes to meet all users. Some memory foam, other plastic. All insulate well from the outside, and it's a pleasure to have them on the subway. Note that it will probably not lead to bike with, otherwise misheard other road users. There are also: - pliers to handle the length of the wire - a padded storage pouch that will properly protect your headphones shock. - no problem with the package is a metal box that will best protect your precious Summary ⭐⭐⭐⭐ It borders on excellence! Very satisfied with my purchase, and I accommodates its flaws. Those who spend a lot of calls, go your way, however, because the call quality is just average. Others do not hesitate :) Feel free to indicate below if my review was helpful</v>
      </c>
    </row>
    <row r="2725">
      <c r="A2725" s="1">
        <v>4.0</v>
      </c>
      <c r="B2725" s="1" t="s">
        <v>2706</v>
      </c>
      <c r="C2725" t="str">
        <f>IFERROR(__xludf.DUMMYFUNCTION("GOOGLETRANSLATE(B2725, ""fr"", ""en"")"),"very fair size basketball Beautiful but very fair size, it is advisable to take a pointed above to be comfortable especially if you have the walk a little wide")</f>
        <v>very fair size basketball Beautiful but very fair size, it is advisable to take a pointed above to be comfortable especially if you have the walk a little wide</v>
      </c>
    </row>
    <row r="2726">
      <c r="A2726" s="1">
        <v>4.0</v>
      </c>
      <c r="B2726" s="1" t="s">
        <v>2707</v>
      </c>
      <c r="C2726" t="str">
        <f>IFERROR(__xludf.DUMMYFUNCTION("GOOGLETRANSLATE(B2726, ""fr"", ""en"")"),"Super quality Very nice quality and glowing color and intense Convenient neon colors pr complete range of pens stabilo")</f>
        <v>Super quality Very nice quality and glowing color and intense Convenient neon colors pr complete range of pens stabilo</v>
      </c>
    </row>
    <row r="2727">
      <c r="A2727" s="1">
        <v>5.0</v>
      </c>
      <c r="B2727" s="1" t="s">
        <v>2708</v>
      </c>
      <c r="C2727" t="str">
        <f>IFERROR(__xludf.DUMMYFUNCTION("GOOGLETRANSLATE(B2727, ""fr"", ""en"")"),"Ras A little expensive but top")</f>
        <v>Ras A little expensive but top</v>
      </c>
    </row>
    <row r="2728">
      <c r="A2728" s="1">
        <v>5.0</v>
      </c>
      <c r="B2728" s="1" t="s">
        <v>2709</v>
      </c>
      <c r="C2728" t="str">
        <f>IFERROR(__xludf.DUMMYFUNCTION("GOOGLETRANSLATE(B2728, ""fr"", ""en"")"),"Really top Super shoe! too soft and comfortable!")</f>
        <v>Really top Super shoe! too soft and comfortable!</v>
      </c>
    </row>
    <row r="2729">
      <c r="A2729" s="1">
        <v>5.0</v>
      </c>
      <c r="B2729" s="1" t="s">
        <v>2710</v>
      </c>
      <c r="C2729" t="str">
        <f>IFERROR(__xludf.DUMMYFUNCTION("GOOGLETRANSLATE(B2729, ""fr"", ""en"")"),"excellent quality, 5 times cheaper than the high end very satisfied because I can not bear the high and all other bluetooth headsets I've tried, even the high-end, were well higher pitch than this. Comfortable, unfortunately not very practical when you we"&amp;"ar glasses (like the vast majority of other headphones)")</f>
        <v>excellent quality, 5 times cheaper than the high end very satisfied because I can not bear the high and all other bluetooth headsets I've tried, even the high-end, were well higher pitch than this. Comfortable, unfortunately not very practical when you wear glasses (like the vast majority of other headphones)</v>
      </c>
    </row>
    <row r="2730">
      <c r="A2730" s="1">
        <v>5.0</v>
      </c>
      <c r="B2730" s="1" t="s">
        <v>2711</v>
      </c>
      <c r="C2730" t="str">
        <f>IFERROR(__xludf.DUMMYFUNCTION("GOOGLETRANSLATE(B2730, ""fr"", ""en"")"),"A great investment. Really excellent as microphone. With the application, it's really simple to use and real quality!")</f>
        <v>A great investment. Really excellent as microphone. With the application, it's really simple to use and real quality!</v>
      </c>
    </row>
    <row r="2731">
      <c r="A2731" s="1">
        <v>5.0</v>
      </c>
      <c r="B2731" s="1" t="s">
        <v>2712</v>
      </c>
      <c r="C2731" t="str">
        <f>IFERROR(__xludf.DUMMYFUNCTION("GOOGLETRANSLATE(B2731, ""fr"", ""en"")"),"Very good value for money .I recommend this product without problem.")</f>
        <v>Very good value for money .I recommend this product without problem.</v>
      </c>
    </row>
    <row r="2732">
      <c r="A2732" s="1">
        <v>5.0</v>
      </c>
      <c r="B2732" s="1" t="s">
        <v>2713</v>
      </c>
      <c r="C2732" t="str">
        <f>IFERROR(__xludf.DUMMYFUNCTION("GOOGLETRANSLATE(B2732, ""fr"", ""en"")"),"Very good value Very good value")</f>
        <v>Very good value Very good value</v>
      </c>
    </row>
    <row r="2733">
      <c r="A2733" s="1">
        <v>5.0</v>
      </c>
      <c r="B2733" s="1" t="s">
        <v>2714</v>
      </c>
      <c r="C2733" t="str">
        <f>IFERROR(__xludf.DUMMYFUNCTION("GOOGLETRANSLATE(B2733, ""fr"", ""en"")"),"perfect conformity to the picture, fast delivery, easy to use good face, silent Very satisfied with my purchase, aesthetic although it is plastic. I recommend")</f>
        <v>perfect conformity to the picture, fast delivery, easy to use good face, silent Very satisfied with my purchase, aesthetic although it is plastic. I recommend</v>
      </c>
    </row>
    <row r="2734">
      <c r="A2734" s="1">
        <v>5.0</v>
      </c>
      <c r="B2734" s="1" t="s">
        <v>2715</v>
      </c>
      <c r="C2734" t="str">
        <f>IFERROR(__xludf.DUMMYFUNCTION("GOOGLETRANSLATE(B2734, ""fr"", ""en"")"),"Robustness serving sport robustness for everyday use .Attention for the brand Salomon provide one size above your size and see 1pointure half.")</f>
        <v>Robustness serving sport robustness for everyday use .Attention for the brand Salomon provide one size above your size and see 1pointure half.</v>
      </c>
    </row>
    <row r="2735">
      <c r="A2735" s="1">
        <v>5.0</v>
      </c>
      <c r="B2735" s="1" t="s">
        <v>2716</v>
      </c>
      <c r="C2735" t="str">
        <f>IFERROR(__xludf.DUMMYFUNCTION("GOOGLETRANSLATE(B2735, ""fr"", ""en"")"),"Creoles top !! Beautiful gem is the picture")</f>
        <v>Creoles top !! Beautiful gem is the picture</v>
      </c>
    </row>
    <row r="2736">
      <c r="A2736" s="1">
        <v>5.0</v>
      </c>
      <c r="B2736" s="1" t="s">
        <v>224</v>
      </c>
      <c r="C2736" t="str">
        <f>IFERROR(__xludf.DUMMYFUNCTION("GOOGLETRANSLATE(B2736, ""fr"", ""en"")"),"perfect perfect")</f>
        <v>perfect perfect</v>
      </c>
    </row>
    <row r="2737">
      <c r="A2737" s="1">
        <v>5.0</v>
      </c>
      <c r="B2737" s="1" t="s">
        <v>2717</v>
      </c>
      <c r="C2737" t="str">
        <f>IFERROR(__xludf.DUMMYFUNCTION("GOOGLETRANSLATE(B2737, ""fr"", ""en"")"),"Great product great, except that it can not sufficiently decrease the volume. It would take an intermediate level in relation to such.")</f>
        <v>Great product great, except that it can not sufficiently decrease the volume. It would take an intermediate level in relation to such.</v>
      </c>
    </row>
    <row r="2738">
      <c r="A2738" s="1">
        <v>5.0</v>
      </c>
      <c r="B2738" s="1" t="s">
        <v>224</v>
      </c>
      <c r="C2738" t="str">
        <f>IFERROR(__xludf.DUMMYFUNCTION("GOOGLETRANSLATE(B2738, ""fr"", ""en"")"),"perfect perfect")</f>
        <v>perfect perfect</v>
      </c>
    </row>
    <row r="2739">
      <c r="A2739" s="1">
        <v>5.0</v>
      </c>
      <c r="B2739" s="1" t="s">
        <v>2718</v>
      </c>
      <c r="C2739" t="str">
        <f>IFERROR(__xludf.DUMMYFUNCTION("GOOGLETRANSLATE(B2739, ""fr"", ""en"")"),"In the top ! This legging is very well cut. Neither too big nor too small. I confess that I do not run while'm using it as pajama bottoms and I'm very comfortable in it. It does not stick; I so do not sweat it. I washed it and it has not shrunk in the was"&amp;"h. Top !")</f>
        <v>In the top ! This legging is very well cut. Neither too big nor too small. I confess that I do not run while'm using it as pajama bottoms and I'm very comfortable in it. It does not stick; I so do not sweat it. I washed it and it has not shrunk in the wash. Top !</v>
      </c>
    </row>
    <row r="2740">
      <c r="A2740" s="1">
        <v>5.0</v>
      </c>
      <c r="B2740" s="1" t="s">
        <v>2719</v>
      </c>
      <c r="C2740" t="str">
        <f>IFERROR(__xludf.DUMMYFUNCTION("GOOGLETRANSLATE(B2740, ""fr"", ""en"")"),"The bib 'glass in a nice gift box 🎁 If you can do without plastic (even BPA) and especially for the babies, I think we do. This box will always please the moms. It's a pretty useful gift for maternity. I offered the daughter of a friend who gave birth th"&amp;"ere is little and she was thrilled!")</f>
        <v>The bib 'glass in a nice gift box 🎁 If you can do without plastic (even BPA) and especially for the babies, I think we do. This box will always please the moms. It's a pretty useful gift for maternity. I offered the daughter of a friend who gave birth there is little and she was thrilled!</v>
      </c>
    </row>
    <row r="2741">
      <c r="A2741" s="1">
        <v>5.0</v>
      </c>
      <c r="B2741" s="1" t="s">
        <v>2720</v>
      </c>
      <c r="C2741" t="str">
        <f>IFERROR(__xludf.DUMMYFUNCTION("GOOGLETRANSLATE(B2741, ""fr"", ""en"")"),"Take a size below your J'adore! I followed the reviews of other customers and me who puts 46 I took L Xl And it's perfect. pleasant material.")</f>
        <v>Take a size below your J'adore! I followed the reviews of other customers and me who puts 46 I took L Xl And it's perfect. pleasant material.</v>
      </c>
    </row>
    <row r="2742">
      <c r="A2742" s="1">
        <v>5.0</v>
      </c>
      <c r="B2742" s="1" t="s">
        <v>2721</v>
      </c>
      <c r="C2742" t="str">
        <f>IFERROR(__xludf.DUMMYFUNCTION("GOOGLETRANSLATE(B2742, ""fr"", ""en"")"),"mini, cute and perfect very happy with this product. It is very convenient, nice finish, it heats very quickly not too big nor too small for perfect 2 see 3 cups")</f>
        <v>mini, cute and perfect very happy with this product. It is very convenient, nice finish, it heats very quickly not too big nor too small for perfect 2 see 3 cups</v>
      </c>
    </row>
    <row r="2743">
      <c r="A2743" s="1">
        <v>2.0</v>
      </c>
      <c r="B2743" s="1" t="s">
        <v>2722</v>
      </c>
      <c r="C2743" t="str">
        <f>IFERROR(__xludf.DUMMYFUNCTION("GOOGLETRANSLATE(B2743, ""fr"", ""en"")"),"Too slow ... Given the price, we expected a high quality product. It turns out that this bottle heater takes more than 10 minutes to heat small amounts (60 to 100 ml). Do not do when your baby is screaming next door. Price too high compared to other heate"&amp;"rs bottles of equivalent range on the market.")</f>
        <v>Too slow ... Given the price, we expected a high quality product. It turns out that this bottle heater takes more than 10 minutes to heat small amounts (60 to 100 ml). Do not do when your baby is screaming next door. Price too high compared to other heaters bottles of equivalent range on the market.</v>
      </c>
    </row>
    <row r="2744">
      <c r="A2744" s="1">
        <v>1.0</v>
      </c>
      <c r="B2744" s="1" t="s">
        <v>2723</v>
      </c>
      <c r="C2744" t="str">
        <f>IFERROR(__xludf.DUMMYFUNCTION("GOOGLETRANSLATE(B2744, ""fr"", ""en"")"),"Quality I just cancel my order because the comments are not top")</f>
        <v>Quality I just cancel my order because the comments are not top</v>
      </c>
    </row>
    <row r="2745">
      <c r="A2745" s="1">
        <v>3.0</v>
      </c>
      <c r="B2745" s="1" t="s">
        <v>2724</v>
      </c>
      <c r="C2745" t="str">
        <f>IFERROR(__xludf.DUMMYFUNCTION("GOOGLETRANSLATE(B2745, ""fr"", ""en"")"),"Good quality but delivery service to leak bubble paper purchased for our move easier but delivery order catastrophic!")</f>
        <v>Good quality but delivery service to leak bubble paper purchased for our move easier but delivery order catastrophic!</v>
      </c>
    </row>
    <row r="2746">
      <c r="A2746" s="1">
        <v>3.0</v>
      </c>
      <c r="B2746" s="1" t="s">
        <v>2725</v>
      </c>
      <c r="C2746" t="str">
        <f>IFERROR(__xludf.DUMMYFUNCTION("GOOGLETRANSLATE(B2746, ""fr"", ""en"")"),"Although they smell good but not strong enough for me ...")</f>
        <v>Although they smell good but not strong enough for me ...</v>
      </c>
    </row>
    <row r="2747">
      <c r="A2747" s="1">
        <v>4.0</v>
      </c>
      <c r="B2747" s="1" t="s">
        <v>2726</v>
      </c>
      <c r="C2747" t="str">
        <f>IFERROR(__xludf.DUMMYFUNCTION("GOOGLETRANSLATE(B2747, ""fr"", ""en"")"),"Yes, it fits well between us Finally I found an adhesive for adhering objects to the wall (kind of plaster that I have not selected), strangely it did not seem to stick (not fingers) but once fixed to the wall, it is surprising to adhesion. It's a bit exp"&amp;"ensive, but it works!")</f>
        <v>Yes, it fits well between us Finally I found an adhesive for adhering objects to the wall (kind of plaster that I have not selected), strangely it did not seem to stick (not fingers) but once fixed to the wall, it is surprising to adhesion. It's a bit expensive, but it works!</v>
      </c>
    </row>
    <row r="2748">
      <c r="A2748" s="1">
        <v>4.0</v>
      </c>
      <c r="B2748" s="1" t="s">
        <v>2727</v>
      </c>
      <c r="C2748" t="str">
        <f>IFERROR(__xludf.DUMMYFUNCTION("GOOGLETRANSLATE(B2748, ""fr"", ""en"")"),"As décri Pretty and comes with an extra cord in case of breakage")</f>
        <v>As décri Pretty and comes with an extra cord in case of breakage</v>
      </c>
    </row>
    <row r="2749">
      <c r="A2749" s="1">
        <v>4.0</v>
      </c>
      <c r="B2749" s="1" t="s">
        <v>2728</v>
      </c>
      <c r="C2749" t="str">
        <f>IFERROR(__xludf.DUMMYFUNCTION("GOOGLETRANSLATE(B2749, ""fr"", ""en"")"),"Comfortable shoes comfortable, very correct damping normally shoes to wear, too recent purchase for an opinion. To date only one complaint: these shoes are for me a little bulky")</f>
        <v>Comfortable shoes comfortable, very correct damping normally shoes to wear, too recent purchase for an opinion. To date only one complaint: these shoes are for me a little bulky</v>
      </c>
    </row>
    <row r="2750">
      <c r="A2750" s="1">
        <v>4.0</v>
      </c>
      <c r="B2750" s="1" t="s">
        <v>2729</v>
      </c>
      <c r="C2750" t="str">
        <f>IFERROR(__xludf.DUMMYFUNCTION("GOOGLETRANSLATE(B2750, ""fr"", ""en"")"),"suitable for bonding without destroying - consistent and very useful for DIY")</f>
        <v>suitable for bonding without destroying - consistent and very useful for DIY</v>
      </c>
    </row>
    <row r="2751">
      <c r="A2751" s="1">
        <v>4.0</v>
      </c>
      <c r="B2751" s="1" t="s">
        <v>2730</v>
      </c>
      <c r="C2751" t="str">
        <f>IFERROR(__xludf.DUMMYFUNCTION("GOOGLETRANSLATE(B2751, ""fr"", ""en"")"),"Very nice shoes! I bought these shoes for my little brother and love them! The appointed is well done, they hold well and are comfortable to walk! 5 stars well deserved !!!")</f>
        <v>Very nice shoes! I bought these shoes for my little brother and love them! The appointed is well done, they hold well and are comfortable to walk! 5 stars well deserved !!!</v>
      </c>
    </row>
    <row r="2752">
      <c r="A2752" s="1">
        <v>5.0</v>
      </c>
      <c r="B2752" s="1" t="s">
        <v>2731</v>
      </c>
      <c r="C2752" t="str">
        <f>IFERROR(__xludf.DUMMYFUNCTION("GOOGLETRANSLATE(B2752, ""fr"", ""en"")"),"Nien Very Well")</f>
        <v>Nien Very Well</v>
      </c>
    </row>
    <row r="2753">
      <c r="A2753" s="1">
        <v>5.0</v>
      </c>
      <c r="B2753" s="1" t="s">
        <v>2732</v>
      </c>
      <c r="C2753" t="str">
        <f>IFERROR(__xludf.DUMMYFUNCTION("GOOGLETRANSLATE(B2753, ""fr"", ""en"")"),"They are pretty great and I was more of a gift insole is nice is 35 I pri 35.5 but the shoes it says 35 they fit me perfectly")</f>
        <v>They are pretty great and I was more of a gift insole is nice is 35 I pri 35.5 but the shoes it says 35 they fit me perfectly</v>
      </c>
    </row>
    <row r="2754">
      <c r="A2754" s="1">
        <v>5.0</v>
      </c>
      <c r="B2754" s="1" t="s">
        <v>2733</v>
      </c>
      <c r="C2754" t="str">
        <f>IFERROR(__xludf.DUMMYFUNCTION("GOOGLETRANSLATE(B2754, ""fr"", ""en"")"),"Great I made the 39 I took 38 and a half I would take a 38 stinks no problem not her she's awesome class and has very comfortable it's supplied with two pair of lace")</f>
        <v>Great I made the 39 I took 38 and a half I would take a 38 stinks no problem not her she's awesome class and has very comfortable it's supplied with two pair of lace</v>
      </c>
    </row>
    <row r="2755">
      <c r="A2755" s="1">
        <v>5.0</v>
      </c>
      <c r="B2755" s="1" t="s">
        <v>2734</v>
      </c>
      <c r="C2755" t="str">
        <f>IFERROR(__xludf.DUMMYFUNCTION("GOOGLETRANSLATE(B2755, ""fr"", ""en"")"),"Best Magic wax to restore the leather. very good and really powerful odor")</f>
        <v>Best Magic wax to restore the leather. very good and really powerful odor</v>
      </c>
    </row>
    <row r="2756">
      <c r="A2756" s="1">
        <v>5.0</v>
      </c>
      <c r="B2756" s="1" t="s">
        <v>2735</v>
      </c>
      <c r="C2756" t="str">
        <f>IFERROR(__xludf.DUMMYFUNCTION("GOOGLETRANSLATE(B2756, ""fr"", ""en"")"),"sublime I ordered these loops for the birthday of a friend. They loved it, beautiful packaging as to the jeweler. Money is very beautiful to the ear that had its effect and considering the price I will order for me!")</f>
        <v>sublime I ordered these loops for the birthday of a friend. They loved it, beautiful packaging as to the jeweler. Money is very beautiful to the ear that had its effect and considering the price I will order for me!</v>
      </c>
    </row>
    <row r="2757">
      <c r="A2757" s="1">
        <v>5.0</v>
      </c>
      <c r="B2757" s="1" t="s">
        <v>2736</v>
      </c>
      <c r="C2757" t="str">
        <f>IFERROR(__xludf.DUMMYFUNCTION("GOOGLETRANSLATE(B2757, ""fr"", ""en"")"),"All very pretty soft and super comfortable !!!")</f>
        <v>All very pretty soft and super comfortable !!!</v>
      </c>
    </row>
    <row r="2758">
      <c r="A2758" s="1">
        <v>5.0</v>
      </c>
      <c r="B2758" s="1" t="s">
        <v>2737</v>
      </c>
      <c r="C2758" t="str">
        <f>IFERROR(__xludf.DUMMYFUNCTION("GOOGLETRANSLATE(B2758, ""fr"", ""en"")"),"Comfortable and good size")</f>
        <v>Comfortable and good size</v>
      </c>
    </row>
    <row r="2759">
      <c r="A2759" s="1">
        <v>5.0</v>
      </c>
      <c r="B2759" s="1" t="s">
        <v>2738</v>
      </c>
      <c r="C2759" t="str">
        <f>IFERROR(__xludf.DUMMYFUNCTION("GOOGLETRANSLATE(B2759, ""fr"", ""en"")"),"Perfect to recommend")</f>
        <v>Perfect to recommend</v>
      </c>
    </row>
    <row r="2760">
      <c r="A2760" s="1">
        <v>5.0</v>
      </c>
      <c r="B2760" s="1" t="s">
        <v>2739</v>
      </c>
      <c r="C2760" t="str">
        <f>IFERROR(__xludf.DUMMYFUNCTION("GOOGLETRANSLATE(B2760, ""fr"", ""en"")"),"Perfect Perfectly satisfied with this purchase, bracelet 17mm black to give a second life to my swatch. The bracelet is more rubber than the original, but seems solid. I think it will be as strong as the original. Small installation kit comes with. Good p"&amp;"acketage.")</f>
        <v>Perfect Perfectly satisfied with this purchase, bracelet 17mm black to give a second life to my swatch. The bracelet is more rubber than the original, but seems solid. I think it will be as strong as the original. Small installation kit comes with. Good packetage.</v>
      </c>
    </row>
    <row r="2761">
      <c r="A2761" s="1">
        <v>5.0</v>
      </c>
      <c r="B2761" s="1" t="s">
        <v>2740</v>
      </c>
      <c r="C2761" t="str">
        <f>IFERROR(__xludf.DUMMYFUNCTION("GOOGLETRANSLATE(B2761, ""fr"", ""en"")"),"Beautiful long sleeve cardigan with lace back and shoulders! &lt;A data-hook = ""product-link-linked"" class = ""a-link-normal"" href = ""/ vest-Cotton-Women-jacket-vest-Woman-Sleeve-Long-Bolero-Shawl-Woman / dp / B06XRV55JY / ref = cm_cr_getr_d_rvw_txt? ie "&amp;"= UTF8 ""&gt; cotton Vest Women Jacket Vest Women's Long Sleeve Bolero Shawl Woman &lt;/a&gt; the product is quite the description is made on the site. very fast delivery and careful. On opening the package, we discover a vest with long sleeves very well folded an"&amp;"d stored in a plastic bag. This vest is just beautiful !!! The material is very light and comfortable to wear. It can also do well to go to work with a small color top and jeans, or to be dressed in an evening gown. It adapts to all circumstances. It is o"&amp;"riginal because the back and shoulders are lace. He correctly size and finish are flawless (no son beyond seams or forgotten). Maintenance is very easy: it washes in cold water. I am quite pleased with this purchase and would recommend it highly, very goo"&amp;"d price / quality ratio. correct and very courteous seller, to recommend.")</f>
        <v>Beautiful long sleeve cardigan with lace back and shoulders! &lt;A data-hook = "product-link-linked" class = "a-link-normal" href = "/ vest-Cotton-Women-jacket-vest-Woman-Sleeve-Long-Bolero-Shawl-Woman / dp / B06XRV55JY / ref = cm_cr_getr_d_rvw_txt? ie = UTF8 "&gt; cotton Vest Women Jacket Vest Women's Long Sleeve Bolero Shawl Woman &lt;/a&gt; the product is quite the description is made on the site. very fast delivery and careful. On opening the package, we discover a vest with long sleeves very well folded and stored in a plastic bag. This vest is just beautiful !!! The material is very light and comfortable to wear. It can also do well to go to work with a small color top and jeans, or to be dressed in an evening gown. It adapts to all circumstances. It is original because the back and shoulders are lace. He correctly size and finish are flawless (no son beyond seams or forgotten). Maintenance is very easy: it washes in cold water. I am quite pleased with this purchase and would recommend it highly, very good price / quality ratio. correct and very courteous seller, to recommend.</v>
      </c>
    </row>
    <row r="2762">
      <c r="A2762" s="1">
        <v>5.0</v>
      </c>
      <c r="B2762" s="1" t="s">
        <v>2741</v>
      </c>
      <c r="C2762" t="str">
        <f>IFERROR(__xludf.DUMMYFUNCTION("GOOGLETRANSLATE(B2762, ""fr"", ""en"")"),"Excellent Product Beautiful coloring book and loved my niece 3 years. Very nice artwork and very good quality.")</f>
        <v>Excellent Product Beautiful coloring book and loved my niece 3 years. Very nice artwork and very good quality.</v>
      </c>
    </row>
    <row r="2763">
      <c r="A2763" s="1">
        <v>5.0</v>
      </c>
      <c r="B2763" s="1" t="s">
        <v>2742</v>
      </c>
      <c r="C2763" t="str">
        <f>IFERROR(__xludf.DUMMYFUNCTION("GOOGLETRANSLATE(B2763, ""fr"", ""en"")"),"At the height A value for money for these paper towel. They are thick, very absorbent and highly resistant when wet.")</f>
        <v>At the height A value for money for these paper towel. They are thick, very absorbent and highly resistant when wet.</v>
      </c>
    </row>
    <row r="2764">
      <c r="A2764" s="1">
        <v>5.0</v>
      </c>
      <c r="B2764" s="1" t="s">
        <v>2743</v>
      </c>
      <c r="C2764" t="str">
        <f>IFERROR(__xludf.DUMMYFUNCTION("GOOGLETRANSLATE(B2764, ""fr"", ""en"")"),"Jacket The jacket is consistent with the picture on the site .. I am very satisfied with this product .. I recommend")</f>
        <v>Jacket The jacket is consistent with the picture on the site .. I am very satisfied with this product .. I recommend</v>
      </c>
    </row>
    <row r="2765">
      <c r="A2765" s="1">
        <v>5.0</v>
      </c>
      <c r="B2765" s="1" t="s">
        <v>224</v>
      </c>
      <c r="C2765" t="str">
        <f>IFERROR(__xludf.DUMMYFUNCTION("GOOGLETRANSLATE(B2765, ""fr"", ""en"")"),"perfect perfect")</f>
        <v>perfect perfect</v>
      </c>
    </row>
    <row r="2766">
      <c r="A2766" s="1">
        <v>5.0</v>
      </c>
      <c r="B2766" s="1" t="s">
        <v>2744</v>
      </c>
      <c r="C2766" t="str">
        <f>IFERROR(__xludf.DUMMYFUNCTION("GOOGLETRANSLATE(B2766, ""fr"", ""en"")"),"Coffee Filter Jug Moulinex stainless and White Coffee practice and standard known brand, good use, I used the old programmable for years, having broken the jug, I took the same without the program, but at a price White attractive, ordered on Sunday night "&amp;"and on Wednesday delivered quickly from Amazon as usual Jean-Claude")</f>
        <v>Coffee Filter Jug Moulinex stainless and White Coffee practice and standard known brand, good use, I used the old programmable for years, having broken the jug, I took the same without the program, but at a price White attractive, ordered on Sunday night and on Wednesday delivered quickly from Amazon as usual Jean-Claude</v>
      </c>
    </row>
    <row r="2767">
      <c r="A2767" s="1">
        <v>2.0</v>
      </c>
      <c r="B2767" s="1" t="s">
        <v>2745</v>
      </c>
      <c r="C2767" t="str">
        <f>IFERROR(__xludf.DUMMYFUNCTION("GOOGLETRANSLATE(B2767, ""fr"", ""en"")"),"Pretty flip flops These are beautiful but they run small. I ordered the 41-42 and I received something closer to 40.")</f>
        <v>Pretty flip flops These are beautiful but they run small. I ordered the 41-42 and I received something closer to 40.</v>
      </c>
    </row>
    <row r="2768">
      <c r="A2768" s="1">
        <v>1.0</v>
      </c>
      <c r="B2768" s="1" t="s">
        <v>2746</v>
      </c>
      <c r="C2768" t="str">
        <f>IFERROR(__xludf.DUMMYFUNCTION("GOOGLETRANSLATE(B2768, ""fr"", ""en"")"),"unclear questionable originality, it was returned and I was refunded")</f>
        <v>unclear questionable originality, it was returned and I was refunded</v>
      </c>
    </row>
    <row r="2769">
      <c r="A2769" s="1">
        <v>1.0</v>
      </c>
      <c r="B2769" s="1" t="s">
        <v>2747</v>
      </c>
      <c r="C2769" t="str">
        <f>IFERROR(__xludf.DUMMYFUNCTION("GOOGLETRANSLATE(B2769, ""fr"", ""en"")"),"The microphone does not charge the product worked well when I received it. It's a great toy. He unloaded (normal) and there no way to charge it. I was fine to connect (up to 8 times) it does not load. So I can not use it. I used the supplied USB cable, I "&amp;"also tried with my samsung phone charging cord but still nothing. The charging light flashes but the battery does not charge. This is the second microphone that I control and I have the same problem.")</f>
        <v>The microphone does not charge the product worked well when I received it. It's a great toy. He unloaded (normal) and there no way to charge it. I was fine to connect (up to 8 times) it does not load. So I can not use it. I used the supplied USB cable, I also tried with my samsung phone charging cord but still nothing. The charging light flashes but the battery does not charge. This is the second microphone that I control and I have the same problem.</v>
      </c>
    </row>
    <row r="2770">
      <c r="A2770" s="1">
        <v>3.0</v>
      </c>
      <c r="B2770" s="1" t="s">
        <v>2748</v>
      </c>
      <c r="C2770" t="str">
        <f>IFERROR(__xludf.DUMMYFUNCTION("GOOGLETRANSLATE(B2770, ""fr"", ""en"")"),"I expected better view of the brand, I expected a better sound and more powerful but I think I got my money, it was cheap! ....")</f>
        <v>I expected better view of the brand, I expected a better sound and more powerful but I think I got my money, it was cheap! ....</v>
      </c>
    </row>
    <row r="2771">
      <c r="A2771" s="1">
        <v>3.0</v>
      </c>
      <c r="B2771" s="1" t="s">
        <v>2749</v>
      </c>
      <c r="C2771" t="str">
        <f>IFERROR(__xludf.DUMMYFUNCTION("GOOGLETRANSLATE(B2771, ""fr"", ""en"")"),"good product Product consistent with the description of the photo. friendly socks nothing to envy to other brands. That suits me")</f>
        <v>good product Product consistent with the description of the photo. friendly socks nothing to envy to other brands. That suits me</v>
      </c>
    </row>
    <row r="2772">
      <c r="A2772" s="1">
        <v>4.0</v>
      </c>
      <c r="B2772" s="1" t="s">
        <v>2750</v>
      </c>
      <c r="C2772" t="str">
        <f>IFERROR(__xludf.DUMMYFUNCTION("GOOGLETRANSLATE(B2772, ""fr"", ""en"")"),"LIGE WATCH WATCH AND CLASSIC AND DONE RATHER NOT BAD EFFECT SEEN IN TIME THE QUALITY, LITTLE EXPENSIVE.")</f>
        <v>LIGE WATCH WATCH AND CLASSIC AND DONE RATHER NOT BAD EFFECT SEEN IN TIME THE QUALITY, LITTLE EXPENSIVE.</v>
      </c>
    </row>
    <row r="2773">
      <c r="A2773" s="1">
        <v>4.0</v>
      </c>
      <c r="B2773" s="1" t="s">
        <v>2751</v>
      </c>
      <c r="C2773" t="str">
        <f>IFERROR(__xludf.DUMMYFUNCTION("GOOGLETRANSLATE(B2773, ""fr"", ""en"")"),"Excellent value but not perfect Holding worth gold lacquer slightly compared to the rest of the excellent value of this watch!")</f>
        <v>Excellent value but not perfect Holding worth gold lacquer slightly compared to the rest of the excellent value of this watch!</v>
      </c>
    </row>
    <row r="2774">
      <c r="A2774" s="1">
        <v>4.0</v>
      </c>
      <c r="B2774" s="1" t="s">
        <v>2752</v>
      </c>
      <c r="C2774" t="str">
        <f>IFERROR(__xludf.DUMMYFUNCTION("GOOGLETRANSLATE(B2774, ""fr"", ""en"")"),"Very simple and adequate Used every day for work, the watch is very simple enough does not indicate with any outfit. And for the price ... Only complaint, she does not show days.")</f>
        <v>Very simple and adequate Used every day for work, the watch is very simple enough does not indicate with any outfit. And for the price ... Only complaint, she does not show days.</v>
      </c>
    </row>
    <row r="2775">
      <c r="A2775" s="1">
        <v>4.0</v>
      </c>
      <c r="B2775" s="1" t="s">
        <v>2753</v>
      </c>
      <c r="C2775" t="str">
        <f>IFERROR(__xludf.DUMMYFUNCTION("GOOGLETRANSLATE(B2775, ""fr"", ""en"")"),"handles trash bags Okay if you do not load too bags and if we have a high trash. In my case, it's enough. I think again a command.")</f>
        <v>handles trash bags Okay if you do not load too bags and if we have a high trash. In my case, it's enough. I think again a command.</v>
      </c>
    </row>
    <row r="2776">
      <c r="A2776" s="1">
        <v>5.0</v>
      </c>
      <c r="B2776" s="1" t="s">
        <v>2754</v>
      </c>
      <c r="C2776" t="str">
        <f>IFERROR(__xludf.DUMMYFUNCTION("GOOGLETRANSLATE(B2776, ""fr"", ""en"")"),"Tb Okay")</f>
        <v>Tb Okay</v>
      </c>
    </row>
    <row r="2777">
      <c r="A2777" s="1">
        <v>5.0</v>
      </c>
      <c r="B2777" s="1" t="s">
        <v>2755</v>
      </c>
      <c r="C2777" t="str">
        <f>IFERROR(__xludf.DUMMYFUNCTION("GOOGLETRANSLATE(B2777, ""fr"", ""en"")"),"Thomson Wireless Headphones Very good helmet I am hard of hearing. This is the third brand that I buy (I break by sitting on it!) Saw its very good price / quality ratio.")</f>
        <v>Thomson Wireless Headphones Very good helmet I am hard of hearing. This is the third brand that I buy (I break by sitting on it!) Saw its very good price / quality ratio.</v>
      </c>
    </row>
    <row r="2778">
      <c r="A2778" s="1">
        <v>5.0</v>
      </c>
      <c r="B2778" s="1" t="s">
        <v>2756</v>
      </c>
      <c r="C2778" t="str">
        <f>IFERROR(__xludf.DUMMYFUNCTION("GOOGLETRANSLATE(B2778, ""fr"", ""en"")"),"Perfect Super toaster. We bought it for a second home. We already have one of our primary residence for years and it is great. This color is very beautiful.")</f>
        <v>Perfect Super toaster. We bought it for a second home. We already have one of our primary residence for years and it is great. This color is very beautiful.</v>
      </c>
    </row>
    <row r="2779">
      <c r="A2779" s="1">
        <v>5.0</v>
      </c>
      <c r="B2779" s="1" t="s">
        <v>2757</v>
      </c>
      <c r="C2779" t="str">
        <f>IFERROR(__xludf.DUMMYFUNCTION("GOOGLETRANSLATE(B2779, ""fr"", ""en"")"),"Perfect perfect and very pleasant to the ears")</f>
        <v>Perfect perfect and very pleasant to the ears</v>
      </c>
    </row>
    <row r="2780">
      <c r="A2780" s="1">
        <v>5.0</v>
      </c>
      <c r="B2780" s="1" t="s">
        <v>2758</v>
      </c>
      <c r="C2780" t="str">
        <f>IFERROR(__xludf.DUMMYFUNCTION("GOOGLETRANSLATE(B2780, ""fr"", ""en"")"),"Watch Very nice watch for a teenager. It is fine and classy.")</f>
        <v>Watch Very nice watch for a teenager. It is fine and classy.</v>
      </c>
    </row>
    <row r="2781">
      <c r="A2781" s="1">
        <v>5.0</v>
      </c>
      <c r="B2781" s="1" t="s">
        <v>2759</v>
      </c>
      <c r="C2781" t="str">
        <f>IFERROR(__xludf.DUMMYFUNCTION("GOOGLETRANSLATE(B2781, ""fr"", ""en"")"),"Excellent Excellent, this book is both useful for parents, teens, young adults. An accessible book, educational, exciting. I learned a lot through the pages.")</f>
        <v>Excellent Excellent, this book is both useful for parents, teens, young adults. An accessible book, educational, exciting. I learned a lot through the pages.</v>
      </c>
    </row>
    <row r="2782">
      <c r="A2782" s="1">
        <v>5.0</v>
      </c>
      <c r="B2782" s="1" t="s">
        <v>2760</v>
      </c>
      <c r="C2782" t="str">
        <f>IFERROR(__xludf.DUMMYFUNCTION("GOOGLETRANSLATE(B2782, ""fr"", ""en"")"),"super I let my review after one year of use, all this to say that it is shoes are really super quality, comfortable ,, you can buy eyes closed in your size! I play 43, I have received the 43 and make it 43 !! the best shoe I have ever had .... on top;) i "&amp;"would like to buy a pair but the same price increase too!")</f>
        <v>super I let my review after one year of use, all this to say that it is shoes are really super quality, comfortable ,, you can buy eyes closed in your size! I play 43, I have received the 43 and make it 43 !! the best shoe I have ever had .... on top;) i would like to buy a pair but the same price increase too!</v>
      </c>
    </row>
    <row r="2783">
      <c r="A2783" s="1">
        <v>5.0</v>
      </c>
      <c r="B2783" s="1" t="s">
        <v>2761</v>
      </c>
      <c r="C2783" t="str">
        <f>IFERROR(__xludf.DUMMYFUNCTION("GOOGLETRANSLATE(B2783, ""fr"", ""en"")"),"I 'Having already love the small box 72 I could not miss out on 120😁😁. The rods are thus based wax and numbered, arranged on 3 floors with elastic on each side for the lift. By cons, a strong smell of oil s' emerges (this is normal for these pencils). I"&amp;" have opted for a package rather than the tin I is not very convenient for them and the smell eventually fade s. Otherwise it is good quality. Some pencils are drier than others (the lightest in color of course) but there is a good pigmentation. For the p"&amp;"rice of 34 euros, do not deprive yourself! Castle art supplies is a company that rises and begins to be well known and recognized 😊😊")</f>
        <v>I 'Having already love the small box 72 I could not miss out on 120😁😁. The rods are thus based wax and numbered, arranged on 3 floors with elastic on each side for the lift. By cons, a strong smell of oil s' emerges (this is normal for these pencils). I have opted for a package rather than the tin I is not very convenient for them and the smell eventually fade s. Otherwise it is good quality. Some pencils are drier than others (the lightest in color of course) but there is a good pigmentation. For the price of 34 euros, do not deprive yourself! Castle art supplies is a company that rises and begins to be well known and recognized 😊😊</v>
      </c>
    </row>
    <row r="2784">
      <c r="A2784" s="1">
        <v>5.0</v>
      </c>
      <c r="B2784" s="1" t="s">
        <v>2762</v>
      </c>
      <c r="C2784" t="str">
        <f>IFERROR(__xludf.DUMMYFUNCTION("GOOGLETRANSLATE(B2784, ""fr"", ""en"")"),"It's great Excellent running shoes on road or path. From the first steps, a real feeling of comfort and dynamism. The damped is excellent, but without increasing the stride. Instead, it is pushed forward, allowing a dynamic race. I recommend it.")</f>
        <v>It's great Excellent running shoes on road or path. From the first steps, a real feeling of comfort and dynamism. The damped is excellent, but without increasing the stride. Instead, it is pushed forward, allowing a dynamic race. I recommend it.</v>
      </c>
    </row>
    <row r="2785">
      <c r="A2785" s="1">
        <v>5.0</v>
      </c>
      <c r="B2785" s="1" t="s">
        <v>2763</v>
      </c>
      <c r="C2785" t="str">
        <f>IFERROR(__xludf.DUMMYFUNCTION("GOOGLETRANSLATE(B2785, ""fr"", ""en"")"),"Pretty according to the description! Well, nothing to add!")</f>
        <v>Pretty according to the description! Well, nothing to add!</v>
      </c>
    </row>
    <row r="2786">
      <c r="A2786" s="1">
        <v>5.0</v>
      </c>
      <c r="B2786" s="1" t="s">
        <v>2764</v>
      </c>
      <c r="C2786" t="str">
        <f>IFERROR(__xludf.DUMMYFUNCTION("GOOGLETRANSLATE(B2786, ""fr"", ""en"")"),"pleasantly surprised in view of a comment that the jewelry was gold bling bling I was a little hesitant but I ve trusted the other comments because I love bq crystals and I am absolutely not disappointed ... Of course it shines .. BUT it is very nice and "&amp;"goes well with a black outfit that class with colorful clothes ... the only small touch that makes gold rose slightly gilded gold is the safety chain but frankly it s nothing !! So for fantasy I recommend ...")</f>
        <v>pleasantly surprised in view of a comment that the jewelry was gold bling bling I was a little hesitant but I ve trusted the other comments because I love bq crystals and I am absolutely not disappointed ... Of course it shines .. BUT it is very nice and goes well with a black outfit that class with colorful clothes ... the only small touch that makes gold rose slightly gilded gold is the safety chain but frankly it s nothing !! So for fantasy I recommend ...</v>
      </c>
    </row>
    <row r="2787">
      <c r="A2787" s="1">
        <v>5.0</v>
      </c>
      <c r="B2787" s="1" t="s">
        <v>2765</v>
      </c>
      <c r="C2787" t="str">
        <f>IFERROR(__xludf.DUMMYFUNCTION("GOOGLETRANSLATE(B2787, ""fr"", ""en"")"),"Perfect ! Simple and stylish")</f>
        <v>Perfect ! Simple and stylish</v>
      </c>
    </row>
    <row r="2788">
      <c r="A2788" s="1">
        <v>5.0</v>
      </c>
      <c r="B2788" s="1" t="s">
        <v>2766</v>
      </c>
      <c r="C2788" t="str">
        <f>IFERROR(__xludf.DUMMYFUNCTION("GOOGLETRANSLATE(B2788, ""fr"", ""en"")"),"Too nice size very well")</f>
        <v>Too nice size very well</v>
      </c>
    </row>
    <row r="2789">
      <c r="A2789" s="1">
        <v>5.0</v>
      </c>
      <c r="B2789" s="1" t="s">
        <v>2767</v>
      </c>
      <c r="C2789" t="str">
        <f>IFERROR(__xludf.DUMMYFUNCTION("GOOGLETRANSLATE(B2789, ""fr"", ""en"")"),"comfortable very comfortable because I did not hurt when I walk feet long. And this is rare with shoes is highly recommended price !!!")</f>
        <v>comfortable very comfortable because I did not hurt when I walk feet long. And this is rare with shoes is highly recommended price !!!</v>
      </c>
    </row>
    <row r="2790">
      <c r="A2790" s="1">
        <v>5.0</v>
      </c>
      <c r="B2790" s="1" t="s">
        <v>2768</v>
      </c>
      <c r="C2790" t="str">
        <f>IFERROR(__xludf.DUMMYFUNCTION("GOOGLETRANSLATE(B2790, ""fr"", ""en"")"),"Size good. Do ""moves"" not during the race. This legging size well. (And I'm picky because I always feel that this kind of tight clothing ""grown"" ...) I wear it to run: it does not move very comfortable. medium heat.")</f>
        <v>Size good. Do "moves" not during the race. This legging size well. (And I'm picky because I always feel that this kind of tight clothing "grown" ...) I wear it to run: it does not move very comfortable. medium heat.</v>
      </c>
    </row>
    <row r="2791">
      <c r="A2791" s="1">
        <v>2.0</v>
      </c>
      <c r="B2791" s="1" t="s">
        <v>2769</v>
      </c>
      <c r="C2791" t="str">
        <f>IFERROR(__xludf.DUMMYFUNCTION("GOOGLETRANSLATE(B2791, ""fr"", ""en"")"),"broken Hanses The bottle is very pretty. 2 The teats are well thought out. But I received the damaged item level hanses. My baby so can not be used. I informed the seller twice to find a solution to this problem but I have not yet received a response.")</f>
        <v>broken Hanses The bottle is very pretty. 2 The teats are well thought out. But I received the damaged item level hanses. My baby so can not be used. I informed the seller twice to find a solution to this problem but I have not yet received a response.</v>
      </c>
    </row>
    <row r="2792">
      <c r="A2792" s="1">
        <v>1.0</v>
      </c>
      <c r="B2792" s="1" t="s">
        <v>2770</v>
      </c>
      <c r="C2792" t="str">
        <f>IFERROR(__xludf.DUMMYFUNCTION("GOOGLETRANSLATE(B2792, ""fr"", ""en"")"),"Warning the cross indicated on the packaging does not match the opening of the teat not match up to my expectations, I thought the nipple was open on the cross and not it's just a hole. My child is thickened and thus milk it will not.")</f>
        <v>Warning the cross indicated on the packaging does not match the opening of the teat not match up to my expectations, I thought the nipple was open on the cross and not it's just a hole. My child is thickened and thus milk it will not.</v>
      </c>
    </row>
    <row r="2793">
      <c r="A2793" s="1">
        <v>1.0</v>
      </c>
      <c r="B2793" s="1" t="s">
        <v>2771</v>
      </c>
      <c r="C2793" t="str">
        <f>IFERROR(__xludf.DUMMYFUNCTION("GOOGLETRANSLATE(B2793, ""fr"", ""en"")"),"shoes only for the closet I recommend these shoes just to look at them. To walk with, I highly recommend. They held me 3 weeks.")</f>
        <v>shoes only for the closet I recommend these shoes just to look at them. To walk with, I highly recommend. They held me 3 weeks.</v>
      </c>
    </row>
    <row r="2794">
      <c r="A2794" s="1">
        <v>3.0</v>
      </c>
      <c r="B2794" s="1" t="s">
        <v>2772</v>
      </c>
      <c r="C2794" t="str">
        <f>IFERROR(__xludf.DUMMYFUNCTION("GOOGLETRANSLATE(B2794, ""fr"", ""en"")"),"Is closer to sweat jogging as a hoodie. Me disappointed but would appeal to others. I am bothered to note, I hesitate between 2 and 3 stars; and since I took 2 articles, I will put one of each. (But I also understand that a score of 4 or 5 stars would not"&amp;" be undeserved, but for my part I'm disappointed..) * EXTRAS: The printing is pretty and looks good. That's fine. The fabric in itself also seems good, a bit like elastic sweat sport. The delivery also OK. * THE LEAST: By cons, this small size and the tis"&amp;"sue is still very thin (though perhaps good, I do not doubt it). But big disappointment at the level of sensation. Autumn arrived I wanted sth of large and warm, a little ""moute-moute"" and I end up with a kind of big sock mold me well my overweight. Yet"&amp;" I took the L / XL (theoretically 114-134cm). At the same time, the fabric is too thin, wider would not have been pretty. It's not bad quality, but I am very disappointed issue ""heat"" and ""Comfort"". I wanted a hoodie in which I feel comfortable and wa"&amp;"rm in ""chill-and-netflix"" somehow; something large and warm. In conclusion, I would say it is rather a tracksuit sports a hoodie, actually. Be more appropriate for someone younger, dynamic and sporty? In the summer night. But I would not count on it to "&amp;"keep me warm come fall if I'm not already mobile and trying to burn calories at the base.")</f>
        <v>Is closer to sweat jogging as a hoodie. Me disappointed but would appeal to others. I am bothered to note, I hesitate between 2 and 3 stars; and since I took 2 articles, I will put one of each. (But I also understand that a score of 4 or 5 stars would not be undeserved, but for my part I'm disappointed..) * EXTRAS: The printing is pretty and looks good. That's fine. The fabric in itself also seems good, a bit like elastic sweat sport. The delivery also OK. * THE LEAST: By cons, this small size and the tissue is still very thin (though perhaps good, I do not doubt it). But big disappointment at the level of sensation. Autumn arrived I wanted sth of large and warm, a little "moute-moute" and I end up with a kind of big sock mold me well my overweight. Yet I took the L / XL (theoretically 114-134cm). At the same time, the fabric is too thin, wider would not have been pretty. It's not bad quality, but I am very disappointed issue "heat" and "Comfort". I wanted a hoodie in which I feel comfortable and warm in "chill-and-netflix" somehow; something large and warm. In conclusion, I would say it is rather a tracksuit sports a hoodie, actually. Be more appropriate for someone younger, dynamic and sporty? In the summer night. But I would not count on it to keep me warm come fall if I'm not already mobile and trying to burn calories at the base.</v>
      </c>
    </row>
    <row r="2795">
      <c r="A2795" s="1">
        <v>3.0</v>
      </c>
      <c r="B2795" s="1" t="s">
        <v>2773</v>
      </c>
      <c r="C2795" t="str">
        <f>IFERROR(__xludf.DUMMYFUNCTION("GOOGLETRANSLATE(B2795, ""fr"", ""en"")"),"Suitable packing a little cheap. Color a little garish that may suggest the photo. The yarn comes from both sides, I would have preferred one but it is not dramatic. For Sony the price is reasonable. That was a gift and the person was satisfied.")</f>
        <v>Suitable packing a little cheap. Color a little garish that may suggest the photo. The yarn comes from both sides, I would have preferred one but it is not dramatic. For Sony the price is reasonable. That was a gift and the person was satisfied.</v>
      </c>
    </row>
    <row r="2796">
      <c r="A2796" s="1">
        <v>4.0</v>
      </c>
      <c r="B2796" s="1" t="s">
        <v>2774</v>
      </c>
      <c r="C2796" t="str">
        <f>IFERROR(__xludf.DUMMYFUNCTION("GOOGLETRANSLATE(B2796, ""fr"", ""en"")"),"Comfortable but difficult mounting After mounting chair, he tolerates the back and head lets go back a bit, closes it changes enough other armchair where one piles, finished well (apparently). Regarding the installation if you do not like to force things,"&amp;" the internal thread for the screws on both sides of the lower support (back) was really hard to screw (even directly without anything attached) as well as the holes to screw the armrest law were a little too far even being unscrewed most possible armrest"&amp;" left much easier to screw. Notices seen no problem in order after a month, no doubt good chair.")</f>
        <v>Comfortable but difficult mounting After mounting chair, he tolerates the back and head lets go back a bit, closes it changes enough other armchair where one piles, finished well (apparently). Regarding the installation if you do not like to force things, the internal thread for the screws on both sides of the lower support (back) was really hard to screw (even directly without anything attached) as well as the holes to screw the armrest law were a little too far even being unscrewed most possible armrest left much easier to screw. Notices seen no problem in order after a month, no doubt good chair.</v>
      </c>
    </row>
    <row r="2797">
      <c r="A2797" s="1">
        <v>4.0</v>
      </c>
      <c r="B2797" s="1" t="s">
        <v>2775</v>
      </c>
      <c r="C2797" t="str">
        <f>IFERROR(__xludf.DUMMYFUNCTION("GOOGLETRANSLATE(B2797, ""fr"", ""en"")"),"Top Comfortable but the elasticity of the tissues relieves quickly to my taste")</f>
        <v>Top Comfortable but the elasticity of the tissues relieves quickly to my taste</v>
      </c>
    </row>
    <row r="2798">
      <c r="A2798" s="1">
        <v>4.0</v>
      </c>
      <c r="B2798" s="1" t="s">
        <v>2776</v>
      </c>
      <c r="C2798" t="str">
        <f>IFERROR(__xludf.DUMMYFUNCTION("GOOGLETRANSLATE(B2798, ""fr"", ""en"")"),"Met my expectation Super 😊")</f>
        <v>Met my expectation Super 😊</v>
      </c>
    </row>
    <row r="2799">
      <c r="A2799" s="1">
        <v>4.0</v>
      </c>
      <c r="B2799" s="1" t="s">
        <v>2777</v>
      </c>
      <c r="C2799" t="str">
        <f>IFERROR(__xludf.DUMMYFUNCTION("GOOGLETRANSLATE(B2799, ""fr"", ""en"")"),"A solid little big for me but good product")</f>
        <v>A solid little big for me but good product</v>
      </c>
    </row>
    <row r="2800">
      <c r="A2800" s="1">
        <v>5.0</v>
      </c>
      <c r="B2800" s="1" t="s">
        <v>2778</v>
      </c>
      <c r="C2800" t="str">
        <f>IFERROR(__xludf.DUMMYFUNCTION("GOOGLETRANSLATE(B2800, ""fr"", ""en"")"),"Treasury good value Done his job")</f>
        <v>Treasury good value Done his job</v>
      </c>
    </row>
    <row r="2801">
      <c r="A2801" s="1">
        <v>5.0</v>
      </c>
      <c r="B2801" s="1" t="s">
        <v>2779</v>
      </c>
      <c r="C2801" t="str">
        <f>IFERROR(__xludf.DUMMYFUNCTION("GOOGLETRANSLATE(B2801, ""fr"", ""en"")"),"Perfect Occurs well designed and has a sound and perfect bass has good battery life I'm glad product prices and higher but for the moment there is no better")</f>
        <v>Perfect Occurs well designed and has a sound and perfect bass has good battery life I'm glad product prices and higher but for the moment there is no better</v>
      </c>
    </row>
    <row r="2802">
      <c r="A2802" s="1">
        <v>5.0</v>
      </c>
      <c r="B2802" s="1" t="s">
        <v>2780</v>
      </c>
      <c r="C2802" t="str">
        <f>IFERROR(__xludf.DUMMYFUNCTION("GOOGLETRANSLATE(B2802, ""fr"", ""en"")"),"Vans shoes fit me well")</f>
        <v>Vans shoes fit me well</v>
      </c>
    </row>
    <row r="2803">
      <c r="A2803" s="1">
        <v>5.0</v>
      </c>
      <c r="B2803" s="1" t="s">
        <v>2781</v>
      </c>
      <c r="C2803" t="str">
        <f>IFERROR(__xludf.DUMMYFUNCTION("GOOGLETRANSLATE(B2803, ""fr"", ""en"")"),"Just what I was looking for a kettle sober and sympathetic look, robust and fast = Bosch quality. Attention stainless steel finish, the walls are obviously not cold when the water ends to heat (thermal conductivity requires).")</f>
        <v>Just what I was looking for a kettle sober and sympathetic look, robust and fast = Bosch quality. Attention stainless steel finish, the walls are obviously not cold when the water ends to heat (thermal conductivity requires).</v>
      </c>
    </row>
    <row r="2804">
      <c r="A2804" s="1">
        <v>5.0</v>
      </c>
      <c r="B2804" s="1" t="s">
        <v>2782</v>
      </c>
      <c r="C2804" t="str">
        <f>IFERROR(__xludf.DUMMYFUNCTION("GOOGLETRANSLATE(B2804, ""fr"", ""en"")"),"nice bag nice product, nice finish")</f>
        <v>nice bag nice product, nice finish</v>
      </c>
    </row>
    <row r="2805">
      <c r="A2805" s="1">
        <v>5.0</v>
      </c>
      <c r="B2805" s="1" t="s">
        <v>2783</v>
      </c>
      <c r="C2805" t="str">
        <f>IFERROR(__xludf.DUMMYFUNCTION("GOOGLETRANSLATE(B2805, ""fr"", ""en"")"),"Good product Great product, the only downside is the brightness of the screen a bit weak")</f>
        <v>Good product Great product, the only downside is the brightness of the screen a bit weak</v>
      </c>
    </row>
    <row r="2806">
      <c r="A2806" s="1">
        <v>5.0</v>
      </c>
      <c r="B2806" s="1" t="s">
        <v>2784</v>
      </c>
      <c r="C2806" t="str">
        <f>IFERROR(__xludf.DUMMYFUNCTION("GOOGLETRANSLATE(B2806, ""fr"", ""en"")"),"Perfect Very satisfied with this cool bag! I put two bottles and a box of milk powder is perfect, I recommend. FYI closure is orange. Very pretty and mixed.")</f>
        <v>Perfect Very satisfied with this cool bag! I put two bottles and a box of milk powder is perfect, I recommend. FYI closure is orange. Very pretty and mixed.</v>
      </c>
    </row>
    <row r="2807">
      <c r="A2807" s="1">
        <v>5.0</v>
      </c>
      <c r="B2807" s="1" t="s">
        <v>2785</v>
      </c>
      <c r="C2807" t="str">
        <f>IFERROR(__xludf.DUMMYFUNCTION("GOOGLETRANSLATE(B2807, ""fr"", ""en"")"),"Fully compliant Fully compliant Size Color Material Shape")</f>
        <v>Fully compliant Fully compliant Size Color Material Shape</v>
      </c>
    </row>
    <row r="2808">
      <c r="A2808" s="1">
        <v>5.0</v>
      </c>
      <c r="B2808" s="1" t="s">
        <v>2786</v>
      </c>
      <c r="C2808" t="str">
        <f>IFERROR(__xludf.DUMMYFUNCTION("GOOGLETRANSLATE(B2808, ""fr"", ""en"")"),"consistent with the perfect description")</f>
        <v>consistent with the perfect description</v>
      </c>
    </row>
    <row r="2809">
      <c r="A2809" s="1">
        <v>5.0</v>
      </c>
      <c r="B2809" s="1" t="s">
        <v>2787</v>
      </c>
      <c r="C2809" t="str">
        <f>IFERROR(__xludf.DUMMYFUNCTION("GOOGLETRANSLATE(B2809, ""fr"", ""en"")"),"It is an advantageous quite my expectations Under the handle there is a small thickness that prevents fingers from burning.")</f>
        <v>It is an advantageous quite my expectations Under the handle there is a small thickness that prevents fingers from burning.</v>
      </c>
    </row>
    <row r="2810">
      <c r="A2810" s="1">
        <v>5.0</v>
      </c>
      <c r="B2810" s="1" t="s">
        <v>2788</v>
      </c>
      <c r="C2810" t="str">
        <f>IFERROR(__xludf.DUMMYFUNCTION("GOOGLETRANSLATE(B2810, ""fr"", ""en"")"),"Nothing very good and good quality")</f>
        <v>Nothing very good and good quality</v>
      </c>
    </row>
    <row r="2811">
      <c r="A2811" s="1">
        <v>5.0</v>
      </c>
      <c r="B2811" s="1" t="s">
        <v>2789</v>
      </c>
      <c r="C2811" t="str">
        <f>IFERROR(__xludf.DUMMYFUNCTION("GOOGLETRANSLATE(B2811, ""fr"", ""en"")"),"Very good quality / price leather bag of high quality. A remarkable arrangement. Price very attractive.")</f>
        <v>Very good quality / price leather bag of high quality. A remarkable arrangement. Price very attractive.</v>
      </c>
    </row>
    <row r="2812">
      <c r="A2812" s="1">
        <v>5.0</v>
      </c>
      <c r="B2812" s="1" t="s">
        <v>2790</v>
      </c>
      <c r="C2812" t="str">
        <f>IFERROR(__xludf.DUMMYFUNCTION("GOOGLETRANSLATE(B2812, ""fr"", ""en"")"),"Set of 3 boxes of baking soda 3 × 500g Baking soda is widely known around the world, purchased in packs of 3, I am very happy with this good deal price, dear team thank you all.")</f>
        <v>Set of 3 boxes of baking soda 3 × 500g Baking soda is widely known around the world, purchased in packs of 3, I am very happy with this good deal price, dear team thank you all.</v>
      </c>
    </row>
    <row r="2813">
      <c r="A2813" s="1">
        <v>5.0</v>
      </c>
      <c r="B2813" s="1" t="s">
        <v>2791</v>
      </c>
      <c r="C2813" t="str">
        <f>IFERROR(__xludf.DUMMYFUNCTION("GOOGLETRANSLATE(B2813, ""fr"", ""en"")"),"Very good quality VGA cable product that works perfectly, the picture quality is very good")</f>
        <v>Very good quality VGA cable product that works perfectly, the picture quality is very good</v>
      </c>
    </row>
    <row r="2814">
      <c r="A2814" s="1">
        <v>5.0</v>
      </c>
      <c r="B2814" s="1" t="s">
        <v>2792</v>
      </c>
      <c r="C2814" t="str">
        <f>IFERROR(__xludf.DUMMYFUNCTION("GOOGLETRANSLATE(B2814, ""fr"", ""en"")"),"Nice product Nickel beautiful product (long enough for larger women) I recommend")</f>
        <v>Nice product Nickel beautiful product (long enough for larger women) I recommend</v>
      </c>
    </row>
    <row r="2815">
      <c r="A2815" s="1">
        <v>2.0</v>
      </c>
      <c r="B2815" s="1" t="s">
        <v>2793</v>
      </c>
      <c r="C2815" t="str">
        <f>IFERROR(__xludf.DUMMYFUNCTION("GOOGLETRANSLATE(B2815, ""fr"", ""en"")"),"Disappointed Unfortunately, while these socks are branded, and although they are terribly fragile and very thin ... I do not think I stand over 6 months with these socks ... Too bad.")</f>
        <v>Disappointed Unfortunately, while these socks are branded, and although they are terribly fragile and very thin ... I do not think I stand over 6 months with these socks ... Too bad.</v>
      </c>
    </row>
    <row r="2816">
      <c r="A2816" s="1">
        <v>1.0</v>
      </c>
      <c r="B2816" s="1" t="s">
        <v>2794</v>
      </c>
      <c r="C2816" t="str">
        <f>IFERROR(__xludf.DUMMYFUNCTION("GOOGLETRANSLATE(B2816, ""fr"", ""en"")"),"Attention Amazon sends the old model and not the one shown on the pictures !! Aside from the fact that it is the old model is on sale and not the one shown on the pictures, the product is good quality! Indeed, the product I received is an older model of t"&amp;"his bag. The pictures on the website (3rd photo), one can see a clip (with a scratch) on the padded pocket. Besides, it is also stated in the specifications provided by Amazon. The new models are those provided with the fastener. I deplore this deception "&amp;"and misleading advertising that while Amazon deposits looking to sell the stock of the old model who is unattached !! Customer service contacted by phone offered me a replacement, and assured me having ascended the information logistics: the problem is th"&amp;"at the second product received is also a former model! A refund was offered to me (although I expected that they re-engage to send me the right product and to compensate me), but how long can we afford to deceive customers as ? !!")</f>
        <v>Attention Amazon sends the old model and not the one shown on the pictures !! Aside from the fact that it is the old model is on sale and not the one shown on the pictures, the product is good quality! Indeed, the product I received is an older model of this bag. The pictures on the website (3rd photo), one can see a clip (with a scratch) on the padded pocket. Besides, it is also stated in the specifications provided by Amazon. The new models are those provided with the fastener. I deplore this deception and misleading advertising that while Amazon deposits looking to sell the stock of the old model who is unattached !! Customer service contacted by phone offered me a replacement, and assured me having ascended the information logistics: the problem is that the second product received is also a former model! A refund was offered to me (although I expected that they re-engage to send me the right product and to compensate me), but how long can we afford to deceive customers as ? !!</v>
      </c>
    </row>
    <row r="2817">
      <c r="A2817" s="1">
        <v>1.0</v>
      </c>
      <c r="B2817" s="1" t="s">
        <v>2795</v>
      </c>
      <c r="C2817" t="str">
        <f>IFERROR(__xludf.DUMMYFUNCTION("GOOGLETRANSLATE(B2817, ""fr"", ""en"")"),"Disappointment ! Hello, completely dissatisfied. 2 months I played with about 3-4 hours a day, buzzing during charging, plop noise and crackle, if the battery is empty you can not play with this one while charging even plugged in, loss of sound left side "&amp;"and the microphone and here today he did not even care ... I would be refunded. How to do ? Thank you")</f>
        <v>Disappointment ! Hello, completely dissatisfied. 2 months I played with about 3-4 hours a day, buzzing during charging, plop noise and crackle, if the battery is empty you can not play with this one while charging even plugged in, loss of sound left side and the microphone and here today he did not even care ... I would be refunded. How to do ? Thank you</v>
      </c>
    </row>
    <row r="2818">
      <c r="A2818" s="1">
        <v>3.0</v>
      </c>
      <c r="B2818" s="1" t="s">
        <v>2796</v>
      </c>
      <c r="C2818" t="str">
        <f>IFERROR(__xludf.DUMMYFUNCTION("GOOGLETRANSLATE(B2818, ""fr"", ""en"")"),"Good value for money!! As usual for Timberland Euro Sprint ..... Good shoes, wearable and beautiful cup. Size it right, most slightly larger than sports shoes as usual (allow 1/2 size larger than for sneakers, for those who do not know) The material is no"&amp;"t ordinary leather but a kind of din on top. However they do not seem so fragile. I pay around 100 euros and it is worth it.")</f>
        <v>Good value for money!! As usual for Timberland Euro Sprint ..... Good shoes, wearable and beautiful cup. Size it right, most slightly larger than sports shoes as usual (allow 1/2 size larger than for sneakers, for those who do not know) The material is not ordinary leather but a kind of din on top. However they do not seem so fragile. I pay around 100 euros and it is worth it.</v>
      </c>
    </row>
    <row r="2819">
      <c r="A2819" s="1">
        <v>4.0</v>
      </c>
      <c r="B2819" s="1" t="s">
        <v>2797</v>
      </c>
      <c r="C2819" t="str">
        <f>IFERROR(__xludf.DUMMYFUNCTION("GOOGLETRANSLATE(B2819, ""fr"", ""en"")"),"Size perfectly. Size great, great product.")</f>
        <v>Size perfectly. Size great, great product.</v>
      </c>
    </row>
    <row r="2820">
      <c r="A2820" s="1">
        <v>4.0</v>
      </c>
      <c r="B2820" s="1" t="s">
        <v>2798</v>
      </c>
      <c r="C2820" t="str">
        <f>IFERROR(__xludf.DUMMYFUNCTION("GOOGLETRANSLATE(B2820, ""fr"", ""en"")"),"Good product Very nice jewelry.")</f>
        <v>Good product Very nice jewelry.</v>
      </c>
    </row>
    <row r="2821">
      <c r="A2821" s="1">
        <v>4.0</v>
      </c>
      <c r="B2821" s="1" t="s">
        <v>2799</v>
      </c>
      <c r="C2821" t="str">
        <f>IFERROR(__xludf.DUMMYFUNCTION("GOOGLETRANSLATE(B2821, ""fr"", ""en"")"),"Correct Good product.")</f>
        <v>Correct Good product.</v>
      </c>
    </row>
    <row r="2822">
      <c r="A2822" s="1">
        <v>4.0</v>
      </c>
      <c r="B2822" s="1" t="s">
        <v>2800</v>
      </c>
      <c r="C2822" t="str">
        <f>IFERROR(__xludf.DUMMYFUNCTION("GOOGLETRANSLATE(B2822, ""fr"", ""en"")"),"Although thin paper but it is always good to have the gift paper in this amount because we always need. The price is good but the paper is thin enough, beware tears easily")</f>
        <v>Although thin paper but it is always good to have the gift paper in this amount because we always need. The price is good but the paper is thin enough, beware tears easily</v>
      </c>
    </row>
    <row r="2823">
      <c r="A2823" s="1">
        <v>5.0</v>
      </c>
      <c r="B2823" s="1" t="s">
        <v>2801</v>
      </c>
      <c r="C2823" t="str">
        <f>IFERROR(__xludf.DUMMYFUNCTION("GOOGLETRANSLATE(B2823, ""fr"", ""en"")"),"Good product. One clings a bit complicated Very nice watch. Works extremely well, no complaints. Keeps well in hand. The accriche is a bit difficult to pass but once done, no problem")</f>
        <v>Good product. One clings a bit complicated Very nice watch. Works extremely well, no complaints. Keeps well in hand. The accriche is a bit difficult to pass but once done, no problem</v>
      </c>
    </row>
    <row r="2824">
      <c r="A2824" s="1">
        <v>5.0</v>
      </c>
      <c r="B2824" s="1" t="s">
        <v>2802</v>
      </c>
      <c r="C2824" t="str">
        <f>IFERROR(__xludf.DUMMYFUNCTION("GOOGLETRANSLATE(B2824, ""fr"", ""en"")"),"great product I've tested several sprinklers for 3 years. I had never tried Tommee Tippee This time I wanted to try something other than what is found in supermarkets, so I tried this one. It is suitable for all baby bottles. I used to baby bottles of the"&amp;" same brand as for baby bottles was smaller neck competing brand. It is really perfect, holds good, solid, cleans effectively in all the corners. I recommend this product.")</f>
        <v>great product I've tested several sprinklers for 3 years. I had never tried Tommee Tippee This time I wanted to try something other than what is found in supermarkets, so I tried this one. It is suitable for all baby bottles. I used to baby bottles of the same brand as for baby bottles was smaller neck competing brand. It is really perfect, holds good, solid, cleans effectively in all the corners. I recommend this product.</v>
      </c>
    </row>
    <row r="2825">
      <c r="A2825" s="1">
        <v>5.0</v>
      </c>
      <c r="B2825" s="1" t="s">
        <v>2803</v>
      </c>
      <c r="C2825" t="str">
        <f>IFERROR(__xludf.DUMMYFUNCTION("GOOGLETRANSLATE(B2825, ""fr"", ""en"")"),"RAS is well for now RAS")</f>
        <v>RAS is well for now RAS</v>
      </c>
    </row>
    <row r="2826">
      <c r="A2826" s="1">
        <v>5.0</v>
      </c>
      <c r="B2826" s="1" t="s">
        <v>2804</v>
      </c>
      <c r="C2826" t="str">
        <f>IFERROR(__xludf.DUMMYFUNCTION("GOOGLETRANSLATE(B2826, ""fr"", ""en"")"),"true after a year, they are still alive !!! Suddenly a machine to wash and you're off again for several days")</f>
        <v>true after a year, they are still alive !!! Suddenly a machine to wash and you're off again for several days</v>
      </c>
    </row>
    <row r="2827">
      <c r="A2827" s="1">
        <v>5.0</v>
      </c>
      <c r="B2827" s="1" t="s">
        <v>2805</v>
      </c>
      <c r="C2827" t="str">
        <f>IFERROR(__xludf.DUMMYFUNCTION("GOOGLETRANSLATE(B2827, ""fr"", ""en"")"),"Top A simple product to use, design, diffusing essential oils desired. It makes the job well. I do not regret my purchase!")</f>
        <v>Top A simple product to use, design, diffusing essential oils desired. It makes the job well. I do not regret my purchase!</v>
      </c>
    </row>
    <row r="2828">
      <c r="A2828" s="1">
        <v>5.0</v>
      </c>
      <c r="B2828" s="1" t="s">
        <v>2806</v>
      </c>
      <c r="C2828" t="str">
        <f>IFERROR(__xludf.DUMMYFUNCTION("GOOGLETRANSLATE(B2828, ""fr"", ""en"")"),"Satisfied C is packed in the box. It easy recognition with Bluetooth and the sound quality is perfect. Clear. the first function is well on the karaoke.")</f>
        <v>Satisfied C is packed in the box. It easy recognition with Bluetooth and the sound quality is perfect. Clear. the first function is well on the karaoke.</v>
      </c>
    </row>
    <row r="2829">
      <c r="A2829" s="1">
        <v>5.0</v>
      </c>
      <c r="B2829" s="1" t="s">
        <v>2807</v>
      </c>
      <c r="C2829" t="str">
        <f>IFERROR(__xludf.DUMMYFUNCTION("GOOGLETRANSLATE(B2829, ""fr"", ""en"")"),"Solid and aesthetic I use it for 3 months in the train. Very good sound isolating well. The headset folds easily and fits perfectly in the holster. The helmet is solid and friendly design.")</f>
        <v>Solid and aesthetic I use it for 3 months in the train. Very good sound isolating well. The headset folds easily and fits perfectly in the holster. The helmet is solid and friendly design.</v>
      </c>
    </row>
    <row r="2830">
      <c r="A2830" s="1">
        <v>5.0</v>
      </c>
      <c r="B2830" s="1" t="s">
        <v>2808</v>
      </c>
      <c r="C2830" t="str">
        <f>IFERROR(__xludf.DUMMYFUNCTION("GOOGLETRANSLATE(B2830, ""fr"", ""en"")"),"Very good coffee I wanted a kettle temperature setting, I'm not disappointed by this model that I use every day with pleasure. Positives: - ease of use, the temperature setting is easily done - fast heat - Design - function to keep hot water - very easy p"&amp;"ayment without spilling water (this was the case of my old) - provided the filters Cons: - when one wishes to remove the kettle, the base tends to remain fixed, be careful not to take it with. Small design problem there - updating the filling gauge is not"&amp;" immediate")</f>
        <v>Very good coffee I wanted a kettle temperature setting, I'm not disappointed by this model that I use every day with pleasure. Positives: - ease of use, the temperature setting is easily done - fast heat - Design - function to keep hot water - very easy payment without spilling water (this was the case of my old) - provided the filters Cons: - when one wishes to remove the kettle, the base tends to remain fixed, be careful not to take it with. Small design problem there - updating the filling gauge is not immediate</v>
      </c>
    </row>
    <row r="2831">
      <c r="A2831" s="1">
        <v>5.0</v>
      </c>
      <c r="B2831" s="1" t="s">
        <v>2809</v>
      </c>
      <c r="C2831" t="str">
        <f>IFERROR(__xludf.DUMMYFUNCTION("GOOGLETRANSLATE(B2831, ""fr"", ""en"")"),"A bag beautiful and practical bag that is aesthetically beautiful, I put my wallet, my s7 edge and super short key practice. As for the brand I already had bags of this brand which lasted well so hopefully it will be the same for this one.")</f>
        <v>A bag beautiful and practical bag that is aesthetically beautiful, I put my wallet, my s7 edge and super short key practice. As for the brand I already had bags of this brand which lasted well so hopefully it will be the same for this one.</v>
      </c>
    </row>
    <row r="2832">
      <c r="A2832" s="1">
        <v>5.0</v>
      </c>
      <c r="B2832" s="1" t="s">
        <v>2810</v>
      </c>
      <c r="C2832" t="str">
        <f>IFERROR(__xludf.DUMMYFUNCTION("GOOGLETRANSLATE(B2832, ""fr"", ""en"")"),"nice stylish")</f>
        <v>nice stylish</v>
      </c>
    </row>
    <row r="2833">
      <c r="A2833" s="1">
        <v>5.0</v>
      </c>
      <c r="B2833" s="1" t="s">
        <v>2811</v>
      </c>
      <c r="C2833" t="str">
        <f>IFERROR(__xludf.DUMMYFUNCTION("GOOGLETRANSLATE(B2833, ""fr"", ""en"")"),"Very good product &lt;div id = ""video-block-RDCNMHLM2GPJ1"" class = ""a-section-spacing-small in-spacing-top mini video-block""&gt; &lt;/ div&gt; &lt;input type = ""hidden"" name = """" value = ""https://images-eu.ssl-images-amazon.com/images/I/B1++YMmbC8S.mp4"" class "&amp;"= ""video-url""&gt; &lt;input type = ""hidden"" name = """" value = ""https://images-eu.ssl-images-amazon.com/images/I/912ECkfZKLS.png"" class = ""video-slate-img-url""&gt; &amp; nbsp; This really is a great product in addition, you get 2 mics, suddenly we can enliven"&amp;" an evening 2 people, or as I did have fun at karaoke ... Very easy to install, for example I have connected to my sound bar, the instructions supplied also in french, the scope of the microphones has very good air, a really professional product for as am"&amp;"ateur, transportable everywhere.")</f>
        <v>Very good product &lt;div id = "video-block-RDCNMHLM2GPJ1" class = "a-section-spacing-small in-spacing-top mini video-block"&gt; &lt;/ div&gt; &lt;input type = "hidden" name = "" value = "https://images-eu.ssl-images-amazon.com/images/I/B1++YMmbC8S.mp4" class = "video-url"&gt; &lt;input type = "hidden" name = "" value = "https://images-eu.ssl-images-amazon.com/images/I/912ECkfZKLS.png" class = "video-slate-img-url"&gt; &amp; nbsp; This really is a great product in addition, you get 2 mics, suddenly we can enliven an evening 2 people, or as I did have fun at karaoke ... Very easy to install, for example I have connected to my sound bar, the instructions supplied also in french, the scope of the microphones has very good air, a really professional product for as amateur, transportable everywhere.</v>
      </c>
    </row>
    <row r="2834">
      <c r="A2834" s="1">
        <v>5.0</v>
      </c>
      <c r="B2834" s="1" t="s">
        <v>2812</v>
      </c>
      <c r="C2834" t="str">
        <f>IFERROR(__xludf.DUMMYFUNCTION("GOOGLETRANSLATE(B2834, ""fr"", ""en"")"),"well I offered this headset to my father for his birthday. Already, he was able to install one, so I would say it is easy to install. My father is very happy, the sound is good, and the helmet ""isolates"" more external noise than her previous headphones."&amp;" only downside, it is that according to the program, he has to climb a little sound of the TV, because even with the maximum helmet, he does not hear well. Overall, he is very satisfied.")</f>
        <v>well I offered this headset to my father for his birthday. Already, he was able to install one, so I would say it is easy to install. My father is very happy, the sound is good, and the helmet "isolates" more external noise than her previous headphones. only downside, it is that according to the program, he has to climb a little sound of the TV, because even with the maximum helmet, he does not hear well. Overall, he is very satisfied.</v>
      </c>
    </row>
    <row r="2835">
      <c r="A2835" s="1">
        <v>5.0</v>
      </c>
      <c r="B2835" s="1" t="s">
        <v>2813</v>
      </c>
      <c r="C2835" t="str">
        <f>IFERROR(__xludf.DUMMYFUNCTION("GOOGLETRANSLATE(B2835, ""fr"", ""en"")"),"Excellent or even more. Extraordinarily very well built, in fact burstable, manufactured in China, but quality american take with the close yeaux can be shine with creme Sapphire")</f>
        <v>Excellent or even more. Extraordinarily very well built, in fact burstable, manufactured in China, but quality american take with the close yeaux can be shine with creme Sapphire</v>
      </c>
    </row>
    <row r="2836">
      <c r="A2836" s="1">
        <v>5.0</v>
      </c>
      <c r="B2836" s="1" t="s">
        <v>2814</v>
      </c>
      <c r="C2836" t="str">
        <f>IFERROR(__xludf.DUMMYFUNCTION("GOOGLETRANSLATE(B2836, ""fr"", ""en"")"),"Bracelet Stone Bracelet very nice that holds up well to the wrist As the expected virtues, it is not obvious, but I bought it primarily for its aesthetics ..")</f>
        <v>Bracelet Stone Bracelet very nice that holds up well to the wrist As the expected virtues, it is not obvious, but I bought it primarily for its aesthetics ..</v>
      </c>
    </row>
    <row r="2837">
      <c r="A2837" s="1">
        <v>5.0</v>
      </c>
      <c r="B2837" s="1" t="s">
        <v>2815</v>
      </c>
      <c r="C2837" t="str">
        <f>IFERROR(__xludf.DUMMYFUNCTION("GOOGLETRANSLATE(B2837, ""fr"", ""en"")"),"Keeping quiet and listening Because reading moments are privileged moments with her child but also relaxation and especially the opportunity to give her child the desire to discover other stories and a love of books. I do not hesitate to put 5 stars becau"&amp;"se it's a beautiful book, a story that probes the child different reactions, different feelings. There is only one character, a boy named Camille but it will be visited by many animals. Camille has built a huge castle but now construction collapses. All a"&amp;"nimals come to comfort, each in his own way. Some advised him to scream, others store, laugh, revenge, etc., but Camille listens to no one until the rabbit is slowly approaches him ... The child discovers the history along with the images and made the acq"&amp;"uaintance of several animals. We can ask him how he would react instead of Camille and enable it to his feelings.")</f>
        <v>Keeping quiet and listening Because reading moments are privileged moments with her child but also relaxation and especially the opportunity to give her child the desire to discover other stories and a love of books. I do not hesitate to put 5 stars because it's a beautiful book, a story that probes the child different reactions, different feelings. There is only one character, a boy named Camille but it will be visited by many animals. Camille has built a huge castle but now construction collapses. All animals come to comfort, each in his own way. Some advised him to scream, others store, laugh, revenge, etc., but Camille listens to no one until the rabbit is slowly approaches him ... The child discovers the history along with the images and made the acquaintance of several animals. We can ask him how he would react instead of Camille and enable it to his feelings.</v>
      </c>
    </row>
    <row r="2838">
      <c r="A2838" s="1">
        <v>2.0</v>
      </c>
      <c r="B2838" s="1" t="s">
        <v>2816</v>
      </c>
      <c r="C2838" t="str">
        <f>IFERROR(__xludf.DUMMYFUNCTION("GOOGLETRANSLATE(B2838, ""fr"", ""en"")"),"Not bad ... when it works! At the reception we found it convenient since bcp do not take place. Then the heating time seemed sooooo long we especially when baby is hungry, and then the issue was resolved this morning no longer works. We bought there only "&amp;"a month !! Disappointed !!!")</f>
        <v>Not bad ... when it works! At the reception we found it convenient since bcp do not take place. Then the heating time seemed sooooo long we especially when baby is hungry, and then the issue was resolved this morning no longer works. We bought there only a month !! Disappointed !!!</v>
      </c>
    </row>
    <row r="2839">
      <c r="A2839" s="1">
        <v>1.0</v>
      </c>
      <c r="B2839" s="1" t="s">
        <v>2817</v>
      </c>
      <c r="C2839" t="str">
        <f>IFERROR(__xludf.DUMMYFUNCTION("GOOGLETRANSLATE(B2839, ""fr"", ""en"")"),"Disappointed by the mask and Amazon After using the elastic is torn. I did not select for this article a service return. Very disappointed by Amazon.")</f>
        <v>Disappointed by the mask and Amazon After using the elastic is torn. I did not select for this article a service return. Very disappointed by Amazon.</v>
      </c>
    </row>
    <row r="2840">
      <c r="A2840" s="1">
        <v>3.0</v>
      </c>
      <c r="B2840" s="1" t="s">
        <v>2818</v>
      </c>
      <c r="C2840" t="str">
        <f>IFERROR(__xludf.DUMMYFUNCTION("GOOGLETRANSLATE(B2840, ""fr"", ""en"")"),"Check in with rust spots: / At the opening, surprise tasks of oxidation on the basis of the product (see photos), which are not parties to the wash. Failure primarily aesthetic, but I'm still disappointed precisely because the aesthetic is one of the reas"&amp;"ons I wanted this kettle, the design is simple and makes good in my kitchen. Otherwise it is a good tea, I mean, it does its job. To see in time. Good value at first glance, fairly quiet compared to my old kettle and easy to clean. Happy with my purchase,"&amp;" despite its minor flaws.")</f>
        <v>Check in with rust spots: / At the opening, surprise tasks of oxidation on the basis of the product (see photos), which are not parties to the wash. Failure primarily aesthetic, but I'm still disappointed precisely because the aesthetic is one of the reasons I wanted this kettle, the design is simple and makes good in my kitchen. Otherwise it is a good tea, I mean, it does its job. To see in time. Good value at first glance, fairly quiet compared to my old kettle and easy to clean. Happy with my purchase, despite its minor flaws.</v>
      </c>
    </row>
    <row r="2841">
      <c r="A2841" s="1">
        <v>3.0</v>
      </c>
      <c r="B2841" s="1" t="s">
        <v>2819</v>
      </c>
      <c r="C2841" t="str">
        <f>IFERROR(__xludf.DUMMYFUNCTION("GOOGLETRANSLATE(B2841, ""fr"", ""en"")"),"For hiking shoes It does not seem appropriate for trail: too rigid and not enough cushioning. However for hiking it can do the trick. Warning, they tend to cut a bit large compared to running shoes.")</f>
        <v>For hiking shoes It does not seem appropriate for trail: too rigid and not enough cushioning. However for hiking it can do the trick. Warning, they tend to cut a bit large compared to running shoes.</v>
      </c>
    </row>
    <row r="2842">
      <c r="A2842" s="1">
        <v>4.0</v>
      </c>
      <c r="B2842" s="1" t="s">
        <v>2820</v>
      </c>
      <c r="C2842" t="str">
        <f>IFERROR(__xludf.DUMMYFUNCTION("GOOGLETRANSLATE(B2842, ""fr"", ""en"")"),"very nice watch I just received, consistent with the advertising, nice and works well; you choose the city (Paris) and it regulates itself :-) is lègère and seems solid. I recommend especially with the current price.")</f>
        <v>very nice watch I just received, consistent with the advertising, nice and works well; you choose the city (Paris) and it regulates itself :-) is lègère and seems solid. I recommend especially with the current price.</v>
      </c>
    </row>
    <row r="2843">
      <c r="A2843" s="1">
        <v>4.0</v>
      </c>
      <c r="B2843" s="1" t="s">
        <v>2821</v>
      </c>
      <c r="C2843" t="str">
        <f>IFERROR(__xludf.DUMMYFUNCTION("GOOGLETRANSLATE(B2843, ""fr"", ""en"")"),"Beautiful shoes Very nice pair of shoes that fits perfectly my expectations. This gift has brought joy to my brother")</f>
        <v>Beautiful shoes Very nice pair of shoes that fits perfectly my expectations. This gift has brought joy to my brother</v>
      </c>
    </row>
    <row r="2844">
      <c r="A2844" s="1">
        <v>4.0</v>
      </c>
      <c r="B2844" s="1" t="s">
        <v>1547</v>
      </c>
      <c r="C2844" t="str">
        <f>IFERROR(__xludf.DUMMYFUNCTION("GOOGLETRANSLATE(B2844, ""fr"", ""en"")"),"Ras Ras")</f>
        <v>Ras Ras</v>
      </c>
    </row>
    <row r="2845">
      <c r="A2845" s="1">
        <v>4.0</v>
      </c>
      <c r="B2845" s="1" t="s">
        <v>2822</v>
      </c>
      <c r="C2845" t="str">
        <f>IFERROR(__xludf.DUMMYFUNCTION("GOOGLETRANSLATE(B2845, ""fr"", ""en"")"),"beach shoe thank you for all your comments daughter shoes of 36 and 37 took the nickel Ormis that sizes are not very well suited nickel shoe")</f>
        <v>beach shoe thank you for all your comments daughter shoes of 36 and 37 took the nickel Ormis that sizes are not very well suited nickel shoe</v>
      </c>
    </row>
    <row r="2846">
      <c r="A2846" s="1">
        <v>5.0</v>
      </c>
      <c r="B2846" s="1" t="s">
        <v>2823</v>
      </c>
      <c r="C2846" t="str">
        <f>IFERROR(__xludf.DUMMYFUNCTION("GOOGLETRANSLATE(B2846, ""fr"", ""en"")"),"Excellent product! Our baby used in passed without worries this pacifier. It has 6 months now and we still use that size for 2 bottles containing milk only and size 4 for those with a slight addition of grain. The only thing I can criticize is a rubber ye"&amp;"llowing with use but it is aesthetic. I recommend without reservation ... Edit of 01/04/2016: rubber yellowing was from my wife who had mixed carrot in the bottle ... In any case he did was a yellowing plastic ... so goes a star my opinion.")</f>
        <v>Excellent product! Our baby used in passed without worries this pacifier. It has 6 months now and we still use that size for 2 bottles containing milk only and size 4 for those with a slight addition of grain. The only thing I can criticize is a rubber yellowing with use but it is aesthetic. I recommend without reservation ... Edit of 01/04/2016: rubber yellowing was from my wife who had mixed carrot in the bottle ... In any case he did was a yellowing plastic ... so goes a star my opinion.</v>
      </c>
    </row>
    <row r="2847">
      <c r="A2847" s="1">
        <v>5.0</v>
      </c>
      <c r="B2847" s="1" t="s">
        <v>2824</v>
      </c>
      <c r="C2847" t="str">
        <f>IFERROR(__xludf.DUMMYFUNCTION("GOOGLETRANSLATE(B2847, ""fr"", ""en"")"),"Superb Very nice, happy")</f>
        <v>Superb Very nice, happy</v>
      </c>
    </row>
    <row r="2848">
      <c r="A2848" s="1">
        <v>5.0</v>
      </c>
      <c r="B2848" s="1" t="s">
        <v>2825</v>
      </c>
      <c r="C2848" t="str">
        <f>IFERROR(__xludf.DUMMYFUNCTION("GOOGLETRANSLATE(B2848, ""fr"", ""en"")"),"Delighted with this purchase Color and size corresponding to my expectations")</f>
        <v>Delighted with this purchase Color and size corresponding to my expectations</v>
      </c>
    </row>
    <row r="2849">
      <c r="A2849" s="1">
        <v>5.0</v>
      </c>
      <c r="B2849" s="1" t="s">
        <v>2826</v>
      </c>
      <c r="C2849" t="str">
        <f>IFERROR(__xludf.DUMMYFUNCTION("GOOGLETRANSLATE(B2849, ""fr"", ""en"")"),"Very good I bought it for my son. Size fine and super quality! faster than expected delivery. I recommend this article")</f>
        <v>Very good I bought it for my son. Size fine and super quality! faster than expected delivery. I recommend this article</v>
      </c>
    </row>
    <row r="2850">
      <c r="A2850" s="1">
        <v>5.0</v>
      </c>
      <c r="B2850" s="1" t="s">
        <v>2827</v>
      </c>
      <c r="C2850" t="str">
        <f>IFERROR(__xludf.DUMMYFUNCTION("GOOGLETRANSLATE(B2850, ""fr"", ""en"")"),"perfect bottle This bottle I never get tired of having used several brand bottles is this bottle that has adapted most easily to my baby and especially for maintenance, it is very easy to wash and sterilize .")</f>
        <v>perfect bottle This bottle I never get tired of having used several brand bottles is this bottle that has adapted most easily to my baby and especially for maintenance, it is very easy to wash and sterilize .</v>
      </c>
    </row>
    <row r="2851">
      <c r="A2851" s="1">
        <v>5.0</v>
      </c>
      <c r="B2851" s="1" t="s">
        <v>2828</v>
      </c>
      <c r="C2851" t="str">
        <f>IFERROR(__xludf.DUMMYFUNCTION("GOOGLETRANSLATE(B2851, ""fr"", ""en"")"),"Very good very good price / quality ratio")</f>
        <v>Very good very good price / quality ratio</v>
      </c>
    </row>
    <row r="2852">
      <c r="A2852" s="1">
        <v>5.0</v>
      </c>
      <c r="B2852" s="1" t="s">
        <v>2829</v>
      </c>
      <c r="C2852" t="str">
        <f>IFERROR(__xludf.DUMMYFUNCTION("GOOGLETRANSLATE(B2852, ""fr"", ""en"")"),"Satisfied! Not many bottle pattern sold very satisfied then store this purchase and the pictures do not go in the dishwasher")</f>
        <v>Satisfied! Not many bottle pattern sold very satisfied then store this purchase and the pictures do not go in the dishwasher</v>
      </c>
    </row>
    <row r="2853">
      <c r="A2853" s="1">
        <v>5.0</v>
      </c>
      <c r="B2853" s="1" t="s">
        <v>2830</v>
      </c>
      <c r="C2853" t="str">
        <f>IFERROR(__xludf.DUMMYFUNCTION("GOOGLETRANSLATE(B2853, ""fr"", ""en"")"),"Excellent bag The bag is very beautiful, very simple, we feel that it is robust and stands well. Beware of the crocodile, it is metal and easily loses its paint if you rub against a wall for example")</f>
        <v>Excellent bag The bag is very beautiful, very simple, we feel that it is robust and stands well. Beware of the crocodile, it is metal and easily loses its paint if you rub against a wall for example</v>
      </c>
    </row>
    <row r="2854">
      <c r="A2854" s="1">
        <v>5.0</v>
      </c>
      <c r="B2854" s="1" t="s">
        <v>2831</v>
      </c>
      <c r="C2854" t="str">
        <f>IFERROR(__xludf.DUMMYFUNCTION("GOOGLETRANSLATE(B2854, ""fr"", ""en"")"),"Excellent Very good camera device that is felt in the high-end finishes. The product is also somewhat hanging limestone")</f>
        <v>Excellent Very good camera device that is felt in the high-end finishes. The product is also somewhat hanging limestone</v>
      </c>
    </row>
    <row r="2855">
      <c r="A2855" s="1">
        <v>5.0</v>
      </c>
      <c r="B2855" s="1" t="s">
        <v>2832</v>
      </c>
      <c r="C2855" t="str">
        <f>IFERROR(__xludf.DUMMYFUNCTION("GOOGLETRANSLATE(B2855, ""fr"", ""en"")"),"Okay Like all other products of this brand that I could use: solid, sober and functional. I can go a lot of things in, a 5.5 smartphone ""with its case, a checkbook, a big book, a pack of cigarettes ... Very good balance volume / size / number of storage")</f>
        <v>Okay Like all other products of this brand that I could use: solid, sober and functional. I can go a lot of things in, a 5.5 smartphone "with its case, a checkbook, a big book, a pack of cigarettes ... Very good balance volume / size / number of storage</v>
      </c>
    </row>
    <row r="2856">
      <c r="A2856" s="1">
        <v>5.0</v>
      </c>
      <c r="B2856" s="1" t="s">
        <v>2833</v>
      </c>
      <c r="C2856" t="str">
        <f>IFERROR(__xludf.DUMMYFUNCTION("GOOGLETRANSLATE(B2856, ""fr"", ""en"")"),"Top Easy to assemble, transport and washing, elegant and good quality! No complaints")</f>
        <v>Top Easy to assemble, transport and washing, elegant and good quality! No complaints</v>
      </c>
    </row>
    <row r="2857">
      <c r="A2857" s="1">
        <v>5.0</v>
      </c>
      <c r="B2857" s="1" t="s">
        <v>2834</v>
      </c>
      <c r="C2857" t="str">
        <f>IFERROR(__xludf.DUMMYFUNCTION("GOOGLETRANSLATE(B2857, ""fr"", ""en"")"),"My wife loves ""Different vibration modes depending on your mood and your wishes. The battery is used for a long time, the product is not too noisy, I recommend it!""")</f>
        <v>My wife loves "Different vibration modes depending on your mood and your wishes. The battery is used for a long time, the product is not too noisy, I recommend it!"</v>
      </c>
    </row>
    <row r="2858">
      <c r="A2858" s="1">
        <v>5.0</v>
      </c>
      <c r="B2858" s="1" t="s">
        <v>2835</v>
      </c>
      <c r="C2858" t="str">
        <f>IFERROR(__xludf.DUMMYFUNCTION("GOOGLETRANSLATE(B2858, ""fr"", ""en"")"),"Well frankly it's fine I use them for home")</f>
        <v>Well frankly it's fine I use them for home</v>
      </c>
    </row>
    <row r="2859">
      <c r="A2859" s="1">
        <v>5.0</v>
      </c>
      <c r="B2859" s="1" t="s">
        <v>2836</v>
      </c>
      <c r="C2859" t="str">
        <f>IFERROR(__xludf.DUMMYFUNCTION("GOOGLETRANSLATE(B2859, ""fr"", ""en"")"),"Legendary Few objects can claim to be legendary, this watch is one of them. She has topped the wrist of famous people (young obama) but African 50 and over swear by it. It shows the time, made the clock, lights with difficulty, and affirms its presence by"&amp;" two high beeps every hour (on / off), it does nothing else, but it's a legend.")</f>
        <v>Legendary Few objects can claim to be legendary, this watch is one of them. She has topped the wrist of famous people (young obama) but African 50 and over swear by it. It shows the time, made the clock, lights with difficulty, and affirms its presence by two high beeps every hour (on / off), it does nothing else, but it's a legend.</v>
      </c>
    </row>
    <row r="2860">
      <c r="A2860" s="1">
        <v>5.0</v>
      </c>
      <c r="B2860" s="1" t="s">
        <v>2837</v>
      </c>
      <c r="C2860" t="str">
        <f>IFERROR(__xludf.DUMMYFUNCTION("GOOGLETRANSLATE(B2860, ""fr"", ""en"")"),"That happiness Wow beautiful helmet 🎧 excellent quality super well packed I took with the Marshall case like this when I hand in my travels my helmet 🎧 is well protected because it is ideal helmet lights wired or Bluetooth frankly you can please view th"&amp;"e quality of the helmet Amazon congratulations and thank you !!! I always find my happiness at Amazon ❤️")</f>
        <v>That happiness Wow beautiful helmet 🎧 excellent quality super well packed I took with the Marshall case like this when I hand in my travels my helmet 🎧 is well protected because it is ideal helmet lights wired or Bluetooth frankly you can please view the quality of the helmet Amazon congratulations and thank you !!! I always find my happiness at Amazon ❤️</v>
      </c>
    </row>
    <row r="2861">
      <c r="A2861" s="1">
        <v>2.0</v>
      </c>
      <c r="B2861" s="1" t="s">
        <v>2838</v>
      </c>
      <c r="C2861" t="str">
        <f>IFERROR(__xludf.DUMMYFUNCTION("GOOGLETRANSLATE(B2861, ""fr"", ""en"")"),"Not convinced dutout not good material, consistent size and good print. shameful stitching on the sleeves!")</f>
        <v>Not convinced dutout not good material, consistent size and good print. shameful stitching on the sleeves!</v>
      </c>
    </row>
    <row r="2862">
      <c r="A2862" s="1">
        <v>1.0</v>
      </c>
      <c r="B2862" s="1" t="s">
        <v>2839</v>
      </c>
      <c r="C2862" t="str">
        <f>IFERROR(__xludf.DUMMYFUNCTION("GOOGLETRANSLATE(B2862, ""fr"", ""en"")"),"Good product I use it in the life of every day and the day to day rotation after the week I work half is only 2 days that works")</f>
        <v>Good product I use it in the life of every day and the day to day rotation after the week I work half is only 2 days that works</v>
      </c>
    </row>
    <row r="2863">
      <c r="A2863" s="1">
        <v>1.0</v>
      </c>
      <c r="B2863" s="1" t="s">
        <v>2840</v>
      </c>
      <c r="C2863" t="str">
        <f>IFERROR(__xludf.DUMMYFUNCTION("GOOGLETRANSLATE(B2863, ""fr"", ""en"")"),"not huge attention for the photo, I was expecting a large coil: not everything about 10cm high. Brief c is to troubleshoot the garden.")</f>
        <v>not huge attention for the photo, I was expecting a large coil: not everything about 10cm high. Brief c is to troubleshoot the garden.</v>
      </c>
    </row>
    <row r="2864">
      <c r="A2864" s="1">
        <v>3.0</v>
      </c>
      <c r="B2864" s="1" t="s">
        <v>2841</v>
      </c>
      <c r="C2864" t="str">
        <f>IFERROR(__xludf.DUMMYFUNCTION("GOOGLETRANSLATE(B2864, ""fr"", ""en"")"),"Necklace for woman I put only 3 stars to this product. The chain is very fine .... So disappointed in this product ..")</f>
        <v>Necklace for woman I put only 3 stars to this product. The chain is very fine .... So disappointed in this product ..</v>
      </c>
    </row>
    <row r="2865">
      <c r="A2865" s="1">
        <v>3.0</v>
      </c>
      <c r="B2865" s="1" t="s">
        <v>2842</v>
      </c>
      <c r="C2865" t="str">
        <f>IFERROR(__xludf.DUMMYFUNCTION("GOOGLETRANSLATE(B2865, ""fr"", ""en"")"),"ca goes without more I love this headphone can lie flat, I like that it's quiet, and the sound is correct. As against the ear glide over my ears when I bend the head, and therefore tend to fall (I like to listen to music while cleaning!). A little frustra"&amp;"ting.")</f>
        <v>ca goes without more I love this headphone can lie flat, I like that it's quiet, and the sound is correct. As against the ear glide over my ears when I bend the head, and therefore tend to fall (I like to listen to music while cleaning!). A little frustrating.</v>
      </c>
    </row>
    <row r="2866">
      <c r="A2866" s="1">
        <v>4.0</v>
      </c>
      <c r="B2866" s="1" t="s">
        <v>2843</v>
      </c>
      <c r="C2866" t="str">
        <f>IFERROR(__xludf.DUMMYFUNCTION("GOOGLETRANSLATE(B2866, ""fr"", ""en"")"),"N There is no noise, and easy to use. For the interior, it also works to repel mosquitoes ...")</f>
        <v>N There is no noise, and easy to use. For the interior, it also works to repel mosquitoes ...</v>
      </c>
    </row>
    <row r="2867">
      <c r="A2867" s="1">
        <v>4.0</v>
      </c>
      <c r="B2867" s="1" t="s">
        <v>2844</v>
      </c>
      <c r="C2867" t="str">
        <f>IFERROR(__xludf.DUMMYFUNCTION("GOOGLETRANSLATE(B2867, ""fr"", ""en"")"),"Top Very nice, very good cushioning and very light for me who walk a lot at work. Very pleased with these safety shoes")</f>
        <v>Top Very nice, very good cushioning and very light for me who walk a lot at work. Very pleased with these safety shoes</v>
      </c>
    </row>
    <row r="2868">
      <c r="A2868" s="1">
        <v>4.0</v>
      </c>
      <c r="B2868" s="1" t="s">
        <v>2845</v>
      </c>
      <c r="C2868" t="str">
        <f>IFERROR(__xludf.DUMMYFUNCTION("GOOGLETRANSLATE(B2868, ""fr"", ""en"")"),"Good quality large size")</f>
        <v>Good quality large size</v>
      </c>
    </row>
    <row r="2869">
      <c r="A2869" s="1">
        <v>4.0</v>
      </c>
      <c r="B2869" s="1" t="s">
        <v>2846</v>
      </c>
      <c r="C2869" t="str">
        <f>IFERROR(__xludf.DUMMYFUNCTION("GOOGLETRANSLATE(B2869, ""fr"", ""en"")"),"Good 👍🏼 headphone high quality headphones, perfect, only negative but really to say a negative thing it is a bit big even folded but it's really difficult to do. This is the 2nd I buy a gift for the second and final for me because it is really great and"&amp;" super delivery rapide.👍🏼👍🏼👍🏼 For the life I can not say because the first 8mois helmet and mine 3JR. The helmet 5-6jr yours with an average of 2 hours of no day use. And the connection jack is appreciable when one has no battery.")</f>
        <v>Good 👍🏼 headphone high quality headphones, perfect, only negative but really to say a negative thing it is a bit big even folded but it's really difficult to do. This is the 2nd I buy a gift for the second and final for me because it is really great and super delivery rapide.👍🏼👍🏼👍🏼 For the life I can not say because the first 8mois helmet and mine 3JR. The helmet 5-6jr yours with an average of 2 hours of no day use. And the connection jack is appreciable when one has no battery.</v>
      </c>
    </row>
    <row r="2870">
      <c r="A2870" s="1">
        <v>5.0</v>
      </c>
      <c r="B2870" s="1" t="s">
        <v>2847</v>
      </c>
      <c r="C2870" t="str">
        <f>IFERROR(__xludf.DUMMYFUNCTION("GOOGLETRANSLATE(B2870, ""fr"", ""en"")"),"Very nice Nothing to say everything is perfect")</f>
        <v>Very nice Nothing to say everything is perfect</v>
      </c>
    </row>
    <row r="2871">
      <c r="A2871" s="1">
        <v>5.0</v>
      </c>
      <c r="B2871" s="1" t="s">
        <v>2848</v>
      </c>
      <c r="C2871" t="str">
        <f>IFERROR(__xludf.DUMMYFUNCTION("GOOGLETRANSLATE(B2871, ""fr"", ""en"")"),"Beautiful shoe quality good, it cut it right in there inside fur, and yours truly hot. This winter is going to have cold feet. Shoe box is of good quality, it can be used for my attic. shoe recommend")</f>
        <v>Beautiful shoe quality good, it cut it right in there inside fur, and yours truly hot. This winter is going to have cold feet. Shoe box is of good quality, it can be used for my attic. shoe recommend</v>
      </c>
    </row>
    <row r="2872">
      <c r="A2872" s="1">
        <v>5.0</v>
      </c>
      <c r="B2872" s="1" t="s">
        <v>1687</v>
      </c>
      <c r="C2872" t="str">
        <f>IFERROR(__xludf.DUMMYFUNCTION("GOOGLETRANSLATE(B2872, ""fr"", ""en"")"),"Super Super")</f>
        <v>Super Super</v>
      </c>
    </row>
    <row r="2873">
      <c r="A2873" s="1">
        <v>5.0</v>
      </c>
      <c r="B2873" s="1" t="s">
        <v>2849</v>
      </c>
      <c r="C2873" t="str">
        <f>IFERROR(__xludf.DUMMYFUNCTION("GOOGLETRANSLATE(B2873, ""fr"", ""en"")"),"Old Skool Good shoes Vans. The delivery is fast, the size is perfect. Correspond to the description by the seller.")</f>
        <v>Old Skool Good shoes Vans. The delivery is fast, the size is perfect. Correspond to the description by the seller.</v>
      </c>
    </row>
    <row r="2874">
      <c r="A2874" s="1">
        <v>5.0</v>
      </c>
      <c r="B2874" s="1" t="s">
        <v>2850</v>
      </c>
      <c r="C2874" t="str">
        <f>IFERROR(__xludf.DUMMYFUNCTION("GOOGLETRANSLATE(B2874, ""fr"", ""en"")"),"Great ! Great ! Sweet as expected, no problem size, perfect! I can highly recommend it ideal for sports like hang out at home")</f>
        <v>Great ! Great ! Sweet as expected, no problem size, perfect! I can highly recommend it ideal for sports like hang out at home</v>
      </c>
    </row>
    <row r="2875">
      <c r="A2875" s="1">
        <v>5.0</v>
      </c>
      <c r="B2875" s="1" t="s">
        <v>2851</v>
      </c>
      <c r="C2875" t="str">
        <f>IFERROR(__xludf.DUMMYFUNCTION("GOOGLETRANSLATE(B2875, ""fr"", ""en"")"),"really very beautiful and very class shows class I board")</f>
        <v>really very beautiful and very class shows class I board</v>
      </c>
    </row>
    <row r="2876">
      <c r="A2876" s="1">
        <v>5.0</v>
      </c>
      <c r="B2876" s="1" t="s">
        <v>2852</v>
      </c>
      <c r="C2876" t="str">
        <f>IFERROR(__xludf.DUMMYFUNCTION("GOOGLETRANSLATE(B2876, ""fr"", ""en"")"),"Highly recommended for fans Gift for my daughter, she was ecstatic !!!! The sweet corresponds to the description, it normal size. No problems with washing.")</f>
        <v>Highly recommended for fans Gift for my daughter, she was ecstatic !!!! The sweet corresponds to the description, it normal size. No problems with washing.</v>
      </c>
    </row>
    <row r="2877">
      <c r="A2877" s="1">
        <v>5.0</v>
      </c>
      <c r="B2877" s="1" t="s">
        <v>2853</v>
      </c>
      <c r="C2877" t="str">
        <f>IFERROR(__xludf.DUMMYFUNCTION("GOOGLETRANSLATE(B2877, ""fr"", ""en"")"),"Son Quality Quality glad nickel nickel")</f>
        <v>Son Quality Quality glad nickel nickel</v>
      </c>
    </row>
    <row r="2878">
      <c r="A2878" s="1">
        <v>5.0</v>
      </c>
      <c r="B2878" s="1" t="s">
        <v>2854</v>
      </c>
      <c r="C2878" t="str">
        <f>IFERROR(__xludf.DUMMYFUNCTION("GOOGLETRANSLATE(B2878, ""fr"", ""en"")"),"Yes great product I love beloved")</f>
        <v>Yes great product I love beloved</v>
      </c>
    </row>
    <row r="2879">
      <c r="A2879" s="1">
        <v>5.0</v>
      </c>
      <c r="B2879" s="1" t="s">
        <v>2855</v>
      </c>
      <c r="C2879" t="str">
        <f>IFERROR(__xludf.DUMMYFUNCTION("GOOGLETRANSLATE(B2879, ""fr"", ""en"")"),"leggings striped stripes give the style I am very happy with this legging.")</f>
        <v>leggings striped stripes give the style I am very happy with this legging.</v>
      </c>
    </row>
    <row r="2880">
      <c r="A2880" s="1">
        <v>5.0</v>
      </c>
      <c r="B2880" s="1" t="s">
        <v>2856</v>
      </c>
      <c r="C2880" t="str">
        <f>IFERROR(__xludf.DUMMYFUNCTION("GOOGLETRANSLATE(B2880, ""fr"", ""en"")"),"Men's Watch Casio Wave Ceptor LCW-M100DSE Very happy with this purchase. The only complaint record is very small. Not easy to handle.")</f>
        <v>Men's Watch Casio Wave Ceptor LCW-M100DSE Very happy with this purchase. The only complaint record is very small. Not easy to handle.</v>
      </c>
    </row>
    <row r="2881">
      <c r="A2881" s="1">
        <v>5.0</v>
      </c>
      <c r="B2881" s="1" t="s">
        <v>2857</v>
      </c>
      <c r="C2881" t="str">
        <f>IFERROR(__xludf.DUMMYFUNCTION("GOOGLETRANSLATE(B2881, ""fr"", ""en"")"),"I am very satisfied bracelet fine looking. My wife loves it and the door often, I am very satisfied, I recommend it perfect.")</f>
        <v>I am very satisfied bracelet fine looking. My wife loves it and the door often, I am very satisfied, I recommend it perfect.</v>
      </c>
    </row>
    <row r="2882">
      <c r="A2882" s="1">
        <v>5.0</v>
      </c>
      <c r="B2882" s="1" t="s">
        <v>2858</v>
      </c>
      <c r="C2882" t="str">
        <f>IFERROR(__xludf.DUMMYFUNCTION("GOOGLETRANSLATE(B2882, ""fr"", ""en"")"),"Very nice article of the description. Although a bit heavy my daughter loved")</f>
        <v>Very nice article of the description. Although a bit heavy my daughter loved</v>
      </c>
    </row>
    <row r="2883">
      <c r="A2883" s="1">
        <v>5.0</v>
      </c>
      <c r="B2883" s="1" t="s">
        <v>2859</v>
      </c>
      <c r="C2883" t="str">
        <f>IFERROR(__xludf.DUMMYFUNCTION("GOOGLETRANSLATE(B2883, ""fr"", ""en"")"),"What a time saver for Mom This baby bottle praprateur is the best the market currently. It allows not check whether the amount of water or milk is good, whether to add or remove all done automlatiquement. I recommend this product as a gift of birth !!!")</f>
        <v>What a time saver for Mom This baby bottle praprateur is the best the market currently. It allows not check whether the amount of water or milk is good, whether to add or remove all done automlatiquement. I recommend this product as a gift of birth !!!</v>
      </c>
    </row>
    <row r="2884">
      <c r="A2884" s="1">
        <v>5.0</v>
      </c>
      <c r="B2884" s="1" t="s">
        <v>2860</v>
      </c>
      <c r="C2884" t="str">
        <f>IFERROR(__xludf.DUMMYFUNCTION("GOOGLETRANSLATE(B2884, ""fr"", ""en"")"),"Impeccable for outdoor dining ... And for the nights! Impeccable for outdoor dining ... And for the nights!")</f>
        <v>Impeccable for outdoor dining ... And for the nights! Impeccable for outdoor dining ... And for the nights!</v>
      </c>
    </row>
    <row r="2885">
      <c r="A2885" s="1">
        <v>2.0</v>
      </c>
      <c r="B2885" s="1" t="s">
        <v>2861</v>
      </c>
      <c r="C2885" t="str">
        <f>IFERROR(__xludf.DUMMYFUNCTION("GOOGLETRANSLATE(B2885, ""fr"", ""en"")"),"That is very pretty shoes, but its size is small, I had to return the first pair (allow 1 size and more - I'm used to this brand and normally, I know the size) + fairly narrow. And not very comfortable on rough terrain due to lateral support scavenger: na"&amp;"rrow sole with good grip, but the fool spikes high enough, so ,, foot hand fast enough laterally: attention to ankles ... (I had alerts with the foot that is embarking on the side)")</f>
        <v>That is very pretty shoes, but its size is small, I had to return the first pair (allow 1 size and more - I'm used to this brand and normally, I know the size) + fairly narrow. And not very comfortable on rough terrain due to lateral support scavenger: narrow sole with good grip, but the fool spikes high enough, so ,, foot hand fast enough laterally: attention to ankles ... (I had alerts with the foot that is embarking on the side)</v>
      </c>
    </row>
    <row r="2886">
      <c r="A2886" s="1">
        <v>1.0</v>
      </c>
      <c r="B2886" s="1" t="s">
        <v>2862</v>
      </c>
      <c r="C2886" t="str">
        <f>IFERROR(__xludf.DUMMYFUNCTION("GOOGLETRANSLATE(B2886, ""fr"", ""en"")"),"blah Poor quality cotton. Transparency on the t-shirt and low-end finishes.")</f>
        <v>blah Poor quality cotton. Transparency on the t-shirt and low-end finishes.</v>
      </c>
    </row>
    <row r="2887">
      <c r="A2887" s="1">
        <v>1.0</v>
      </c>
      <c r="B2887" s="1" t="s">
        <v>2863</v>
      </c>
      <c r="C2887" t="str">
        <f>IFERROR(__xludf.DUMMYFUNCTION("GOOGLETRANSLATE(B2887, ""fr"", ""en"")"),"2 broken frangible closures which 1 disjointed. Many but inaccessible pockets when they are filled. To avoid. To avoid. To avoid")</f>
        <v>2 broken frangible closures which 1 disjointed. Many but inaccessible pockets when they are filled. To avoid. To avoid. To avoid</v>
      </c>
    </row>
    <row r="2888">
      <c r="A2888" s="1">
        <v>3.0</v>
      </c>
      <c r="B2888" s="1" t="s">
        <v>2864</v>
      </c>
      <c r="C2888" t="str">
        <f>IFERROR(__xludf.DUMMYFUNCTION("GOOGLETRANSLATE(B2888, ""fr"", ""en"")"),"I think originally required the country of manufacture should be on the presentation of the product. When a brand to a multi-sourcing it is important to know where the products.")</f>
        <v>I think originally required the country of manufacture should be on the presentation of the product. When a brand to a multi-sourcing it is important to know where the products.</v>
      </c>
    </row>
    <row r="2889">
      <c r="A2889" s="1">
        <v>4.0</v>
      </c>
      <c r="B2889" s="1" t="s">
        <v>2865</v>
      </c>
      <c r="C2889" t="str">
        <f>IFERROR(__xludf.DUMMYFUNCTION("GOOGLETRANSLATE(B2889, ""fr"", ""en"")"),"Autonomy and reception quality after reading the various comments, I worried about the sound quality and numerous cuts outlined in the comments while listening. I've used these headphones with different interfaces and it appears that according to the mean"&amp;"s used (tablet or phone or amp), listening stability is not the same without crippling beings because only with my smartphone j 'I had the cuts and a level of its relatively strong. This assessment is also valid as the quality of the recording or streamin"&amp;"g listened. For my part I am very satisfied with the sound quality and especially on the reception quality. I use these headphones for different activities (sports, crafts, listening to music in the house) and I appreciate the good reception in every room"&amp;" and even when I lose connection dice I'll be back in a coverage area headphones reconnect automatically.")</f>
        <v>Autonomy and reception quality after reading the various comments, I worried about the sound quality and numerous cuts outlined in the comments while listening. I've used these headphones with different interfaces and it appears that according to the means used (tablet or phone or amp), listening stability is not the same without crippling beings because only with my smartphone j 'I had the cuts and a level of its relatively strong. This assessment is also valid as the quality of the recording or streaming listened. For my part I am very satisfied with the sound quality and especially on the reception quality. I use these headphones for different activities (sports, crafts, listening to music in the house) and I appreciate the good reception in every room and even when I lose connection dice I'll be back in a coverage area headphones reconnect automatically.</v>
      </c>
    </row>
    <row r="2890">
      <c r="A2890" s="1">
        <v>4.0</v>
      </c>
      <c r="B2890" s="1" t="s">
        <v>2866</v>
      </c>
      <c r="C2890" t="str">
        <f>IFERROR(__xludf.DUMMYFUNCTION("GOOGLETRANSLATE(B2890, ""fr"", ""en"")"),"Very hot ! I have an extremely timid husband feet and who spent his time complaining. I offered these slippers. It adoooorrrrree !! he said he finally warm! By cons they actually Shoe little. My husband made the 44/45 and I took him 46 which suits him ver"&amp;"y well.")</f>
        <v>Very hot ! I have an extremely timid husband feet and who spent his time complaining. I offered these slippers. It adoooorrrrree !! he said he finally warm! By cons they actually Shoe little. My husband made the 44/45 and I took him 46 which suits him very well.</v>
      </c>
    </row>
    <row r="2891">
      <c r="A2891" s="1">
        <v>4.0</v>
      </c>
      <c r="B2891" s="1" t="s">
        <v>2867</v>
      </c>
      <c r="C2891" t="str">
        <f>IFERROR(__xludf.DUMMYFUNCTION("GOOGLETRANSLATE(B2891, ""fr"", ""en"")"),"Good practice produces good product, very handy for drying bottles. Do not take too much space on the worktop. The colors are nice. For cons, the gutter to collect water is not very large and everything is plastic (hence the 4/5 for strength)")</f>
        <v>Good practice produces good product, very handy for drying bottles. Do not take too much space on the worktop. The colors are nice. For cons, the gutter to collect water is not very large and everything is plastic (hence the 4/5 for strength)</v>
      </c>
    </row>
    <row r="2892">
      <c r="A2892" s="1">
        <v>4.0</v>
      </c>
      <c r="B2892" s="1" t="s">
        <v>2868</v>
      </c>
      <c r="C2892" t="str">
        <f>IFERROR(__xludf.DUMMYFUNCTION("GOOGLETRANSLATE(B2892, ""fr"", ""en"")"),"bright and beautiful It's a great kettle of a large capacity (1.7 liters) whose particularity is to light up in blue when the water heater. Nice design modern glass and chrome steel and fine quality for this kettle that is stable and easy to handle, the l"&amp;"id opens with a pressure on the handle and reaches the boil quickly. Although compact, it occupies little space and visually provides an indicator through the drawing of a small cup, handy when you have a small amount of heating. What makes its beauty is "&amp;"also a disadvantage because the walls of the glass kettle are very hot when running and tartar quickly tarnishes even using spring water, it is necessary to regularly operate with water containing alcohol vinegar to it regains its radiance, at least every"&amp;" two or three days in case of repeated use, and it quickly becomes binding")</f>
        <v>bright and beautiful It's a great kettle of a large capacity (1.7 liters) whose particularity is to light up in blue when the water heater. Nice design modern glass and chrome steel and fine quality for this kettle that is stable and easy to handle, the lid opens with a pressure on the handle and reaches the boil quickly. Although compact, it occupies little space and visually provides an indicator through the drawing of a small cup, handy when you have a small amount of heating. What makes its beauty is also a disadvantage because the walls of the glass kettle are very hot when running and tartar quickly tarnishes even using spring water, it is necessary to regularly operate with water containing alcohol vinegar to it regains its radiance, at least every two or three days in case of repeated use, and it quickly becomes binding</v>
      </c>
    </row>
    <row r="2893">
      <c r="A2893" s="1">
        <v>4.0</v>
      </c>
      <c r="B2893" s="1" t="s">
        <v>2869</v>
      </c>
      <c r="C2893" t="str">
        <f>IFERROR(__xludf.DUMMYFUNCTION("GOOGLETRANSLATE(B2893, ""fr"", ""en"")"),"pretty fun gadget but practical side. the measures in pluysieur standards help")</f>
        <v>pretty fun gadget but practical side. the measures in pluysieur standards help</v>
      </c>
    </row>
    <row r="2894">
      <c r="A2894" s="1">
        <v>5.0</v>
      </c>
      <c r="B2894" s="1" t="s">
        <v>2870</v>
      </c>
      <c r="C2894" t="str">
        <f>IFERROR(__xludf.DUMMYFUNCTION("GOOGLETRANSLATE(B2894, ""fr"", ""en"")"),"I was looking headset wireless headset to listen to music while mowing my lawn. I found it with this headset that in addition to having been delivered in 24 hours, not having paid dearly, the sound is really really good. I can almost hear over the noise o"&amp;"f the mower and the chore of mowing the lawn and now a rock while ... I recommend this helmet")</f>
        <v>I was looking headset wireless headset to listen to music while mowing my lawn. I found it with this headset that in addition to having been delivered in 24 hours, not having paid dearly, the sound is really really good. I can almost hear over the noise of the mower and the chore of mowing the lawn and now a rock while ... I recommend this helmet</v>
      </c>
    </row>
    <row r="2895">
      <c r="A2895" s="1">
        <v>5.0</v>
      </c>
      <c r="B2895" s="1" t="s">
        <v>2871</v>
      </c>
      <c r="C2895" t="str">
        <f>IFERROR(__xludf.DUMMYFUNCTION("GOOGLETRANSLATE(B2895, ""fr"", ""en"")"),"Perfect size, filled with the goals when buying")</f>
        <v>Perfect size, filled with the goals when buying</v>
      </c>
    </row>
    <row r="2896">
      <c r="A2896" s="1">
        <v>5.0</v>
      </c>
      <c r="B2896" s="1" t="s">
        <v>2872</v>
      </c>
      <c r="C2896" t="str">
        <f>IFERROR(__xludf.DUMMYFUNCTION("GOOGLETRANSLATE(B2896, ""fr"", ""en"")"),"Gift A perfect birth place of all births lists! This kit is perfect for a good start with her new baby. It contains bottles (2 small and 2 large), a cleaning brush and a pacifier for newborn. These bottles are a little different from what I used, the valv"&amp;"e anti-colic is actually a stem that goes almost to the bottom of the bottle. In addition the rod is responsive to the heat ... if the milk is too hot the rod indicates. It's a little more useful. The teats are well adapted to breastfed babies but will su"&amp;"it any newborn. A great kit!")</f>
        <v>Gift A perfect birth place of all births lists! This kit is perfect for a good start with her new baby. It contains bottles (2 small and 2 large), a cleaning brush and a pacifier for newborn. These bottles are a little different from what I used, the valve anti-colic is actually a stem that goes almost to the bottom of the bottle. In addition the rod is responsive to the heat ... if the milk is too hot the rod indicates. It's a little more useful. The teats are well adapted to breastfed babies but will suit any newborn. A great kit!</v>
      </c>
    </row>
    <row r="2897">
      <c r="A2897" s="1">
        <v>5.0</v>
      </c>
      <c r="B2897" s="1" t="s">
        <v>2873</v>
      </c>
      <c r="C2897" t="str">
        <f>IFERROR(__xludf.DUMMYFUNCTION("GOOGLETRANSLATE(B2897, ""fr"", ""en"")"),"Very good! I play 42 normally and I had to take size 40 this model. Real shoes!")</f>
        <v>Very good! I play 42 normally and I had to take size 40 this model. Real shoes!</v>
      </c>
    </row>
    <row r="2898">
      <c r="A2898" s="1">
        <v>5.0</v>
      </c>
      <c r="B2898" s="1" t="s">
        <v>2874</v>
      </c>
      <c r="C2898" t="str">
        <f>IFERROR(__xludf.DUMMYFUNCTION("GOOGLETRANSLATE(B2898, ""fr"", ""en"")"),"This watch is very useful practical and pretty For my work, when I go by boat, to swim")</f>
        <v>This watch is very useful practical and pretty For my work, when I go by boat, to swim</v>
      </c>
    </row>
    <row r="2899">
      <c r="A2899" s="1">
        <v>5.0</v>
      </c>
      <c r="B2899" s="1" t="s">
        <v>2875</v>
      </c>
      <c r="C2899" t="str">
        <f>IFERROR(__xludf.DUMMYFUNCTION("GOOGLETRANSLATE(B2899, ""fr"", ""en"")"),"Perfect for novices looking for quality! I was looking for a good quality helmet without ruining myself, just to listen to music (what a joy to read files in FLAC by the way), the sound is incredibly pure, especially for that price .. .")</f>
        <v>Perfect for novices looking for quality! I was looking for a good quality helmet without ruining myself, just to listen to music (what a joy to read files in FLAC by the way), the sound is incredibly pure, especially for that price .. .</v>
      </c>
    </row>
    <row r="2900">
      <c r="A2900" s="1">
        <v>5.0</v>
      </c>
      <c r="B2900" s="1" t="s">
        <v>2876</v>
      </c>
      <c r="C2900" t="str">
        <f>IFERROR(__xludf.DUMMYFUNCTION("GOOGLETRANSLATE(B2900, ""fr"", ""en"")"),"wonder what a bargain for lower back pain, neck, shoulders even surrounded thigh against cramps, well distributed and adjustable heat")</f>
        <v>wonder what a bargain for lower back pain, neck, shoulders even surrounded thigh against cramps, well distributed and adjustable heat</v>
      </c>
    </row>
    <row r="2901">
      <c r="A2901" s="1">
        <v>5.0</v>
      </c>
      <c r="B2901" s="1" t="s">
        <v>2877</v>
      </c>
      <c r="C2901" t="str">
        <f>IFERROR(__xludf.DUMMYFUNCTION("GOOGLETRANSLATE(B2901, ""fr"", ""en"")"),"Excellent value product arrived with a carrying case. Very beautiful and comfortable to wear, size 0.5 provide more on my side. At the top for the city and the indoor sport, however will not hold the shock by running or hiking.")</f>
        <v>Excellent value product arrived with a carrying case. Very beautiful and comfortable to wear, size 0.5 provide more on my side. At the top for the city and the indoor sport, however will not hold the shock by running or hiking.</v>
      </c>
    </row>
    <row r="2902">
      <c r="A2902" s="1">
        <v>5.0</v>
      </c>
      <c r="B2902" s="1" t="s">
        <v>2878</v>
      </c>
      <c r="C2902" t="str">
        <f>IFERROR(__xludf.DUMMYFUNCTION("GOOGLETRANSLATE(B2902, ""fr"", ""en"")"),"very good product support throat I recommend thank you")</f>
        <v>very good product support throat I recommend thank you</v>
      </c>
    </row>
    <row r="2903">
      <c r="A2903" s="1">
        <v>5.0</v>
      </c>
      <c r="B2903" s="1" t="s">
        <v>2879</v>
      </c>
      <c r="C2903" t="str">
        <f>IFERROR(__xludf.DUMMYFUNCTION("GOOGLETRANSLATE(B2903, ""fr"", ""en"")"),"shows perfect and inexpensive It has it all: waterproof, 10 years of independence, a precision worthy of a Swiss watch, 5 alarms and 5 time zones, a close look at the sports Seiko 1000, a solid metal bracelet, good readability of the screen, a very good l"&amp;"ight. The only flaw: the date is difficult to read.")</f>
        <v>shows perfect and inexpensive It has it all: waterproof, 10 years of independence, a precision worthy of a Swiss watch, 5 alarms and 5 time zones, a close look at the sports Seiko 1000, a solid metal bracelet, good readability of the screen, a very good light. The only flaw: the date is difficult to read.</v>
      </c>
    </row>
    <row r="2904">
      <c r="A2904" s="1">
        <v>5.0</v>
      </c>
      <c r="B2904" s="1" t="s">
        <v>2880</v>
      </c>
      <c r="C2904" t="str">
        <f>IFERROR(__xludf.DUMMYFUNCTION("GOOGLETRANSLATE(B2904, ""fr"", ""en"")"),"Delighted with my purchase in town or at work (inside) originality / single forbid it. Light and comfortable to wear")</f>
        <v>Delighted with my purchase in town or at work (inside) originality / single forbid it. Light and comfortable to wear</v>
      </c>
    </row>
    <row r="2905">
      <c r="A2905" s="1">
        <v>5.0</v>
      </c>
      <c r="B2905" s="1" t="s">
        <v>2881</v>
      </c>
      <c r="C2905" t="str">
        <f>IFERROR(__xludf.DUMMYFUNCTION("GOOGLETRANSLATE(B2905, ""fr"", ""en"")"),"smooth and color Alarm Perfect for hard of hearing in the morning! Light and pleasant; read the instructions for various settings")</f>
        <v>smooth and color Alarm Perfect for hard of hearing in the morning! Light and pleasant; read the instructions for various settings</v>
      </c>
    </row>
    <row r="2906">
      <c r="A2906" s="1">
        <v>5.0</v>
      </c>
      <c r="B2906" s="1" t="s">
        <v>2882</v>
      </c>
      <c r="C2906" t="str">
        <f>IFERROR(__xludf.DUMMYFUNCTION("GOOGLETRANSLATE(B2906, ""fr"", ""en"")"),"toilet paper I recommend customers to buy me was I each order his remains long very good brand very soft not very expensive especially you are quiet")</f>
        <v>toilet paper I recommend customers to buy me was I each order his remains long very good brand very soft not very expensive especially you are quiet</v>
      </c>
    </row>
    <row r="2907">
      <c r="A2907" s="1">
        <v>5.0</v>
      </c>
      <c r="B2907" s="1" t="s">
        <v>2883</v>
      </c>
      <c r="C2907" t="str">
        <f>IFERROR(__xludf.DUMMYFUNCTION("GOOGLETRANSLATE(B2907, ""fr"", ""en"")"),"Result up to my expectations used on two pairs (of the Hudson brand, I paid around 100 euros) I have two years without ever having dealt with before. The result is clear, I am satisfied with the product. The instructions are simple and written on the prod"&amp;"uct. I personally used an old cotton T-shirt for the application, which works very well. I recommend !")</f>
        <v>Result up to my expectations used on two pairs (of the Hudson brand, I paid around 100 euros) I have two years without ever having dealt with before. The result is clear, I am satisfied with the product. The instructions are simple and written on the product. I personally used an old cotton T-shirt for the application, which works very well. I recommend !</v>
      </c>
    </row>
    <row r="2908">
      <c r="A2908" s="1">
        <v>5.0</v>
      </c>
      <c r="B2908" s="1" t="s">
        <v>2884</v>
      </c>
      <c r="C2908" t="str">
        <f>IFERROR(__xludf.DUMMYFUNCTION("GOOGLETRANSLATE(B2908, ""fr"", ""en"")"),"Perfectly perfect solid Socks, perfect for my safety shoes")</f>
        <v>Perfectly perfect solid Socks, perfect for my safety shoes</v>
      </c>
    </row>
    <row r="2909">
      <c r="A2909" s="1">
        <v>5.0</v>
      </c>
      <c r="B2909" s="1" t="s">
        <v>2885</v>
      </c>
      <c r="C2909" t="str">
        <f>IFERROR(__xludf.DUMMYFUNCTION("GOOGLETRANSLATE(B2909, ""fr"", ""en"")"),"These boots are made for walking Delivered on time, these boots fit their description, excellent workmanship. Soon arrived, soon roadways and comfort awaits you. As for their life? We'll see later...")</f>
        <v>These boots are made for walking Delivered on time, these boots fit their description, excellent workmanship. Soon arrived, soon roadways and comfort awaits you. As for their life? We'll see later...</v>
      </c>
    </row>
    <row r="2910">
      <c r="A2910" s="1">
        <v>2.0</v>
      </c>
      <c r="B2910" s="1" t="s">
        <v>2886</v>
      </c>
      <c r="C2910" t="str">
        <f>IFERROR(__xludf.DUMMYFUNCTION("GOOGLETRANSLATE(B2910, ""fr"", ""en"")"),"pallet incomplete hello it is the second time I order this product, and in both cases im missing two color pencil")</f>
        <v>pallet incomplete hello it is the second time I order this product, and in both cases im missing two color pencil</v>
      </c>
    </row>
    <row r="2911">
      <c r="A2911" s="1">
        <v>1.0</v>
      </c>
      <c r="B2911" s="1" t="s">
        <v>2887</v>
      </c>
      <c r="C2911" t="str">
        <f>IFERROR(__xludf.DUMMYFUNCTION("GOOGLETRANSLATE(B2911, ""fr"", ""en"")"),"Really too small Disappointed by the size that's too small by standards. Viewpoint quality, the fabric looks very fine.")</f>
        <v>Really too small Disappointed by the size that's too small by standards. Viewpoint quality, the fabric looks very fine.</v>
      </c>
    </row>
    <row r="2912">
      <c r="A2912" s="1">
        <v>3.0</v>
      </c>
      <c r="B2912" s="1" t="s">
        <v>2888</v>
      </c>
      <c r="C2912" t="str">
        <f>IFERROR(__xludf.DUMMYFUNCTION("GOOGLETRANSLATE(B2912, ""fr"", ""en"")"),"Original but not in line I bought two pairs of Timberland on amazon to size 7.4 / 41 EU (Brown and Black). The first suits me perfectly. The second pair this one (black) hugs me too much to the right foot. In addition, the boots make a lot of noise when I"&amp;" walk with. Otherwise the delivery is fast enough in 3 workdays. the product quality. I'm just disappointed that I am manufacturing fouled.")</f>
        <v>Original but not in line I bought two pairs of Timberland on amazon to size 7.4 / 41 EU (Brown and Black). The first suits me perfectly. The second pair this one (black) hugs me too much to the right foot. In addition, the boots make a lot of noise when I walk with. Otherwise the delivery is fast enough in 3 workdays. the product quality. I'm just disappointed that I am manufacturing fouled.</v>
      </c>
    </row>
    <row r="2913">
      <c r="A2913" s="1">
        <v>3.0</v>
      </c>
      <c r="B2913" s="1" t="s">
        <v>2889</v>
      </c>
      <c r="C2913" t="str">
        <f>IFERROR(__xludf.DUMMYFUNCTION("GOOGLETRANSLATE(B2913, ""fr"", ""en"")"),"Double Ring phalanx however Jolie ring relative to the picture I was expecting better but this is a nice jewelry to wear.")</f>
        <v>Double Ring phalanx however Jolie ring relative to the picture I was expecting better but this is a nice jewelry to wear.</v>
      </c>
    </row>
    <row r="2914">
      <c r="A2914" s="1">
        <v>4.0</v>
      </c>
      <c r="B2914" s="1" t="s">
        <v>2890</v>
      </c>
      <c r="C2914" t="str">
        <f>IFERROR(__xludf.DUMMYFUNCTION("GOOGLETRANSLATE(B2914, ""fr"", ""en"")"),"super comfortable but for that, I have sent the pair I had ordered 39.5 (half size larger than my usual size in Clarks) and I have taken in 39.5 41. I ' took me a long time to put one and more to remove. Now with the new size, I like slippers")</f>
        <v>super comfortable but for that, I have sent the pair I had ordered 39.5 (half size larger than my usual size in Clarks) and I have taken in 39.5 41. I ' took me a long time to put one and more to remove. Now with the new size, I like slippers</v>
      </c>
    </row>
    <row r="2915">
      <c r="A2915" s="1">
        <v>4.0</v>
      </c>
      <c r="B2915" s="1" t="s">
        <v>2891</v>
      </c>
      <c r="C2915" t="str">
        <f>IFERROR(__xludf.DUMMYFUNCTION("GOOGLETRANSLATE(B2915, ""fr"", ""en"")"),"Nice I expected a slightly smaller one lamp, I misread the description. Light donx can move without problem everywhere. Do not heat and light is really powerful. I have not long enough to talk about efficiency in the long term. But it helps me to motivate"&amp;" me in the morning")</f>
        <v>Nice I expected a slightly smaller one lamp, I misread the description. Light donx can move without problem everywhere. Do not heat and light is really powerful. I have not long enough to talk about efficiency in the long term. But it helps me to motivate me in the morning</v>
      </c>
    </row>
    <row r="2916">
      <c r="A2916" s="1">
        <v>4.0</v>
      </c>
      <c r="B2916" s="1" t="s">
        <v>2892</v>
      </c>
      <c r="C2916" t="str">
        <f>IFERROR(__xludf.DUMMYFUNCTION("GOOGLETRANSLATE(B2916, ""fr"", ""en"")"),"Very good choice Complies control very good quality out put some files that exceed but nothing significant and comes with two weeks ahead I recommend 👍")</f>
        <v>Very good choice Complies control very good quality out put some files that exceed but nothing significant and comes with two weeks ahead I recommend 👍</v>
      </c>
    </row>
    <row r="2917">
      <c r="A2917" s="1">
        <v>4.0</v>
      </c>
      <c r="B2917" s="1" t="s">
        <v>2893</v>
      </c>
      <c r="C2917" t="str">
        <f>IFERROR(__xludf.DUMMYFUNCTION("GOOGLETRANSLATE(B2917, ""fr"", ""en"")"),"Good product quality, a little strong in low Used for 3 weeks, a good value for money. Good audio quality, too low for my taste. It is corrected well with an equalizer. Good performance and comfort ears. Bluetooth reception unsurprisingly, at least 10m. I"&amp;" work in openspace and noise reduction headphones on off very good (passive) very correct charge Case.")</f>
        <v>Good product quality, a little strong in low Used for 3 weeks, a good value for money. Good audio quality, too low for my taste. It is corrected well with an equalizer. Good performance and comfort ears. Bluetooth reception unsurprisingly, at least 10m. I work in openspace and noise reduction headphones on off very good (passive) very correct charge Case.</v>
      </c>
    </row>
    <row r="2918">
      <c r="A2918" s="1">
        <v>5.0</v>
      </c>
      <c r="B2918" s="1" t="s">
        <v>2894</v>
      </c>
      <c r="C2918" t="str">
        <f>IFERROR(__xludf.DUMMYFUNCTION("GOOGLETRANSLATE(B2918, ""fr"", ""en"")"),"good product complies item and good quality. perfectly fulfilled its mission, good resistance to pages")</f>
        <v>good product complies item and good quality. perfectly fulfilled its mission, good resistance to pages</v>
      </c>
    </row>
    <row r="2919">
      <c r="A2919" s="1">
        <v>5.0</v>
      </c>
      <c r="B2919" s="1" t="s">
        <v>2895</v>
      </c>
      <c r="C2919" t="str">
        <f>IFERROR(__xludf.DUMMYFUNCTION("GOOGLETRANSLATE(B2919, ""fr"", ""en"")"),"Quality impeccable cheap After 5 days of use headphones work perfectly. The sound quality is excellent and the camera offers good battery life in addition to the rechargeable unit that can load twice the listener A button on each earphone is used to chang"&amp;"e the music or pause I recommend")</f>
        <v>Quality impeccable cheap After 5 days of use headphones work perfectly. The sound quality is excellent and the camera offers good battery life in addition to the rechargeable unit that can load twice the listener A button on each earphone is used to change the music or pause I recommend</v>
      </c>
    </row>
    <row r="2920">
      <c r="A2920" s="1">
        <v>5.0</v>
      </c>
      <c r="B2920" s="1" t="s">
        <v>2896</v>
      </c>
      <c r="C2920" t="str">
        <f>IFERROR(__xludf.DUMMYFUNCTION("GOOGLETRANSLATE(B2920, ""fr"", ""en"")"),"Pullover Hoody Viper perfect size (I'm 1m85 for 75kg around and I took a size L), very good cut. I am very satisfied with this purchase. No test outside but it seems to be quite warm. Only small downside, the hood is a little tight when you put it (too """&amp;"stuck"" on the head).")</f>
        <v>Pullover Hoody Viper perfect size (I'm 1m85 for 75kg around and I took a size L), very good cut. I am very satisfied with this purchase. No test outside but it seems to be quite warm. Only small downside, the hood is a little tight when you put it (too "stuck" on the head).</v>
      </c>
    </row>
    <row r="2921">
      <c r="A2921" s="1">
        <v>5.0</v>
      </c>
      <c r="B2921" s="1" t="s">
        <v>2897</v>
      </c>
      <c r="C2921" t="str">
        <f>IFERROR(__xludf.DUMMYFUNCTION("GOOGLETRANSLATE(B2921, ""fr"", ""en"")"),"JADORE Product in accordance with the photo, fine quality, good size. I recommend !")</f>
        <v>JADORE Product in accordance with the photo, fine quality, good size. I recommend !</v>
      </c>
    </row>
    <row r="2922">
      <c r="A2922" s="1">
        <v>5.0</v>
      </c>
      <c r="B2922" s="1" t="s">
        <v>2898</v>
      </c>
      <c r="C2922" t="str">
        <f>IFERROR(__xludf.DUMMYFUNCTION("GOOGLETRANSLATE(B2922, ""fr"", ""en"")"),"Nikel for a fan of Converse as I was hesitant to order it without trying my surprise when I received the pair, as soon received immediately tried it suits me perfect size perfectly sized 40 I advise and for the price we did not hesitate a single second")</f>
        <v>Nikel for a fan of Converse as I was hesitant to order it without trying my surprise when I received the pair, as soon received immediately tried it suits me perfect size perfectly sized 40 I advise and for the price we did not hesitate a single second</v>
      </c>
    </row>
    <row r="2923">
      <c r="A2923" s="1">
        <v>5.0</v>
      </c>
      <c r="B2923" s="1" t="s">
        <v>2899</v>
      </c>
      <c r="C2923" t="str">
        <f>IFERROR(__xludf.DUMMYFUNCTION("GOOGLETRANSLATE(B2923, ""fr"", ""en"")"),"Super very good very solid model and yours well the foot. I take the same eyes closed")</f>
        <v>Super very good very solid model and yours well the foot. I take the same eyes closed</v>
      </c>
    </row>
    <row r="2924">
      <c r="A2924" s="1">
        <v>5.0</v>
      </c>
      <c r="B2924" s="1" t="s">
        <v>2900</v>
      </c>
      <c r="C2924" t="str">
        <f>IFERROR(__xludf.DUMMYFUNCTION("GOOGLETRANSLATE(B2924, ""fr"", ""en"")"),"huge roll is huge and does not fit in my machine ... BUT the plastic film is very much higher than the brands found in supermarkets. And it more than compensates.")</f>
        <v>huge roll is huge and does not fit in my machine ... BUT the plastic film is very much higher than the brands found in supermarkets. And it more than compensates.</v>
      </c>
    </row>
    <row r="2925">
      <c r="A2925" s="1">
        <v>5.0</v>
      </c>
      <c r="B2925" s="1" t="s">
        <v>2901</v>
      </c>
      <c r="C2925" t="str">
        <f>IFERROR(__xludf.DUMMYFUNCTION("GOOGLETRANSLATE(B2925, ""fr"", ""en"")"),"super comfortable in it frankly that's exactly what I wanted, I had already ordered last year and I feel super comfortable in it, I highly recommend this product.")</f>
        <v>super comfortable in it frankly that's exactly what I wanted, I had already ordered last year and I feel super comfortable in it, I highly recommend this product.</v>
      </c>
    </row>
    <row r="2926">
      <c r="A2926" s="1">
        <v>5.0</v>
      </c>
      <c r="B2926" s="1" t="s">
        <v>2902</v>
      </c>
      <c r="C2926" t="str">
        <f>IFERROR(__xludf.DUMMYFUNCTION("GOOGLETRANSLATE(B2926, ""fr"", ""en"")"),"One of the finest books on Christmas ... Excerpt from the Facebook page of my Favorite Books Children The end of the year approaches. The trees dream of dress they will wear on Christmas Eve. In the shade of large trees, there is a small tree that listens"&amp;". Will he also his dream come true? Features: - Beautiful Christmas story! ! Dream, poetry, imagination ... - Christmas Addresses an original way, from the perspective of firs without Santa Claus or gifts. - Watch that reality can sometimes be even more b"&amp;"eautiful than the most beautiful of our dreams! ! - Addresses with delicacy and poetry the themes of difference and personal tastes.")</f>
        <v>One of the finest books on Christmas ... Excerpt from the Facebook page of my Favorite Books Children The end of the year approaches. The trees dream of dress they will wear on Christmas Eve. In the shade of large trees, there is a small tree that listens. Will he also his dream come true? Features: - Beautiful Christmas story! ! Dream, poetry, imagination ... - Christmas Addresses an original way, from the perspective of firs without Santa Claus or gifts. - Watch that reality can sometimes be even more beautiful than the most beautiful of our dreams! ! - Addresses with delicacy and poetry the themes of difference and personal tastes.</v>
      </c>
    </row>
    <row r="2927">
      <c r="A2927" s="1">
        <v>5.0</v>
      </c>
      <c r="B2927" s="1" t="s">
        <v>2903</v>
      </c>
      <c r="C2927" t="str">
        <f>IFERROR(__xludf.DUMMYFUNCTION("GOOGLETRANSLATE(B2927, ""fr"", ""en"")"),"The good quality white band is a little smaller than the black, and they have perfectly good size for us (we wrists rather purposes ..). The stones are beautiful and look good, though the crown has lost some color to the party against the skin (two hot da"&amp;"ys). There are two elastic son which reassures about the life of the bracelets. In short, a very good buy for my part, but beware if you have a large wrist.")</f>
        <v>The good quality white band is a little smaller than the black, and they have perfectly good size for us (we wrists rather purposes ..). The stones are beautiful and look good, though the crown has lost some color to the party against the skin (two hot days). There are two elastic son which reassures about the life of the bracelets. In short, a very good buy for my part, but beware if you have a large wrist.</v>
      </c>
    </row>
    <row r="2928">
      <c r="A2928" s="1">
        <v>5.0</v>
      </c>
      <c r="B2928" s="1" t="s">
        <v>2904</v>
      </c>
      <c r="C2928" t="str">
        <f>IFERROR(__xludf.DUMMYFUNCTION("GOOGLETRANSLATE(B2928, ""fr"", ""en"")"),"Very good price / quality vintage design Coffee Made some noise, fast, coffee keeping warm 40 minutes Large capacity. Very good value for money")</f>
        <v>Very good price / quality vintage design Coffee Made some noise, fast, coffee keeping warm 40 minutes Large capacity. Very good value for money</v>
      </c>
    </row>
    <row r="2929">
      <c r="A2929" s="1">
        <v>5.0</v>
      </c>
      <c r="B2929" s="1" t="s">
        <v>2905</v>
      </c>
      <c r="C2929" t="str">
        <f>IFERROR(__xludf.DUMMYFUNCTION("GOOGLETRANSLATE(B2929, ""fr"", ""en"")"),"GOOD SURPRISE ! For the price, it is expected to have a gadget ... But once received and tested, a nice surprise. Silent, easy to use (simple, it's impossible), 2 buttons, one to adjust the light of their choice in all colors of the rainbow. The other but"&amp;"ton to deliver one or more hours. Stops automatically when there is no water or when the timing is finished. A nice design, which despite the plastic material, is a beautiful wood effect. As soon as it launches, it broadcasts immediately (1 second). Anoth"&amp;"er significant detail, long power cable! In short, absolutely nothing to say. Everything is there, quality, price, efficiency and design.")</f>
        <v>GOOD SURPRISE ! For the price, it is expected to have a gadget ... But once received and tested, a nice surprise. Silent, easy to use (simple, it's impossible), 2 buttons, one to adjust the light of their choice in all colors of the rainbow. The other button to deliver one or more hours. Stops automatically when there is no water or when the timing is finished. A nice design, which despite the plastic material, is a beautiful wood effect. As soon as it launches, it broadcasts immediately (1 second). Another significant detail, long power cable! In short, absolutely nothing to say. Everything is there, quality, price, efficiency and design.</v>
      </c>
    </row>
    <row r="2930">
      <c r="A2930" s="1">
        <v>5.0</v>
      </c>
      <c r="B2930" s="1" t="s">
        <v>2906</v>
      </c>
      <c r="C2930" t="str">
        <f>IFERROR(__xludf.DUMMYFUNCTION("GOOGLETRANSLATE(B2930, ""fr"", ""en"")"),"Perfect Perfect, just 41 comfortable and woman. I recommend.")</f>
        <v>Perfect Perfect, just 41 comfortable and woman. I recommend.</v>
      </c>
    </row>
    <row r="2931">
      <c r="A2931" s="1">
        <v>5.0</v>
      </c>
      <c r="B2931" s="1" t="s">
        <v>2907</v>
      </c>
      <c r="C2931" t="str">
        <f>IFERROR(__xludf.DUMMYFUNCTION("GOOGLETRANSLATE(B2931, ""fr"", ""en"")"),"Very useful ! An excellent bottle warmer but not that all modes including defrost system works extremely well. the possibility of two bottles We appreciate simultaneously the buttons respond very well")</f>
        <v>Very useful ! An excellent bottle warmer but not that all modes including defrost system works extremely well. the possibility of two bottles We appreciate simultaneously the buttons respond very well</v>
      </c>
    </row>
    <row r="2932">
      <c r="A2932" s="1">
        <v>5.0</v>
      </c>
      <c r="B2932" s="1" t="s">
        <v>2908</v>
      </c>
      <c r="C2932" t="str">
        <f>IFERROR(__xludf.DUMMYFUNCTION("GOOGLETRANSLATE(B2932, ""fr"", ""en"")"),"very well Satisfied with this purchase for my daughter. The size, color, and price no complaints. Perfect for a teenager!")</f>
        <v>very well Satisfied with this purchase for my daughter. The size, color, and price no complaints. Perfect for a teenager!</v>
      </c>
    </row>
    <row r="2933">
      <c r="A2933" s="1">
        <v>2.0</v>
      </c>
      <c r="B2933" s="1" t="s">
        <v>2909</v>
      </c>
      <c r="C2933" t="str">
        <f>IFERROR(__xludf.DUMMYFUNCTION("GOOGLETRANSLATE(B2933, ""fr"", ""en"")"),"Déteins on the skin The metal alloy déteins on the skin of my wife who left him a blue mark around the neck from the chain and back of the jewel become rosy. Too bad because the jewelry itself is beautiful but its core should not be taken to 100E for the "&amp;"quality it deserves its 30th")</f>
        <v>Déteins on the skin The metal alloy déteins on the skin of my wife who left him a blue mark around the neck from the chain and back of the jewel become rosy. Too bad because the jewelry itself is beautiful but its core should not be taken to 100E for the quality it deserves its 30th</v>
      </c>
    </row>
    <row r="2934">
      <c r="A2934" s="1">
        <v>1.0</v>
      </c>
      <c r="B2934" s="1" t="s">
        <v>2910</v>
      </c>
      <c r="C2934" t="str">
        <f>IFERROR(__xludf.DUMMYFUNCTION("GOOGLETRANSLATE(B2934, ""fr"", ""en"")"),"Very disappointed The outside is good for the soles against themselves apart in a very short time. I had to buy a sole and a gel cushion to replace all")</f>
        <v>Very disappointed The outside is good for the soles against themselves apart in a very short time. I had to buy a sole and a gel cushion to replace all</v>
      </c>
    </row>
    <row r="2935">
      <c r="A2935" s="1">
        <v>1.0</v>
      </c>
      <c r="B2935" s="1" t="s">
        <v>2911</v>
      </c>
      <c r="C2935" t="str">
        <f>IFERROR(__xludf.DUMMYFUNCTION("GOOGLETRANSLATE(B2935, ""fr"", ""en"")"),"Cloth very poor description refers to a blend of cotton, in fact it is synthetic with an almost touched plastic that is very rude and not nice at all. I sent a return request but the seller seems unwilling. I wait to see how it will evolve. I am disappoin"&amp;"ted that Amazon accepts sellers who do not play the game and who allow false descriptions.")</f>
        <v>Cloth very poor description refers to a blend of cotton, in fact it is synthetic with an almost touched plastic that is very rude and not nice at all. I sent a return request but the seller seems unwilling. I wait to see how it will evolve. I am disappointed that Amazon accepts sellers who do not play the game and who allow false descriptions.</v>
      </c>
    </row>
    <row r="2936">
      <c r="A2936" s="1">
        <v>3.0</v>
      </c>
      <c r="B2936" s="1" t="s">
        <v>2912</v>
      </c>
      <c r="C2936" t="str">
        <f>IFERROR(__xludf.DUMMYFUNCTION("GOOGLETRANSLATE(B2936, ""fr"", ""en"")"),"ibizacart cell Sound is average and personally I have mono sound can be another failure (be it you adjust the position of the cell)")</f>
        <v>ibizacart cell Sound is average and personally I have mono sound can be another failure (be it you adjust the position of the cell)</v>
      </c>
    </row>
    <row r="2937">
      <c r="A2937" s="1">
        <v>3.0</v>
      </c>
      <c r="B2937" s="1" t="s">
        <v>2913</v>
      </c>
      <c r="C2937" t="str">
        <f>IFERROR(__xludf.DUMMYFUNCTION("GOOGLETRANSLATE(B2937, ""fr"", ""en"")"),"Nice but will not serve .... :-( Accustomed Mam bottles, very disappointed with my purchase. I used to date the bottles with anti colic system. With this model, my daughter has a hard drinking because the nipple flattens despite the small slot on the basi"&amp;"s of it for passing air. So it is choking all the time. It remains for me to buy on anti colic model 320 ml and let this one closet to the bottom :-(")</f>
        <v>Nice but will not serve .... :-( Accustomed Mam bottles, very disappointed with my purchase. I used to date the bottles with anti colic system. With this model, my daughter has a hard drinking because the nipple flattens despite the small slot on the basis of it for passing air. So it is choking all the time. It remains for me to buy on anti colic model 320 ml and let this one closet to the bottom :-(</v>
      </c>
    </row>
    <row r="2938">
      <c r="A2938" s="1">
        <v>4.0</v>
      </c>
      <c r="B2938" s="1" t="s">
        <v>2914</v>
      </c>
      <c r="C2938" t="str">
        <f>IFERROR(__xludf.DUMMYFUNCTION("GOOGLETRANSLATE(B2938, ""fr"", ""en"")"),"Solac complete device masseur, very efficient !! Lighter legs but it must be done at least 10 minutes per jour.A recommend 100%.")</f>
        <v>Solac complete device masseur, very efficient !! Lighter legs but it must be done at least 10 minutes per jour.A recommend 100%.</v>
      </c>
    </row>
    <row r="2939">
      <c r="A2939" s="1">
        <v>4.0</v>
      </c>
      <c r="B2939" s="1" t="s">
        <v>2915</v>
      </c>
      <c r="C2939" t="str">
        <f>IFERROR(__xludf.DUMMYFUNCTION("GOOGLETRANSLATE(B2939, ""fr"", ""en"")"),"Aicok Kettle 2200W cute kettle and friendly good value")</f>
        <v>Aicok Kettle 2200W cute kettle and friendly good value</v>
      </c>
    </row>
    <row r="2940">
      <c r="A2940" s="1">
        <v>4.0</v>
      </c>
      <c r="B2940" s="1" t="s">
        <v>2916</v>
      </c>
      <c r="C2940" t="str">
        <f>IFERROR(__xludf.DUMMYFUNCTION("GOOGLETRANSLATE(B2940, ""fr"", ""en"")"),"Convenient and easy to use Super easy to fill small gourds and so convenient to take everywhere! Frankly I'm a fan. I had taken the gourds pack but I will recommend! Baby love and frankly what saves space !!! Tip: You have to buy the brush as this will fa"&amp;"cilitate the cleaning gourds (Fill n Squeeze Pouch Reusable Cleaning Brush)")</f>
        <v>Convenient and easy to use Super easy to fill small gourds and so convenient to take everywhere! Frankly I'm a fan. I had taken the gourds pack but I will recommend! Baby love and frankly what saves space !!! Tip: You have to buy the brush as this will facilitate the cleaning gourds (Fill n Squeeze Pouch Reusable Cleaning Brush)</v>
      </c>
    </row>
    <row r="2941">
      <c r="A2941" s="1">
        <v>4.0</v>
      </c>
      <c r="B2941" s="1" t="s">
        <v>2917</v>
      </c>
      <c r="C2941" t="str">
        <f>IFERROR(__xludf.DUMMYFUNCTION("GOOGLETRANSLATE(B2941, ""fr"", ""en"")"),"It works, but ... I ordered this particular product because I had seen that there was more flat adjusters, which corresponded me aesthetically, yet I saw that it was not working well. .. So I wanted to have both. Finding: I wanted to use the adjusters tha"&amp;"t roll, but as my signet ring is flat and not round, it works not crazy ... The dishes adjusters come in multiple sizes, and DOUBLE (it is important), and 1: Aesthetically it's very discreet 2: it works exactly as I had hoped: very good 3: Certainly it fa"&amp;"lls sometimes, but I did not want to put the tights supplied with because it doubled the size given in addition by the adjuster. After that I do not mind giving it to every time, so it's like you feel it. By cons, if you drop it, good luck ... Transparent"&amp;" as it is, I've already lost one (after a week of use), so like what, the fact that it doubles Up! If you want it to hold, I would advise to put a glue point, but then good luck to remove it ... So the best thing is to pay attention To summarize: I do not"&amp;" comment on round, it just do not suit me. The dishes are very discreet and work well, but beware of sticky which is very thick. But without that, it will often fall. But I still recommend the product has done its office.")</f>
        <v>It works, but ... I ordered this particular product because I had seen that there was more flat adjusters, which corresponded me aesthetically, yet I saw that it was not working well. .. So I wanted to have both. Finding: I wanted to use the adjusters that roll, but as my signet ring is flat and not round, it works not crazy ... The dishes adjusters come in multiple sizes, and DOUBLE (it is important), and 1: Aesthetically it's very discreet 2: it works exactly as I had hoped: very good 3: Certainly it falls sometimes, but I did not want to put the tights supplied with because it doubled the size given in addition by the adjuster. After that I do not mind giving it to every time, so it's like you feel it. By cons, if you drop it, good luck ... Transparent as it is, I've already lost one (after a week of use), so like what, the fact that it doubles Up! If you want it to hold, I would advise to put a glue point, but then good luck to remove it ... So the best thing is to pay attention To summarize: I do not comment on round, it just do not suit me. The dishes are very discreet and work well, but beware of sticky which is very thick. But without that, it will often fall. But I still recommend the product has done its office.</v>
      </c>
    </row>
    <row r="2942">
      <c r="A2942" s="1">
        <v>5.0</v>
      </c>
      <c r="B2942" s="1" t="s">
        <v>2918</v>
      </c>
      <c r="C2942" t="str">
        <f>IFERROR(__xludf.DUMMYFUNCTION("GOOGLETRANSLATE(B2942, ""fr"", ""en"")"),"Very good quality felts are new and of good quality, they all work. The assortment of colors for me, at this price it is a very interesting offer, thank you!")</f>
        <v>Very good quality felts are new and of good quality, they all work. The assortment of colors for me, at this price it is a very interesting offer, thank you!</v>
      </c>
    </row>
    <row r="2943">
      <c r="A2943" s="1">
        <v>5.0</v>
      </c>
      <c r="B2943" s="1" t="s">
        <v>2919</v>
      </c>
      <c r="C2943" t="str">
        <f>IFERROR(__xludf.DUMMYFUNCTION("GOOGLETRANSLATE(B2943, ""fr"", ""en"")"),"RENAPUR Renapur I used to clean and maintain the leather seats of my car. flawless result. Color Recapture, pleasant smell !!! Completely satisfied.")</f>
        <v>RENAPUR Renapur I used to clean and maintain the leather seats of my car. flawless result. Color Recapture, pleasant smell !!! Completely satisfied.</v>
      </c>
    </row>
    <row r="2944">
      <c r="A2944" s="1">
        <v>5.0</v>
      </c>
      <c r="B2944" s="1" t="s">
        <v>2920</v>
      </c>
      <c r="C2944" t="str">
        <f>IFERROR(__xludf.DUMMYFUNCTION("GOOGLETRANSLATE(B2944, ""fr"", ""en"")"),"Very handy aesthetically nice and very convenient. The materials seem to be of good quality.")</f>
        <v>Very handy aesthetically nice and very convenient. The materials seem to be of good quality.</v>
      </c>
    </row>
    <row r="2945">
      <c r="A2945" s="1">
        <v>5.0</v>
      </c>
      <c r="B2945" s="1" t="s">
        <v>2921</v>
      </c>
      <c r="C2945" t="str">
        <f>IFERROR(__xludf.DUMMYFUNCTION("GOOGLETRANSLATE(B2945, ""fr"", ""en"")"),"Excellent seller helmet medium Update: supplier you insite to put a comment and asks for proof voucher etc ... unz time the comment posted more news does not respond to emails ... Quality Product , adapts well to the head, excellent stereo for gamming")</f>
        <v>Excellent seller helmet medium Update: supplier you insite to put a comment and asks for proof voucher etc ... unz time the comment posted more news does not respond to emails ... Quality Product , adapts well to the head, excellent stereo for gamming</v>
      </c>
    </row>
    <row r="2946">
      <c r="A2946" s="1">
        <v>5.0</v>
      </c>
      <c r="B2946" s="1" t="s">
        <v>2922</v>
      </c>
      <c r="C2946" t="str">
        <f>IFERROR(__xludf.DUMMYFUNCTION("GOOGLETRANSLATE(B2946, ""fr"", ""en"")"),"perfect product I made the best deal on the new collection during the sales the color choices well pleased with this purchase")</f>
        <v>perfect product I made the best deal on the new collection during the sales the color choices well pleased with this purchase</v>
      </c>
    </row>
    <row r="2947">
      <c r="A2947" s="1">
        <v>5.0</v>
      </c>
      <c r="B2947" s="1" t="s">
        <v>2923</v>
      </c>
      <c r="C2947" t="str">
        <f>IFERROR(__xludf.DUMMYFUNCTION("GOOGLETRANSLATE(B2947, ""fr"", ""en"")"),"beautiful and intuitive battery a day max beautiful watch with all the features you need (sports and multimedia) j emphasizes the beauty of this watch makes it really classy, ​​I sincerely favorite by far the Galaxy Samsung -")</f>
        <v>beautiful and intuitive battery a day max beautiful watch with all the features you need (sports and multimedia) j emphasizes the beauty of this watch makes it really classy, ​​I sincerely favorite by far the Galaxy Samsung -</v>
      </c>
    </row>
    <row r="2948">
      <c r="A2948" s="1">
        <v>5.0</v>
      </c>
      <c r="B2948" s="1" t="s">
        <v>2924</v>
      </c>
      <c r="C2948" t="str">
        <f>IFERROR(__xludf.DUMMYFUNCTION("GOOGLETRANSLATE(B2948, ""fr"", ""en"")"),"At the top on top, very classy")</f>
        <v>At the top on top, very classy</v>
      </c>
    </row>
    <row r="2949">
      <c r="A2949" s="1">
        <v>5.0</v>
      </c>
      <c r="B2949" s="1" t="s">
        <v>2925</v>
      </c>
      <c r="C2949" t="str">
        <f>IFERROR(__xludf.DUMMYFUNCTION("GOOGLETRANSLATE(B2949, ""fr"", ""en"")"),"Bein Buy For my daughter it was great just consistent with the picture")</f>
        <v>Bein Buy For my daughter it was great just consistent with the picture</v>
      </c>
    </row>
    <row r="2950">
      <c r="A2950" s="1">
        <v>5.0</v>
      </c>
      <c r="B2950" s="1" t="s">
        <v>2926</v>
      </c>
      <c r="C2950" t="str">
        <f>IFERROR(__xludf.DUMMYFUNCTION("GOOGLETRANSLATE(B2950, ""fr"", ""en"")"),"Practice Okay")</f>
        <v>Practice Okay</v>
      </c>
    </row>
    <row r="2951">
      <c r="A2951" s="1">
        <v>5.0</v>
      </c>
      <c r="B2951" s="1" t="s">
        <v>2927</v>
      </c>
      <c r="C2951" t="str">
        <f>IFERROR(__xludf.DUMMYFUNCTION("GOOGLETRANSLATE(B2951, ""fr"", ""en"")"),"Ideal new kit born bottle full of baby Lot. I gave my sister she is delighted that lot. Easy to clean and use")</f>
        <v>Ideal new kit born bottle full of baby Lot. I gave my sister she is delighted that lot. Easy to clean and use</v>
      </c>
    </row>
    <row r="2952">
      <c r="A2952" s="1">
        <v>5.0</v>
      </c>
      <c r="B2952" s="1" t="s">
        <v>2928</v>
      </c>
      <c r="C2952" t="str">
        <f>IFERROR(__xludf.DUMMYFUNCTION("GOOGLETRANSLATE(B2952, ""fr"", ""en"")"),"Foot massager 5kg &lt;div id = ""video-block-R1SV7XGSVHR8X0"" class = ""a-section-spacing-small-spacing has-top video mini-block""&gt; &lt;div tabindex = ""0"" class = ""airy airy- svg vmin-unsupported airy-skin-beacon ""style ="" background-color: rgb (0, 0, 0); "&amp;"position: relative; width: 100%; height: 100%; font-size: 0px; overflow: hidden; outline: none; ""&gt; &lt;div class ="" airy-renderer container ""style ="" position: relative; height: 100%; width: 100%; ""&gt; &lt;video id ="" 103 ""preload ="" auto ""src = ""https:"&amp;"//images-eu.ssl-images-amazon.com/images/I/B1G482iDgmS.mp4"" style = ""position: absolute; left: 0px; top: 0px; overflow: hidden; height: 1px; width: 1px; ""&gt; &lt;/ video&gt; &lt;/ div&gt; &lt;div id ="" airy-slate-preload ""style ="" background-color: rgb (0, 0, 0); ba"&amp;"ckground-image: url (&amp; quot; https: / /images-eu.ssl-images-amazon.com/images/I/91OSl-QuXCS.png&amp;quot;); background-size: contain; background-position: center center; background-repeat: no-repeat; position: absolute; top: 0px; left: 0px; visibility: visibl"&amp;"e; width: 100%; height: 100% ""&gt; &lt;/ div&gt; &lt;iframe scroll Eng = ""no"" frameborder = ""0"" src = ""about: blank"" style = ""display: none;""&gt; &lt;/ iframe&gt; &lt;div tabindex = ""- 1"" class = ""airy-controls-container"" style = "" opacity: 0; visibility: hidden; "&amp;"""&gt; &lt;div tabindex ="" - 1 ""class ="" airy-screen-size-toggle airy-fullscreen ""&gt; &lt;/ div&gt; &lt;div tabindex ="" - 1 ""class ="" airy-container-bottom "" &gt; &lt;div tabindex = ""- 1"" class = ""airy-track-bar spacer-left"" style = ""width: 11px;""&gt; &lt;/ div&gt; &lt;div ta"&amp;"bindex = ""- 1"" class = ""airy-play- toggle airy-play ""style ="" width: 12px; margin-right: 12px; ""&gt; &lt;/ div&gt; &lt;div tabindex ="" - 1 ""class ="" airy-audio-elements ""style ="" float: right; width: 34px; ""&gt; &lt;div tabindex ="" - 1 ""class ="" airy-audio-t"&amp;"oggle airy-on ""&gt; &lt;/ div&gt; &lt;div tabindex ="" - 1 ""class ="" airy-audio-container ""style = ""opacity: 0; visibility: hidden; ""&gt; &lt;div tabindex ="" - 1 ""class ="" airy-audio-track-bar ""style ="" height: 80%; ""&gt; &lt;div tabindex ="" - 1 ""class ="" airy-aud"&amp;"io- scrubber bar ""style ="" height: 85% ""&gt; &lt;/ div&gt; &lt;div tabindex ="" - 1 ""class ="" airy-audio-scrubber ""style ="" height: 12px; bottom: 85% ""&gt; &lt;/ div&gt; &lt;/ div&gt; &lt;/ div&gt; &lt;/ div&gt; &lt;div tabindex ="" - 1 ""class ="" airy-duration-label ""style ="" float: r"&amp;"ight; width: 26px; margin-right: 4px; text-align: center; ""&gt; 0:00 &lt;/ div&gt; &lt;div tabindex ="" - 1 ""class ="" airy-track-bar spacer-right ""style ="" float: right; width: 11px; ""&gt; &lt;/ div&gt; &lt;div tabindex ="" - 1 ""class ="" airy-track-bar-container ""style "&amp;"="" margin-left: 35px; margin-right: 75px; ""&gt; &lt;div tabindex ="" - 1 ""class ="" airy-airy-track-bar vertical-centering-table ""&gt; &lt;div tabindex ="" - 1 ""class ="" airy-vertical-centering- table-cell ""&gt; &lt;div tabindex ="" - 1 ""class ="" airy-track-bar el"&amp;"ements ""&gt; &lt;div tabindex ="" - 1 ""class ="" airy-progress bar ""&gt; &lt;/ div&gt; &lt;div tabindex = ""- 1"" class = ""airy-scrubber bar""&gt; &lt;/ div&gt; &lt;div tabindex = ""- 1"" class = ""airy-scrubber""&gt; &lt;div tabindex = ""- 1"" class = ""airy-scrubber- icon ""&gt; &lt;/ div&gt; "&amp;"&lt;div tabindex ="" - 1 ""class ="" airy-adjusted-aui-tooltip ""style ="" opacity: 0; visibility: hidden; ""&gt; &lt;div tabindex ="" - 1 ""class ="" airy-adjusted-aui-tooltip-inner ""&gt; &lt;div tabindex ="" - 1 ""class ="" airy-current-time-label ""&gt; 0 00 &lt;/ div&gt; &lt;/"&amp;" div&gt; &lt;div tabindex = ""- 1"" class = ""airy-adjusted-aui-arrow-border""&gt; &lt;div tabindex = ""- 1"" class = ""airy-adjusted-aui-arrow"" &gt; &lt;/ div&gt; &lt;/ div&gt; &lt;/ div&gt; &lt;/ div&gt; &lt;/ div&gt; &lt;/ div&gt; &lt;/ div&gt; &lt;/ div&gt; &lt;/ div&gt; &lt;/ div&gt; &lt;div tabindex = ""- 1"" class = ""airy-"&amp;"airy-age-gate course airy-vertical-centering table-airy-dialog"" style = ""opacity: 0; visibility: hidden; ""&gt; &lt;div tabindex ="" - 1 ""class ="" airy-age-gate-vertical-centering-table-cell airy-vertical-centering-table-cell ""&gt; &lt;div tabindex ="" - 1 ""cla"&amp;"ss = ""airy-vertical-centering-wrapper airy-age-gate-elements-wrapper""&gt; &lt;div tabindex = ""- 1"" class = ""airy-age-gate-elements airy-dialog-elements""&gt; &lt;div tabindex = "" -1 ""class ="" airy-age-gate-prompt ""&gt; This video is not Intended for all audienc"&amp;"es What time were you born &lt;/ div&gt; &lt;div tabindex =.?"" - 1 ""class ="" airy-age-gate -inputs airy-dialog-inner-elements ""&gt; &lt;select tabindex ="" - 1 ""class ="" airy-age-gate-month ""&gt; &lt;option value ="" 1 ""&gt; January &lt;/ option&gt; &lt;option value ="" 2 ""&gt; Feb"&amp;"ruary &lt;/ option&gt; &lt;option value ="" 3 ""&gt; March &lt;/ option&gt; &lt;option value ="" 4 ""&gt; April &lt;/ option&gt; &lt;option value ="" 5 ""&gt; May &lt;/ option&gt; &lt;option value = ""6""&gt; June &lt;/ option&gt; &lt;option value = ""7""&gt; July &lt;/ option&gt; &lt;option value = ""8""&gt; August &lt;/ option"&amp;"&gt; &lt;option value = ""9""&gt; September &lt;/ option&gt; &lt;option value = ""10""&gt; October &lt;/ option&gt; &lt;option value = ""11""&gt; November &lt;/ option&gt; &lt;option value = ""12""&gt; December &lt;/ option&gt; &lt;/ select&gt; &lt;select tabindex = ""- 1"" class = ""airy-age-gate-day""&gt; &lt;opti = O"&amp;"ne value ""1""&gt; 1 &lt;/ option&gt; &lt;option value = ""2""&gt; 2 &lt;/ option&gt; &lt;option value = ""3""&gt; 3 &lt;/ option&gt; &lt;option value = ""4""&gt; 4 &lt;/ option &gt; &lt;option value = ""5""&gt; 5 &lt;/ option&gt; &lt;option value = ""6""&gt; 6 &lt;/ option&gt; &lt;option value = ""7""&gt; 7 &lt;/ option&gt; &lt;option v"&amp;"alue = ""8""&gt; 8 &lt; / option&gt; &lt;option value = ""9""&gt; 9 &lt;/ option&gt; &lt;option value = ""10""&gt; 10 &lt;/ option&gt; &lt;option value = ""11""&gt; 11 &lt;/ option&gt; &lt;option value = ""12""&gt; 12 &lt;/ option&gt; &lt;option value = ""13""&gt; 13 &lt;/ option&gt; &lt;option value = ""14""&gt; 14 &lt;/ option&gt; &lt;"&amp;"option value = ""15""&gt; 15 &lt;/ option&gt; &lt;option value = ""16 ""&gt; 16 &lt;/ option&gt; &lt;option value ="" 17 ""&gt; 17 &lt;/ option&gt; &lt;option value ="" 18 ""&gt; 18 &lt;/ option&gt; &lt;option value ="" 19 ""&gt; 19 &lt;/ option&gt; &lt;option value = ""20""&gt; 20 &lt;/ option&gt; &lt;option value = ""21""&gt; "&amp;"21 &lt;/ option&gt; &lt;option value = ""22""&gt; 22 &lt;/ option&gt; &lt;option value = ""23""&gt; 23 &lt;/ option&gt; &lt;option value = ""24""&gt; 24 &lt;/ option&gt; &lt;option value = ""25""&gt; 25 &lt;/ option&gt; &lt;option value = ""26""&gt; 26 &lt;/ option&gt; &lt;option value = ""27""&gt; 27 &lt;/ option&gt; &lt;option value"&amp;" = ""28""&gt; 28 &lt;/ option&gt; &lt;option value = ""29""&gt; 29 &lt;/ option&gt; &lt;option value = ""30""&gt; 30 &lt;/ option&gt; &lt;option value = ""31""&gt; 31 &lt;/ option&gt; &lt;/ select&gt; &lt;select tabindex = ""- 1"" class = ""airy-age-gate-year""&gt; &lt;option value = ""2019""&gt; 2019 &lt;/ option&gt; &lt; op"&amp;"tion value = ""2018""&gt; 2018 &lt;/ option&gt; &lt;option value = ""2017""&gt; 2017 &lt;/ option&gt; &lt;option value = ""2016""&gt; ​​2016 &lt;/ option&gt; &lt;option value = ""2015""&gt; 2015 &lt;/ option &gt; &lt;option value = ""2014""&gt; 2014 &lt;/ option&gt; &lt;option value = ""2013""&gt; 2013 &lt;/ option&gt; &lt;op"&amp;"tion value = ""2012""&gt; 2012 &lt;/ option&gt; &lt;option value = ""2011""&gt; 2011 &lt; / option&gt; &lt;option value = ""2010""&gt; 2010 &lt;/ option&gt; &lt;option value = ""2009""&gt; 2009 &lt;/ option&gt; &lt;option value = ""2008""&gt; 2008 &lt;/ option&gt; &lt;option value = ""2007""&gt; 2007 &lt;/ option&gt; &lt;opti"&amp;"on value = ""2006""&gt; 2006 &lt;/ option&gt; &lt;option value = ""2005""&gt; 2005 &lt;/ option&gt; &lt;option value = ""2004""&gt; 2004 &lt;/ option&gt; &lt;option value = ""2003 ""&gt; 2003 &lt;/ option&gt; &lt;option value ="" 2002 ""&gt; 2002 &lt;/ option&gt; &lt;option value ="" 2001 ""&gt; 2001 &lt;/ option&gt; &lt;opti"&amp;"on value ="" 2000 ""&gt; 2000 &lt;/ option&gt; &lt;option value = ""1999""&gt; 1999 &lt;/ option&gt; &lt;option value = ""1998""&gt; 1998 &lt;/ option&gt; &lt;option value = ""1997""&gt; 1997 &lt;/ option&gt; &lt;option value = ""1996""&gt; 1996 &lt;/ option&gt; &lt;option value = ""1995""&gt; 1995 &lt;/ option&gt; &lt;option"&amp;" value = ""1994""&gt; 1994 &lt;/ option&gt; &lt;option value = ""1993""&gt; 1993 &lt;/ option&gt; &lt;option value = ""1992""&gt; 1992 &lt;/ option&gt; &lt;option value = ""1991""&gt; 1991 &lt;/ option&gt; &lt;option value = ""1990""&gt; 1990 &lt;/ option&gt; &lt;option value = "" 1989 ""&gt; 1989 &lt;/ option&gt; &lt;option "&amp;"value ="" 1988 ""&gt; 1988 &lt;/ option&gt; &lt;option value ="" 1987 ""&gt; 1987 &lt;/ option&gt; &lt;option value ="" 1986 ""&gt; 1986 &lt;/ option&gt; &lt;option value = ""1985""&gt; 1985 &lt;/ option&gt; &lt;option value = ""1984""&gt; 1984 &lt;/ option&gt; &lt;option value = ""1983""&gt; 1983 &lt;/ option&gt; &lt;option "&amp;"value = ""1982""&gt; 1982 &lt;/ option&gt; &lt; option value = ""1981""&gt; 1981 &lt;/ option&gt; &lt;option value = ""1980""&gt; 1980 &lt;/ option&gt; &lt;option value = ""1979""&gt; 1979 &lt;/ option&gt; &lt;option value = ""1978""&gt; 1978 &lt;/ option &gt; &lt;option value = ""1977""&gt; 1977 &lt;/ option&gt; &lt;option v"&amp;"alue = ""1976""&gt; 1976 &lt;/ option&gt; &lt;option value = ""1975""&gt; 1975 &lt;/ option&gt; &lt;option value = ""1974""&gt; 1974 &lt; / option&gt; &lt;option value = ""1973""&gt; 1973 &lt;/ option&gt; &lt;option value = ""1972""&gt; 1972 &lt;/ option&gt; &lt;option value = ""1971""&gt; 1971 &lt;/ option&gt; &lt;option val"&amp;"ue = ""1970""&gt; 1970 &lt;/ option&gt; &lt;option value = ""1969""&gt; 1969 &lt;/ option&gt; &lt;option value = ""1968""&gt; 1968 &lt;/ option&gt; &lt;option value = ""1967""&gt; 1967 &lt;/ option&gt; &lt;option value = ""1966 ""&gt; 1966 &lt;/ option&gt; &lt;option value ="" 1965 ""&gt; 1965 &lt;/ option&gt; &lt;option valu"&amp;"e ="" 1964 ""&gt; 1964 &lt;/ option&gt; &lt;option value ="" 1963 ""&gt; 1963 &lt;/ option&gt; &lt;option value = ""1962""&gt; 1962 &lt;/ option&gt; &lt;option value = ""1961""&gt; 1961 &lt;/ option&gt; &lt;option value = ""1960""&gt; 1960 &lt;/ op tion&gt; &lt;option value = ""1959""&gt; 1959 &lt;/ option&gt; &lt;option valu"&amp;"e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&lt;option value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&lt;option value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airy-course airy -Vertical-centering-table dialog airy-airy-denied ""style ="" opacity: 0"&amp;"; visibility: hidden; ""&gt; &lt;div tabindex ="" - 1 ""class ="" airy-install-flash-vertical-centering-table-cell airy-vertical-centering-table-cell ""&gt; &lt;div tabindex ="" - 1 ""class = ""airy-vertical-centering-wrapper airy-install-flash-elements-wrapper""&gt; &lt;d"&amp;"iv tabindex = ""- 1"" class = ""airy-install-flash-elements airy-dialog-elements""&gt; &lt;div tabindex = "" -1 ""class ="" airy-install-flash-prompt ""&gt; Adobe Flash Player is required to watch this video &lt;/ div&gt; &lt;div = tabindex."" - 1 ""class ="" airy-install-"&amp;"flash-button-wrapper airy -dialog-inner-elements ""&gt; &lt;div tabindex ="" - 1 ""class ="" airy-install-flash-button airy-button ""&gt; install Flash Player &lt;/ div&gt; &lt;/ div&gt; &lt;/ div&gt; &lt;/ div&gt; &lt;/ div&gt; &lt;/ div&gt; &lt;div tabindex = ""- 1"" class = ""airy-video-unsupported-"&amp;"dialog airy-course airy-vertical-centering table-airy-dialog airy-denied"" style = ""opacity: 0; visibility: hidden; ""&gt; &lt;div tabindex ="" - 1 ""class ="" airy-video-unsupported-vertical-centering-table-cell airy-vertical-centering-table-cell ""&gt; &lt;div tab"&amp;"index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tabin"&amp;"dex ="" - 1 ""class ="" airy-loading-spinner container airy-scalable-hint-container ""&gt; &lt;div tabindex ="" - 1 ""class ="" airy-loading-spinner-dummy airy-scalable-dummy ""&gt; &lt;/ div&gt; &lt; div tabindex = ""- 1"" class = ""airy-loading-spinner airy-hint"" style "&amp;"= ""visibility: hidden;""&gt; &lt;/ div&gt; &lt;/ div&gt; &lt;/ div&gt; &lt;/ div&gt; &lt;div tabindex = ""- 1 ""class ="" airy-ads-screen-size-toggle airy-screen-size-toggle airy-fullscreen ""style ="" visibility: hidden; ""&gt; &lt;/ div&gt; &lt;div tabindex = ""-1"" class = ""airy-ad-prompt-co"&amp;"ntainer"" style = ""visibility: hidden;""&gt; &lt;div tabindex = ""- 1"" class = ""airy-ad-prompt-vertical-centering table-airy-vertical- centering-table ""&gt; &lt;div tabindex ="" - 1 ""class ="" airy-ad-prompt-vertical-centering-table-cell airy-vertical-centering-"&amp;"table-cell ""&gt; &lt;div tabindex ="" - 1 ""class = ""airy-ad-prompt-label""&gt; &lt;/ div&gt; &lt;/ div&gt; &lt;/ div&gt; &lt;/ div&gt; &lt;div tabindex = ""- 1"" class = ""airy-ads-controls-container"" style = ""visibility: hidden; ""&gt; &lt;div tabindex ="" - 1 ""class ="" airy-ads-audio-tog"&amp;"gle airy-audio-toggle airy-on ""style ="" visibility: hidden; ""&gt; &lt;/ div&gt; &lt;div tabindex ="" - 1 ""class ="" airy-time-remaining-label-container ""&gt; &lt;div tabindex ="" - 1 ""class ="" airy-time-remaining-vertical-centering table-airy-vertical-centering-tabl"&amp;"e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"&amp;"&lt;/ div&gt; &lt;/ div&gt; &lt;/ div&gt; &lt;/ div&gt; &lt;/ div&gt; &lt;div tabindex ="" - 1 ""class ="" airy-learn-more ""style ="" visibility: hidden; ""&gt; &lt;/ div&gt; &lt;/ div&gt; &lt;div tabindex = ""- 1"" class = ""airy-play-toggle-hint-stage airy-course airy-cursor""&gt; &lt;div tabindex = ""- 1"" "&amp;"class = ""airy-play -toggle-hint-vertical-centering-table-cell airy-vertical-centering-table-cell airy-cursor ""&gt; &lt;div tabindex ="" - 1 ""class ="" airy-play-toggle-hint-container airy-scalable- hint-container ""&gt; &lt;div tabindex ="" - 1 ""class ="" airy-pl"&amp;"ay-toggle-hint-dummy airy-scalable-dummy ""&gt; &lt;/ div&gt; &lt;div tabindex ="" - 1 ""class ="" airy-play -toggle airy-hint-hint-hint airy-play ""style ="" opacity: 1; visibility: visible; ""&gt; &lt;/ div&gt; &lt;/ div&gt; &lt;/ div&gt; &lt;/ div&gt; &lt;div tabindex ="" - 1 ""class ="" airy-"&amp;"replay-hint-stage airy-stage ""style ="" visibility: hidden ; ""&gt; &lt;div tabindex ="" - 1 ""class ="" airy-replay-hint-vertical-centering-table-cell airy-vertical-centering-table-cell airy-cursor ""&gt; &lt;div tabindex ="" - 1 ""class = ""airy-replay-hint-contai"&amp;"ner airy-scalable-hint-container""&gt; &lt;div tabindex = ""- 1"" class = ""airy-replay-hint-dummy airy-scalable-dummy""&gt; &lt;/ div&gt; &lt;div tabindex = ""- 1"" class = ""airy-replay-hint airy-hint""&gt; &lt;/ div&gt; &lt;/ div&gt; &lt;/ div&gt; &lt;/ div&gt; &lt;div tabindex = ""- 1"" class = ""a"&amp;"iry-autoplay-hint -stage airy-stage ""style ="" visibility: hidden; ""&gt; &lt;div tabindex ="" - 1 ""class ="" airy-autoplay-hint-vertical-centering-table-cell airy-vertical-centering-table-cell airy- cursor ""&gt; &lt;div tabindex ="" - 1 ""class ="" autoplay airy-"&amp;"airy-hint-container-scalable-hint-container ""&gt; &lt;div tabindex ="" - 1 ""class ="" airy-autoplay-hint-dummy airy- scalable-dummy ""&gt; &lt;/ div&gt; &lt;/ div&gt; &lt;/ div&gt; &lt;/ div&gt; &lt;/ div&gt; &lt;/ div&gt; &lt;input type ="" hidden ""name ="" ""value ="" https: // pictures-eu .ssl-im"&amp;"age amazon.com / images / I / B1G482iDgmS.mp4 ""Class ="" video-url ""&gt; &lt;input type ="" hidden ""name ="" ""value ="" https://images-eu.ssl-images-amazon.com/images/I/91OSl-QuXCS.png ""class = ""video-slate-img-url""&gt; &amp; nbsp; Perfect after a day of work o"&amp;"r even after sports waaaa lol I have a callus on foot and it relieves me vraiment..pression fingers, kneading, roller and airbag function chauffage.Attention however to respect the 15 minutes and not too much pressure with the legs, you risk hurting yours"&amp;"elf but otherwise it is a nice device to see in time ...")</f>
        <v>Foot massager 5kg &lt;div id = "video-block-R1SV7XGSVHR8X0" class = "a-section-spacing-small-spacing has-top video mini-block"&gt; &lt;div tabindex = "0" class = "airy airy- svg vmin-unsupported airy-skin-beacon "style =" background-color: rgb (0, 0, 0); position: relative; width: 100%; height: 100%; font-size: 0px; overflow: hidden; outline: none; "&gt; &lt;div class =" airy-renderer container "style =" position: relative; height: 100%; width: 100%; "&gt; &lt;video id =" 103 "preload =" auto "src = "https://images-eu.ssl-images-amazon.com/images/I/B1G482iDgmS.mp4" style = "position: absolute; left: 0px; top: 0px; overflow: hidden; height: 1px; width: 1px; "&gt; &lt;/ video&gt; &lt;/ div&gt; &lt;div id =" airy-slate-preload "style =" background-color: rgb (0, 0, 0); background-image: url (&amp; quot; https: / /images-eu.ssl-images-amazon.com/images/I/91OSl-QuXCS.png&amp;quot;); background-size: contain; background-position: center center; background-repeat: no-repeat; position: absolute; top: 0px; left: 0px; visibility: visible; width: 100%; height: 100% "&gt; &lt;/ div&gt; &lt;iframe scroll Eng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B1G482iDgmS.mp4 "Class =" video-url "&gt; &lt;input type =" hidden "name =" "value =" https://images-eu.ssl-images-amazon.com/images/I/91OSl-QuXCS.png "class = "video-slate-img-url"&gt; &amp; nbsp; Perfect after a day of work or even after sports waaaa lol I have a callus on foot and it relieves me vraiment..pression fingers, kneading, roller and airbag function chauffage.Attention however to respect the 15 minutes and not too much pressure with the legs, you risk hurting yourself but otherwise it is a nice device to see in time ...</v>
      </c>
    </row>
    <row r="2953">
      <c r="A2953" s="1">
        <v>5.0</v>
      </c>
      <c r="B2953" s="1" t="s">
        <v>2929</v>
      </c>
      <c r="C2953" t="str">
        <f>IFERROR(__xludf.DUMMYFUNCTION("GOOGLETRANSLATE(B2953, ""fr"", ""en"")"),"practical and very light my husband is very happy little bag, it is light, full of pockets inside or laptop either for glasses, it can store many things, the strap is not too large, it short he likes a lot.")</f>
        <v>practical and very light my husband is very happy little bag, it is light, full of pockets inside or laptop either for glasses, it can store many things, the strap is not too large, it short he likes a lot.</v>
      </c>
    </row>
    <row r="2954">
      <c r="A2954" s="1">
        <v>5.0</v>
      </c>
      <c r="B2954" s="1" t="s">
        <v>2930</v>
      </c>
      <c r="C2954" t="str">
        <f>IFERROR(__xludf.DUMMYFUNCTION("GOOGLETRANSLATE(B2954, ""fr"", ""en"")"),"Beautiful Basckets The size corresponds. They are white and comfortable. Received quickly. Although the summer. Goes well with any outfit.")</f>
        <v>Beautiful Basckets The size corresponds. They are white and comfortable. Received quickly. Although the summer. Goes well with any outfit.</v>
      </c>
    </row>
    <row r="2955">
      <c r="A2955" s="1">
        <v>5.0</v>
      </c>
      <c r="B2955" s="1" t="s">
        <v>2931</v>
      </c>
      <c r="C2955" t="str">
        <f>IFERROR(__xludf.DUMMYFUNCTION("GOOGLETRANSLATE(B2955, ""fr"", ""en"")"),"great product !!! seller very professional !!! genial on top Awesome !!!! Super fast delivery level. The professionalism of the seller is perfect with noted warranty paper and dab. This is shown in this box looks small but fine with me wrist !!! 5 minutes"&amp;" to the set")</f>
        <v>great product !!! seller very professional !!! genial on top Awesome !!!! Super fast delivery level. The professionalism of the seller is perfect with noted warranty paper and dab. This is shown in this box looks small but fine with me wrist !!! 5 minutes to the set</v>
      </c>
    </row>
    <row r="2956">
      <c r="A2956" s="1">
        <v>5.0</v>
      </c>
      <c r="B2956" s="1" t="s">
        <v>2932</v>
      </c>
      <c r="C2956" t="str">
        <f>IFERROR(__xludf.DUMMYFUNCTION("GOOGLETRANSLATE(B2956, ""fr"", ""en"")"),"excellent shoe we're excited, comfortable, easily cleanable our 11 year old son yet unbearable to dress the love !! is recommended")</f>
        <v>excellent shoe we're excited, comfortable, easily cleanable our 11 year old son yet unbearable to dress the love !! is recommended</v>
      </c>
    </row>
    <row r="2957">
      <c r="A2957" s="1">
        <v>2.0</v>
      </c>
      <c r="B2957" s="1" t="s">
        <v>2933</v>
      </c>
      <c r="C2957" t="str">
        <f>IFERROR(__xludf.DUMMYFUNCTION("GOOGLETRANSLATE(B2957, ""fr"", ""en"")"),"Received in poor condition and poor quality I bought for € 2.59 Total Model 3 chains with Swarovski crystals drops. I received a lower quality product, with crystals do not correspond to my first purchase. And the chains that had been crushed, would not r"&amp;"esume a falling shape. So I asked a new article to my order. The seller has not considered my application or my answer, and repaid. The price of these loops being very volatile, if I want to buy these earrings, I have to pay 3 to 4 times more expensive.")</f>
        <v>Received in poor condition and poor quality I bought for € 2.59 Total Model 3 chains with Swarovski crystals drops. I received a lower quality product, with crystals do not correspond to my first purchase. And the chains that had been crushed, would not resume a falling shape. So I asked a new article to my order. The seller has not considered my application or my answer, and repaid. The price of these loops being very volatile, if I want to buy these earrings, I have to pay 3 to 4 times more expensive.</v>
      </c>
    </row>
    <row r="2958">
      <c r="A2958" s="1">
        <v>1.0</v>
      </c>
      <c r="B2958" s="1" t="s">
        <v>2934</v>
      </c>
      <c r="C2958" t="str">
        <f>IFERROR(__xludf.DUMMYFUNCTION("GOOGLETRANSLATE(B2958, ""fr"", ""en"")"),"Defective I am very disappointed, the Bluetooth headset does not work at all ... At the price it is and as it is its main function, it is a shame! In addition, assistance told me that she would put me in touch with Marshall's service directly and it has n"&amp;"ever been done!")</f>
        <v>Defective I am very disappointed, the Bluetooth headset does not work at all ... At the price it is and as it is its main function, it is a shame! In addition, assistance told me that she would put me in touch with Marshall's service directly and it has never been done!</v>
      </c>
    </row>
    <row r="2959">
      <c r="A2959" s="1">
        <v>1.0</v>
      </c>
      <c r="B2959" s="1" t="s">
        <v>2935</v>
      </c>
      <c r="C2959" t="str">
        <f>IFERROR(__xludf.DUMMYFUNCTION("GOOGLETRANSLATE(B2959, ""fr"", ""en"")"),"No 'I opened my package and nothing in yavait")</f>
        <v>No 'I opened my package and nothing in yavait</v>
      </c>
    </row>
    <row r="2960">
      <c r="A2960" s="1">
        <v>3.0</v>
      </c>
      <c r="B2960" s="1" t="s">
        <v>2936</v>
      </c>
      <c r="C2960" t="str">
        <f>IFERROR(__xludf.DUMMYFUNCTION("GOOGLETRANSLATE(B2960, ""fr"", ""en"")"),"Beautiful but ... It is beautiful, looks good (to see over time) but one flaw: the leather rubbed off on the plain clothes.")</f>
        <v>Beautiful but ... It is beautiful, looks good (to see over time) but one flaw: the leather rubbed off on the plain clothes.</v>
      </c>
    </row>
    <row r="2961">
      <c r="A2961" s="1">
        <v>3.0</v>
      </c>
      <c r="B2961" s="1" t="s">
        <v>2937</v>
      </c>
      <c r="C2961" t="str">
        <f>IFERROR(__xludf.DUMMYFUNCTION("GOOGLETRANSLATE(B2961, ""fr"", ""en"")"),"Hello beautiful pairs of safety shoes I bought for shape and have a light pair. As trainer, workshop it is slight. For intense use against taking anything scheduled.")</f>
        <v>Hello beautiful pairs of safety shoes I bought for shape and have a light pair. As trainer, workshop it is slight. For intense use against taking anything scheduled.</v>
      </c>
    </row>
    <row r="2962">
      <c r="A2962" s="1">
        <v>4.0</v>
      </c>
      <c r="B2962" s="1" t="s">
        <v>2938</v>
      </c>
      <c r="C2962" t="str">
        <f>IFERROR(__xludf.DUMMYFUNCTION("GOOGLETRANSLATE(B2962, ""fr"", ""en"")"),"Good product keeps you warm, but the cover leaves stuffed bcp on fabric")</f>
        <v>Good product keeps you warm, but the cover leaves stuffed bcp on fabric</v>
      </c>
    </row>
    <row r="2963">
      <c r="A2963" s="1">
        <v>4.0</v>
      </c>
      <c r="B2963" s="1" t="s">
        <v>2939</v>
      </c>
      <c r="C2963" t="str">
        <f>IFERROR(__xludf.DUMMYFUNCTION("GOOGLETRANSLATE(B2963, ""fr"", ""en"")"),"A4 MX410 BLACK exellent SHEET PRINTER MX 410 THESE SOLID .. SO I THE RECOMMENDED ON 10 10. JEANCLAUDE AIX EN PROVENCE")</f>
        <v>A4 MX410 BLACK exellent SHEET PRINTER MX 410 THESE SOLID .. SO I THE RECOMMENDED ON 10 10. JEANCLAUDE AIX EN PROVENCE</v>
      </c>
    </row>
    <row r="2964">
      <c r="A2964" s="1">
        <v>4.0</v>
      </c>
      <c r="B2964" s="1" t="s">
        <v>2940</v>
      </c>
      <c r="C2964" t="str">
        <f>IFERROR(__xludf.DUMMYFUNCTION("GOOGLETRANSLATE(B2964, ""fr"", ""en"")"),"The very beautiful loock is just beautiful, very nice coffee which despite its tiny 1L7 seems automatic stop top Small light blue when the unit is ennmarche c is appreciable. It's still burning very hot when I find the time to qm long enough heating, it t"&amp;"akes almost 6min 1L7 to heat water ... it's a bit long to my taste.")</f>
        <v>The very beautiful loock is just beautiful, very nice coffee which despite its tiny 1L7 seems automatic stop top Small light blue when the unit is ennmarche c is appreciable. It's still burning very hot when I find the time to qm long enough heating, it takes almost 6min 1L7 to heat water ... it's a bit long to my taste.</v>
      </c>
    </row>
    <row r="2965">
      <c r="A2965" s="1">
        <v>4.0</v>
      </c>
      <c r="B2965" s="1" t="s">
        <v>2941</v>
      </c>
      <c r="C2965" t="str">
        <f>IFERROR(__xludf.DUMMYFUNCTION("GOOGLETRANSLATE(B2965, ""fr"", ""en"")"),"consistent with the description Nothing satisfies Comfortable good performance")</f>
        <v>consistent with the description Nothing satisfies Comfortable good performance</v>
      </c>
    </row>
    <row r="2966">
      <c r="A2966" s="1">
        <v>5.0</v>
      </c>
      <c r="B2966" s="1" t="s">
        <v>2942</v>
      </c>
      <c r="C2966" t="str">
        <f>IFERROR(__xludf.DUMMYFUNCTION("GOOGLETRANSLATE(B2966, ""fr"", ""en"")"),"Beautiful Sequins quality of good quality, almost without perfume. I am served until then to do the laundry house. The product is perfect!")</f>
        <v>Beautiful Sequins quality of good quality, almost without perfume. I am served until then to do the laundry house. The product is perfect!</v>
      </c>
    </row>
    <row r="2967">
      <c r="A2967" s="1">
        <v>5.0</v>
      </c>
      <c r="B2967" s="1" t="s">
        <v>2943</v>
      </c>
      <c r="C2967" t="str">
        <f>IFERROR(__xludf.DUMMYFUNCTION("GOOGLETRANSLATE(B2967, ""fr"", ""en"")"),"Proceeds received for advice. Good quality product, very fine and compact. He reread my projector to my pregnant. No quality loss audible.Les connectors are gold plated for better transmission of signal.Rempli function. I recommend.")</f>
        <v>Proceeds received for advice. Good quality product, very fine and compact. He reread my projector to my pregnant. No quality loss audible.Les connectors are gold plated for better transmission of signal.Rempli function. I recommend.</v>
      </c>
    </row>
    <row r="2968">
      <c r="A2968" s="1">
        <v>5.0</v>
      </c>
      <c r="B2968" s="1" t="s">
        <v>2944</v>
      </c>
      <c r="C2968" t="str">
        <f>IFERROR(__xludf.DUMMYFUNCTION("GOOGLETRANSLATE(B2968, ""fr"", ""en"")"),"Amazing value for money - impressed I searched for hours of true free headsets (wireless). I admit I had a lot of trouble deciding seen the price differential. For most model 50 € -100 € everyone at the same point, no bass ... and these headphones have. T"&amp;"he sound is not perfect, it is not especially strong (but I can not get them mettres thoroughly anyway) but really value for money I'm really impressed. I bought the boards for sports, and I'm still surprised that it fits as well (I'm in the gym, running,"&amp;" elliptical and muscu). Yet I often have problems finding headphones that fit in my ear. The case is small and the area of ​​well hold a charge, no problem pairing. In short, I'm surprised I did not know the brand, I trusted the comment and I'm really hap"&amp;"py. I never put 5 stars because I never feel completely satisfied me, but then again considering the price I do not see how one could ask for better. Everything is nickel.")</f>
        <v>Amazing value for money - impressed I searched for hours of true free headsets (wireless). I admit I had a lot of trouble deciding seen the price differential. For most model 50 € -100 € everyone at the same point, no bass ... and these headphones have. The sound is not perfect, it is not especially strong (but I can not get them mettres thoroughly anyway) but really value for money I'm really impressed. I bought the boards for sports, and I'm still surprised that it fits as well (I'm in the gym, running, elliptical and muscu). Yet I often have problems finding headphones that fit in my ear. The case is small and the area of ​​well hold a charge, no problem pairing. In short, I'm surprised I did not know the brand, I trusted the comment and I'm really happy. I never put 5 stars because I never feel completely satisfied me, but then again considering the price I do not see how one could ask for better. Everything is nickel.</v>
      </c>
    </row>
    <row r="2969">
      <c r="A2969" s="1">
        <v>5.0</v>
      </c>
      <c r="B2969" s="1" t="s">
        <v>2945</v>
      </c>
      <c r="C2969" t="str">
        <f>IFERROR(__xludf.DUMMYFUNCTION("GOOGLETRANSLATE(B2969, ""fr"", ""en"")"),"They are very quickly he cuts very well thank you continue like this very practical light it is in size and very well")</f>
        <v>They are very quickly he cuts very well thank you continue like this very practical light it is in size and very well</v>
      </c>
    </row>
    <row r="2970">
      <c r="A2970" s="1">
        <v>5.0</v>
      </c>
      <c r="B2970" s="1" t="s">
        <v>2946</v>
      </c>
      <c r="C2970" t="str">
        <f>IFERROR(__xludf.DUMMYFUNCTION("GOOGLETRANSLATE(B2970, ""fr"", ""en"")"),"Good value Very nice book offered a 6 year old. They have quickly appropriate to seek answers to all questions ... The presentation is very entertaining for kids. It is easy to read and punctuated and games and stories which makes it even more attractive")</f>
        <v>Good value Very nice book offered a 6 year old. They have quickly appropriate to seek answers to all questions ... The presentation is very entertaining for kids. It is easy to read and punctuated and games and stories which makes it even more attractive</v>
      </c>
    </row>
    <row r="2971">
      <c r="A2971" s="1">
        <v>5.0</v>
      </c>
      <c r="B2971" s="1" t="s">
        <v>2947</v>
      </c>
      <c r="C2971" t="str">
        <f>IFERROR(__xludf.DUMMYFUNCTION("GOOGLETRANSLATE(B2971, ""fr"", ""en"")"),"It is this that I had to because this watch is exactly what I wanted. it is very convenient with all the features I need and more it is very light.")</f>
        <v>It is this that I had to because this watch is exactly what I wanted. it is very convenient with all the features I need and more it is very light.</v>
      </c>
    </row>
    <row r="2972">
      <c r="A2972" s="1">
        <v>5.0</v>
      </c>
      <c r="B2972" s="1" t="s">
        <v>2948</v>
      </c>
      <c r="C2972" t="str">
        <f>IFERROR(__xludf.DUMMYFUNCTION("GOOGLETRANSLATE(B2972, ""fr"", ""en"")"),"Comfortable and lightweight Item received quickly, consistent with the description. They are very comfortable, light and flexible. The sizes of the guide is reliable. I usually take the 41 and according to the guide I had my bearings on 42, what I ordered"&amp;", and they are nickel. To see in time how they will withstand normal use")</f>
        <v>Comfortable and lightweight Item received quickly, consistent with the description. They are very comfortable, light and flexible. The sizes of the guide is reliable. I usually take the 41 and according to the guide I had my bearings on 42, what I ordered, and they are nickel. To see in time how they will withstand normal use</v>
      </c>
    </row>
    <row r="2973">
      <c r="A2973" s="1">
        <v>5.0</v>
      </c>
      <c r="B2973" s="1" t="s">
        <v>2949</v>
      </c>
      <c r="C2973" t="str">
        <f>IFERROR(__xludf.DUMMYFUNCTION("GOOGLETRANSLATE(B2973, ""fr"", ""en"")"),"Good product great quality / price ratio")</f>
        <v>Good product great quality / price ratio</v>
      </c>
    </row>
    <row r="2974">
      <c r="A2974" s="1">
        <v>5.0</v>
      </c>
      <c r="B2974" s="1" t="s">
        <v>2950</v>
      </c>
      <c r="C2974" t="str">
        <f>IFERROR(__xludf.DUMMYFUNCTION("GOOGLETRANSLATE(B2974, ""fr"", ""en"")"),"Perfect ! This microphone is perfect for my purpose, my Youtube subscribers will thank me for their ears: D Perfectly fits my Panasonic Lumix DMC-FZ200. I just had to buy a jack adapter to go from 3.5mm to 2.5mm microphone of the camera.")</f>
        <v>Perfect ! This microphone is perfect for my purpose, my Youtube subscribers will thank me for their ears: D Perfectly fits my Panasonic Lumix DMC-FZ200. I just had to buy a jack adapter to go from 3.5mm to 2.5mm microphone of the camera.</v>
      </c>
    </row>
    <row r="2975">
      <c r="A2975" s="1">
        <v>5.0</v>
      </c>
      <c r="B2975" s="1" t="s">
        <v>2951</v>
      </c>
      <c r="C2975" t="str">
        <f>IFERROR(__xludf.DUMMYFUNCTION("GOOGLETRANSLATE(B2975, ""fr"", ""en"")"),"Pretty one. Comply with the order. Satisfied earrings. 👍")</f>
        <v>Pretty one. Comply with the order. Satisfied earrings. 👍</v>
      </c>
    </row>
    <row r="2976">
      <c r="A2976" s="1">
        <v>5.0</v>
      </c>
      <c r="B2976" s="1" t="s">
        <v>2952</v>
      </c>
      <c r="C2976" t="str">
        <f>IFERROR(__xludf.DUMMYFUNCTION("GOOGLETRANSLATE(B2976, ""fr"", ""en"")"),"My best purchase Unbelievable. This perch is of incredible quality. I could do without it now has.")</f>
        <v>My best purchase Unbelievable. This perch is of incredible quality. I could do without it now has.</v>
      </c>
    </row>
    <row r="2977">
      <c r="A2977" s="1">
        <v>5.0</v>
      </c>
      <c r="B2977" s="1" t="s">
        <v>2953</v>
      </c>
      <c r="C2977" t="str">
        <f>IFERROR(__xludf.DUMMYFUNCTION("GOOGLETRANSLATE(B2977, ""fr"", ""en"")"),"wonderful and wireless microphone speaker I bought for my wedding so that all guests can hear me. Easy to pair and use. I wish the light to be brighter, but still a good value product.")</f>
        <v>wonderful and wireless microphone speaker I bought for my wedding so that all guests can hear me. Easy to pair and use. I wish the light to be brighter, but still a good value product.</v>
      </c>
    </row>
    <row r="2978">
      <c r="A2978" s="1">
        <v>5.0</v>
      </c>
      <c r="B2978" s="1" t="s">
        <v>2954</v>
      </c>
      <c r="C2978" t="str">
        <f>IFERROR(__xludf.DUMMYFUNCTION("GOOGLETRANSLATE(B2978, ""fr"", ""en"")"),"The science within reach of all: it's magic The educational quality of English-speaking scientific literature. Many experiments to see and understand (if not to consider) the basic principles of physics, chemistry and biology. Children love because it is "&amp;"usually quite easy to achieve and the effect is often dramatic as a magic trick. From 7 years (with an adult).")</f>
        <v>The science within reach of all: it's magic The educational quality of English-speaking scientific literature. Many experiments to see and understand (if not to consider) the basic principles of physics, chemistry and biology. Children love because it is usually quite easy to achieve and the effect is often dramatic as a magic trick. From 7 years (with an adult).</v>
      </c>
    </row>
    <row r="2979">
      <c r="A2979" s="1">
        <v>5.0</v>
      </c>
      <c r="B2979" s="1" t="s">
        <v>2955</v>
      </c>
      <c r="C2979" t="str">
        <f>IFERROR(__xludf.DUMMYFUNCTION("GOOGLETRANSLATE(B2979, ""fr"", ""en"")"),"Dated Functional job, does what is expected of a nomadic sorter")</f>
        <v>Dated Functional job, does what is expected of a nomadic sorter</v>
      </c>
    </row>
    <row r="2980">
      <c r="A2980" s="1">
        <v>5.0</v>
      </c>
      <c r="B2980" s="1" t="s">
        <v>2956</v>
      </c>
      <c r="C2980" t="str">
        <f>IFERROR(__xludf.DUMMYFUNCTION("GOOGLETRANSLATE(B2980, ""fr"", ""en"")"),"Excellent product This mic is very easy to install. The quality of sound output is really more than okay. I really feel the use of professional equipment for a reduced price. Just what I needed")</f>
        <v>Excellent product This mic is very easy to install. The quality of sound output is really more than okay. I really feel the use of professional equipment for a reduced price. Just what I needed</v>
      </c>
    </row>
    <row r="2981">
      <c r="A2981" s="1">
        <v>2.0</v>
      </c>
      <c r="B2981" s="1" t="s">
        <v>2957</v>
      </c>
      <c r="C2981" t="str">
        <f>IFERROR(__xludf.DUMMYFUNCTION("GOOGLETRANSLATE(B2981, ""fr"", ""en"")"),"Too small for a 4 month old baby The collar is too small for my baby. it is barely round the neck.")</f>
        <v>Too small for a 4 month old baby The collar is too small for my baby. it is barely round the neck.</v>
      </c>
    </row>
    <row r="2982">
      <c r="A2982" s="1">
        <v>1.0</v>
      </c>
      <c r="B2982" s="1" t="s">
        <v>2958</v>
      </c>
      <c r="C2982" t="str">
        <f>IFERROR(__xludf.DUMMYFUNCTION("GOOGLETRANSLATE(B2982, ""fr"", ""en"")"),"Earphones not in the box! Received the box without blister, and nothing in it !! Intolerable. I had to go into the store to buy (absolute need for the day in question). Disappointed !!!!")</f>
        <v>Earphones not in the box! Received the box without blister, and nothing in it !! Intolerable. I had to go into the store to buy (absolute need for the day in question). Disappointed !!!!</v>
      </c>
    </row>
    <row r="2983">
      <c r="A2983" s="1">
        <v>1.0</v>
      </c>
      <c r="B2983" s="1" t="s">
        <v>2959</v>
      </c>
      <c r="C2983" t="str">
        <f>IFERROR(__xludf.DUMMYFUNCTION("GOOGLETRANSLATE(B2983, ""fr"", ""en"")"),"Attention will be fooled I have ordered this product because I was down and I could make myself indulge in the delivery day top but what a disappointment by opening my package rolls are so old that they are all black: a shame to product sales as dilapidat"&amp;"ed in the state where they are they should be discarded or donated")</f>
        <v>Attention will be fooled I have ordered this product because I was down and I could make myself indulge in the delivery day top but what a disappointment by opening my package rolls are so old that they are all black: a shame to product sales as dilapidated in the state where they are they should be discarded or donated</v>
      </c>
    </row>
    <row r="2984">
      <c r="A2984" s="1">
        <v>3.0</v>
      </c>
      <c r="B2984" s="1" t="s">
        <v>2960</v>
      </c>
      <c r="C2984" t="str">
        <f>IFERROR(__xludf.DUMMYFUNCTION("GOOGLETRANSLATE(B2984, ""fr"", ""en"")"),"Pretty nice but ... Together, fine and discreet but tarnished very quickly and very solid. Wear it on a special occasion but do not expect it to last in time, the price being what it is ... For best effect, to accompany the bracelet &amp; nbsp; &lt;a data-hook ="&amp;" ""product-link-linked"" class = ""a-link-normal"" href = ""/ Bracelet Female Hearts-Entrelacés-Crystal White / dp / B00BQGT0IU / ref = cm_cr_arp_d_rvw_txt? ie = UTF8""&gt; Bracelet Hearts Intertwined - Crystal - White &lt;/a&gt;")</f>
        <v>Pretty nice but ... Together, fine and discreet but tarnished very quickly and very solid. Wear it on a special occasion but do not expect it to last in time, the price being what it is ... For best effect, to accompany the bracelet &amp; nbsp; &lt;a data-hook = "product-link-linked" class = "a-link-normal" href = "/ Bracelet Female Hearts-Entrelacés-Crystal White / dp / B00BQGT0IU / ref = cm_cr_arp_d_rvw_txt? ie = UTF8"&gt; Bracelet Hearts Intertwined - Crystal - White &lt;/a&gt;</v>
      </c>
    </row>
    <row r="2985">
      <c r="A2985" s="1">
        <v>4.0</v>
      </c>
      <c r="B2985" s="1" t="s">
        <v>2961</v>
      </c>
      <c r="C2985" t="str">
        <f>IFERROR(__xludf.DUMMYFUNCTION("GOOGLETRANSLATE(B2985, ""fr"", ""en"")"),"A good tea kettle Tefal My twelve years, it still works but now the plastic levels on the sides crumble! I therefore with a piece of plastic and glue repaired this problem to continue to heat my water. The heat softened the same glue. Given that the brand"&amp;" does not pieces so I bought this one. Smaller and very light I found in my mailbox! First use no noise! And since the second use a very important noise which is normal for a kettle. That said lower quality than my ensures that always works. The base is c"&amp;"ontrary to my plastic watch which is all stainless steel. The top end so very fragile and tends to open itself when the water heater and there is even condensation on top. I doubt that it lasts as long as the old and like any product that was quality in t"&amp;"he past has become very moderate today. Simple and useful and cheap.")</f>
        <v>A good tea kettle Tefal My twelve years, it still works but now the plastic levels on the sides crumble! I therefore with a piece of plastic and glue repaired this problem to continue to heat my water. The heat softened the same glue. Given that the brand does not pieces so I bought this one. Smaller and very light I found in my mailbox! First use no noise! And since the second use a very important noise which is normal for a kettle. That said lower quality than my ensures that always works. The base is contrary to my plastic watch which is all stainless steel. The top end so very fragile and tends to open itself when the water heater and there is even condensation on top. I doubt that it lasts as long as the old and like any product that was quality in the past has become very moderate today. Simple and useful and cheap.</v>
      </c>
    </row>
    <row r="2986">
      <c r="A2986" s="1">
        <v>4.0</v>
      </c>
      <c r="B2986" s="1" t="s">
        <v>2962</v>
      </c>
      <c r="C2986" t="str">
        <f>IFERROR(__xludf.DUMMYFUNCTION("GOOGLETRANSLATE(B2986, ""fr"", ""en"")"),"Watch the top Very nice. Thank you much good price")</f>
        <v>Watch the top Very nice. Thank you much good price</v>
      </c>
    </row>
    <row r="2987">
      <c r="A2987" s="1">
        <v>4.0</v>
      </c>
      <c r="B2987" s="1" t="s">
        <v>2963</v>
      </c>
      <c r="C2987" t="str">
        <f>IFERROR(__xludf.DUMMYFUNCTION("GOOGLETRANSLATE(B2987, ""fr"", ""en"")"),"Product corresponding to what is asked nipples are very well accepted by my daughter! The value is good.")</f>
        <v>Product corresponding to what is asked nipples are very well accepted by my daughter! The value is good.</v>
      </c>
    </row>
    <row r="2988">
      <c r="A2988" s="1">
        <v>4.0</v>
      </c>
      <c r="B2988" s="1" t="s">
        <v>2964</v>
      </c>
      <c r="C2988" t="str">
        <f>IFERROR(__xludf.DUMMYFUNCTION("GOOGLETRANSLATE(B2988, ""fr"", ""en"")"),"Helmet This helmet of good quality is pretty good overall although the materials are not very premium 7.1 sound and microphone make this headset a great quality / price ratio. I recommend it for tight budget but looking for quality!")</f>
        <v>Helmet This helmet of good quality is pretty good overall although the materials are not very premium 7.1 sound and microphone make this headset a great quality / price ratio. I recommend it for tight budget but looking for quality!</v>
      </c>
    </row>
    <row r="2989">
      <c r="A2989" s="1">
        <v>5.0</v>
      </c>
      <c r="B2989" s="1" t="s">
        <v>2965</v>
      </c>
      <c r="C2989" t="str">
        <f>IFERROR(__xludf.DUMMYFUNCTION("GOOGLETRANSLATE(B2989, ""fr"", ""en"")"),"Fun and easy to set up Bought for my mother. She is filled. Pairing bluetooth poses no difficulties. The sound is not too bad and there are several keys to mitigate its echo. The lights are nice and help to integrate into the atmosphere.")</f>
        <v>Fun and easy to set up Bought for my mother. She is filled. Pairing bluetooth poses no difficulties. The sound is not too bad and there are several keys to mitigate its echo. The lights are nice and help to integrate into the atmosphere.</v>
      </c>
    </row>
    <row r="2990">
      <c r="A2990" s="1">
        <v>5.0</v>
      </c>
      <c r="B2990" s="1" t="s">
        <v>2966</v>
      </c>
      <c r="C2990" t="str">
        <f>IFERROR(__xludf.DUMMYFUNCTION("GOOGLETRANSLATE(B2990, ""fr"", ""en"")"),"Satchel holster Very fast delivery and product according to the description. Now it's time that will demonstrate his office about the longevity of the product.")</f>
        <v>Satchel holster Very fast delivery and product according to the description. Now it's time that will demonstrate his office about the longevity of the product.</v>
      </c>
    </row>
    <row r="2991">
      <c r="A2991" s="1">
        <v>5.0</v>
      </c>
      <c r="B2991" s="1" t="s">
        <v>2967</v>
      </c>
      <c r="C2991" t="str">
        <f>IFERROR(__xludf.DUMMYFUNCTION("GOOGLETRANSLATE(B2991, ""fr"", ""en"")"),"on top very nice, good size, works well. Good value for money.")</f>
        <v>on top very nice, good size, works well. Good value for money.</v>
      </c>
    </row>
    <row r="2992">
      <c r="A2992" s="1">
        <v>5.0</v>
      </c>
      <c r="B2992" s="1" t="s">
        <v>2968</v>
      </c>
      <c r="C2992" t="str">
        <f>IFERROR(__xludf.DUMMYFUNCTION("GOOGLETRANSLATE(B2992, ""fr"", ""en"")"),"Effective and targeted massage, several modes, a real technological gem has a low price! &lt;Div id = ""video-block-RFAW9UDYZ0MHD"" class = ""a-section-spacing-small in-spacing-top mini video-block""&gt; &lt;/ div&gt; &lt;input type = ""hidden"" name = """" value = ""ht"&amp;"tps://images-eu.ssl-images-amazon.com/images/I/B1VypTc8+NS.mp4"" class = ""video-url""&gt; &lt;input type = ""hidden"" name = """" value = "" https://images-eu.ssl-images-amazon.com/images/I/91MTa-nKROS.png ""class ="" video-slate-img-url ""&gt; &amp; nbsp; A real tre"&amp;"at! I discovered this massage device in a smaller size with a friend and I who suffer from back problems, as you say that I dreamed. I work a lot and do not really have the time to give me a massage. With this massage seat, I can combine work and relaxati"&amp;"on 😛 installed on my office chair, I'm getting my little daily session. It installs in a jiffy on any chair or armchair with a scratch elastic strap that secures the folder. A remote control that fits in his little pocket lets you choose what type of mas"&amp;"sage you want (full back, lower back, shoulders) and you can activate or not the heating mode (balls become red). Only regret not having bought before !!!")</f>
        <v>Effective and targeted massage, several modes, a real technological gem has a low price! &lt;Div id = "video-block-RFAW9UDYZ0MHD" class = "a-section-spacing-small in-spacing-top mini video-block"&gt; &lt;/ div&gt; &lt;input type = "hidden" name = "" value = "https://images-eu.ssl-images-amazon.com/images/I/B1VypTc8+NS.mp4" class = "video-url"&gt; &lt;input type = "hidden" name = "" value = " https://images-eu.ssl-images-amazon.com/images/I/91MTa-nKROS.png "class =" video-slate-img-url "&gt; &amp; nbsp; A real treat! I discovered this massage device in a smaller size with a friend and I who suffer from back problems, as you say that I dreamed. I work a lot and do not really have the time to give me a massage. With this massage seat, I can combine work and relaxation 😛 installed on my office chair, I'm getting my little daily session. It installs in a jiffy on any chair or armchair with a scratch elastic strap that secures the folder. A remote control that fits in his little pocket lets you choose what type of massage you want (full back, lower back, shoulders) and you can activate or not the heating mode (balls become red). Only regret not having bought before !!!</v>
      </c>
    </row>
    <row r="2993">
      <c r="A2993" s="1">
        <v>5.0</v>
      </c>
      <c r="B2993" s="1" t="s">
        <v>2969</v>
      </c>
      <c r="C2993" t="str">
        <f>IFERROR(__xludf.DUMMYFUNCTION("GOOGLETRANSLATE(B2993, ""fr"", ""en"")"),"QUO VADIS = True quality of the brand, I am very satisfied with my purchase - in my case, a reference for many years ......")</f>
        <v>QUO VADIS = True quality of the brand, I am very satisfied with my purchase - in my case, a reference for many years ......</v>
      </c>
    </row>
    <row r="2994">
      <c r="A2994" s="1">
        <v>5.0</v>
      </c>
      <c r="B2994" s="1" t="s">
        <v>2970</v>
      </c>
      <c r="C2994" t="str">
        <f>IFERROR(__xludf.DUMMYFUNCTION("GOOGLETRANSLATE(B2994, ""fr"", ""en"")"),"Good Very fine Soft Size Meets well")</f>
        <v>Good Very fine Soft Size Meets well</v>
      </c>
    </row>
    <row r="2995">
      <c r="A2995" s="1">
        <v>5.0</v>
      </c>
      <c r="B2995" s="1" t="s">
        <v>2971</v>
      </c>
      <c r="C2995" t="str">
        <f>IFERROR(__xludf.DUMMYFUNCTION("GOOGLETRANSLATE(B2995, ""fr"", ""en"")"),"Durable and nice product ... Perfecto ....")</f>
        <v>Durable and nice product ... Perfecto ....</v>
      </c>
    </row>
    <row r="2996">
      <c r="A2996" s="1">
        <v>5.0</v>
      </c>
      <c r="B2996" s="1" t="s">
        <v>2972</v>
      </c>
      <c r="C2996" t="str">
        <f>IFERROR(__xludf.DUMMYFUNCTION("GOOGLETRANSLATE(B2996, ""fr"", ""en"")"),"Super Article rechargeable device, that's really good, great quality, no complaints, it is well done and the materials are pleasant. Hence, feeling a lot of fun, it's not bad and different modes to vary the pleasures thank you")</f>
        <v>Super Article rechargeable device, that's really good, great quality, no complaints, it is well done and the materials are pleasant. Hence, feeling a lot of fun, it's not bad and different modes to vary the pleasures thank you</v>
      </c>
    </row>
    <row r="2997">
      <c r="A2997" s="1">
        <v>5.0</v>
      </c>
      <c r="B2997" s="1" t="s">
        <v>1288</v>
      </c>
      <c r="C2997" t="str">
        <f>IFERROR(__xludf.DUMMYFUNCTION("GOOGLETRANSLATE(B2997, ""fr"", ""en"")"),"perfect perfect")</f>
        <v>perfect perfect</v>
      </c>
    </row>
    <row r="2998">
      <c r="A2998" s="1">
        <v>5.0</v>
      </c>
      <c r="B2998" s="1" t="s">
        <v>2973</v>
      </c>
      <c r="C2998" t="str">
        <f>IFERROR(__xludf.DUMMYFUNCTION("GOOGLETRANSLATE(B2998, ""fr"", ""en"")"),"A reference !!!!! solid helmet, which holds well on the ears and insulates well enough ... watch for some like me, your ears may become hot after a while (the headset is loud enough but it is the price of good insulation ). Good cable length and I appreci"&amp;"ate the adjustability of the head. Good sound and especially made fairly neutral (pro tool recognized). It's winter, I'll highlight;). &amp; Gt; &amp; gt; Negative point ... for the summer, because it is not bad, it must be difficult to sustain over time.")</f>
        <v>A reference !!!!! solid helmet, which holds well on the ears and insulates well enough ... watch for some like me, your ears may become hot after a while (the headset is loud enough but it is the price of good insulation ). Good cable length and I appreciate the adjustability of the head. Good sound and especially made fairly neutral (pro tool recognized). It's winter, I'll highlight;). &amp; Gt; &amp; gt; Negative point ... for the summer, because it is not bad, it must be difficult to sustain over time.</v>
      </c>
    </row>
    <row r="2999">
      <c r="A2999" s="1">
        <v>5.0</v>
      </c>
      <c r="B2999" s="1" t="s">
        <v>2974</v>
      </c>
      <c r="C2999" t="str">
        <f>IFERROR(__xludf.DUMMYFUNCTION("GOOGLETRANSLATE(B2999, ""fr"", ""en"")"),"Quality product. In my eyes, these inks are always too expensive (as much as the Dior perfume without having the same charm !!!)")</f>
        <v>Quality product. In my eyes, these inks are always too expensive (as much as the Dior perfume without having the same charm !!!)</v>
      </c>
    </row>
    <row r="3000">
      <c r="A3000" s="1">
        <v>5.0</v>
      </c>
      <c r="B3000" s="1" t="s">
        <v>2975</v>
      </c>
      <c r="C3000" t="str">
        <f>IFERROR(__xludf.DUMMYFUNCTION("GOOGLETRANSLATE(B3000, ""fr"", ""en"")"),"Fully satisfied completely satisfied. An assortment of varied scent that allow to be used on spa seasons ... fresh and fruity scents for summer and perfumes strong and spicy for the winter. Very good behavior in time. And also very good value for money. I"&amp;" recommend this set!")</f>
        <v>Fully satisfied completely satisfied. An assortment of varied scent that allow to be used on spa seasons ... fresh and fruity scents for summer and perfumes strong and spicy for the winter. Very good behavior in time. And also very good value for money. I recommend this set!</v>
      </c>
    </row>
    <row r="3001">
      <c r="A3001" s="1">
        <v>5.0</v>
      </c>
      <c r="B3001" s="1" t="s">
        <v>2976</v>
      </c>
      <c r="C3001" t="str">
        <f>IFERROR(__xludf.DUMMYFUNCTION("GOOGLETRANSLATE(B3001, ""fr"", ""en"")"),"Top comfort after foot surgery, I was looking comfortable and nice shoes; they are perfect. Their insole shape memory offers unparalleled comfort. The fabric is very soft and airy and does not foot greenhouse. The chosen colors (blue gray) goes well with "&amp;"all other colors. I also doing well with pants with dresses, and make it a nice look. I just love it.")</f>
        <v>Top comfort after foot surgery, I was looking comfortable and nice shoes; they are perfect. Their insole shape memory offers unparalleled comfort. The fabric is very soft and airy and does not foot greenhouse. The chosen colors (blue gray) goes well with all other colors. I also doing well with pants with dresses, and make it a nice look. I just love it.</v>
      </c>
    </row>
    <row r="3002">
      <c r="A3002" s="1">
        <v>5.0</v>
      </c>
      <c r="B3002" s="1" t="s">
        <v>2977</v>
      </c>
      <c r="C3002" t="str">
        <f>IFERROR(__xludf.DUMMYFUNCTION("GOOGLETRANSLATE(B3002, ""fr"", ""en"")"),"Perfect Bought for my memos everyday, art, goes back very well in water")</f>
        <v>Perfect Bought for my memos everyday, art, goes back very well in water</v>
      </c>
    </row>
    <row r="3003">
      <c r="A3003" s="1">
        <v>5.0</v>
      </c>
      <c r="B3003" s="1" t="s">
        <v>2978</v>
      </c>
      <c r="C3003" t="str">
        <f>IFERROR(__xludf.DUMMYFUNCTION("GOOGLETRANSLATE(B3003, ""fr"", ""en"")"),"Compliance No screws special screws waiting for such a consumer product. It was thus in line with what was expected.")</f>
        <v>Compliance No screws special screws waiting for such a consumer product. It was thus in line with what was expected.</v>
      </c>
    </row>
    <row r="3004">
      <c r="A3004" s="1">
        <v>2.0</v>
      </c>
      <c r="B3004" s="1" t="s">
        <v>2979</v>
      </c>
      <c r="C3004" t="str">
        <f>IFERROR(__xludf.DUMMYFUNCTION("GOOGLETRANSLATE(B3004, ""fr"", ""en"")"),"not suitable not suitable for a digital recorder. I had not paid attention to the jack connector 3 blocks. delivered without adapter. otherwise runs on smartphone. too bad for me")</f>
        <v>not suitable not suitable for a digital recorder. I had not paid attention to the jack connector 3 blocks. delivered without adapter. otherwise runs on smartphone. too bad for me</v>
      </c>
    </row>
    <row r="3005">
      <c r="A3005" s="1">
        <v>1.0</v>
      </c>
      <c r="B3005" s="1" t="s">
        <v>2980</v>
      </c>
      <c r="C3005" t="str">
        <f>IFERROR(__xludf.DUMMYFUNCTION("GOOGLETRANSLATE(B3005, ""fr"", ""en"")"),"Supplier incompetent Ordering a sweet white man, receiving a daughter shirt bleu.Envoi a message to the supplier for change using the wording of the product. Result still blue shirt for girls 12 / 14yrs. Really bad as supplier")</f>
        <v>Supplier incompetent Ordering a sweet white man, receiving a daughter shirt bleu.Envoi a message to the supplier for change using the wording of the product. Result still blue shirt for girls 12 / 14yrs. Really bad as supplier</v>
      </c>
    </row>
    <row r="3006">
      <c r="A3006" s="1">
        <v>3.0</v>
      </c>
      <c r="B3006" s="1" t="s">
        <v>2981</v>
      </c>
      <c r="C3006" t="str">
        <f>IFERROR(__xludf.DUMMYFUNCTION("GOOGLETRANSLATE(B3006, ""fr"", ""en"")"),"7 8 compliant products comply with the exception of white or there is black marker # 55 mark + marks brown so white is not usable")</f>
        <v>7 8 compliant products comply with the exception of white or there is black marker # 55 mark + marks brown so white is not usable</v>
      </c>
    </row>
    <row r="3007">
      <c r="A3007" s="1">
        <v>3.0</v>
      </c>
      <c r="B3007" s="1" t="s">
        <v>2982</v>
      </c>
      <c r="C3007" t="str">
        <f>IFERROR(__xludf.DUMMYFUNCTION("GOOGLETRANSLATE(B3007, ""fr"", ""en"")"),"Small and light Good quality a priori but the bag is a bit small for my taste. Once placed my wallet, my checkbook and some papers, there remains much room. Also the zippers are quite hard: the advantage is that the open (for theft) is more difficult ...")</f>
        <v>Small and light Good quality a priori but the bag is a bit small for my taste. Once placed my wallet, my checkbook and some papers, there remains much room. Also the zippers are quite hard: the advantage is that the open (for theft) is more difficult ...</v>
      </c>
    </row>
    <row r="3008">
      <c r="A3008" s="1">
        <v>4.0</v>
      </c>
      <c r="B3008" s="1" t="s">
        <v>2983</v>
      </c>
      <c r="C3008" t="str">
        <f>IFERROR(__xludf.DUMMYFUNCTION("GOOGLETRANSLATE(B3008, ""fr"", ""en"")"),"Original cartridges This is my first purchase of this brand cartridges, remains to lifetime")</f>
        <v>Original cartridges This is my first purchase of this brand cartridges, remains to lifetime</v>
      </c>
    </row>
    <row r="3009">
      <c r="A3009" s="1">
        <v>4.0</v>
      </c>
      <c r="B3009" s="1" t="s">
        <v>2984</v>
      </c>
      <c r="C3009" t="str">
        <f>IFERROR(__xludf.DUMMYFUNCTION("GOOGLETRANSLATE(B3009, ""fr"", ""en"")"),"Ras Pleasing cheap")</f>
        <v>Ras Pleasing cheap</v>
      </c>
    </row>
    <row r="3010">
      <c r="A3010" s="1">
        <v>4.0</v>
      </c>
      <c r="B3010" s="1" t="s">
        <v>2985</v>
      </c>
      <c r="C3010" t="str">
        <f>IFERROR(__xludf.DUMMYFUNCTION("GOOGLETRANSLATE(B3010, ""fr"", ""en"")"),"RAS Complies description")</f>
        <v>RAS Complies description</v>
      </c>
    </row>
    <row r="3011">
      <c r="A3011" s="1">
        <v>4.0</v>
      </c>
      <c r="B3011" s="1" t="s">
        <v>2986</v>
      </c>
      <c r="C3011" t="str">
        <f>IFERROR(__xludf.DUMMYFUNCTION("GOOGLETRANSLATE(B3011, ""fr"", ""en"")"),"Overall satisfied Nice product, carefull, only two large sides are white (it is not clearly seen in the photo), the other two sides in brushed metal. Easy to hang, not easy to place the filters with coal, but you get there. You have to be very delicate wi"&amp;"th the buttons contacts of this kind of hood because you quickly cause a swing, a hood with remote control is more suitable.")</f>
        <v>Overall satisfied Nice product, carefull, only two large sides are white (it is not clearly seen in the photo), the other two sides in brushed metal. Easy to hang, not easy to place the filters with coal, but you get there. You have to be very delicate with the buttons contacts of this kind of hood because you quickly cause a swing, a hood with remote control is more suitable.</v>
      </c>
    </row>
    <row r="3012">
      <c r="A3012" s="1">
        <v>5.0</v>
      </c>
      <c r="B3012" s="1" t="s">
        <v>2987</v>
      </c>
      <c r="C3012" t="str">
        <f>IFERROR(__xludf.DUMMYFUNCTION("GOOGLETRANSLATE(B3012, ""fr"", ""en"")"),"Satisfied I like the color. It is convenient for traveling to slip into the diaper bag or to prepare doses at home to go faster when you have to prepare a bottle.")</f>
        <v>Satisfied I like the color. It is convenient for traveling to slip into the diaper bag or to prepare doses at home to go faster when you have to prepare a bottle.</v>
      </c>
    </row>
    <row r="3013">
      <c r="A3013" s="1">
        <v>5.0</v>
      </c>
      <c r="B3013" s="1" t="s">
        <v>2988</v>
      </c>
      <c r="C3013" t="str">
        <f>IFERROR(__xludf.DUMMYFUNCTION("GOOGLETRANSLATE(B3013, ""fr"", ""en"")"),"Top quality Nothing wrong accustomed to taking this product")</f>
        <v>Top quality Nothing wrong accustomed to taking this product</v>
      </c>
    </row>
    <row r="3014">
      <c r="A3014" s="1">
        <v>5.0</v>
      </c>
      <c r="B3014" s="1" t="s">
        <v>2989</v>
      </c>
      <c r="C3014" t="str">
        <f>IFERROR(__xludf.DUMMYFUNCTION("GOOGLETRANSLATE(B3014, ""fr"", ""en"")"),"Teat Teats The Advent are suitable for thick liquids like soups or milk thickened .... fine. This is a very good product.")</f>
        <v>Teat Teats The Advent are suitable for thick liquids like soups or milk thickened .... fine. This is a very good product.</v>
      </c>
    </row>
    <row r="3015">
      <c r="A3015" s="1">
        <v>5.0</v>
      </c>
      <c r="B3015" s="1" t="s">
        <v>2990</v>
      </c>
      <c r="C3015" t="str">
        <f>IFERROR(__xludf.DUMMYFUNCTION("GOOGLETRANSLATE(B3015, ""fr"", ""en"")"),"Following effective back pain. I buy this cushion, very easy to use. Very efficient heat diffuse and continuously.")</f>
        <v>Following effective back pain. I buy this cushion, very easy to use. Very efficient heat diffuse and continuously.</v>
      </c>
    </row>
    <row r="3016">
      <c r="A3016" s="1">
        <v>5.0</v>
      </c>
      <c r="B3016" s="1" t="s">
        <v>2991</v>
      </c>
      <c r="C3016" t="str">
        <f>IFERROR(__xludf.DUMMYFUNCTION("GOOGLETRANSLATE(B3016, ""fr"", ""en"")"),"Very satisfied! It is a small bag and that's exactly what I was looking for my son .. stack space for the purse, the natel and key .. it was not long ago that I have but I think that it is strong enough to last long! I recommend.")</f>
        <v>Very satisfied! It is a small bag and that's exactly what I was looking for my son .. stack space for the purse, the natel and key .. it was not long ago that I have but I think that it is strong enough to last long! I recommend.</v>
      </c>
    </row>
    <row r="3017">
      <c r="A3017" s="1">
        <v>5.0</v>
      </c>
      <c r="B3017" s="1" t="s">
        <v>2992</v>
      </c>
      <c r="C3017" t="str">
        <f>IFERROR(__xludf.DUMMYFUNCTION("GOOGLETRANSLATE(B3017, ""fr"", ""en"")"),"Top Shows purchased for a gift, which has had its effect. Delivery time.")</f>
        <v>Top Shows purchased for a gift, which has had its effect. Delivery time.</v>
      </c>
    </row>
    <row r="3018">
      <c r="A3018" s="1">
        <v>5.0</v>
      </c>
      <c r="B3018" s="1" t="s">
        <v>2993</v>
      </c>
      <c r="C3018" t="str">
        <f>IFERROR(__xludf.DUMMYFUNCTION("GOOGLETRANSLATE(B3018, ""fr"", ""en"")"),"Although for good quality Inkjet Paper")</f>
        <v>Although for good quality Inkjet Paper</v>
      </c>
    </row>
    <row r="3019">
      <c r="A3019" s="1">
        <v>5.0</v>
      </c>
      <c r="B3019" s="1" t="s">
        <v>2994</v>
      </c>
      <c r="C3019" t="str">
        <f>IFERROR(__xludf.DUMMYFUNCTION("GOOGLETRANSLATE(B3019, ""fr"", ""en"")"),"I expected no less Very good shirt, breathable, wicks moisture and odors, comfortable, tends to rise at the hips")</f>
        <v>I expected no less Very good shirt, breathable, wicks moisture and odors, comfortable, tends to rise at the hips</v>
      </c>
    </row>
    <row r="3020">
      <c r="A3020" s="1">
        <v>5.0</v>
      </c>
      <c r="B3020" s="1" t="s">
        <v>2995</v>
      </c>
      <c r="C3020" t="str">
        <f>IFERROR(__xludf.DUMMYFUNCTION("GOOGLETRANSLATE(B3020, ""fr"", ""en"")"),"simple and solid Watch This watch is discreet and practical classic.")</f>
        <v>simple and solid Watch This watch is discreet and practical classic.</v>
      </c>
    </row>
    <row r="3021">
      <c r="A3021" s="1">
        <v>5.0</v>
      </c>
      <c r="B3021" s="1" t="s">
        <v>2996</v>
      </c>
      <c r="C3021" t="str">
        <f>IFERROR(__xludf.DUMMYFUNCTION("GOOGLETRANSLATE(B3021, ""fr"", ""en"")"),"Efficiency casio For less than 25 euros we have a readable under direct sunlight as full dark night (total display backlight). A Discrete alarm vibration if desired (beep sound or vibration choice) it works for alarms but also for hourly beep (sig) these "&amp;"vibrations are felt and modulated (changeable) A matte black gshock look 10 years battery 100 meters sealing. What do you to complain? Shop around ... the aesthetics of the watch are clearly benefit if the 4 screws that surround the screen were black matt"&amp;"e. Chrome as they are, they sting a little eye!")</f>
        <v>Efficiency casio For less than 25 euros we have a readable under direct sunlight as full dark night (total display backlight). A Discrete alarm vibration if desired (beep sound or vibration choice) it works for alarms but also for hourly beep (sig) these vibrations are felt and modulated (changeable) A matte black gshock look 10 years battery 100 meters sealing. What do you to complain? Shop around ... the aesthetics of the watch are clearly benefit if the 4 screws that surround the screen were black matte. Chrome as they are, they sting a little eye!</v>
      </c>
    </row>
    <row r="3022">
      <c r="A3022" s="1">
        <v>5.0</v>
      </c>
      <c r="B3022" s="1" t="s">
        <v>2997</v>
      </c>
      <c r="C3022" t="str">
        <f>IFERROR(__xludf.DUMMYFUNCTION("GOOGLETRANSLATE(B3022, ""fr"", ""en"")"),"well it works well, great atmosphere for parties, I can usually invite friends to bless my house")</f>
        <v>well it works well, great atmosphere for parties, I can usually invite friends to bless my house</v>
      </c>
    </row>
    <row r="3023">
      <c r="A3023" s="1">
        <v>5.0</v>
      </c>
      <c r="B3023" s="1" t="s">
        <v>2998</v>
      </c>
      <c r="C3023" t="str">
        <f>IFERROR(__xludf.DUMMYFUNCTION("GOOGLETRANSLATE(B3023, ""fr"", ""en"")"),"A nice pajamas Hot, big, comfortable, my daughter loves pajamas. In addition, it withstands washing, the colors do not leave.")</f>
        <v>A nice pajamas Hot, big, comfortable, my daughter loves pajamas. In addition, it withstands washing, the colors do not leave.</v>
      </c>
    </row>
    <row r="3024">
      <c r="A3024" s="1">
        <v>5.0</v>
      </c>
      <c r="B3024" s="1" t="s">
        <v>2999</v>
      </c>
      <c r="C3024" t="str">
        <f>IFERROR(__xludf.DUMMYFUNCTION("GOOGLETRANSLATE(B3024, ""fr"", ""en"")"),"ball very simple eco my machine and naturally soft and fluffy")</f>
        <v>ball very simple eco my machine and naturally soft and fluffy</v>
      </c>
    </row>
    <row r="3025">
      <c r="A3025" s="1">
        <v>5.0</v>
      </c>
      <c r="B3025" s="1" t="s">
        <v>3000</v>
      </c>
      <c r="C3025" t="str">
        <f>IFERROR(__xludf.DUMMYFUNCTION("GOOGLETRANSLATE(B3025, ""fr"", ""en"")"),"Very nice very nice and I hope that with time we will have the results. Amazon thank you for your services. Ms. Alexis")</f>
        <v>Very nice very nice and I hope that with time we will have the results. Amazon thank you for your services. Ms. Alexis</v>
      </c>
    </row>
    <row r="3026">
      <c r="A3026" s="1">
        <v>5.0</v>
      </c>
      <c r="B3026" s="1" t="s">
        <v>3001</v>
      </c>
      <c r="C3026" t="str">
        <f>IFERROR(__xludf.DUMMYFUNCTION("GOOGLETRANSLATE(B3026, ""fr"", ""en"")"),"Super Perfect thank you")</f>
        <v>Super Perfect thank you</v>
      </c>
    </row>
    <row r="3027">
      <c r="A3027" s="1">
        <v>2.0</v>
      </c>
      <c r="B3027" s="1" t="s">
        <v>3002</v>
      </c>
      <c r="C3027" t="str">
        <f>IFERROR(__xludf.DUMMYFUNCTION("GOOGLETRANSLATE(B3027, ""fr"", ""en"")"),"Bad heated Citrine and unnatural contrary to what could suggest the photo")</f>
        <v>Bad heated Citrine and unnatural contrary to what could suggest the photo</v>
      </c>
    </row>
    <row r="3028">
      <c r="A3028" s="1">
        <v>1.0</v>
      </c>
      <c r="B3028" s="1" t="s">
        <v>3003</v>
      </c>
      <c r="C3028" t="str">
        <f>IFERROR(__xludf.DUMMYFUNCTION("GOOGLETRANSLATE(B3028, ""fr"", ""en"")"),"Disappointing Not at all suitable for the sport, no maintenance. I make a 95E with a size XL = 44 for senior and size L is too large. It yawns!")</f>
        <v>Disappointing Not at all suitable for the sport, no maintenance. I make a 95E with a size XL = 44 for senior and size L is too large. It yawns!</v>
      </c>
    </row>
    <row r="3029">
      <c r="A3029" s="1">
        <v>1.0</v>
      </c>
      <c r="B3029" s="1" t="s">
        <v>3004</v>
      </c>
      <c r="C3029" t="str">
        <f>IFERROR(__xludf.DUMMYFUNCTION("GOOGLETRANSLATE(B3029, ""fr"", ""en"")"),"Printed already empty ..... 3 photos cartridge is already indicated by the printer as ""empty"" ????")</f>
        <v>Printed already empty ..... 3 photos cartridge is already indicated by the printer as "empty" ????</v>
      </c>
    </row>
    <row r="3030">
      <c r="A3030" s="1">
        <v>3.0</v>
      </c>
      <c r="B3030" s="1" t="s">
        <v>3005</v>
      </c>
      <c r="C3030" t="str">
        <f>IFERROR(__xludf.DUMMYFUNCTION("GOOGLETRANSLATE(B3030, ""fr"", ""en"")"),"Good bags small bags strong enough to prices. Be careful though not to overdo the load. Red loops can be weakened. Besides, I do not really like these handles. Not very handicap slightly opening the bag. Moreover, these bags are not completely sealed. A l"&amp;"ittle too much liquid in your bag and it is the bottom of your trash will be stained.")</f>
        <v>Good bags small bags strong enough to prices. Be careful though not to overdo the load. Red loops can be weakened. Besides, I do not really like these handles. Not very handicap slightly opening the bag. Moreover, these bags are not completely sealed. A little too much liquid in your bag and it is the bottom of your trash will be stained.</v>
      </c>
    </row>
    <row r="3031">
      <c r="A3031" s="1">
        <v>3.0</v>
      </c>
      <c r="B3031" s="1" t="s">
        <v>3006</v>
      </c>
      <c r="C3031" t="str">
        <f>IFERROR(__xludf.DUMMYFUNCTION("GOOGLETRANSLATE(B3031, ""fr"", ""en"")"),"Speed ​​of delivery To deliver")</f>
        <v>Speed ​​of delivery To deliver</v>
      </c>
    </row>
    <row r="3032">
      <c r="A3032" s="1">
        <v>4.0</v>
      </c>
      <c r="B3032" s="1" t="s">
        <v>3007</v>
      </c>
      <c r="C3032" t="str">
        <f>IFERROR(__xludf.DUMMYFUNCTION("GOOGLETRANSLATE(B3032, ""fr"", ""en"")"),"shoes just received very quickly this pair of shoes as I saw on the website. The size is really just but this shoe is canvas should relax a little.")</f>
        <v>shoes just received very quickly this pair of shoes as I saw on the website. The size is really just but this shoe is canvas should relax a little.</v>
      </c>
    </row>
    <row r="3033">
      <c r="A3033" s="1">
        <v>4.0</v>
      </c>
      <c r="B3033" s="1" t="s">
        <v>3008</v>
      </c>
      <c r="C3033" t="str">
        <f>IFERROR(__xludf.DUMMYFUNCTION("GOOGLETRANSLATE(B3033, ""fr"", ""en"")"),"Minerva No 46 Very good product, small flat on the price, a bit expensive for a simple rule with forms. Otherwise very good, many forms of different sizes, and comes with a handy pocket not to damage it (especially for those who need to geography tray).")</f>
        <v>Minerva No 46 Very good product, small flat on the price, a bit expensive for a simple rule with forms. Otherwise very good, many forms of different sizes, and comes with a handy pocket not to damage it (especially for those who need to geography tray).</v>
      </c>
    </row>
    <row r="3034">
      <c r="A3034" s="1">
        <v>4.0</v>
      </c>
      <c r="B3034" s="1" t="s">
        <v>3009</v>
      </c>
      <c r="C3034" t="str">
        <f>IFERROR(__xludf.DUMMYFUNCTION("GOOGLETRANSLATE(B3034, ""fr"", ""en"")"),"Very comfortable Good quality, well maintained, very comfortable to wear")</f>
        <v>Very comfortable Good quality, well maintained, very comfortable to wear</v>
      </c>
    </row>
    <row r="3035">
      <c r="A3035" s="1">
        <v>4.0</v>
      </c>
      <c r="B3035" s="1" t="s">
        <v>3010</v>
      </c>
      <c r="C3035" t="str">
        <f>IFERROR(__xludf.DUMMYFUNCTION("GOOGLETRANSLATE(B3035, ""fr"", ""en"")"),"Congratulations Top Pleasant wrist.")</f>
        <v>Congratulations Top Pleasant wrist.</v>
      </c>
    </row>
    <row r="3036">
      <c r="A3036" s="1">
        <v>4.0</v>
      </c>
      <c r="B3036" s="1" t="s">
        <v>3011</v>
      </c>
      <c r="C3036" t="str">
        <f>IFERROR(__xludf.DUMMYFUNCTION("GOOGLETRANSLATE(B3036, ""fr"", ""en"")"),"printer refill the printer refill picture cannon at a very good value")</f>
        <v>printer refill the printer refill picture cannon at a very good value</v>
      </c>
    </row>
    <row r="3037">
      <c r="A3037" s="1">
        <v>5.0</v>
      </c>
      <c r="B3037" s="1" t="s">
        <v>3012</v>
      </c>
      <c r="C3037" t="str">
        <f>IFERROR(__xludf.DUMMYFUNCTION("GOOGLETRANSLATE(B3037, ""fr"", ""en"")"),"Top Super comfortable, clean look, one could really believe in street shoes. I use them regularly")</f>
        <v>Top Super comfortable, clean look, one could really believe in street shoes. I use them regularly</v>
      </c>
    </row>
    <row r="3038">
      <c r="A3038" s="1">
        <v>5.0</v>
      </c>
      <c r="B3038" s="1" t="s">
        <v>3013</v>
      </c>
      <c r="C3038" t="str">
        <f>IFERROR(__xludf.DUMMYFUNCTION("GOOGLETRANSLATE(B3038, ""fr"", ""en"")"),"Good and lasting Qualie There's not much to say about this except that it is perfect, the quality is to go, and we can make many copies with.")</f>
        <v>Good and lasting Qualie There's not much to say about this except that it is perfect, the quality is to go, and we can make many copies with.</v>
      </c>
    </row>
    <row r="3039">
      <c r="A3039" s="1">
        <v>5.0</v>
      </c>
      <c r="B3039" s="1" t="s">
        <v>3014</v>
      </c>
      <c r="C3039" t="str">
        <f>IFERROR(__xludf.DUMMYFUNCTION("GOOGLETRANSLATE(B3039, ""fr"", ""en"")"),"His impeccable very comfortable helmet with very good sound quality. The surrounding noise reduction is not bad, and the Bluetooth is easy to set up. However, he has not a very large scope: count 2 to 3 meters. The packaging is also quite friendly.")</f>
        <v>His impeccable very comfortable helmet with very good sound quality. The surrounding noise reduction is not bad, and the Bluetooth is easy to set up. However, he has not a very large scope: count 2 to 3 meters. The packaging is also quite friendly.</v>
      </c>
    </row>
    <row r="3040">
      <c r="A3040" s="1">
        <v>5.0</v>
      </c>
      <c r="B3040" s="1" t="s">
        <v>3015</v>
      </c>
      <c r="C3040" t="str">
        <f>IFERROR(__xludf.DUMMYFUNCTION("GOOGLETRANSLATE(B3040, ""fr"", ""en"")"),"Exceptional performance for a very reasonable price at this price, I doubt you'll find better for voice recording. This microphone comes with the anti vibration and anti pop, very good quality and a XLR cable of very good quality. The preferential use is "&amp;"the voice (studio), but I also use it for the piano, and the results are excellent. making it ideal for voice as an instrument. The residual noise is the lowest existing (5 dB !!!) and it is easy to use with a digital recorder, for example. The value for "&amp;"money is quite exceptional.")</f>
        <v>Exceptional performance for a very reasonable price at this price, I doubt you'll find better for voice recording. This microphone comes with the anti vibration and anti pop, very good quality and a XLR cable of very good quality. The preferential use is the voice (studio), but I also use it for the piano, and the results are excellent. making it ideal for voice as an instrument. The residual noise is the lowest existing (5 dB !!!) and it is easy to use with a digital recorder, for example. The value for money is quite exceptional.</v>
      </c>
    </row>
    <row r="3041">
      <c r="A3041" s="1">
        <v>5.0</v>
      </c>
      <c r="B3041" s="1" t="s">
        <v>3016</v>
      </c>
      <c r="C3041" t="str">
        <f>IFERROR(__xludf.DUMMYFUNCTION("GOOGLETRANSLATE(B3041, ""fr"", ""en"")"),"good size perfect product thank you")</f>
        <v>good size perfect product thank you</v>
      </c>
    </row>
    <row r="3042">
      <c r="A3042" s="1">
        <v>5.0</v>
      </c>
      <c r="B3042" s="1" t="s">
        <v>3017</v>
      </c>
      <c r="C3042" t="str">
        <f>IFERROR(__xludf.DUMMYFUNCTION("GOOGLETRANSLATE(B3042, ""fr"", ""en"")"),"Perfect Very good report quality price !!!")</f>
        <v>Perfect Very good report quality price !!!</v>
      </c>
    </row>
    <row r="3043">
      <c r="A3043" s="1">
        <v>5.0</v>
      </c>
      <c r="B3043" s="1" t="s">
        <v>3018</v>
      </c>
      <c r="C3043" t="str">
        <f>IFERROR(__xludf.DUMMYFUNCTION("GOOGLETRANSLATE(B3043, ""fr"", ""en"")"),"Very comfortable, clean and elegant dancing shoes purchased to go with my dresses vintage 50's, they are like in the photo received in record time and carve fine. In addition, supplied with foot pads, great. Ordered with a size above and I did well for ea"&amp;"se of movement (when the feet tend to swell dance). I recommend these shoes.")</f>
        <v>Very comfortable, clean and elegant dancing shoes purchased to go with my dresses vintage 50's, they are like in the photo received in record time and carve fine. In addition, supplied with foot pads, great. Ordered with a size above and I did well for ease of movement (when the feet tend to swell dance). I recommend these shoes.</v>
      </c>
    </row>
    <row r="3044">
      <c r="A3044" s="1">
        <v>5.0</v>
      </c>
      <c r="B3044" s="1" t="s">
        <v>3019</v>
      </c>
      <c r="C3044" t="str">
        <f>IFERROR(__xludf.DUMMYFUNCTION("GOOGLETRANSLATE(B3044, ""fr"", ""en"")"),"sustainable and good quality, easy to maintain.")</f>
        <v>sustainable and good quality, easy to maintain.</v>
      </c>
    </row>
    <row r="3045">
      <c r="A3045" s="1">
        <v>5.0</v>
      </c>
      <c r="B3045" s="1" t="s">
        <v>3020</v>
      </c>
      <c r="C3045" t="str">
        <f>IFERROR(__xludf.DUMMYFUNCTION("GOOGLETRANSLATE(B3045, ""fr"", ""en"")"),"Laces for children and adults ... I am very satisfied with my collie is raced I recommend another pair of lace from the same seller")</f>
        <v>Laces for children and adults ... I am very satisfied with my collie is raced I recommend another pair of lace from the same seller</v>
      </c>
    </row>
    <row r="3046">
      <c r="A3046" s="1">
        <v>5.0</v>
      </c>
      <c r="B3046" s="1" t="s">
        <v>3021</v>
      </c>
      <c r="C3046" t="str">
        <f>IFERROR(__xludf.DUMMYFUNCTION("GOOGLETRANSLATE(B3046, ""fr"", ""en"")"),"Efficient Living in a large house rather cold winter, I decided to buy this coverage .This mattress is very effective. Everything goes well. Good quality. Depending on the level selected heater temperature reached more or less quickly.")</f>
        <v>Efficient Living in a large house rather cold winter, I decided to buy this coverage .This mattress is very effective. Everything goes well. Good quality. Depending on the level selected heater temperature reached more or less quickly.</v>
      </c>
    </row>
    <row r="3047">
      <c r="A3047" s="1">
        <v>5.0</v>
      </c>
      <c r="B3047" s="1" t="s">
        <v>3022</v>
      </c>
      <c r="C3047" t="str">
        <f>IFERROR(__xludf.DUMMYFUNCTION("GOOGLETRANSLATE(B3047, ""fr"", ""en"")"),"Perfect perfect perfect perfect, I highly recommend.")</f>
        <v>Perfect perfect perfect perfect, I highly recommend.</v>
      </c>
    </row>
    <row r="3048">
      <c r="A3048" s="1">
        <v>5.0</v>
      </c>
      <c r="B3048" s="1" t="s">
        <v>3023</v>
      </c>
      <c r="C3048" t="str">
        <f>IFERROR(__xludf.DUMMYFUNCTION("GOOGLETRANSLATE(B3048, ""fr"", ""en"")"),"Good Very pretty good quality bag The interior pockets are large enough. My husband is delighted with the vintage style")</f>
        <v>Good Very pretty good quality bag The interior pockets are large enough. My husband is delighted with the vintage style</v>
      </c>
    </row>
    <row r="3049">
      <c r="A3049" s="1">
        <v>5.0</v>
      </c>
      <c r="B3049" s="1" t="s">
        <v>3024</v>
      </c>
      <c r="C3049" t="str">
        <f>IFERROR(__xludf.DUMMYFUNCTION("GOOGLETRANSLATE(B3049, ""fr"", ""en"")"),"The bag great bag, size, color, material, finission ... just perfect, I recommend")</f>
        <v>The bag great bag, size, color, material, finission ... just perfect, I recommend</v>
      </c>
    </row>
    <row r="3050">
      <c r="A3050" s="1">
        <v>5.0</v>
      </c>
      <c r="B3050" s="1" t="s">
        <v>3025</v>
      </c>
      <c r="C3050" t="str">
        <f>IFERROR(__xludf.DUMMYFUNCTION("GOOGLETRANSLATE(B3050, ""fr"", ""en"")"),"Fleece Jacket super happy with my purchase and was not cold wearable I advice and good quality")</f>
        <v>Fleece Jacket super happy with my purchase and was not cold wearable I advice and good quality</v>
      </c>
    </row>
    <row r="3051">
      <c r="A3051" s="1">
        <v>5.0</v>
      </c>
      <c r="B3051" s="1" t="s">
        <v>3026</v>
      </c>
      <c r="C3051" t="str">
        <f>IFERROR(__xludf.DUMMYFUNCTION("GOOGLETRANSLATE(B3051, ""fr"", ""en"")"),"Very good very good solid well made and looks serious as matériel..un bit heavy but ... but top")</f>
        <v>Very good very good solid well made and looks serious as matériel..un bit heavy but ... but top</v>
      </c>
    </row>
    <row r="3052">
      <c r="A3052" s="1">
        <v>2.0</v>
      </c>
      <c r="B3052" s="1" t="s">
        <v>3027</v>
      </c>
      <c r="C3052" t="str">
        <f>IFERROR(__xludf.DUMMYFUNCTION("GOOGLETRANSLATE(B3052, ""fr"", ""en"")"),"Not very thick Unhappy with this product I m ​​expecting a hooded sweater And the material is very very bad end")</f>
        <v>Not very thick Unhappy with this product I m ​​expecting a hooded sweater And the material is very very bad end</v>
      </c>
    </row>
    <row r="3053">
      <c r="A3053" s="1">
        <v>1.0</v>
      </c>
      <c r="B3053" s="1" t="s">
        <v>3028</v>
      </c>
      <c r="C3053" t="str">
        <f>IFERROR(__xludf.DUMMYFUNCTION("GOOGLETRANSLATE(B3053, ""fr"", ""en"")"),"No As a roofer roofer no breathing hot and humid so I recommend mushroom odor")</f>
        <v>No As a roofer roofer no breathing hot and humid so I recommend mushroom odor</v>
      </c>
    </row>
    <row r="3054">
      <c r="A3054" s="1">
        <v>1.0</v>
      </c>
      <c r="B3054" s="1" t="s">
        <v>3029</v>
      </c>
      <c r="C3054" t="str">
        <f>IFERROR(__xludf.DUMMYFUNCTION("GOOGLETRANSLATE(B3054, ""fr"", ""en"")"),"No top I've been better with another brand")</f>
        <v>No top I've been better with another brand</v>
      </c>
    </row>
    <row r="3055">
      <c r="A3055" s="1">
        <v>3.0</v>
      </c>
      <c r="B3055" s="1" t="s">
        <v>3030</v>
      </c>
      <c r="C3055" t="str">
        <f>IFERROR(__xludf.DUMMYFUNCTION("GOOGLETRANSLATE(B3055, ""fr"", ""en"")"),"Not very reassuring I am by some of the benefits of this necklace ca remains to be seen within days. And security level I am not reassured, the collar that screws so he did it off not alone.")</f>
        <v>Not very reassuring I am by some of the benefits of this necklace ca remains to be seen within days. And security level I am not reassured, the collar that screws so he did it off not alone.</v>
      </c>
    </row>
    <row r="3056">
      <c r="A3056" s="1">
        <v>3.0</v>
      </c>
      <c r="B3056" s="1" t="s">
        <v>3031</v>
      </c>
      <c r="C3056" t="str">
        <f>IFERROR(__xludf.DUMMYFUNCTION("GOOGLETRANSLATE(B3056, ""fr"", ""en"")"),"Plastic on plastic lid on the Presence couercle in contact with the water heater. Furthermore the anti limestone filter has large which is not very effective. Disappointed at first, I expect to use it to have a real opinion.")</f>
        <v>Plastic on plastic lid on the Presence couercle in contact with the water heater. Furthermore the anti limestone filter has large which is not very effective. Disappointed at first, I expect to use it to have a real opinion.</v>
      </c>
    </row>
    <row r="3057">
      <c r="A3057" s="1">
        <v>4.0</v>
      </c>
      <c r="B3057" s="1" t="s">
        <v>3032</v>
      </c>
      <c r="C3057" t="str">
        <f>IFERROR(__xludf.DUMMYFUNCTION("GOOGLETRANSLATE(B3057, ""fr"", ""en"")"),"ok in line with my expectations")</f>
        <v>ok in line with my expectations</v>
      </c>
    </row>
    <row r="3058">
      <c r="A3058" s="1">
        <v>4.0</v>
      </c>
      <c r="B3058" s="1" t="s">
        <v>3033</v>
      </c>
      <c r="C3058" t="str">
        <f>IFERROR(__xludf.DUMMYFUNCTION("GOOGLETRANSLATE(B3058, ""fr"", ""en"")"),"caps some big cups slightly larger")</f>
        <v>caps some big cups slightly larger</v>
      </c>
    </row>
    <row r="3059">
      <c r="A3059" s="1">
        <v>4.0</v>
      </c>
      <c r="B3059" s="1" t="s">
        <v>3034</v>
      </c>
      <c r="C3059" t="str">
        <f>IFERROR(__xludf.DUMMYFUNCTION("GOOGLETRANSLATE(B3059, ""fr"", ""en"")"),"Good quality Hi, Booklet with 3m tape impressions of size 12mm. Too bad they are not supplied directly 7m. Printing quality and easy to use. Nevertheless it takes 6 AAA batteries. I suggest a 9V 2A power supply otherwise it will be expensive batteries.")</f>
        <v>Good quality Hi, Booklet with 3m tape impressions of size 12mm. Too bad they are not supplied directly 7m. Printing quality and easy to use. Nevertheless it takes 6 AAA batteries. I suggest a 9V 2A power supply otherwise it will be expensive batteries.</v>
      </c>
    </row>
    <row r="3060">
      <c r="A3060" s="1">
        <v>4.0</v>
      </c>
      <c r="B3060" s="1" t="s">
        <v>3035</v>
      </c>
      <c r="C3060" t="str">
        <f>IFERROR(__xludf.DUMMYFUNCTION("GOOGLETRANSLATE(B3060, ""fr"", ""en"")"),"Practice Moche but convenient to the waterways. large size.")</f>
        <v>Practice Moche but convenient to the waterways. large size.</v>
      </c>
    </row>
    <row r="3061">
      <c r="A3061" s="1">
        <v>5.0</v>
      </c>
      <c r="B3061" s="1" t="s">
        <v>3036</v>
      </c>
      <c r="C3061" t="str">
        <f>IFERROR(__xludf.DUMMYFUNCTION("GOOGLETRANSLATE(B3061, ""fr"", ""en"")"),"Super Very nice to take xl of the I have ordered 3 happy .....")</f>
        <v>Super Very nice to take xl of the I have ordered 3 happy .....</v>
      </c>
    </row>
    <row r="3062">
      <c r="A3062" s="1">
        <v>5.0</v>
      </c>
      <c r="B3062" s="1" t="s">
        <v>3037</v>
      </c>
      <c r="C3062" t="str">
        <f>IFERROR(__xludf.DUMMYFUNCTION("GOOGLETRANSLATE(B3062, ""fr"", ""en"")"),"Quality I am 3 pairs for this model! Money nothing to say. Color: is the picture. Item arrived quickly. Size accordance with the specified size.")</f>
        <v>Quality I am 3 pairs for this model! Money nothing to say. Color: is the picture. Item arrived quickly. Size accordance with the specified size.</v>
      </c>
    </row>
    <row r="3063">
      <c r="A3063" s="1">
        <v>5.0</v>
      </c>
      <c r="B3063" s="1" t="s">
        <v>3038</v>
      </c>
      <c r="C3063" t="str">
        <f>IFERROR(__xludf.DUMMYFUNCTION("GOOGLETRANSLATE(B3063, ""fr"", ""en"")"),"Ras Cheap")</f>
        <v>Ras Cheap</v>
      </c>
    </row>
    <row r="3064">
      <c r="A3064" s="1">
        <v>5.0</v>
      </c>
      <c r="B3064" s="1" t="s">
        <v>3039</v>
      </c>
      <c r="C3064" t="str">
        <f>IFERROR(__xludf.DUMMYFUNCTION("GOOGLETRANSLATE(B3064, ""fr"", ""en"")"),"Incredible comfort After reading the reviews I took a 42.5 while I normally shoe size 43 but it turned out that it was still too big ... But with Amazon speed of 5 days after I received of 42 and perfect! I was pleasantly surprised at the comfort of these"&amp;" shoes! In the first test any pain I made in never felt so good in the shoe! The leather is of high quality must maintain the post! I love the chic style that brings it's a little English style year 20 elegant")</f>
        <v>Incredible comfort After reading the reviews I took a 42.5 while I normally shoe size 43 but it turned out that it was still too big ... But with Amazon speed of 5 days after I received of 42 and perfect! I was pleasantly surprised at the comfort of these shoes! In the first test any pain I made in never felt so good in the shoe! The leather is of high quality must maintain the post! I love the chic style that brings it's a little English style year 20 elegant</v>
      </c>
    </row>
    <row r="3065">
      <c r="A3065" s="1">
        <v>5.0</v>
      </c>
      <c r="B3065" s="1" t="s">
        <v>3040</v>
      </c>
      <c r="C3065" t="str">
        <f>IFERROR(__xludf.DUMMYFUNCTION("GOOGLETRANSLATE(B3065, ""fr"", ""en"")"),"Perfect ! I'm really count! The sound is perfect, the cell's aesthetic is very good and the price / quality ratio is excellent! Only downside for me, on my turntable Marantz TT2200, the pins were too big 'diameter) for connecting to the cells, but a littl"&amp;"e help is to clip the case!")</f>
        <v>Perfect ! I'm really count! The sound is perfect, the cell's aesthetic is very good and the price / quality ratio is excellent! Only downside for me, on my turntable Marantz TT2200, the pins were too big 'diameter) for connecting to the cells, but a little help is to clip the case!</v>
      </c>
    </row>
    <row r="3066">
      <c r="A3066" s="1">
        <v>5.0</v>
      </c>
      <c r="B3066" s="1" t="s">
        <v>3041</v>
      </c>
      <c r="C3066" t="str">
        <f>IFERROR(__xludf.DUMMYFUNCTION("GOOGLETRANSLATE(B3066, ""fr"", ""en"")"),"Earpiece black &lt;div id = ""video-block-RKCH0JQD82ATM"" class = ""a-section-spacing-small in-spacing-top mini video-block""&gt; &lt;/ div&gt; &lt;input type = ""hidden"" name = "" ""value ="" https://images-eu.ssl-images-amazon.com/images/I/917jMD9cK2S.mp4 ""class ="""&amp;" video-url ""&gt; &lt;input type ="" hidden ""name ="" ""value ="" https://images-eu.ssl-images-amazon.com/images/I/A1cdyOv2w1S.png ""class ="" video-slate-img-url ""&gt; &amp; nbsp; Headphone high quality given its price, and level of comfort earpiece has the ear I h"&amp;"ave not seen negative things my endurance doing with these headphones there and discreet enough not I find the earpiece wrong, and I really did not expect that his strong it is very simple to install, good product for me")</f>
        <v>Earpiece black &lt;div id = "video-block-RKCH0JQD82ATM" class = "a-section-spacing-small in-spacing-top mini video-block"&gt; &lt;/ div&gt; &lt;input type = "hidden" name = " "value =" https://images-eu.ssl-images-amazon.com/images/I/917jMD9cK2S.mp4 "class =" video-url "&gt; &lt;input type =" hidden "name =" "value =" https://images-eu.ssl-images-amazon.com/images/I/A1cdyOv2w1S.png "class =" video-slate-img-url "&gt; &amp; nbsp; Headphone high quality given its price, and level of comfort earpiece has the ear I have not seen negative things my endurance doing with these headphones there and discreet enough not I find the earpiece wrong, and I really did not expect that his strong it is very simple to install, good product for me</v>
      </c>
    </row>
    <row r="3067">
      <c r="A3067" s="1">
        <v>5.0</v>
      </c>
      <c r="B3067" s="1" t="s">
        <v>3042</v>
      </c>
      <c r="C3067" t="str">
        <f>IFERROR(__xludf.DUMMYFUNCTION("GOOGLETRANSLATE(B3067, ""fr"", ""en"")"),"A well designed product ... to see over time I am very! Bachelor pleasantly surprised. Arrival of the package 13 kg well packaged. This is a well designed product that makes good coffee and that changes ""capsules machines"" that are expensive consumables"&amp;", are not environmentally friendly and often drop out within two years. The worst are the machines that pay the stamp of George the clownet ;-) For this machine, generous water tank drawer to collect the used coffee, float alarm to warn of the flow tank f"&amp;"ill level (simple but good idea), pout coffee beans, set the fineness of the ground coffee, temperature, blue backlit display the best effect ... flushing self-cleaning system and integrated preheating. Accepts coffee beans or ground coffee (flexibility)."&amp;" Sound insufficient water alarms, drawer equipment full coffee, coffee beans to fill ... All the tank and drawers are easily accessible on the sides or top (coffee beans). I have no opinion on the capuchino because'm not amateur. Some disadvantages becaus"&amp;"e there are always more cumbersome than a standard coffee maker, 13 kg plastic buttons that do a little fake, front deco light that consumes electricity for nothing, switch on the back, and menu indication of the display in German or English (Damage to th"&amp;"e French but not too difficult to understand). Instructions in English / French / German ... see if it works well over time. ""Deutsche Qualität"", so should keep its promises ... To see ...")</f>
        <v>A well designed product ... to see over time I am very! Bachelor pleasantly surprised. Arrival of the package 13 kg well packaged. This is a well designed product that makes good coffee and that changes "capsules machines" that are expensive consumables, are not environmentally friendly and often drop out within two years. The worst are the machines that pay the stamp of George the clownet ;-) For this machine, generous water tank drawer to collect the used coffee, float alarm to warn of the flow tank fill level (simple but good idea), pout coffee beans, set the fineness of the ground coffee, temperature, blue backlit display the best effect ... flushing self-cleaning system and integrated preheating. Accepts coffee beans or ground coffee (flexibility). Sound insufficient water alarms, drawer equipment full coffee, coffee beans to fill ... All the tank and drawers are easily accessible on the sides or top (coffee beans). I have no opinion on the capuchino because'm not amateur. Some disadvantages because there are always more cumbersome than a standard coffee maker, 13 kg plastic buttons that do a little fake, front deco light that consumes electricity for nothing, switch on the back, and menu indication of the display in German or English (Damage to the French but not too difficult to understand). Instructions in English / French / German ... see if it works well over time. "Deutsche Qualität", so should keep its promises ... To see ...</v>
      </c>
    </row>
    <row r="3068">
      <c r="A3068" s="1">
        <v>5.0</v>
      </c>
      <c r="B3068" s="1" t="s">
        <v>3043</v>
      </c>
      <c r="C3068" t="str">
        <f>IFERROR(__xludf.DUMMYFUNCTION("GOOGLETRANSLATE(B3068, ""fr"", ""en"")"),"Concrete true basketball that takes the road, Vans really made a great success of this model especially in the sole that is very robust, I often walk and with time it is resistant. I do not regret this order and I advise buying")</f>
        <v>Concrete true basketball that takes the road, Vans really made a great success of this model especially in the sole that is very robust, I often walk and with time it is resistant. I do not regret this order and I advise buying</v>
      </c>
    </row>
    <row r="3069">
      <c r="A3069" s="1">
        <v>5.0</v>
      </c>
      <c r="B3069" s="1" t="s">
        <v>3044</v>
      </c>
      <c r="C3069" t="str">
        <f>IFERROR(__xludf.DUMMYFUNCTION("GOOGLETRANSLATE(B3069, ""fr"", ""en"")"),"Essential essential to connect the microphone with a jack 4 bronchi (TRRS) to a PC having a receiver 3 pin (TRS). Should be sold directly to me.")</f>
        <v>Essential essential to connect the microphone with a jack 4 bronchi (TRRS) to a PC having a receiver 3 pin (TRS). Should be sold directly to me.</v>
      </c>
    </row>
    <row r="3070">
      <c r="A3070" s="1">
        <v>5.0</v>
      </c>
      <c r="B3070" s="1" t="s">
        <v>3045</v>
      </c>
      <c r="C3070" t="str">
        <f>IFERROR(__xludf.DUMMYFUNCTION("GOOGLETRANSLATE(B3070, ""fr"", ""en"")"),"Watch Pretty retro retro shows, will both women (not too big) than men .... I bought it for the offer, I had already. Delighted with my purchase.")</f>
        <v>Watch Pretty retro retro shows, will both women (not too big) than men .... I bought it for the offer, I had already. Delighted with my purchase.</v>
      </c>
    </row>
    <row r="3071">
      <c r="A3071" s="1">
        <v>5.0</v>
      </c>
      <c r="B3071" s="1" t="s">
        <v>2026</v>
      </c>
      <c r="C3071" t="str">
        <f>IFERROR(__xludf.DUMMYFUNCTION("GOOGLETRANSLATE(B3071, ""fr"", ""en"")"),"Nickel Super product")</f>
        <v>Nickel Super product</v>
      </c>
    </row>
    <row r="3072">
      <c r="A3072" s="1">
        <v>5.0</v>
      </c>
      <c r="B3072" s="1" t="s">
        <v>3046</v>
      </c>
      <c r="C3072" t="str">
        <f>IFERROR(__xludf.DUMMYFUNCTION("GOOGLETRANSLATE(B3072, ""fr"", ""en"")"),"Pretty ankle bracelet item Good value")</f>
        <v>Pretty ankle bracelet item Good value</v>
      </c>
    </row>
    <row r="3073">
      <c r="A3073" s="1">
        <v>5.0</v>
      </c>
      <c r="B3073" s="1" t="s">
        <v>3047</v>
      </c>
      <c r="C3073" t="str">
        <f>IFERROR(__xludf.DUMMYFUNCTION("GOOGLETRANSLATE(B3073, ""fr"", ""en"")"),"Value for money at the top Very good value, very comfortable.")</f>
        <v>Value for money at the top Very good value, very comfortable.</v>
      </c>
    </row>
    <row r="3074">
      <c r="A3074" s="1">
        <v>5.0</v>
      </c>
      <c r="B3074" s="1" t="s">
        <v>3048</v>
      </c>
      <c r="C3074" t="str">
        <f>IFERROR(__xludf.DUMMYFUNCTION("GOOGLETRANSLATE(B3074, ""fr"", ""en"")"),"Meets the photo Meets photo")</f>
        <v>Meets the photo Meets photo</v>
      </c>
    </row>
    <row r="3075">
      <c r="A3075" s="1">
        <v>5.0</v>
      </c>
      <c r="B3075" s="1" t="s">
        <v>3049</v>
      </c>
      <c r="C3075" t="str">
        <f>IFERROR(__xludf.DUMMYFUNCTION("GOOGLETRANSLATE(B3075, ""fr"", ""en"")"),"very good product good product, good size and light for spring to come")</f>
        <v>very good product good product, good size and light for spring to come</v>
      </c>
    </row>
    <row r="3076">
      <c r="A3076" s="1">
        <v>2.0</v>
      </c>
      <c r="B3076" s="1" t="s">
        <v>3050</v>
      </c>
      <c r="C3076" t="str">
        <f>IFERROR(__xludf.DUMMYFUNCTION("GOOGLETRANSLATE(B3076, ""fr"", ""en"")"),"Necklace gold Engraving and sending ultra fast the collar is nice I chose Golden however fades very quickly. I do not recommend!")</f>
        <v>Necklace gold Engraving and sending ultra fast the collar is nice I chose Golden however fades very quickly. I do not recommend!</v>
      </c>
    </row>
    <row r="3077">
      <c r="A3077" s="1">
        <v>1.0</v>
      </c>
      <c r="B3077" s="1" t="s">
        <v>3051</v>
      </c>
      <c r="C3077" t="str">
        <f>IFERROR(__xludf.DUMMYFUNCTION("GOOGLETRANSLATE(B3077, ""fr"", ""en"")"),"Disappointed The listener does not stay in the ear and is super lightweight so I would not recommend.")</f>
        <v>Disappointed The listener does not stay in the ear and is super lightweight so I would not recommend.</v>
      </c>
    </row>
    <row r="3078">
      <c r="A3078" s="1">
        <v>1.0</v>
      </c>
      <c r="B3078" s="1" t="s">
        <v>3052</v>
      </c>
      <c r="C3078" t="str">
        <f>IFERROR(__xludf.DUMMYFUNCTION("GOOGLETRANSLATE(B3078, ""fr"", ""en"")"),"Not happy Shoes delivered on time, at the same time paying just over € 9 reverse would not surprise me given the lack of serious Vendor: I ordered a pair in the first 47 from the same seller and arrive at 46, is little good to say that to err is human, th"&amp;"erefore, return to sender and always recommends 47 and 46 in redelivered ..... but good for a change of footwear were oréoles and stains! !!! There is no longer a mistake but incompetence. Never again will I be ordering with the seller or Amazon.")</f>
        <v>Not happy Shoes delivered on time, at the same time paying just over € 9 reverse would not surprise me given the lack of serious Vendor: I ordered a pair in the first 47 from the same seller and arrive at 46, is little good to say that to err is human, therefore, return to sender and always recommends 47 and 46 in redelivered ..... but good for a change of footwear were oréoles and stains! !!! There is no longer a mistake but incompetence. Never again will I be ordering with the seller or Amazon.</v>
      </c>
    </row>
    <row r="3079">
      <c r="A3079" s="1">
        <v>3.0</v>
      </c>
      <c r="B3079" s="1" t="s">
        <v>3053</v>
      </c>
      <c r="C3079" t="str">
        <f>IFERROR(__xludf.DUMMYFUNCTION("GOOGLETRANSLATE(B3079, ""fr"", ""en"")"),"Nice and friendly ... time respected and well packaged product. The design is nice, the color line with what I expected. Its retro side is pleasant. But I blamed the 2 front pockets: they are too small to be functional. They close by conventional magnetic"&amp;" pressure and I know from experience that this system is fragile. Overall it's a nice bag and nice with a good price / quality ratio.")</f>
        <v>Nice and friendly ... time respected and well packaged product. The design is nice, the color line with what I expected. Its retro side is pleasant. But I blamed the 2 front pockets: they are too small to be functional. They close by conventional magnetic pressure and I know from experience that this system is fragile. Overall it's a nice bag and nice with a good price / quality ratio.</v>
      </c>
    </row>
    <row r="3080">
      <c r="A3080" s="1">
        <v>4.0</v>
      </c>
      <c r="B3080" s="1" t="s">
        <v>3054</v>
      </c>
      <c r="C3080" t="str">
        <f>IFERROR(__xludf.DUMMYFUNCTION("GOOGLETRANSLATE(B3080, ""fr"", ""en"")"),"Very beautiful male. Offered to my husband I was afraid she seems too small, in fact it is not very impressive on a wrist ike but good because the golden color is very flashy. Small flat screen is not anti scratch")</f>
        <v>Very beautiful male. Offered to my husband I was afraid she seems too small, in fact it is not very impressive on a wrist ike but good because the golden color is very flashy. Small flat screen is not anti scratch</v>
      </c>
    </row>
    <row r="3081">
      <c r="A3081" s="1">
        <v>4.0</v>
      </c>
      <c r="B3081" s="1" t="s">
        <v>3055</v>
      </c>
      <c r="C3081" t="str">
        <f>IFERROR(__xludf.DUMMYFUNCTION("GOOGLETRANSLATE(B3081, ""fr"", ""en"")"),"Good but ..... Not for superior chest C cup")</f>
        <v>Good but ..... Not for superior chest C cup</v>
      </c>
    </row>
    <row r="3082">
      <c r="A3082" s="1">
        <v>4.0</v>
      </c>
      <c r="B3082" s="1" t="s">
        <v>3056</v>
      </c>
      <c r="C3082" t="str">
        <f>IFERROR(__xludf.DUMMYFUNCTION("GOOGLETRANSLATE(B3082, ""fr"", ""en"")"),"Feel free Very satisfied with this purchase, which is my second elsewhere. The cartridges last long and I have not encountered any problems or hard print quality or length. I do not regret this purchase and recommend")</f>
        <v>Feel free Very satisfied with this purchase, which is my second elsewhere. The cartridges last long and I have not encountered any problems or hard print quality or length. I do not regret this purchase and recommend</v>
      </c>
    </row>
    <row r="3083">
      <c r="A3083" s="1">
        <v>4.0</v>
      </c>
      <c r="B3083" s="1" t="s">
        <v>3057</v>
      </c>
      <c r="C3083" t="str">
        <f>IFERROR(__xludf.DUMMYFUNCTION("GOOGLETRANSLATE(B3083, ""fr"", ""en"")"),"This great bra is fine .... only negative breast below is tight (2 cm longer would have to be more comfortable). So I bought a lot of 3 extensions: Bra Extensions 3 Hooks, 9,4cm x 5,6cm (found here on Amazon) .... and there, more trouble is great.")</f>
        <v>This great bra is fine .... only negative breast below is tight (2 cm longer would have to be more comfortable). So I bought a lot of 3 extensions: Bra Extensions 3 Hooks, 9,4cm x 5,6cm (found here on Amazon) .... and there, more trouble is great.</v>
      </c>
    </row>
    <row r="3084">
      <c r="A3084" s="1">
        <v>5.0</v>
      </c>
      <c r="B3084" s="1" t="s">
        <v>3058</v>
      </c>
      <c r="C3084" t="str">
        <f>IFERROR(__xludf.DUMMYFUNCTION("GOOGLETRANSLATE(B3084, ""fr"", ""en"")"),"Impeccable Meets my expectations")</f>
        <v>Impeccable Meets my expectations</v>
      </c>
    </row>
    <row r="3085">
      <c r="A3085" s="1">
        <v>5.0</v>
      </c>
      <c r="B3085" s="1" t="s">
        <v>3059</v>
      </c>
      <c r="C3085" t="str">
        <f>IFERROR(__xludf.DUMMYFUNCTION("GOOGLETRANSLATE(B3085, ""fr"", ""en"")"),"Practical and it smells good! I have cats and I disinfect these wipes cleaning! and it smells good!")</f>
        <v>Practical and it smells good! I have cats and I disinfect these wipes cleaning! and it smells good!</v>
      </c>
    </row>
    <row r="3086">
      <c r="A3086" s="1">
        <v>5.0</v>
      </c>
      <c r="B3086" s="1" t="s">
        <v>3060</v>
      </c>
      <c r="C3086" t="str">
        <f>IFERROR(__xludf.DUMMYFUNCTION("GOOGLETRANSLATE(B3086, ""fr"", ""en"")"),"beautiful colors and very fine trait Yes indeed the colors are beautiful, loyal and so many can make beautiful gradients. It is ideal for small spaces, so I would like to know if you are planning a new range means pens, and thick? Good continuation")</f>
        <v>beautiful colors and very fine trait Yes indeed the colors are beautiful, loyal and so many can make beautiful gradients. It is ideal for small spaces, so I would like to know if you are planning a new range means pens, and thick? Good continuation</v>
      </c>
    </row>
    <row r="3087">
      <c r="A3087" s="1">
        <v>5.0</v>
      </c>
      <c r="B3087" s="1" t="s">
        <v>3061</v>
      </c>
      <c r="C3087" t="str">
        <f>IFERROR(__xludf.DUMMYFUNCTION("GOOGLETRANSLATE(B3087, ""fr"", ""en"")"),"Nothing to say about occurs Okay")</f>
        <v>Nothing to say about occurs Okay</v>
      </c>
    </row>
    <row r="3088">
      <c r="A3088" s="1">
        <v>5.0</v>
      </c>
      <c r="B3088" s="1" t="s">
        <v>3062</v>
      </c>
      <c r="C3088" t="str">
        <f>IFERROR(__xludf.DUMMYFUNCTION("GOOGLETRANSLATE(B3088, ""fr"", ""en"")"),"Steam bottle warmer heater is super fast. Excellent purchase. chic color. On leaving the bug is hot but milk is at the right temperature. I use small pots to remove support for bibi.S'utilise with very little water: 10 ml.Des the water is evaporated, the "&amp;"beetle is ready.")</f>
        <v>Steam bottle warmer heater is super fast. Excellent purchase. chic color. On leaving the bug is hot but milk is at the right temperature. I use small pots to remove support for bibi.S'utilise with very little water: 10 ml.Des the water is evaporated, the beetle is ready.</v>
      </c>
    </row>
    <row r="3089">
      <c r="A3089" s="1">
        <v>5.0</v>
      </c>
      <c r="B3089" s="1" t="s">
        <v>3063</v>
      </c>
      <c r="C3089" t="str">
        <f>IFERROR(__xludf.DUMMYFUNCTION("GOOGLETRANSLATE(B3089, ""fr"", ""en"")"),"Very good value for money Excellent For DIY or mowing the lawn")</f>
        <v>Very good value for money Excellent For DIY or mowing the lawn</v>
      </c>
    </row>
    <row r="3090">
      <c r="A3090" s="1">
        <v>5.0</v>
      </c>
      <c r="B3090" s="1" t="s">
        <v>3064</v>
      </c>
      <c r="C3090" t="str">
        <f>IFERROR(__xludf.DUMMYFUNCTION("GOOGLETRANSLATE(B3090, ""fr"", ""en"")"),"Very comfortable Very nice material. Perfect size Do not fear the rain Easy to put to daily They have the strong air")</f>
        <v>Very comfortable Very nice material. Perfect size Do not fear the rain Easy to put to daily They have the strong air</v>
      </c>
    </row>
    <row r="3091">
      <c r="A3091" s="1">
        <v>5.0</v>
      </c>
      <c r="B3091" s="1" t="s">
        <v>3065</v>
      </c>
      <c r="C3091" t="str">
        <f>IFERROR(__xludf.DUMMYFUNCTION("GOOGLETRANSLATE(B3091, ""fr"", ""en"")"),"Excellent quality / price ratio, its beautiful and long battery life What to say except that Marshall has maintained the grace of their model by slightly readjusting curves, more rounded, and easing the framework that was for sure a bit too hard on their "&amp;"previous model . Autonomy is amazing, I want more than a week without worrying about recharging. For the price can not be beat!")</f>
        <v>Excellent quality / price ratio, its beautiful and long battery life What to say except that Marshall has maintained the grace of their model by slightly readjusting curves, more rounded, and easing the framework that was for sure a bit too hard on their previous model . Autonomy is amazing, I want more than a week without worrying about recharging. For the price can not be beat!</v>
      </c>
    </row>
    <row r="3092">
      <c r="A3092" s="1">
        <v>5.0</v>
      </c>
      <c r="B3092" s="1" t="s">
        <v>3066</v>
      </c>
      <c r="C3092" t="str">
        <f>IFERROR(__xludf.DUMMYFUNCTION("GOOGLETRANSLATE(B3092, ""fr"", ""en"")"),"Of Having had to return a first non-functional watch in a very déterrioré packaging and without the user manual, the second purchase, it meets my expectations.")</f>
        <v>Of Having had to return a first non-functional watch in a very déterrioré packaging and without the user manual, the second purchase, it meets my expectations.</v>
      </c>
    </row>
    <row r="3093">
      <c r="A3093" s="1">
        <v>5.0</v>
      </c>
      <c r="B3093" s="1" t="s">
        <v>3067</v>
      </c>
      <c r="C3093" t="str">
        <f>IFERROR(__xludf.DUMMYFUNCTION("GOOGLETRANSLATE(B3093, ""fr"", ""en"")"),"Super Good Product, throughput X allows you to drink more or less thick soups bottle. Moment of hug before going to sleep. Cleans well with detergent. Resistant because they are colored not easily and not feel bad after several weeks of use.")</f>
        <v>Super Good Product, throughput X allows you to drink more or less thick soups bottle. Moment of hug before going to sleep. Cleans well with detergent. Resistant because they are colored not easily and not feel bad after several weeks of use.</v>
      </c>
    </row>
    <row r="3094">
      <c r="A3094" s="1">
        <v>5.0</v>
      </c>
      <c r="B3094" s="1" t="s">
        <v>3068</v>
      </c>
      <c r="C3094" t="str">
        <f>IFERROR(__xludf.DUMMYFUNCTION("GOOGLETRANSLATE(B3094, ""fr"", ""en"")"),"I recommend I am satisfied with this jacket, well cut! And warm for the winter!")</f>
        <v>I recommend I am satisfied with this jacket, well cut! And warm for the winter!</v>
      </c>
    </row>
    <row r="3095">
      <c r="A3095" s="1">
        <v>5.0</v>
      </c>
      <c r="B3095" s="1" t="s">
        <v>3069</v>
      </c>
      <c r="C3095" t="str">
        <f>IFERROR(__xludf.DUMMYFUNCTION("GOOGLETRANSLATE(B3095, ""fr"", ""en"")"),"well worked product suitable safety shoe")</f>
        <v>well worked product suitable safety shoe</v>
      </c>
    </row>
    <row r="3096">
      <c r="A3096" s="1">
        <v>5.0</v>
      </c>
      <c r="B3096" s="1" t="s">
        <v>3070</v>
      </c>
      <c r="C3096" t="str">
        <f>IFERROR(__xludf.DUMMYFUNCTION("GOOGLETRANSLATE(B3096, ""fr"", ""en"")"),"Impec Well if you look thick socks that hold hot, this one great size, quality is to go after several washing are always in perfect condition and not moved")</f>
        <v>Impec Well if you look thick socks that hold hot, this one great size, quality is to go after several washing are always in perfect condition and not moved</v>
      </c>
    </row>
    <row r="3097">
      <c r="A3097" s="1">
        <v>5.0</v>
      </c>
      <c r="B3097" s="1" t="s">
        <v>3071</v>
      </c>
      <c r="C3097" t="str">
        <f>IFERROR(__xludf.DUMMYFUNCTION("GOOGLETRANSLATE(B3097, ""fr"", ""en"")"),"Perfect The masseur makes perfect work, my wife uses it every day for the lower back and shoulders, very happy with this purchase.")</f>
        <v>Perfect The masseur makes perfect work, my wife uses it every day for the lower back and shoulders, very happy with this purchase.</v>
      </c>
    </row>
    <row r="3098">
      <c r="A3098" s="1">
        <v>5.0</v>
      </c>
      <c r="B3098" s="1" t="s">
        <v>3072</v>
      </c>
      <c r="C3098" t="str">
        <f>IFERROR(__xludf.DUMMYFUNCTION("GOOGLETRANSLATE(B3098, ""fr"", ""en"")"),"Attention shoes feet for Attention shoes for feet Beautiful finishes. Packaged with care.")</f>
        <v>Attention shoes feet for Attention shoes for feet Beautiful finishes. Packaged with care.</v>
      </c>
    </row>
    <row r="3099">
      <c r="A3099" s="1">
        <v>5.0</v>
      </c>
      <c r="B3099" s="1" t="s">
        <v>3073</v>
      </c>
      <c r="C3099" t="str">
        <f>IFERROR(__xludf.DUMMYFUNCTION("GOOGLETRANSLATE(B3099, ""fr"", ""en"")"),"Earrings Too beautiful I love beautiful effect quickly received many thank you")</f>
        <v>Earrings Too beautiful I love beautiful effect quickly received many thank you</v>
      </c>
    </row>
    <row r="3100">
      <c r="A3100" s="1">
        <v>2.0</v>
      </c>
      <c r="B3100" s="1" t="s">
        <v>3074</v>
      </c>
      <c r="C3100" t="str">
        <f>IFERROR(__xludf.DUMMYFUNCTION("GOOGLETRANSLATE(B3100, ""fr"", ""en"")"),"Slow Water puts considerable time to heat, provide a long wait or heat some water to the pan")</f>
        <v>Slow Water puts considerable time to heat, provide a long wait or heat some water to the pan</v>
      </c>
    </row>
    <row r="3101">
      <c r="A3101" s="1">
        <v>1.0</v>
      </c>
      <c r="B3101" s="1" t="s">
        <v>3075</v>
      </c>
      <c r="C3101" t="str">
        <f>IFERROR(__xludf.DUMMYFUNCTION("GOOGLETRANSLATE(B3101, ""fr"", ""en"")"),"shoe Destroyer Item sold to renew the color of your shoes, but it's totally destroyed ... My black sneakers have gone to a black with orange highlights and big rings ... And, really easy to apply as with the foam nozzle. I'm not one to complain, but there"&amp;" very disappointed of the product and my sneakers in the trash when I just wanted to refresh the color level ...")</f>
        <v>shoe Destroyer Item sold to renew the color of your shoes, but it's totally destroyed ... My black sneakers have gone to a black with orange highlights and big rings ... And, really easy to apply as with the foam nozzle. I'm not one to complain, but there very disappointed of the product and my sneakers in the trash when I just wanted to refresh the color level ...</v>
      </c>
    </row>
    <row r="3102">
      <c r="A3102" s="1">
        <v>3.0</v>
      </c>
      <c r="B3102" s="1" t="s">
        <v>3076</v>
      </c>
      <c r="C3102" t="str">
        <f>IFERROR(__xludf.DUMMYFUNCTION("GOOGLETRANSLATE(B3102, ""fr"", ""en"")"),"Mixed super lightweight flexible properly size a real change from the traditional safety footwear. Only flat, shoe completely destroyed after 2 months of use and I do them as two hours a day to unload my truck for 1h and 1h ... load the iron hull is liter"&amp;"ally out by the sole under the shoe hole for the laces are destroyed after 3 days, every day I had a piece of the shoe that was divided into crumb especially inside. So that even good product great product at the idea, but for reliability in time it's not"&amp;" even worth it if you count the entire day wear it will last 2 weeks")</f>
        <v>Mixed super lightweight flexible properly size a real change from the traditional safety footwear. Only flat, shoe completely destroyed after 2 months of use and I do them as two hours a day to unload my truck for 1h and 1h ... load the iron hull is literally out by the sole under the shoe hole for the laces are destroyed after 3 days, every day I had a piece of the shoe that was divided into crumb especially inside. So that even good product great product at the idea, but for reliability in time it's not even worth it if you count the entire day wear it will last 2 weeks</v>
      </c>
    </row>
    <row r="3103">
      <c r="A3103" s="1">
        <v>3.0</v>
      </c>
      <c r="B3103" s="1" t="s">
        <v>3077</v>
      </c>
      <c r="C3103" t="str">
        <f>IFERROR(__xludf.DUMMYFUNCTION("GOOGLETRANSLATE(B3103, ""fr"", ""en"")"),"very nice I was satisfied with my purchase one week. I honestly expect me has a pull ring. and when I received it in a nice little box with a small cloth to clean it I find really beautiful and well done. printmaking was perfect and very pretty too. after"&amp;" a week I have a letter from the engraving that is erased so disappointed becuase its been a white line in the engraving. but good for 10 € I could not expect a product as good knowing it to be engraved. much more expensive jewelry for both the same quali"&amp;"ty.")</f>
        <v>very nice I was satisfied with my purchase one week. I honestly expect me has a pull ring. and when I received it in a nice little box with a small cloth to clean it I find really beautiful and well done. printmaking was perfect and very pretty too. after a week I have a letter from the engraving that is erased so disappointed becuase its been a white line in the engraving. but good for 10 € I could not expect a product as good knowing it to be engraved. much more expensive jewelry for both the same quality.</v>
      </c>
    </row>
    <row r="3104">
      <c r="A3104" s="1">
        <v>4.0</v>
      </c>
      <c r="B3104" s="1" t="s">
        <v>3078</v>
      </c>
      <c r="C3104" t="str">
        <f>IFERROR(__xludf.DUMMYFUNCTION("GOOGLETRANSLATE(B3104, ""fr"", ""en"")"),"Machine very handy device that meets the expectations that her request. Water temperature always correct baby. Personally my son has thickened milk, and it works very well. The only downside is that I can send the beep indicating the end of the preparatio"&amp;"n, that really resonates at night.")</f>
        <v>Machine very handy device that meets the expectations that her request. Water temperature always correct baby. Personally my son has thickened milk, and it works very well. The only downside is that I can send the beep indicating the end of the preparation, that really resonates at night.</v>
      </c>
    </row>
    <row r="3105">
      <c r="A3105" s="1">
        <v>4.0</v>
      </c>
      <c r="B3105" s="1" t="s">
        <v>3079</v>
      </c>
      <c r="C3105" t="str">
        <f>IFERROR(__xludf.DUMMYFUNCTION("GOOGLETRANSLATE(B3105, ""fr"", ""en"")"),"Super vest vest I love Super love it. At progressively washes it takes, I recommend.")</f>
        <v>Super vest vest I love Super love it. At progressively washes it takes, I recommend.</v>
      </c>
    </row>
    <row r="3106">
      <c r="A3106" s="1">
        <v>4.0</v>
      </c>
      <c r="B3106" s="1" t="s">
        <v>3080</v>
      </c>
      <c r="C3106" t="str">
        <f>IFERROR(__xludf.DUMMYFUNCTION("GOOGLETRANSLATE(B3106, ""fr"", ""en"")"),"Compliant. Satisfied. Consistent with the description. Given the terms of the product, it does not splash around like a normal brush, it's very nice. The small nozzle for washing the teats is Okay")</f>
        <v>Compliant. Satisfied. Consistent with the description. Given the terms of the product, it does not splash around like a normal brush, it's very nice. The small nozzle for washing the teats is Okay</v>
      </c>
    </row>
    <row r="3107">
      <c r="A3107" s="1">
        <v>4.0</v>
      </c>
      <c r="B3107" s="1" t="s">
        <v>3081</v>
      </c>
      <c r="C3107" t="str">
        <f>IFERROR(__xludf.DUMMYFUNCTION("GOOGLETRANSLATE(B3107, ""fr"", ""en"")"),"A good bottle! Good Manufacturing MAM brand, as usual. Teat size of my little 3 has some trouble accepting, but everything is in order by returning a size 3.")</f>
        <v>A good bottle! Good Manufacturing MAM brand, as usual. Teat size of my little 3 has some trouble accepting, but everything is in order by returning a size 3.</v>
      </c>
    </row>
    <row r="3108">
      <c r="A3108" s="1">
        <v>5.0</v>
      </c>
      <c r="B3108" s="1" t="s">
        <v>3082</v>
      </c>
      <c r="C3108" t="str">
        <f>IFERROR(__xludf.DUMMYFUNCTION("GOOGLETRANSLATE(B3108, ""fr"", ""en"")"),"What a great idea and very well illustrated book written so that children can easily understand. Great")</f>
        <v>What a great idea and very well illustrated book written so that children can easily understand. Great</v>
      </c>
    </row>
    <row r="3109">
      <c r="A3109" s="1">
        <v>5.0</v>
      </c>
      <c r="B3109" s="1" t="s">
        <v>3083</v>
      </c>
      <c r="C3109" t="str">
        <f>IFERROR(__xludf.DUMMYFUNCTION("GOOGLETRANSLATE(B3109, ""fr"", ""en"")"),"The quality I have not used yet, but at first glance, the leather is beautiful and the bag ends well. Fast shipping in 2 days")</f>
        <v>The quality I have not used yet, but at first glance, the leather is beautiful and the bag ends well. Fast shipping in 2 days</v>
      </c>
    </row>
    <row r="3110">
      <c r="A3110" s="1">
        <v>5.0</v>
      </c>
      <c r="B3110" s="1" t="s">
        <v>3084</v>
      </c>
      <c r="C3110" t="str">
        <f>IFERROR(__xludf.DUMMYFUNCTION("GOOGLETRANSLATE(B3110, ""fr"", ""en"")"),"Fitbit wristband CHARGE2 This item arrived on time + the family, and the delay of the appreciation is that I just set the good size and it fits me perfectly! Thank you !")</f>
        <v>Fitbit wristband CHARGE2 This item arrived on time + the family, and the delay of the appreciation is that I just set the good size and it fits me perfectly! Thank you !</v>
      </c>
    </row>
    <row r="3111">
      <c r="A3111" s="1">
        <v>5.0</v>
      </c>
      <c r="B3111" s="1" t="s">
        <v>3085</v>
      </c>
      <c r="C3111" t="str">
        <f>IFERROR(__xludf.DUMMYFUNCTION("GOOGLETRANSLATE(B3111, ""fr"", ""en"")"),"Very nice jewelry with Swarovski very bright He has impressed my partner who enjoyed instantly. It is easily adjustable and it really shines though. It adapts to any outfit thanks to a really nice color. The quality is there for this product.")</f>
        <v>Very nice jewelry with Swarovski very bright He has impressed my partner who enjoyed instantly. It is easily adjustable and it really shines though. It adapts to any outfit thanks to a really nice color. The quality is there for this product.</v>
      </c>
    </row>
    <row r="3112">
      <c r="A3112" s="1">
        <v>5.0</v>
      </c>
      <c r="B3112" s="1" t="s">
        <v>3086</v>
      </c>
      <c r="C3112" t="str">
        <f>IFERROR(__xludf.DUMMYFUNCTION("GOOGLETRANSLATE(B3112, ""fr"", ""en"")"),"Really nice bracelet nice bracelet, beautiful vibrant stones")</f>
        <v>Really nice bracelet nice bracelet, beautiful vibrant stones</v>
      </c>
    </row>
    <row r="3113">
      <c r="A3113" s="1">
        <v>5.0</v>
      </c>
      <c r="B3113" s="1" t="s">
        <v>3087</v>
      </c>
      <c r="C3113" t="str">
        <f>IFERROR(__xludf.DUMMYFUNCTION("GOOGLETRANSLATE(B3113, ""fr"", ""en"")"),"Kettle Kettle design installed in care firm, perfect, sober and design both")</f>
        <v>Kettle Kettle design installed in care firm, perfect, sober and design both</v>
      </c>
    </row>
    <row r="3114">
      <c r="A3114" s="1">
        <v>5.0</v>
      </c>
      <c r="B3114" s="1" t="s">
        <v>3088</v>
      </c>
      <c r="C3114" t="str">
        <f>IFERROR(__xludf.DUMMYFUNCTION("GOOGLETRANSLATE(B3114, ""fr"", ""en"")"),"Very well very well")</f>
        <v>Very well very well</v>
      </c>
    </row>
    <row r="3115">
      <c r="A3115" s="1">
        <v>5.0</v>
      </c>
      <c r="B3115" s="1" t="s">
        <v>3089</v>
      </c>
      <c r="C3115" t="str">
        <f>IFERROR(__xludf.DUMMYFUNCTION("GOOGLETRANSLATE(B3115, ""fr"", ""en"")"),"Excellent product to the right size, comfortable and warm Hello, I received my shoes last Monday and I am fully satisfied. My habits compare models, prices and reviews. I opted for this aesthetic, comfortable and warm for winter. The value for money is un"&amp;"beatable, it seems resistant, the inside is fluffy, I am ready to face the snow and cold !!")</f>
        <v>Excellent product to the right size, comfortable and warm Hello, I received my shoes last Monday and I am fully satisfied. My habits compare models, prices and reviews. I opted for this aesthetic, comfortable and warm for winter. The value for money is unbeatable, it seems resistant, the inside is fluffy, I am ready to face the snow and cold !!</v>
      </c>
    </row>
    <row r="3116">
      <c r="A3116" s="1">
        <v>5.0</v>
      </c>
      <c r="B3116" s="1" t="s">
        <v>3090</v>
      </c>
      <c r="C3116" t="str">
        <f>IFERROR(__xludf.DUMMYFUNCTION("GOOGLETRANSLATE(B3116, ""fr"", ""en"")"),"Perfect I love it are resistant")</f>
        <v>Perfect I love it are resistant</v>
      </c>
    </row>
    <row r="3117">
      <c r="A3117" s="1">
        <v>5.0</v>
      </c>
      <c r="B3117" s="1" t="s">
        <v>3091</v>
      </c>
      <c r="C3117" t="str">
        <f>IFERROR(__xludf.DUMMYFUNCTION("GOOGLETRANSLATE(B3117, ""fr"", ""en"")"),"RETAIL MEETS FOR NOW NOTHING THE PRODUCT MEETS THE DETAILS")</f>
        <v>RETAIL MEETS FOR NOW NOTHING THE PRODUCT MEETS THE DETAILS</v>
      </c>
    </row>
    <row r="3118">
      <c r="A3118" s="1">
        <v>5.0</v>
      </c>
      <c r="B3118" s="1" t="s">
        <v>3092</v>
      </c>
      <c r="C3118" t="str">
        <f>IFERROR(__xludf.DUMMYFUNCTION("GOOGLETRANSLATE(B3118, ""fr"", ""en"")"),"Too Product class really nice, very nice, he cuts a bit small but it is well cut. I recommend the shirt.")</f>
        <v>Too Product class really nice, very nice, he cuts a bit small but it is well cut. I recommend the shirt.</v>
      </c>
    </row>
    <row r="3119">
      <c r="A3119" s="1">
        <v>5.0</v>
      </c>
      <c r="B3119" s="1" t="s">
        <v>3093</v>
      </c>
      <c r="C3119" t="str">
        <f>IFERROR(__xludf.DUMMYFUNCTION("GOOGLETRANSLATE(B3119, ""fr"", ""en"")"),"Height top Top right size, I took the 38 and it nikel")</f>
        <v>Height top Top right size, I took the 38 and it nikel</v>
      </c>
    </row>
    <row r="3120">
      <c r="A3120" s="1">
        <v>5.0</v>
      </c>
      <c r="B3120" s="1" t="s">
        <v>3094</v>
      </c>
      <c r="C3120" t="str">
        <f>IFERROR(__xludf.DUMMYFUNCTION("GOOGLETRANSLATE(B3120, ""fr"", ""en"")"),"Corresponds practice my expectations, assures his brush has bireborns functions, what else to say, i hope it will last, fortunately baby will soon stop its same morning bottles")</f>
        <v>Corresponds practice my expectations, assures his brush has bireborns functions, what else to say, i hope it will last, fortunately baby will soon stop its same morning bottles</v>
      </c>
    </row>
    <row r="3121">
      <c r="A3121" s="1">
        <v>5.0</v>
      </c>
      <c r="B3121" s="1" t="s">
        <v>3095</v>
      </c>
      <c r="C3121" t="str">
        <f>IFERROR(__xludf.DUMMYFUNCTION("GOOGLETRANSLATE(B3121, ""fr"", ""en"")"),"Good product for the price I have tried this in my work where I walk a lot and nothing to say they are light to wear nice")</f>
        <v>Good product for the price I have tried this in my work where I walk a lot and nothing to say they are light to wear nice</v>
      </c>
    </row>
    <row r="3122">
      <c r="A3122" s="1">
        <v>5.0</v>
      </c>
      <c r="B3122" s="1" t="s">
        <v>3096</v>
      </c>
      <c r="C3122" t="str">
        <f>IFERROR(__xludf.DUMMYFUNCTION("GOOGLETRANSLATE(B3122, ""fr"", ""en"")"),"Ras Very comfortable and lightweight. I feel great after my 12 hours of work. My only regret is that they tend to get dirty quickly but many compliments me on my shoes 🙂")</f>
        <v>Ras Very comfortable and lightweight. I feel great after my 12 hours of work. My only regret is that they tend to get dirty quickly but many compliments me on my shoes 🙂</v>
      </c>
    </row>
    <row r="3123">
      <c r="A3123" s="1">
        <v>2.0</v>
      </c>
      <c r="B3123" s="1" t="s">
        <v>3097</v>
      </c>
      <c r="C3123" t="str">
        <f>IFERROR(__xludf.DUMMYFUNCTION("GOOGLETRANSLATE(B3123, ""fr"", ""en"")"),"Unpleasant to wear The size (length) is correct but cons, they are too wide and tall inside. So the foot is badly kept and it causes friction, which makes them unpleasant to wear. I forced myself to wear them for a week and a half to relax and get to my f"&amp;"eet, and it does not change much, I still hurt inside. Soon to be the winter with a large pair of socks and an extra insole, it could do it but I do not really believe. Other problems: they are very slippery in the wet and they absorb any shock is live in"&amp;" the joints. To be considered a pair of shoes Troubleshooting security, not more.")</f>
        <v>Unpleasant to wear The size (length) is correct but cons, they are too wide and tall inside. So the foot is badly kept and it causes friction, which makes them unpleasant to wear. I forced myself to wear them for a week and a half to relax and get to my feet, and it does not change much, I still hurt inside. Soon to be the winter with a large pair of socks and an extra insole, it could do it but I do not really believe. Other problems: they are very slippery in the wet and they absorb any shock is live in the joints. To be considered a pair of shoes Troubleshooting security, not more.</v>
      </c>
    </row>
    <row r="3124">
      <c r="A3124" s="1">
        <v>1.0</v>
      </c>
      <c r="B3124" s="1" t="s">
        <v>3098</v>
      </c>
      <c r="C3124" t="str">
        <f>IFERROR(__xludf.DUMMYFUNCTION("GOOGLETRANSLATE(B3124, ""fr"", ""en"")"),"damage water smells plastic This is unfortunate because the product looks perfect by electronic level against a big problem and size and water bouloire feel plastic. The interior of the bouloire is packed with plastic and rubber. I return the product pron"&amp;"to.")</f>
        <v>damage water smells plastic This is unfortunate because the product looks perfect by electronic level against a big problem and size and water bouloire feel plastic. The interior of the bouloire is packed with plastic and rubber. I return the product pronto.</v>
      </c>
    </row>
    <row r="3125">
      <c r="A3125" s="1">
        <v>1.0</v>
      </c>
      <c r="B3125" s="1" t="s">
        <v>3099</v>
      </c>
      <c r="C3125" t="str">
        <f>IFERROR(__xludf.DUMMYFUNCTION("GOOGLETRANSLATE(B3125, ""fr"", ""en"")"),"Material black shirt nike The materials and absolutely degeulasse and nike and larger than the t-shirt I do not like I will not advise")</f>
        <v>Material black shirt nike The materials and absolutely degeulasse and nike and larger than the t-shirt I do not like I will not advise</v>
      </c>
    </row>
    <row r="3126">
      <c r="A3126" s="1">
        <v>3.0</v>
      </c>
      <c r="B3126" s="1" t="s">
        <v>3100</v>
      </c>
      <c r="C3126" t="str">
        <f>IFERROR(__xludf.DUMMYFUNCTION("GOOGLETRANSLATE(B3126, ""fr"", ""en"")"),"panties panty fillet too small girl for those big ass like me (size 44) which is a shame")</f>
        <v>panties panty fillet too small girl for those big ass like me (size 44) which is a shame</v>
      </c>
    </row>
    <row r="3127">
      <c r="A3127" s="1">
        <v>3.0</v>
      </c>
      <c r="B3127" s="1" t="s">
        <v>3101</v>
      </c>
      <c r="C3127" t="str">
        <f>IFERROR(__xludf.DUMMYFUNCTION("GOOGLETRANSLATE(B3127, ""fr"", ""en"")"),"Opinion mixed on the effectiveness Purchased for maintaining timberland offered to the girl at Christmas I'm mixed on the effectiveness ... I think this brush leaves traces on the nubuck and more it gets dirty very quickly. I rather invest in a waterproof"&amp;"ing spray and anti task")</f>
        <v>Opinion mixed on the effectiveness Purchased for maintaining timberland offered to the girl at Christmas I'm mixed on the effectiveness ... I think this brush leaves traces on the nubuck and more it gets dirty very quickly. I rather invest in a waterproofing spray and anti task</v>
      </c>
    </row>
    <row r="3128">
      <c r="A3128" s="1">
        <v>4.0</v>
      </c>
      <c r="B3128" s="1" t="s">
        <v>3102</v>
      </c>
      <c r="C3128" t="str">
        <f>IFERROR(__xludf.DUMMYFUNCTION("GOOGLETRANSLATE(B3128, ""fr"", ""en"")"),"Good but Bose headphones are pretty good knowing that I had before the AirPods that are less impressive, I have many doubts before taking Bose but it holds up well to the ear, autonomy is rather well however during a single telephone call from side works "&amp;"which is not great and I feel that the microphone is not often positioned interlocutors no one hears me.")</f>
        <v>Good but Bose headphones are pretty good knowing that I had before the AirPods that are less impressive, I have many doubts before taking Bose but it holds up well to the ear, autonomy is rather well however during a single telephone call from side works which is not great and I feel that the microphone is not often positioned interlocutors no one hears me.</v>
      </c>
    </row>
    <row r="3129">
      <c r="A3129" s="1">
        <v>4.0</v>
      </c>
      <c r="B3129" s="1" t="s">
        <v>3103</v>
      </c>
      <c r="C3129" t="str">
        <f>IFERROR(__xludf.DUMMYFUNCTION("GOOGLETRANSLATE(B3129, ""fr"", ""en"")"),"perfect ! nothing to say quality level and sound reproduction! I'm delighted ... a little less comfort level ... Me with my glasses, I find myself a little too green head ... but it is so new to see! but very happy anyway! I recommend !")</f>
        <v>perfect ! nothing to say quality level and sound reproduction! I'm delighted ... a little less comfort level ... Me with my glasses, I find myself a little too green head ... but it is so new to see! but very happy anyway! I recommend !</v>
      </c>
    </row>
    <row r="3130">
      <c r="A3130" s="1">
        <v>4.0</v>
      </c>
      <c r="B3130" s="1" t="s">
        <v>3104</v>
      </c>
      <c r="C3130" t="str">
        <f>IFERROR(__xludf.DUMMYFUNCTION("GOOGLETRANSLATE(B3130, ""fr"", ""en"")"),"Good quality / price for this bag leather leather resistant product value for money, design better and with more storage and ergonomics")</f>
        <v>Good quality / price for this bag leather leather resistant product value for money, design better and with more storage and ergonomics</v>
      </c>
    </row>
    <row r="3131">
      <c r="A3131" s="1">
        <v>4.0</v>
      </c>
      <c r="B3131" s="1" t="s">
        <v>3105</v>
      </c>
      <c r="C3131" t="str">
        <f>IFERROR(__xludf.DUMMYFUNCTION("GOOGLETRANSLATE(B3131, ""fr"", ""en"")"),"Good but ... lightweight bottle, cute, for against the cap is hard to open with one hand, I find that it can be unscrewed easily, I get lost in sizes 5 million teats (very slow speed, slow, fast etc. ...), and I do not like n the form level grip .... Anyw"&amp;"ay my son loves these pacifiers so c is the main negative point ... last teats only go on the same bottle Mark !!!")</f>
        <v>Good but ... lightweight bottle, cute, for against the cap is hard to open with one hand, I find that it can be unscrewed easily, I get lost in sizes 5 million teats (very slow speed, slow, fast etc. ...), and I do not like n the form level grip .... Anyway my son loves these pacifiers so c is the main negative point ... last teats only go on the same bottle Mark !!!</v>
      </c>
    </row>
    <row r="3132">
      <c r="A3132" s="1">
        <v>5.0</v>
      </c>
      <c r="B3132" s="1" t="s">
        <v>3106</v>
      </c>
      <c r="C3132" t="str">
        <f>IFERROR(__xludf.DUMMYFUNCTION("GOOGLETRANSLATE(B3132, ""fr"", ""en"")"),"Super convenient for Super outputs! I bought it for the holidays. I use it all the time !!! Before leaving on a trip or at the beach, I boil water (I invested € 5 in a small electric kettle) and I filled the bottle. And off when I want to heat the baby bo"&amp;"ttle that does not like to drink it at room temperature it takes 2min30 lap. Once I put hot water in the bottle and I can warm up with a second bottle later. By cons there it is a little longer because the water was a little cold. But frankly, I recommend"&amp;"!")</f>
        <v>Super convenient for Super outputs! I bought it for the holidays. I use it all the time !!! Before leaving on a trip or at the beach, I boil water (I invested € 5 in a small electric kettle) and I filled the bottle. And off when I want to heat the baby bottle that does not like to drink it at room temperature it takes 2min30 lap. Once I put hot water in the bottle and I can warm up with a second bottle later. By cons there it is a little longer because the water was a little cold. But frankly, I recommend!</v>
      </c>
    </row>
    <row r="3133">
      <c r="A3133" s="1">
        <v>5.0</v>
      </c>
      <c r="B3133" s="1" t="s">
        <v>3107</v>
      </c>
      <c r="C3133" t="str">
        <f>IFERROR(__xludf.DUMMYFUNCTION("GOOGLETRANSLATE(B3133, ""fr"", ""en"")"),"Good clock radio Pleasantly surprised by this little clock radio that does more than what I expected. Its compact size allows it to find its place on the night table without a problem, and time display is configurable. if you do not want to be disturbed a"&amp;"t night by a halo of light, you can reduce the ""brightness of the time display or cut completely. Indeed it is not a Hi Fi, but the sound is OK. The use is simple and can set two waking hours and the on / off simply (by dedicated buttons) is very nice. i"&amp;"mportantly, I was looking for a light alarm clock that does not begin to do the day in the room half . hour before my alarm time this one allows me to start the light alarm clock 10 minutes before my alarm clock, which corresponds to my expectations at a "&amp;"glance:. good price / quality and pleasant surprise")</f>
        <v>Good clock radio Pleasantly surprised by this little clock radio that does more than what I expected. Its compact size allows it to find its place on the night table without a problem, and time display is configurable. if you do not want to be disturbed at night by a halo of light, you can reduce the "brightness of the time display or cut completely. Indeed it is not a Hi Fi, but the sound is OK. The use is simple and can set two waking hours and the on / off simply (by dedicated buttons) is very nice. importantly, I was looking for a light alarm clock that does not begin to do the day in the room half . hour before my alarm time this one allows me to start the light alarm clock 10 minutes before my alarm clock, which corresponds to my expectations at a glance:. good price / quality and pleasant surprise</v>
      </c>
    </row>
    <row r="3134">
      <c r="A3134" s="1">
        <v>5.0</v>
      </c>
      <c r="B3134" s="1" t="s">
        <v>3108</v>
      </c>
      <c r="C3134" t="str">
        <f>IFERROR(__xludf.DUMMYFUNCTION("GOOGLETRANSLATE(B3134, ""fr"", ""en"")"),"Beautiful bracelet Beautiful bracelet genuine rock I will leave more received in a velvet pouch!")</f>
        <v>Beautiful bracelet Beautiful bracelet genuine rock I will leave more received in a velvet pouch!</v>
      </c>
    </row>
    <row r="3135">
      <c r="A3135" s="1">
        <v>5.0</v>
      </c>
      <c r="B3135" s="1" t="s">
        <v>3109</v>
      </c>
      <c r="C3135" t="str">
        <f>IFERROR(__xludf.DUMMYFUNCTION("GOOGLETRANSLATE(B3135, ""fr"", ""en"")"),"SKELETON WATCH +: + COMPETITIVE PRICE: BEL EFFECT")</f>
        <v>SKELETON WATCH +: + COMPETITIVE PRICE: BEL EFFECT</v>
      </c>
    </row>
    <row r="3136">
      <c r="A3136" s="1">
        <v>5.0</v>
      </c>
      <c r="B3136" s="1" t="s">
        <v>3110</v>
      </c>
      <c r="C3136" t="str">
        <f>IFERROR(__xludf.DUMMYFUNCTION("GOOGLETRANSLATE(B3136, ""fr"", ""en"")"),"Simple, flexible, robust and economical The heat-sealed connectors are plugged trusted and perfectly taken in, the cable is flexible without fear fold, all is simple and perfectly functional.")</f>
        <v>Simple, flexible, robust and economical The heat-sealed connectors are plugged trusted and perfectly taken in, the cable is flexible without fear fold, all is simple and perfectly functional.</v>
      </c>
    </row>
    <row r="3137">
      <c r="A3137" s="1">
        <v>5.0</v>
      </c>
      <c r="B3137" s="1" t="s">
        <v>3111</v>
      </c>
      <c r="C3137" t="str">
        <f>IFERROR(__xludf.DUMMYFUNCTION("GOOGLETRANSLATE(B3137, ""fr"", ""en"")"),"Do not hesitate !! I have it bought to offer, there is a small bag that has very good around. The bracelet is beautiful, like the pictures .... perfect !!")</f>
        <v>Do not hesitate !! I have it bought to offer, there is a small bag that has very good around. The bracelet is beautiful, like the pictures .... perfect !!</v>
      </c>
    </row>
    <row r="3138">
      <c r="A3138" s="1">
        <v>5.0</v>
      </c>
      <c r="B3138" s="1" t="s">
        <v>3112</v>
      </c>
      <c r="C3138" t="str">
        <f>IFERROR(__xludf.DUMMYFUNCTION("GOOGLETRANSLATE(B3138, ""fr"", ""en"")"),"Perfect suited to mark MAM pacifiers Corresponds to the description perfectly adapted to my strong brand MAM pacifiers and flexible I am very satisfied Thank you")</f>
        <v>Perfect suited to mark MAM pacifiers Corresponds to the description perfectly adapted to my strong brand MAM pacifiers and flexible I am very satisfied Thank you</v>
      </c>
    </row>
    <row r="3139">
      <c r="A3139" s="1">
        <v>5.0</v>
      </c>
      <c r="B3139" s="1" t="s">
        <v>3113</v>
      </c>
      <c r="C3139" t="str">
        <f>IFERROR(__xludf.DUMMYFUNCTION("GOOGLETRANSLATE(B3139, ""fr"", ""en"")"),"Good quality What I like is that it's shoes for people who have wide feet and is comfortable")</f>
        <v>Good quality What I like is that it's shoes for people who have wide feet and is comfortable</v>
      </c>
    </row>
    <row r="3140">
      <c r="A3140" s="1">
        <v>5.0</v>
      </c>
      <c r="B3140" s="1" t="s">
        <v>3114</v>
      </c>
      <c r="C3140" t="str">
        <f>IFERROR(__xludf.DUMMYFUNCTION("GOOGLETRANSLATE(B3140, ""fr"", ""en"")"),"exceptional quality these boots are indestructible leather is excellent quality and they are totally waterproof and very comfortable once made to walk essential for riding or just a rural use")</f>
        <v>exceptional quality these boots are indestructible leather is excellent quality and they are totally waterproof and very comfortable once made to walk essential for riding or just a rural use</v>
      </c>
    </row>
    <row r="3141">
      <c r="A3141" s="1">
        <v>5.0</v>
      </c>
      <c r="B3141" s="1" t="s">
        <v>3115</v>
      </c>
      <c r="C3141" t="str">
        <f>IFERROR(__xludf.DUMMYFUNCTION("GOOGLETRANSLATE(B3141, ""fr"", ""en"")"),"Just perfect! Pair controlled by the pre-teen, size 36 to a size 36. No problem. A nice straw (not beige) that goes with everything.")</f>
        <v>Just perfect! Pair controlled by the pre-teen, size 36 to a size 36. No problem. A nice straw (not beige) that goes with everything.</v>
      </c>
    </row>
    <row r="3142">
      <c r="A3142" s="1">
        <v>5.0</v>
      </c>
      <c r="B3142" s="1" t="s">
        <v>3116</v>
      </c>
      <c r="C3142" t="str">
        <f>IFERROR(__xludf.DUMMYFUNCTION("GOOGLETRANSLATE(B3142, ""fr"", ""en"")"),"Teat MAM This is perfect for the relay, suckled, pacifier, baby accepts very well, as if it were true! I recommend this product.")</f>
        <v>Teat MAM This is perfect for the relay, suckled, pacifier, baby accepts very well, as if it were true! I recommend this product.</v>
      </c>
    </row>
    <row r="3143">
      <c r="A3143" s="1">
        <v>5.0</v>
      </c>
      <c r="B3143" s="1" t="s">
        <v>3117</v>
      </c>
      <c r="C3143" t="str">
        <f>IFERROR(__xludf.DUMMYFUNCTION("GOOGLETRANSLATE(B3143, ""fr"", ""en"")"),"PRETTY AND PRACTICE Here is a lamp that combines design and functional. This is the second lamp of the model I bought for the rooms of my grandchildren who appreciate the three intensities of white light, adjustable colors of the base and also the flexibl"&amp;"e rod and therefore adjustable for use as desire for reading ... Very happy with my purchase. I recommend this product without hesitation.")</f>
        <v>PRETTY AND PRACTICE Here is a lamp that combines design and functional. This is the second lamp of the model I bought for the rooms of my grandchildren who appreciate the three intensities of white light, adjustable colors of the base and also the flexible rod and therefore adjustable for use as desire for reading ... Very happy with my purchase. I recommend this product without hesitation.</v>
      </c>
    </row>
    <row r="3144">
      <c r="A3144" s="1">
        <v>5.0</v>
      </c>
      <c r="B3144" s="1" t="s">
        <v>3118</v>
      </c>
      <c r="C3144" t="str">
        <f>IFERROR(__xludf.DUMMYFUNCTION("GOOGLETRANSLATE(B3144, ""fr"", ""en"")"),"safety shoe shoes I use every day super light and very comfortable days I recommend this product")</f>
        <v>safety shoe shoes I use every day super light and very comfortable days I recommend this product</v>
      </c>
    </row>
    <row r="3145">
      <c r="A3145" s="1">
        <v>5.0</v>
      </c>
      <c r="B3145" s="1" t="s">
        <v>3119</v>
      </c>
      <c r="C3145" t="str">
        <f>IFERROR(__xludf.DUMMYFUNCTION("GOOGLETRANSLATE(B3145, ""fr"", ""en"")"),"very good headset Bought for my son (who has chosen himself the helmet). The sound is super good, the bass is well restored and the treble again, the Bluetooth connection is very good, good autonomy. My 19 year old son was thrilled ..!")</f>
        <v>very good headset Bought for my son (who has chosen himself the helmet). The sound is super good, the bass is well restored and the treble again, the Bluetooth connection is very good, good autonomy. My 19 year old son was thrilled ..!</v>
      </c>
    </row>
    <row r="3146">
      <c r="A3146" s="1">
        <v>5.0</v>
      </c>
      <c r="B3146" s="1" t="s">
        <v>3120</v>
      </c>
      <c r="C3146" t="str">
        <f>IFERROR(__xludf.DUMMYFUNCTION("GOOGLETRANSLATE(B3146, ""fr"", ""en"")"),"Good value Matos received hyper Rapidos ... thank you amazon personally I already owned one and here is a second son for using it on vdrum")</f>
        <v>Good value Matos received hyper Rapidos ... thank you amazon personally I already owned one and here is a second son for using it on vdrum</v>
      </c>
    </row>
    <row r="3147">
      <c r="A3147" s="1">
        <v>2.0</v>
      </c>
      <c r="B3147" s="1" t="s">
        <v>3121</v>
      </c>
      <c r="C3147" t="str">
        <f>IFERROR(__xludf.DUMMYFUNCTION("GOOGLETRANSLATE(B3147, ""fr"", ""en"")"),"good comment")</f>
        <v>good comment</v>
      </c>
    </row>
    <row r="3148">
      <c r="A3148" s="1">
        <v>1.0</v>
      </c>
      <c r="B3148" s="1" t="s">
        <v>3122</v>
      </c>
      <c r="C3148" t="str">
        <f>IFERROR(__xludf.DUMMYFUNCTION("GOOGLETRANSLATE(B3148, ""fr"", ""en"")"),"Missing Parts hello, missing le'adaptateur sound card and the fixed table to the arm in the package. Do I have to return the package?")</f>
        <v>Missing Parts hello, missing le'adaptateur sound card and the fixed table to the arm in the package. Do I have to return the package?</v>
      </c>
    </row>
    <row r="3149">
      <c r="A3149" s="1">
        <v>1.0</v>
      </c>
      <c r="B3149" s="1" t="s">
        <v>3123</v>
      </c>
      <c r="C3149" t="str">
        <f>IFERROR(__xludf.DUMMYFUNCTION("GOOGLETRANSLATE(B3149, ""fr"", ""en"")"),"non confome very small ring, limit for a child. rhinestone, nothing to do with the photo. money and dubious settings. I'm hyper decue with my purchase and would not recommend.")</f>
        <v>non confome very small ring, limit for a child. rhinestone, nothing to do with the photo. money and dubious settings. I'm hyper decue with my purchase and would not recommend.</v>
      </c>
    </row>
    <row r="3150">
      <c r="A3150" s="1">
        <v>3.0</v>
      </c>
      <c r="B3150" s="1" t="s">
        <v>3124</v>
      </c>
      <c r="C3150" t="str">
        <f>IFERROR(__xludf.DUMMYFUNCTION("GOOGLETRANSLATE(B3150, ""fr"", ""en"")"),"not the same length? Good product. Of the 2 cables of 1 meter. The length is not the same? ??. The 2m cable ok")</f>
        <v>not the same length? Good product. Of the 2 cables of 1 meter. The length is not the same? ??. The 2m cable ok</v>
      </c>
    </row>
    <row r="3151">
      <c r="A3151" s="1">
        <v>4.0</v>
      </c>
      <c r="B3151" s="1" t="s">
        <v>3125</v>
      </c>
      <c r="C3151" t="str">
        <f>IFERROR(__xludf.DUMMYFUNCTION("GOOGLETRANSLATE(B3151, ""fr"", ""en"")"),"First of all, whether the product is as effective as the Canon cartridges This is the first time I use your cartridges ... I can not really judge the time because I use them once a week bridge club but regarding the printing quality is just like with my o"&amp;"ld Canon cartridges ... .And PRICE iS qUITE DIFFERENT So for me, for the moment it's very positive when I go have to change those of the house and there I use mostly the printer I will take your cartridges and so I can better judge")</f>
        <v>First of all, whether the product is as effective as the Canon cartridges This is the first time I use your cartridges ... I can not really judge the time because I use them once a week bridge club but regarding the printing quality is just like with my old Canon cartridges ... .And PRICE iS qUITE DIFFERENT So for me, for the moment it's very positive when I go have to change those of the house and there I use mostly the printer I will take your cartridges and so I can better judge</v>
      </c>
    </row>
    <row r="3152">
      <c r="A3152" s="1">
        <v>4.0</v>
      </c>
      <c r="B3152" s="1" t="s">
        <v>3126</v>
      </c>
      <c r="C3152" t="str">
        <f>IFERROR(__xludf.DUMMYFUNCTION("GOOGLETRANSLATE(B3152, ""fr"", ""en"")"),"Good headphones Good headphones and easy to install on such good quality and good recharge with a very good sound. The percentage be well on the box that contains a pouch to protect it from external shocks. A cable alternative to the earphone nozzle are a"&amp;"lso within the box under the plastic.")</f>
        <v>Good headphones Good headphones and easy to install on such good quality and good recharge with a very good sound. The percentage be well on the box that contains a pouch to protect it from external shocks. A cable alternative to the earphone nozzle are also within the box under the plastic.</v>
      </c>
    </row>
    <row r="3153">
      <c r="A3153" s="1">
        <v>4.0</v>
      </c>
      <c r="B3153" s="1" t="s">
        <v>3127</v>
      </c>
      <c r="C3153" t="str">
        <f>IFERROR(__xludf.DUMMYFUNCTION("GOOGLETRANSLATE(B3153, ""fr"", ""en"")"),"good quality, express delivery a bit big, but it does not matter in that sense, nice product, with comfortable pockets")</f>
        <v>good quality, express delivery a bit big, but it does not matter in that sense, nice product, with comfortable pockets</v>
      </c>
    </row>
    <row r="3154">
      <c r="A3154" s="1">
        <v>4.0</v>
      </c>
      <c r="B3154" s="1" t="s">
        <v>3128</v>
      </c>
      <c r="C3154" t="str">
        <f>IFERROR(__xludf.DUMMYFUNCTION("GOOGLETRANSLATE(B3154, ""fr"", ""en"")"),"Kettle RIVERA BAR Convenient, nice, quick but ... Bought there are already almost a year it still works as well! MOST - Streamlined design, harmonious sober - metallic gray color very modern - taking easy hand - perfect Capacity for boiling water and cook"&amp;" faster (soups, boiled eggs, steamed vegetables ...) - Very Quick 4 min 30 sec to bring to 100 ° C and 1 liter 1/2 cold tap water - it keeps the temperature very long time (if it remains in the base and on): water at 90 ° C after 10 min water at 88 ° C af"&amp;"ter 42 min - can view the volume contained by the scale installed in the side - can be selected very easily the temperature - A reminder beep and not forgetting the hot water on all base the LEAST - I find it a bit hot - bcp limestone forms and the anti l"&amp;"imestone filter lets not great blocks limescale - after heater is burning so always be careful - the closure is not practical it must be done with both hands - the price decked me t very high if we take into account small defects I recommend !! If you enj"&amp;"oyed this return, vote ""Comment useful""! it's always a pleasure. Otherwise leave a note!")</f>
        <v>Kettle RIVERA BAR Convenient, nice, quick but ... Bought there are already almost a year it still works as well! MOST - Streamlined design, harmonious sober - metallic gray color very modern - taking easy hand - perfect Capacity for boiling water and cook faster (soups, boiled eggs, steamed vegetables ...) - Very Quick 4 min 30 sec to bring to 100 ° C and 1 liter 1/2 cold tap water - it keeps the temperature very long time (if it remains in the base and on): water at 90 ° C after 10 min water at 88 ° C after 42 min - can view the volume contained by the scale installed in the side - can be selected very easily the temperature - A reminder beep and not forgetting the hot water on all base the LEAST - I find it a bit hot - bcp limestone forms and the anti limestone filter lets not great blocks limescale - after heater is burning so always be careful - the closure is not practical it must be done with both hands - the price decked me t very high if we take into account small defects I recommend !! If you enjoyed this return, vote "Comment useful"! it's always a pleasure. Otherwise leave a note!</v>
      </c>
    </row>
    <row r="3155">
      <c r="A3155" s="1">
        <v>5.0</v>
      </c>
      <c r="B3155" s="1" t="s">
        <v>3129</v>
      </c>
      <c r="C3155" t="str">
        <f>IFERROR(__xludf.DUMMYFUNCTION("GOOGLETRANSLATE(B3155, ""fr"", ""en"")"),"beautiful beautiful hair, beautiful chain, super shine")</f>
        <v>beautiful beautiful hair, beautiful chain, super shine</v>
      </c>
    </row>
    <row r="3156">
      <c r="A3156" s="1">
        <v>5.0</v>
      </c>
      <c r="B3156" s="1" t="s">
        <v>2457</v>
      </c>
      <c r="C3156" t="str">
        <f>IFERROR(__xludf.DUMMYFUNCTION("GOOGLETRANSLATE(B3156, ""fr"", ""en"")"),"Ok Ok")</f>
        <v>Ok Ok</v>
      </c>
    </row>
    <row r="3157">
      <c r="A3157" s="1">
        <v>5.0</v>
      </c>
      <c r="B3157" s="1" t="s">
        <v>3130</v>
      </c>
      <c r="C3157" t="str">
        <f>IFERROR(__xludf.DUMMYFUNCTION("GOOGLETRANSLATE(B3157, ""fr"", ""en"")"),"The little noise I am very happy because it makes little noise and very elegant")</f>
        <v>The little noise I am very happy because it makes little noise and very elegant</v>
      </c>
    </row>
    <row r="3158">
      <c r="A3158" s="1">
        <v>5.0</v>
      </c>
      <c r="B3158" s="1" t="s">
        <v>3131</v>
      </c>
      <c r="C3158" t="str">
        <f>IFERROR(__xludf.DUMMYFUNCTION("GOOGLETRANSLATE(B3158, ""fr"", ""en"")"),"Pretty light sweater Compliance in the selected size I make a 40/42 and I took the L. This sweater is fine but relatively warm mesh. The loose fit makes confortable.Il drops below the hips. Tight sleeves until the mid-forearm. Locations side pockets adds "&amp;"style. Finally the black color is deep and has held in 30 degree machine.")</f>
        <v>Pretty light sweater Compliance in the selected size I make a 40/42 and I took the L. This sweater is fine but relatively warm mesh. The loose fit makes confortable.Il drops below the hips. Tight sleeves until the mid-forearm. Locations side pockets adds style. Finally the black color is deep and has held in 30 degree machine.</v>
      </c>
    </row>
    <row r="3159">
      <c r="A3159" s="1">
        <v>5.0</v>
      </c>
      <c r="B3159" s="1" t="s">
        <v>3132</v>
      </c>
      <c r="C3159" t="str">
        <f>IFERROR(__xludf.DUMMYFUNCTION("GOOGLETRANSLATE(B3159, ""fr"", ""en"")"),"Too Too top top")</f>
        <v>Too Too top top</v>
      </c>
    </row>
    <row r="3160">
      <c r="A3160" s="1">
        <v>5.0</v>
      </c>
      <c r="B3160" s="1" t="s">
        <v>3133</v>
      </c>
      <c r="C3160" t="str">
        <f>IFERROR(__xludf.DUMMYFUNCTION("GOOGLETRANSLATE(B3160, ""fr"", ""en"")"),"Impeccable Very good - you go girl suitable for 2 ½ years. pretty colors")</f>
        <v>Impeccable Very good - you go girl suitable for 2 ½ years. pretty colors</v>
      </c>
    </row>
    <row r="3161">
      <c r="A3161" s="1">
        <v>5.0</v>
      </c>
      <c r="B3161" s="1" t="s">
        <v>3134</v>
      </c>
      <c r="C3161" t="str">
        <f>IFERROR(__xludf.DUMMYFUNCTION("GOOGLETRANSLATE(B3161, ""fr"", ""en"")"),"Excellent value! Small report after a few weeks: comfortable, detailed sound reproduction, deep bass, autonomy, wholesale perfect conformity to specifications; active noise reduction is very effective at low frequencies, but really not necessary when list"&amp;"ening to ""normal"" level - the helmet insulates enough. Accessories are really complete, and as headphones, very good; rigid carrying case is included and properly protect the whole. Super happy with my purchase!")</f>
        <v>Excellent value! Small report after a few weeks: comfortable, detailed sound reproduction, deep bass, autonomy, wholesale perfect conformity to specifications; active noise reduction is very effective at low frequencies, but really not necessary when listening to "normal" level - the helmet insulates enough. Accessories are really complete, and as headphones, very good; rigid carrying case is included and properly protect the whole. Super happy with my purchase!</v>
      </c>
    </row>
    <row r="3162">
      <c r="A3162" s="1">
        <v>5.0</v>
      </c>
      <c r="B3162" s="1" t="s">
        <v>3135</v>
      </c>
      <c r="C3162" t="str">
        <f>IFERROR(__xludf.DUMMYFUNCTION("GOOGLETRANSLATE(B3162, ""fr"", ""en"")"),"great product Whether for color or black cartridges, it is ESSENTIAL to buy original ink cartridges corresponding to the brand of your printer. The sub-brand, same guarantees compatible with sellers can cause irreversible damage to your equipment. So no f"&amp;"alse economies that are very expensive!")</f>
        <v>great product Whether for color or black cartridges, it is ESSENTIAL to buy original ink cartridges corresponding to the brand of your printer. The sub-brand, same guarantees compatible with sellers can cause irreversible damage to your equipment. So no false economies that are very expensive!</v>
      </c>
    </row>
    <row r="3163">
      <c r="A3163" s="1">
        <v>5.0</v>
      </c>
      <c r="B3163" s="1" t="s">
        <v>3136</v>
      </c>
      <c r="C3163" t="str">
        <f>IFERROR(__xludf.DUMMYFUNCTION("GOOGLETRANSLATE(B3163, ""fr"", ""en"")"),"good! love it, ordered in black and gray, not too thick nor too thin. I'm a woman and I'm 1m80, I took XXL to be well off in, I'm not disappointed! also very long, I roll up at the end. I just love it.")</f>
        <v>good! love it, ordered in black and gray, not too thick nor too thin. I'm a woman and I'm 1m80, I took XXL to be well off in, I'm not disappointed! also very long, I roll up at the end. I just love it.</v>
      </c>
    </row>
    <row r="3164">
      <c r="A3164" s="1">
        <v>5.0</v>
      </c>
      <c r="B3164" s="1" t="s">
        <v>3137</v>
      </c>
      <c r="C3164" t="str">
        <f>IFERROR(__xludf.DUMMYFUNCTION("GOOGLETRANSLATE(B3164, ""fr"", ""en"")"),"Super size product")</f>
        <v>Super size product</v>
      </c>
    </row>
    <row r="3165">
      <c r="A3165" s="1">
        <v>5.0</v>
      </c>
      <c r="B3165" s="1" t="s">
        <v>3138</v>
      </c>
      <c r="C3165" t="str">
        <f>IFERROR(__xludf.DUMMYFUNCTION("GOOGLETRANSLATE(B3165, ""fr"", ""en"")"),"Very good prices Very good price for this sweatshirt, very happy")</f>
        <v>Very good prices Very good price for this sweatshirt, very happy</v>
      </c>
    </row>
    <row r="3166">
      <c r="A3166" s="1">
        <v>5.0</v>
      </c>
      <c r="B3166" s="1" t="s">
        <v>3139</v>
      </c>
      <c r="C3166" t="str">
        <f>IFERROR(__xludf.DUMMYFUNCTION("GOOGLETRANSLATE(B3166, ""fr"", ""en"")"),"Superb quality superb quality, I highly recommend")</f>
        <v>Superb quality superb quality, I highly recommend</v>
      </c>
    </row>
    <row r="3167">
      <c r="A3167" s="1">
        <v>5.0</v>
      </c>
      <c r="B3167" s="1" t="s">
        <v>3140</v>
      </c>
      <c r="C3167" t="str">
        <f>IFERROR(__xludf.DUMMYFUNCTION("GOOGLETRANSLATE(B3167, ""fr"", ""en"")"),"Nickel Ideal for tutute my daughter Mam brand that does not ring! Turns and removes easily on tutute and stand well in time! Do not deform and do not change color")</f>
        <v>Nickel Ideal for tutute my daughter Mam brand that does not ring! Turns and removes easily on tutute and stand well in time! Do not deform and do not change color</v>
      </c>
    </row>
    <row r="3168">
      <c r="A3168" s="1">
        <v>5.0</v>
      </c>
      <c r="B3168" s="1" t="s">
        <v>3141</v>
      </c>
      <c r="C3168" t="str">
        <f>IFERROR(__xludf.DUMMYFUNCTION("GOOGLETRANSLATE(B3168, ""fr"", ""en"")"),"Super very very nice watch, too bad it was a bit big for me.")</f>
        <v>Super very very nice watch, too bad it was a bit big for me.</v>
      </c>
    </row>
    <row r="3169">
      <c r="A3169" s="1">
        <v>5.0</v>
      </c>
      <c r="B3169" s="1" t="s">
        <v>3142</v>
      </c>
      <c r="C3169" t="str">
        <f>IFERROR(__xludf.DUMMYFUNCTION("GOOGLETRANSLATE(B3169, ""fr"", ""en"")"),"perfect oil I used throughout my pregnancy and no stretch marks! This product is great. To use without moderation. I recommend it.")</f>
        <v>perfect oil I used throughout my pregnancy and no stretch marks! This product is great. To use without moderation. I recommend it.</v>
      </c>
    </row>
    <row r="3170">
      <c r="A3170" s="1">
        <v>2.0</v>
      </c>
      <c r="B3170" s="1" t="s">
        <v>3143</v>
      </c>
      <c r="C3170" t="str">
        <f>IFERROR(__xludf.DUMMYFUNCTION("GOOGLETRANSLATE(B3170, ""fr"", ""en"")"),"is not indeed cotton, contrary to what is written in the description, is not super soft, rather rough and not very wearable")</f>
        <v>is not indeed cotton, contrary to what is written in the description, is not super soft, rather rough and not very wearable</v>
      </c>
    </row>
    <row r="3171">
      <c r="A3171" s="1">
        <v>1.0</v>
      </c>
      <c r="B3171" s="1" t="s">
        <v>3144</v>
      </c>
      <c r="C3171" t="str">
        <f>IFERROR(__xludf.DUMMYFUNCTION("GOOGLETRANSLATE(B3171, ""fr"", ""en"")"),"Product without lid hermetic The product has flowed inside the package ... great")</f>
        <v>Product without lid hermetic The product has flowed inside the package ... great</v>
      </c>
    </row>
    <row r="3172">
      <c r="A3172" s="1">
        <v>3.0</v>
      </c>
      <c r="B3172" s="1" t="s">
        <v>3145</v>
      </c>
      <c r="C3172" t="str">
        <f>IFERROR(__xludf.DUMMYFUNCTION("GOOGLETRANSLATE(B3172, ""fr"", ""en"")"),"presentation - comfort during use rest period, positive good finish, less plastic outsole 100% flexible casting and may, above ext. -leather imitation doubled end, corresponds to its price value but certainly not more.")</f>
        <v>presentation - comfort during use rest period, positive good finish, less plastic outsole 100% flexible casting and may, above ext. -leather imitation doubled end, corresponds to its price value but certainly not more.</v>
      </c>
    </row>
    <row r="3173">
      <c r="A3173" s="1">
        <v>3.0</v>
      </c>
      <c r="B3173" s="1" t="s">
        <v>3146</v>
      </c>
      <c r="C3173" t="str">
        <f>IFERROR(__xludf.DUMMYFUNCTION("GOOGLETRANSLATE(B3173, ""fr"", ""en"")"),"Good, but fragile well but fragile. The top is damaged quickly, compared to other similar shoes")</f>
        <v>Good, but fragile well but fragile. The top is damaged quickly, compared to other similar shoes</v>
      </c>
    </row>
    <row r="3174">
      <c r="A3174" s="1">
        <v>4.0</v>
      </c>
      <c r="B3174" s="1" t="s">
        <v>3147</v>
      </c>
      <c r="C3174" t="str">
        <f>IFERROR(__xludf.DUMMYFUNCTION("GOOGLETRANSLATE(B3174, ""fr"", ""en"")"),"Clock radio simulator dawn Super genial product for its implementation it is necessary to memorize the operation manual. I recommend.")</f>
        <v>Clock radio simulator dawn Super genial product for its implementation it is necessary to memorize the operation manual. I recommend.</v>
      </c>
    </row>
    <row r="3175">
      <c r="A3175" s="1">
        <v>4.0</v>
      </c>
      <c r="B3175" s="1" t="s">
        <v>3148</v>
      </c>
      <c r="C3175" t="str">
        <f>IFERROR(__xludf.DUMMYFUNCTION("GOOGLETRANSLATE(B3175, ""fr"", ""en"")"),"On top Hyper happy with this purchase. Quality is at the appointment and is super nice even wearing it all day. It loads very quickly. Bluetooth connection level, no problem with a key Sennheiser BTD 500, the pairing is done without concern. I use it for "&amp;"my Skype calls and AC works fine. I do not put 5 stars because I regret that there was no software for further adjustments")</f>
        <v>On top Hyper happy with this purchase. Quality is at the appointment and is super nice even wearing it all day. It loads very quickly. Bluetooth connection level, no problem with a key Sennheiser BTD 500, the pairing is done without concern. I use it for my Skype calls and AC works fine. I do not put 5 stars because I regret that there was no software for further adjustments</v>
      </c>
    </row>
    <row r="3176">
      <c r="A3176" s="1">
        <v>4.0</v>
      </c>
      <c r="B3176" s="1" t="s">
        <v>3149</v>
      </c>
      <c r="C3176" t="str">
        <f>IFERROR(__xludf.DUMMYFUNCTION("GOOGLETRANSLATE(B3176, ""fr"", ""en"")"),"Good coffee but beware when it is hot I bought this kettle by its all-aluminum design. Heats quickly, a simple push on the button and go. However attention, given that it's all aluminum kettle is hot.")</f>
        <v>Good coffee but beware when it is hot I bought this kettle by its all-aluminum design. Heats quickly, a simple push on the button and go. However attention, given that it's all aluminum kettle is hot.</v>
      </c>
    </row>
    <row r="3177">
      <c r="A3177" s="1">
        <v>4.0</v>
      </c>
      <c r="B3177" s="1" t="s">
        <v>3150</v>
      </c>
      <c r="C3177" t="str">
        <f>IFERROR(__xludf.DUMMYFUNCTION("GOOGLETRANSLATE(B3177, ""fr"", ""en"")"),"Very comfortable large capacity very well for my leisure")</f>
        <v>Very comfortable large capacity very well for my leisure</v>
      </c>
    </row>
    <row r="3178">
      <c r="A3178" s="1">
        <v>4.0</v>
      </c>
      <c r="B3178" s="1" t="s">
        <v>3151</v>
      </c>
      <c r="C3178" t="str">
        <f>IFERROR(__xludf.DUMMYFUNCTION("GOOGLETRANSLATE(B3178, ""fr"", ""en"")"),"Ordered good product for my little son for skiing in addition to hot boots.Confortable moon but little used so I can not judge the longevity")</f>
        <v>Ordered good product for my little son for skiing in addition to hot boots.Confortable moon but little used so I can not judge the longevity</v>
      </c>
    </row>
    <row r="3179">
      <c r="A3179" s="1">
        <v>5.0</v>
      </c>
      <c r="B3179" s="1" t="s">
        <v>3152</v>
      </c>
      <c r="C3179" t="str">
        <f>IFERROR(__xludf.DUMMYFUNCTION("GOOGLETRANSLATE(B3179, ""fr"", ""en"")"),"Super satisfied shoulder bag! I am very satisfied with this purchase. The product is of good quality, lightweight and ideal for daily activities, we can put there everything you need: business card holder, key, car papers, handkerchiefs .... In short, it "&amp;"is quite sturdy, comfortable, convenient and beautiful, absolutely what I expect. I highly recommend.")</f>
        <v>Super satisfied shoulder bag! I am very satisfied with this purchase. The product is of good quality, lightweight and ideal for daily activities, we can put there everything you need: business card holder, key, car papers, handkerchiefs .... In short, it is quite sturdy, comfortable, convenient and beautiful, absolutely what I expect. I highly recommend.</v>
      </c>
    </row>
    <row r="3180">
      <c r="A3180" s="1">
        <v>5.0</v>
      </c>
      <c r="B3180" s="1" t="s">
        <v>3153</v>
      </c>
      <c r="C3180" t="str">
        <f>IFERROR(__xludf.DUMMYFUNCTION("GOOGLETRANSLATE(B3180, ""fr"", ""en"")"),"Quite happy with my purchase ... well Superb match the pendant.")</f>
        <v>Quite happy with my purchase ... well Superb match the pendant.</v>
      </c>
    </row>
    <row r="3181">
      <c r="A3181" s="1">
        <v>5.0</v>
      </c>
      <c r="B3181" s="1" t="s">
        <v>3154</v>
      </c>
      <c r="C3181" t="str">
        <f>IFERROR(__xludf.DUMMYFUNCTION("GOOGLETRANSLATE(B3181, ""fr"", ""en"")"),"As Nikel kettle Exceptional product quality and beautiful heating offers several temperatures really great and very ergonomic advise really 👍")</f>
        <v>As Nikel kettle Exceptional product quality and beautiful heating offers several temperatures really great and very ergonomic advise really 👍</v>
      </c>
    </row>
    <row r="3182">
      <c r="A3182" s="1">
        <v>5.0</v>
      </c>
      <c r="B3182" s="1" t="s">
        <v>3155</v>
      </c>
      <c r="C3182" t="str">
        <f>IFERROR(__xludf.DUMMYFUNCTION("GOOGLETRANSLATE(B3182, ""fr"", ""en"")"),"solid and solid bags practical bags and practices I use them for 5 years without any problem to report. Order on Amazon carefree also.")</f>
        <v>solid and solid bags practical bags and practices I use them for 5 years without any problem to report. Order on Amazon carefree also.</v>
      </c>
    </row>
    <row r="3183">
      <c r="A3183" s="1">
        <v>5.0</v>
      </c>
      <c r="B3183" s="1" t="s">
        <v>3156</v>
      </c>
      <c r="C3183" t="str">
        <f>IFERROR(__xludf.DUMMYFUNCTION("GOOGLETRANSLATE(B3183, ""fr"", ""en"")"),"Fast sending item complies super fast shipping")</f>
        <v>Fast sending item complies super fast shipping</v>
      </c>
    </row>
    <row r="3184">
      <c r="A3184" s="1">
        <v>5.0</v>
      </c>
      <c r="B3184" s="1" t="s">
        <v>3157</v>
      </c>
      <c r="C3184" t="str">
        <f>IFERROR(__xludf.DUMMYFUNCTION("GOOGLETRANSLATE(B3184, ""fr"", ""en"")"),"Conforms to good product description, recommended for bottle Bebeconfort. For soups or cereal is good, good quality, I recommend!")</f>
        <v>Conforms to good product description, recommended for bottle Bebeconfort. For soups or cereal is good, good quality, I recommend!</v>
      </c>
    </row>
    <row r="3185">
      <c r="A3185" s="1">
        <v>5.0</v>
      </c>
      <c r="B3185" s="1" t="s">
        <v>3158</v>
      </c>
      <c r="C3185" t="str">
        <f>IFERROR(__xludf.DUMMYFUNCTION("GOOGLETRANSLATE(B3185, ""fr"", ""en"")"),"Super Bluetooth headphones These headphones are TOP. the audio quality is very good. The ergonomics are great. It fits easily into the ear and hold very well. Loading is fast and autonomy is very good. I really recommend these Bluetooth headphones. I reco"&amp;"mmend")</f>
        <v>Super Bluetooth headphones These headphones are TOP. the audio quality is very good. The ergonomics are great. It fits easily into the ear and hold very well. Loading is fast and autonomy is very good. I really recommend these Bluetooth headphones. I recommend</v>
      </c>
    </row>
    <row r="3186">
      <c r="A3186" s="1">
        <v>5.0</v>
      </c>
      <c r="B3186" s="1" t="s">
        <v>3159</v>
      </c>
      <c r="C3186" t="str">
        <f>IFERROR(__xludf.DUMMYFUNCTION("GOOGLETRANSLATE(B3186, ""fr"", ""en"")"),"beautiful! 6 STARS deserves - for girls and boys - country representation very realistic glass: topissime easy cleaning for all ages, you just change pacifiers I use for my little son Ayden for 15 months and they are strong I pass them in the dishwasher")</f>
        <v>beautiful! 6 STARS deserves - for girls and boys - country representation very realistic glass: topissime easy cleaning for all ages, you just change pacifiers I use for my little son Ayden for 15 months and they are strong I pass them in the dishwasher</v>
      </c>
    </row>
    <row r="3187">
      <c r="A3187" s="1">
        <v>5.0</v>
      </c>
      <c r="B3187" s="1" t="s">
        <v>3160</v>
      </c>
      <c r="C3187" t="str">
        <f>IFERROR(__xludf.DUMMYFUNCTION("GOOGLETRANSLATE(B3187, ""fr"", ""en"")"),"On top Very fan of these super powerful balls smell with barely a small dose. The machine senses the fresh very long!")</f>
        <v>On top Very fan of these super powerful balls smell with barely a small dose. The machine senses the fresh very long!</v>
      </c>
    </row>
    <row r="3188">
      <c r="A3188" s="1">
        <v>5.0</v>
      </c>
      <c r="B3188" s="1" t="s">
        <v>3161</v>
      </c>
      <c r="C3188" t="str">
        <f>IFERROR(__xludf.DUMMYFUNCTION("GOOGLETRANSLATE(B3188, ""fr"", ""en"")"),"very good very good")</f>
        <v>very good very good</v>
      </c>
    </row>
    <row r="3189">
      <c r="A3189" s="1">
        <v>5.0</v>
      </c>
      <c r="B3189" s="1" t="s">
        <v>3162</v>
      </c>
      <c r="C3189" t="str">
        <f>IFERROR(__xludf.DUMMYFUNCTION("GOOGLETRANSLATE(B3189, ""fr"", ""en"")"),"Ideal as a gift Meets description. Colored and shiny")</f>
        <v>Ideal as a gift Meets description. Colored and shiny</v>
      </c>
    </row>
    <row r="3190">
      <c r="A3190" s="1">
        <v>5.0</v>
      </c>
      <c r="B3190" s="1" t="s">
        <v>3163</v>
      </c>
      <c r="C3190" t="str">
        <f>IFERROR(__xludf.DUMMYFUNCTION("GOOGLETRANSLATE(B3190, ""fr"", ""en"")"),"Nice discovery. tea machines have long existed. However I have always ignored thinking it was not difficult to make tea in a teapot. Today I'm only drinking tea at home, a cup of freshly made tea I like. I had the opportunity to test this tea maker Electr"&amp;"ic and I am delighted. I think the tea in bulk users with teapot 6 cups will not be interested, but the tea users to cup will be filled. Anyway, for me, it suits me so much! I use it daily and several times a day. I love it. I tested all black teas capsul"&amp;"es included in the tasting package and I immediately placed an order on the website by taking advantage of the introductory offer. Rooibos infusions and are also available as well as black teas, green, blue and white.")</f>
        <v>Nice discovery. tea machines have long existed. However I have always ignored thinking it was not difficult to make tea in a teapot. Today I'm only drinking tea at home, a cup of freshly made tea I like. I had the opportunity to test this tea maker Electric and I am delighted. I think the tea in bulk users with teapot 6 cups will not be interested, but the tea users to cup will be filled. Anyway, for me, it suits me so much! I use it daily and several times a day. I love it. I tested all black teas capsules included in the tasting package and I immediately placed an order on the website by taking advantage of the introductory offer. Rooibos infusions and are also available as well as black teas, green, blue and white.</v>
      </c>
    </row>
    <row r="3191">
      <c r="A3191" s="1">
        <v>5.0</v>
      </c>
      <c r="B3191" s="1" t="s">
        <v>3164</v>
      </c>
      <c r="C3191" t="str">
        <f>IFERROR(__xludf.DUMMYFUNCTION("GOOGLETRANSLATE(B3191, ""fr"", ""en"")"),"Okay Gola shoes")</f>
        <v>Okay Gola shoes</v>
      </c>
    </row>
    <row r="3192">
      <c r="A3192" s="1">
        <v>5.0</v>
      </c>
      <c r="B3192" s="1" t="s">
        <v>3165</v>
      </c>
      <c r="C3192" t="str">
        <f>IFERROR(__xludf.DUMMYFUNCTION("GOOGLETRANSLATE(B3192, ""fr"", ""en"")"),"J Brand Super love this brand are the material are super comfortable and super nice cuts")</f>
        <v>J Brand Super love this brand are the material are super comfortable and super nice cuts</v>
      </c>
    </row>
    <row r="3193">
      <c r="A3193" s="1">
        <v>5.0</v>
      </c>
      <c r="B3193" s="1" t="s">
        <v>3166</v>
      </c>
      <c r="C3193" t="str">
        <f>IFERROR(__xludf.DUMMYFUNCTION("GOOGLETRANSLATE(B3193, ""fr"", ""en"")"),"100% compliant, perfect. Available for a birthday, the person has been conquered. It is a good size, very Zen with its wood effect. It diffuses well odors and releases a pretty white smoke for use. No complaints.")</f>
        <v>100% compliant, perfect. Available for a birthday, the person has been conquered. It is a good size, very Zen with its wood effect. It diffuses well odors and releases a pretty white smoke for use. No complaints.</v>
      </c>
    </row>
    <row r="3194">
      <c r="A3194" s="1">
        <v>2.0</v>
      </c>
      <c r="B3194" s="1" t="s">
        <v>3167</v>
      </c>
      <c r="C3194" t="str">
        <f>IFERROR(__xludf.DUMMYFUNCTION("GOOGLETRANSLATE(B3194, ""fr"", ""en"")"),"Friendly but unpleasant material Sweat is super nice level design and colors but it is very tight at the shoulders and the material is very ""plastic"": it is not pleasant at all. I preferred the returned!")</f>
        <v>Friendly but unpleasant material Sweat is super nice level design and colors but it is very tight at the shoulders and the material is very "plastic": it is not pleasant at all. I preferred the returned!</v>
      </c>
    </row>
    <row r="3195">
      <c r="A3195" s="1">
        <v>1.0</v>
      </c>
      <c r="B3195" s="1" t="s">
        <v>3168</v>
      </c>
      <c r="C3195" t="str">
        <f>IFERROR(__xludf.DUMMYFUNCTION("GOOGLETRANSLATE(B3195, ""fr"", ""en"")"),"Not waterproof I work butchery and each cleaning I take the water")</f>
        <v>Not waterproof I work butchery and each cleaning I take the water</v>
      </c>
    </row>
    <row r="3196">
      <c r="A3196" s="1">
        <v>1.0</v>
      </c>
      <c r="B3196" s="1" t="s">
        <v>3169</v>
      </c>
      <c r="C3196" t="str">
        <f>IFERROR(__xludf.DUMMYFUNCTION("GOOGLETRANSLATE(B3196, ""fr"", ""en"")"),"Disappointed I really recommend! I ordered 3 different leggings, received two identical, and the quality is desired for truly transparent !! Disappointed with my order.")</f>
        <v>Disappointed I really recommend! I ordered 3 different leggings, received two identical, and the quality is desired for truly transparent !! Disappointed with my order.</v>
      </c>
    </row>
    <row r="3197">
      <c r="A3197" s="1">
        <v>3.0</v>
      </c>
      <c r="B3197" s="1" t="s">
        <v>3170</v>
      </c>
      <c r="C3197" t="str">
        <f>IFERROR(__xludf.DUMMYFUNCTION("GOOGLETRANSLATE(B3197, ""fr"", ""en"")"),"Property markers Good but the colors are amazing. ..deux fluorescent yellow but no jaune.4 or 5 blue but no gray")</f>
        <v>Property markers Good but the colors are amazing. ..deux fluorescent yellow but no jaune.4 or 5 blue but no gray</v>
      </c>
    </row>
    <row r="3198">
      <c r="A3198" s="1">
        <v>3.0</v>
      </c>
      <c r="B3198" s="1" t="s">
        <v>3171</v>
      </c>
      <c r="C3198" t="str">
        <f>IFERROR(__xludf.DUMMYFUNCTION("GOOGLETRANSLATE(B3198, ""fr"", ""en"")"),"Sizzling too hard Micro has a sizzling too strong er er quality a bit ho hum")</f>
        <v>Sizzling too hard Micro has a sizzling too strong er er quality a bit ho hum</v>
      </c>
    </row>
    <row r="3199">
      <c r="A3199" s="1">
        <v>4.0</v>
      </c>
      <c r="B3199" s="1" t="s">
        <v>3172</v>
      </c>
      <c r="C3199" t="str">
        <f>IFERROR(__xludf.DUMMYFUNCTION("GOOGLETRANSLATE(B3199, ""fr"", ""en"")"),"bra top that keeps pretty much the chest color that matches the photo. Small flat, I think it's good to spend a time machine before wearing them because I saw it drop off a little fiber on muscu machines.")</f>
        <v>bra top that keeps pretty much the chest color that matches the photo. Small flat, I think it's good to spend a time machine before wearing them because I saw it drop off a little fiber on muscu machines.</v>
      </c>
    </row>
    <row r="3200">
      <c r="A3200" s="1">
        <v>4.0</v>
      </c>
      <c r="B3200" s="1" t="s">
        <v>3173</v>
      </c>
      <c r="C3200" t="str">
        <f>IFERROR(__xludf.DUMMYFUNCTION("GOOGLETRANSLATE(B3200, ""fr"", ""en"")"),"Good Good cartridges cartridges")</f>
        <v>Good Good cartridges cartridges</v>
      </c>
    </row>
    <row r="3201">
      <c r="A3201" s="1">
        <v>4.0</v>
      </c>
      <c r="B3201" s="1" t="s">
        <v>3174</v>
      </c>
      <c r="C3201" t="str">
        <f>IFERROR(__xludf.DUMMYFUNCTION("GOOGLETRANSLATE(B3201, ""fr"", ""en"")"),"Do not tear and is even resistant Convenient and very good quality")</f>
        <v>Do not tear and is even resistant Convenient and very good quality</v>
      </c>
    </row>
    <row r="3202">
      <c r="A3202" s="1">
        <v>4.0</v>
      </c>
      <c r="B3202" s="1" t="s">
        <v>3175</v>
      </c>
      <c r="C3202" t="str">
        <f>IFERROR(__xludf.DUMMYFUNCTION("GOOGLETRANSLATE(B3202, ""fr"", ""en"")"),"Size although correct size")</f>
        <v>Size although correct size</v>
      </c>
    </row>
    <row r="3203">
      <c r="A3203" s="1">
        <v>5.0</v>
      </c>
      <c r="B3203" s="1" t="s">
        <v>3176</v>
      </c>
      <c r="C3203" t="str">
        <f>IFERROR(__xludf.DUMMYFUNCTION("GOOGLETRANSLATE(B3203, ""fr"", ""en"")"),"This is perfect for loved karaoke, recording, interviews or just play with a rap or beatbox. I love it and my children.")</f>
        <v>This is perfect for loved karaoke, recording, interviews or just play with a rap or beatbox. I love it and my children.</v>
      </c>
    </row>
    <row r="3204">
      <c r="A3204" s="1">
        <v>5.0</v>
      </c>
      <c r="B3204" s="1" t="s">
        <v>3177</v>
      </c>
      <c r="C3204" t="str">
        <f>IFERROR(__xludf.DUMMYFUNCTION("GOOGLETRANSLATE(B3204, ""fr"", ""en"")"),"Impeccable !!!! the converse is for my daughter, size 36 NICKEL, they are top conforms to the brief description no surprises Order this item, I recommend !! and fast delivery !! thank you")</f>
        <v>Impeccable !!!! the converse is for my daughter, size 36 NICKEL, they are top conforms to the brief description no surprises Order this item, I recommend !! and fast delivery !! thank you</v>
      </c>
    </row>
    <row r="3205">
      <c r="A3205" s="1">
        <v>5.0</v>
      </c>
      <c r="B3205" s="1" t="s">
        <v>3178</v>
      </c>
      <c r="C3205" t="str">
        <f>IFERROR(__xludf.DUMMYFUNCTION("GOOGLETRANSLATE(B3205, ""fr"", ""en"")"),"Lovely Originality + price")</f>
        <v>Lovely Originality + price</v>
      </c>
    </row>
    <row r="3206">
      <c r="A3206" s="1">
        <v>5.0</v>
      </c>
      <c r="B3206" s="1" t="s">
        <v>3179</v>
      </c>
      <c r="C3206" t="str">
        <f>IFERROR(__xludf.DUMMYFUNCTION("GOOGLETRANSLATE(B3206, ""fr"", ""en"")"),"Dodie has changed our lives !! Dodie has changed our lives !! Our little piece did not want to, we tried Tigex, Advent ... He did not want to test the Dodie pacifiers ... Magic !! It seems that Mom is not bad too!")</f>
        <v>Dodie has changed our lives !! Dodie has changed our lives !! Our little piece did not want to, we tried Tigex, Advent ... He did not want to test the Dodie pacifiers ... Magic !! It seems that Mom is not bad too!</v>
      </c>
    </row>
    <row r="3207">
      <c r="A3207" s="1">
        <v>5.0</v>
      </c>
      <c r="B3207" s="1" t="s">
        <v>3180</v>
      </c>
      <c r="C3207" t="str">
        <f>IFERROR(__xludf.DUMMYFUNCTION("GOOGLETRANSLATE(B3207, ""fr"", ""en"")"),"Excellent Excellent !! Very easy to use, very good temperature, but it is essential to put the case for very hot! Turns off after the desired Temp. 😉je highly recommend 😁")</f>
        <v>Excellent Excellent !! Very easy to use, very good temperature, but it is essential to put the case for very hot! Turns off after the desired Temp. 😉je highly recommend 😁</v>
      </c>
    </row>
    <row r="3208">
      <c r="A3208" s="1">
        <v>5.0</v>
      </c>
      <c r="B3208" s="1" t="s">
        <v>3181</v>
      </c>
      <c r="C3208" t="str">
        <f>IFERROR(__xludf.DUMMYFUNCTION("GOOGLETRANSLATE(B3208, ""fr"", ""en"")"),"Beautiful, ergonomic, sturdy and great !!! I bought my first helmet Marshall 5 years ago and despite the hardware helmet crumbling, the sound is always great! I wanted a new helmet with Bluetooth and I decided to buy the Marshall! I am quite satisfied wit"&amp;"h my purchase. The helmet is very beautiful, the design is ergonomic and modern. Some users do not like the greenhouse helmet head but I love it! He would like in place and the noise reduction function is good but could be better. The s small noises are n"&amp;"ot cleared not all noise. I have not yet tested the Bluetooth feature but I would recommend this product 100%.")</f>
        <v>Beautiful, ergonomic, sturdy and great !!! I bought my first helmet Marshall 5 years ago and despite the hardware helmet crumbling, the sound is always great! I wanted a new helmet with Bluetooth and I decided to buy the Marshall! I am quite satisfied with my purchase. The helmet is very beautiful, the design is ergonomic and modern. Some users do not like the greenhouse helmet head but I love it! He would like in place and the noise reduction function is good but could be better. The s small noises are not cleared not all noise. I have not yet tested the Bluetooth feature but I would recommend this product 100%.</v>
      </c>
    </row>
    <row r="3209">
      <c r="A3209" s="1">
        <v>5.0</v>
      </c>
      <c r="B3209" s="1" t="s">
        <v>3182</v>
      </c>
      <c r="C3209" t="str">
        <f>IFERROR(__xludf.DUMMYFUNCTION("GOOGLETRANSLATE(B3209, ""fr"", ""en"")"),"Very well. Perfect for sports, size perfectly.")</f>
        <v>Very well. Perfect for sports, size perfectly.</v>
      </c>
    </row>
    <row r="3210">
      <c r="A3210" s="1">
        <v>5.0</v>
      </c>
      <c r="B3210" s="1" t="s">
        <v>3183</v>
      </c>
      <c r="C3210" t="str">
        <f>IFERROR(__xludf.DUMMYFUNCTION("GOOGLETRANSLATE(B3210, ""fr"", ""en"")"),"ideal guide for pre-teens and teens My 12 year old son loves this guide, there are sections where it is not relevant but that will come soon! I highly recommend because it can answer many questions, and I also advises parents to read !!!")</f>
        <v>ideal guide for pre-teens and teens My 12 year old son loves this guide, there are sections where it is not relevant but that will come soon! I highly recommend because it can answer many questions, and I also advises parents to read !!!</v>
      </c>
    </row>
    <row r="3211">
      <c r="A3211" s="1">
        <v>5.0</v>
      </c>
      <c r="B3211" s="1" t="s">
        <v>3184</v>
      </c>
      <c r="C3211" t="str">
        <f>IFERROR(__xludf.DUMMYFUNCTION("GOOGLETRANSLATE(B3211, ""fr"", ""en"")"),"Hooded sweat shirt size L man I had ordered this product in another color. My son passed without problems and wanted the same in black. We are quite satisfied.")</f>
        <v>Hooded sweat shirt size L man I had ordered this product in another color. My son passed without problems and wanted the same in black. We are quite satisfied.</v>
      </c>
    </row>
    <row r="3212">
      <c r="A3212" s="1">
        <v>5.0</v>
      </c>
      <c r="B3212" s="1" t="s">
        <v>3185</v>
      </c>
      <c r="C3212" t="str">
        <f>IFERROR(__xludf.DUMMYFUNCTION("GOOGLETRANSLATE(B3212, ""fr"", ""en"")"),"Suitable for jogging ... ~~~ ""The packaging is worthy of a brand of high-end Quality of étuie and headphones is impeccable. I tested them to watch my series on my phone and I confess that I 'was surprised by the sound quality and also the functionality o"&amp;"f the touch earphones. It was a birthday present for my husband but when I tested I borrow every night to enjoy myself !!! @. ..")</f>
        <v>Suitable for jogging ... ~~~ "The packaging is worthy of a brand of high-end Quality of étuie and headphones is impeccable. I tested them to watch my series on my phone and I confess that I 'was surprised by the sound quality and also the functionality of the touch earphones. It was a birthday present for my husband but when I tested I borrow every night to enjoy myself !!! @. ..</v>
      </c>
    </row>
    <row r="3213">
      <c r="A3213" s="1">
        <v>5.0</v>
      </c>
      <c r="B3213" s="1" t="s">
        <v>3186</v>
      </c>
      <c r="C3213" t="str">
        <f>IFERROR(__xludf.DUMMYFUNCTION("GOOGLETRANSLATE(B3213, ""fr"", ""en"")"),"Okay For several years I take these asics. They suit me perfectly.")</f>
        <v>Okay For several years I take these asics. They suit me perfectly.</v>
      </c>
    </row>
    <row r="3214">
      <c r="A3214" s="1">
        <v>5.0</v>
      </c>
      <c r="B3214" s="1" t="s">
        <v>3187</v>
      </c>
      <c r="C3214" t="str">
        <f>IFERROR(__xludf.DUMMYFUNCTION("GOOGLETRANSLATE(B3214, ""fr"", ""en"")"),"Perfect fulfilled its function I adore Top All bottles pass whatever their size! I recommend")</f>
        <v>Perfect fulfilled its function I adore Top All bottles pass whatever their size! I recommend</v>
      </c>
    </row>
    <row r="3215">
      <c r="A3215" s="1">
        <v>5.0</v>
      </c>
      <c r="B3215" s="1" t="s">
        <v>3188</v>
      </c>
      <c r="C3215" t="str">
        <f>IFERROR(__xludf.DUMMYFUNCTION("GOOGLETRANSLATE(B3215, ""fr"", ""en"")"),"Perfect Very good ideal table for Reiki. I recommend")</f>
        <v>Perfect Very good ideal table for Reiki. I recommend</v>
      </c>
    </row>
    <row r="3216">
      <c r="A3216" s="1">
        <v>5.0</v>
      </c>
      <c r="B3216" s="1" t="s">
        <v>3189</v>
      </c>
      <c r="C3216" t="str">
        <f>IFERROR(__xludf.DUMMYFUNCTION("GOOGLETRANSLATE(B3216, ""fr"", ""en"")"),"heating blanket very pleased with the product quality, thank you!")</f>
        <v>heating blanket very pleased with the product quality, thank you!</v>
      </c>
    </row>
    <row r="3217">
      <c r="A3217" s="1">
        <v>5.0</v>
      </c>
      <c r="B3217" s="1" t="s">
        <v>3190</v>
      </c>
      <c r="C3217" t="str">
        <f>IFERROR(__xludf.DUMMYFUNCTION("GOOGLETRANSLATE(B3217, ""fr"", ""en"")"),"works fine record has been translated in an experimental French .... ... we still understand. The transmitter carrier headphone set works fine is the principal. There is a microphone for use in audio communication using the phone and just the headset Blue"&amp;"tooth or the cable with conventional taken Jack3.5.les communications are fine. it is a very good device thank you")</f>
        <v>works fine record has been translated in an experimental French .... ... we still understand. The transmitter carrier headphone set works fine is the principal. There is a microphone for use in audio communication using the phone and just the headset Bluetooth or the cable with conventional taken Jack3.5.les communications are fine. it is a very good device thank you</v>
      </c>
    </row>
    <row r="3218">
      <c r="A3218" s="1">
        <v>2.0</v>
      </c>
      <c r="B3218" s="1" t="s">
        <v>3191</v>
      </c>
      <c r="C3218" t="str">
        <f>IFERROR(__xludf.DUMMYFUNCTION("GOOGLETRANSLATE(B3218, ""fr"", ""en"")"),"well in soft but not strong for you worked on flat ground")</f>
        <v>well in soft but not strong for you worked on flat ground</v>
      </c>
    </row>
    <row r="3219">
      <c r="A3219" s="1">
        <v>1.0</v>
      </c>
      <c r="B3219" s="1" t="s">
        <v>3192</v>
      </c>
      <c r="C3219" t="str">
        <f>IFERROR(__xludf.DUMMYFUNCTION("GOOGLETRANSLATE(B3219, ""fr"", ""en"")"),"not AT ALL an EU tailor This is not a European but Chinese size !!!!! This is not the 43 European Union CHINESE but are at least 2 sizes smaller ... It's false advertising, they are importable ... I want people to pay me!")</f>
        <v>not AT ALL an EU tailor This is not a European but Chinese size !!!!! This is not the 43 European Union CHINESE but are at least 2 sizes smaller ... It's false advertising, they are importable ... I want people to pay me!</v>
      </c>
    </row>
    <row r="3220">
      <c r="A3220" s="1">
        <v>1.0</v>
      </c>
      <c r="B3220" s="1" t="s">
        <v>3193</v>
      </c>
      <c r="C3220" t="str">
        <f>IFERROR(__xludf.DUMMYFUNCTION("GOOGLETRANSLATE(B3220, ""fr"", ""en"")"),"we do the same thing with liquid dish! dishwashing liquid and warm water and soft brush is perfect and cheap ..... I'm a pigeon and you?")</f>
        <v>we do the same thing with liquid dish! dishwashing liquid and warm water and soft brush is perfect and cheap ..... I'm a pigeon and you?</v>
      </c>
    </row>
    <row r="3221">
      <c r="A3221" s="1">
        <v>3.0</v>
      </c>
      <c r="B3221" s="1" t="s">
        <v>1547</v>
      </c>
      <c r="C3221" t="str">
        <f>IFERROR(__xludf.DUMMYFUNCTION("GOOGLETRANSLATE(B3221, ""fr"", ""en"")"),"Ras Ras")</f>
        <v>Ras Ras</v>
      </c>
    </row>
    <row r="3222">
      <c r="A3222" s="1">
        <v>3.0</v>
      </c>
      <c r="B3222" s="1" t="s">
        <v>3194</v>
      </c>
      <c r="C3222" t="str">
        <f>IFERROR(__xludf.DUMMYFUNCTION("GOOGLETRANSLATE(B3222, ""fr"", ""en"")"),"Insufficient Good everyday pocket, but it's two different pockets")</f>
        <v>Insufficient Good everyday pocket, but it's two different pockets</v>
      </c>
    </row>
    <row r="3223">
      <c r="A3223" s="1">
        <v>4.0</v>
      </c>
      <c r="B3223" s="1" t="s">
        <v>3195</v>
      </c>
      <c r="C3223" t="str">
        <f>IFERROR(__xludf.DUMMYFUNCTION("GOOGLETRANSLATE(B3223, ""fr"", ""en"")"),"good simple aesthetic product readable strong value / price I offered my father owned in later life he loves")</f>
        <v>good simple aesthetic product readable strong value / price I offered my father owned in later life he loves</v>
      </c>
    </row>
    <row r="3224">
      <c r="A3224" s="1">
        <v>4.0</v>
      </c>
      <c r="B3224" s="1" t="s">
        <v>3196</v>
      </c>
      <c r="C3224" t="str">
        <f>IFERROR(__xludf.DUMMYFUNCTION("GOOGLETRANSLATE(B3224, ""fr"", ""en"")"),"Bi office eraser brush Very good")</f>
        <v>Bi office eraser brush Very good</v>
      </c>
    </row>
    <row r="3225">
      <c r="A3225" s="1">
        <v>4.0</v>
      </c>
      <c r="B3225" s="1" t="s">
        <v>3197</v>
      </c>
      <c r="C3225" t="str">
        <f>IFERROR(__xludf.DUMMYFUNCTION("GOOGLETRANSLATE(B3225, ""fr"", ""en"")"),"Conforms to the expected product RAS")</f>
        <v>Conforms to the expected product RAS</v>
      </c>
    </row>
    <row r="3226">
      <c r="A3226" s="1">
        <v>4.0</v>
      </c>
      <c r="B3226" s="1" t="s">
        <v>1547</v>
      </c>
      <c r="C3226" t="str">
        <f>IFERROR(__xludf.DUMMYFUNCTION("GOOGLETRANSLATE(B3226, ""fr"", ""en"")"),"Ras Ras")</f>
        <v>Ras Ras</v>
      </c>
    </row>
    <row r="3227">
      <c r="A3227" s="1">
        <v>5.0</v>
      </c>
      <c r="B3227" s="1" t="s">
        <v>3198</v>
      </c>
      <c r="C3227" t="str">
        <f>IFERROR(__xludf.DUMMYFUNCTION("GOOGLETRANSLATE(B3227, ""fr"", ""en"")"),"Super presentation box and old alike Superb my daughter will be happy for Christmas.")</f>
        <v>Super presentation box and old alike Superb my daughter will be happy for Christmas.</v>
      </c>
    </row>
    <row r="3228">
      <c r="A3228" s="1">
        <v>5.0</v>
      </c>
      <c r="B3228" s="1" t="s">
        <v>3199</v>
      </c>
      <c r="C3228" t="str">
        <f>IFERROR(__xludf.DUMMYFUNCTION("GOOGLETRANSLATE(B3228, ""fr"", ""en"")"),"Perfect Particularly easy to use, color is also very pretty, the girl likes him, the sound is fun, the price is cheap. 👍👍👍")</f>
        <v>Perfect Particularly easy to use, color is also very pretty, the girl likes him, the sound is fun, the price is cheap. 👍👍👍</v>
      </c>
    </row>
    <row r="3229">
      <c r="A3229" s="1">
        <v>5.0</v>
      </c>
      <c r="B3229" s="1" t="s">
        <v>3200</v>
      </c>
      <c r="C3229" t="str">
        <f>IFERROR(__xludf.DUMMYFUNCTION("GOOGLETRANSLATE(B3229, ""fr"", ""en"")"),"pencils perfect for babies pencils perfect for babies: size allows them to have well in hand, so they are well-spanning fat (even on the fingers provide a hand washing after), the colors are vibrant. We can draw on any media: paper, glass, cloth, plastic "&amp;"and ... walls and floors .... do not worry, the pencil strokes or during washing with a sponge")</f>
        <v>pencils perfect for babies pencils perfect for babies: size allows them to have well in hand, so they are well-spanning fat (even on the fingers provide a hand washing after), the colors are vibrant. We can draw on any media: paper, glass, cloth, plastic and ... walls and floors .... do not worry, the pencil strokes or during washing with a sponge</v>
      </c>
    </row>
    <row r="3230">
      <c r="A3230" s="1">
        <v>5.0</v>
      </c>
      <c r="B3230" s="1" t="s">
        <v>1261</v>
      </c>
      <c r="C3230" t="str">
        <f>IFERROR(__xludf.DUMMYFUNCTION("GOOGLETRANSLATE(B3230, ""fr"", ""en"")"),"good good")</f>
        <v>good good</v>
      </c>
    </row>
    <row r="3231">
      <c r="A3231" s="1">
        <v>5.0</v>
      </c>
      <c r="B3231" s="1" t="s">
        <v>3201</v>
      </c>
      <c r="C3231" t="str">
        <f>IFERROR(__xludf.DUMMYFUNCTION("GOOGLETRANSLATE(B3231, ""fr"", ""en"")"),"Complies description I bought this product because I wanted one and this one is at the top very quiet and aesthetic I recommend")</f>
        <v>Complies description I bought this product because I wanted one and this one is at the top very quiet and aesthetic I recommend</v>
      </c>
    </row>
    <row r="3232">
      <c r="A3232" s="1">
        <v>5.0</v>
      </c>
      <c r="B3232" s="1" t="s">
        <v>3202</v>
      </c>
      <c r="C3232" t="str">
        <f>IFERROR(__xludf.DUMMYFUNCTION("GOOGLETRANSLATE(B3232, ""fr"", ""en"")"),"parfais Magnificent small bola the small sound (bell-style). I received many compliments by wearing it. I recommend it")</f>
        <v>parfais Magnificent small bola the small sound (bell-style). I received many compliments by wearing it. I recommend it</v>
      </c>
    </row>
    <row r="3233">
      <c r="A3233" s="1">
        <v>5.0</v>
      </c>
      <c r="B3233" s="1" t="s">
        <v>3203</v>
      </c>
      <c r="C3233" t="str">
        <f>IFERROR(__xludf.DUMMYFUNCTION("GOOGLETRANSLATE(B3233, ""fr"", ""en"")"),"Space saving compact little compared to Bebea")</f>
        <v>Space saving compact little compared to Bebea</v>
      </c>
    </row>
    <row r="3234">
      <c r="A3234" s="1">
        <v>5.0</v>
      </c>
      <c r="B3234" s="1" t="s">
        <v>3204</v>
      </c>
      <c r="C3234" t="str">
        <f>IFERROR(__xludf.DUMMYFUNCTION("GOOGLETRANSLATE(B3234, ""fr"", ""en"")"),"Bottle Pink Good product")</f>
        <v>Bottle Pink Good product</v>
      </c>
    </row>
    <row r="3235">
      <c r="A3235" s="1">
        <v>5.0</v>
      </c>
      <c r="B3235" s="1" t="s">
        <v>3205</v>
      </c>
      <c r="C3235" t="str">
        <f>IFERROR(__xludf.DUMMYFUNCTION("GOOGLETRANSLATE(B3235, ""fr"", ""en"")"),"Very happy happy with my purchase because my daughter needed to get organized for its ferry revision. Received quickly.")</f>
        <v>Very happy happy with my purchase because my daughter needed to get organized for its ferry revision. Received quickly.</v>
      </c>
    </row>
    <row r="3236">
      <c r="A3236" s="1">
        <v>5.0</v>
      </c>
      <c r="B3236" s="1" t="s">
        <v>3206</v>
      </c>
      <c r="C3236" t="str">
        <f>IFERROR(__xludf.DUMMYFUNCTION("GOOGLETRANSLATE(B3236, ""fr"", ""en"")"),"beautiful sneakers shoes very comfortable. Ideal during long walks, very good cushioning. I recommend.")</f>
        <v>beautiful sneakers shoes very comfortable. Ideal during long walks, very good cushioning. I recommend.</v>
      </c>
    </row>
    <row r="3237">
      <c r="A3237" s="1">
        <v>5.0</v>
      </c>
      <c r="B3237" s="1" t="s">
        <v>3207</v>
      </c>
      <c r="C3237" t="str">
        <f>IFERROR(__xludf.DUMMYFUNCTION("GOOGLETRANSLATE(B3237, ""fr"", ""en"")"),"I recommend dosing Perfect Product")</f>
        <v>I recommend dosing Perfect Product</v>
      </c>
    </row>
    <row r="3238">
      <c r="A3238" s="1">
        <v>5.0</v>
      </c>
      <c r="B3238" s="1" t="s">
        <v>3208</v>
      </c>
      <c r="C3238" t="str">
        <f>IFERROR(__xludf.DUMMYFUNCTION("GOOGLETRANSLATE(B3238, ""fr"", ""en"")"),"Very satisfied Leather is super nice as the picture and rendering is very good. Inside is quite large and it can put a lot of things, including my checkbook and my wallet. There is a fastener on the top: at first glance it may appear not be practical, but"&amp;" actually I can store everything.")</f>
        <v>Very satisfied Leather is super nice as the picture and rendering is very good. Inside is quite large and it can put a lot of things, including my checkbook and my wallet. There is a fastener on the top: at first glance it may appear not be practical, but actually I can store everything.</v>
      </c>
    </row>
    <row r="3239">
      <c r="A3239" s="1">
        <v>5.0</v>
      </c>
      <c r="B3239" s="1" t="s">
        <v>3209</v>
      </c>
      <c r="C3239" t="str">
        <f>IFERROR(__xludf.DUMMYFUNCTION("GOOGLETRANSLATE(B3239, ""fr"", ""en"")"),"Cable Install good quality since 8 months now with a home cinema amp together and I have nothing to reproach has its cables. They are well worth the value.")</f>
        <v>Cable Install good quality since 8 months now with a home cinema amp together and I have nothing to reproach has its cables. They are well worth the value.</v>
      </c>
    </row>
    <row r="3240">
      <c r="A3240" s="1">
        <v>5.0</v>
      </c>
      <c r="B3240" s="1" t="s">
        <v>3210</v>
      </c>
      <c r="C3240" t="str">
        <f>IFERROR(__xludf.DUMMYFUNCTION("GOOGLETRANSLATE(B3240, ""fr"", ""en"")"),"Top Perfect for my little guy of 17 months!")</f>
        <v>Top Perfect for my little guy of 17 months!</v>
      </c>
    </row>
    <row r="3241">
      <c r="A3241" s="1">
        <v>5.0</v>
      </c>
      <c r="B3241" s="1" t="s">
        <v>3211</v>
      </c>
      <c r="C3241" t="str">
        <f>IFERROR(__xludf.DUMMYFUNCTION("GOOGLETRANSLATE(B3241, ""fr"", ""en"")"),"Satisfied They are very comfortable I would recommend.")</f>
        <v>Satisfied They are very comfortable I would recommend.</v>
      </c>
    </row>
    <row r="3242">
      <c r="A3242" s="1">
        <v>2.0</v>
      </c>
      <c r="B3242" s="1" t="s">
        <v>3212</v>
      </c>
      <c r="C3242" t="str">
        <f>IFERROR(__xludf.DUMMYFUNCTION("GOOGLETRANSLATE(B3242, ""fr"", ""en"")"),"No top tennis really great size and the laces are very strange .... I do not like their terms ....")</f>
        <v>No top tennis really great size and the laces are very strange .... I do not like their terms ....</v>
      </c>
    </row>
    <row r="3243">
      <c r="A3243" s="1">
        <v>1.0</v>
      </c>
      <c r="B3243" s="1" t="s">
        <v>3213</v>
      </c>
      <c r="C3243" t="str">
        <f>IFERROR(__xludf.DUMMYFUNCTION("GOOGLETRANSLATE(B3243, ""fr"", ""en"")"),"disappointed he missed a stone")</f>
        <v>disappointed he missed a stone</v>
      </c>
    </row>
    <row r="3244">
      <c r="A3244" s="1">
        <v>1.0</v>
      </c>
      <c r="B3244" s="1" t="s">
        <v>3214</v>
      </c>
      <c r="C3244" t="str">
        <f>IFERROR(__xludf.DUMMYFUNCTION("GOOGLETRANSLATE(B3244, ""fr"", ""en"")"),"Wrong size / color Nothing bad is good compared to the control: I ordered size 41-45 black. I received size 36-40 purple ...")</f>
        <v>Wrong size / color Nothing bad is good compared to the control: I ordered size 41-45 black. I received size 36-40 purple ...</v>
      </c>
    </row>
    <row r="3245">
      <c r="A3245" s="1">
        <v>3.0</v>
      </c>
      <c r="B3245" s="1" t="s">
        <v>3215</v>
      </c>
      <c r="C3245" t="str">
        <f>IFERROR(__xludf.DUMMYFUNCTION("GOOGLETRANSLATE(B3245, ""fr"", ""en"")"),"Nice product ... but size is not specified when purchasing. It was to offer a man and the bracelet is slightly too big which is a shame. It would either indicate the size in centimeters or have a double fasteners to be able to readjust itself. Otherwise i"&amp;"t is really nice.")</f>
        <v>Nice product ... but size is not specified when purchasing. It was to offer a man and the bracelet is slightly too big which is a shame. It would either indicate the size in centimeters or have a double fasteners to be able to readjust itself. Otherwise it is really nice.</v>
      </c>
    </row>
    <row r="3246">
      <c r="A3246" s="1">
        <v>4.0</v>
      </c>
      <c r="B3246" s="1" t="s">
        <v>3216</v>
      </c>
      <c r="C3246" t="str">
        <f>IFERROR(__xludf.DUMMYFUNCTION("GOOGLETRANSLATE(B3246, ""fr"", ""en"")"),"Of Grave beautiful but highly resilient")</f>
        <v>Of Grave beautiful but highly resilient</v>
      </c>
    </row>
    <row r="3247">
      <c r="A3247" s="1">
        <v>4.0</v>
      </c>
      <c r="B3247" s="1" t="s">
        <v>3217</v>
      </c>
      <c r="C3247" t="str">
        <f>IFERROR(__xludf.DUMMYFUNCTION("GOOGLETRANSLATE(B3247, ""fr"", ""en"")"),"Price Very good but very expensive to use 1 box 1 week")</f>
        <v>Price Very good but very expensive to use 1 box 1 week</v>
      </c>
    </row>
    <row r="3248">
      <c r="A3248" s="1">
        <v>4.0</v>
      </c>
      <c r="B3248" s="1" t="s">
        <v>3218</v>
      </c>
      <c r="C3248" t="str">
        <f>IFERROR(__xludf.DUMMYFUNCTION("GOOGLETRANSLATE(B3248, ""fr"", ""en"")"),"High sound quality far RDV BUT ... After several months of use, I confirm my comment on the quality of audio playback! Excellent for this type of headphones. A BIG negative: As others have already mentioned, the case of the battery charge dissipates very "&amp;"quickly (+/- 2 days) for non use of ""all this is absolutely not in normal. this product! So Mrs Sennheiser, what do we do ???")</f>
        <v>High sound quality far RDV BUT ... After several months of use, I confirm my comment on the quality of audio playback! Excellent for this type of headphones. A BIG negative: As others have already mentioned, the case of the battery charge dissipates very quickly (+/- 2 days) for non use of "all this is absolutely not in normal. this product! So Mrs Sennheiser, what do we do ???</v>
      </c>
    </row>
    <row r="3249">
      <c r="A3249" s="1">
        <v>4.0</v>
      </c>
      <c r="B3249" s="1" t="s">
        <v>3219</v>
      </c>
      <c r="C3249" t="str">
        <f>IFERROR(__xludf.DUMMYFUNCTION("GOOGLETRANSLATE(B3249, ""fr"", ""en"")"),"Beautiful jewelry Beautiful Necklace Very Good price a little late")</f>
        <v>Beautiful jewelry Beautiful Necklace Very Good price a little late</v>
      </c>
    </row>
    <row r="3250">
      <c r="A3250" s="1">
        <v>5.0</v>
      </c>
      <c r="B3250" s="1" t="s">
        <v>3220</v>
      </c>
      <c r="C3250" t="str">
        <f>IFERROR(__xludf.DUMMYFUNCTION("GOOGLETRANSLATE(B3250, ""fr"", ""en"")"),"Good value good product I recommend")</f>
        <v>Good value good product I recommend</v>
      </c>
    </row>
    <row r="3251">
      <c r="A3251" s="1">
        <v>5.0</v>
      </c>
      <c r="B3251" s="1" t="s">
        <v>3221</v>
      </c>
      <c r="C3251" t="str">
        <f>IFERROR(__xludf.DUMMYFUNCTION("GOOGLETRANSLATE(B3251, ""fr"", ""en"")"),"the top super bag better in real life than on the photo and corresponds perfectly to that one! I put everything I need is a perfect size not too big and look very cool and shoulder so as to Indiana Jones! I just love it ! it is super resistant quality is "&amp;"reflected in appearance and weight of the bag! I am very demanding and I'm delighted with my purchase, which was very quick to be delivered (faster than expected!)")</f>
        <v>the top super bag better in real life than on the photo and corresponds perfectly to that one! I put everything I need is a perfect size not too big and look very cool and shoulder so as to Indiana Jones! I just love it ! it is super resistant quality is reflected in appearance and weight of the bag! I am very demanding and I'm delighted with my purchase, which was very quick to be delivered (faster than expected!)</v>
      </c>
    </row>
    <row r="3252">
      <c r="A3252" s="1">
        <v>5.0</v>
      </c>
      <c r="B3252" s="1" t="s">
        <v>3222</v>
      </c>
      <c r="C3252" t="str">
        <f>IFERROR(__xludf.DUMMYFUNCTION("GOOGLETRANSLATE(B3252, ""fr"", ""en"")"),"Perfect Jewelry New reverted")</f>
        <v>Perfect Jewelry New reverted</v>
      </c>
    </row>
    <row r="3253">
      <c r="A3253" s="1">
        <v>5.0</v>
      </c>
      <c r="B3253" s="1" t="s">
        <v>3223</v>
      </c>
      <c r="C3253" t="str">
        <f>IFERROR(__xludf.DUMMYFUNCTION("GOOGLETRANSLATE(B3253, ""fr"", ""en"")"),"Super nibbler JAdore very convenient when we begin to give pieces a baby. He can eat pieces of fruit, vegetables or bread easily without choking hazard")</f>
        <v>Super nibbler JAdore very convenient when we begin to give pieces a baby. He can eat pieces of fruit, vegetables or bread easily without choking hazard</v>
      </c>
    </row>
    <row r="3254">
      <c r="A3254" s="1">
        <v>5.0</v>
      </c>
      <c r="B3254" s="1" t="s">
        <v>3224</v>
      </c>
      <c r="C3254" t="str">
        <f>IFERROR(__xludf.DUMMYFUNCTION("GOOGLETRANSLATE(B3254, ""fr"", ""en"")"),"T.shirt long sleeve M Good product, it looks good, after the fabric is thin enough. By cons, Fortunately I have read other reviews as what it is better to take one size smaller than the usual one takes. I confirm! I made the L but I took the M, it suits m"&amp;"e perfectly. Delivery time. I recommend")</f>
        <v>T.shirt long sleeve M Good product, it looks good, after the fabric is thin enough. By cons, Fortunately I have read other reviews as what it is better to take one size smaller than the usual one takes. I confirm! I made the L but I took the M, it suits me perfectly. Delivery time. I recommend</v>
      </c>
    </row>
    <row r="3255">
      <c r="A3255" s="1">
        <v>5.0</v>
      </c>
      <c r="B3255" s="1" t="s">
        <v>3225</v>
      </c>
      <c r="C3255" t="str">
        <f>IFERROR(__xludf.DUMMYFUNCTION("GOOGLETRANSLATE(B3255, ""fr"", ""en"")"),"A remote control makes the job not fault this remote does what is asked of him and more! The USB key that begins in the remote control is very convenient to avoid losing all the time. There is no latency and scope is very good, I even tried to + 20m and i"&amp;"t always worked. The button which mutes the display on the screen while continuing the project on the second screen is very convenient feature that not many other remotes. The laser also has a very large scope, actually I'm not finish namely until distanc"&amp;"e continues to be same as testing my street it continued to see the other side from the street. In either a purchase I am very happy!")</f>
        <v>A remote control makes the job not fault this remote does what is asked of him and more! The USB key that begins in the remote control is very convenient to avoid losing all the time. There is no latency and scope is very good, I even tried to + 20m and it always worked. The button which mutes the display on the screen while continuing the project on the second screen is very convenient feature that not many other remotes. The laser also has a very large scope, actually I'm not finish namely until distance continues to be same as testing my street it continued to see the other side from the street. In either a purchase I am very happy!</v>
      </c>
    </row>
    <row r="3256">
      <c r="A3256" s="1">
        <v>5.0</v>
      </c>
      <c r="B3256" s="1" t="s">
        <v>3226</v>
      </c>
      <c r="C3256" t="str">
        <f>IFERROR(__xludf.DUMMYFUNCTION("GOOGLETRANSLATE(B3256, ""fr"", ""en"")"),"Class Attractive brown strap I ordered a gift for Christmas. My friend the satisfied air, and rendering is chic.")</f>
        <v>Class Attractive brown strap I ordered a gift for Christmas. My friend the satisfied air, and rendering is chic.</v>
      </c>
    </row>
    <row r="3257">
      <c r="A3257" s="1">
        <v>5.0</v>
      </c>
      <c r="B3257" s="1" t="s">
        <v>3227</v>
      </c>
      <c r="C3257" t="str">
        <f>IFERROR(__xludf.DUMMYFUNCTION("GOOGLETRANSLATE(B3257, ""fr"", ""en"")"),"very good brand (Fila) works for use")</f>
        <v>very good brand (Fila) works for use</v>
      </c>
    </row>
    <row r="3258">
      <c r="A3258" s="1">
        <v>5.0</v>
      </c>
      <c r="B3258" s="1" t="s">
        <v>3228</v>
      </c>
      <c r="C3258" t="str">
        <f>IFERROR(__xludf.DUMMYFUNCTION("GOOGLETRANSLATE(B3258, ""fr"", ""en"")"),"GOOD HELMET This is for my husband he is very happy good value for money it is very nice and especially the French translation was very pleasant")</f>
        <v>GOOD HELMET This is for my husband he is very happy good value for money it is very nice and especially the French translation was very pleasant</v>
      </c>
    </row>
    <row r="3259">
      <c r="A3259" s="1">
        <v>5.0</v>
      </c>
      <c r="B3259" s="1" t="s">
        <v>3229</v>
      </c>
      <c r="C3259" t="str">
        <f>IFERROR(__xludf.DUMMYFUNCTION("GOOGLETRANSLATE(B3259, ""fr"", ""en"")"),"Perfect product delivered on time, in line with my request.")</f>
        <v>Perfect product delivered on time, in line with my request.</v>
      </c>
    </row>
    <row r="3260">
      <c r="A3260" s="1">
        <v>5.0</v>
      </c>
      <c r="B3260" s="1" t="s">
        <v>3230</v>
      </c>
      <c r="C3260" t="str">
        <f>IFERROR(__xludf.DUMMYFUNCTION("GOOGLETRANSLATE(B3260, ""fr"", ""en"")"),"Very good acquisition, very light and very versatile and accurate! Not being a sound specialist, I'm not a reference but I was looking for a good closed versatile helmet because I listen to both classical, jazz, electro as hardcore punk. I'm thrilled beca"&amp;"use the sound is more precise and neutral, not too low especially for the classic ... The helmet is half open so you get a little what happens around but sound travels better and gives an impression very significant opening. The headset is lightweight and"&amp;" can be worn for a long time without tiring apart a little sore ear cartilage after a long time maybe ... The headset is compact with a big hoop so use rather inside but it adapts to the heads (perhaps careful if you have a small head) the cable is remova"&amp;"ble and long (but connector proprio) but soft enough so be careful not to pinch. The set is a bit plastoc perhaps, especially any plastic protects header but hey it ensures its lightness and then ultimately for the price, I do not have much to complain ab"&amp;"out!")</f>
        <v>Very good acquisition, very light and very versatile and accurate! Not being a sound specialist, I'm not a reference but I was looking for a good closed versatile helmet because I listen to both classical, jazz, electro as hardcore punk. I'm thrilled because the sound is more precise and neutral, not too low especially for the classic ... The helmet is half open so you get a little what happens around but sound travels better and gives an impression very significant opening. The headset is lightweight and can be worn for a long time without tiring apart a little sore ear cartilage after a long time maybe ... The headset is compact with a big hoop so use rather inside but it adapts to the heads (perhaps careful if you have a small head) the cable is removable and long (but connector proprio) but soft enough so be careful not to pinch. The set is a bit plastoc perhaps, especially any plastic protects header but hey it ensures its lightness and then ultimately for the price, I do not have much to complain about!</v>
      </c>
    </row>
    <row r="3261">
      <c r="A3261" s="1">
        <v>5.0</v>
      </c>
      <c r="B3261" s="1" t="s">
        <v>3231</v>
      </c>
      <c r="C3261" t="str">
        <f>IFERROR(__xludf.DUMMYFUNCTION("GOOGLETRANSLATE(B3261, ""fr"", ""en"")"),"Great quality and comfortable ventilated Super ventilated and comfortable quality")</f>
        <v>Great quality and comfortable ventilated Super ventilated and comfortable quality</v>
      </c>
    </row>
    <row r="3262">
      <c r="A3262" s="1">
        <v>5.0</v>
      </c>
      <c r="B3262" s="1" t="s">
        <v>3232</v>
      </c>
      <c r="C3262" t="str">
        <f>IFERROR(__xludf.DUMMYFUNCTION("GOOGLETRANSLATE(B3262, ""fr"", ""en"")"),"good product I childminder and I need to heat baby bottles secure manner. Easy to use and handle. I only use it for baby bottles currently. It seems long to heat but when baby seems hungry all time forever. I'm happy with this purchase.")</f>
        <v>good product I childminder and I need to heat baby bottles secure manner. Easy to use and handle. I only use it for baby bottles currently. It seems long to heat but when baby seems hungry all time forever. I'm happy with this purchase.</v>
      </c>
    </row>
    <row r="3263">
      <c r="A3263" s="1">
        <v>5.0</v>
      </c>
      <c r="B3263" s="1" t="s">
        <v>3233</v>
      </c>
      <c r="C3263" t="str">
        <f>IFERROR(__xludf.DUMMYFUNCTION("GOOGLETRANSLATE(B3263, ""fr"", ""en"")"),"Super contante! I'm so happy it's like I wanted the same color, and no difference of default. Really great I love")</f>
        <v>Super contante! I'm so happy it's like I wanted the same color, and no difference of default. Really great I love</v>
      </c>
    </row>
    <row r="3264">
      <c r="A3264" s="1">
        <v>5.0</v>
      </c>
      <c r="B3264" s="1" t="s">
        <v>3234</v>
      </c>
      <c r="C3264" t="str">
        <f>IFERROR(__xludf.DUMMYFUNCTION("GOOGLETRANSLATE(B3264, ""fr"", ""en"")"),"The TOP 21 ASICS NIMBUS I run all the time with asics and I bought this pair of Asics Gel Nimbus 21 at a great price. Authentic and top value.")</f>
        <v>The TOP 21 ASICS NIMBUS I run all the time with asics and I bought this pair of Asics Gel Nimbus 21 at a great price. Authentic and top value.</v>
      </c>
    </row>
    <row r="3265">
      <c r="A3265" s="1">
        <v>2.0</v>
      </c>
      <c r="B3265" s="1" t="s">
        <v>3235</v>
      </c>
      <c r="C3265" t="str">
        <f>IFERROR(__xludf.DUMMYFUNCTION("GOOGLETRANSLATE(B3265, ""fr"", ""en"")"),"Tea sulk Not very convenient as limestone happen quickly and the kettle should be removed regularly to such points that I have bought another. Other brand. Very disappointed with the product")</f>
        <v>Tea sulk Not very convenient as limestone happen quickly and the kettle should be removed regularly to such points that I have bought another. Other brand. Very disappointed with the product</v>
      </c>
    </row>
    <row r="3266">
      <c r="A3266" s="1">
        <v>1.0</v>
      </c>
      <c r="B3266" s="1" t="s">
        <v>3236</v>
      </c>
      <c r="C3266" t="str">
        <f>IFERROR(__xludf.DUMMYFUNCTION("GOOGLETRANSLATE(B3266, ""fr"", ""en"")"),"Plastic in the kettle Product is beautiful! But the bad surprise is that there is plastic inside in several places. We know that the plastic may be hazardous to health with heat. I'm so disappointed. I find that it is not well designed.")</f>
        <v>Plastic in the kettle Product is beautiful! But the bad surprise is that there is plastic inside in several places. We know that the plastic may be hazardous to health with heat. I'm so disappointed. I find that it is not well designed.</v>
      </c>
    </row>
    <row r="3267">
      <c r="A3267" s="1">
        <v>3.0</v>
      </c>
      <c r="B3267" s="1" t="s">
        <v>3237</v>
      </c>
      <c r="C3267" t="str">
        <f>IFERROR(__xludf.DUMMYFUNCTION("GOOGLETRANSLATE(B3267, ""fr"", ""en"")"),"Top Perfect for perspiring feet practice otherwise ..")</f>
        <v>Top Perfect for perspiring feet practice otherwise ..</v>
      </c>
    </row>
    <row r="3268">
      <c r="A3268" s="1">
        <v>3.0</v>
      </c>
      <c r="B3268" s="1" t="s">
        <v>3238</v>
      </c>
      <c r="C3268" t="str">
        <f>IFERROR(__xludf.DUMMYFUNCTION("GOOGLETRANSLATE(B3268, ""fr"", ""en"")"),"Not cheap HP sells its still expensive cartridges! Otherwise 100% quality product recognized by the printer which is not always the case with remanufactured alas!")</f>
        <v>Not cheap HP sells its still expensive cartridges! Otherwise 100% quality product recognized by the printer which is not always the case with remanufactured alas!</v>
      </c>
    </row>
    <row r="3269">
      <c r="A3269" s="1">
        <v>4.0</v>
      </c>
      <c r="B3269" s="1" t="s">
        <v>3239</v>
      </c>
      <c r="C3269" t="str">
        <f>IFERROR(__xludf.DUMMYFUNCTION("GOOGLETRANSLATE(B3269, ""fr"", ""en"")"),"Effective Practices these wipes that prevent colors from changing while containing a stain remover powder inside. They are effective in their two functions. Only small problem: If washed at low temperature and short cycle, the seconding powder does not di"&amp;"ffuse during the wash cycle and agglomerates in the wipe.")</f>
        <v>Effective Practices these wipes that prevent colors from changing while containing a stain remover powder inside. They are effective in their two functions. Only small problem: If washed at low temperature and short cycle, the seconding powder does not diffuse during the wash cycle and agglomerates in the wipe.</v>
      </c>
    </row>
    <row r="3270">
      <c r="A3270" s="1">
        <v>4.0</v>
      </c>
      <c r="B3270" s="1" t="s">
        <v>3240</v>
      </c>
      <c r="C3270" t="str">
        <f>IFERROR(__xludf.DUMMYFUNCTION("GOOGLETRANSLATE(B3270, ""fr"", ""en"")"),"Original earphone original model sold with Samsung S8 and Note 8 Very good")</f>
        <v>Original earphone original model sold with Samsung S8 and Note 8 Very good</v>
      </c>
    </row>
    <row r="3271">
      <c r="A3271" s="1">
        <v>4.0</v>
      </c>
      <c r="B3271" s="1" t="s">
        <v>3241</v>
      </c>
      <c r="C3271" t="str">
        <f>IFERROR(__xludf.DUMMYFUNCTION("GOOGLETRANSLATE(B3271, ""fr"", ""en"")"),"Although compliant but not tested")</f>
        <v>Although compliant but not tested</v>
      </c>
    </row>
    <row r="3272">
      <c r="A3272" s="1">
        <v>4.0</v>
      </c>
      <c r="B3272" s="1" t="s">
        <v>3242</v>
      </c>
      <c r="C3272" t="str">
        <f>IFERROR(__xludf.DUMMYFUNCTION("GOOGLETRANSLATE(B3272, ""fr"", ""en"")"),"Super Very good")</f>
        <v>Super Very good</v>
      </c>
    </row>
    <row r="3273">
      <c r="A3273" s="1">
        <v>5.0</v>
      </c>
      <c r="B3273" s="1" t="s">
        <v>3243</v>
      </c>
      <c r="C3273" t="str">
        <f>IFERROR(__xludf.DUMMYFUNCTION("GOOGLETRANSLATE(B3273, ""fr"", ""en"")"),"perfect white light! If you are like me and you can not stand the yellow light is perfect (see my video). I was looking for a lamp that makes white light because I find the warm light too bland for a working environment on a computer, this lamp is 2 in ca"&amp;"se you want to rest your eyes with the yellow, so this is perfect! - Ignition and intensity / color adjustable by touch is perfect! - Bending in all directions is niquel! - Base can be a little big but it can go click on ""YES"" if my review is useful to "&amp;"you!")</f>
        <v>perfect white light! If you are like me and you can not stand the yellow light is perfect (see my video). I was looking for a lamp that makes white light because I find the warm light too bland for a working environment on a computer, this lamp is 2 in case you want to rest your eyes with the yellow, so this is perfect! - Ignition and intensity / color adjustable by touch is perfect! - Bending in all directions is niquel! - Base can be a little big but it can go click on "YES" if my review is useful to you!</v>
      </c>
    </row>
    <row r="3274">
      <c r="A3274" s="1">
        <v>5.0</v>
      </c>
      <c r="B3274" s="1" t="s">
        <v>3244</v>
      </c>
      <c r="C3274" t="str">
        <f>IFERROR(__xludf.DUMMYFUNCTION("GOOGLETRANSLATE(B3274, ""fr"", ""en"")"),"Nickel I love that ring I put it all day it has not lost its luster. The value is really unbeatable.")</f>
        <v>Nickel I love that ring I put it all day it has not lost its luster. The value is really unbeatable.</v>
      </c>
    </row>
    <row r="3275">
      <c r="A3275" s="1">
        <v>5.0</v>
      </c>
      <c r="B3275" s="1" t="s">
        <v>3245</v>
      </c>
      <c r="C3275" t="str">
        <f>IFERROR(__xludf.DUMMYFUNCTION("GOOGLETRANSLATE(B3275, ""fr"", ""en"")"),"Good product I much this brand bottle I use for my first and I did the same for the second practice use and wash I recommend this product to all mothers")</f>
        <v>Good product I much this brand bottle I use for my first and I did the same for the second practice use and wash I recommend this product to all mothers</v>
      </c>
    </row>
    <row r="3276">
      <c r="A3276" s="1">
        <v>5.0</v>
      </c>
      <c r="B3276" s="1" t="s">
        <v>3246</v>
      </c>
      <c r="C3276" t="str">
        <f>IFERROR(__xludf.DUMMYFUNCTION("GOOGLETRANSLATE(B3276, ""fr"", ""en"")"),"Super headphones Headphones are really good quality sound and autonomy are truly exceptional I counsel everyone on a budget")</f>
        <v>Super headphones Headphones are really good quality sound and autonomy are truly exceptional I counsel everyone on a budget</v>
      </c>
    </row>
    <row r="3277">
      <c r="A3277" s="1">
        <v>5.0</v>
      </c>
      <c r="B3277" s="1" t="s">
        <v>3247</v>
      </c>
      <c r="C3277" t="str">
        <f>IFERROR(__xludf.DUMMYFUNCTION("GOOGLETRANSLATE(B3277, ""fr"", ""en"")"),"Good sound! I was looking for a wireless headset and not too expensive. This headset offers excellent sound. Autonomy can listen to music for many hours. Small BENOL for noise reduction: we must increase the volume to hear no more external noise. I recomm"&amp;"end this helmet for its quality and great price.")</f>
        <v>Good sound! I was looking for a wireless headset and not too expensive. This headset offers excellent sound. Autonomy can listen to music for many hours. Small BENOL for noise reduction: we must increase the volume to hear no more external noise. I recommend this helmet for its quality and great price.</v>
      </c>
    </row>
    <row r="3278">
      <c r="A3278" s="1">
        <v>5.0</v>
      </c>
      <c r="B3278" s="1" t="s">
        <v>3248</v>
      </c>
      <c r="C3278" t="str">
        <f>IFERROR(__xludf.DUMMYFUNCTION("GOOGLETRANSLATE(B3278, ""fr"", ""en"")"),"Simple, accurate and robust: the effective headset I already knew this helmet before you buy because a friend had bought. We really struggling ironing to other helmets after use, so it's good. I like the sound fidelity Sennheiser and I both living helmets"&amp;" that nomadic helmets of the same brand. I will never throw my helmet: I repaired in service. This helmet was particularly attracted by the availability of spare parts. It is designed in Germany and built in Ireland and more: it is rare these days. It's s"&amp;"afe and sound, to buy eyes closed. The pro audiovisual use it much.")</f>
        <v>Simple, accurate and robust: the effective headset I already knew this helmet before you buy because a friend had bought. We really struggling ironing to other helmets after use, so it's good. I like the sound fidelity Sennheiser and I both living helmets that nomadic helmets of the same brand. I will never throw my helmet: I repaired in service. This helmet was particularly attracted by the availability of spare parts. It is designed in Germany and built in Ireland and more: it is rare these days. It's safe and sound, to buy eyes closed. The pro audiovisual use it much.</v>
      </c>
    </row>
    <row r="3279">
      <c r="A3279" s="1">
        <v>5.0</v>
      </c>
      <c r="B3279" s="1" t="s">
        <v>3249</v>
      </c>
      <c r="C3279" t="str">
        <f>IFERROR(__xludf.DUMMYFUNCTION("GOOGLETRANSLATE(B3279, ""fr"", ""en"")"),"Although cut I always buy this Super model for the all-season tennis ++++")</f>
        <v>Although cut I always buy this Super model for the all-season tennis ++++</v>
      </c>
    </row>
    <row r="3280">
      <c r="A3280" s="1">
        <v>5.0</v>
      </c>
      <c r="B3280" s="1" t="s">
        <v>3250</v>
      </c>
      <c r="C3280" t="str">
        <f>IFERROR(__xludf.DUMMYFUNCTION("GOOGLETRANSLATE(B3280, ""fr"", ""en"")"),"perfect to wear very nice inside're a little toupee. size perfectly.")</f>
        <v>perfect to wear very nice inside're a little toupee. size perfectly.</v>
      </c>
    </row>
    <row r="3281">
      <c r="A3281" s="1">
        <v>5.0</v>
      </c>
      <c r="B3281" s="1" t="s">
        <v>3251</v>
      </c>
      <c r="C3281" t="str">
        <f>IFERROR(__xludf.DUMMYFUNCTION("GOOGLETRANSLATE(B3281, ""fr"", ""en"")"),"Quality product I use this product for over a week now, and I can say it is very pleasant to use, the motors of the machine are sturdy when it's red it heats slightly neck is very cool I bought it for me (because massage fan) but I think it's a good idea "&amp;"Gift. Nice product quality")</f>
        <v>Quality product I use this product for over a week now, and I can say it is very pleasant to use, the motors of the machine are sturdy when it's red it heats slightly neck is very cool I bought it for me (because massage fan) but I think it's a good idea Gift. Nice product quality</v>
      </c>
    </row>
    <row r="3282">
      <c r="A3282" s="1">
        <v>5.0</v>
      </c>
      <c r="B3282" s="1" t="s">
        <v>3252</v>
      </c>
      <c r="C3282" t="str">
        <f>IFERROR(__xludf.DUMMYFUNCTION("GOOGLETRANSLATE(B3282, ""fr"", ""en"")"),"Only bottle readily accepted accepted by my baby.")</f>
        <v>Only bottle readily accepted accepted by my baby.</v>
      </c>
    </row>
    <row r="3283">
      <c r="A3283" s="1">
        <v>5.0</v>
      </c>
      <c r="B3283" s="1" t="s">
        <v>3253</v>
      </c>
      <c r="C3283" t="str">
        <f>IFERROR(__xludf.DUMMYFUNCTION("GOOGLETRANSLATE(B3283, ""fr"", ""en"")"),"Very cute I liked this model as a gift for my oldest daughter owl fan and loves Zen symbols as illustrates this necklace. The pendant is designed and shines thanks to zirconium. Hallmark certifying real money. strong chain punched too. Plus: delivered in "&amp;"gift box. Happy with my purchase.")</f>
        <v>Very cute I liked this model as a gift for my oldest daughter owl fan and loves Zen symbols as illustrates this necklace. The pendant is designed and shines thanks to zirconium. Hallmark certifying real money. strong chain punched too. Plus: delivered in gift box. Happy with my purchase.</v>
      </c>
    </row>
    <row r="3284">
      <c r="A3284" s="1">
        <v>5.0</v>
      </c>
      <c r="B3284" s="1" t="s">
        <v>3254</v>
      </c>
      <c r="C3284" t="str">
        <f>IFERROR(__xludf.DUMMYFUNCTION("GOOGLETRANSLATE(B3284, ""fr"", ""en"")"),"Julie earrings super quality earrings, the closure is well protected! I am quite sensitive it suit me to the top!")</f>
        <v>Julie earrings super quality earrings, the closure is well protected! I am quite sensitive it suit me to the top!</v>
      </c>
    </row>
    <row r="3285">
      <c r="A3285" s="1">
        <v>5.0</v>
      </c>
      <c r="B3285" s="1" t="s">
        <v>3255</v>
      </c>
      <c r="C3285" t="str">
        <f>IFERROR(__xludf.DUMMYFUNCTION("GOOGLETRANSLATE(B3285, ""fr"", ""en"")"),"Perfect! They are beautiful and very comfortable.")</f>
        <v>Perfect! They are beautiful and very comfortable.</v>
      </c>
    </row>
    <row r="3286">
      <c r="A3286" s="1">
        <v>5.0</v>
      </c>
      <c r="B3286" s="1" t="s">
        <v>3256</v>
      </c>
      <c r="C3286" t="str">
        <f>IFERROR(__xludf.DUMMYFUNCTION("GOOGLETRANSLATE(B3286, ""fr"", ""en"")"),"Top! Top! Quality, delivered in an attractive pouch.")</f>
        <v>Top! Top! Quality, delivered in an attractive pouch.</v>
      </c>
    </row>
    <row r="3287">
      <c r="A3287" s="1">
        <v>5.0</v>
      </c>
      <c r="B3287" s="1" t="s">
        <v>3257</v>
      </c>
      <c r="C3287" t="str">
        <f>IFERROR(__xludf.DUMMYFUNCTION("GOOGLETRANSLATE(B3287, ""fr"", ""en"")"),"GARBAGE BAGS Ecolo Handy Bag, just the name we are not disappointed by the quality and strength of the leakproof bags plus they are recycled. Under 7 € to 20 bags: Hat ...")</f>
        <v>GARBAGE BAGS Ecolo Handy Bag, just the name we are not disappointed by the quality and strength of the leakproof bags plus they are recycled. Under 7 € to 20 bags: Hat ...</v>
      </c>
    </row>
    <row r="3288">
      <c r="A3288" s="1">
        <v>5.0</v>
      </c>
      <c r="B3288" s="1" t="s">
        <v>3258</v>
      </c>
      <c r="C3288" t="str">
        <f>IFERROR(__xludf.DUMMYFUNCTION("GOOGLETRANSLATE(B3288, ""fr"", ""en"")"),"J'ador, I strongly advice Hello / Good evening I'll go very quickly, the quality of the microphone is troppppp well, its adds style to your setup and easy to use more installation. I suggest you buy a card that sends the CLS micro 5V for sharper sound If "&amp;"you want to put on PS4, his works but you have the card, if it is a PS4 PRO (for my case) must provide a kind of mini USB extension cable male to female USB card for the CLS is too wide not pass between the edge of the PS4 PRO. I strongly advice you is I "&amp;"hope you helped her aurat.")</f>
        <v>J'ador, I strongly advice Hello / Good evening I'll go very quickly, the quality of the microphone is troppppp well, its adds style to your setup and easy to use more installation. I suggest you buy a card that sends the CLS micro 5V for sharper sound If you want to put on PS4, his works but you have the card, if it is a PS4 PRO (for my case) must provide a kind of mini USB extension cable male to female USB card for the CLS is too wide not pass between the edge of the PS4 PRO. I strongly advice you is I hope you helped her aurat.</v>
      </c>
    </row>
    <row r="3289">
      <c r="A3289" s="1">
        <v>2.0</v>
      </c>
      <c r="B3289" s="1" t="s">
        <v>3259</v>
      </c>
      <c r="C3289" t="str">
        <f>IFERROR(__xludf.DUMMYFUNCTION("GOOGLETRANSLATE(B3289, ""fr"", ""en"")"),"Disappointed After a few headphones use a longer works")</f>
        <v>Disappointed After a few headphones use a longer works</v>
      </c>
    </row>
    <row r="3290">
      <c r="A3290" s="1">
        <v>1.0</v>
      </c>
      <c r="B3290" s="1" t="s">
        <v>3260</v>
      </c>
      <c r="C3290" t="str">
        <f>IFERROR(__xludf.DUMMYFUNCTION("GOOGLETRANSLATE(B3290, ""fr"", ""en"")"),"Bluetooth connection problem I just got it but when I press the power button for 5 seconds, nothing happens. no bluetooth. I guess I should not use it well or should we wait until the load is complete ??")</f>
        <v>Bluetooth connection problem I just got it but when I press the power button for 5 seconds, nothing happens. no bluetooth. I guess I should not use it well or should we wait until the load is complete ??</v>
      </c>
    </row>
    <row r="3291">
      <c r="A3291" s="1">
        <v>1.0</v>
      </c>
      <c r="B3291" s="1" t="s">
        <v>3261</v>
      </c>
      <c r="C3291" t="str">
        <f>IFERROR(__xludf.DUMMYFUNCTION("GOOGLETRANSLATE(B3291, ""fr"", ""en"")"),"C c no size too small Chinese It must return to wait 2 months refund ... So go to the store, secu pumps are less class but at least what we want is to live ...")</f>
        <v>C c no size too small Chinese It must return to wait 2 months refund ... So go to the store, secu pumps are less class but at least what we want is to live ...</v>
      </c>
    </row>
    <row r="3292">
      <c r="A3292" s="1">
        <v>3.0</v>
      </c>
      <c r="B3292" s="1" t="s">
        <v>3262</v>
      </c>
      <c r="C3292" t="str">
        <f>IFERROR(__xludf.DUMMYFUNCTION("GOOGLETRANSLATE(B3292, ""fr"", ""en"")"),"we boys I bought this book for my son, this has answered some of his questions because it is always difficult to ask mom !!!")</f>
        <v>we boys I bought this book for my son, this has answered some of his questions because it is always difficult to ask mom !!!</v>
      </c>
    </row>
    <row r="3293">
      <c r="A3293" s="1">
        <v>4.0</v>
      </c>
      <c r="B3293" s="1" t="s">
        <v>224</v>
      </c>
      <c r="C3293" t="str">
        <f>IFERROR(__xludf.DUMMYFUNCTION("GOOGLETRANSLATE(B3293, ""fr"", ""en"")"),"perfect perfect")</f>
        <v>perfect perfect</v>
      </c>
    </row>
    <row r="3294">
      <c r="A3294" s="1">
        <v>4.0</v>
      </c>
      <c r="B3294" s="1" t="s">
        <v>3263</v>
      </c>
      <c r="C3294" t="str">
        <f>IFERROR(__xludf.DUMMYFUNCTION("GOOGLETRANSLATE(B3294, ""fr"", ""en"")"),"nice but a bit heavy on the wrist Do not squeeze the wrist but on a thin wrist, may seem a bit big. more appropriate to a man.")</f>
        <v>nice but a bit heavy on the wrist Do not squeeze the wrist but on a thin wrist, may seem a bit big. more appropriate to a man.</v>
      </c>
    </row>
    <row r="3295">
      <c r="A3295" s="1">
        <v>4.0</v>
      </c>
      <c r="B3295" s="1" t="s">
        <v>3264</v>
      </c>
      <c r="C3295" t="str">
        <f>IFERROR(__xludf.DUMMYFUNCTION("GOOGLETRANSLATE(B3295, ""fr"", ""en"")"),"Nipple. Top. Very good teats. My son only tolerates only one. A little wide in the mouth but suits him perfectly.")</f>
        <v>Nipple. Top. Very good teats. My son only tolerates only one. A little wide in the mouth but suits him perfectly.</v>
      </c>
    </row>
    <row r="3296">
      <c r="A3296" s="1">
        <v>4.0</v>
      </c>
      <c r="B3296" s="1" t="s">
        <v>3265</v>
      </c>
      <c r="C3296" t="str">
        <f>IFERROR(__xludf.DUMMYFUNCTION("GOOGLETRANSLATE(B3296, ""fr"", ""en"")"),"about 2 months of use, simple to set up The device comes complete with charging. Just open it to implement. Warning to follow the instructions. Personally I wear latex gloves to avoid contact. The drain plug lets you know when charging must be replaced. T"&amp;"he use is announced for 2 months. Obviously depending on the humidity of the workpiece.")</f>
        <v>about 2 months of use, simple to set up The device comes complete with charging. Just open it to implement. Warning to follow the instructions. Personally I wear latex gloves to avoid contact. The drain plug lets you know when charging must be replaced. The use is announced for 2 months. Obviously depending on the humidity of the workpiece.</v>
      </c>
    </row>
    <row r="3297">
      <c r="A3297" s="1">
        <v>5.0</v>
      </c>
      <c r="B3297" s="1" t="s">
        <v>3266</v>
      </c>
      <c r="C3297" t="str">
        <f>IFERROR(__xludf.DUMMYFUNCTION("GOOGLETRANSLATE(B3297, ""fr"", ""en"")"),"perfect for milk with cereal and soup Basically I bought these teats for milk thickened but beware the holes are too large it flows too fast! by cons I put them aside for later because it seem perfect for milk in cereal. For milk thickened I advise rather"&amp;" teats size 3 of the same brand is much more suitable.")</f>
        <v>perfect for milk with cereal and soup Basically I bought these teats for milk thickened but beware the holes are too large it flows too fast! by cons I put them aside for later because it seem perfect for milk in cereal. For milk thickened I advise rather teats size 3 of the same brand is much more suitable.</v>
      </c>
    </row>
    <row r="3298">
      <c r="A3298" s="1">
        <v>5.0</v>
      </c>
      <c r="B3298" s="1" t="s">
        <v>3267</v>
      </c>
      <c r="C3298" t="str">
        <f>IFERROR(__xludf.DUMMYFUNCTION("GOOGLETRANSLATE(B3298, ""fr"", ""en"")"),"SIZE beautiful shape for this very useful pocket leggings +")</f>
        <v>SIZE beautiful shape for this very useful pocket leggings +</v>
      </c>
    </row>
    <row r="3299">
      <c r="A3299" s="1">
        <v>5.0</v>
      </c>
      <c r="B3299" s="1" t="s">
        <v>3268</v>
      </c>
      <c r="C3299" t="str">
        <f>IFERROR(__xludf.DUMMYFUNCTION("GOOGLETRANSLATE(B3299, ""fr"", ""en"")"),"Super gorgeous Murano pretty !! I received immediately with the certificate of authenticity and I'm thrilled !! Like on the photo !! Excellent !!")</f>
        <v>Super gorgeous Murano pretty !! I received immediately with the certificate of authenticity and I'm thrilled !! Like on the photo !! Excellent !!</v>
      </c>
    </row>
    <row r="3300">
      <c r="A3300" s="1">
        <v>5.0</v>
      </c>
      <c r="B3300" s="1" t="s">
        <v>3269</v>
      </c>
      <c r="C3300" t="str">
        <f>IFERROR(__xludf.DUMMYFUNCTION("GOOGLETRANSLATE(B3300, ""fr"", ""en"")"),"Controlled size 45 received 48 .chercher discomfort Perfect workshop")</f>
        <v>Controlled size 45 received 48 .chercher discomfort Perfect workshop</v>
      </c>
    </row>
    <row r="3301">
      <c r="A3301" s="1">
        <v>5.0</v>
      </c>
      <c r="B3301" s="1" t="s">
        <v>3270</v>
      </c>
      <c r="C3301" t="str">
        <f>IFERROR(__xludf.DUMMYFUNCTION("GOOGLETRANSLATE(B3301, ""fr"", ""en"")"),"Very satisfied Very fast delivery and good product. It was to offer and that to much. I recommend")</f>
        <v>Very satisfied Very fast delivery and good product. It was to offer and that to much. I recommend</v>
      </c>
    </row>
    <row r="3302">
      <c r="A3302" s="1">
        <v>5.0</v>
      </c>
      <c r="B3302" s="1" t="s">
        <v>3271</v>
      </c>
      <c r="C3302" t="str">
        <f>IFERROR(__xludf.DUMMYFUNCTION("GOOGLETRANSLATE(B3302, ""fr"", ""en"")"),"Perfect size very good quality")</f>
        <v>Perfect size very good quality</v>
      </c>
    </row>
    <row r="3303">
      <c r="A3303" s="1">
        <v>5.0</v>
      </c>
      <c r="B3303" s="1" t="s">
        <v>3272</v>
      </c>
      <c r="C3303" t="str">
        <f>IFERROR(__xludf.DUMMYFUNCTION("GOOGLETRANSLATE(B3303, ""fr"", ""en"")"),"Very good quality super stable quality and stability")</f>
        <v>Very good quality super stable quality and stability</v>
      </c>
    </row>
    <row r="3304">
      <c r="A3304" s="1">
        <v>5.0</v>
      </c>
      <c r="B3304" s="1" t="s">
        <v>3273</v>
      </c>
      <c r="C3304" t="str">
        <f>IFERROR(__xludf.DUMMYFUNCTION("GOOGLETRANSLATE(B3304, ""fr"", ""en"")"),"Magnigique beautiful bracelets. Conforms to the photo. Individually packed. Too bad there was not a little pouch style gift included. Delivery respected. Everything is impeccable.")</f>
        <v>Magnigique beautiful bracelets. Conforms to the photo. Individually packed. Too bad there was not a little pouch style gift included. Delivery respected. Everything is impeccable.</v>
      </c>
    </row>
    <row r="3305">
      <c r="A3305" s="1">
        <v>5.0</v>
      </c>
      <c r="B3305" s="1" t="s">
        <v>3274</v>
      </c>
      <c r="C3305" t="str">
        <f>IFERROR(__xludf.DUMMYFUNCTION("GOOGLETRANSLATE(B3305, ""fr"", ""en"")"),"RAS delivery a bit long but it is notified. Ras at the product, works fine")</f>
        <v>RAS delivery a bit long but it is notified. Ras at the product, works fine</v>
      </c>
    </row>
    <row r="3306">
      <c r="A3306" s="1">
        <v>5.0</v>
      </c>
      <c r="B3306" s="1" t="s">
        <v>3275</v>
      </c>
      <c r="C3306" t="str">
        <f>IFERROR(__xludf.DUMMYFUNCTION("GOOGLETRANSLATE(B3306, ""fr"", ""en"")"),"Found 'place in my inner Delivery time Easy to use and very pretty")</f>
        <v>Found 'place in my inner Delivery time Easy to use and very pretty</v>
      </c>
    </row>
    <row r="3307">
      <c r="A3307" s="1">
        <v>5.0</v>
      </c>
      <c r="B3307" s="1" t="s">
        <v>3276</v>
      </c>
      <c r="C3307" t="str">
        <f>IFERROR(__xludf.DUMMYFUNCTION("GOOGLETRANSLATE(B3307, ""fr"", ""en"")"),"long sleeve proceeds received before the expected date very good material, soft to wear, fit to my size, very satisfied with my purchase I recommend")</f>
        <v>long sleeve proceeds received before the expected date very good material, soft to wear, fit to my size, very satisfied with my purchase I recommend</v>
      </c>
    </row>
    <row r="3308">
      <c r="A3308" s="1">
        <v>5.0</v>
      </c>
      <c r="B3308" s="1" t="s">
        <v>3277</v>
      </c>
      <c r="C3308" t="str">
        <f>IFERROR(__xludf.DUMMYFUNCTION("GOOGLETRANSLATE(B3308, ""fr"", ""en"")"),"Nothing to say Set of 4 cartridges for printers. Cartridges ""&amp; nbsp; &amp; nbsp manufacturers,"" so no surprise. Everything works. Quality and reliability HP signed ... All is well!")</f>
        <v>Nothing to say Set of 4 cartridges for printers. Cartridges "&amp; nbsp; &amp; nbsp manufacturers," so no surprise. Everything works. Quality and reliability HP signed ... All is well!</v>
      </c>
    </row>
    <row r="3309">
      <c r="A3309" s="1">
        <v>5.0</v>
      </c>
      <c r="B3309" s="1" t="s">
        <v>3278</v>
      </c>
      <c r="C3309" t="str">
        <f>IFERROR(__xludf.DUMMYFUNCTION("GOOGLETRANSLATE(B3309, ""fr"", ""en"")"),"Super Super bag. This is exactly the bag I wanted. Consistent with the description")</f>
        <v>Super Super bag. This is exactly the bag I wanted. Consistent with the description</v>
      </c>
    </row>
    <row r="3310">
      <c r="A3310" s="1">
        <v>5.0</v>
      </c>
      <c r="B3310" s="1" t="s">
        <v>3279</v>
      </c>
      <c r="C3310" t="str">
        <f>IFERROR(__xludf.DUMMYFUNCTION("GOOGLETRANSLATE(B3310, ""fr"", ""en"")"),"Awesome Really great Ideal for sports wireless very compact perfect for weight training and running I love this I would 100 percent")</f>
        <v>Awesome Really great Ideal for sports wireless very compact perfect for weight training and running I love this I would 100 percent</v>
      </c>
    </row>
    <row r="3311">
      <c r="A3311" s="1">
        <v>5.0</v>
      </c>
      <c r="B3311" s="1" t="s">
        <v>3280</v>
      </c>
      <c r="C3311" t="str">
        <f>IFERROR(__xludf.DUMMYFUNCTION("GOOGLETRANSLATE(B3311, ""fr"", ""en"")"),"Very good mic with a good range of his! I was looking for a micro for children that is wireless and can directly transmit sound without amp. I must say I was amazed enough product that sends sound through the 4 sides of the microphone. It goes so hard tha"&amp;"t I have the time to ask my child to decrease the sound. This microphone can also be helpful to talk to a lot of people being given range. It is well built and even has an ""echo"" mode which can be useful. Having to leave press the on button is off longe"&amp;"r remains interesting way to avoid incorrect operation. My only criticism is that I would have preferred to have a black model most everywhere that a pink more dedicated to children or to a female audience. it's still a great product value!")</f>
        <v>Very good mic with a good range of his! I was looking for a micro for children that is wireless and can directly transmit sound without amp. I must say I was amazed enough product that sends sound through the 4 sides of the microphone. It goes so hard that I have the time to ask my child to decrease the sound. This microphone can also be helpful to talk to a lot of people being given range. It is well built and even has an "echo" mode which can be useful. Having to leave press the on button is off longer remains interesting way to avoid incorrect operation. My only criticism is that I would have preferred to have a black model most everywhere that a pink more dedicated to children or to a female audience. it's still a great product value!</v>
      </c>
    </row>
    <row r="3312">
      <c r="A3312" s="1">
        <v>2.0</v>
      </c>
      <c r="B3312" s="1" t="s">
        <v>3281</v>
      </c>
      <c r="C3312" t="str">
        <f>IFERROR(__xludf.DUMMYFUNCTION("GOOGLETRANSLATE(B3312, ""fr"", ""en"")"),"Nothing I was wrong")</f>
        <v>Nothing I was wrong</v>
      </c>
    </row>
    <row r="3313">
      <c r="A3313" s="1">
        <v>1.0</v>
      </c>
      <c r="B3313" s="1" t="s">
        <v>3282</v>
      </c>
      <c r="C3313" t="str">
        <f>IFERROR(__xludf.DUMMYFUNCTION("GOOGLETRANSLATE(B3313, ""fr"", ""en"")"),"poor quality shoes I use it in time carpenter shop and I had to have a fake because the quality shoe that his break at the sole she really are not made for walking support I do not recommend this purchase")</f>
        <v>poor quality shoes I use it in time carpenter shop and I had to have a fake because the quality shoe that his break at the sole she really are not made for walking support I do not recommend this purchase</v>
      </c>
    </row>
    <row r="3314">
      <c r="A3314" s="1">
        <v>3.0</v>
      </c>
      <c r="B3314" s="1" t="s">
        <v>3283</v>
      </c>
      <c r="C3314" t="str">
        <f>IFERROR(__xludf.DUMMYFUNCTION("GOOGLETRANSLATE(B3314, ""fr"", ""en"")"),"Middle I find that the brush is too small hair and shed hair is not great ... not high quality I find ...")</f>
        <v>Middle I find that the brush is too small hair and shed hair is not great ... not high quality I find ...</v>
      </c>
    </row>
    <row r="3315">
      <c r="A3315" s="1">
        <v>3.0</v>
      </c>
      <c r="B3315" s="1" t="s">
        <v>3284</v>
      </c>
      <c r="C3315" t="str">
        <f>IFERROR(__xludf.DUMMYFUNCTION("GOOGLETRANSLATE(B3315, ""fr"", ""en"")"),"Almost perfect The appearance of the bag is very beautiful. It seems solid, the future will tell if this is the case. It is great with four outer pockets which is really convenient. By cons, I am disappointed because the second pouch (the one at the back "&amp;"of the bag is too small for a PC 15.6 ""(and probably for a 15"" too), the other is pretty but I was hoping to put the computer in the other.")</f>
        <v>Almost perfect The appearance of the bag is very beautiful. It seems solid, the future will tell if this is the case. It is great with four outer pockets which is really convenient. By cons, I am disappointed because the second pouch (the one at the back of the bag is too small for a PC 15.6 "(and probably for a 15" too), the other is pretty but I was hoping to put the computer in the other.</v>
      </c>
    </row>
    <row r="3316">
      <c r="A3316" s="1">
        <v>4.0</v>
      </c>
      <c r="B3316" s="1" t="s">
        <v>3285</v>
      </c>
      <c r="C3316" t="str">
        <f>IFERROR(__xludf.DUMMYFUNCTION("GOOGLETRANSLATE(B3316, ""fr"", ""en"")"),"Meets Black pack and practical color, still a bit expensive for consumables")</f>
        <v>Meets Black pack and practical color, still a bit expensive for consumables</v>
      </c>
    </row>
    <row r="3317">
      <c r="A3317" s="1">
        <v>4.0</v>
      </c>
      <c r="B3317" s="1" t="s">
        <v>3286</v>
      </c>
      <c r="C3317" t="str">
        <f>IFERROR(__xludf.DUMMYFUNCTION("GOOGLETRANSLATE(B3317, ""fr"", ""en"")"),"invicta watch very nice watch very good quality a true automatic watch for the price I advise a lot very beautiful purchase it looks a lot like a big Swiss luxury brand")</f>
        <v>invicta watch very nice watch very good quality a true automatic watch for the price I advise a lot very beautiful purchase it looks a lot like a big Swiss luxury brand</v>
      </c>
    </row>
    <row r="3318">
      <c r="A3318" s="1">
        <v>4.0</v>
      </c>
      <c r="B3318" s="1" t="s">
        <v>3287</v>
      </c>
      <c r="C3318" t="str">
        <f>IFERROR(__xludf.DUMMYFUNCTION("GOOGLETRANSLATE(B3318, ""fr"", ""en"")"),"Barbs unsuitable! Beautiful leather bracelet but the metal barbs present in the bracelet were too short and did not allow the strap to hold. So I had to remove it took me some time and I put suitable barbs. This is not normal and I almost return this prod"&amp;"uct!")</f>
        <v>Barbs unsuitable! Beautiful leather bracelet but the metal barbs present in the bracelet were too short and did not allow the strap to hold. So I had to remove it took me some time and I put suitable barbs. This is not normal and I almost return this product!</v>
      </c>
    </row>
    <row r="3319">
      <c r="A3319" s="1">
        <v>4.0</v>
      </c>
      <c r="B3319" s="1" t="s">
        <v>3288</v>
      </c>
      <c r="C3319" t="str">
        <f>IFERROR(__xludf.DUMMYFUNCTION("GOOGLETRANSLATE(B3319, ""fr"", ""en"")"),"I love I'm completely a fan !! I find her very pretty, practical, I can put my bottles and nipple in peace. I recommand it")</f>
        <v>I love I'm completely a fan !! I find her very pretty, practical, I can put my bottles and nipple in peace. I recommand it</v>
      </c>
    </row>
    <row r="3320">
      <c r="A3320" s="1">
        <v>4.0</v>
      </c>
      <c r="B3320" s="1" t="s">
        <v>3289</v>
      </c>
      <c r="C3320" t="str">
        <f>IFERROR(__xludf.DUMMYFUNCTION("GOOGLETRANSLATE(B3320, ""fr"", ""en"")"),"Working properly No problem, received quickly, working properly. But I found that charging really emptied quickly. It lasted only two weeks and I would say I have not written it as (corrected copies ...)")</f>
        <v>Working properly No problem, received quickly, working properly. But I found that charging really emptied quickly. It lasted only two weeks and I would say I have not written it as (corrected copies ...)</v>
      </c>
    </row>
    <row r="3321">
      <c r="A3321" s="1">
        <v>5.0</v>
      </c>
      <c r="B3321" s="1" t="s">
        <v>3290</v>
      </c>
      <c r="C3321" t="str">
        <f>IFERROR(__xludf.DUMMYFUNCTION("GOOGLETRANSLATE(B3321, ""fr"", ""en"")"),"These impeccable polo shirts have a very good presentation. They seem to be of very good quality and good performance. They go very well in machine without risk of degradation or discoloration")</f>
        <v>These impeccable polo shirts have a very good presentation. They seem to be of very good quality and good performance. They go very well in machine without risk of degradation or discoloration</v>
      </c>
    </row>
    <row r="3322">
      <c r="A3322" s="1">
        <v>5.0</v>
      </c>
      <c r="B3322" s="1" t="s">
        <v>3291</v>
      </c>
      <c r="C3322" t="str">
        <f>IFERROR(__xludf.DUMMYFUNCTION("GOOGLETRANSLATE(B3322, ""fr"", ""en"")"),"Excellent essential oil! I no longer perfect pass me to cleanse your skin smooth everyday. I mixed with jojoba oil and it gives me an incredible facial serum!")</f>
        <v>Excellent essential oil! I no longer perfect pass me to cleanse your skin smooth everyday. I mixed with jojoba oil and it gives me an incredible facial serum!</v>
      </c>
    </row>
    <row r="3323">
      <c r="A3323" s="1">
        <v>5.0</v>
      </c>
      <c r="B3323" s="1" t="s">
        <v>3292</v>
      </c>
      <c r="C3323" t="str">
        <f>IFERROR(__xludf.DUMMYFUNCTION("GOOGLETRANSLATE(B3323, ""fr"", ""en"")"),"Ideal My son is diabetic and takes its necessary every day with him, this bag contains everything you need to survive is his second skin. He had exactly the same gray, it took him 3 years, until the zipper is showing signs of weakness. 3 years is very goo"&amp;"d for such intensive use. Additionally, he cut in machine at 30 degrees (with daily use, it must be done regularly). His predecessors were less solid, so we will now stay true to Eastpak. I like the 3 compartments, in order to separate what is medical, wh"&amp;"ich is food (to sweeten) and personal belongings (keys, papers, phone). For us it is THE ideal model.")</f>
        <v>Ideal My son is diabetic and takes its necessary every day with him, this bag contains everything you need to survive is his second skin. He had exactly the same gray, it took him 3 years, until the zipper is showing signs of weakness. 3 years is very good for such intensive use. Additionally, he cut in machine at 30 degrees (with daily use, it must be done regularly). His predecessors were less solid, so we will now stay true to Eastpak. I like the 3 compartments, in order to separate what is medical, which is food (to sweeten) and personal belongings (keys, papers, phone). For us it is THE ideal model.</v>
      </c>
    </row>
    <row r="3324">
      <c r="A3324" s="1">
        <v>5.0</v>
      </c>
      <c r="B3324" s="1" t="s">
        <v>3293</v>
      </c>
      <c r="C3324" t="str">
        <f>IFERROR(__xludf.DUMMYFUNCTION("GOOGLETRANSLATE(B3324, ""fr"", ""en"")"),"A great word ""Top""")</f>
        <v>A great word "Top"</v>
      </c>
    </row>
    <row r="3325">
      <c r="A3325" s="1">
        <v>5.0</v>
      </c>
      <c r="B3325" s="1" t="s">
        <v>3294</v>
      </c>
      <c r="C3325" t="str">
        <f>IFERROR(__xludf.DUMMYFUNCTION("GOOGLETRANSLATE(B3325, ""fr"", ""en"")"),"stylish trousers Pretty size and length trousers nickel. He class.")</f>
        <v>stylish trousers Pretty size and length trousers nickel. He class.</v>
      </c>
    </row>
    <row r="3326">
      <c r="A3326" s="1">
        <v>5.0</v>
      </c>
      <c r="B3326" s="1" t="s">
        <v>3295</v>
      </c>
      <c r="C3326" t="str">
        <f>IFERROR(__xludf.DUMMYFUNCTION("GOOGLETRANSLATE(B3326, ""fr"", ""en"")"),"Good sound quality for its price These headphones have good sound quality and are handy with their small size. I do not use them for sport for fear of dropping them.")</f>
        <v>Good sound quality for its price These headphones have good sound quality and are handy with their small size. I do not use them for sport for fear of dropping them.</v>
      </c>
    </row>
    <row r="3327">
      <c r="A3327" s="1">
        <v>5.0</v>
      </c>
      <c r="B3327" s="1" t="s">
        <v>3296</v>
      </c>
      <c r="C3327" t="str">
        <f>IFERROR(__xludf.DUMMYFUNCTION("GOOGLETRANSLATE(B3327, ""fr"", ""en"")"),"Piercing nickel Very happy with my purchase I was looking for a piercing as and affordable I am thrilled")</f>
        <v>Piercing nickel Very happy with my purchase I was looking for a piercing as and affordable I am thrilled</v>
      </c>
    </row>
    <row r="3328">
      <c r="A3328" s="1">
        <v>5.0</v>
      </c>
      <c r="B3328" s="1" t="s">
        <v>3297</v>
      </c>
      <c r="C3328" t="str">
        <f>IFERROR(__xludf.DUMMYFUNCTION("GOOGLETRANSLATE(B3328, ""fr"", ""en"")"),"Super Fast Shipping, comfortable shoes, cut well")</f>
        <v>Super Fast Shipping, comfortable shoes, cut well</v>
      </c>
    </row>
    <row r="3329">
      <c r="A3329" s="1">
        <v>5.0</v>
      </c>
      <c r="B3329" s="1" t="s">
        <v>3298</v>
      </c>
      <c r="C3329" t="str">
        <f>IFERROR(__xludf.DUMMYFUNCTION("GOOGLETRANSLATE(B3329, ""fr"", ""en"")"),"Impeccable Very good product like all Faber-Csatell, practical and comprehensive package. Using perfect for drawing. Corresponds completely to the needs of my daughter.")</f>
        <v>Impeccable Very good product like all Faber-Csatell, practical and comprehensive package. Using perfect for drawing. Corresponds completely to the needs of my daughter.</v>
      </c>
    </row>
    <row r="3330">
      <c r="A3330" s="1">
        <v>5.0</v>
      </c>
      <c r="B3330" s="1" t="s">
        <v>3299</v>
      </c>
      <c r="C3330" t="str">
        <f>IFERROR(__xludf.DUMMYFUNCTION("GOOGLETRANSLATE(B3330, ""fr"", ""en"")"),"great for winter slippers for the house cooler to walk it's great!")</f>
        <v>great for winter slippers for the house cooler to walk it's great!</v>
      </c>
    </row>
    <row r="3331">
      <c r="A3331" s="1">
        <v>5.0</v>
      </c>
      <c r="B3331" s="1" t="s">
        <v>3300</v>
      </c>
      <c r="C3331" t="str">
        <f>IFERROR(__xludf.DUMMYFUNCTION("GOOGLETRANSLATE(B3331, ""fr"", ""en"")"),"Super helmet headset with good sound quality, smooth and beautiful lines, I dropped the helmet since I had that helmet.")</f>
        <v>Super helmet headset with good sound quality, smooth and beautiful lines, I dropped the helmet since I had that helmet.</v>
      </c>
    </row>
    <row r="3332">
      <c r="A3332" s="1">
        <v>5.0</v>
      </c>
      <c r="B3332" s="1" t="s">
        <v>3301</v>
      </c>
      <c r="C3332" t="str">
        <f>IFERROR(__xludf.DUMMYFUNCTION("GOOGLETRANSLATE(B3332, ""fr"", ""en"")"),"Okay to connect my unit Platinum 70s, old platinum and old tape drive, thanks to this cable cheap, everything works IN HAIR, the sound is clean and no crackling")</f>
        <v>Okay to connect my unit Platinum 70s, old platinum and old tape drive, thanks to this cable cheap, everything works IN HAIR, the sound is clean and no crackling</v>
      </c>
    </row>
    <row r="3333">
      <c r="A3333" s="1">
        <v>5.0</v>
      </c>
      <c r="B3333" s="1" t="s">
        <v>3302</v>
      </c>
      <c r="C3333" t="str">
        <f>IFERROR(__xludf.DUMMYFUNCTION("GOOGLETRANSLATE(B3333, ""fr"", ""en"")"),"For use on all parts of the body mass all areas of the body while the ""heads"" of massage are rather aimed at the head. There are two speeds that can adapt to different needs. The device is not heavy and not imposing, which makes it very handy. It's not "&amp;"bad to relax muscles after sports (calves home after jogging). Charging takes a long time, after a week it is not yet discharged my children use it regularly.")</f>
        <v>For use on all parts of the body mass all areas of the body while the "heads" of massage are rather aimed at the head. There are two speeds that can adapt to different needs. The device is not heavy and not imposing, which makes it very handy. It's not bad to relax muscles after sports (calves home after jogging). Charging takes a long time, after a week it is not yet discharged my children use it regularly.</v>
      </c>
    </row>
    <row r="3334">
      <c r="A3334" s="1">
        <v>5.0</v>
      </c>
      <c r="B3334" s="1" t="s">
        <v>3303</v>
      </c>
      <c r="C3334" t="str">
        <f>IFERROR(__xludf.DUMMYFUNCTION("GOOGLETRANSLATE(B3334, ""fr"", ""en"")"),"If Dictaphone will surprise you Hello J bought Dictaphone is for taking notes and replay of training I am pleasantly surprised by its very small dimensions (see photo next to a pen to give you an idea) Very easy to use Service - record button - and volume"&amp;" + - - menu - avence and return it is turned off during the silences and automatically resumes that it detects noise on day courses he recorded 4 hours without any problems or battery outage ( see photo) the sound is clear in a classroom of 40 m2 with abo"&amp;"ut 30 people my pC under Windows 10 recognized the voice recorder without problems and you have easy access to the audio file (see picture) Please tell me if my comment was helpful you for your choice")</f>
        <v>If Dictaphone will surprise you Hello J bought Dictaphone is for taking notes and replay of training I am pleasantly surprised by its very small dimensions (see photo next to a pen to give you an idea) Very easy to use Service - record button - and volume + - - menu - avence and return it is turned off during the silences and automatically resumes that it detects noise on day courses he recorded 4 hours without any problems or battery outage ( see photo) the sound is clear in a classroom of 40 m2 with about 30 people my pC under Windows 10 recognized the voice recorder without problems and you have easy access to the audio file (see picture) Please tell me if my comment was helpful you for your choice</v>
      </c>
    </row>
    <row r="3335">
      <c r="A3335" s="1">
        <v>5.0</v>
      </c>
      <c r="B3335" s="1" t="s">
        <v>3304</v>
      </c>
      <c r="C3335" t="str">
        <f>IFERROR(__xludf.DUMMYFUNCTION("GOOGLETRANSLATE(B3335, ""fr"", ""en"")"),"... Perfect Pair of sneakers leather, perfect for use all day ... (see description / translation silly: ""sneakers down the neck"" !!!")</f>
        <v>... Perfect Pair of sneakers leather, perfect for use all day ... (see description / translation silly: "sneakers down the neck" !!!</v>
      </c>
    </row>
    <row r="3336">
      <c r="A3336" s="1">
        <v>2.0</v>
      </c>
      <c r="B3336" s="1" t="s">
        <v>3305</v>
      </c>
      <c r="C3336" t="str">
        <f>IFERROR(__xludf.DUMMYFUNCTION("GOOGLETRANSLATE(B3336, ""fr"", ""en"")"),"same type of model for men and women? ... This model size large enough. I think I have only to put the soles! This is an adult model I bought for my son, so far I have not seen any difference following the predestined models, are usually the same shoes fo"&amp;"r men and women ... No?")</f>
        <v>same type of model for men and women? ... This model size large enough. I think I have only to put the soles! This is an adult model I bought for my son, so far I have not seen any difference following the predestined models, are usually the same shoes for men and women ... No?</v>
      </c>
    </row>
    <row r="3337">
      <c r="A3337" s="1">
        <v>1.0</v>
      </c>
      <c r="B3337" s="1" t="s">
        <v>3306</v>
      </c>
      <c r="C3337" t="str">
        <f>IFERROR(__xludf.DUMMYFUNCTION("GOOGLETRANSLATE(B3337, ""fr"", ""en"")"),"listening and problem extended size headphones Very sore eardrums! Reducing noise created as a présurisation in the ear that did not allow me to keep the helmet over an hour without suffering.")</f>
        <v>listening and problem extended size headphones Very sore eardrums! Reducing noise created as a présurisation in the ear that did not allow me to keep the helmet over an hour without suffering.</v>
      </c>
    </row>
    <row r="3338">
      <c r="A3338" s="1">
        <v>1.0</v>
      </c>
      <c r="B3338" s="1" t="s">
        <v>3307</v>
      </c>
      <c r="C3338" t="str">
        <f>IFERROR(__xludf.DUMMYFUNCTION("GOOGLETRANSLATE(B3338, ""fr"", ""en"")"),"incredible dismal quality, carnations are so bad, that the laces only last 15 days ...... they are torn, and of course impossible to find identical laces, we oblibé d buy NoNAMES has color hazardous .... I'm not talking about the sole, non-existent in thi"&amp;"ckness and which wears a great speed even a childhood memory that goes !! disappointed!")</f>
        <v>incredible dismal quality, carnations are so bad, that the laces only last 15 days ...... they are torn, and of course impossible to find identical laces, we oblibé d buy NoNAMES has color hazardous .... I'm not talking about the sole, non-existent in thickness and which wears a great speed even a childhood memory that goes !! disappointed!</v>
      </c>
    </row>
    <row r="3339">
      <c r="A3339" s="1">
        <v>3.0</v>
      </c>
      <c r="B3339" s="1" t="s">
        <v>3308</v>
      </c>
      <c r="C3339" t="str">
        <f>IFERROR(__xludf.DUMMYFUNCTION("GOOGLETRANSLATE(B3339, ""fr"", ""en"")"),"Done the job but with flaws For several months I use this sterilizer. At the opening, we realize that it is large enough, and the locations for storing bottles and teats are sufficient. It fits easily into a corner and this is useful because with a baby w"&amp;"e need space! For using, it is simple, put some tap water in the base down, fill the bottle sterilizer and nipples and press the button. It takes about 7-8 min. I come to defects, when the cycle is finished, bottles and teats are wet, this is normal but i"&amp;"t takes forever to dry ... The bottom base to put the water to rust after a .. time (or photo)")</f>
        <v>Done the job but with flaws For several months I use this sterilizer. At the opening, we realize that it is large enough, and the locations for storing bottles and teats are sufficient. It fits easily into a corner and this is useful because with a baby we need space! For using, it is simple, put some tap water in the base down, fill the bottle sterilizer and nipples and press the button. It takes about 7-8 min. I come to defects, when the cycle is finished, bottles and teats are wet, this is normal but it takes forever to dry ... The bottom base to put the water to rust after a .. time (or photo)</v>
      </c>
    </row>
    <row r="3340">
      <c r="A3340" s="1">
        <v>3.0</v>
      </c>
      <c r="B3340" s="1" t="s">
        <v>3309</v>
      </c>
      <c r="C3340" t="str">
        <f>IFERROR(__xludf.DUMMYFUNCTION("GOOGLETRANSLATE(B3340, ""fr"", ""en"")"),"Quality very good but totally misleading weight announced! This product is in the average of those tried, especially at this price and deserves 4 or 5 stars .. Before buying one of the only common criteria between brands, from the color, could be the weig"&amp;"ht. Unfortunately, it is incorrect, and this is true of other roller sets and other brands. Announced (to date) to 3.3kg, the packet actually weighs 1.8kg ... As is the wrong way, it's very penalizing for products that display actual values! I pointed to "&amp;"Amazon but the correction usually takes several months.")</f>
        <v>Quality very good but totally misleading weight announced! This product is in the average of those tried, especially at this price and deserves 4 or 5 stars .. Before buying one of the only common criteria between brands, from the color, could be the weight. Unfortunately, it is incorrect, and this is true of other roller sets and other brands. Announced (to date) to 3.3kg, the packet actually weighs 1.8kg ... As is the wrong way, it's very penalizing for products that display actual values! I pointed to Amazon but the correction usually takes several months.</v>
      </c>
    </row>
    <row r="3341">
      <c r="A3341" s="1">
        <v>4.0</v>
      </c>
      <c r="B3341" s="1" t="s">
        <v>3310</v>
      </c>
      <c r="C3341" t="str">
        <f>IFERROR(__xludf.DUMMYFUNCTION("GOOGLETRANSLATE(B3341, ""fr"", ""en"")"),"she likes my wife loves this great series that we have in him Commender to man but like my wife, but in 48 I thank you because for me commenderai")</f>
        <v>she likes my wife loves this great series that we have in him Commender to man but like my wife, but in 48 I thank you because for me commenderai</v>
      </c>
    </row>
    <row r="3342">
      <c r="A3342" s="1">
        <v>4.0</v>
      </c>
      <c r="B3342" s="1" t="s">
        <v>3311</v>
      </c>
      <c r="C3342" t="str">
        <f>IFERROR(__xludf.DUMMYFUNCTION("GOOGLETRANSLATE(B3342, ""fr"", ""en"")"),"50 A4 white paper adhesive sheets Delivery was fast. The adhesive sheets are for my taste a little thin. Otherwise they glues well currently.")</f>
        <v>50 A4 white paper adhesive sheets Delivery was fast. The adhesive sheets are for my taste a little thin. Otherwise they glues well currently.</v>
      </c>
    </row>
    <row r="3343">
      <c r="A3343" s="1">
        <v>4.0</v>
      </c>
      <c r="B3343" s="1" t="s">
        <v>3312</v>
      </c>
      <c r="C3343" t="str">
        <f>IFERROR(__xludf.DUMMYFUNCTION("GOOGLETRANSLATE(B3343, ""fr"", ""en"")"),"Good quality product in accordance with the picture. Very good quality and very comfortable !! Take your shoe size because according to other comments that small size but not at all")</f>
        <v>Good quality product in accordance with the picture. Very good quality and very comfortable !! Take your shoe size because according to other comments that small size but not at all</v>
      </c>
    </row>
    <row r="3344">
      <c r="A3344" s="1">
        <v>4.0</v>
      </c>
      <c r="B3344" s="1" t="s">
        <v>3313</v>
      </c>
      <c r="C3344" t="str">
        <f>IFERROR(__xludf.DUMMYFUNCTION("GOOGLETRANSLATE(B3344, ""fr"", ""en"")"),"Perfect for boys watch ideal for the wrist of a boy of 10 years. In addition to multiple details and additional function, it has everything to please them. But for a man, I think she would be too small.")</f>
        <v>Perfect for boys watch ideal for the wrist of a boy of 10 years. In addition to multiple details and additional function, it has everything to please them. But for a man, I think she would be too small.</v>
      </c>
    </row>
    <row r="3345">
      <c r="A3345" s="1">
        <v>5.0</v>
      </c>
      <c r="B3345" s="1" t="s">
        <v>3314</v>
      </c>
      <c r="C3345" t="str">
        <f>IFERROR(__xludf.DUMMYFUNCTION("GOOGLETRANSLATE(B3345, ""fr"", ""en"")"),"SUPER What about those loafers? They have a perfect fit, have sufficiently robust air and look to you to judge!")</f>
        <v>SUPER What about those loafers? They have a perfect fit, have sufficiently robust air and look to you to judge!</v>
      </c>
    </row>
    <row r="3346">
      <c r="A3346" s="1">
        <v>5.0</v>
      </c>
      <c r="B3346" s="1" t="s">
        <v>3315</v>
      </c>
      <c r="C3346" t="str">
        <f>IFERROR(__xludf.DUMMYFUNCTION("GOOGLETRANSLATE(B3346, ""fr"", ""en"")"),"Good quality / price The design of the helmet and magnificent gold rose, the headset battery holds a terrific bluetooth. Small problem means an ultra light his background, but this is not very troublesome.")</f>
        <v>Good quality / price The design of the helmet and magnificent gold rose, the headset battery holds a terrific bluetooth. Small problem means an ultra light his background, but this is not very troublesome.</v>
      </c>
    </row>
    <row r="3347">
      <c r="A3347" s="1">
        <v>5.0</v>
      </c>
      <c r="B3347" s="1" t="s">
        <v>3316</v>
      </c>
      <c r="C3347" t="str">
        <f>IFERROR(__xludf.DUMMYFUNCTION("GOOGLETRANSLATE(B3347, ""fr"", ""en"")"),"F &amp; amp; g They not please me at all")</f>
        <v>F &amp; amp; g They not please me at all</v>
      </c>
    </row>
    <row r="3348">
      <c r="A3348" s="1">
        <v>5.0</v>
      </c>
      <c r="B3348" s="1" t="s">
        <v>3317</v>
      </c>
      <c r="C3348" t="str">
        <f>IFERROR(__xludf.DUMMYFUNCTION("GOOGLETRANSLATE(B3348, ""fr"", ""en"")"),"Efficient and stable Good bluetooth earphone to move and listen to music while playing sports such or kitchen without being tethered by a wire. The sound is good but lacks bass for my taste. The Bluetooth connection with another device is almost immediate"&amp;": just go to the Bluetooth settings to make the camera transmitter ""visible to all"" then comes the headphones from their box while remaining close to the transmitter apparatus, play a movie or music and the connection is made. Headphones keep in memory "&amp;"the last connected device. Also we can not connect the right speaker (R) or left (L). They are lightweight and I have no problem to support them without losing them during my activities whatsoever. Please do not press it to adjust in your ears because the"&amp;" entire surface is touch and you could raise the sound by that. Just holding the handle on the sides. Good! There is a manual comes with but basically for dyslexic 😂 and Jean-Claude Vandamme 🤣🤣: _1 long-tap (2 or 3 seconds) to enable or disable the Goo"&amp;"gle voice control assistant. _Two short taps to pause or re-read mode. _1 short tap on the right to raise. _1 short tap on the Left to decrease. _3 taps on the Right to _3 taps following the precedent for Left The first day, we train a bit, but the next d"&amp;"ay we swim like a fish in water. It works perfectly well, for now: nothing.")</f>
        <v>Efficient and stable Good bluetooth earphone to move and listen to music while playing sports such or kitchen without being tethered by a wire. The sound is good but lacks bass for my taste. The Bluetooth connection with another device is almost immediate: just go to the Bluetooth settings to make the camera transmitter "visible to all" then comes the headphones from their box while remaining close to the transmitter apparatus, play a movie or music and the connection is made. Headphones keep in memory the last connected device. Also we can not connect the right speaker (R) or left (L). They are lightweight and I have no problem to support them without losing them during my activities whatsoever. Please do not press it to adjust in your ears because the entire surface is touch and you could raise the sound by that. Just holding the handle on the sides. Good! There is a manual comes with but basically for dyslexic 😂 and Jean-Claude Vandamme 🤣🤣: _1 long-tap (2 or 3 seconds) to enable or disable the Google voice control assistant. _Two short taps to pause or re-read mode. _1 short tap on the right to raise. _1 short tap on the Left to decrease. _3 taps on the Right to _3 taps following the precedent for Left The first day, we train a bit, but the next day we swim like a fish in water. It works perfectly well, for now: nothing.</v>
      </c>
    </row>
    <row r="3349">
      <c r="A3349" s="1">
        <v>5.0</v>
      </c>
      <c r="B3349" s="1" t="s">
        <v>3318</v>
      </c>
      <c r="C3349" t="str">
        <f>IFERROR(__xludf.DUMMYFUNCTION("GOOGLETRANSLATE(B3349, ""fr"", ""en"")"),"The colors that change with the light A gift")</f>
        <v>The colors that change with the light A gift</v>
      </c>
    </row>
    <row r="3350">
      <c r="A3350" s="1">
        <v>5.0</v>
      </c>
      <c r="B3350" s="1" t="s">
        <v>3319</v>
      </c>
      <c r="C3350" t="str">
        <f>IFERROR(__xludf.DUMMYFUNCTION("GOOGLETRANSLATE(B3350, ""fr"", ""en"")"),"great value for great Value for money I was bought to run with my dog ​​and after months has run in the mud stones snow ... no problem in perfect condition without taking special care comfort level to the top cushioning")</f>
        <v>great value for great Value for money I was bought to run with my dog ​​and after months has run in the mud stones snow ... no problem in perfect condition without taking special care comfort level to the top cushioning</v>
      </c>
    </row>
    <row r="3351">
      <c r="A3351" s="1">
        <v>5.0</v>
      </c>
      <c r="B3351" s="1" t="s">
        <v>3320</v>
      </c>
      <c r="C3351" t="str">
        <f>IFERROR(__xludf.DUMMYFUNCTION("GOOGLETRANSLATE(B3351, ""fr"", ""en"")"),"Easy to clean and large We take the quality of MAM bottles for our daughter who no longer needs anti colic bottle and drinks larger bottles. The designs are beautiful, always as easy cleaning, top quality.")</f>
        <v>Easy to clean and large We take the quality of MAM bottles for our daughter who no longer needs anti colic bottle and drinks larger bottles. The designs are beautiful, always as easy cleaning, top quality.</v>
      </c>
    </row>
    <row r="3352">
      <c r="A3352" s="1">
        <v>5.0</v>
      </c>
      <c r="B3352" s="1" t="s">
        <v>3321</v>
      </c>
      <c r="C3352" t="str">
        <f>IFERROR(__xludf.DUMMYFUNCTION("GOOGLETRANSLATE(B3352, ""fr"", ""en"")"),"🌟 Sound and Light 🌟 My son asked me for a while to change his old clock radio red screen, you know the good old alarm clock ... Visually, this one looking good I let me try! And I'm happy with my purchase! The speaker is really a great quality, ambient "&amp;"light Comtoir is top notch, and I did not think that radio was Rds! Search automatic channels with programming recording function and even sleep with melodies to sleep !! Really too happy my son is the angel and he looks forward to using it in September!")</f>
        <v>🌟 Sound and Light 🌟 My son asked me for a while to change his old clock radio red screen, you know the good old alarm clock ... Visually, this one looking good I let me try! And I'm happy with my purchase! The speaker is really a great quality, ambient light Comtoir is top notch, and I did not think that radio was Rds! Search automatic channels with programming recording function and even sleep with melodies to sleep !! Really too happy my son is the angel and he looks forward to using it in September!</v>
      </c>
    </row>
    <row r="3353">
      <c r="A3353" s="1">
        <v>5.0</v>
      </c>
      <c r="B3353" s="1" t="s">
        <v>3322</v>
      </c>
      <c r="C3353" t="str">
        <f>IFERROR(__xludf.DUMMYFUNCTION("GOOGLETRANSLATE(B3353, ""fr"", ""en"")"),"Bluetooth headphones I bought this product for listening to music while practicing running and mountain biking. Result very well nothing to say. We almost forget that we have headphones in their ears. Very good purchase I strongly advise")</f>
        <v>Bluetooth headphones I bought this product for listening to music while practicing running and mountain biking. Result very well nothing to say. We almost forget that we have headphones in their ears. Very good purchase I strongly advise</v>
      </c>
    </row>
    <row r="3354">
      <c r="A3354" s="1">
        <v>5.0</v>
      </c>
      <c r="B3354" s="1" t="s">
        <v>3323</v>
      </c>
      <c r="C3354" t="str">
        <f>IFERROR(__xludf.DUMMYFUNCTION("GOOGLETRANSLATE(B3354, ""fr"", ""en"")"),"Good slip Demelle. very comfortable slippers, I have trouble walking and they hold up well to foot, to check the stairs")</f>
        <v>Good slip Demelle. very comfortable slippers, I have trouble walking and they hold up well to foot, to check the stairs</v>
      </c>
    </row>
    <row r="3355">
      <c r="A3355" s="1">
        <v>5.0</v>
      </c>
      <c r="B3355" s="1" t="s">
        <v>3324</v>
      </c>
      <c r="C3355" t="str">
        <f>IFERROR(__xludf.DUMMYFUNCTION("GOOGLETRANSLATE(B3355, ""fr"", ""en"")"),"Great product I love the shoes, it is comfortable and above all they keep feet warm I love I recommend")</f>
        <v>Great product I love the shoes, it is comfortable and above all they keep feet warm I love I recommend</v>
      </c>
    </row>
    <row r="3356">
      <c r="A3356" s="1">
        <v>5.0</v>
      </c>
      <c r="B3356" s="1" t="s">
        <v>3325</v>
      </c>
      <c r="C3356" t="str">
        <f>IFERROR(__xludf.DUMMYFUNCTION("GOOGLETRANSLATE(B3356, ""fr"", ""en"")"),"Candy")</f>
        <v>Candy</v>
      </c>
    </row>
    <row r="3357">
      <c r="A3357" s="1">
        <v>5.0</v>
      </c>
      <c r="B3357" s="1" t="s">
        <v>3326</v>
      </c>
      <c r="C3357" t="str">
        <f>IFERROR(__xludf.DUMMYFUNCTION("GOOGLETRANSLATE(B3357, ""fr"", ""en"")"),"Very comfortable and delivered quickly very comfortable, good size, as described very nice, I recommend this article")</f>
        <v>Very comfortable and delivered quickly very comfortable, good size, as described very nice, I recommend this article</v>
      </c>
    </row>
    <row r="3358">
      <c r="A3358" s="1">
        <v>5.0</v>
      </c>
      <c r="B3358" s="1" t="s">
        <v>3327</v>
      </c>
      <c r="C3358" t="str">
        <f>IFERROR(__xludf.DUMMYFUNCTION("GOOGLETRANSLATE(B3358, ""fr"", ""en"")"),"Super Pack I recommend this pack! With this pack you are quiet for a moment. 6 bottles suffice! Super nice product and I recommend")</f>
        <v>Super Pack I recommend this pack! With this pack you are quiet for a moment. 6 bottles suffice! Super nice product and I recommend</v>
      </c>
    </row>
    <row r="3359">
      <c r="A3359" s="1">
        <v>5.0</v>
      </c>
      <c r="B3359" s="1" t="s">
        <v>3328</v>
      </c>
      <c r="C3359" t="str">
        <f>IFERROR(__xludf.DUMMYFUNCTION("GOOGLETRANSLATE(B3359, ""fr"", ""en"")"),"Good product cord in good order. Unfortunately I made a mistake of connection. So I recommended the right model.")</f>
        <v>Good product cord in good order. Unfortunately I made a mistake of connection. So I recommended the right model.</v>
      </c>
    </row>
    <row r="3360">
      <c r="A3360" s="1">
        <v>2.0</v>
      </c>
      <c r="B3360" s="1" t="s">
        <v>3329</v>
      </c>
      <c r="C3360" t="str">
        <f>IFERROR(__xludf.DUMMYFUNCTION("GOOGLETRANSLATE(B3360, ""fr"", ""en"")"),"This watch is not beautiful too basic in presentation. For the operation we will see the use. Damage to the look too simple")</f>
        <v>This watch is not beautiful too basic in presentation. For the operation we will see the use. Damage to the look too simple</v>
      </c>
    </row>
    <row r="3361">
      <c r="A3361" s="1">
        <v>1.0</v>
      </c>
      <c r="B3361" s="1" t="s">
        <v>3330</v>
      </c>
      <c r="C3361" t="str">
        <f>IFERROR(__xludf.DUMMYFUNCTION("GOOGLETRANSLATE(B3361, ""fr"", ""en"")"),"Disappointed dirty shoes and mismanagement of transport worries Shoes assumed to be white or they are not! Rather white or dirty white, I would say. A yellowish stain on the front of one of the feet. Very disappointed ... I absolutely do not recommend at "&amp;"this price too! In addition, the parcel was lost by the carrier and I've had no seller feedback about its procedure to his carrier. Disappointed!")</f>
        <v>Disappointed dirty shoes and mismanagement of transport worries Shoes assumed to be white or they are not! Rather white or dirty white, I would say. A yellowish stain on the front of one of the feet. Very disappointed ... I absolutely do not recommend at this price too! In addition, the parcel was lost by the carrier and I've had no seller feedback about its procedure to his carrier. Disappointed!</v>
      </c>
    </row>
    <row r="3362">
      <c r="A3362" s="1">
        <v>1.0</v>
      </c>
      <c r="B3362" s="1" t="s">
        <v>3331</v>
      </c>
      <c r="C3362" t="str">
        <f>IFERROR(__xludf.DUMMYFUNCTION("GOOGLETRANSLATE(B3362, ""fr"", ""en"")"),"open product not in accordance with the announcement Hello I ordered a new product, I get an open Used. Disappointed at the lack of information and consideration of the customer. Do not recommend!")</f>
        <v>open product not in accordance with the announcement Hello I ordered a new product, I get an open Used. Disappointed at the lack of information and consideration of the customer. Do not recommend!</v>
      </c>
    </row>
    <row r="3363">
      <c r="A3363" s="1">
        <v>3.0</v>
      </c>
      <c r="B3363" s="1" t="s">
        <v>3332</v>
      </c>
      <c r="C3363" t="str">
        <f>IFERROR(__xludf.DUMMYFUNCTION("GOOGLETRANSLATE(B3363, ""fr"", ""en"")"),"One can not disappointed Paper high quality")</f>
        <v>One can not disappointed Paper high quality</v>
      </c>
    </row>
    <row r="3364">
      <c r="A3364" s="1">
        <v>3.0</v>
      </c>
      <c r="B3364" s="1" t="s">
        <v>3333</v>
      </c>
      <c r="C3364" t="str">
        <f>IFERROR(__xludf.DUMMYFUNCTION("GOOGLETRANSLATE(B3364, ""fr"", ""en"")"),"Disappointed bass sound quality enthusiast, and especially deep bass, I'm a little above this level. Very comfortable, very light, its clear and clean, but the bass is really not ""extra"" ... especially with the high volume, it disappears ... unfortunate"&amp;"ly I will certainly consider an exchange")</f>
        <v>Disappointed bass sound quality enthusiast, and especially deep bass, I'm a little above this level. Very comfortable, very light, its clear and clean, but the bass is really not "extra" ... especially with the high volume, it disappears ... unfortunately I will certainly consider an exchange</v>
      </c>
    </row>
    <row r="3365">
      <c r="A3365" s="1">
        <v>4.0</v>
      </c>
      <c r="B3365" s="1" t="s">
        <v>3334</v>
      </c>
      <c r="C3365" t="str">
        <f>IFERROR(__xludf.DUMMYFUNCTION("GOOGLETRANSLATE(B3365, ""fr"", ""en"")"),"Cute baby bottle This bottle Philips Avent is rather funny with her three cubs. It has a 260 ml capacity and is designed for babies over a month. Its wide end teat allows babies to the well mouth. An anti-colic system is integrated there. Taking bath bott"&amp;"le is easy. It is top but still a bit expensive for a bottle.")</f>
        <v>Cute baby bottle This bottle Philips Avent is rather funny with her three cubs. It has a 260 ml capacity and is designed for babies over a month. Its wide end teat allows babies to the well mouth. An anti-colic system is integrated there. Taking bath bottle is easy. It is top but still a bit expensive for a bottle.</v>
      </c>
    </row>
    <row r="3366">
      <c r="A3366" s="1">
        <v>4.0</v>
      </c>
      <c r="B3366" s="1" t="s">
        <v>3335</v>
      </c>
      <c r="C3366" t="str">
        <f>IFERROR(__xludf.DUMMYFUNCTION("GOOGLETRANSLATE(B3366, ""fr"", ""en"")"),"Highly Recommended Good value, superb watchband")</f>
        <v>Highly Recommended Good value, superb watchband</v>
      </c>
    </row>
    <row r="3367">
      <c r="A3367" s="1">
        <v>4.0</v>
      </c>
      <c r="B3367" s="1" t="s">
        <v>3336</v>
      </c>
      <c r="C3367" t="str">
        <f>IFERROR(__xludf.DUMMYFUNCTION("GOOGLETRANSLATE(B3367, ""fr"", ""en"")"),"Beautiful cheap My second skin")</f>
        <v>Beautiful cheap My second skin</v>
      </c>
    </row>
    <row r="3368">
      <c r="A3368" s="1">
        <v>4.0</v>
      </c>
      <c r="B3368" s="1" t="s">
        <v>3337</v>
      </c>
      <c r="C3368" t="str">
        <f>IFERROR(__xludf.DUMMYFUNCTION("GOOGLETRANSLATE(B3368, ""fr"", ""en"")"),"The contention in the sock and above matter. Happy with my purchase, I bought 4 pairs, not simultaneously. I did a test and pharmacy as there is very little cotton and is allergic, I bet on this one and all is well.")</f>
        <v>The contention in the sock and above matter. Happy with my purchase, I bought 4 pairs, not simultaneously. I did a test and pharmacy as there is very little cotton and is allergic, I bet on this one and all is well.</v>
      </c>
    </row>
    <row r="3369">
      <c r="A3369" s="1">
        <v>5.0</v>
      </c>
      <c r="B3369" s="1" t="s">
        <v>3338</v>
      </c>
      <c r="C3369" t="str">
        <f>IFERROR(__xludf.DUMMYFUNCTION("GOOGLETRANSLATE(B3369, ""fr"", ""en"")"),"No complaints. Perfect for any occasion")</f>
        <v>No complaints. Perfect for any occasion</v>
      </c>
    </row>
    <row r="3370">
      <c r="A3370" s="1">
        <v>5.0</v>
      </c>
      <c r="B3370" s="1" t="s">
        <v>3339</v>
      </c>
      <c r="C3370" t="str">
        <f>IFERROR(__xludf.DUMMYFUNCTION("GOOGLETRANSLATE(B3370, ""fr"", ""en"")"),"Quality Bon'e the top. Very nice t shirt, good quality even after repeated washing. Size correctly.")</f>
        <v>Quality Bon'e the top. Very nice t shirt, good quality even after repeated washing. Size correctly.</v>
      </c>
    </row>
    <row r="3371">
      <c r="A3371" s="1">
        <v>5.0</v>
      </c>
      <c r="B3371" s="1" t="s">
        <v>3340</v>
      </c>
      <c r="C3371" t="str">
        <f>IFERROR(__xludf.DUMMYFUNCTION("GOOGLETRANSLATE(B3371, ""fr"", ""en"")"),"Very well. Very cute little box, well commented, there is even a small leaflet to comment a good amount of stone.")</f>
        <v>Very well. Very cute little box, well commented, there is even a small leaflet to comment a good amount of stone.</v>
      </c>
    </row>
    <row r="3372">
      <c r="A3372" s="1">
        <v>5.0</v>
      </c>
      <c r="B3372" s="1" t="s">
        <v>3341</v>
      </c>
      <c r="C3372" t="str">
        <f>IFERROR(__xludf.DUMMYFUNCTION("GOOGLETRANSLATE(B3372, ""fr"", ""en"")"),"Very nice on top sneakers")</f>
        <v>Very nice on top sneakers</v>
      </c>
    </row>
    <row r="3373">
      <c r="A3373" s="1">
        <v>5.0</v>
      </c>
      <c r="B3373" s="1" t="s">
        <v>3342</v>
      </c>
      <c r="C3373" t="str">
        <f>IFERROR(__xludf.DUMMYFUNCTION("GOOGLETRANSLATE(B3373, ""fr"", ""en"")"),"Very good thank you")</f>
        <v>Very good thank you</v>
      </c>
    </row>
    <row r="3374">
      <c r="A3374" s="1">
        <v>5.0</v>
      </c>
      <c r="B3374" s="1" t="s">
        <v>3343</v>
      </c>
      <c r="C3374" t="str">
        <f>IFERROR(__xludf.DUMMYFUNCTION("GOOGLETRANSLATE(B3374, ""fr"", ""en"")"),"Glue A little expensive but very well")</f>
        <v>Glue A little expensive but very well</v>
      </c>
    </row>
    <row r="3375">
      <c r="A3375" s="1">
        <v>5.0</v>
      </c>
      <c r="B3375" s="1" t="s">
        <v>3344</v>
      </c>
      <c r="C3375" t="str">
        <f>IFERROR(__xludf.DUMMYFUNCTION("GOOGLETRANSLATE(B3375, ""fr"", ""en"")"),"but essential to review graduations easy to use even if the gradations of measuring container deserve to be in color. they are raised but that does not make reading easier, however. I sometimes put forth more water because it does not heat enough. nice cl"&amp;"ean design. I use both to warm that thaw. I Philips Advent bottles and storage jars of the same brand. bought with house connection only.")</f>
        <v>but essential to review graduations easy to use even if the gradations of measuring container deserve to be in color. they are raised but that does not make reading easier, however. I sometimes put forth more water because it does not heat enough. nice clean design. I use both to warm that thaw. I Philips Advent bottles and storage jars of the same brand. bought with house connection only.</v>
      </c>
    </row>
    <row r="3376">
      <c r="A3376" s="1">
        <v>5.0</v>
      </c>
      <c r="B3376" s="1" t="s">
        <v>3345</v>
      </c>
      <c r="C3376" t="str">
        <f>IFERROR(__xludf.DUMMYFUNCTION("GOOGLETRANSLATE(B3376, ""fr"", ""en"")"),"Funky Super Soft, warm, comfortable and beautiful !!!")</f>
        <v>Funky Super Soft, warm, comfortable and beautiful !!!</v>
      </c>
    </row>
    <row r="3377">
      <c r="A3377" s="1">
        <v>5.0</v>
      </c>
      <c r="B3377" s="1" t="s">
        <v>3346</v>
      </c>
      <c r="C3377" t="str">
        <f>IFERROR(__xludf.DUMMYFUNCTION("GOOGLETRANSLATE(B3377, ""fr"", ""en"")"),"well well well easy to use, nice design. The different light intensity are pleasant to get up quietly. top top galley for those who wake up")</f>
        <v>well well well easy to use, nice design. The different light intensity are pleasant to get up quietly. top top galley for those who wake up</v>
      </c>
    </row>
    <row r="3378">
      <c r="A3378" s="1">
        <v>5.0</v>
      </c>
      <c r="B3378" s="1" t="s">
        <v>3347</v>
      </c>
      <c r="C3378" t="str">
        <f>IFERROR(__xludf.DUMMYFUNCTION("GOOGLETRANSLATE(B3378, ""fr"", ""en"")"),"Very nice ! But most girl boy rendering the digital dial on black is very cool, especially with the golden box! Just be careful because the bracelet becomes narrower at the clasp, which makes quite feminine watch. I am a man with a rather large it felt we"&amp;"ird wrist.")</f>
        <v>Very nice ! But most girl boy rendering the digital dial on black is very cool, especially with the golden box! Just be careful because the bracelet becomes narrower at the clasp, which makes quite feminine watch. I am a man with a rather large it felt weird wrist.</v>
      </c>
    </row>
    <row r="3379">
      <c r="A3379" s="1">
        <v>5.0</v>
      </c>
      <c r="B3379" s="1" t="s">
        <v>3348</v>
      </c>
      <c r="C3379" t="str">
        <f>IFERROR(__xludf.DUMMYFUNCTION("GOOGLETRANSLATE(B3379, ""fr"", ""en"")"),"Very well Fairly soft fabric, this cushion heats well. The order is a real plus, as is being able to move the machine. It performs quite function. I took it for problems tendonitis and trapezoids regularly knotted.")</f>
        <v>Very well Fairly soft fabric, this cushion heats well. The order is a real plus, as is being able to move the machine. It performs quite function. I took it for problems tendonitis and trapezoids regularly knotted.</v>
      </c>
    </row>
    <row r="3380">
      <c r="A3380" s="1">
        <v>5.0</v>
      </c>
      <c r="B3380" s="1" t="s">
        <v>3349</v>
      </c>
      <c r="C3380" t="str">
        <f>IFERROR(__xludf.DUMMYFUNCTION("GOOGLETRANSLATE(B3380, ""fr"", ""en"")"),"Bag I bought this bag for my brother, it is very strong and waterproof, item arrived ahead of schedule, he uses every day and is very satisfied.")</f>
        <v>Bag I bought this bag for my brother, it is very strong and waterproof, item arrived ahead of schedule, he uses every day and is very satisfied.</v>
      </c>
    </row>
    <row r="3381">
      <c r="A3381" s="1">
        <v>5.0</v>
      </c>
      <c r="B3381" s="1" t="s">
        <v>224</v>
      </c>
      <c r="C3381" t="str">
        <f>IFERROR(__xludf.DUMMYFUNCTION("GOOGLETRANSLATE(B3381, ""fr"", ""en"")"),"perfect perfect")</f>
        <v>perfect perfect</v>
      </c>
    </row>
    <row r="3382">
      <c r="A3382" s="1">
        <v>5.0</v>
      </c>
      <c r="B3382" s="1" t="s">
        <v>3350</v>
      </c>
      <c r="C3382" t="str">
        <f>IFERROR(__xludf.DUMMYFUNCTION("GOOGLETRANSLATE(B3382, ""fr"", ""en"")"),"She shows man a lot of class Received She is very pretty in a beautiful package")</f>
        <v>She shows man a lot of class Received She is very pretty in a beautiful package</v>
      </c>
    </row>
    <row r="3383">
      <c r="A3383" s="1">
        <v>5.0</v>
      </c>
      <c r="B3383" s="1" t="s">
        <v>3351</v>
      </c>
      <c r="C3383" t="str">
        <f>IFERROR(__xludf.DUMMYFUNCTION("GOOGLETRANSLATE(B3383, ""fr"", ""en"")"),"A great product resistant I recommend it 100% tempered glass, it is solid and it is provided with its wipes. Everything was very well packed and the seller is really nice, it's a very nice person. I advise this if you want to protect your phone from bumps"&amp;". Thank you for this day and it helps me protect my potential scratches phones or shock and I am thrilled to have it, I'll buy without hesitation.")</f>
        <v>A great product resistant I recommend it 100% tempered glass, it is solid and it is provided with its wipes. Everything was very well packed and the seller is really nice, it's a very nice person. I advise this if you want to protect your phone from bumps. Thank you for this day and it helps me protect my potential scratches phones or shock and I am thrilled to have it, I'll buy without hesitation.</v>
      </c>
    </row>
    <row r="3384">
      <c r="A3384" s="1">
        <v>2.0</v>
      </c>
      <c r="B3384" s="1" t="s">
        <v>3352</v>
      </c>
      <c r="C3384" t="str">
        <f>IFERROR(__xludf.DUMMYFUNCTION("GOOGLETRANSLATE(B3384, ""fr"", ""en"")"),"men watch ? men watch ???? really small. I wanted the same watch that I had in the 80's ...... disappointed")</f>
        <v>men watch ? men watch ???? really small. I wanted the same watch that I had in the 80's ...... disappointed</v>
      </c>
    </row>
    <row r="3385">
      <c r="A3385" s="1">
        <v>1.0</v>
      </c>
      <c r="B3385" s="1" t="s">
        <v>3353</v>
      </c>
      <c r="C3385" t="str">
        <f>IFERROR(__xludf.DUMMYFUNCTION("GOOGLETRANSLATE(B3385, ""fr"", ""en"")"),"Very disappointed with my purchase! Bad experience no longer works throughout a month! Unable to load the headphones!")</f>
        <v>Very disappointed with my purchase! Bad experience no longer works throughout a month! Unable to load the headphones!</v>
      </c>
    </row>
    <row r="3386">
      <c r="A3386" s="1">
        <v>1.0</v>
      </c>
      <c r="B3386" s="1" t="s">
        <v>3354</v>
      </c>
      <c r="C3386" t="str">
        <f>IFERROR(__xludf.DUMMYFUNCTION("GOOGLETRANSLATE(B3386, ""fr"", ""en"")"),"disappointed and first wash the sweater is completely relaxed I put little I hoped q'Amazone be kind enough to offer me a voucher! I doubt my coach from small fortune I spent at Amazon since annérs but I doubt cordialemen.")</f>
        <v>disappointed and first wash the sweater is completely relaxed I put little I hoped q'Amazone be kind enough to offer me a voucher! I doubt my coach from small fortune I spent at Amazon since annérs but I doubt cordialemen.</v>
      </c>
    </row>
    <row r="3387">
      <c r="A3387" s="1">
        <v>3.0</v>
      </c>
      <c r="B3387" s="1" t="s">
        <v>3355</v>
      </c>
      <c r="C3387" t="str">
        <f>IFERROR(__xludf.DUMMYFUNCTION("GOOGLETRANSLATE(B3387, ""fr"", ""en"")"),"Top value but noisy Design nice and value for money for the moment, top, big downside to the noise it makes and plan to boil white vinegar 1 or 2 times a week because the water limestone very quickly task on this beautiful kettle, the LED is +, it damages"&amp;" only lights up when you put water on to boil")</f>
        <v>Top value but noisy Design nice and value for money for the moment, top, big downside to the noise it makes and plan to boil white vinegar 1 or 2 times a week because the water limestone very quickly task on this beautiful kettle, the LED is +, it damages only lights up when you put water on to boil</v>
      </c>
    </row>
    <row r="3388">
      <c r="A3388" s="1">
        <v>3.0</v>
      </c>
      <c r="B3388" s="1" t="s">
        <v>3356</v>
      </c>
      <c r="C3388" t="str">
        <f>IFERROR(__xludf.DUMMYFUNCTION("GOOGLETRANSLATE(B3388, ""fr"", ""en"")"),"Attention to color! the kit is good, except I have received a color package Khaki .... But I didn 't pay attention to the title of article there' was no color to indicated. But the picture gives a dark gray color, so I do have.")</f>
        <v>Attention to color! the kit is good, except I have received a color package Khaki .... But I didn 't pay attention to the title of article there' was no color to indicated. But the picture gives a dark gray color, so I do have.</v>
      </c>
    </row>
    <row r="3389">
      <c r="A3389" s="1">
        <v>4.0</v>
      </c>
      <c r="B3389" s="1" t="s">
        <v>3357</v>
      </c>
      <c r="C3389" t="str">
        <f>IFERROR(__xludf.DUMMYFUNCTION("GOOGLETRANSLATE(B3389, ""fr"", ""en"")"),"Good interior kettle Inox basic with good capacity (1.7L) kettle which is the essential: heating water to 100 ° C (no temperature selector, no matien warm). No light of all colors and which do not deactivate here. +: Interior Stainless rather quiet with j"&amp;"ust single button on / off and therefore less risk of failure - The minimum amount of water to be heated is 0.8L which is quite therefore 0.5L or less would have been preferable. The outer part still seems warm enough so we must remain cautious.")</f>
        <v>Good interior kettle Inox basic with good capacity (1.7L) kettle which is the essential: heating water to 100 ° C (no temperature selector, no matien warm). No light of all colors and which do not deactivate here. +: Interior Stainless rather quiet with just single button on / off and therefore less risk of failure - The minimum amount of water to be heated is 0.8L which is quite therefore 0.5L or less would have been preferable. The outer part still seems warm enough so we must remain cautious.</v>
      </c>
    </row>
    <row r="3390">
      <c r="A3390" s="1">
        <v>4.0</v>
      </c>
      <c r="B3390" s="1" t="s">
        <v>3358</v>
      </c>
      <c r="C3390" t="str">
        <f>IFERROR(__xludf.DUMMYFUNCTION("GOOGLETRANSLATE(B3390, ""fr"", ""en"")"),"For beautiful sport. My son loved.")</f>
        <v>For beautiful sport. My son loved.</v>
      </c>
    </row>
    <row r="3391">
      <c r="A3391" s="1">
        <v>4.0</v>
      </c>
      <c r="B3391" s="1" t="s">
        <v>3359</v>
      </c>
      <c r="C3391" t="str">
        <f>IFERROR(__xludf.DUMMYFUNCTION("GOOGLETRANSLATE(B3391, ""fr"", ""en"")"),"👍 👍")</f>
        <v>👍 👍</v>
      </c>
    </row>
    <row r="3392">
      <c r="A3392" s="1">
        <v>4.0</v>
      </c>
      <c r="B3392" s="1" t="s">
        <v>3360</v>
      </c>
      <c r="C3392" t="str">
        <f>IFERROR(__xludf.DUMMYFUNCTION("GOOGLETRANSLATE(B3392, ""fr"", ""en"")"),"Although honestly it suits for sorting or normal trash. For added strength i stuck in the garbage bag fasteners and ca holds very well. She has been very successful.")</f>
        <v>Although honestly it suits for sorting or normal trash. For added strength i stuck in the garbage bag fasteners and ca holds very well. She has been very successful.</v>
      </c>
    </row>
    <row r="3393">
      <c r="A3393" s="1">
        <v>5.0</v>
      </c>
      <c r="B3393" s="1" t="s">
        <v>3361</v>
      </c>
      <c r="C3393" t="str">
        <f>IFERROR(__xludf.DUMMYFUNCTION("GOOGLETRANSLATE(B3393, ""fr"", ""en"")"),"Sorter Sends Rapid Compliance")</f>
        <v>Sorter Sends Rapid Compliance</v>
      </c>
    </row>
    <row r="3394">
      <c r="A3394" s="1">
        <v>5.0</v>
      </c>
      <c r="B3394" s="1" t="s">
        <v>3362</v>
      </c>
      <c r="C3394" t="str">
        <f>IFERROR(__xludf.DUMMYFUNCTION("GOOGLETRANSLATE(B3394, ""fr"", ""en"")"),"Very good quality vir when I should change sapphire")</f>
        <v>Very good quality vir when I should change sapphire</v>
      </c>
    </row>
    <row r="3395">
      <c r="A3395" s="1">
        <v>5.0</v>
      </c>
      <c r="B3395" s="1" t="s">
        <v>3363</v>
      </c>
      <c r="C3395" t="str">
        <f>IFERROR(__xludf.DUMMYFUNCTION("GOOGLETRANSLATE(B3395, ""fr"", ""en"")"),"Casio ... At the top as always! Casio, no need to say more! At the top as usual")</f>
        <v>Casio ... At the top as always! Casio, no need to say more! At the top as usual</v>
      </c>
    </row>
    <row r="3396">
      <c r="A3396" s="1">
        <v>5.0</v>
      </c>
      <c r="B3396" s="1" t="s">
        <v>3364</v>
      </c>
      <c r="C3396" t="str">
        <f>IFERROR(__xludf.DUMMYFUNCTION("GOOGLETRANSLATE(B3396, ""fr"", ""en"")"),"Good product and service under shorts seamless dress or skirt")</f>
        <v>Good product and service under shorts seamless dress or skirt</v>
      </c>
    </row>
    <row r="3397">
      <c r="A3397" s="1">
        <v>5.0</v>
      </c>
      <c r="B3397" s="1" t="s">
        <v>3365</v>
      </c>
      <c r="C3397" t="str">
        <f>IFERROR(__xludf.DUMMYFUNCTION("GOOGLETRANSLATE(B3397, ""fr"", ""en"")"),"Safety shoe perfect")</f>
        <v>Safety shoe perfect</v>
      </c>
    </row>
    <row r="3398">
      <c r="A3398" s="1">
        <v>5.0</v>
      </c>
      <c r="B3398" s="1" t="s">
        <v>3366</v>
      </c>
      <c r="C3398" t="str">
        <f>IFERROR(__xludf.DUMMYFUNCTION("GOOGLETRANSLATE(B3398, ""fr"", ""en"")"),"Official super super value for money products of the brand I prefer to buy big packs because they come much cheaper because I use my sprocket especially for my newspaper bullet")</f>
        <v>Official super super value for money products of the brand I prefer to buy big packs because they come much cheaper because I use my sprocket especially for my newspaper bullet</v>
      </c>
    </row>
    <row r="3399">
      <c r="A3399" s="1">
        <v>5.0</v>
      </c>
      <c r="B3399" s="1" t="s">
        <v>3367</v>
      </c>
      <c r="C3399" t="str">
        <f>IFERROR(__xludf.DUMMYFUNCTION("GOOGLETRANSLATE(B3399, ""fr"", ""en"")"),"Peter clipper I love if I ever find can cheer. And the quality is to go I really do not expect it")</f>
        <v>Peter clipper I love if I ever find can cheer. And the quality is to go I really do not expect it</v>
      </c>
    </row>
    <row r="3400">
      <c r="A3400" s="1">
        <v>5.0</v>
      </c>
      <c r="B3400" s="1" t="s">
        <v>3368</v>
      </c>
      <c r="C3400" t="str">
        <f>IFERROR(__xludf.DUMMYFUNCTION("GOOGLETRANSLATE(B3400, ""fr"", ""en"")"),"Product very good product")</f>
        <v>Product very good product</v>
      </c>
    </row>
    <row r="3401">
      <c r="A3401" s="1">
        <v>5.0</v>
      </c>
      <c r="B3401" s="1" t="s">
        <v>3369</v>
      </c>
      <c r="C3401" t="str">
        <f>IFERROR(__xludf.DUMMYFUNCTION("GOOGLETRANSLATE(B3401, ""fr"", ""en"")"),"In offset always take a size above They are comfortable I feel them every day")</f>
        <v>In offset always take a size above They are comfortable I feel them every day</v>
      </c>
    </row>
    <row r="3402">
      <c r="A3402" s="1">
        <v>5.0</v>
      </c>
      <c r="B3402" s="1" t="s">
        <v>3370</v>
      </c>
      <c r="C3402" t="str">
        <f>IFERROR(__xludf.DUMMYFUNCTION("GOOGLETRANSLATE(B3402, ""fr"", ""en"")"),"Excellent order book was in due time, in delays of intended and in good condition. The article is excellent, perfect operation and corresponds entirely to what I expected. Thank you and bravo! Nathy")</f>
        <v>Excellent order book was in due time, in delays of intended and in good condition. The article is excellent, perfect operation and corresponds entirely to what I expected. Thank you and bravo! Nathy</v>
      </c>
    </row>
    <row r="3403">
      <c r="A3403" s="1">
        <v>5.0</v>
      </c>
      <c r="B3403" s="1" t="s">
        <v>3371</v>
      </c>
      <c r="C3403" t="str">
        <f>IFERROR(__xludf.DUMMYFUNCTION("GOOGLETRANSLATE(B3403, ""fr"", ""en"")"),"Very happy very happy headphones. I use them in transportation and for sports. It may transpire with, no problem. Small detail, several tips for ears come, I who is always problems to hold here no problem even during running. The sound is good, autonomy a"&amp;"lso (I do my workout 2h quietly). I have not tried the call pickup and mic, but you hear when you call us. Good to know, because I did not understand at first. The case, without being plugged in, recharging your headphones. So you can take them on the roa"&amp;"d and they are recharged every time you put them in the box.")</f>
        <v>Very happy very happy headphones. I use them in transportation and for sports. It may transpire with, no problem. Small detail, several tips for ears come, I who is always problems to hold here no problem even during running. The sound is good, autonomy also (I do my workout 2h quietly). I have not tried the call pickup and mic, but you hear when you call us. Good to know, because I did not understand at first. The case, without being plugged in, recharging your headphones. So you can take them on the road and they are recharged every time you put them in the box.</v>
      </c>
    </row>
    <row r="3404">
      <c r="A3404" s="1">
        <v>5.0</v>
      </c>
      <c r="B3404" s="1" t="s">
        <v>3372</v>
      </c>
      <c r="C3404" t="str">
        <f>IFERROR(__xludf.DUMMYFUNCTION("GOOGLETRANSLATE(B3404, ""fr"", ""en"")"),"Superb pair of sneakers! Size great, super comfortable, this beautiful pair of sneakers like very much! Very classy, ​​perfect shoes to wear for any occasion! I recommend")</f>
        <v>Superb pair of sneakers! Size great, super comfortable, this beautiful pair of sneakers like very much! Very classy, ​​perfect shoes to wear for any occasion! I recommend</v>
      </c>
    </row>
    <row r="3405">
      <c r="A3405" s="1">
        <v>5.0</v>
      </c>
      <c r="B3405" s="1" t="s">
        <v>3373</v>
      </c>
      <c r="C3405" t="str">
        <f>IFERROR(__xludf.DUMMYFUNCTION("GOOGLETRANSLATE(B3405, ""fr"", ""en"")"),"Black moccasins Loafers Sebago Sebago size 43 black leather soles as ordered. Very good value prix.J'apprécie timeless habillé.J'aime side and also their quick and solidité.Envoi soigné.C'est perfect !!!")</f>
        <v>Black moccasins Loafers Sebago Sebago size 43 black leather soles as ordered. Very good value prix.J'apprécie timeless habillé.J'aime side and also their quick and solidité.Envoi soigné.C'est perfect !!!</v>
      </c>
    </row>
    <row r="3406">
      <c r="A3406" s="1">
        <v>5.0</v>
      </c>
      <c r="B3406" s="1" t="s">
        <v>3374</v>
      </c>
      <c r="C3406" t="str">
        <f>IFERROR(__xludf.DUMMYFUNCTION("GOOGLETRANSLATE(B3406, ""fr"", ""en"")"),"These are perfect perfect. They are relatively flexible and I am sure they will become softer with time. Perfect fit if worn without socks or with thin socks. Buy the next size to wear with thicker socks in cold weather.")</f>
        <v>These are perfect perfect. They are relatively flexible and I am sure they will become softer with time. Perfect fit if worn without socks or with thin socks. Buy the next size to wear with thicker socks in cold weather.</v>
      </c>
    </row>
    <row r="3407">
      <c r="A3407" s="1">
        <v>5.0</v>
      </c>
      <c r="B3407" s="1" t="s">
        <v>3375</v>
      </c>
      <c r="C3407" t="str">
        <f>IFERROR(__xludf.DUMMYFUNCTION("GOOGLETRANSLATE(B3407, ""fr"", ""en"")"),"What do you expect to get them? Excellent product faithful to the photo. perfect description. very comfortable perfect size I just try them I walked with for 5 minutes in the house nothing to say !! I recommend a thousand times really offer you should not"&amp;" miss.")</f>
        <v>What do you expect to get them? Excellent product faithful to the photo. perfect description. very comfortable perfect size I just try them I walked with for 5 minutes in the house nothing to say !! I recommend a thousand times really offer you should not miss.</v>
      </c>
    </row>
    <row r="3408">
      <c r="A3408" s="1">
        <v>2.0</v>
      </c>
      <c r="B3408" s="1" t="s">
        <v>3376</v>
      </c>
      <c r="C3408" t="str">
        <f>IFERROR(__xludf.DUMMYFUNCTION("GOOGLETRANSLATE(B3408, ""fr"", ""en"")"),"does not suit me at first sight this helmet was promising: neat package, nice look correct charging station. Unfortunately, after this, the headset does not work great. after charging 24 advisable at the time of commissioning, nothing happens (despite goo"&amp;"d connections. I try again I get to have a sound but only the left side !! trying to change the channel, the same. this helmet does not suit me at all. I refer.")</f>
        <v>does not suit me at first sight this helmet was promising: neat package, nice look correct charging station. Unfortunately, after this, the headset does not work great. after charging 24 advisable at the time of commissioning, nothing happens (despite good connections. I try again I get to have a sound but only the left side !! trying to change the channel, the same. this helmet does not suit me at all. I refer.</v>
      </c>
    </row>
    <row r="3409">
      <c r="A3409" s="1">
        <v>1.0</v>
      </c>
      <c r="B3409" s="1" t="s">
        <v>3377</v>
      </c>
      <c r="C3409" t="str">
        <f>IFERROR(__xludf.DUMMYFUNCTION("GOOGLETRANSLATE(B3409, ""fr"", ""en"")"),"It is not good It is not good")</f>
        <v>It is not good It is not good</v>
      </c>
    </row>
    <row r="3410">
      <c r="A3410" s="1">
        <v>1.0</v>
      </c>
      <c r="B3410" s="1" t="s">
        <v>3378</v>
      </c>
      <c r="C3410" t="str">
        <f>IFERROR(__xludf.DUMMYFUNCTION("GOOGLETRANSLATE(B3410, ""fr"", ""en"")"),"Article nonconforming not like, not according to what is written ""Mission Gel 3 '' when he mentioned no shoes on hand the notion"" GEL """)</f>
        <v>Article nonconforming not like, not according to what is written "Mission Gel 3 '' when he mentioned no shoes on hand the notion" GEL "</v>
      </c>
    </row>
    <row r="3411">
      <c r="A3411" s="1">
        <v>3.0</v>
      </c>
      <c r="B3411" s="1" t="s">
        <v>3379</v>
      </c>
      <c r="C3411" t="str">
        <f>IFERROR(__xludf.DUMMYFUNCTION("GOOGLETRANSLATE(B3411, ""fr"", ""en"")"),"Bad Very nice but: medium coffee (not enough steam), therefore no programming end beep must be coupled with a synchronized clock ... Use programming that requires out the instructions each time (at unless you have that to remember ...), I do not recommend"&amp;"!")</f>
        <v>Bad Very nice but: medium coffee (not enough steam), therefore no programming end beep must be coupled with a synchronized clock ... Use programming that requires out the instructions each time (at unless you have that to remember ...), I do not recommend!</v>
      </c>
    </row>
    <row r="3412">
      <c r="A3412" s="1">
        <v>4.0</v>
      </c>
      <c r="B3412" s="1" t="s">
        <v>3380</v>
      </c>
      <c r="C3412" t="str">
        <f>IFERROR(__xludf.DUMMYFUNCTION("GOOGLETRANSLATE(B3412, ""fr"", ""en"")"),"Good value, with few problems against ink traces when making gray Product very well, I removed a star because when you make a print in gray pink ago that appears in print and it made small lines (can also be due to my printer), but I still prefer to put i"&amp;"t. Otherwise good value")</f>
        <v>Good value, with few problems against ink traces when making gray Product very well, I removed a star because when you make a print in gray pink ago that appears in print and it made small lines (can also be due to my printer), but I still prefer to put it. Otherwise good value</v>
      </c>
    </row>
    <row r="3413">
      <c r="A3413" s="1">
        <v>4.0</v>
      </c>
      <c r="B3413" s="1" t="s">
        <v>3381</v>
      </c>
      <c r="C3413" t="str">
        <f>IFERROR(__xludf.DUMMYFUNCTION("GOOGLETRANSLATE(B3413, ""fr"", ""en"")"),"Functional and good apparent quality Good article for one seeking a stylish shoulder bag and small size while having enough capacity to store different types of items (wallet, checkbook, notebook, etc.). Not suitable for I-pad or even a large smartphone. "&amp;"Pros: - carrying handle, it is rare to find a shoulder bag of this size, which is handy when you do not door to the shoulder. - the sober and elegant enough of this model in leather, discreet and ""young"" at a time; I chose the dark brown color that goes"&amp;" with all types of clothing. (Small) unless: - the front flap closes with a magnetic button not powerful enough for my taste, and therefore do not provide a solid of the corresponding pocket closure; prudence, I do not put that stuff dishes (eg paper, loy"&amp;"alty cards) that will not slip out of pocket if it opens accidentally. - the zipper of the small flat zippered pocket on the front of the bag is oriented vertically, hence the risk of falling of its contents when opened: in use, this bag very flat turns o"&amp;"nly suitable a credit card, but not to accommodate a small key ring that would catch without opening a large main pockets. However, this is a good product, and I recommend it despite the small design flaws.")</f>
        <v>Functional and good apparent quality Good article for one seeking a stylish shoulder bag and small size while having enough capacity to store different types of items (wallet, checkbook, notebook, etc.). Not suitable for I-pad or even a large smartphone. Pros: - carrying handle, it is rare to find a shoulder bag of this size, which is handy when you do not door to the shoulder. - the sober and elegant enough of this model in leather, discreet and "young" at a time; I chose the dark brown color that goes with all types of clothing. (Small) unless: - the front flap closes with a magnetic button not powerful enough for my taste, and therefore do not provide a solid of the corresponding pocket closure; prudence, I do not put that stuff dishes (eg paper, loyalty cards) that will not slip out of pocket if it opens accidentally. - the zipper of the small flat zippered pocket on the front of the bag is oriented vertically, hence the risk of falling of its contents when opened: in use, this bag very flat turns only suitable a credit card, but not to accommodate a small key ring that would catch without opening a large main pockets. However, this is a good product, and I recommend it despite the small design flaws.</v>
      </c>
    </row>
    <row r="3414">
      <c r="A3414" s="1">
        <v>4.0</v>
      </c>
      <c r="B3414" s="1" t="s">
        <v>3382</v>
      </c>
      <c r="C3414" t="str">
        <f>IFERROR(__xludf.DUMMYFUNCTION("GOOGLETRANSLATE(B3414, ""fr"", ""en"")"),"sneakers A little big, with a sole that will be fine. The 37 squeezed my feet and there a little space after")</f>
        <v>sneakers A little big, with a sole that will be fine. The 37 squeezed my feet and there a little space after</v>
      </c>
    </row>
    <row r="3415">
      <c r="A3415" s="1">
        <v>4.0</v>
      </c>
      <c r="B3415" s="1" t="s">
        <v>3383</v>
      </c>
      <c r="C3415" t="str">
        <f>IFERROR(__xludf.DUMMYFUNCTION("GOOGLETRANSLATE(B3415, ""fr"", ""en"")"),"Relaxation dots a little painful at first presentation of warmth and relaxation with this flower carpet. Very good product .")</f>
        <v>Relaxation dots a little painful at first presentation of warmth and relaxation with this flower carpet. Very good product .</v>
      </c>
    </row>
    <row r="3416">
      <c r="A3416" s="1">
        <v>5.0</v>
      </c>
      <c r="B3416" s="1" t="s">
        <v>3384</v>
      </c>
      <c r="C3416" t="str">
        <f>IFERROR(__xludf.DUMMYFUNCTION("GOOGLETRANSLATE(B3416, ""fr"", ""en"")"),"Good nice alarm clock, soft and functional, it already gives the time and wake up every day, and it's already a super good point. Then the fact be able to adjust the color is not a negligible product with a soft ring. Construction is respectable and the p"&amp;"rice is real consistent with the overall quality presented here. Good")</f>
        <v>Good nice alarm clock, soft and functional, it already gives the time and wake up every day, and it's already a super good point. Then the fact be able to adjust the color is not a negligible product with a soft ring. Construction is respectable and the price is real consistent with the overall quality presented here. Good</v>
      </c>
    </row>
    <row r="3417">
      <c r="A3417" s="1">
        <v>5.0</v>
      </c>
      <c r="B3417" s="1" t="s">
        <v>3385</v>
      </c>
      <c r="C3417" t="str">
        <f>IFERROR(__xludf.DUMMYFUNCTION("GOOGLETRANSLATE(B3417, ""fr"", ""en"")"),"Very chill in style fashion")</f>
        <v>Very chill in style fashion</v>
      </c>
    </row>
    <row r="3418">
      <c r="A3418" s="1">
        <v>5.0</v>
      </c>
      <c r="B3418" s="1" t="s">
        <v>3386</v>
      </c>
      <c r="C3418" t="str">
        <f>IFERROR(__xludf.DUMMYFUNCTION("GOOGLETRANSLATE(B3418, ""fr"", ""en"")"),"beautiful shows reliable and robust all-steel watch (even the case), very resistant glass, no scratches to date. it recharges well, works very well, fairly easy to adjust. Too bad the choice of language is forgotten French.")</f>
        <v>beautiful shows reliable and robust all-steel watch (even the case), very resistant glass, no scratches to date. it recharges well, works very well, fairly easy to adjust. Too bad the choice of language is forgotten French.</v>
      </c>
    </row>
    <row r="3419">
      <c r="A3419" s="1">
        <v>5.0</v>
      </c>
      <c r="B3419" s="1" t="s">
        <v>3387</v>
      </c>
      <c r="C3419" t="str">
        <f>IFERROR(__xludf.DUMMYFUNCTION("GOOGLETRANSLATE(B3419, ""fr"", ""en"")"),"Slipper for the job they are comfortable e flexible but must be ordered 2 sizes smaller Autremant they are too large.")</f>
        <v>Slipper for the job they are comfortable e flexible but must be ordered 2 sizes smaller Autremant they are too large.</v>
      </c>
    </row>
    <row r="3420">
      <c r="A3420" s="1">
        <v>5.0</v>
      </c>
      <c r="B3420" s="1" t="s">
        <v>3388</v>
      </c>
      <c r="C3420" t="str">
        <f>IFERROR(__xludf.DUMMYFUNCTION("GOOGLETRANSLATE(B3420, ""fr"", ""en"")"),"Lamp really great Finally a real desk lamp! lighting dimmable fingertip, but also with changeable color temperature (more blue, white, orange, etc.). Ideal to adapt the light to the current activity. quality / price ratio. Very well packaged. I recommend.")</f>
        <v>Lamp really great Finally a real desk lamp! lighting dimmable fingertip, but also with changeable color temperature (more blue, white, orange, etc.). Ideal to adapt the light to the current activity. quality / price ratio. Very well packaged. I recommend.</v>
      </c>
    </row>
    <row r="3421">
      <c r="A3421" s="1">
        <v>5.0</v>
      </c>
      <c r="B3421" s="1" t="s">
        <v>3389</v>
      </c>
      <c r="C3421" t="str">
        <f>IFERROR(__xludf.DUMMYFUNCTION("GOOGLETRANSLATE(B3421, ""fr"", ""en"")"),"I recommand it! I bought this bag for my boyfriend, he loves her very much! First, the black goes well with clothing, and black is somewhat messy. Second, the capacity of the bag is very large and can contain many choses.La most important thing is the qua"&amp;"lity of this bag is very good. I think this is a good gift for men.")</f>
        <v>I recommand it! I bought this bag for my boyfriend, he loves her very much! First, the black goes well with clothing, and black is somewhat messy. Second, the capacity of the bag is very large and can contain many choses.La most important thing is the quality of this bag is very good. I think this is a good gift for men.</v>
      </c>
    </row>
    <row r="3422">
      <c r="A3422" s="1">
        <v>5.0</v>
      </c>
      <c r="B3422" s="1" t="s">
        <v>3390</v>
      </c>
      <c r="C3422" t="str">
        <f>IFERROR(__xludf.DUMMYFUNCTION("GOOGLETRANSLATE(B3422, ""fr"", ""en"")"),"Although in his sneakers sneakers Super great size. Comfortable to wear. flexible material. Pretty one. great price")</f>
        <v>Although in his sneakers sneakers Super great size. Comfortable to wear. flexible material. Pretty one. great price</v>
      </c>
    </row>
    <row r="3423">
      <c r="A3423" s="1">
        <v>5.0</v>
      </c>
      <c r="B3423" s="1" t="s">
        <v>3391</v>
      </c>
      <c r="C3423" t="str">
        <f>IFERROR(__xludf.DUMMYFUNCTION("GOOGLETRANSLATE(B3423, ""fr"", ""en"")"),"Lee Cooper Workwear Lcshoe054, .. Very good product, wearable, flexible, lightweight and can be confused with a pair of traditional basketball. I doors all day at work and I continued to wear them with work to go shopping for example. I highly recommend t"&amp;"his product.")</f>
        <v>Lee Cooper Workwear Lcshoe054, .. Very good product, wearable, flexible, lightweight and can be confused with a pair of traditional basketball. I doors all day at work and I continued to wear them with work to go shopping for example. I highly recommend this product.</v>
      </c>
    </row>
    <row r="3424">
      <c r="A3424" s="1">
        <v>5.0</v>
      </c>
      <c r="B3424" s="1" t="s">
        <v>3392</v>
      </c>
      <c r="C3424" t="str">
        <f>IFERROR(__xludf.DUMMYFUNCTION("GOOGLETRANSLATE(B3424, ""fr"", ""en"")"),"A perfect little time to adapt, but sandals nice, simple, super resistant. Always in excellent condition after about three years.")</f>
        <v>A perfect little time to adapt, but sandals nice, simple, super resistant. Always in excellent condition after about three years.</v>
      </c>
    </row>
    <row r="3425">
      <c r="A3425" s="1">
        <v>5.0</v>
      </c>
      <c r="B3425" s="1" t="s">
        <v>3393</v>
      </c>
      <c r="C3425" t="str">
        <f>IFERROR(__xludf.DUMMYFUNCTION("GOOGLETRANSLATE(B3425, ""fr"", ""en"")"),"Meets demand Very good pen that we do not need to throw everything when empty just change the cartridge erase the 👍")</f>
        <v>Meets demand Very good pen that we do not need to throw everything when empty just change the cartridge erase the 👍</v>
      </c>
    </row>
    <row r="3426">
      <c r="A3426" s="1">
        <v>5.0</v>
      </c>
      <c r="B3426" s="1" t="s">
        <v>3394</v>
      </c>
      <c r="C3426" t="str">
        <f>IFERROR(__xludf.DUMMYFUNCTION("GOOGLETRANSLATE(B3426, ""fr"", ""en"")"),"very good very good safety shoes, comfortable for me who have wide feet I have absolutely no harm even the first day .I would even say they are much better than that provided by my employer that .J'espère this brand last a long time so I could find the sa"&amp;"me in a year :)")</f>
        <v>very good very good safety shoes, comfortable for me who have wide feet I have absolutely no harm even the first day .I would even say they are much better than that provided by my employer that .J'espère this brand last a long time so I could find the same in a year :)</v>
      </c>
    </row>
    <row r="3427">
      <c r="A3427" s="1">
        <v>5.0</v>
      </c>
      <c r="B3427" s="1" t="s">
        <v>3395</v>
      </c>
      <c r="C3427" t="str">
        <f>IFERROR(__xludf.DUMMYFUNCTION("GOOGLETRANSLATE(B3427, ""fr"", ""en"")"),"Good content retention seen my sports business. I am glad")</f>
        <v>Good content retention seen my sports business. I am glad</v>
      </c>
    </row>
    <row r="3428">
      <c r="A3428" s="1">
        <v>5.0</v>
      </c>
      <c r="B3428" s="1" t="s">
        <v>3396</v>
      </c>
      <c r="C3428" t="str">
        <f>IFERROR(__xludf.DUMMYFUNCTION("GOOGLETRANSLATE(B3428, ""fr"", ""en"")"),"very satisfied Weleda is a brand which its reputation is more to do! Product of great quality and very effective if used properly as shown in the instructions! Not a single stretch mark has pointed the tip of his nose")</f>
        <v>very satisfied Weleda is a brand which its reputation is more to do! Product of great quality and very effective if used properly as shown in the instructions! Not a single stretch mark has pointed the tip of his nose</v>
      </c>
    </row>
    <row r="3429">
      <c r="A3429" s="1">
        <v>5.0</v>
      </c>
      <c r="B3429" s="1" t="s">
        <v>3397</v>
      </c>
      <c r="C3429" t="str">
        <f>IFERROR(__xludf.DUMMYFUNCTION("GOOGLETRANSLATE(B3429, ""fr"", ""en"")"),"Sweat Very nice sweater. Withstands washing machine (30 °). plastic")</f>
        <v>Sweat Very nice sweater. Withstands washing machine (30 °). plastic</v>
      </c>
    </row>
    <row r="3430">
      <c r="A3430" s="1">
        <v>5.0</v>
      </c>
      <c r="B3430" s="1" t="s">
        <v>3398</v>
      </c>
      <c r="C3430" t="str">
        <f>IFERROR(__xludf.DUMMYFUNCTION("GOOGLETRANSLATE(B3430, ""fr"", ""en"")"),"Very good headphones I can not compare to high ranges headphones because I've never had possession, but everyone I have had for about the same price (usually 20 €) they are the best. I was pleasantly surprised, I did not expect this quality. I want to cla"&amp;"rify that I use these headphones for listening to music while going to high school, and not at all for game sessions. The pros: - very elegant style while remaining gamer - comply with pictures - long cable - look solid as in the cable as headphones - sma"&amp;"ll magnet on the back of each headphones, which are joined back to back as soon as we let them hang, allowing not to tangle - a microphone with a control button (hang up, pause, move to the next music) and a controller of its very convenient because if go"&amp;"es up down, it can lower the sound without cutting it entirely to hear someone from the outside without having to hang on / off music or remove his headphones - 3 pairs of memory bits comfortable form (green 2 pairs and 1 black pair) - I've already droppe"&amp;"d 2 times without finding impacts - good well-balanced - the small pouch to carry the headphones - the adapter to turn on pc - - when I'm in the bus and there is some noise, people Ave. c which I hear phone as loud my voice as passengers on the other end "&amp;"of the bus, which can be annoying for calls - the connection jack is right (I-L and not like some) so I can not place the phone on the side where the headphones are plugged in if I do not want to damage them - I would have liked a cable shortener be provi"&amp;"ded with as it is a bit long for outdoor use (a small plastic thing that clings to the headphones and on which the cable is wound) - the microphone has a style little cheap, without being, that visually contrast the rest Conclusion: the defects of these h"&amp;"eadphones are mostly personal, which nothing can equal in product quality. This is a very good value for money. The sound is very good, they are comfortable, solid, elegant and cheap. The best I could find so far. And my God, great customer service, and w"&amp;"hat they are funny! (You'll understand when you receive the confirmation email for sending your order) PS: They work very well for the moment, they deteriorate and I find the slightest fault, I would come here and add I would write after how long they hav"&amp;"e occurred. I wrote this review after a week of daily use. UPDATE 02/01/2018: This is it earphones were released today! I have always taken more care, and this morning I noticed that the two headphones not working. It had ~ 2 weeks that they were beginnin"&amp;"g to have a bad contact (put on pause or changed my music alone when I fiddling a bit). Visually, they are very well kept. Magnets have started to slightly remove the paint on the back headphones but it does not show and remains aesthetic. Meanwhile, gree"&amp;"n caps got dirty too quickly crumbled and so I put the black, then I lost a black 2 and size bothered me so I put those silicones (nothing to do, it's much less insulation, but ...). I added photos of their current state after 119 days of daily use. I am "&amp;"glad I tried, I now wonder if I take the same but with the braided wire or if I try another brand ...")</f>
        <v>Very good headphones I can not compare to high ranges headphones because I've never had possession, but everyone I have had for about the same price (usually 20 €) they are the best. I was pleasantly surprised, I did not expect this quality. I want to clarify that I use these headphones for listening to music while going to high school, and not at all for game sessions. The pros: - very elegant style while remaining gamer - comply with pictures - long cable - look solid as in the cable as headphones - small magnet on the back of each headphones, which are joined back to back as soon as we let them hang, allowing not to tangle - a microphone with a control button (hang up, pause, move to the next music) and a controller of its very convenient because if goes up down, it can lower the sound without cutting it entirely to hear someone from the outside without having to hang on / off music or remove his headphones - 3 pairs of memory bits comfortable form (green 2 pairs and 1 black pair) - I've already dropped 2 times without finding impacts - good well-balanced - the small pouch to carry the headphones - the adapter to turn on pc - - when I'm in the bus and there is some noise, people Ave. c which I hear phone as loud my voice as passengers on the other end of the bus, which can be annoying for calls - the connection jack is right (I-L and not like some) so I can not place the phone on the side where the headphones are plugged in if I do not want to damage them - I would have liked a cable shortener be provided with as it is a bit long for outdoor use (a small plastic thing that clings to the headphones and on which the cable is wound) - the microphone has a style little cheap, without being, that visually contrast the rest Conclusion: the defects of these headphones are mostly personal, which nothing can equal in product quality. This is a very good value for money. The sound is very good, they are comfortable, solid, elegant and cheap. The best I could find so far. And my God, great customer service, and what they are funny! (You'll understand when you receive the confirmation email for sending your order) PS: They work very well for the moment, they deteriorate and I find the slightest fault, I would come here and add I would write after how long they have occurred. I wrote this review after a week of daily use. UPDATE 02/01/2018: This is it earphones were released today! I have always taken more care, and this morning I noticed that the two headphones not working. It had ~ 2 weeks that they were beginning to have a bad contact (put on pause or changed my music alone when I fiddling a bit). Visually, they are very well kept. Magnets have started to slightly remove the paint on the back headphones but it does not show and remains aesthetic. Meanwhile, green caps got dirty too quickly crumbled and so I put the black, then I lost a black 2 and size bothered me so I put those silicones (nothing to do, it's much less insulation, but ...). I added photos of their current state after 119 days of daily use. I am glad I tried, I now wonder if I take the same but with the braided wire or if I try another brand ...</v>
      </c>
    </row>
    <row r="3431">
      <c r="A3431" s="1">
        <v>2.0</v>
      </c>
      <c r="B3431" s="1" t="s">
        <v>3399</v>
      </c>
      <c r="C3431" t="str">
        <f>IFERROR(__xludf.DUMMYFUNCTION("GOOGLETRANSLATE(B3431, ""fr"", ""en"")"),"Seams that ... décousent pants conforms both to cut the fabric but seams come apart slowly!")</f>
        <v>Seams that ... décousent pants conforms both to cut the fabric but seams come apart slowly!</v>
      </c>
    </row>
    <row r="3432">
      <c r="A3432" s="1">
        <v>1.0</v>
      </c>
      <c r="B3432" s="1" t="s">
        <v>3400</v>
      </c>
      <c r="C3432" t="str">
        <f>IFERROR(__xludf.DUMMYFUNCTION("GOOGLETRANSLATE(B3432, ""fr"", ""en"")"),"Defective poor sole product comes off")</f>
        <v>Defective poor sole product comes off</v>
      </c>
    </row>
    <row r="3433">
      <c r="A3433" s="1">
        <v>3.0</v>
      </c>
      <c r="B3433" s="1" t="s">
        <v>3401</v>
      </c>
      <c r="C3433" t="str">
        <f>IFERROR(__xludf.DUMMYFUNCTION("GOOGLETRANSLATE(B3433, ""fr"", ""en"")"),"folding table Seeing the video and picture, I feel it is more solid than that, and more manageable I can use Mount Asus professional because it too heavy and the support plate has a solid side, my bar to prevent my USB multi taken, so I make another use, "&amp;"ask my scanner pro, lighter, smaller that I can put different cords")</f>
        <v>folding table Seeing the video and picture, I feel it is more solid than that, and more manageable I can use Mount Asus professional because it too heavy and the support plate has a solid side, my bar to prevent my USB multi taken, so I make another use, ask my scanner pro, lighter, smaller that I can put different cords</v>
      </c>
    </row>
    <row r="3434">
      <c r="A3434" s="1">
        <v>3.0</v>
      </c>
      <c r="B3434" s="1" t="s">
        <v>3402</v>
      </c>
      <c r="C3434" t="str">
        <f>IFERROR(__xludf.DUMMYFUNCTION("GOOGLETRANSLATE(B3434, ""fr"", ""en"")"),"Product convenient BUT Warning resists little time, do not rely on this product for your second child. We had a problem with the first 2 years after the second after two months happily great service Amazon replacement or immediate repayment as warranty! H"&amp;"owever useful, perfect water temperature for the bib, and nice to take the upper part of the product.")</f>
        <v>Product convenient BUT Warning resists little time, do not rely on this product for your second child. We had a problem with the first 2 years after the second after two months happily great service Amazon replacement or immediate repayment as warranty! However useful, perfect water temperature for the bib, and nice to take the upper part of the product.</v>
      </c>
    </row>
    <row r="3435">
      <c r="A3435" s="1">
        <v>4.0</v>
      </c>
      <c r="B3435" s="1" t="s">
        <v>3403</v>
      </c>
      <c r="C3435" t="str">
        <f>IFERROR(__xludf.DUMMYFUNCTION("GOOGLETRANSLATE(B3435, ""fr"", ""en"")"),"Very reliable Very reliable although poile overpriced despite its amount is presented in roll of double-sided sticky labels. This allows the product as indicated for use as an adhesive in more reliable and made with a cleaner.")</f>
        <v>Very reliable Very reliable although poile overpriced despite its amount is presented in roll of double-sided sticky labels. This allows the product as indicated for use as an adhesive in more reliable and made with a cleaner.</v>
      </c>
    </row>
    <row r="3436">
      <c r="A3436" s="1">
        <v>4.0</v>
      </c>
      <c r="B3436" s="1" t="s">
        <v>3404</v>
      </c>
      <c r="C3436" t="str">
        <f>IFERROR(__xludf.DUMMYFUNCTION("GOOGLETRANSLATE(B3436, ""fr"", ""en"")"),"Easy to use, beautiful design controlled lamp for a child primary. Easy of use for switching on / off. variable light intensity, useful. suitable rotation. Length of wire to the wall outlet ok. Welcome USB port. I recommend.")</f>
        <v>Easy to use, beautiful design controlled lamp for a child primary. Easy of use for switching on / off. variable light intensity, useful. suitable rotation. Length of wire to the wall outlet ok. Welcome USB port. I recommend.</v>
      </c>
    </row>
    <row r="3437">
      <c r="A3437" s="1">
        <v>4.0</v>
      </c>
      <c r="B3437" s="1" t="s">
        <v>3405</v>
      </c>
      <c r="C3437" t="str">
        <f>IFERROR(__xludf.DUMMYFUNCTION("GOOGLETRANSLATE(B3437, ""fr"", ""en"")"),"Okay but pilling. Hot as expected. Anti slip as expected. Feeling of walking barefoot almost intact! But pill to death, and quickly. Overall a good product. Provide a size below.")</f>
        <v>Okay but pilling. Hot as expected. Anti slip as expected. Feeling of walking barefoot almost intact! But pill to death, and quickly. Overall a good product. Provide a size below.</v>
      </c>
    </row>
    <row r="3438">
      <c r="A3438" s="1">
        <v>4.0</v>
      </c>
      <c r="B3438" s="1" t="s">
        <v>3406</v>
      </c>
      <c r="C3438" t="str">
        <f>IFERROR(__xludf.DUMMYFUNCTION("GOOGLETRANSLATE(B3438, ""fr"", ""en"")"),"Very chic presentation but I see a friend who is really a fan of infinite form of jewelry since it followed a certain series on television and so I decided to give him this one for christmas celebrations. I received my order quickly and in excellent condi"&amp;"tions and it is the convenience that you as a member amazon bonus, in terms of packaging I think I've done very well to open the box check what is found in it because I very sincerely say little the bottom lies, the schoolboy came in a proper case but ins"&amp;"ide it is presented in a plastic bag and that's really not a guarantee of quality, in short then I took it out of the bag and the schoolboy was full node in the chain, I had to put at least 5 to 0 minutes undo everything to put it right on the little box "&amp;"to give the jewelery side chic. Otherwise the jewelry itself is tr? S pretty and the chain is very thin and discreet, you have several place or tie which allows you to choose the length. So I think this is not bad but really nothing more, sorry.")</f>
        <v>Very chic presentation but I see a friend who is really a fan of infinite form of jewelry since it followed a certain series on television and so I decided to give him this one for christmas celebrations. I received my order quickly and in excellent conditions and it is the convenience that you as a member amazon bonus, in terms of packaging I think I've done very well to open the box check what is found in it because I very sincerely say little the bottom lies, the schoolboy came in a proper case but inside it is presented in a plastic bag and that's really not a guarantee of quality, in short then I took it out of the bag and the schoolboy was full node in the chain, I had to put at least 5 to 0 minutes undo everything to put it right on the little box to give the jewelery side chic. Otherwise the jewelry itself is tr? S pretty and the chain is very thin and discreet, you have several place or tie which allows you to choose the length. So I think this is not bad but really nothing more, sorry.</v>
      </c>
    </row>
    <row r="3439">
      <c r="A3439" s="1">
        <v>5.0</v>
      </c>
      <c r="B3439" s="1" t="s">
        <v>3407</v>
      </c>
      <c r="C3439" t="str">
        <f>IFERROR(__xludf.DUMMYFUNCTION("GOOGLETRANSLATE(B3439, ""fr"", ""en"")"),"I love his work very well")</f>
        <v>I love his work very well</v>
      </c>
    </row>
    <row r="3440">
      <c r="A3440" s="1">
        <v>5.0</v>
      </c>
      <c r="B3440" s="1" t="s">
        <v>3408</v>
      </c>
      <c r="C3440" t="str">
        <f>IFERROR(__xludf.DUMMYFUNCTION("GOOGLETRANSLATE(B3440, ""fr"", ""en"")"),"Hosaire Earrings oreile Women High twist houpe Beautiful! They are bright and light. I love how the earrings juxtaposed move back and forth.")</f>
        <v>Hosaire Earrings oreile Women High twist houpe Beautiful! They are bright and light. I love how the earrings juxtaposed move back and forth.</v>
      </c>
    </row>
    <row r="3441">
      <c r="A3441" s="1">
        <v>5.0</v>
      </c>
      <c r="B3441" s="1" t="s">
        <v>3409</v>
      </c>
      <c r="C3441" t="str">
        <f>IFERROR(__xludf.DUMMYFUNCTION("GOOGLETRANSLATE(B3441, ""fr"", ""en"")"),"Well, no mosquito. very effective night window slightly open or closed mosquito.")</f>
        <v>Well, no mosquito. very effective night window slightly open or closed mosquito.</v>
      </c>
    </row>
    <row r="3442">
      <c r="A3442" s="1">
        <v>5.0</v>
      </c>
      <c r="B3442" s="1" t="s">
        <v>3410</v>
      </c>
      <c r="C3442" t="str">
        <f>IFERROR(__xludf.DUMMYFUNCTION("GOOGLETRANSLATE(B3442, ""fr"", ""en"")"),"Meets Very nice")</f>
        <v>Meets Very nice</v>
      </c>
    </row>
    <row r="3443">
      <c r="A3443" s="1">
        <v>5.0</v>
      </c>
      <c r="B3443" s="1" t="s">
        <v>3411</v>
      </c>
      <c r="C3443" t="str">
        <f>IFERROR(__xludf.DUMMYFUNCTION("GOOGLETRANSLATE(B3443, ""fr"", ""en"")"),"Magical! A must-have. Absolutely DELIGHTED of this product that I just discovered. This is an absolute must-have in household products for the home! I'm pretty shocked its effectiveness, my laundry came out very white while he was graying long ago, missin"&amp;"g tasks so that all products had passed without success there, and it looks like it boosts efficiency laundry because my machine has an absolutely divine smell of fresh clean. I can not find the words so I'm happy.")</f>
        <v>Magical! A must-have. Absolutely DELIGHTED of this product that I just discovered. This is an absolute must-have in household products for the home! I'm pretty shocked its effectiveness, my laundry came out very white while he was graying long ago, missing tasks so that all products had passed without success there, and it looks like it boosts efficiency laundry because my machine has an absolutely divine smell of fresh clean. I can not find the words so I'm happy.</v>
      </c>
    </row>
    <row r="3444">
      <c r="A3444" s="1">
        <v>5.0</v>
      </c>
      <c r="B3444" s="1" t="s">
        <v>3412</v>
      </c>
      <c r="C3444" t="str">
        <f>IFERROR(__xludf.DUMMYFUNCTION("GOOGLETRANSLATE(B3444, ""fr"", ""en"")"),"Very beautiful necklace I am very satisfied with my purchase of this product corresponds exactly to the description and has a very nice effect worn around the neck")</f>
        <v>Very beautiful necklace I am very satisfied with my purchase of this product corresponds exactly to the description and has a very nice effect worn around the neck</v>
      </c>
    </row>
    <row r="3445">
      <c r="A3445" s="1">
        <v>5.0</v>
      </c>
      <c r="B3445" s="1" t="s">
        <v>3413</v>
      </c>
      <c r="C3445" t="str">
        <f>IFERROR(__xludf.DUMMYFUNCTION("GOOGLETRANSLATE(B3445, ""fr"", ""en"")"),"It must support Comme.il bien.je'm a 90D size .it well. I used to make rope guy jumps to jump.")</f>
        <v>It must support Comme.il bien.je'm a 90D size .it well. I used to make rope guy jumps to jump.</v>
      </c>
    </row>
    <row r="3446">
      <c r="A3446" s="1">
        <v>5.0</v>
      </c>
      <c r="B3446" s="1" t="s">
        <v>3414</v>
      </c>
      <c r="C3446" t="str">
        <f>IFERROR(__xludf.DUMMYFUNCTION("GOOGLETRANSLATE(B3446, ""fr"", ""en"")"),"good product Request vigilance so as not to heat the linseed. Slight bit disturbing smell - but is perfect to relax my neck")</f>
        <v>good product Request vigilance so as not to heat the linseed. Slight bit disturbing smell - but is perfect to relax my neck</v>
      </c>
    </row>
    <row r="3447">
      <c r="A3447" s="1">
        <v>5.0</v>
      </c>
      <c r="B3447" s="1" t="s">
        <v>3415</v>
      </c>
      <c r="C3447" t="str">
        <f>IFERROR(__xludf.DUMMYFUNCTION("GOOGLETRANSLATE(B3447, ""fr"", ""en"")"),"Very well ! Effective VGA cable of the classic, which does a very good job!")</f>
        <v>Very well ! Effective VGA cable of the classic, which does a very good job!</v>
      </c>
    </row>
    <row r="3448">
      <c r="A3448" s="1">
        <v>5.0</v>
      </c>
      <c r="B3448" s="1" t="s">
        <v>3416</v>
      </c>
      <c r="C3448" t="str">
        <f>IFERROR(__xludf.DUMMYFUNCTION("GOOGLETRANSLATE(B3448, ""fr"", ""en"")"),"Very good product The product is very much the cable is thick and it is not expensive at all ... I even ordered 2 times!")</f>
        <v>Very good product The product is very much the cable is thick and it is not expensive at all ... I even ordered 2 times!</v>
      </c>
    </row>
    <row r="3449">
      <c r="A3449" s="1">
        <v>5.0</v>
      </c>
      <c r="B3449" s="1" t="s">
        <v>3417</v>
      </c>
      <c r="C3449" t="str">
        <f>IFERROR(__xludf.DUMMYFUNCTION("GOOGLETRANSLATE(B3449, ""fr"", ""en"")"),"Diffuser Diffuser very attractive, quiet and very efficient. A highly recommend.")</f>
        <v>Diffuser Diffuser very attractive, quiet and very efficient. A highly recommend.</v>
      </c>
    </row>
    <row r="3450">
      <c r="A3450" s="1">
        <v>5.0</v>
      </c>
      <c r="B3450" s="1" t="s">
        <v>3418</v>
      </c>
      <c r="C3450" t="str">
        <f>IFERROR(__xludf.DUMMYFUNCTION("GOOGLETRANSLATE(B3450, ""fr"", ""en"")"),"great bag Beautiful color, sturdy bag appreciated by the person to whom I offered; it is great, and very operational !!!")</f>
        <v>great bag Beautiful color, sturdy bag appreciated by the person to whom I offered; it is great, and very operational !!!</v>
      </c>
    </row>
    <row r="3451">
      <c r="A3451" s="1">
        <v>5.0</v>
      </c>
      <c r="B3451" s="1" t="s">
        <v>3419</v>
      </c>
      <c r="C3451" t="str">
        <f>IFERROR(__xludf.DUMMYFUNCTION("GOOGLETRANSLATE(B3451, ""fr"", ""en"")"),"Ravi True to expectations! Would recommend although a little cumbersome but it is a nice G-Shock!")</f>
        <v>Ravi True to expectations! Would recommend although a little cumbersome but it is a nice G-Shock!</v>
      </c>
    </row>
    <row r="3452">
      <c r="A3452" s="1">
        <v>5.0</v>
      </c>
      <c r="B3452" s="1" t="s">
        <v>3420</v>
      </c>
      <c r="C3452" t="str">
        <f>IFERROR(__xludf.DUMMYFUNCTION("GOOGLETRANSLATE(B3452, ""fr"", ""en"")"),"dangling earrings Pretty earrings very stylish. A perfect for. Used for family celebrations. Of the nicest effect.")</f>
        <v>dangling earrings Pretty earrings very stylish. A perfect for. Used for family celebrations. Of the nicest effect.</v>
      </c>
    </row>
    <row r="3453">
      <c r="A3453" s="1">
        <v>5.0</v>
      </c>
      <c r="B3453" s="1" t="s">
        <v>3421</v>
      </c>
      <c r="C3453" t="str">
        <f>IFERROR(__xludf.DUMMYFUNCTION("GOOGLETRANSLATE(B3453, ""fr"", ""en"")"),"More beautiful in real than the picture quality Beautiful fine achievement and class. They make it even better than the picture. System attaches practice and discreet")</f>
        <v>More beautiful in real than the picture quality Beautiful fine achievement and class. They make it even better than the picture. System attaches practice and discreet</v>
      </c>
    </row>
    <row r="3454">
      <c r="A3454" s="1">
        <v>5.0</v>
      </c>
      <c r="B3454" s="1" t="s">
        <v>3422</v>
      </c>
      <c r="C3454" t="str">
        <f>IFERROR(__xludf.DUMMYFUNCTION("GOOGLETRANSLATE(B3454, ""fr"", ""en"")"),"Leggings leggings nice pleasant and comfortable during sports (Zumba) in addition to being quite original")</f>
        <v>Leggings leggings nice pleasant and comfortable during sports (Zumba) in addition to being quite original</v>
      </c>
    </row>
    <row r="3455">
      <c r="A3455" s="1">
        <v>2.0</v>
      </c>
      <c r="B3455" s="1" t="s">
        <v>3423</v>
      </c>
      <c r="C3455" t="str">
        <f>IFERROR(__xludf.DUMMYFUNCTION("GOOGLETRANSLATE(B3455, ""fr"", ""en"")"),"the quality is not there you !!!!!!!!! fleet heel when walking because inside the heel of the shoe is equivalent nylon or matter as is expected of leather !!!!!!!")</f>
        <v>the quality is not there you !!!!!!!!! fleet heel when walking because inside the heel of the shoe is equivalent nylon or matter as is expected of leather !!!!!!!</v>
      </c>
    </row>
    <row r="3456">
      <c r="A3456" s="1">
        <v>1.0</v>
      </c>
      <c r="B3456" s="1" t="s">
        <v>3424</v>
      </c>
      <c r="C3456" t="str">
        <f>IFERROR(__xludf.DUMMYFUNCTION("GOOGLETRANSLATE(B3456, ""fr"", ""en"")"),"Painting and plasterboard torn new this summer painting. One clings to a light string Christmas ripped painting up in the middle of the living room wall. I'm disapointed.")</f>
        <v>Painting and plasterboard torn new this summer painting. One clings to a light string Christmas ripped painting up in the middle of the living room wall. I'm disapointed.</v>
      </c>
    </row>
    <row r="3457">
      <c r="A3457" s="1">
        <v>1.0</v>
      </c>
      <c r="B3457" s="1" t="s">
        <v>3425</v>
      </c>
      <c r="C3457" t="str">
        <f>IFERROR(__xludf.DUMMYFUNCTION("GOOGLETRANSLATE(B3457, ""fr"", ""en"")"),"NO !!!! the broken headphones in the more poop ears in this really is a scam! say I spent 23 euros in a scam I'm really disappointed increasingly wanting to listen to music the part that is put in the phone is broken I highly recommend this product!")</f>
        <v>NO !!!! the broken headphones in the more poop ears in this really is a scam! say I spent 23 euros in a scam I'm really disappointed increasingly wanting to listen to music the part that is put in the phone is broken I highly recommend this product!</v>
      </c>
    </row>
    <row r="3458">
      <c r="A3458" s="1">
        <v>3.0</v>
      </c>
      <c r="B3458" s="1" t="s">
        <v>3426</v>
      </c>
      <c r="C3458" t="str">
        <f>IFERROR(__xludf.DUMMYFUNCTION("GOOGLETRANSLATE(B3458, ""fr"", ""en"")"),"Although Big enough, good quality, but not really black like the picture. anthracite")</f>
        <v>Although Big enough, good quality, but not really black like the picture. anthracite</v>
      </c>
    </row>
    <row r="3459">
      <c r="A3459" s="1">
        <v>4.0</v>
      </c>
      <c r="B3459" s="1" t="s">
        <v>3427</v>
      </c>
      <c r="C3459" t="str">
        <f>IFERROR(__xludf.DUMMYFUNCTION("GOOGLETRANSLATE(B3459, ""fr"", ""en"")"),"I recommend Very nice work well. A bit noisy but it's still reasonable")</f>
        <v>I recommend Very nice work well. A bit noisy but it's still reasonable</v>
      </c>
    </row>
    <row r="3460">
      <c r="A3460" s="1">
        <v>4.0</v>
      </c>
      <c r="B3460" s="1" t="s">
        <v>3428</v>
      </c>
      <c r="C3460" t="str">
        <f>IFERROR(__xludf.DUMMYFUNCTION("GOOGLETRANSLATE(B3460, ""fr"", ""en"")"),"Product evaluation Hello .. Article book August 28, 2018 before the deadline ..well .. it was a gift for my amie..donc him its okay and very happy .. Thanks in advance")</f>
        <v>Product evaluation Hello .. Article book August 28, 2018 before the deadline ..well .. it was a gift for my amie..donc him its okay and very happy .. Thanks in advance</v>
      </c>
    </row>
    <row r="3461">
      <c r="A3461" s="1">
        <v>4.0</v>
      </c>
      <c r="B3461" s="1" t="s">
        <v>3429</v>
      </c>
      <c r="C3461" t="str">
        <f>IFERROR(__xludf.DUMMYFUNCTION("GOOGLETRANSLATE(B3461, ""fr"", ""en"")"),"Although the product is really good, it smells good, it's nice on the skin. The only negative (that is purely subjective) is that there is not enough ball compared to care in itself.")</f>
        <v>Although the product is really good, it smells good, it's nice on the skin. The only negative (that is purely subjective) is that there is not enough ball compared to care in itself.</v>
      </c>
    </row>
    <row r="3462">
      <c r="A3462" s="1">
        <v>4.0</v>
      </c>
      <c r="B3462" s="1" t="s">
        <v>3430</v>
      </c>
      <c r="C3462" t="str">
        <f>IFERROR(__xludf.DUMMYFUNCTION("GOOGLETRANSLATE(B3462, ""fr"", ""en"")"),"I like it Not bad")</f>
        <v>I like it Not bad</v>
      </c>
    </row>
    <row r="3463">
      <c r="A3463" s="1">
        <v>5.0</v>
      </c>
      <c r="B3463" s="1" t="s">
        <v>3431</v>
      </c>
      <c r="C3463" t="str">
        <f>IFERROR(__xludf.DUMMYFUNCTION("GOOGLETRANSLATE(B3463, ""fr"", ""en"")"),"Although Nickel")</f>
        <v>Although Nickel</v>
      </c>
    </row>
    <row r="3464">
      <c r="A3464" s="1">
        <v>5.0</v>
      </c>
      <c r="B3464" s="1" t="s">
        <v>3432</v>
      </c>
      <c r="C3464" t="str">
        <f>IFERROR(__xludf.DUMMYFUNCTION("GOOGLETRANSLATE(B3464, ""fr"", ""en"")"),"THE birth kit! A perfect birth kit, with both glass bottles (this is what is the least toxic), spare pacifiers and pacifier pacifier to put in the maternity suitcase. The teats are well suited to baby, the kit is scalable, perfect for the first month!")</f>
        <v>THE birth kit! A perfect birth kit, with both glass bottles (this is what is the least toxic), spare pacifiers and pacifier pacifier to put in the maternity suitcase. The teats are well suited to baby, the kit is scalable, perfect for the first month!</v>
      </c>
    </row>
    <row r="3465">
      <c r="A3465" s="1">
        <v>5.0</v>
      </c>
      <c r="B3465" s="1" t="s">
        <v>3433</v>
      </c>
      <c r="C3465" t="str">
        <f>IFERROR(__xludf.DUMMYFUNCTION("GOOGLETRANSLATE(B3465, ""fr"", ""en"")"),"Very awesome not bulky practice")</f>
        <v>Very awesome not bulky practice</v>
      </c>
    </row>
    <row r="3466">
      <c r="A3466" s="1">
        <v>5.0</v>
      </c>
      <c r="B3466" s="1" t="s">
        <v>3434</v>
      </c>
      <c r="C3466" t="str">
        <f>IFERROR(__xludf.DUMMYFUNCTION("GOOGLETRANSLATE(B3466, ""fr"", ""en"")"),"very nice, nice I took the XXL size and it will me through the elastic, doing 50/52 the shape and material are comfortable to wear perfect, thank you!")</f>
        <v>very nice, nice I took the XXL size and it will me through the elastic, doing 50/52 the shape and material are comfortable to wear perfect, thank you!</v>
      </c>
    </row>
    <row r="3467">
      <c r="A3467" s="1">
        <v>5.0</v>
      </c>
      <c r="B3467" s="1" t="s">
        <v>3435</v>
      </c>
      <c r="C3467" t="str">
        <f>IFERROR(__xludf.DUMMYFUNCTION("GOOGLETRANSLATE(B3467, ""fr"", ""en"")"),"I love fan of candles: candles candles I put in a lantern and candle heats flat in a candle! (Safety) I light one before falling asleep in a candle, it helps me to join the arms of Morpheus. The LED will never be able to mimic the heat of the flame. And s"&amp;"o these candles there are great !!!!")</f>
        <v>I love fan of candles: candles candles I put in a lantern and candle heats flat in a candle! (Safety) I light one before falling asleep in a candle, it helps me to join the arms of Morpheus. The LED will never be able to mimic the heat of the flame. And so these candles there are great !!!!</v>
      </c>
    </row>
    <row r="3468">
      <c r="A3468" s="1">
        <v>5.0</v>
      </c>
      <c r="B3468" s="1" t="s">
        <v>3436</v>
      </c>
      <c r="C3468" t="str">
        <f>IFERROR(__xludf.DUMMYFUNCTION("GOOGLETRANSLATE(B3468, ""fr"", ""en"")"),"Perfect Not much noise, easy to use, really surprised at the quality of this product I repeat a second later because it is great !!")</f>
        <v>Perfect Not much noise, easy to use, really surprised at the quality of this product I repeat a second later because it is great !!</v>
      </c>
    </row>
    <row r="3469">
      <c r="A3469" s="1">
        <v>5.0</v>
      </c>
      <c r="B3469" s="1" t="s">
        <v>3437</v>
      </c>
      <c r="C3469" t="str">
        <f>IFERROR(__xludf.DUMMYFUNCTION("GOOGLETRANSLATE(B3469, ""fr"", ""en"")"),"a multi-purpose product very effective. I especially love this product because it helps clean up and it is very simple to use. I use it especially in the kitchen and is perfect.")</f>
        <v>a multi-purpose product very effective. I especially love this product because it helps clean up and it is very simple to use. I use it especially in the kitchen and is perfect.</v>
      </c>
    </row>
    <row r="3470">
      <c r="A3470" s="1">
        <v>5.0</v>
      </c>
      <c r="B3470" s="1" t="s">
        <v>3438</v>
      </c>
      <c r="C3470" t="str">
        <f>IFERROR(__xludf.DUMMYFUNCTION("GOOGLETRANSLATE(B3470, ""fr"", ""en"")"),"Nikel My son is delighted Superb")</f>
        <v>Nikel My son is delighted Superb</v>
      </c>
    </row>
    <row r="3471">
      <c r="A3471" s="1">
        <v>5.0</v>
      </c>
      <c r="B3471" s="1" t="s">
        <v>3439</v>
      </c>
      <c r="C3471" t="str">
        <f>IFERROR(__xludf.DUMMYFUNCTION("GOOGLETRANSLATE(B3471, ""fr"", ""en"")"),"Good shows solid Very nice and beefy")</f>
        <v>Good shows solid Very nice and beefy</v>
      </c>
    </row>
    <row r="3472">
      <c r="A3472" s="1">
        <v>5.0</v>
      </c>
      <c r="B3472" s="1" t="s">
        <v>3440</v>
      </c>
      <c r="C3472" t="str">
        <f>IFERROR(__xludf.DUMMYFUNCTION("GOOGLETRANSLATE(B3472, ""fr"", ""en"")"),"Perfect Just perfect I had already bought two pairs and love")</f>
        <v>Perfect Just perfect I had already bought two pairs and love</v>
      </c>
    </row>
    <row r="3473">
      <c r="A3473" s="1">
        <v>5.0</v>
      </c>
      <c r="B3473" s="1" t="s">
        <v>3441</v>
      </c>
      <c r="C3473" t="str">
        <f>IFERROR(__xludf.DUMMYFUNCTION("GOOGLETRANSLATE(B3473, ""fr"", ""en"")"),"Very good quality / price Very nice product, arrived and delivered on time. Comfortable with but also without soles: I have more feelings ""&amp; nbsp; &amp; nbsp barefoot,"" without the insoles. A test to walk on the sand or in the water ... and time!")</f>
        <v>Very good quality / price Very nice product, arrived and delivered on time. Comfortable with but also without soles: I have more feelings "&amp; nbsp; &amp; nbsp barefoot," without the insoles. A test to walk on the sand or in the water ... and time!</v>
      </c>
    </row>
    <row r="3474">
      <c r="A3474" s="1">
        <v>5.0</v>
      </c>
      <c r="B3474" s="1" t="s">
        <v>3442</v>
      </c>
      <c r="C3474" t="str">
        <f>IFERROR(__xludf.DUMMYFUNCTION("GOOGLETRANSLATE(B3474, ""fr"", ""en"")"),"Worthy of a fossil-quality shows it is sublime and conform to its description. Nothing to say to all the time (check in time)")</f>
        <v>Worthy of a fossil-quality shows it is sublime and conform to its description. Nothing to say to all the time (check in time)</v>
      </c>
    </row>
    <row r="3475">
      <c r="A3475" s="1">
        <v>5.0</v>
      </c>
      <c r="B3475" s="1" t="s">
        <v>3443</v>
      </c>
      <c r="C3475" t="str">
        <f>IFERROR(__xludf.DUMMYFUNCTION("GOOGLETRANSLATE(B3475, ""fr"", ""en"")"),"PERFECT great for early learning to read. mute syllable, short and simple words. Small stories ideal for the evening before going to sleep the same learning function so that the school the child is not destabilized.")</f>
        <v>PERFECT great for early learning to read. mute syllable, short and simple words. Small stories ideal for the evening before going to sleep the same learning function so that the school the child is not destabilized.</v>
      </c>
    </row>
    <row r="3476">
      <c r="A3476" s="1">
        <v>5.0</v>
      </c>
      <c r="B3476" s="1" t="s">
        <v>3444</v>
      </c>
      <c r="C3476" t="str">
        <f>IFERROR(__xludf.DUMMYFUNCTION("GOOGLETRANSLATE(B3476, ""fr"", ""en"")"),"Perfect - Delivery on time. Comply with the description.")</f>
        <v>Perfect - Delivery on time. Comply with the description.</v>
      </c>
    </row>
    <row r="3477">
      <c r="A3477" s="1">
        <v>5.0</v>
      </c>
      <c r="B3477" s="1" t="s">
        <v>3445</v>
      </c>
      <c r="C3477" t="str">
        <f>IFERROR(__xludf.DUMMYFUNCTION("GOOGLETRANSLATE(B3477, ""fr"", ""en"")"),"Manageable I'm very happy with this pinking scissors. Easy cutting working to the tip, the cutting precision, good length. What a change with my old chisel very heavy, heavy seas and stiff to maneuver that went to the dump!")</f>
        <v>Manageable I'm very happy with this pinking scissors. Easy cutting working to the tip, the cutting precision, good length. What a change with my old chisel very heavy, heavy seas and stiff to maneuver that went to the dump!</v>
      </c>
    </row>
    <row r="3478">
      <c r="A3478" s="1">
        <v>2.0</v>
      </c>
      <c r="B3478" s="1" t="s">
        <v>3446</v>
      </c>
      <c r="C3478" t="str">
        <f>IFERROR(__xludf.DUMMYFUNCTION("GOOGLETRANSLATE(B3478, ""fr"", ""en"")"),"Vexed I bought one for boy and I found it quite modern, well built. He ciest well built but completely demodé: approach a bit sexist pushing girls to shave, the clitoris is a lil button, the options for the rules are only disposable, short, a worthy conte"&amp;"nt 90s, damage.")</f>
        <v>Vexed I bought one for boy and I found it quite modern, well built. He ciest well built but completely demodé: approach a bit sexist pushing girls to shave, the clitoris is a lil button, the options for the rules are only disposable, short, a worthy content 90s, damage.</v>
      </c>
    </row>
    <row r="3479">
      <c r="A3479" s="1">
        <v>1.0</v>
      </c>
      <c r="B3479" s="1" t="s">
        <v>3447</v>
      </c>
      <c r="C3479" t="str">
        <f>IFERROR(__xludf.DUMMYFUNCTION("GOOGLETRANSLATE(B3479, ""fr"", ""en"")"),"Great disappointment for scrapbooking on black sheet !!!! Hello I was looking for my daughter markers for scrapbooking on black sheets, and photo shown on Amazon is misleading ... we guess just the scriptures as in the photo, they are bright and easy to r"&amp;"ead ... Too bad .. .I would not suggest for this purpose ..")</f>
        <v>Great disappointment for scrapbooking on black sheet !!!! Hello I was looking for my daughter markers for scrapbooking on black sheets, and photo shown on Amazon is misleading ... we guess just the scriptures as in the photo, they are bright and easy to read ... Too bad .. .I would not suggest for this purpose ..</v>
      </c>
    </row>
    <row r="3480">
      <c r="A3480" s="1">
        <v>3.0</v>
      </c>
      <c r="B3480" s="1" t="s">
        <v>3448</v>
      </c>
      <c r="C3480" t="str">
        <f>IFERROR(__xludf.DUMMYFUNCTION("GOOGLETRANSLATE(B3480, ""fr"", ""en"")"),"Not so effective it! Unlike any advertising done on this, I had not tried. A big pot was ideal for having pre convinced I was that Vanish was the most effective stain! Las! I started with a machine program to 30 ° All stains were still there. Unless wash "&amp;"at 60 ° only effective temperature, stains do not go away, but the machine does not pass this high temperature. I managed with my old habits to overcome the tomatoes sauce stains, etc.")</f>
        <v>Not so effective it! Unlike any advertising done on this, I had not tried. A big pot was ideal for having pre convinced I was that Vanish was the most effective stain! Las! I started with a machine program to 30 ° All stains were still there. Unless wash at 60 ° only effective temperature, stains do not go away, but the machine does not pass this high temperature. I managed with my old habits to overcome the tomatoes sauce stains, etc.</v>
      </c>
    </row>
    <row r="3481">
      <c r="A3481" s="1">
        <v>3.0</v>
      </c>
      <c r="B3481" s="1" t="s">
        <v>3449</v>
      </c>
      <c r="C3481" t="str">
        <f>IFERROR(__xludf.DUMMYFUNCTION("GOOGLETRANSLATE(B3481, ""fr"", ""en"")"),"See I have not used in the end because heating baby bottles too long, newborn baby can not wait that long heaters")</f>
        <v>See I have not used in the end because heating baby bottles too long, newborn baby can not wait that long heaters</v>
      </c>
    </row>
    <row r="3482">
      <c r="A3482" s="1">
        <v>4.0</v>
      </c>
      <c r="B3482" s="1" t="s">
        <v>3450</v>
      </c>
      <c r="C3482" t="str">
        <f>IFERROR(__xludf.DUMMYFUNCTION("GOOGLETRANSLATE(B3482, ""fr"", ""en"")"),"Dr. Martins 1460 56 € on Amazon instead of an average price of more than € 140. All is said ! Take tjrs a size below its usual size. If you make the 43, buy 42.")</f>
        <v>Dr. Martins 1460 56 € on Amazon instead of an average price of more than € 140. All is said ! Take tjrs a size below its usual size. If you make the 43, buy 42.</v>
      </c>
    </row>
    <row r="3483">
      <c r="A3483" s="1">
        <v>4.0</v>
      </c>
      <c r="B3483" s="1" t="s">
        <v>3451</v>
      </c>
      <c r="C3483" t="str">
        <f>IFERROR(__xludf.DUMMYFUNCTION("GOOGLETRANSLATE(B3483, ""fr"", ""en"")"),"good Ras")</f>
        <v>good Ras</v>
      </c>
    </row>
    <row r="3484">
      <c r="A3484" s="1">
        <v>4.0</v>
      </c>
      <c r="B3484" s="1" t="s">
        <v>3452</v>
      </c>
      <c r="C3484" t="str">
        <f>IFERROR(__xludf.DUMMYFUNCTION("GOOGLETRANSLATE(B3484, ""fr"", ""en"")"),"I love this comfortable leggings. The material is ultra soft, good elasticity. The colors are beautiful, quality designs. He is doing very well, I am so comfortable in it! I bought two models of the same brand, no regrets. The size is adequate and the pri"&amp;"ce is very correct")</f>
        <v>I love this comfortable leggings. The material is ultra soft, good elasticity. The colors are beautiful, quality designs. He is doing very well, I am so comfortable in it! I bought two models of the same brand, no regrets. The size is adequate and the price is very correct</v>
      </c>
    </row>
    <row r="3485">
      <c r="A3485" s="1">
        <v>4.0</v>
      </c>
      <c r="B3485" s="1" t="s">
        <v>3453</v>
      </c>
      <c r="C3485" t="str">
        <f>IFERROR(__xludf.DUMMYFUNCTION("GOOGLETRANSLATE(B3485, ""fr"", ""en"")"),"Shoe victoria Nothing to say good quality product my daughter'm delighted they are really beautiful")</f>
        <v>Shoe victoria Nothing to say good quality product my daughter'm delighted they are really beautiful</v>
      </c>
    </row>
    <row r="3486">
      <c r="A3486" s="1">
        <v>4.0</v>
      </c>
      <c r="B3486" s="1" t="s">
        <v>3454</v>
      </c>
      <c r="C3486" t="str">
        <f>IFERROR(__xludf.DUMMYFUNCTION("GOOGLETRANSLATE(B3486, ""fr"", ""en"")"),"Very good and pleasant Pleasant and beautiful product.")</f>
        <v>Very good and pleasant Pleasant and beautiful product.</v>
      </c>
    </row>
    <row r="3487">
      <c r="A3487" s="1">
        <v>5.0</v>
      </c>
      <c r="B3487" s="1" t="s">
        <v>3455</v>
      </c>
      <c r="C3487" t="str">
        <f>IFERROR(__xludf.DUMMYFUNCTION("GOOGLETRANSLATE(B3487, ""fr"", ""en"")"),"Sumptuous big fan of the brand and model with a lot I can tell you that this gshock is a must have had urgently Robust, readable practice is just terrible and everything with me every day in extreme situations (work, pool, shower ....) casio congratulatio"&amp;"ns and thank you amazon to find it at a price well below the trade you hesitate? Go for it is splendid")</f>
        <v>Sumptuous big fan of the brand and model with a lot I can tell you that this gshock is a must have had urgently Robust, readable practice is just terrible and everything with me every day in extreme situations (work, pool, shower ....) casio congratulations and thank you amazon to find it at a price well below the trade you hesitate? Go for it is splendid</v>
      </c>
    </row>
    <row r="3488">
      <c r="A3488" s="1">
        <v>5.0</v>
      </c>
      <c r="B3488" s="1" t="s">
        <v>3456</v>
      </c>
      <c r="C3488" t="str">
        <f>IFERROR(__xludf.DUMMYFUNCTION("GOOGLETRANSLATE(B3488, ""fr"", ""en"")"),"For leisure Ideal for all leisure where we risk losing or damaging the watch, such as the pool or beach. It does not break easily, it does not disrupt too, and the backlight can help. Obviously, it does not pass at all in situations where one wants to loo"&amp;"k stylish minimal.")</f>
        <v>For leisure Ideal for all leisure where we risk losing or damaging the watch, such as the pool or beach. It does not break easily, it does not disrupt too, and the backlight can help. Obviously, it does not pass at all in situations where one wants to look stylish minimal.</v>
      </c>
    </row>
    <row r="3489">
      <c r="A3489" s="1">
        <v>5.0</v>
      </c>
      <c r="B3489" s="1" t="s">
        <v>3457</v>
      </c>
      <c r="C3489" t="str">
        <f>IFERROR(__xludf.DUMMYFUNCTION("GOOGLETRANSLATE(B3489, ""fr"", ""en"")"),"Use of the product I am very happy with my tongue scraper; it is very easy to use and fits perfectly in her small linen pouch that I find really too cute it is a little extra that makes the difference with another product.")</f>
        <v>Use of the product I am very happy with my tongue scraper; it is very easy to use and fits perfectly in her small linen pouch that I find really too cute it is a little extra that makes the difference with another product.</v>
      </c>
    </row>
    <row r="3490">
      <c r="A3490" s="1">
        <v>5.0</v>
      </c>
      <c r="B3490" s="1" t="s">
        <v>3458</v>
      </c>
      <c r="C3490" t="str">
        <f>IFERROR(__xludf.DUMMYFUNCTION("GOOGLETRANSLATE(B3490, ""fr"", ""en"")"),"MASSAGE CUSHION TO TRANSPORT EVERYWHERE appreciated gift and used regularly by my friend. Small, but fulfills its functions. I recommend the product.")</f>
        <v>MASSAGE CUSHION TO TRANSPORT EVERYWHERE appreciated gift and used regularly by my friend. Small, but fulfills its functions. I recommend the product.</v>
      </c>
    </row>
    <row r="3491">
      <c r="A3491" s="1">
        <v>5.0</v>
      </c>
      <c r="B3491" s="1" t="s">
        <v>3459</v>
      </c>
      <c r="C3491" t="str">
        <f>IFERROR(__xludf.DUMMYFUNCTION("GOOGLETRANSLATE(B3491, ""fr"", ""en"")"),"I bought this light diffuser to replace my old who dropped me, it's the same, same capacity, same function ... It is simple passes almost unnoticed in the house, not expensive. It's a good compromise.")</f>
        <v>I bought this light diffuser to replace my old who dropped me, it's the same, same capacity, same function ... It is simple passes almost unnoticed in the house, not expensive. It's a good compromise.</v>
      </c>
    </row>
    <row r="3492">
      <c r="A3492" s="1">
        <v>5.0</v>
      </c>
      <c r="B3492" s="1" t="s">
        <v>3460</v>
      </c>
      <c r="C3492" t="str">
        <f>IFERROR(__xludf.DUMMYFUNCTION("GOOGLETRANSLATE(B3492, ""fr"", ""en"")"),"Bic pen pen pen single")</f>
        <v>Bic pen pen pen single</v>
      </c>
    </row>
    <row r="3493">
      <c r="A3493" s="1">
        <v>5.0</v>
      </c>
      <c r="B3493" s="1" t="s">
        <v>3461</v>
      </c>
      <c r="C3493" t="str">
        <f>IFERROR(__xludf.DUMMYFUNCTION("GOOGLETRANSLATE(B3493, ""fr"", ""en"")"),"Kettle useful for any type and temperature management This is clearly a high-end coffee, where you can keep the water warm, his ability is amazing and we MAY INVOLVE years manage the temperature problem on several levels, 70, 80, 09 or 100 degrees dependi"&amp;"ng on its use, which is raremant feasible. I recommend this product without hesitation.")</f>
        <v>Kettle useful for any type and temperature management This is clearly a high-end coffee, where you can keep the water warm, his ability is amazing and we MAY INVOLVE years manage the temperature problem on several levels, 70, 80, 09 or 100 degrees depending on its use, which is raremant feasible. I recommend this product without hesitation.</v>
      </c>
    </row>
    <row r="3494">
      <c r="A3494" s="1">
        <v>5.0</v>
      </c>
      <c r="B3494" s="1" t="s">
        <v>3462</v>
      </c>
      <c r="C3494" t="str">
        <f>IFERROR(__xludf.DUMMYFUNCTION("GOOGLETRANSLATE(B3494, ""fr"", ""en"")"),"well I'm glad item Super fast and quiet, I recommend very attractive price, very pretty in my kitchen!")</f>
        <v>well I'm glad item Super fast and quiet, I recommend very attractive price, very pretty in my kitchen!</v>
      </c>
    </row>
    <row r="3495">
      <c r="A3495" s="1">
        <v>5.0</v>
      </c>
      <c r="B3495" s="1" t="s">
        <v>3463</v>
      </c>
      <c r="C3495" t="str">
        <f>IFERROR(__xludf.DUMMYFUNCTION("GOOGLETRANSLATE(B3495, ""fr"", ""en"")"),"Perfectly satisfied For a very reasonable price this is a beautiful object blending perfectly well with Fossil Q Switch (silver). Very fast delivery, sealed box with tools to install this bracelet very easily to the size of your wrist in about twenty minu"&amp;"tes. We'll see with time for overall quality. In any case I am very satisfied and I recommend this wristwatch ... Regards")</f>
        <v>Perfectly satisfied For a very reasonable price this is a beautiful object blending perfectly well with Fossil Q Switch (silver). Very fast delivery, sealed box with tools to install this bracelet very easily to the size of your wrist in about twenty minutes. We'll see with time for overall quality. In any case I am very satisfied and I recommend this wristwatch ... Regards</v>
      </c>
    </row>
    <row r="3496">
      <c r="A3496" s="1">
        <v>5.0</v>
      </c>
      <c r="B3496" s="1" t="s">
        <v>3464</v>
      </c>
      <c r="C3496" t="str">
        <f>IFERROR(__xludf.DUMMYFUNCTION("GOOGLETRANSLATE(B3496, ""fr"", ""en"")"),"Slippers for guests Well listen, I was apprehensive given the reviews, but for extra slippers (therefore for transients), they are well, we had no worries! precision: the people I prepared these slippers are not the type to drag their feet when they walk,"&amp;" so this may be why the turnovers remain strong! ;)")</f>
        <v>Slippers for guests Well listen, I was apprehensive given the reviews, but for extra slippers (therefore for transients), they are well, we had no worries! precision: the people I prepared these slippers are not the type to drag their feet when they walk, so this may be why the turnovers remain strong! ;)</v>
      </c>
    </row>
    <row r="3497">
      <c r="A3497" s="1">
        <v>5.0</v>
      </c>
      <c r="B3497" s="1" t="s">
        <v>3465</v>
      </c>
      <c r="C3497" t="str">
        <f>IFERROR(__xludf.DUMMYFUNCTION("GOOGLETRANSLATE(B3497, ""fr"", ""en"")"),"Case Very good product. I bought the set for my gray card and I'm not disappointed. The dimensions are perfect.")</f>
        <v>Case Very good product. I bought the set for my gray card and I'm not disappointed. The dimensions are perfect.</v>
      </c>
    </row>
    <row r="3498">
      <c r="A3498" s="1">
        <v>5.0</v>
      </c>
      <c r="B3498" s="1" t="s">
        <v>3466</v>
      </c>
      <c r="C3498" t="str">
        <f>IFERROR(__xludf.DUMMYFUNCTION("GOOGLETRANSLATE(B3498, ""fr"", ""en"")"),"Quality / Price to top Very pretty jewel, the owner is happy and carried 2 weeks to change his habit. It is money, the collar is thin, it leaves room for this snowflake very pretty.")</f>
        <v>Quality / Price to top Very pretty jewel, the owner is happy and carried 2 weeks to change his habit. It is money, the collar is thin, it leaves room for this snowflake very pretty.</v>
      </c>
    </row>
    <row r="3499">
      <c r="A3499" s="1">
        <v>5.0</v>
      </c>
      <c r="B3499" s="1" t="s">
        <v>3467</v>
      </c>
      <c r="C3499" t="str">
        <f>IFERROR(__xludf.DUMMYFUNCTION("GOOGLETRANSLATE(B3499, ""fr"", ""en"")"),"Radical !!! Using this summer Charentes. Very effective on the first trendy evening in the lounge. It's simple I've realized that the tank was empty one night 1 ½ months after making me bitten by a mosquito. I gave a decision the next time to find them an"&amp;"d no problems !!! It changes our lives in the summer !!!!")</f>
        <v>Radical !!! Using this summer Charentes. Very effective on the first trendy evening in the lounge. It's simple I've realized that the tank was empty one night 1 ½ months after making me bitten by a mosquito. I gave a decision the next time to find them and no problems !!! It changes our lives in the summer !!!!</v>
      </c>
    </row>
    <row r="3500">
      <c r="A3500" s="1">
        <v>5.0</v>
      </c>
      <c r="B3500" s="1" t="s">
        <v>3468</v>
      </c>
      <c r="C3500" t="str">
        <f>IFERROR(__xludf.DUMMYFUNCTION("GOOGLETRANSLATE(B3500, ""fr"", ""en"")"),"Saftey bestboy Jogger safety shoes Item received corresponds to the picture and description. There shoes slightly larger, but with thicker socks it's perfect. Satisfied, I recommend")</f>
        <v>Saftey bestboy Jogger safety shoes Item received corresponds to the picture and description. There shoes slightly larger, but with thicker socks it's perfect. Satisfied, I recommend</v>
      </c>
    </row>
    <row r="3501">
      <c r="A3501" s="1">
        <v>5.0</v>
      </c>
      <c r="B3501" s="1" t="s">
        <v>3469</v>
      </c>
      <c r="C3501" t="str">
        <f>IFERROR(__xludf.DUMMYFUNCTION("GOOGLETRANSLATE(B3501, ""fr"", ""en"")"),"Very informative My niece is delighted with this birthday present")</f>
        <v>Very informative My niece is delighted with this birthday present</v>
      </c>
    </row>
    <row r="3502">
      <c r="A3502" s="1">
        <v>2.0</v>
      </c>
      <c r="B3502" s="1" t="s">
        <v>3470</v>
      </c>
      <c r="C3502" t="str">
        <f>IFERROR(__xludf.DUMMYFUNCTION("GOOGLETRANSLATE(B3502, ""fr"", ""en"")"),"shoes with two protruding soles Delivery was fast, model and color of the shoe was consistent with the description, but the soles of both shoes were peeled in the edges after one week. I was offered to be reimbursed because we could not send me the same s"&amp;"hoes. I preferred repair it with my shoemaker because j'aime bcp model. This is the first and last time I buy shoes online. Too bad. Rozas")</f>
        <v>shoes with two protruding soles Delivery was fast, model and color of the shoe was consistent with the description, but the soles of both shoes were peeled in the edges after one week. I was offered to be reimbursed because we could not send me the same shoes. I preferred repair it with my shoemaker because j'aime bcp model. This is the first and last time I buy shoes online. Too bad. Rozas</v>
      </c>
    </row>
    <row r="3503">
      <c r="A3503" s="1">
        <v>1.0</v>
      </c>
      <c r="B3503" s="1" t="s">
        <v>3471</v>
      </c>
      <c r="C3503" t="str">
        <f>IFERROR(__xludf.DUMMYFUNCTION("GOOGLETRANSLATE(B3503, ""fr"", ""en"")"),"Fake stones The only real stone is the eye of the tiger the rest is plastic")</f>
        <v>Fake stones The only real stone is the eye of the tiger the rest is plastic</v>
      </c>
    </row>
    <row r="3504">
      <c r="A3504" s="1">
        <v>1.0</v>
      </c>
      <c r="B3504" s="1" t="s">
        <v>3472</v>
      </c>
      <c r="C3504" t="str">
        <f>IFERROR(__xludf.DUMMYFUNCTION("GOOGLETRANSLATE(B3504, ""fr"", ""en"")"),"Never ever use works The cable does not work. First use not sound at all I was testing on other instruments and it does not work")</f>
        <v>Never ever use works The cable does not work. First use not sound at all I was testing on other instruments and it does not work</v>
      </c>
    </row>
    <row r="3505">
      <c r="A3505" s="1">
        <v>3.0</v>
      </c>
      <c r="B3505" s="1" t="s">
        <v>3473</v>
      </c>
      <c r="C3505" t="str">
        <f>IFERROR(__xludf.DUMMYFUNCTION("GOOGLETRANSLATE(B3505, ""fr"", ""en"")"),"Take a size in addition to the sleeves Well except that I will have to take the size and more. Otherwise they are very nice.")</f>
        <v>Take a size in addition to the sleeves Well except that I will have to take the size and more. Otherwise they are very nice.</v>
      </c>
    </row>
    <row r="3506">
      <c r="A3506" s="1">
        <v>3.0</v>
      </c>
      <c r="B3506" s="1" t="s">
        <v>3474</v>
      </c>
      <c r="C3506" t="str">
        <f>IFERROR(__xludf.DUMMYFUNCTION("GOOGLETRANSLATE(B3506, ""fr"", ""en"")"),"Good helmet, but not for everyone. I'll be quick about the sound quality: it is very good, very moderate, dynamic ... However, the helmet really caters to a professional audience, said ""field"", so if its robustness and maintenance will delight DJs and s"&amp;"ound engineers, it is less obvious to the general public. To listen to your music sedentary, it is not an ideal choice because much greenhouse, causing pain in the ears after an hour of listening, even without glasses. And portable use, this is not an ide"&amp;"al choice because the insulation is very poor, in both directions, neighbors hear what you hear and you hear a lot outside. I returned for the benefit of MSR-7 from Audio-Technica, which offers the same sound quality (neutrality, dynamics ...) while offer"&amp;"ing improved comfort and versatility. (Including better insulation) In addition, the packaging of this Sennheiser poor, we have the helmet ... and that's it ... no cover, no second cable, nothing ... and the helmet is presented on a piece of cardboard, I "&amp;"felt bound to unwrap an Xbox cat helmet 10 €. To summarize: excellent sound, robust but not very comfortable, nor fully adapted to mobile use or sedentary, scrawny packaging. However, DJs, sound engineers, or even sports will appreciate a neutral sound an"&amp;"d maintaining the perfect head.")</f>
        <v>Good helmet, but not for everyone. I'll be quick about the sound quality: it is very good, very moderate, dynamic ... However, the helmet really caters to a professional audience, said "field", so if its robustness and maintenance will delight DJs and sound engineers, it is less obvious to the general public. To listen to your music sedentary, it is not an ideal choice because much greenhouse, causing pain in the ears after an hour of listening, even without glasses. And portable use, this is not an ideal choice because the insulation is very poor, in both directions, neighbors hear what you hear and you hear a lot outside. I returned for the benefit of MSR-7 from Audio-Technica, which offers the same sound quality (neutrality, dynamics ...) while offering improved comfort and versatility. (Including better insulation) In addition, the packaging of this Sennheiser poor, we have the helmet ... and that's it ... no cover, no second cable, nothing ... and the helmet is presented on a piece of cardboard, I felt bound to unwrap an Xbox cat helmet 10 €. To summarize: excellent sound, robust but not very comfortable, nor fully adapted to mobile use or sedentary, scrawny packaging. However, DJs, sound engineers, or even sports will appreciate a neutral sound and maintaining the perfect head.</v>
      </c>
    </row>
    <row r="3507">
      <c r="A3507" s="1">
        <v>4.0</v>
      </c>
      <c r="B3507" s="1" t="s">
        <v>3475</v>
      </c>
      <c r="C3507" t="str">
        <f>IFERROR(__xludf.DUMMYFUNCTION("GOOGLETRANSLATE(B3507, ""fr"", ""en"")"),"WELL I use many brand eastpak for its strength, especially with backpacks for the children I regret only that the dimensions are a little small and the front pocket is almost unusable because the flap does not allow the open in the back pocket but did not"&amp;" flap and that's good")</f>
        <v>WELL I use many brand eastpak for its strength, especially with backpacks for the children I regret only that the dimensions are a little small and the front pocket is almost unusable because the flap does not allow the open in the back pocket but did not flap and that's good</v>
      </c>
    </row>
    <row r="3508">
      <c r="A3508" s="1">
        <v>4.0</v>
      </c>
      <c r="B3508" s="1" t="s">
        <v>3476</v>
      </c>
      <c r="C3508" t="str">
        <f>IFERROR(__xludf.DUMMYFUNCTION("GOOGLETRANSLATE(B3508, ""fr"", ""en"")"),"Not bad Nickel and light")</f>
        <v>Not bad Nickel and light</v>
      </c>
    </row>
    <row r="3509">
      <c r="A3509" s="1">
        <v>4.0</v>
      </c>
      <c r="B3509" s="1" t="s">
        <v>3477</v>
      </c>
      <c r="C3509" t="str">
        <f>IFERROR(__xludf.DUMMYFUNCTION("GOOGLETRANSLATE(B3509, ""fr"", ""en"")"),"RAS Product compliant and descriptive.")</f>
        <v>RAS Product compliant and descriptive.</v>
      </c>
    </row>
    <row r="3510">
      <c r="A3510" s="1">
        <v>4.0</v>
      </c>
      <c r="B3510" s="1" t="s">
        <v>3478</v>
      </c>
      <c r="C3510" t="str">
        <f>IFERROR(__xludf.DUMMYFUNCTION("GOOGLETRANSLATE(B3510, ""fr"", ""en"")"),"Superb compliant and very jolie..je advises ..moi she leaves me more ..")</f>
        <v>Superb compliant and very jolie..je advises ..moi she leaves me more ..</v>
      </c>
    </row>
    <row r="3511">
      <c r="A3511" s="1">
        <v>5.0</v>
      </c>
      <c r="B3511" s="1" t="s">
        <v>3479</v>
      </c>
      <c r="C3511" t="str">
        <f>IFERROR(__xludf.DUMMYFUNCTION("GOOGLETRANSLATE(B3511, ""fr"", ""en"")"),"Stabilo Original Classic but very good, last long and original colors, I recommend! Too bad it misses the purple highlighter in classical colors.")</f>
        <v>Stabilo Original Classic but very good, last long and original colors, I recommend! Too bad it misses the purple highlighter in classical colors.</v>
      </c>
    </row>
    <row r="3512">
      <c r="A3512" s="1">
        <v>5.0</v>
      </c>
      <c r="B3512" s="1" t="s">
        <v>3480</v>
      </c>
      <c r="C3512" t="str">
        <f>IFERROR(__xludf.DUMMYFUNCTION("GOOGLETRANSLATE(B3512, ""fr"", ""en"")"),"very well written and easy for children very well written and easy for children PERFECT for Christmas")</f>
        <v>very well written and easy for children very well written and easy for children PERFECT for Christmas</v>
      </c>
    </row>
    <row r="3513">
      <c r="A3513" s="1">
        <v>5.0</v>
      </c>
      <c r="B3513" s="1" t="s">
        <v>3481</v>
      </c>
      <c r="C3513" t="str">
        <f>IFERROR(__xludf.DUMMYFUNCTION("GOOGLETRANSLATE(B3513, ""fr"", ""en"")"),"Compatible Epson XP425 I buy these cartridges since qq time. No problem with Epson printers XP425. No marks on the life of the cartridges but at that price and with such a fast delivery (3 days ahead of schedule), I do not ask myself 😁")</f>
        <v>Compatible Epson XP425 I buy these cartridges since qq time. No problem with Epson printers XP425. No marks on the life of the cartridges but at that price and with such a fast delivery (3 days ahead of schedule), I do not ask myself 😁</v>
      </c>
    </row>
    <row r="3514">
      <c r="A3514" s="1">
        <v>5.0</v>
      </c>
      <c r="B3514" s="1" t="s">
        <v>3482</v>
      </c>
      <c r="C3514" t="str">
        <f>IFERROR(__xludf.DUMMYFUNCTION("GOOGLETRANSLATE(B3514, ""fr"", ""en"")"),"My slippers outdoor ... When we saw the TBS Brandy, it's hard to put something, and yes, leather quality and comfort absolute, I can walk three days with non-stop! The small heel provides extra comfort")</f>
        <v>My slippers outdoor ... When we saw the TBS Brandy, it's hard to put something, and yes, leather quality and comfort absolute, I can walk three days with non-stop! The small heel provides extra comfort</v>
      </c>
    </row>
    <row r="3515">
      <c r="A3515" s="1">
        <v>5.0</v>
      </c>
      <c r="B3515" s="1" t="s">
        <v>3483</v>
      </c>
      <c r="C3515" t="str">
        <f>IFERROR(__xludf.DUMMYFUNCTION("GOOGLETRANSLATE(B3515, ""fr"", ""en"")"),"I looove! Impeccable! A must for the model and too practical for the material (leather) They are good even after the assets carried by rain. easy to clean and maintain. I hope to keep a good time!")</f>
        <v>I looove! Impeccable! A must for the model and too practical for the material (leather) They are good even after the assets carried by rain. easy to clean and maintain. I hope to keep a good time!</v>
      </c>
    </row>
    <row r="3516">
      <c r="A3516" s="1">
        <v>5.0</v>
      </c>
      <c r="B3516" s="1" t="s">
        <v>3484</v>
      </c>
      <c r="C3516" t="str">
        <f>IFERROR(__xludf.DUMMYFUNCTION("GOOGLETRANSLATE(B3516, ""fr"", ""en"")"),"Top deodorizes good, cheap, well after the kitchen")</f>
        <v>Top deodorizes good, cheap, well after the kitchen</v>
      </c>
    </row>
    <row r="3517">
      <c r="A3517" s="1">
        <v>5.0</v>
      </c>
      <c r="B3517" s="1" t="s">
        <v>3485</v>
      </c>
      <c r="C3517" t="str">
        <f>IFERROR(__xludf.DUMMYFUNCTION("GOOGLETRANSLATE(B3517, ""fr"", ""en"")"),"Top ! Beautiful color, perfect comfort and quality puma, I am very satisfied with my purchase!")</f>
        <v>Top ! Beautiful color, perfect comfort and quality puma, I am very satisfied with my purchase!</v>
      </c>
    </row>
    <row r="3518">
      <c r="A3518" s="1">
        <v>5.0</v>
      </c>
      <c r="B3518" s="1" t="s">
        <v>3486</v>
      </c>
      <c r="C3518" t="str">
        <f>IFERROR(__xludf.DUMMYFUNCTION("GOOGLETRANSLATE(B3518, ""fr"", ""en"")"),"Lightweight, perfect start to drink alone! A bottle of very light triangular shape with two handles to allow the child to enter and drink alone. The nipple is round, anti-colic with good air circulation. The nipple is soft enough to be very popular with t"&amp;"oddlers. It is a second age teat having three flow velocities. Toddlers love the Mickey design on the body of the bottle. Despite the triangular shape of the bottle, cleaning remains easy, the corners are rounded. I prefer glass bottles to avoid plastic b"&amp;"ut the plastic is a good choice when the child drinks / drinking desires alone. The fact that the bottle is unbreakable makes the desire to Secure autonomy.")</f>
        <v>Lightweight, perfect start to drink alone! A bottle of very light triangular shape with two handles to allow the child to enter and drink alone. The nipple is round, anti-colic with good air circulation. The nipple is soft enough to be very popular with toddlers. It is a second age teat having three flow velocities. Toddlers love the Mickey design on the body of the bottle. Despite the triangular shape of the bottle, cleaning remains easy, the corners are rounded. I prefer glass bottles to avoid plastic but the plastic is a good choice when the child drinks / drinking desires alone. The fact that the bottle is unbreakable makes the desire to Secure autonomy.</v>
      </c>
    </row>
    <row r="3519">
      <c r="A3519" s="1">
        <v>5.0</v>
      </c>
      <c r="B3519" s="1" t="s">
        <v>3487</v>
      </c>
      <c r="C3519" t="str">
        <f>IFERROR(__xludf.DUMMYFUNCTION("GOOGLETRANSLATE(B3519, ""fr"", ""en"")"),"peeled bjr I bought this product, and to date the sole is off the edge can we return mzeci")</f>
        <v>peeled bjr I bought this product, and to date the sole is off the edge can we return mzeci</v>
      </c>
    </row>
    <row r="3520">
      <c r="A3520" s="1">
        <v>5.0</v>
      </c>
      <c r="B3520" s="1" t="s">
        <v>3488</v>
      </c>
      <c r="C3520" t="str">
        <f>IFERROR(__xludf.DUMMYFUNCTION("GOOGLETRANSLATE(B3520, ""fr"", ""en"")"),"Jolie shows Christmas gift for my mom found me beautiful.")</f>
        <v>Jolie shows Christmas gift for my mom found me beautiful.</v>
      </c>
    </row>
    <row r="3521">
      <c r="A3521" s="1">
        <v>5.0</v>
      </c>
      <c r="B3521" s="1" t="s">
        <v>3489</v>
      </c>
      <c r="C3521" t="str">
        <f>IFERROR(__xludf.DUMMYFUNCTION("GOOGLETRANSLATE(B3521, ""fr"", ""en"")"),"The notice of adele &lt;div id = ""video-block-R1OYBJ66D0X13S"" class = ""a-section-spacing-small-spacing has-top video mini-block""&gt; &lt;div tabindex = ""0"" class = "" airy airy-svg vmin-supported airy-skin-beacon ""style ="" background-color: rgb (0, 0, 0); "&amp;"position: relative; width: 100%; height: 100%; font-size: 0px; overflow : hidden; outline: none; ""&gt; &lt;div class ="" airy-renderer-container ""style ="" position: relative; height: 100%; width: 100%; ""&gt; &lt;video id ="" 15 ""preload ="" auto ""src ="" https:"&amp;"//images-eu.ssl-images-amazon.com/images/I/81It75CR4gS.mp4 ""style ="" position: absolute; left: 0px; top: 0px; overflow: hidden; height: 1px ; width: 1px; ""&gt; &lt;/ video&gt; &lt;/ div&gt; &lt;div id ="" airy-slate-preload ""style ="" background-color: rgb (0, 0, 0); b"&amp;"ackground-image: url (&amp; quot; https://images-eu.ssl-images-amazon.com/images/I/81j1RDIj7qS.png&amp;quot;); background-size: contain; background-position: center center; background-repeat: no-repeat; position: absolute ; top: 0px; left: 0px; visibility: visibl"&amp;"e; width: 100%; height: 100% ""&gt; &lt;/ div&gt; &lt;iframe scrolli ng = ""no"" frameborder = ""0"" src = ""about: blank"" style = ""display: none;""&gt; &lt;/ iframe&gt; &lt;div tabindex = ""- 1"" class = ""airy-controls-container"" style = "" opacity: 0; visibility: hidden; "&amp;"""&gt; &lt;div tabindex ="" - 1 ""class ="" airy-screen-size-toggle airy-fullscreen ""&gt; &lt;/ div&gt; &lt;div tabindex ="" - 1 ""class ="" airy-container-bottom "" &gt; &lt;div tabindex = ""- 1"" class = ""airy-track-bar spacer-left"" style = ""width: 11px;""&gt; &lt;/ div&gt; &lt;div ta"&amp;"bindex = ""- 1"" class = ""airy-play- toggle airy-play ""style ="" width: 12px; margin-right: 12px; ""&gt; &lt;/ div&gt; &lt;div tabindex ="" - 1 ""class ="" airy-audio-elements ""style ="" float: right; width: 34px; ""&gt; &lt;div tabindex ="" - 1 ""class ="" airy-audio-t"&amp;"oggle airy-on ""&gt; &lt;/ div&gt; &lt;div tabindex ="" - 1 ""class ="" airy-audio-container ""style = ""opacity: 0; visibility: hidden; ""&gt; &lt;div tabindex ="" - 1 ""class ="" airy-audio-track-bar ""style ="" height: 80%; ""&gt; &lt;div tabindex ="" - 1 ""class ="" airy-aud"&amp;"io- scrubber bar ""style ="" height: 85% ""&gt; &lt;/ div&gt; &lt;div tabindex ="" - 1 ""class ="" airy-audio-scrubber ""style ="" height: 12px; bottom: 85% ""&gt; &lt;/ div&gt; &lt;/ div&gt; &lt;/ div&gt; &lt;/ div&gt; &lt;div tabindex ="" - 1 ""class ="" airy-duration-label ""style ="" float: r"&amp;"ight; width: 26px; margin-right: 4px; text-align: center; ""&gt; 0:05 &lt;/ div&gt; &lt;div tabindex ="" - 1 ""class ="" airy-track-bar spacer-right ""style ="" float: right; width: 11px; ""&gt; &lt;/ div&gt; &lt;div tabindex ="" - 1 ""class ="" airy-track-bar-container ""style "&amp;"="" margin-left: 35px; margin-right: 75px; ""&gt; &lt;div tabindex ="" - 1 ""class ="" airy-airy-track-bar vertical-centering-table ""&gt; &lt;div tabindex ="" - 1 ""class ="" airy-vertical-centering- table-cell ""&gt; &lt;div tabindex ="" - 1 ""class ="" airy-track-bar el"&amp;"ements ""&gt; &lt;div tabindex ="" - 1 ""class ="" airy-progress-bar ""style ="" width: 100%; ""&gt; &lt;/ div&gt; &lt;div tabindex ="" - 1 ""class ="" airy-scrubber bar ""&gt; &lt;/ div&gt; &lt;div tabindex ="" - 1 ""class ="" airy-scrubber ""&gt; &lt;div tabindex ="" - 1 ""class ="" airy-"&amp;"scrubber-icon ""&gt; &lt;/ div&gt; &lt;div tabindex ="" - 1 ""class ="" airy-adjusted-aui-tooltip ""style ="" opacity: 0; visibility: hidden; ""&gt; &lt;div tabindex ="" - 1 ""class ="" airy-adjusted-aui-tooltip-inner ""&gt; &lt;div tabindex ="" - 1 ""class ="" airy-current-time"&amp;"-label ""&gt; 0 00 &lt;/ div&gt; &lt;/ div&gt; &lt;div tabindex = ""- 1"" class = ""airy-adjusted-aui-arrow-border""&gt; &lt;div tabindex = ""- 1"" class = ""airy-adjusted-aui-arrow"" &gt; &lt;/ div&gt; &lt;/ div&gt; &lt;/ div&gt; &lt;/ div&gt; &lt;/ div&gt; &lt;/ div&gt; &lt;/ div&gt; &lt;/ div&gt; &lt;/ div&gt; &lt;/ div&gt; &lt;div tabindex"&amp;" = ""- 1"" class = ""airy-airy-age-gate course airy-vertical-centering table-airy-dialog"" style = ""opacity: 0; visibility: hidden; ""&gt; &lt;div tabindex ="" - 1 ""class ="" airy-age-gate-vertical-centering-table-cell airy-vertical-centering-table-cell ""&gt; &lt;"&amp;"div tabindex ="" - 1 ""class = ""airy-vertical-centering-wrapper airy-age-gate-elements-wrapper""&gt; &lt;div tabindex = ""- 1"" class = ""airy-age-gate-elements airy-dialog-elements""&gt; &lt;div tabindex = "" -1 ""class ="" airy-age-gate-prompt ""&gt; This video is no"&amp;"t Intended for all audiences What time were you born &lt;/ div&gt; &lt;div tabindex =.?"" - 1 ""class ="" airy-age-gate -inputs airy-dialog-inner-elements ""&gt; &lt;select tabindex ="" - 1 ""class ="" airy-age-gate-month ""&gt; &lt;option value ="" 1 ""&gt; January &lt;/ option&gt; &lt;"&amp;"option value ="" 2 ""&gt; February &lt;/ option&gt; &lt;option value ="" 3 ""&gt; March &lt;/ option&gt; &lt;option value ="" 4 ""&gt; April &lt;/ option&gt; &lt;option value ="" 5 ""&gt; May &lt;/ option&gt; &lt;option value = ""6""&gt; June &lt;/ option&gt; &lt;option value = ""7""&gt; July &lt;/ option&gt; &lt;option value"&amp;" = ""8""&gt; August &lt;/ option&gt; &lt;option value = ""9""&gt; September &lt;/ option&gt; &lt;option value = ""10""&gt; October &lt;/ option&gt; &lt;option value = ""11""&gt; November &lt;/ option&gt; &lt;option value = ""12""&gt; December &lt;/ option&gt; &lt;/ select&gt; &lt;select tabindex = ""- 1"" class = ""airy"&amp;"-age-gate-day""&gt; &lt;opti = One value ""1""&gt; 1 &lt;/ option&gt; &lt;option value = ""2""&gt; 2 &lt;/ option&gt; &lt;option value = ""3""&gt; 3 &lt;/ option&gt; &lt;option value = ""4""&gt; 4 &lt;/ option &gt; &lt;option value = ""5""&gt; 5 &lt;/ option&gt; &lt;option value = ""6""&gt; 6 &lt;/ option&gt; &lt;option value = ""7"&amp;"""&gt; 7 &lt;/ option&gt; &lt;option value = ""8""&gt; 8 &lt; / option&gt; &lt;option value = ""9""&gt; 9 &lt;/ option&gt; &lt;option value = ""10""&gt; 10 &lt;/ option&gt; &lt;option value = ""11""&gt; 11 &lt;/ option&gt; &lt;option value = ""12""&gt; 12 &lt;/ option&gt; &lt;option value = ""13""&gt; 13 &lt;/ option&gt; &lt;option value"&amp;" = ""14""&gt; 14 &lt;/ option&gt; &lt;option value = ""15""&gt; 15 &lt;/ option&gt; &lt;option value = ""16 ""&gt; 16 &lt;/ option&gt; &lt;option value ="" 17 ""&gt; 17 &lt;/ option&gt; &lt;option value ="" 18 ""&gt; 18 &lt;/ option&gt; &lt;option value ="" 19 ""&gt; 19 &lt;/ option&gt; &lt;option value = ""20""&gt; 20 &lt;/ option"&amp;"&gt; &lt;option value = ""21""&gt; 21 &lt;/ option&gt; &lt;option value = ""22""&gt; 22 &lt;/ option&gt; &lt;option value = ""23""&gt; 23 &lt;/ option&gt; &lt;option value = ""24""&gt; 24 &lt;/ option&gt; &lt;option value = ""25""&gt; 25 &lt;/ option&gt; &lt;option value = ""26""&gt; 26 &lt;/ option&gt; &lt;option value = ""27""&gt; 2"&amp;"7 &lt;/ option&gt; &lt;option value = ""28""&gt; 28 &lt;/ option&gt; &lt;option value = ""29""&gt; 29 &lt;/ option&gt; &lt;option value = ""30""&gt; 30 &lt;/ option&gt; &lt;option value = ""31""&gt; 31 &lt;/ option&gt; &lt;/ select&gt; &lt;select tabindex = ""- 1"" class = ""airy-age-gate-year""&gt; &lt;option value = ""20"&amp;"19""&gt; 2019 &lt;/ option&gt; &lt; option value = ""2018""&gt; 2018 &lt;/ option&gt; &lt;option value = ""2017""&gt; 2017 &lt;/ option&gt; &lt;option value = ""2016""&gt; ​​2016 &lt;/ option&gt; &lt;option value = ""2015""&gt; 2015 &lt;/ option &gt; &lt;option value = ""2014""&gt; 2014 &lt;/ option&gt; &lt;option value = ""2"&amp;"013""&gt; 2013 &lt;/ option&gt; &lt;option value = ""2012""&gt; 2012 &lt;/ option&gt; &lt;option value = ""2011""&gt; 2011 &lt; / option&gt; &lt;option value = ""2010""&gt; 2010 &lt;/ option&gt; &lt;option value = ""2009""&gt; 2009 &lt;/ option&gt; &lt;option value = ""2008""&gt; 2008 &lt;/ option&gt; &lt;option value = ""200"&amp;"7""&gt; 2007 &lt;/ option&gt; &lt;option value = ""2006""&gt; 2006 &lt;/ option&gt; &lt;option value = ""2005""&gt; 2005 &lt;/ option&gt; &lt;option value = ""2004""&gt; 2004 &lt;/ option&gt; &lt;option value = ""2003 ""&gt; 2003 &lt;/ option&gt; &lt;option value ="" 2002 ""&gt; 2002 &lt;/ option&gt; &lt;option value ="" 2001"&amp;" ""&gt;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"&amp;"""&gt; 1989 &lt;/ option&gt; &lt;option value ="" 1988 ""&gt; 1988 &lt;/ option&gt; &lt;option value ="" 1987 ""&gt; 1987 &lt;/ option&gt; &lt;option value ="" 1986 ""&gt; 1986 &lt;/ option&gt; &lt;option value = ""1985""&gt; 1985 &lt;/ option&gt; &lt;option value = ""1984""&gt; 1984 &lt;/ option&gt; &lt;option value = ""1983"&amp;"""&gt; 1983 &lt;/ option&gt; &lt;option value = ""1982""&gt; 1982 &lt;/ option&gt; &lt; option value = ""1981""&gt; 1981 &lt;/ option&gt; &lt;option value = ""1980""&gt; 1980 &lt;/ option&gt; &lt;option value = ""1979""&gt; 1979 &lt;/ option&gt; &lt;option value = ""1978""&gt; 1978 &lt;/ option &gt; &lt;option value = ""1977"&amp;"""&gt; 1977 &lt;/ option&gt; &lt;option value = ""1976""&gt; 1976 &lt;/ option&gt; &lt;option value = ""1975""&gt; 1975 &lt;/ option&gt; &lt;option value = ""1974""&gt; 1974 &lt; / option&gt; &lt;option value = ""1973""&gt; 1973 &lt;/ option&gt; &lt;option value = ""1972""&gt; 1972 &lt;/ option&gt; &lt;option value = ""1971"""&amp;"&gt; 1971 &lt;/ option&gt; &lt;option value = ""1970""&gt; 1970 &lt;/ option&gt; &lt;option value = ""1969""&gt; 1969 &lt;/ option&gt; &lt;option value = ""1968""&gt; 1968 &lt;/ option&gt; &lt;option value = ""1967""&gt; 1967 &lt;/ option&gt; &lt;option value = ""1966 ""&gt; 1966 &lt;/ option&gt; &lt;option value ="" 1965 ""&gt;"&amp;" 1965 &lt;/ option&gt; &lt;option value ="" 1964 ""&gt; 1964 &lt;/ option&gt; &lt;option value ="" 1963 ""&gt; 1963 &lt;/ option&gt; &lt;option value = ""1962""&gt; 1962 &lt;/ option&gt; &lt;option value = ""1961""&gt; 1961 &lt;/ option&gt; &lt;option value = ""1960""&gt; 1960 &lt;/ op tion&gt; &lt;option value = ""1959""&gt;"&amp;" 1959 &lt;/ option&gt; &lt;option value = ""1958""&gt; 1958 &lt;/ option&gt; &lt;option value = ""1957""&gt; 1957 &lt;/ option&gt; &lt;option value = ""1956""&gt; 1956 &lt;/ option&gt; &lt;option value = ""1955""&gt; 1955 &lt;/ option&gt; &lt;option value = ""1954""&gt; 1954 &lt;/ option&gt; &lt;option value = ""1953""&gt; 19"&amp;"53 &lt;/ option&gt; &lt;option value = ""1952"" &gt; 1952 &lt;/ option&gt; &lt;option value = ""1951""&gt; 1951 &lt;/ option&gt; &lt;option value = ""1950""&gt; 1950 &lt;/ option&gt; &lt;option value = ""1949""&gt; 1949 &lt;/ option&gt; &lt;option value = "" 1948 ""&gt; 1948 &lt;/ option&gt; &lt;option value ="" 1947 ""&gt; 1"&amp;"947 &lt;/ option&gt; &lt;option value ="" 1946 ""&gt; 1946 &lt;/ option&gt; &lt;option value ="" 1945 ""&gt; 1945 &lt;/ option&gt; &lt;option value = ""1944""&gt; 1944 &lt;/ option&gt; &lt;option value = ""1943""&gt; 1943 &lt;/ option&gt; &lt;option value = ""1942""&gt; 1942 &lt;/ option&gt; &lt;option value = ""1941""&gt; 19"&amp;"41 &lt;/ option&gt; &lt; option value = ""1940""&gt; 1940 &lt;/ option&gt; &lt;option value = ""1939""&gt; 1939 &lt;/ option&gt; &lt;option value = ""1938""&gt; 1938 &lt;/ option&gt; &lt;option value = ""1937""&gt; 1937 &lt;/ option &gt; &lt;option value = ""1936""&gt; 1936 &lt;/ option&gt; &lt;option value = ""1935""&gt; 193"&amp;"5 &lt;/ option&gt; &lt;option value = ""1934""&gt; 1934 &lt;/ option&gt; &lt;option value = ""1933""&gt; 1933 &lt; / option&gt; &lt;option value = ""1932""&gt; 1932 &lt;/ option&gt; &lt;option value = ""1931""&gt; 1931 &lt;/ option&gt; &lt;option v alue = ""1930""&gt; 1930 &lt;/ option&gt; &lt;option value = ""1929""&gt; 1929"&amp;" &lt;/ option&gt; &lt;option value = ""1928""&gt; 1928 &lt;/ option&gt; &lt;option value = ""1927""&gt; 1927 &lt;/ option&gt; &lt;option value = ""1926""&gt; 1926 &lt;/ option&gt; &lt;option value = ""1925""&gt; 1925 &lt;/ option&gt; &lt;option value = ""1924""&gt; 1924 &lt;/ option&gt; &lt;option value = ""1923""&gt; 1923 &lt;/"&amp;" option&gt; &lt;option value = ""1922""&gt; 1922 &lt;/ option&gt; &lt;option value = ""1921""&gt; 1921 &lt;/ option&gt; &lt;option value = ""1920""&gt; 1920 &lt;/ option&gt; &lt;option value = ""1919""&gt; 1919 &lt;/ option&gt; &lt;option value = ""1918""&gt; 1918 &lt;/ option&gt; &lt;option value = ""1917""&gt; 1917 &lt;/ op"&amp;"tion&gt; &lt;option value = ""1916""&gt; 1916 &lt;/ option&gt; &lt;option value = ""1915"" &gt; 1915 &lt;/ option&gt; &lt;option value = ""1914""&gt; 1914 &lt;/ option&gt; &lt;option value = ""1913""&gt; 1913 &lt;/ option&gt; &lt;option value = ""1912""&gt; 1912 &lt;/ option&gt; &lt;option value = "" 1911 ""&gt; 1911 &lt;/ op"&amp;"tion&gt; &lt;option value ="" 1910 ""&gt; 1910 &lt;/ option&gt; &lt;option value ="" 1909 ""&gt; 1909 &lt;/ option&gt; &lt;option value ="" 1908 ""&gt; 1908 &lt;/ option&gt; &lt;option value = ""1907""&gt; 1907 &lt;/ option&gt; &lt;option value = ""1906""&gt; 1906 &lt;/ option&gt; &lt;option value = ""1905""&gt; 1905 &lt;/ op"&amp;"tion&gt; &lt;option value = ""1904""&gt; 1904 &lt;/ option&gt; &lt; option value = ""1903""&gt; 1903 &lt;/ option&gt; &lt;option value = ""1902""&gt; 1902 &lt;/ option&gt; &lt;option value = ""1901""&gt; 19 01 &lt;/ option&gt; &lt;option value = ""1900""&gt; 1900 &lt;/ option&gt; &lt;/ select&gt; &lt;div tabindex = ""- 1"" cl"&amp;"ass = ""airy-age-gate-submit airy-submit-button airy airy-submit- disabled ""&gt; Submit &lt;/ div&gt; &lt;/ div&gt; &lt;/ div&gt; &lt;/ div&gt; &lt;/ div&gt; &lt;/ div&gt; &lt;div tabindex ="" - 1 ""class ="" airy-install-flash-dialog airy-course airy -Vertical-centering-table dialog airy-airy-d"&amp;"enied ""style ="" opacity: 0; visibility: hidden; ""&gt; &lt;div tabindex ="" - 1 ""class ="" airy-install-flash-vertical-centering-table-cell airy-vertical-centering-table-cell ""&gt; &lt;div tabindex ="" - 1 ""class = ""airy-vertical-centering-wrapper airy-install-"&amp;"flash-elements-wrapper""&gt; &lt;div tabindex = ""- 1"" class = ""airy-install-flash-elements airy-dialog-elements""&gt; &lt;div tabindex = "" -1 ""class ="" airy-install-flash-prompt ""&gt; Adobe Flash Player is required to watch this video &lt;/ div&gt; &lt;div = tabindex."" -"&amp;" 1 ""class ="" airy-install-flash-button-wrapper airy -dialog-inner-elements ""&gt; &lt;div tabindex ="" - 1 ""class ="" airy-install-flash-button airy-button ""&gt; install Flash Player &lt;/ div&gt; &lt;/ div&gt; &lt;/ div&gt; &lt;/ div&gt; &lt;/ div&gt; &lt;/ div&gt; &lt;div tabindex = ""- 1"" class"&amp;" = ""airy-video-unsupported-dialog airy-course airy-vertical-centering table-airy-dialog airy-denied"" style = ""opacity: 0; visibility: hidden; ""&gt; &lt;div tabindex ="" - 1 ""class ="" airy-video-unsupported-vertical-centering-table-cell airy-vertical-cente"&amp;"ring-table-cell ""&gt; &lt;div tabindex ="" - 1 ""class = ""airy-vertical-centering-wrapper airy-video-unsupported-elements-wrapper""&gt; &lt;div tabindex = ""- 1"" class = ""airy-video-unsupported-elements airy-dialog-elements""&gt; &lt;div tabindex = "" -1 ""class ="" ai"&amp;"ry-video-unsupported-prompt ""&gt; &lt;/ div&gt; &lt;/ div&gt; &lt;/ div&gt; &lt;/ div&gt; &lt;/ div&gt; &lt;div tabindex ="" - 1 ""class ="" airy-loading- spinner-stage airy-stage ""&gt; &lt;div tabindex ="" - 1 ""class ="" airy-loading-spinner-vertical-centering-table-cell airy-vertical-centeri"&amp;"ng-table-cell ""&gt; &lt;div tabindex ="" - 1 ""class ="" airy-loading-spinner container airy-scalable-hint-container ""&gt; &lt;div tabindex ="" - 1 ""class ="" airy-loading-spinner-dummy airy-scalable-dummy ""&gt; &lt;/ div&gt; &lt; div tabindex = ""- 1"" class = ""airy-loadin"&amp;"g-spinner airy-hint"" style = ""visibility: hidden;""&gt; &lt;/ div&gt; &lt;/ div&gt; &lt;/ div&gt; &lt;/ div&gt; &lt;div tabindex = ""- 1 ""class ="" airy-ads-screen-size-toggle airy-screen-size-toggle airy-fullscreen ""style ="" visibility: hidden; ""&gt; &lt;/ div&gt; &lt;div tabindex = ""-1"""&amp;" class = ""airy-ad-prompt-container"" style = ""visibility: hidden;""&gt; &lt;div tabindex = ""- 1"" class = ""airy-ad-prompt-vertical-centering table-airy-vertical- centering-table ""&gt; &lt;div tabindex ="" - 1 ""class ="" airy-ad-prompt-vertical-centering-table-c"&amp;"ell airy-vertical-centering-table-cell ""&gt; &lt;div tabindex ="" - 1 ""class = ""airy-ad-prompt-label""&gt; &lt;/ div&gt; &lt;/ div&gt; &lt;/ div&gt; &lt;/ div&gt; &lt;div tabindex = ""- 1"" class = ""airy-ads-controls-container"" style = ""visibility: hidden; ""&gt; &lt;div tabindex ="" - 1 """&amp;"class ="" airy-ads-audio-toggle airy-audio-toggle airy-on ""style ="" visibility: hidden; ""&gt; &lt;/ div&gt; &lt;div tabindex ="" - 1 ""class ="" airy-time-remaining-label-container ""&gt; &lt;div tabindex ="" - 1 ""class ="" airy-time-remaining-vertical-centering table-"&amp;"airy-vertical-centering-table ""&gt; &lt;div tabindex = ""- 1"" class = ""airy-time-remaining-vertical-centering-table-cell airy-vertical-centering-table-cell""&gt; &lt;div tabindex = ""- 1"" class = ""airy-vertical-centering-wrapper airy-time-remaining-label-wrapper"&amp;" ""&gt; &lt;div tabindex ="" - 1 ""class ="" airy-time-remaining-label ""style ="" visibility: hidden; ""&gt; &lt;/ div&gt; &lt;div tabi ndex = ""- 1"" class = ""airy-ad-skip"" style = ""visibility: hidden;""&gt; &lt;/ div&gt; &lt;div tabindex = ""- 1"" class = ""airy-ad-end"" style ="&amp;" ""visibility: hidden; ""&gt; &lt;/ div&gt; &lt;/ div&gt; &lt;/ div&gt; &lt;/ div&gt; &lt;/ div&gt; &lt;div tabindex ="" - 1 ""class ="" airy-learn-more ""style ="" visibility: hidden; ""&gt; &lt;/ div&gt; &lt;/ div&gt; &lt;div tabindex = ""- 1"" class = ""airy-play-toggle-hint-stage airy-course airy-cursor"&amp;"""&gt; &lt;div tabindex = ""- 1"" class = ""airy-play -toggle-hint-vertical-centering-table-cell airy-vertical-centering-table-cell airy-cursor ""&gt; &lt;div tabindex ="" - 1 ""class ="" airy-play-toggle-hint-container airy-scalable- hint-container ""&gt; &lt;div tabindex"&amp;" ="" - 1 ""class ="" airy-play-toggle-hint-dummy airy-scalable-dummy ""&gt; &lt;/ div&gt; &lt;div tabindex ="" - 1 ""class ="" airy-play -toggle airy-hint-hint-hint airy-play ""style ="" opacity: 1; visibility: visible; ""&gt; &lt;/ div&gt; &lt;/ div&gt; &lt;/ div&gt; &lt;/ div&gt; &lt;div tabind"&amp;"ex ="" - 1 ""class ="" airy-replay-hint-stage airy-stage ""style ="" visibility: hidden ; ""&gt; &lt;div tabindex ="" - 1 ""class ="" airy-replay-hint-vertical-centering-table-cell airy-vertical-centering-table-cell airy-cursor ""&gt; &lt;div tabindex ="" - 1 ""class"&amp;" = ""airy-replay-hint-container airy-scalable-hint-container""&gt; &lt;div tabindex = ""- 1"" class = ""airy-replay-hint-dummy airy-scalable-dummy""&gt; &lt;/ div&gt; &lt;div tabindex = ""- 1"" class = ""airy-replay-hint airy-hint""&gt; &lt;/ div&gt; &lt;/ div&gt; &lt;/ div&gt; &lt;/ div&gt; &lt;div ta"&amp;"bindex = ""- 1"" class = ""airy-autoplay-hint -stage airy-stage ""style ="" visibility: hidden; ""&gt; &lt;div tabindex ="" - 1 ""class ="" airy-autoplay-hint-vertical-centering-table-cell airy-vertical-centering-table-cell airy- cursor ""&gt; &lt;div tabindex ="" - "&amp;"1 ""class ="" autoplay airy-airy-hint-container-scalable-hint-container ""&gt; &lt;div tabindex ="" - 1 ""class ="" airy-autoplay-hint-dummy airy- scalable-dummy ""&gt; &lt;/ div&gt; &lt;/ div&gt; &lt;/ div&gt; &lt;/ div&gt; &lt;/ div&gt; &lt;/ div&gt; &lt;input type ="" hidden ""name ="" ""value ="" h"&amp;"ttps: // pictures-eu .ssl-image amazon.com / images / I / 81It75CR4gS.mp4 ""Class ="" video-url ""&gt; &lt;input type ="" hidden ""name ="" ""value ="" https://images-eu.ssl-images-amazon.com/images/I/81j1RDIj7qS.png ""class ="" video-slate-img-url ""&gt; &amp; nbsp; "&amp;"I use the LOTUS wet toilet paper from some time now and I am delighted, ideal for the whole family and children Husband 😂 he were sent to my test and I adopted. After use I feel fresh and clean I recommend 100%. #MomentLotus")</f>
        <v>The notice of adele &lt;div id = "video-block-R1OYBJ66D0X13S" class = "a-section-spacing-small-spacing has-top video mini-block"&gt; &lt;div tabindex = "0" class = " airy airy-svg vmin-supported airy-skin-beacon "style =" background-color: rgb (0, 0, 0); position: relative; width: 100%; height: 100%; font-size: 0px; overflow : hidden; outline: none; "&gt; &lt;div class =" airy-renderer-container "style =" position: relative; height: 100%; width: 100%; "&gt; &lt;video id =" 15 "preload =" auto "src =" https://images-eu.ssl-images-amazon.com/images/I/81It75CR4gS.mp4 "style =" position: absolute; left: 0px; top: 0px; overflow: hidden; height: 1px ; width: 1px; "&gt; &lt;/ video&gt; &lt;/ div&gt; &lt;div id =" airy-slate-preload "style =" background-color: rgb (0, 0, 0); background-image: url (&amp; quot; https://images-eu.ssl-images-amazon.com/images/I/81j1RDIj7qS.png&amp;quot;); background-size: contain; background-position: center center; background-repeat: no-repeat; position: absolute ; top: 0px; left: 0px; visibility: visible; width: 100%; height: 100% "&gt; &lt;/ div&gt; &lt;iframe scrolli 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0:05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airy-progress-bar "style =" width: 100%; "&gt; &lt;/ div&gt; &lt;div tabindex =" - 1 "class =" airy-scrubber 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81It75CR4gS.mp4 "Class =" video-url "&gt; &lt;input type =" hidden "name =" "value =" https://images-eu.ssl-images-amazon.com/images/I/81j1RDIj7qS.png "class =" video-slate-img-url "&gt; &amp; nbsp; I use the LOTUS wet toilet paper from some time now and I am delighted, ideal for the whole family and children Husband 😂 he were sent to my test and I adopted. After use I feel fresh and clean I recommend 100%. #MomentLotus</v>
      </c>
    </row>
    <row r="3522">
      <c r="A3522" s="1">
        <v>5.0</v>
      </c>
      <c r="B3522" s="1" t="s">
        <v>3490</v>
      </c>
      <c r="C3522" t="str">
        <f>IFERROR(__xludf.DUMMYFUNCTION("GOOGLETRANSLATE(B3522, ""fr"", ""en"")"),"Super gorgeous, goes with everything, nothing to say, great!")</f>
        <v>Super gorgeous, goes with everything, nothing to say, great!</v>
      </c>
    </row>
    <row r="3523">
      <c r="A3523" s="1">
        <v>5.0</v>
      </c>
      <c r="B3523" s="1" t="s">
        <v>3491</v>
      </c>
      <c r="C3523" t="str">
        <f>IFERROR(__xludf.DUMMYFUNCTION("GOOGLETRANSLATE(B3523, ""fr"", ""en"")"),"Recommends ++ product conforms to the description ... Attention is only suitable for baby bottles anti colliques Closer to nature, with the anti air inside system")</f>
        <v>Recommends ++ product conforms to the description ... Attention is only suitable for baby bottles anti colliques Closer to nature, with the anti air inside system</v>
      </c>
    </row>
    <row r="3524">
      <c r="A3524" s="1">
        <v>5.0</v>
      </c>
      <c r="B3524" s="1" t="s">
        <v>3492</v>
      </c>
      <c r="C3524" t="str">
        <f>IFERROR(__xludf.DUMMYFUNCTION("GOOGLETRANSLATE(B3524, ""fr"", ""en"")"),"Nickel Meets description! 👍🏻")</f>
        <v>Nickel Meets description! 👍🏻</v>
      </c>
    </row>
    <row r="3525">
      <c r="A3525" s="1">
        <v>5.0</v>
      </c>
      <c r="B3525" s="1" t="s">
        <v>3493</v>
      </c>
      <c r="C3525" t="str">
        <f>IFERROR(__xludf.DUMMYFUNCTION("GOOGLETRANSLATE(B3525, ""fr"", ""en"")"),"On Huawei p20 pro works well rode the SC7 used to fed the microphone rode on his smartphone works well no worries. I use a Huawei p20 pro and it is important to know that it takes to download an application called Playstore camera on and go to settings to"&amp;" select external microphone. I explain all its because there are people who understand nothing and instead of seeking the solution his whines because its not working. Nothing to say about the product even rode to run.")</f>
        <v>On Huawei p20 pro works well rode the SC7 used to fed the microphone rode on his smartphone works well no worries. I use a Huawei p20 pro and it is important to know that it takes to download an application called Playstore camera on and go to settings to select external microphone. I explain all its because there are people who understand nothing and instead of seeking the solution his whines because its not working. Nothing to say about the product even rode to run.</v>
      </c>
    </row>
    <row r="3526">
      <c r="A3526" s="1">
        <v>2.0</v>
      </c>
      <c r="B3526" s="1" t="s">
        <v>3494</v>
      </c>
      <c r="C3526" t="str">
        <f>IFERROR(__xludf.DUMMYFUNCTION("GOOGLETRANSLATE(B3526, ""fr"", ""en"")"),"Too much blah, too heavy, every day it is complicated to keep the feet ... To drive, I not even speak, too rigid ..")</f>
        <v>Too much blah, too heavy, every day it is complicated to keep the feet ... To drive, I not even speak, too rigid ..</v>
      </c>
    </row>
    <row r="3527">
      <c r="A3527" s="1">
        <v>1.0</v>
      </c>
      <c r="B3527" s="1" t="s">
        <v>3495</v>
      </c>
      <c r="C3527" t="str">
        <f>IFERROR(__xludf.DUMMYFUNCTION("GOOGLETRANSLATE(B3527, ""fr"", ""en"")"),"Visual wrong Despite the visual display 2017, the block pratic 2016 I received (and will therefore return to Amazon, because what I'm going to a 2nd block 2016 to 3 months of end of the year...).")</f>
        <v>Visual wrong Despite the visual display 2017, the block pratic 2016 I received (and will therefore return to Amazon, because what I'm going to a 2nd block 2016 to 3 months of end of the year...).</v>
      </c>
    </row>
    <row r="3528">
      <c r="A3528" s="1">
        <v>1.0</v>
      </c>
      <c r="B3528" s="1" t="s">
        <v>3496</v>
      </c>
      <c r="C3528" t="str">
        <f>IFERROR(__xludf.DUMMYFUNCTION("GOOGLETRANSLATE(B3528, ""fr"", ""en"")"),"Two pairs instead of three I am very disappointed because I have only received two pairs in my package as the ad says three!")</f>
        <v>Two pairs instead of three I am very disappointed because I have only received two pairs in my package as the ad says three!</v>
      </c>
    </row>
    <row r="3529">
      <c r="A3529" s="1">
        <v>3.0</v>
      </c>
      <c r="B3529" s="1" t="s">
        <v>3497</v>
      </c>
      <c r="C3529" t="str">
        <f>IFERROR(__xludf.DUMMYFUNCTION("GOOGLETRANSLATE(B3529, ""fr"", ""en"")"),"too small even in size 47 it's just, I usually do rather 46.5. I had to make the referral. If not very good, and comfortable")</f>
        <v>too small even in size 47 it's just, I usually do rather 46.5. I had to make the referral. If not very good, and comfortable</v>
      </c>
    </row>
    <row r="3530">
      <c r="A3530" s="1">
        <v>3.0</v>
      </c>
      <c r="B3530" s="1" t="s">
        <v>3498</v>
      </c>
      <c r="C3530" t="str">
        <f>IFERROR(__xludf.DUMMYFUNCTION("GOOGLETRANSLATE(B3530, ""fr"", ""en"")"),"soft and thin blanket a bit small for my taste. good quality but I find it very fine and the portion covering the heating turvy son is too fine and not sewn together ;-( I doubt that the quality withstands time. Very nice brown color and very soft materia"&amp;"l.")</f>
        <v>soft and thin blanket a bit small for my taste. good quality but I find it very fine and the portion covering the heating turvy son is too fine and not sewn together ;-( I doubt that the quality withstands time. Very nice brown color and very soft material.</v>
      </c>
    </row>
    <row r="3531">
      <c r="A3531" s="1">
        <v>4.0</v>
      </c>
      <c r="B3531" s="1" t="s">
        <v>3499</v>
      </c>
      <c r="C3531" t="str">
        <f>IFERROR(__xludf.DUMMYFUNCTION("GOOGLETRANSLATE(B3531, ""fr"", ""en"")"),"Catouches Epson compatible ink cartridges are identical to those from Epson, they are usable despite that do not may know the printer. Tricks to bypass the blockage wanted by Epson are available online. After several weeks of use, they give all satisfacti"&amp;"ons. This is perfect because the value for money is very atractif")</f>
        <v>Catouches Epson compatible ink cartridges are identical to those from Epson, they are usable despite that do not may know the printer. Tricks to bypass the blockage wanted by Epson are available online. After several weeks of use, they give all satisfactions. This is perfect because the value for money is very atractif</v>
      </c>
    </row>
    <row r="3532">
      <c r="A3532" s="1">
        <v>4.0</v>
      </c>
      <c r="B3532" s="1" t="s">
        <v>3500</v>
      </c>
      <c r="C3532" t="str">
        <f>IFERROR(__xludf.DUMMYFUNCTION("GOOGLETRANSLATE(B3532, ""fr"", ""en"")"),"satisfied I like the style and comfort it gives me when I walk in any case I like it well")</f>
        <v>satisfied I like the style and comfort it gives me when I walk in any case I like it well</v>
      </c>
    </row>
    <row r="3533">
      <c r="A3533" s="1">
        <v>4.0</v>
      </c>
      <c r="B3533" s="1" t="s">
        <v>3501</v>
      </c>
      <c r="C3533" t="str">
        <f>IFERROR(__xludf.DUMMYFUNCTION("GOOGLETRANSLATE(B3533, ""fr"", ""en"")"),"Convenient but still expensive Small brush that loving correctly on a table (note the attraction is weak) and clears niquel. Too bad the price is a bit high (9 € without delivery), nevertheless the quality is there, I recommend anyway.")</f>
        <v>Convenient but still expensive Small brush that loving correctly on a table (note the attraction is weak) and clears niquel. Too bad the price is a bit high (9 € without delivery), nevertheless the quality is there, I recommend anyway.</v>
      </c>
    </row>
    <row r="3534">
      <c r="A3534" s="1">
        <v>4.0</v>
      </c>
      <c r="B3534" s="1" t="s">
        <v>3502</v>
      </c>
      <c r="C3534" t="str">
        <f>IFERROR(__xludf.DUMMYFUNCTION("GOOGLETRANSLATE(B3534, ""fr"", ""en"")"),"Great Works great")</f>
        <v>Great Works great</v>
      </c>
    </row>
    <row r="3535">
      <c r="A3535" s="1">
        <v>5.0</v>
      </c>
      <c r="B3535" s="1" t="s">
        <v>3503</v>
      </c>
      <c r="C3535" t="str">
        <f>IFERROR(__xludf.DUMMYFUNCTION("GOOGLETRANSLATE(B3535, ""fr"", ""en"")"),"Pretty nice it feels good inside")</f>
        <v>Pretty nice it feels good inside</v>
      </c>
    </row>
    <row r="3536">
      <c r="A3536" s="1">
        <v>5.0</v>
      </c>
      <c r="B3536" s="1" t="s">
        <v>3504</v>
      </c>
      <c r="C3536" t="str">
        <f>IFERROR(__xludf.DUMMYFUNCTION("GOOGLETRANSLATE(B3536, ""fr"", ""en"")"),"Egal description Ras")</f>
        <v>Egal description Ras</v>
      </c>
    </row>
    <row r="3537">
      <c r="A3537" s="1">
        <v>5.0</v>
      </c>
      <c r="B3537" s="1" t="s">
        <v>3505</v>
      </c>
      <c r="C3537" t="str">
        <f>IFERROR(__xludf.DUMMYFUNCTION("GOOGLETRANSLATE(B3537, ""fr"", ""en"")"),"Perfect Blocker sober and beautiful. Discreet and perfect")</f>
        <v>Perfect Blocker sober and beautiful. Discreet and perfect</v>
      </c>
    </row>
    <row r="3538">
      <c r="A3538" s="1">
        <v>5.0</v>
      </c>
      <c r="B3538" s="1" t="s">
        <v>3506</v>
      </c>
      <c r="C3538" t="str">
        <f>IFERROR(__xludf.DUMMYFUNCTION("GOOGLETRANSLATE(B3538, ""fr"", ""en"")"),"great perfect size! - well covers the entire back - hard heat long - perfect for the lower back rather I recommend this compress linen q'au electric heating pad")</f>
        <v>great perfect size! - well covers the entire back - hard heat long - perfect for the lower back rather I recommend this compress linen q'au electric heating pad</v>
      </c>
    </row>
    <row r="3539">
      <c r="A3539" s="1">
        <v>5.0</v>
      </c>
      <c r="B3539" s="1" t="s">
        <v>3507</v>
      </c>
      <c r="C3539" t="str">
        <f>IFERROR(__xludf.DUMMYFUNCTION("GOOGLETRANSLATE(B3539, ""fr"", ""en"")"),"supercontente of this book for my grandchildren, reading suitable for a beginning PC")</f>
        <v>supercontente of this book for my grandchildren, reading suitable for a beginning PC</v>
      </c>
    </row>
    <row r="3540">
      <c r="A3540" s="1">
        <v>5.0</v>
      </c>
      <c r="B3540" s="1" t="s">
        <v>3508</v>
      </c>
      <c r="C3540" t="str">
        <f>IFERROR(__xludf.DUMMYFUNCTION("GOOGLETRANSLATE(B3540, ""fr"", ""en"")"),"Top Super pretty.")</f>
        <v>Top Super pretty.</v>
      </c>
    </row>
    <row r="3541">
      <c r="A3541" s="1">
        <v>5.0</v>
      </c>
      <c r="B3541" s="1" t="s">
        <v>3509</v>
      </c>
      <c r="C3541" t="str">
        <f>IFERROR(__xludf.DUMMYFUNCTION("GOOGLETRANSLATE(B3541, ""fr"", ""en"")"),"Waste very solid day")</f>
        <v>Waste very solid day</v>
      </c>
    </row>
    <row r="3542">
      <c r="A3542" s="1">
        <v>5.0</v>
      </c>
      <c r="B3542" s="1" t="s">
        <v>3510</v>
      </c>
      <c r="C3542" t="str">
        <f>IFERROR(__xludf.DUMMYFUNCTION("GOOGLETRANSLATE(B3542, ""fr"", ""en"")"),"Top of the top Top notch the top of the best of the best of the best. ... the top of the top. In a word, great!")</f>
        <v>Top of the top Top notch the top of the best of the best of the best. ... the top of the top. In a word, great!</v>
      </c>
    </row>
    <row r="3543">
      <c r="A3543" s="1">
        <v>5.0</v>
      </c>
      <c r="B3543" s="1" t="s">
        <v>3511</v>
      </c>
      <c r="C3543" t="str">
        <f>IFERROR(__xludf.DUMMYFUNCTION("GOOGLETRANSLATE(B3543, ""fr"", ""en"")"),"Matches perfectly brilliant in the image and is very comfortable to wear")</f>
        <v>Matches perfectly brilliant in the image and is very comfortable to wear</v>
      </c>
    </row>
    <row r="3544">
      <c r="A3544" s="1">
        <v>5.0</v>
      </c>
      <c r="B3544" s="1" t="s">
        <v>3512</v>
      </c>
      <c r="C3544" t="str">
        <f>IFERROR(__xludf.DUMMYFUNCTION("GOOGLETRANSLATE(B3544, ""fr"", ""en"")"),"Leggings perfect! I was looking for leggings for winter, but I do not want to fleece well I am delighted. They are thick, but just enough for the cold. The quality is excellent for me. The wide belt pleases me enormously, comfort level is the top. If ther"&amp;"e were more colors, it would have been even sweeter. These leggings are my favorites.")</f>
        <v>Leggings perfect! I was looking for leggings for winter, but I do not want to fleece well I am delighted. They are thick, but just enough for the cold. The quality is excellent for me. The wide belt pleases me enormously, comfort level is the top. If there were more colors, it would have been even sweeter. These leggings are my favorites.</v>
      </c>
    </row>
    <row r="3545">
      <c r="A3545" s="1">
        <v>5.0</v>
      </c>
      <c r="B3545" s="1" t="s">
        <v>3513</v>
      </c>
      <c r="C3545" t="str">
        <f>IFERROR(__xludf.DUMMYFUNCTION("GOOGLETRANSLATE(B3545, ""fr"", ""en"")"),"Perfectly adapted! The shoes are very good. Worn everyday by my son are not deformed and have not slumped. The black remains black. Perfect.")</f>
        <v>Perfectly adapted! The shoes are very good. Worn everyday by my son are not deformed and have not slumped. The black remains black. Perfect.</v>
      </c>
    </row>
    <row r="3546">
      <c r="A3546" s="1">
        <v>5.0</v>
      </c>
      <c r="B3546" s="1" t="s">
        <v>3514</v>
      </c>
      <c r="C3546" t="str">
        <f>IFERROR(__xludf.DUMMYFUNCTION("GOOGLETRANSLATE(B3546, ""fr"", ""en"")"),"Excellent Excellent notebook stand allowing easy adjustment for a better use of it and also to attach the connection cables.")</f>
        <v>Excellent Excellent notebook stand allowing easy adjustment for a better use of it and also to attach the connection cables.</v>
      </c>
    </row>
    <row r="3547">
      <c r="A3547" s="1">
        <v>5.0</v>
      </c>
      <c r="B3547" s="1" t="s">
        <v>3515</v>
      </c>
      <c r="C3547" t="str">
        <f>IFERROR(__xludf.DUMMYFUNCTION("GOOGLETRANSLATE(B3547, ""fr"", ""en"")"),"Perfect beautiful necklace I am delighted")</f>
        <v>Perfect beautiful necklace I am delighted</v>
      </c>
    </row>
    <row r="3548">
      <c r="A3548" s="1">
        <v>5.0</v>
      </c>
      <c r="B3548" s="1" t="s">
        <v>3516</v>
      </c>
      <c r="C3548" t="str">
        <f>IFERROR(__xludf.DUMMYFUNCTION("GOOGLETRANSLATE(B3548, ""fr"", ""en"")"),"Good value for money. For sport and the city. Aesthetics and quality.")</f>
        <v>Good value for money. For sport and the city. Aesthetics and quality.</v>
      </c>
    </row>
    <row r="3549">
      <c r="A3549" s="1">
        <v>5.0</v>
      </c>
      <c r="B3549" s="1" t="s">
        <v>3517</v>
      </c>
      <c r="C3549" t="str">
        <f>IFERROR(__xludf.DUMMYFUNCTION("GOOGLETRANSLATE(B3549, ""fr"", ""en"")"),"LAPASA LEGGING PRODUCT RELATED TO MY EXPECTATIONS. PRETTY leggings SUITABLE FOR SPORTS. GOOD SIZE. FAST DELIVERY. I AM PLEASED WITH MY ORDER.")</f>
        <v>LAPASA LEGGING PRODUCT RELATED TO MY EXPECTATIONS. PRETTY leggings SUITABLE FOR SPORTS. GOOD SIZE. FAST DELIVERY. I AM PLEASED WITH MY ORDER.</v>
      </c>
    </row>
    <row r="3550">
      <c r="A3550" s="1">
        <v>2.0</v>
      </c>
      <c r="B3550" s="1" t="s">
        <v>3518</v>
      </c>
      <c r="C3550" t="str">
        <f>IFERROR(__xludf.DUMMYFUNCTION("GOOGLETRANSLATE(B3550, ""fr"", ""en"")"),"disappointed chain is not like the picture, it is more gray than silver and that's not the same mesh, and the pendant is nice but not worth the price. I will request the return. too expensive for what it is.")</f>
        <v>disappointed chain is not like the picture, it is more gray than silver and that's not the same mesh, and the pendant is nice but not worth the price. I will request the return. too expensive for what it is.</v>
      </c>
    </row>
    <row r="3551">
      <c r="A3551" s="1">
        <v>1.0</v>
      </c>
      <c r="B3551" s="1" t="s">
        <v>3519</v>
      </c>
      <c r="C3551" t="str">
        <f>IFERROR(__xludf.DUMMYFUNCTION("GOOGLETRANSLATE(B3551, ""fr"", ""en"")"),"Backfiring, slightly fragrant, yellowish ... On a reel, you must also purchase a hearing protective helmet because it makes as much noise as firecrackers in a Chinatown street the day of the year ... deafening! This is not a joke! It also has a slight odo"&amp;"r, and is irregular and yellowish ... not sure to use it worth it to save a few euros ... I prefer the roll Tesa transparent")</f>
        <v>Backfiring, slightly fragrant, yellowish ... On a reel, you must also purchase a hearing protective helmet because it makes as much noise as firecrackers in a Chinatown street the day of the year ... deafening! This is not a joke! It also has a slight odor, and is irregular and yellowish ... not sure to use it worth it to save a few euros ... I prefer the roll Tesa transparent</v>
      </c>
    </row>
    <row r="3552">
      <c r="A3552" s="1">
        <v>1.0</v>
      </c>
      <c r="B3552" s="1" t="s">
        <v>3520</v>
      </c>
      <c r="C3552" t="str">
        <f>IFERROR(__xludf.DUMMYFUNCTION("GOOGLETRANSLATE(B3552, ""fr"", ""en"")"),"To avoid dangerous laundry My children and I have irritated skin after using these detergents !!!! I fate of the cloths with my hands. I have itchy skin and immediately buttons. I only use on jackets and coats now to finish them.")</f>
        <v>To avoid dangerous laundry My children and I have irritated skin after using these detergents !!!! I fate of the cloths with my hands. I have itchy skin and immediately buttons. I only use on jackets and coats now to finish them.</v>
      </c>
    </row>
    <row r="3553">
      <c r="A3553" s="1">
        <v>3.0</v>
      </c>
      <c r="B3553" s="1" t="s">
        <v>3521</v>
      </c>
      <c r="C3553" t="str">
        <f>IFERROR(__xludf.DUMMYFUNCTION("GOOGLETRANSLATE(B3553, ""fr"", ""en"")"),"A little disappointed by color. Good quality Disappointed by color. Good quality")</f>
        <v>A little disappointed by color. Good quality Disappointed by color. Good quality</v>
      </c>
    </row>
    <row r="3554">
      <c r="A3554" s="1">
        <v>4.0</v>
      </c>
      <c r="B3554" s="1" t="s">
        <v>3522</v>
      </c>
      <c r="C3554" t="str">
        <f>IFERROR(__xludf.DUMMYFUNCTION("GOOGLETRANSLATE(B3554, ""fr"", ""en"")"),"Unable to unfold only The table is very stable and comfortable but no bar to keep it open completely. Suddenly and saw the weights, I want to correct one to install it, it folds on me ... Can not bring it up alone. Too bad but hey I am very happy anyway")</f>
        <v>Unable to unfold only The table is very stable and comfortable but no bar to keep it open completely. Suddenly and saw the weights, I want to correct one to install it, it folds on me ... Can not bring it up alone. Too bad but hey I am very happy anyway</v>
      </c>
    </row>
    <row r="3555">
      <c r="A3555" s="1">
        <v>4.0</v>
      </c>
      <c r="B3555" s="1" t="s">
        <v>3523</v>
      </c>
      <c r="C3555" t="str">
        <f>IFERROR(__xludf.DUMMYFUNCTION("GOOGLETRANSLATE(B3555, ""fr"", ""en"")"),"Levi's T-shirt boy ... Super Quality / Price ... Size a little big, but good ....")</f>
        <v>Levi's T-shirt boy ... Super Quality / Price ... Size a little big, but good ....</v>
      </c>
    </row>
    <row r="3556">
      <c r="A3556" s="1">
        <v>4.0</v>
      </c>
      <c r="B3556" s="1" t="s">
        <v>3524</v>
      </c>
      <c r="C3556" t="str">
        <f>IFERROR(__xludf.DUMMYFUNCTION("GOOGLETRANSLATE(B3556, ""fr"", ""en"")"),"light and beautiful Things are heating up a little big I play 42 and I still manage to move the thumb in the heel for the one who makes the 42 is better that he buys 41")</f>
        <v>light and beautiful Things are heating up a little big I play 42 and I still manage to move the thumb in the heel for the one who makes the 42 is better that he buys 41</v>
      </c>
    </row>
    <row r="3557">
      <c r="A3557" s="1">
        <v>4.0</v>
      </c>
      <c r="B3557" s="1" t="s">
        <v>3525</v>
      </c>
      <c r="C3557" t="str">
        <f>IFERROR(__xludf.DUMMYFUNCTION("GOOGLETRANSLATE(B3557, ""fr"", ""en"")"),"Discreet Just as I wanted.")</f>
        <v>Discreet Just as I wanted.</v>
      </c>
    </row>
    <row r="3558">
      <c r="A3558" s="1">
        <v>5.0</v>
      </c>
      <c r="B3558" s="1" t="s">
        <v>3526</v>
      </c>
      <c r="C3558" t="str">
        <f>IFERROR(__xludf.DUMMYFUNCTION("GOOGLETRANSLATE(B3558, ""fr"", ""en"")"),"Great deal. Good quality. Various sizes. Received on time")</f>
        <v>Great deal. Good quality. Various sizes. Received on time</v>
      </c>
    </row>
    <row r="3559">
      <c r="A3559" s="1">
        <v>5.0</v>
      </c>
      <c r="B3559" s="1" t="s">
        <v>3527</v>
      </c>
      <c r="C3559" t="str">
        <f>IFERROR(__xludf.DUMMYFUNCTION("GOOGLETRANSLATE(B3559, ""fr"", ""en"")"),"So sing! I have nothing to say frankly, it's a great device that premet taken to make its fantastic. Awesome. I recommend Easy to set up. The many adjustments are made directly on the microphone. It really facilitates use. The support is solid, plastic of"&amp;" good quality.")</f>
        <v>So sing! I have nothing to say frankly, it's a great device that premet taken to make its fantastic. Awesome. I recommend Easy to set up. The many adjustments are made directly on the microphone. It really facilitates use. The support is solid, plastic of good quality.</v>
      </c>
    </row>
    <row r="3560">
      <c r="A3560" s="1">
        <v>5.0</v>
      </c>
      <c r="B3560" s="1" t="s">
        <v>3528</v>
      </c>
      <c r="C3560" t="str">
        <f>IFERROR(__xludf.DUMMYFUNCTION("GOOGLETRANSLATE(B3560, ""fr"", ""en"")"),"USB Midi Interface Simple, effective, and works perfectly, only regret, the cable length (already 2m) could make one more.")</f>
        <v>USB Midi Interface Simple, effective, and works perfectly, only regret, the cable length (already 2m) could make one more.</v>
      </c>
    </row>
    <row r="3561">
      <c r="A3561" s="1">
        <v>5.0</v>
      </c>
      <c r="B3561" s="1" t="s">
        <v>3529</v>
      </c>
      <c r="C3561" t="str">
        <f>IFERROR(__xludf.DUMMYFUNCTION("GOOGLETRANSLATE(B3561, ""fr"", ""en"")"),"Superb Bag This is a very nice article, excellent finishes, trendy, full of pockets, tightly closed, shoulder lining, large capacity I suisvraiment happy")</f>
        <v>Superb Bag This is a very nice article, excellent finishes, trendy, full of pockets, tightly closed, shoulder lining, large capacity I suisvraiment happy</v>
      </c>
    </row>
    <row r="3562">
      <c r="A3562" s="1">
        <v>5.0</v>
      </c>
      <c r="B3562" s="1" t="s">
        <v>3530</v>
      </c>
      <c r="C3562" t="str">
        <f>IFERROR(__xludf.DUMMYFUNCTION("GOOGLETRANSLATE(B3562, ""fr"", ""en"")"),"AMAZING SIMPLICITY There are essentially: time, date, stopwatch, timer, alarm, dual time. You can ring the watch or vibrate. And the settings are childish. The data are very readable. Frankly for the price, there is no hesitation")</f>
        <v>AMAZING SIMPLICITY There are essentially: time, date, stopwatch, timer, alarm, dual time. You can ring the watch or vibrate. And the settings are childish. The data are very readable. Frankly for the price, there is no hesitation</v>
      </c>
    </row>
    <row r="3563">
      <c r="A3563" s="1">
        <v>5.0</v>
      </c>
      <c r="B3563" s="1" t="s">
        <v>3531</v>
      </c>
      <c r="C3563" t="str">
        <f>IFERROR(__xludf.DUMMYFUNCTION("GOOGLETRANSLATE(B3563, ""fr"", ""en"")"),"TOP Always on top the Nuk soothers, my girls love. In addition they are solid. Much better than the teats of the Tigex brand")</f>
        <v>TOP Always on top the Nuk soothers, my girls love. In addition they are solid. Much better than the teats of the Tigex brand</v>
      </c>
    </row>
    <row r="3564">
      <c r="A3564" s="1">
        <v>5.0</v>
      </c>
      <c r="B3564" s="1" t="s">
        <v>3532</v>
      </c>
      <c r="C3564" t="str">
        <f>IFERROR(__xludf.DUMMYFUNCTION("GOOGLETRANSLATE(B3564, ""fr"", ""en"")"),"Perfect Perfect. They take very well. This is really sock sport. I'm so happy that I just recommend 3 Lot 3. Definitely recommended.")</f>
        <v>Perfect Perfect. They take very well. This is really sock sport. I'm so happy that I just recommend 3 Lot 3. Definitely recommended.</v>
      </c>
    </row>
    <row r="3565">
      <c r="A3565" s="1">
        <v>5.0</v>
      </c>
      <c r="B3565" s="1" t="s">
        <v>3533</v>
      </c>
      <c r="C3565" t="str">
        <f>IFERROR(__xludf.DUMMYFUNCTION("GOOGLETRANSLATE(B3565, ""fr"", ""en"")"),"Casio CTK-1500 power supply This eliminates the need for batteries on the piano Casio CTK-1500.")</f>
        <v>Casio CTK-1500 power supply This eliminates the need for batteries on the piano Casio CTK-1500.</v>
      </c>
    </row>
    <row r="3566">
      <c r="A3566" s="1">
        <v>5.0</v>
      </c>
      <c r="B3566" s="1" t="s">
        <v>3534</v>
      </c>
      <c r="C3566" t="str">
        <f>IFERROR(__xludf.DUMMYFUNCTION("GOOGLETRANSLATE(B3566, ""fr"", ""en"")"),"Complies Complies and fast delivery.")</f>
        <v>Complies Complies and fast delivery.</v>
      </c>
    </row>
    <row r="3567">
      <c r="A3567" s="1">
        <v>5.0</v>
      </c>
      <c r="B3567" s="1" t="s">
        <v>3535</v>
      </c>
      <c r="C3567" t="str">
        <f>IFERROR(__xludf.DUMMYFUNCTION("GOOGLETRANSLATE(B3567, ""fr"", ""en"")"),"To recommend! Bravo! I can only recommend this product that meets my expectations. I had looked at prior comparative with other colored pencils brands presented by two YouTubers which highlighted the quality of the Castle pencils. I admit I was a bit worr"&amp;"ied given the attractive price. Well, yes, it's true! the Castle pencils are of almost equal quality to Faber Castell and Caran d'Ache which I also have, for such a lower price. The price / quality ratio is exceptional. I love the smell once you open the "&amp;"box. And then have 120 colors is pure happiness for me. The box was delivered quickly and in perfect condition. I discovered that the pencils were guaranteed for life which is reassuring. The texture of the mine is very nice and very covering. Congratulat"&amp;"ions to the leaders of this brand.")</f>
        <v>To recommend! Bravo! I can only recommend this product that meets my expectations. I had looked at prior comparative with other colored pencils brands presented by two YouTubers which highlighted the quality of the Castle pencils. I admit I was a bit worried given the attractive price. Well, yes, it's true! the Castle pencils are of almost equal quality to Faber Castell and Caran d'Ache which I also have, for such a lower price. The price / quality ratio is exceptional. I love the smell once you open the box. And then have 120 colors is pure happiness for me. The box was delivered quickly and in perfect condition. I discovered that the pencils were guaranteed for life which is reassuring. The texture of the mine is very nice and very covering. Congratulations to the leaders of this brand.</v>
      </c>
    </row>
    <row r="3568">
      <c r="A3568" s="1">
        <v>5.0</v>
      </c>
      <c r="B3568" s="1" t="s">
        <v>3536</v>
      </c>
      <c r="C3568" t="str">
        <f>IFERROR(__xludf.DUMMYFUNCTION("GOOGLETRANSLATE(B3568, ""fr"", ""en"")"),"NICKEL ... I love beautiful. They are so pretty. Only downside they carve big. I put on the 41 and they are too large but really beautiful chouille. Rub a little tendon at the first day but the second day it was better. I recommend")</f>
        <v>NICKEL ... I love beautiful. They are so pretty. Only downside they carve big. I put on the 41 and they are too large but really beautiful chouille. Rub a little tendon at the first day but the second day it was better. I recommend</v>
      </c>
    </row>
    <row r="3569">
      <c r="A3569" s="1">
        <v>5.0</v>
      </c>
      <c r="B3569" s="1" t="s">
        <v>3537</v>
      </c>
      <c r="C3569" t="str">
        <f>IFERROR(__xludf.DUMMYFUNCTION("GOOGLETRANSLATE(B3569, ""fr"", ""en"")"),"Nice shoes Very comfortable, stylish, nice color and nice. Shoes large, take a size below the usual size")</f>
        <v>Nice shoes Very comfortable, stylish, nice color and nice. Shoes large, take a size below the usual size</v>
      </c>
    </row>
    <row r="3570">
      <c r="A3570" s="1">
        <v>5.0</v>
      </c>
      <c r="B3570" s="1" t="s">
        <v>3538</v>
      </c>
      <c r="C3570" t="str">
        <f>IFERROR(__xludf.DUMMYFUNCTION("GOOGLETRANSLATE(B3570, ""fr"", ""en"")"),"It is super super disappointed jadore I thank you I recommend you very good quality and cheap brand")</f>
        <v>It is super super disappointed jadore I thank you I recommend you very good quality and cheap brand</v>
      </c>
    </row>
    <row r="3571">
      <c r="A3571" s="1">
        <v>5.0</v>
      </c>
      <c r="B3571" s="1" t="s">
        <v>3539</v>
      </c>
      <c r="C3571" t="str">
        <f>IFERROR(__xludf.DUMMYFUNCTION("GOOGLETRANSLATE(B3571, ""fr"", ""en"")"),"Essential oil diffuser &lt;div id = ""video-block-RW1M597FSFFKR"" class = ""a-section-spacing-small-spacing has-top video mini-block""&gt; &lt;/ div&gt; &lt;input type = ""hidden"" name = """" value = ""https://images-eu.ssl-images-amazon.com/images/I/A1P6AOb5ULS.mp4"" "&amp;"class = ""video-url""&gt; &lt;input type = ""hidden"" name = """" value = ""https://images-eu.ssl-images-amazon.com/images/I/71-A0lB0bBS.png"" class = ""video-slate-img-url""&gt; &amp; nbsp; Purchased to replace a shape tastes of well-known water but has strength to h"&amp;"is small tank that happens more to clean because of its the material has a very large tank, programmable for 1 hour, 3 and 6 o'clock and light ring is a very nice effect There is a beautiful mist that comes out when it is on and we feel very quickly the a"&amp;"roma of the oil that has been established the color goes very well with our TV stand :)")</f>
        <v>Essential oil diffuser &lt;div id = "video-block-RW1M597FSFFKR" class = "a-section-spacing-small-spacing has-top video mini-block"&gt; &lt;/ div&gt; &lt;input type = "hidden" name = "" value = "https://images-eu.ssl-images-amazon.com/images/I/A1P6AOb5ULS.mp4" class = "video-url"&gt; &lt;input type = "hidden" name = "" value = "https://images-eu.ssl-images-amazon.com/images/I/71-A0lB0bBS.png" class = "video-slate-img-url"&gt; &amp; nbsp; Purchased to replace a shape tastes of well-known water but has strength to his small tank that happens more to clean because of its the material has a very large tank, programmable for 1 hour, 3 and 6 o'clock and light ring is a very nice effect There is a beautiful mist that comes out when it is on and we feel very quickly the aroma of the oil that has been established the color goes very well with our TV stand :)</v>
      </c>
    </row>
    <row r="3572">
      <c r="A3572" s="1">
        <v>5.0</v>
      </c>
      <c r="B3572" s="1" t="s">
        <v>3540</v>
      </c>
      <c r="C3572" t="str">
        <f>IFERROR(__xludf.DUMMYFUNCTION("GOOGLETRANSLATE(B3572, ""fr"", ""en"")"),"Superb classic watch LCD Okay this quality Casio, efficient and above all easy to use, bracelet and mount ok, no complaints!")</f>
        <v>Superb classic watch LCD Okay this quality Casio, efficient and above all easy to use, bracelet and mount ok, no complaints!</v>
      </c>
    </row>
    <row r="3573">
      <c r="A3573" s="1">
        <v>2.0</v>
      </c>
      <c r="B3573" s="1" t="s">
        <v>3541</v>
      </c>
      <c r="C3573" t="str">
        <f>IFERROR(__xludf.DUMMYFUNCTION("GOOGLETRANSLATE(B3573, ""fr"", ""en"")"),"Abuse of control and poor quality I do not recommend this purchase; controlled 41-42, 39-40 received, strap on a tong which is unhooked due to a manufacturing problem, poor quality plastic.")</f>
        <v>Abuse of control and poor quality I do not recommend this purchase; controlled 41-42, 39-40 received, strap on a tong which is unhooked due to a manufacturing problem, poor quality plastic.</v>
      </c>
    </row>
    <row r="3574">
      <c r="A3574" s="1">
        <v>1.0</v>
      </c>
      <c r="B3574" s="1" t="s">
        <v>3542</v>
      </c>
      <c r="C3574" t="str">
        <f>IFERROR(__xludf.DUMMYFUNCTION("GOOGLETRANSLATE(B3574, ""fr"", ""en"")"),"End disappointed disappointed disappointed! no, not to buy. ultrathin fabric. No small pads. I'm so disappointed")</f>
        <v>End disappointed disappointed disappointed! no, not to buy. ultrathin fabric. No small pads. I'm so disappointed</v>
      </c>
    </row>
    <row r="3575">
      <c r="A3575" s="1">
        <v>3.0</v>
      </c>
      <c r="B3575" s="1" t="s">
        <v>3543</v>
      </c>
      <c r="C3575" t="str">
        <f>IFERROR(__xludf.DUMMYFUNCTION("GOOGLETRANSLATE(B3575, ""fr"", ""en"")"),"serves as a pilot and also wants a working tool, but it's Chinese .... I already bought in the past, a globe a little bigger, but over time, the wars, the contours of the new countries and their names ... a globe, it evolves like anything. There, arrived "&amp;"in a beautiful box with a look of child who seems amazed, so I opened it to find a previously installed content with his decision and LED replacement bulb. At first I found the meeting at the equator of the two parts of the globe was rude as if both parti"&amp;"es were wrong nested. The rest seemed a Chinese style building cheap, sold still almost 34 euros and when I turned, I found the lighting a little ""weakling"". Certainly we can use it as a nightlight in a child's room, but two levels of illumination, as a"&amp;" pilot and the other harder, to work on the globe at night, I would seem more appropriate. The small green light retrieves the switch easily. Overall, I am disappointed by this product makes ""very cheap!"" Overall Rating: 6.5 / 10 - in a pinch .... I lov"&amp;"e maps, globes. I had one, bigger for my children, too, now, I have given. This 21 cm is perfect and importantly, it's magic: Globe the day, which made me travel and night 88 constellations with a pretty sky blue, it serves as a night light very soft in a"&amp;" room, designs and names are, despite the soft light, very legible. The button has a small bright green dot, easily found in the dark. Capitals and countries are written very readable some way, very small with a long name is not written in full. I have so"&amp;"me of my small -children who travel a lot, right now in a very small African country Togo. I could spend long moments before a dream world. I am satisfied with what Buki globe 40 euros. a gift for all ages; ) I have a lot of games Buki, scientific, often,"&amp;" always interesting with explanatory booklets. I was never disappointed. It is accompanied by a booklet of several pages, one per continent showing some capitals with the flag and a photo. Globe diameter 21 cm mounted on metal frame (brass). Runs on AC an"&amp;"d comes with USB power adapter. illustrated instructions")</f>
        <v>serves as a pilot and also wants a working tool, but it's Chinese .... I already bought in the past, a globe a little bigger, but over time, the wars, the contours of the new countries and their names ... a globe, it evolves like anything. There, arrived in a beautiful box with a look of child who seems amazed, so I opened it to find a previously installed content with his decision and LED replacement bulb. At first I found the meeting at the equator of the two parts of the globe was rude as if both parties were wrong nested. The rest seemed a Chinese style building cheap, sold still almost 34 euros and when I turned, I found the lighting a little "weakling". Certainly we can use it as a nightlight in a child's room, but two levels of illumination, as a pilot and the other harder, to work on the globe at night, I would seem more appropriate. The small green light retrieves the switch easily. Overall, I am disappointed by this product makes "very cheap!" Overall Rating: 6.5 / 10 - in a pinch .... I love maps, globes. I had one, bigger for my children, too, now, I have given. This 21 cm is perfect and importantly, it's magic: Globe the day, which made me travel and night 88 constellations with a pretty sky blue, it serves as a night light very soft in a room, designs and names are, despite the soft light, very legible. The button has a small bright green dot, easily found in the dark. Capitals and countries are written very readable some way, very small with a long name is not written in full. I have some of my small -children who travel a lot, right now in a very small African country Togo. I could spend long moments before a dream world. I am satisfied with what Buki globe 40 euros. a gift for all ages; ) I have a lot of games Buki, scientific, often, always interesting with explanatory booklets. I was never disappointed. It is accompanied by a booklet of several pages, one per continent showing some capitals with the flag and a photo. Globe diameter 21 cm mounted on metal frame (brass). Runs on AC and comes with USB power adapter. illustrated instructions</v>
      </c>
    </row>
    <row r="3576">
      <c r="A3576" s="1">
        <v>3.0</v>
      </c>
      <c r="B3576" s="1" t="s">
        <v>3544</v>
      </c>
      <c r="C3576" t="str">
        <f>IFERROR(__xludf.DUMMYFUNCTION("GOOGLETRANSLATE(B3576, ""fr"", ""en"")"),"The correct product is correct, it's still the entrance of cheap range. However, although the arm is not too weak, joints at the micro elbow and base quickly take the game / loosening. This little lifespan is limited if you handle regularly.")</f>
        <v>The correct product is correct, it's still the entrance of cheap range. However, although the arm is not too weak, joints at the micro elbow and base quickly take the game / loosening. This little lifespan is limited if you handle regularly.</v>
      </c>
    </row>
    <row r="3577">
      <c r="A3577" s="1">
        <v>4.0</v>
      </c>
      <c r="B3577" s="1" t="s">
        <v>3545</v>
      </c>
      <c r="C3577" t="str">
        <f>IFERROR(__xludf.DUMMYFUNCTION("GOOGLETRANSLATE(B3577, ""fr"", ""en"")"),"socks is already the fourth pair that I bought and my daughter loves this tough enough and cleans very easily")</f>
        <v>socks is already the fourth pair that I bought and my daughter loves this tough enough and cleans very easily</v>
      </c>
    </row>
    <row r="3578">
      <c r="A3578" s="1">
        <v>4.0</v>
      </c>
      <c r="B3578" s="1" t="s">
        <v>3546</v>
      </c>
      <c r="C3578" t="str">
        <f>IFERROR(__xludf.DUMMYFUNCTION("GOOGLETRANSLATE(B3578, ""fr"", ""en"")"),"RTT Meets picture. The tin brown strap in contact with some quick eau.Envoi.")</f>
        <v>RTT Meets picture. The tin brown strap in contact with some quick eau.Envoi.</v>
      </c>
    </row>
    <row r="3579">
      <c r="A3579" s="1">
        <v>4.0</v>
      </c>
      <c r="B3579" s="1" t="s">
        <v>3547</v>
      </c>
      <c r="C3579" t="str">
        <f>IFERROR(__xludf.DUMMYFUNCTION("GOOGLETRANSLATE(B3579, ""fr"", ""en"")"),"great new style first pair of balance and that first impression and a great ""yes"" yellow / orange is wonderfully original. :)")</f>
        <v>great new style first pair of balance and that first impression and a great "yes" yellow / orange is wonderfully original. :)</v>
      </c>
    </row>
    <row r="3580">
      <c r="A3580" s="1">
        <v>4.0</v>
      </c>
      <c r="B3580" s="1" t="s">
        <v>3548</v>
      </c>
      <c r="C3580" t="str">
        <f>IFERROR(__xludf.DUMMYFUNCTION("GOOGLETRANSLATE(B3580, ""fr"", ""en"")"),"Perfect Perfect! Consistent with the picture. These napkin rings are practiced and inexpensive. It remains only to write the names.")</f>
        <v>Perfect Perfect! Consistent with the picture. These napkin rings are practiced and inexpensive. It remains only to write the names.</v>
      </c>
    </row>
    <row r="3581">
      <c r="A3581" s="1">
        <v>5.0</v>
      </c>
      <c r="B3581" s="1" t="s">
        <v>3549</v>
      </c>
      <c r="C3581" t="str">
        <f>IFERROR(__xludf.DUMMYFUNCTION("GOOGLETRANSLATE(B3581, ""fr"", ""en"")"),"Excellent kettle temperature control Excellent tea temperature control. Attractive and easy to use. No complaints")</f>
        <v>Excellent kettle temperature control Excellent tea temperature control. Attractive and easy to use. No complaints</v>
      </c>
    </row>
    <row r="3582">
      <c r="A3582" s="1">
        <v>5.0</v>
      </c>
      <c r="B3582" s="1" t="s">
        <v>3550</v>
      </c>
      <c r="C3582" t="str">
        <f>IFERROR(__xludf.DUMMYFUNCTION("GOOGLETRANSLATE(B3582, ""fr"", ""en"")"),"classic and modern at the same time I bought these earrings to wear them every day and they are perfect. Good length, they go with any style is both modern and classic. I have adopted! Fine while being robust, no complaints!")</f>
        <v>classic and modern at the same time I bought these earrings to wear them every day and they are perfect. Good length, they go with any style is both modern and classic. I have adopted! Fine while being robust, no complaints!</v>
      </c>
    </row>
    <row r="3583">
      <c r="A3583" s="1">
        <v>5.0</v>
      </c>
      <c r="B3583" s="1" t="s">
        <v>3551</v>
      </c>
      <c r="C3583" t="str">
        <f>IFERROR(__xludf.DUMMYFUNCTION("GOOGLETRANSLATE(B3583, ""fr"", ""en"")"),"Super necklace Very beautiful necklace chain however is a bit shaky but like any jewelry I recommend .. It is identical to the description.")</f>
        <v>Super necklace Very beautiful necklace chain however is a bit shaky but like any jewelry I recommend .. It is identical to the description.</v>
      </c>
    </row>
    <row r="3584">
      <c r="A3584" s="1">
        <v>5.0</v>
      </c>
      <c r="B3584" s="1" t="s">
        <v>3552</v>
      </c>
      <c r="C3584" t="str">
        <f>IFERROR(__xludf.DUMMYFUNCTION("GOOGLETRANSLATE(B3584, ""fr"", ""en"")"),"Solid and stylish I wanted a bag to give to my husband, not too large, stylish and practical. I found this bag with everything I was looking for. Everything is identical to the photo.")</f>
        <v>Solid and stylish I wanted a bag to give to my husband, not too large, stylish and practical. I found this bag with everything I was looking for. Everything is identical to the photo.</v>
      </c>
    </row>
    <row r="3585">
      <c r="A3585" s="1">
        <v>5.0</v>
      </c>
      <c r="B3585" s="1" t="s">
        <v>3553</v>
      </c>
      <c r="C3585" t="str">
        <f>IFERROR(__xludf.DUMMYFUNCTION("GOOGLETRANSLATE(B3585, ""fr"", ""en"")"),"RAS my husband liked")</f>
        <v>RAS my husband liked</v>
      </c>
    </row>
    <row r="3586">
      <c r="A3586" s="1">
        <v>5.0</v>
      </c>
      <c r="B3586" s="1" t="s">
        <v>3554</v>
      </c>
      <c r="C3586" t="str">
        <f>IFERROR(__xludf.DUMMYFUNCTION("GOOGLETRANSLATE(B3586, ""fr"", ""en"")"),"Good quality for the price boom is a cheap but you can not complain for the price so high can the microphone is good")</f>
        <v>Good quality for the price boom is a cheap but you can not complain for the price so high can the microphone is good</v>
      </c>
    </row>
    <row r="3587">
      <c r="A3587" s="1">
        <v>5.0</v>
      </c>
      <c r="B3587" s="1" t="s">
        <v>3555</v>
      </c>
      <c r="C3587" t="str">
        <f>IFERROR(__xludf.DUMMYFUNCTION("GOOGLETRANSLATE(B3587, ""fr"", ""en"")"),"Evao product corresponding to the description, fast delivery.")</f>
        <v>Evao product corresponding to the description, fast delivery.</v>
      </c>
    </row>
    <row r="3588">
      <c r="A3588" s="1">
        <v>5.0</v>
      </c>
      <c r="B3588" s="1" t="s">
        <v>3556</v>
      </c>
      <c r="C3588" t="str">
        <f>IFERROR(__xludf.DUMMYFUNCTION("GOOGLETRANSLATE(B3588, ""fr"", ""en"")"),"comfortable Pleasant")</f>
        <v>comfortable Pleasant</v>
      </c>
    </row>
    <row r="3589">
      <c r="A3589" s="1">
        <v>5.0</v>
      </c>
      <c r="B3589" s="1" t="s">
        <v>3557</v>
      </c>
      <c r="C3589" t="str">
        <f>IFERROR(__xludf.DUMMYFUNCTION("GOOGLETRANSLATE(B3589, ""fr"", ""en"")"),"Pair of Converse authentic Corresponds to the quality expected, the real new Converse. Product received in time. Very satisfied with my shoes. Length fits perfectly.")</f>
        <v>Pair of Converse authentic Corresponds to the quality expected, the real new Converse. Product received in time. Very satisfied with my shoes. Length fits perfectly.</v>
      </c>
    </row>
    <row r="3590">
      <c r="A3590" s="1">
        <v>5.0</v>
      </c>
      <c r="B3590" s="1" t="s">
        <v>3558</v>
      </c>
      <c r="C3590" t="str">
        <f>IFERROR(__xludf.DUMMYFUNCTION("GOOGLETRANSLATE(B3590, ""fr"", ""en"")"),"Very good very good I recommend")</f>
        <v>Very good very good I recommend</v>
      </c>
    </row>
    <row r="3591">
      <c r="A3591" s="1">
        <v>5.0</v>
      </c>
      <c r="B3591" s="1" t="s">
        <v>3559</v>
      </c>
      <c r="C3591" t="str">
        <f>IFERROR(__xludf.DUMMYFUNCTION("GOOGLETRANSLATE(B3591, ""fr"", ""en"")"),"Discover the top! An amazing product that I wanted tested and really not disappointed, certe is not an essential item but I saw a difference after using it! My scalp is cleaner, small skin and my hair relubricated a ""&amp; nbsp; little &amp; nbsp;"" little less "&amp;"quick to see the long term.")</f>
        <v>Discover the top! An amazing product that I wanted tested and really not disappointed, certe is not an essential item but I saw a difference after using it! My scalp is cleaner, small skin and my hair relubricated a "&amp; nbsp; little &amp; nbsp;" little less quick to see the long term.</v>
      </c>
    </row>
    <row r="3592">
      <c r="A3592" s="1">
        <v>5.0</v>
      </c>
      <c r="B3592" s="1" t="s">
        <v>3560</v>
      </c>
      <c r="C3592" t="str">
        <f>IFERROR(__xludf.DUMMYFUNCTION("GOOGLETRANSLATE(B3592, ""fr"", ""en"")"),"Very good buy beautiful baby bottles, the drawing is not cleared to progressively washes. Storage locker for 6 standard size bottles.")</f>
        <v>Very good buy beautiful baby bottles, the drawing is not cleared to progressively washes. Storage locker for 6 standard size bottles.</v>
      </c>
    </row>
    <row r="3593">
      <c r="A3593" s="1">
        <v>5.0</v>
      </c>
      <c r="B3593" s="1" t="s">
        <v>3561</v>
      </c>
      <c r="C3593" t="str">
        <f>IFERROR(__xludf.DUMMYFUNCTION("GOOGLETRANSLATE(B3593, ""fr"", ""en"")"),"Okay Laces")</f>
        <v>Okay Laces</v>
      </c>
    </row>
    <row r="3594">
      <c r="A3594" s="1">
        <v>5.0</v>
      </c>
      <c r="B3594" s="1" t="s">
        <v>3562</v>
      </c>
      <c r="C3594" t="str">
        <f>IFERROR(__xludf.DUMMYFUNCTION("GOOGLETRANSLATE(B3594, ""fr"", ""en"")"),"Not bad Rather nice in terms of cost, this watch is pretty well finished and done with the illusion more!")</f>
        <v>Not bad Rather nice in terms of cost, this watch is pretty well finished and done with the illusion more!</v>
      </c>
    </row>
    <row r="3595">
      <c r="A3595" s="1">
        <v>5.0</v>
      </c>
      <c r="B3595" s="1" t="s">
        <v>3563</v>
      </c>
      <c r="C3595" t="str">
        <f>IFERROR(__xludf.DUMMYFUNCTION("GOOGLETRANSLATE(B3595, ""fr"", ""en"")"),"A BASIC I love its converse, I put them very often. They go everywhere with any outfit.")</f>
        <v>A BASIC I love its converse, I put them very often. They go everywhere with any outfit.</v>
      </c>
    </row>
    <row r="3596">
      <c r="A3596" s="1">
        <v>2.0</v>
      </c>
      <c r="B3596" s="1" t="s">
        <v>3564</v>
      </c>
      <c r="C3596" t="str">
        <f>IFERROR(__xludf.DUMMYFUNCTION("GOOGLETRANSLATE(B3596, ""fr"", ""en"")"),"Avoid sav as not competent. Buy for heating the bottle. 1 was crash 1 week after. Contact sav, the girl was nice then replace me against a new device (but costs to send my expense). Then 11 months after the 2nd unit is still mtn breaking down. So I contac"&amp;"ted the sav, this time not Exchange (still under warranty). She propose another apppareil Tigex .... saying that this is already a replacement is exceptional for me ??? I accept it because I need to ""urgently"". In short, very disappointed.")</f>
        <v>Avoid sav as not competent. Buy for heating the bottle. 1 was crash 1 week after. Contact sav, the girl was nice then replace me against a new device (but costs to send my expense). Then 11 months after the 2nd unit is still mtn breaking down. So I contacted the sav, this time not Exchange (still under warranty). She propose another apppareil Tigex .... saying that this is already a replacement is exceptional for me ??? I accept it because I need to "urgently". In short, very disappointed.</v>
      </c>
    </row>
    <row r="3597">
      <c r="A3597" s="1">
        <v>1.0</v>
      </c>
      <c r="B3597" s="1" t="s">
        <v>3565</v>
      </c>
      <c r="C3597" t="str">
        <f>IFERROR(__xludf.DUMMYFUNCTION("GOOGLETRANSLATE(B3597, ""fr"", ""en"")"),"karaoke microphone used in sound sizzles these pickups are just s toys")</f>
        <v>karaoke microphone used in sound sizzles these pickups are just s toys</v>
      </c>
    </row>
    <row r="3598">
      <c r="A3598" s="1">
        <v>1.0</v>
      </c>
      <c r="B3598" s="1" t="s">
        <v>3566</v>
      </c>
      <c r="C3598" t="str">
        <f>IFERROR(__xludf.DUMMYFUNCTION("GOOGLETRANSLATE(B3598, ""fr"", ""en"")"),"Scam! I have not received the final as black ink instead of the 4 colors announced. It's very expensive for a single color !!!")</f>
        <v>Scam! I have not received the final as black ink instead of the 4 colors announced. It's very expensive for a single color !!!</v>
      </c>
    </row>
    <row r="3599">
      <c r="A3599" s="1">
        <v>3.0</v>
      </c>
      <c r="B3599" s="1" t="s">
        <v>3567</v>
      </c>
      <c r="C3599" t="str">
        <f>IFERROR(__xludf.DUMMYFUNCTION("GOOGLETRANSLATE(B3599, ""fr"", ""en"")"),"USEFUL IS THIS GOOD? Nah, some good scent that share quickly")</f>
        <v>USEFUL IS THIS GOOD? Nah, some good scent that share quickly</v>
      </c>
    </row>
    <row r="3600">
      <c r="A3600" s="1">
        <v>3.0</v>
      </c>
      <c r="B3600" s="1" t="s">
        <v>3568</v>
      </c>
      <c r="C3600" t="str">
        <f>IFERROR(__xludf.DUMMYFUNCTION("GOOGLETRANSLATE(B3600, ""fr"", ""en"")"),"Well Hello, I find too narrow tongue, not covering well after lace shoes, if not much else.")</f>
        <v>Well Hello, I find too narrow tongue, not covering well after lace shoes, if not much else.</v>
      </c>
    </row>
    <row r="3601">
      <c r="A3601" s="1">
        <v>4.0</v>
      </c>
      <c r="B3601" s="1" t="s">
        <v>3569</v>
      </c>
      <c r="C3601" t="str">
        <f>IFERROR(__xludf.DUMMYFUNCTION("GOOGLETRANSLATE(B3601, ""fr"", ""en"")"),"Good buy despite a real Bluetooth connection problem very comfortable helmet, I wore it for hours without discomfort. It is true that Bluetooth is completely crazy and that I far off from my laptop sound cut. But I had read the reviews and since 'My use i"&amp;"s sedentary, sitting in the office or on the train, it does not bother me more than that. It is beautiful, comfortable, very long battery life. For me it is worth the price amply.")</f>
        <v>Good buy despite a real Bluetooth connection problem very comfortable helmet, I wore it for hours without discomfort. It is true that Bluetooth is completely crazy and that I far off from my laptop sound cut. But I had read the reviews and since 'My use is sedentary, sitting in the office or on the train, it does not bother me more than that. It is beautiful, comfortable, very long battery life. For me it is worth the price amply.</v>
      </c>
    </row>
    <row r="3602">
      <c r="A3602" s="1">
        <v>4.0</v>
      </c>
      <c r="B3602" s="1" t="s">
        <v>3570</v>
      </c>
      <c r="C3602" t="str">
        <f>IFERROR(__xludf.DUMMYFUNCTION("GOOGLETRANSLATE(B3602, ""fr"", ""en"")"),"Micro of suitable quality for a great price. podcast voice recording")</f>
        <v>Micro of suitable quality for a great price. podcast voice recording</v>
      </c>
    </row>
    <row r="3603">
      <c r="A3603" s="1">
        <v>4.0</v>
      </c>
      <c r="B3603" s="1" t="s">
        <v>3571</v>
      </c>
      <c r="C3603" t="str">
        <f>IFERROR(__xludf.DUMMYFUNCTION("GOOGLETRANSLATE(B3603, ""fr"", ""en"")"),"The inescapable teenagers Good value")</f>
        <v>The inescapable teenagers Good value</v>
      </c>
    </row>
    <row r="3604">
      <c r="A3604" s="1">
        <v>4.0</v>
      </c>
      <c r="B3604" s="1" t="s">
        <v>3572</v>
      </c>
      <c r="C3604" t="str">
        <f>IFERROR(__xludf.DUMMYFUNCTION("GOOGLETRANSLATE(B3604, ""fr"", ""en"")"),"Great I'm a real fan of the brand. The quality of finish is always waiting for you I feel bootie all day. The lining is very effective for keeping feet warm without perspiring.")</f>
        <v>Great I'm a real fan of the brand. The quality of finish is always waiting for you I feel bootie all day. The lining is very effective for keeping feet warm without perspiring.</v>
      </c>
    </row>
    <row r="3605">
      <c r="A3605" s="1">
        <v>5.0</v>
      </c>
      <c r="B3605" s="1" t="s">
        <v>3573</v>
      </c>
      <c r="C3605" t="str">
        <f>IFERROR(__xludf.DUMMYFUNCTION("GOOGLETRANSLATE(B3605, ""fr"", ""en"")"),"for a young child it shines it's nice for a 5 year old")</f>
        <v>for a young child it shines it's nice for a 5 year old</v>
      </c>
    </row>
    <row r="3606">
      <c r="A3606" s="1">
        <v>5.0</v>
      </c>
      <c r="B3606" s="1" t="s">
        <v>3574</v>
      </c>
      <c r="C3606" t="str">
        <f>IFERROR(__xludf.DUMMYFUNCTION("GOOGLETRANSLATE(B3606, ""fr"", ""en"")"),"Bottle very good but lacks the size dummies 2 will need to buy its two months")</f>
        <v>Bottle very good but lacks the size dummies 2 will need to buy its two months</v>
      </c>
    </row>
    <row r="3607">
      <c r="A3607" s="1">
        <v>5.0</v>
      </c>
      <c r="B3607" s="1" t="s">
        <v>3575</v>
      </c>
      <c r="C3607" t="str">
        <f>IFERROR(__xludf.DUMMYFUNCTION("GOOGLETRANSLATE(B3607, ""fr"", ""en"")"),"Good! J appreciate this bag size, neither too small nor too large and large, solid side line with the vintage photo.")</f>
        <v>Good! J appreciate this bag size, neither too small nor too large and large, solid side line with the vintage photo.</v>
      </c>
    </row>
    <row r="3608">
      <c r="A3608" s="1">
        <v>5.0</v>
      </c>
      <c r="B3608" s="1" t="s">
        <v>3576</v>
      </c>
      <c r="C3608" t="str">
        <f>IFERROR(__xludf.DUMMYFUNCTION("GOOGLETRANSLATE(B3608, ""fr"", ""en"")"),"Perfect Rug very ergonomist and very nice for gaming, I recommend this article is of very good quality for low price are ... You can buy it eyes closed!")</f>
        <v>Perfect Rug very ergonomist and very nice for gaming, I recommend this article is of very good quality for low price are ... You can buy it eyes closed!</v>
      </c>
    </row>
    <row r="3609">
      <c r="A3609" s="1">
        <v>5.0</v>
      </c>
      <c r="B3609" s="1" t="s">
        <v>3577</v>
      </c>
      <c r="C3609" t="str">
        <f>IFERROR(__xludf.DUMMYFUNCTION("GOOGLETRANSLATE(B3609, ""fr"", ""en"")"),"Very nice bracelet nice bracelet and consistent with the picture, ideal as gifts or even for themselves, very nice effect, and moose")</f>
        <v>Very nice bracelet nice bracelet and consistent with the picture, ideal as gifts or even for themselves, very nice effect, and moose</v>
      </c>
    </row>
    <row r="3610">
      <c r="A3610" s="1">
        <v>5.0</v>
      </c>
      <c r="B3610" s="1" t="s">
        <v>3578</v>
      </c>
      <c r="C3610" t="str">
        <f>IFERROR(__xludf.DUMMYFUNCTION("GOOGLETRANSLATE(B3610, ""fr"", ""en"")"),"Perfect watch I love my watch Offered by my spouse, I do not get enough She arrived very quickly I could live without my premium subscription")</f>
        <v>Perfect watch I love my watch Offered by my spouse, I do not get enough She arrived very quickly I could live without my premium subscription</v>
      </c>
    </row>
    <row r="3611">
      <c r="A3611" s="1">
        <v>5.0</v>
      </c>
      <c r="B3611" s="1" t="s">
        <v>3579</v>
      </c>
      <c r="C3611" t="str">
        <f>IFERROR(__xludf.DUMMYFUNCTION("GOOGLETRANSLATE(B3611, ""fr"", ""en"")"),"Awesome ! Sneakers brand new! Works great")</f>
        <v>Awesome ! Sneakers brand new! Works great</v>
      </c>
    </row>
    <row r="3612">
      <c r="A3612" s="1">
        <v>5.0</v>
      </c>
      <c r="B3612" s="1" t="s">
        <v>3580</v>
      </c>
      <c r="C3612" t="str">
        <f>IFERROR(__xludf.DUMMYFUNCTION("GOOGLETRANSLATE(B3612, ""fr"", ""en"")"),"Very good very good despite some minor flaws here and there ..")</f>
        <v>Very good very good despite some minor flaws here and there ..</v>
      </c>
    </row>
    <row r="3613">
      <c r="A3613" s="1">
        <v>5.0</v>
      </c>
      <c r="B3613" s="1" t="s">
        <v>3581</v>
      </c>
      <c r="C3613" t="str">
        <f>IFERROR(__xludf.DUMMYFUNCTION("GOOGLETRANSLATE(B3613, ""fr"", ""en"")"),"Ensuring steady improves the taste of coffee quick reception of the product - great product - coffee is really improved - nuanced - I recommend - pity that the package arrived open! the packaging is too thin in my opinion.")</f>
        <v>Ensuring steady improves the taste of coffee quick reception of the product - great product - coffee is really improved - nuanced - I recommend - pity that the package arrived open! the packaging is too thin in my opinion.</v>
      </c>
    </row>
    <row r="3614">
      <c r="A3614" s="1">
        <v>5.0</v>
      </c>
      <c r="B3614" s="1" t="s">
        <v>3582</v>
      </c>
      <c r="C3614" t="str">
        <f>IFERROR(__xludf.DUMMYFUNCTION("GOOGLETRANSLATE(B3614, ""fr"", ""en"")"),"Pack of 2 black and color cartridges for HP J've needed new emergency cartridges for my HP printer. Grave it AMAZON and speed of delivery, J was able to reload the printer for everyday use ..a a very reasonable price!")</f>
        <v>Pack of 2 black and color cartridges for HP J've needed new emergency cartridges for my HP printer. Grave it AMAZON and speed of delivery, J was able to reload the printer for everyday use ..a a very reasonable price!</v>
      </c>
    </row>
    <row r="3615">
      <c r="A3615" s="1">
        <v>5.0</v>
      </c>
      <c r="B3615" s="1" t="s">
        <v>3583</v>
      </c>
      <c r="C3615" t="str">
        <f>IFERROR(__xludf.DUMMYFUNCTION("GOOGLETRANSLATE(B3615, ""fr"", ""en"")"),"Long sleeves, neatly trimmed, comfortable to wear. Indeed the sleeves are long but I have long arms for a time I may have wrists warm! Nice color, very comfortable, well up on the neck and goes down well on the kidneys, with a curved shape that prevents t"&amp;"o look like a bag. Not very thick but very good thickness / heat. One downside, no zip pockets.")</f>
        <v>Long sleeves, neatly trimmed, comfortable to wear. Indeed the sleeves are long but I have long arms for a time I may have wrists warm! Nice color, very comfortable, well up on the neck and goes down well on the kidneys, with a curved shape that prevents to look like a bag. Not very thick but very good thickness / heat. One downside, no zip pockets.</v>
      </c>
    </row>
    <row r="3616">
      <c r="A3616" s="1">
        <v>5.0</v>
      </c>
      <c r="B3616" s="1" t="s">
        <v>3584</v>
      </c>
      <c r="C3616" t="str">
        <f>IFERROR(__xludf.DUMMYFUNCTION("GOOGLETRANSLATE(B3616, ""fr"", ""en"")"),"perfect ! Having tired of sleep in a cold bed, I invested in this hot bed I turn 1 hour before going to sleep, at level 3, with the quilt raised to keep the heat better, and I can finally sleep in a warm bed (about 35 ° on the mattress). Therefore, I ligh"&amp;"t up even the room heater, which saves me time 1000W, with only 120W consumption for 1 hour for bed heaters")</f>
        <v>perfect ! Having tired of sleep in a cold bed, I invested in this hot bed I turn 1 hour before going to sleep, at level 3, with the quilt raised to keep the heat better, and I can finally sleep in a warm bed (about 35 ° on the mattress). Therefore, I light up even the room heater, which saves me time 1000W, with only 120W consumption for 1 hour for bed heaters</v>
      </c>
    </row>
    <row r="3617">
      <c r="A3617" s="1">
        <v>5.0</v>
      </c>
      <c r="B3617" s="1" t="s">
        <v>3585</v>
      </c>
      <c r="C3617" t="str">
        <f>IFERROR(__xludf.DUMMYFUNCTION("GOOGLETRANSLATE(B3617, ""fr"", ""en"")"),"Speaker &lt;div id = ""video-block-ROG8NH0AAYMXI"" class = ""a-section-spacing-small in-spacing-top mini video-block""&gt; &lt;/ div&gt; &lt;input type = ""hidden"" name = "" ""value ="" https://images-eu.ssl-images-amazon.com/images/I/A1FLplIF+OS.mp4 ""class ="" video-"&amp;"url ""&gt; &lt;input type ="" hidden ""name ="" ""value = ""https://images-eu.ssl-images-amazon.com/images/I/61f+b8pNe7S.png"" class = ""video-slate-img-url""&gt; &amp; nbsp; I bought this speaker for my birthday. It is powerful, that I wanted. Everyone was so please "&amp;"to the party. We do karaoke, since there are two built-in microphone. Micro light up quickly, there is a button just below the microphone and microphone are on. There are two catches included in it.")</f>
        <v>Speaker &lt;div id = "video-block-ROG8NH0AAYMXI" class = "a-section-spacing-small in-spacing-top mini video-block"&gt; &lt;/ div&gt; &lt;input type = "hidden" name = " "value =" https://images-eu.ssl-images-amazon.com/images/I/A1FLplIF+OS.mp4 "class =" video-url "&gt; &lt;input type =" hidden "name =" "value = "https://images-eu.ssl-images-amazon.com/images/I/61f+b8pNe7S.png" class = "video-slate-img-url"&gt; &amp; nbsp; I bought this speaker for my birthday. It is powerful, that I wanted. Everyone was so please to the party. We do karaoke, since there are two built-in microphone. Micro light up quickly, there is a button just below the microphone and microphone are on. There are two catches included in it.</v>
      </c>
    </row>
    <row r="3618">
      <c r="A3618" s="1">
        <v>5.0</v>
      </c>
      <c r="B3618" s="1" t="s">
        <v>3586</v>
      </c>
      <c r="C3618" t="str">
        <f>IFERROR(__xludf.DUMMYFUNCTION("GOOGLETRANSLATE(B3618, ""fr"", ""en"")"),"Extra VERY well")</f>
        <v>Extra VERY well</v>
      </c>
    </row>
    <row r="3619">
      <c r="A3619" s="1">
        <v>5.0</v>
      </c>
      <c r="B3619" s="1" t="s">
        <v>3587</v>
      </c>
      <c r="C3619" t="str">
        <f>IFERROR(__xludf.DUMMYFUNCTION("GOOGLETRANSLATE(B3619, ""fr"", ""en"")"),"Perfect Very good quality after 10 months of use. Nothing to say it. The colors are quite those shown in picture. Note that this brush and the mini does not pass sterilizer Microwave !! The stem is made of iron, but not necessarily prohibitive for this pu"&amp;"rchase. I recommand it")</f>
        <v>Perfect Very good quality after 10 months of use. Nothing to say it. The colors are quite those shown in picture. Note that this brush and the mini does not pass sterilizer Microwave !! The stem is made of iron, but not necessarily prohibitive for this purchase. I recommand it</v>
      </c>
    </row>
    <row r="3620">
      <c r="A3620" s="1">
        <v>2.0</v>
      </c>
      <c r="B3620" s="1" t="s">
        <v>3588</v>
      </c>
      <c r="C3620" t="str">
        <f>IFERROR(__xludf.DUMMYFUNCTION("GOOGLETRANSLATE(B3620, ""fr"", ""en"")"),"Its not so bad, the rest catastrophic ... For the price it's ok. The plastic is very cheap and uncomfortable but it goes for less than an hour. the sound is amazing for the price, a little soft on the average frequency but generally correct. Let's talk ab"&amp;"out what the problem - the headset does not reconnect itself to the bluetooth my mac, I have to do the manipulation manually each time, it's ok iPhone by against - every Bluetooth connection (Mac or iPhone) a voice says ""your bluetooth device bones CONNE"&amp;"CTED successfully"" funny at first, painful in the long run because you can not modulate its level sound so everyone knows you plug your headset - ditto, when the battery is low, the same way you SCREAMS in the ears that is weak and should be changed, eve"&amp;"ry 5 seconds - lifetime of the battery: 1 hour, maybe 45 minutes max - can not use this helmet for walking or running , the moving parts and produce very audible clicks at each step")</f>
        <v>Its not so bad, the rest catastrophic ... For the price it's ok. The plastic is very cheap and uncomfortable but it goes for less than an hour. the sound is amazing for the price, a little soft on the average frequency but generally correct. Let's talk about what the problem - the headset does not reconnect itself to the bluetooth my mac, I have to do the manipulation manually each time, it's ok iPhone by against - every Bluetooth connection (Mac or iPhone) a voice says "your bluetooth device bones CONNECTED successfully" funny at first, painful in the long run because you can not modulate its level sound so everyone knows you plug your headset - ditto, when the battery is low, the same way you SCREAMS in the ears that is weak and should be changed, every 5 seconds - lifetime of the battery: 1 hour, maybe 45 minutes max - can not use this helmet for walking or running , the moving parts and produce very audible clicks at each step</v>
      </c>
    </row>
    <row r="3621">
      <c r="A3621" s="1">
        <v>1.0</v>
      </c>
      <c r="B3621" s="1" t="s">
        <v>3589</v>
      </c>
      <c r="C3621" t="str">
        <f>IFERROR(__xludf.DUMMYFUNCTION("GOOGLETRANSLATE(B3621, ""fr"", ""en"")"),"poor quality, I am very disappointed disappointed pare this article, the battery yours absolutely no charge; Book without the bluetooth USB key (you must know Advent buy. I return after several attempts and really I do not advise")</f>
        <v>poor quality, I am very disappointed disappointed pare this article, the battery yours absolutely no charge; Book without the bluetooth USB key (you must know Advent buy. I return after several attempts and really I do not advise</v>
      </c>
    </row>
    <row r="3622">
      <c r="A3622" s="1">
        <v>1.0</v>
      </c>
      <c r="B3622" s="1" t="s">
        <v>3590</v>
      </c>
      <c r="C3622" t="str">
        <f>IFERROR(__xludf.DUMMYFUNCTION("GOOGLETRANSLATE(B3622, ""fr"", ""en"")"),"Stylus Not suitable platinum Philips FP320 / 00G. Disappointed with this purchase because does not meet my expectations. No complaints about product and fast delivery")</f>
        <v>Stylus Not suitable platinum Philips FP320 / 00G. Disappointed with this purchase because does not meet my expectations. No complaints about product and fast delivery</v>
      </c>
    </row>
    <row r="3623">
      <c r="A3623" s="1">
        <v>3.0</v>
      </c>
      <c r="B3623" s="1" t="s">
        <v>3591</v>
      </c>
      <c r="C3623" t="str">
        <f>IFERROR(__xludf.DUMMYFUNCTION("GOOGLETRANSLATE(B3623, ""fr"", ""en"")"),"This device extra bottle warmer is used occasionally in granny, and for this purpose it is perfectly the case. However, if its use had to be everyday, I do not recommend. On the one hand, the useful quantity of water to make the hot enough bottle, does no"&amp;"t correspond to the amount indicated on the dispenser. This is a detail, once one knows ... On the other hand, it is impossible to turn the unit off with his button during heating, simply disconnect (detail which is important when we have yet to determine"&amp;" the amount of water to be introduced to a bottle having the right temperature). In summary, the heating time is suddenly longer than expected, and God knows that minutes can be endless when baby is hungry !!!")</f>
        <v>This device extra bottle warmer is used occasionally in granny, and for this purpose it is perfectly the case. However, if its use had to be everyday, I do not recommend. On the one hand, the useful quantity of water to make the hot enough bottle, does not correspond to the amount indicated on the dispenser. This is a detail, once one knows ... On the other hand, it is impossible to turn the unit off with his button during heating, simply disconnect (detail which is important when we have yet to determine the amount of water to be introduced to a bottle having the right temperature). In summary, the heating time is suddenly longer than expected, and God knows that minutes can be endless when baby is hungry !!!</v>
      </c>
    </row>
    <row r="3624">
      <c r="A3624" s="1">
        <v>4.0</v>
      </c>
      <c r="B3624" s="1" t="s">
        <v>3592</v>
      </c>
      <c r="C3624" t="str">
        <f>IFERROR(__xludf.DUMMYFUNCTION("GOOGLETRANSLATE(B3624, ""fr"", ""en"")"),"Good headphones but ... A little disappointed with the quality / price ratio, the sound is well defined, but lacks some treble. Function effective noise. With the software you would like to have the richest helmet configuration, setting buttons, equalizer"&amp;", ability to hear outside without removing the headset. Possibility to adjust the finer noise. Big default, around the neck HP start a dish, but HP outward, open to the dust.")</f>
        <v>Good headphones but ... A little disappointed with the quality / price ratio, the sound is well defined, but lacks some treble. Function effective noise. With the software you would like to have the richest helmet configuration, setting buttons, equalizer, ability to hear outside without removing the headset. Possibility to adjust the finer noise. Big default, around the neck HP start a dish, but HP outward, open to the dust.</v>
      </c>
    </row>
    <row r="3625">
      <c r="A3625" s="1">
        <v>4.0</v>
      </c>
      <c r="B3625" s="1" t="s">
        <v>3593</v>
      </c>
      <c r="C3625" t="str">
        <f>IFERROR(__xludf.DUMMYFUNCTION("GOOGLETRANSLATE(B3625, ""fr"", ""en"")"),"Very well ! Good product quality, nice socks! Sending fast, the colors are varied very happy with my purchase! Thank you")</f>
        <v>Very well ! Good product quality, nice socks! Sending fast, the colors are varied very happy with my purchase! Thank you</v>
      </c>
    </row>
    <row r="3626">
      <c r="A3626" s="1">
        <v>4.0</v>
      </c>
      <c r="B3626" s="1" t="s">
        <v>3594</v>
      </c>
      <c r="C3626" t="str">
        <f>IFERROR(__xludf.DUMMYFUNCTION("GOOGLETRANSLATE(B3626, ""fr"", ""en"")"),"Top ! Qualitative Kettle, beautiful &amp; amp; Design with double hull which does not burn. it is also quiet and very easy to use as clean ... In stock physics it would be sold probably 20 to 25 € more expensive if I encrois my visits to major retailers, more"&amp;" after-sales service is to listening and highly responsive to best meet the expectations ...")</f>
        <v>Top ! Qualitative Kettle, beautiful &amp; amp; Design with double hull which does not burn. it is also quiet and very easy to use as clean ... In stock physics it would be sold probably 20 to 25 € more expensive if I encrois my visits to major retailers, more after-sales service is to listening and highly responsive to best meet the expectations ...</v>
      </c>
    </row>
    <row r="3627">
      <c r="A3627" s="1">
        <v>4.0</v>
      </c>
      <c r="B3627" s="1" t="s">
        <v>3595</v>
      </c>
      <c r="C3627" t="str">
        <f>IFERROR(__xludf.DUMMYFUNCTION("GOOGLETRANSLATE(B3627, ""fr"", ""en"")"),"Nickel For guitar amp")</f>
        <v>Nickel For guitar amp</v>
      </c>
    </row>
    <row r="3628">
      <c r="A3628" s="1">
        <v>5.0</v>
      </c>
      <c r="B3628" s="1" t="s">
        <v>3596</v>
      </c>
      <c r="C3628" t="str">
        <f>IFERROR(__xludf.DUMMYFUNCTION("GOOGLETRANSLATE(B3628, ""fr"", ""en"")"),"Excellent received it so fast, works perfect and i'm really happy with it! what more do you want?")</f>
        <v>Excellent received it so fast, works perfect and i'm really happy with it! what more do you want?</v>
      </c>
    </row>
    <row r="3629">
      <c r="A3629" s="1">
        <v>5.0</v>
      </c>
      <c r="B3629" s="1" t="s">
        <v>3597</v>
      </c>
      <c r="C3629" t="str">
        <f>IFERROR(__xludf.DUMMYFUNCTION("GOOGLETRANSLATE(B3629, ""fr"", ""en"")"),"Necklace Very beautiful necklace. Not at all disappointed in my purchase. Fine chain with great effect. I recommend it to all.")</f>
        <v>Necklace Very beautiful necklace. Not at all disappointed in my purchase. Fine chain with great effect. I recommend it to all.</v>
      </c>
    </row>
    <row r="3630">
      <c r="A3630" s="1">
        <v>5.0</v>
      </c>
      <c r="B3630" s="1" t="s">
        <v>3598</v>
      </c>
      <c r="C3630" t="str">
        <f>IFERROR(__xludf.DUMMYFUNCTION("GOOGLETRANSLATE(B3630, ""fr"", ""en"")"),"Really perfect This accessory is perfect to file are smartphone without cluttering the screen view. The power of the magnet is very good and the laptop stand well (I have a 155 grams phone). Only negative point but we are aware: Pack understand only one m"&amp;"agnetization receiver stuck on the phone, and the phone so if you change a full package must be redeemed.")</f>
        <v>Really perfect This accessory is perfect to file are smartphone without cluttering the screen view. The power of the magnet is very good and the laptop stand well (I have a 155 grams phone). Only negative point but we are aware: Pack understand only one magnetization receiver stuck on the phone, and the phone so if you change a full package must be redeemed.</v>
      </c>
    </row>
    <row r="3631">
      <c r="A3631" s="1">
        <v>5.0</v>
      </c>
      <c r="B3631" s="1" t="s">
        <v>3599</v>
      </c>
      <c r="C3631" t="str">
        <f>IFERROR(__xludf.DUMMYFUNCTION("GOOGLETRANSLATE(B3631, ""fr"", ""en"")"),"I ve received my package I have it for a friend")</f>
        <v>I ve received my package I have it for a friend</v>
      </c>
    </row>
    <row r="3632">
      <c r="A3632" s="1">
        <v>5.0</v>
      </c>
      <c r="B3632" s="1" t="s">
        <v>3600</v>
      </c>
      <c r="C3632" t="str">
        <f>IFERROR(__xludf.DUMMYFUNCTION("GOOGLETRANSLATE(B3632, ""fr"", ""en"")"),"Although Satisfied")</f>
        <v>Although Satisfied</v>
      </c>
    </row>
    <row r="3633">
      <c r="A3633" s="1">
        <v>5.0</v>
      </c>
      <c r="B3633" s="1" t="s">
        <v>3601</v>
      </c>
      <c r="C3633" t="str">
        <f>IFERROR(__xludf.DUMMYFUNCTION("GOOGLETRANSLATE(B3633, ""fr"", ""en"")"),"Super Great product. I am very happy.")</f>
        <v>Super Great product. I am very happy.</v>
      </c>
    </row>
    <row r="3634">
      <c r="A3634" s="1">
        <v>5.0</v>
      </c>
      <c r="B3634" s="1" t="s">
        <v>3602</v>
      </c>
      <c r="C3634" t="str">
        <f>IFERROR(__xludf.DUMMYFUNCTION("GOOGLETRANSLATE(B3634, ""fr"", ""en"")"),"Very good match my expectations Collage")</f>
        <v>Very good match my expectations Collage</v>
      </c>
    </row>
    <row r="3635">
      <c r="A3635" s="1">
        <v>5.0</v>
      </c>
      <c r="B3635" s="1" t="s">
        <v>3359</v>
      </c>
      <c r="C3635" t="str">
        <f>IFERROR(__xludf.DUMMYFUNCTION("GOOGLETRANSLATE(B3635, ""fr"", ""en"")"),"👍 👍")</f>
        <v>👍 👍</v>
      </c>
    </row>
    <row r="3636">
      <c r="A3636" s="1">
        <v>5.0</v>
      </c>
      <c r="B3636" s="1" t="s">
        <v>3603</v>
      </c>
      <c r="C3636" t="str">
        <f>IFERROR(__xludf.DUMMYFUNCTION("GOOGLETRANSLATE(B3636, ""fr"", ""en"")"),"Consistent with the description! Very fast delivery!")</f>
        <v>Consistent with the description! Very fast delivery!</v>
      </c>
    </row>
    <row r="3637">
      <c r="A3637" s="1">
        <v>5.0</v>
      </c>
      <c r="B3637" s="1" t="s">
        <v>3604</v>
      </c>
      <c r="C3637" t="str">
        <f>IFERROR(__xludf.DUMMYFUNCTION("GOOGLETRANSLATE(B3637, ""fr"", ""en"")"),"Product Innovation Practice to give its first fruit in pieces to an infant. Practical and fun.")</f>
        <v>Product Innovation Practice to give its first fruit in pieces to an infant. Practical and fun.</v>
      </c>
    </row>
    <row r="3638">
      <c r="A3638" s="1">
        <v>5.0</v>
      </c>
      <c r="B3638" s="1" t="s">
        <v>3605</v>
      </c>
      <c r="C3638" t="str">
        <f>IFERROR(__xludf.DUMMYFUNCTION("GOOGLETRANSLATE(B3638, ""fr"", ""en"")"),"good quality bag, convenient, and great style bag perfect for my computer")</f>
        <v>good quality bag, convenient, and great style bag perfect for my computer</v>
      </c>
    </row>
    <row r="3639">
      <c r="A3639" s="1">
        <v>5.0</v>
      </c>
      <c r="B3639" s="1" t="s">
        <v>3606</v>
      </c>
      <c r="C3639" t="str">
        <f>IFERROR(__xludf.DUMMYFUNCTION("GOOGLETRANSLATE(B3639, ""fr"", ""en"")"),"Perfect Very good, very nice and comfortable")</f>
        <v>Perfect Very good, very nice and comfortable</v>
      </c>
    </row>
    <row r="3640">
      <c r="A3640" s="1">
        <v>5.0</v>
      </c>
      <c r="B3640" s="1" t="s">
        <v>3607</v>
      </c>
      <c r="C3640" t="str">
        <f>IFERROR(__xludf.DUMMYFUNCTION("GOOGLETRANSLATE(B3640, ""fr"", ""en"")"),"Desk lamp ideal I love, I find the soft design, it blends into the deco, the brightness in white or yellow has several strengths, easy to fold, ideal for me that the uses for office")</f>
        <v>Desk lamp ideal I love, I find the soft design, it blends into the deco, the brightness in white or yellow has several strengths, easy to fold, ideal for me that the uses for office</v>
      </c>
    </row>
    <row r="3641">
      <c r="A3641" s="1">
        <v>5.0</v>
      </c>
      <c r="B3641" s="1" t="s">
        <v>3608</v>
      </c>
      <c r="C3641" t="str">
        <f>IFERROR(__xludf.DUMMYFUNCTION("GOOGLETRANSLATE(B3641, ""fr"", ""en"")"),"Parcel carefully packed I use mainly for calls and find them satisfactory. Good packaging, fast shipping and a nice little bag as a container. Marre Bluetooth headset that picks wrong at a certain place or discharge in the road. These headphones have a go"&amp;"od insulation system with a pouch for storing and offered good design. The noise cancellation works well, as the microphone. They do not seem tangled and resilient.")</f>
        <v>Parcel carefully packed I use mainly for calls and find them satisfactory. Good packaging, fast shipping and a nice little bag as a container. Marre Bluetooth headset that picks wrong at a certain place or discharge in the road. These headphones have a good insulation system with a pouch for storing and offered good design. The noise cancellation works well, as the microphone. They do not seem tangled and resilient.</v>
      </c>
    </row>
    <row r="3642">
      <c r="A3642" s="1">
        <v>5.0</v>
      </c>
      <c r="B3642" s="1" t="s">
        <v>3609</v>
      </c>
      <c r="C3642" t="str">
        <f>IFERROR(__xludf.DUMMYFUNCTION("GOOGLETRANSLATE(B3642, ""fr"", ""en"")"),"Very pretty cute I think they will make a summer but they are really pretty with their pearly reflection")</f>
        <v>Very pretty cute I think they will make a summer but they are really pretty with their pearly reflection</v>
      </c>
    </row>
    <row r="3643">
      <c r="A3643" s="1">
        <v>5.0</v>
      </c>
      <c r="B3643" s="1" t="s">
        <v>3610</v>
      </c>
      <c r="C3643" t="str">
        <f>IFERROR(__xludf.DUMMYFUNCTION("GOOGLETRANSLATE(B3643, ""fr"", ""en"")"),"Perfect Very good sound and very good insulation for the listener (who does not hear the outside noise) and for those around the listener (no leakage of sound from the headphones)")</f>
        <v>Perfect Very good sound and very good insulation for the listener (who does not hear the outside noise) and for those around the listener (no leakage of sound from the headphones)</v>
      </c>
    </row>
    <row r="3644">
      <c r="A3644" s="1">
        <v>2.0</v>
      </c>
      <c r="B3644" s="1" t="s">
        <v>3611</v>
      </c>
      <c r="C3644" t="str">
        <f>IFERROR(__xludf.DUMMYFUNCTION("GOOGLETRANSLATE(B3644, ""fr"", ""en"")"),"Bad average quality socks that cut way too big. I do not recommend. My son can not even put")</f>
        <v>Bad average quality socks that cut way too big. I do not recommend. My son can not even put</v>
      </c>
    </row>
    <row r="3645">
      <c r="A3645" s="1">
        <v>1.0</v>
      </c>
      <c r="B3645" s="1" t="s">
        <v>3612</v>
      </c>
      <c r="C3645" t="str">
        <f>IFERROR(__xludf.DUMMYFUNCTION("GOOGLETRANSLATE(B3645, ""fr"", ""en"")"),"Transparent Legging size too small and the lettring it off really disappointed")</f>
        <v>Transparent Legging size too small and the lettring it off really disappointed</v>
      </c>
    </row>
    <row r="3646">
      <c r="A3646" s="1">
        <v>3.0</v>
      </c>
      <c r="B3646" s="1" t="s">
        <v>3613</v>
      </c>
      <c r="C3646" t="str">
        <f>IFERROR(__xludf.DUMMYFUNCTION("GOOGLETRANSLATE(B3646, ""fr"", ""en"")"),"Problem I am a fan of mam bottles but this time there is a problem with the ring that deserves the cap there is the game and suddenly the bottle even closed is not waterproof if it is not in position standing I recovered the old rings in the trash !!! mor"&amp;"e I took three identical which all have the same problem ...")</f>
        <v>Problem I am a fan of mam bottles but this time there is a problem with the ring that deserves the cap there is the game and suddenly the bottle even closed is not waterproof if it is not in position standing I recovered the old rings in the trash !!! more I took three identical which all have the same problem ...</v>
      </c>
    </row>
    <row r="3647">
      <c r="A3647" s="1">
        <v>3.0</v>
      </c>
      <c r="B3647" s="1" t="s">
        <v>3614</v>
      </c>
      <c r="C3647" t="str">
        <f>IFERROR(__xludf.DUMMYFUNCTION("GOOGLETRANSLATE(B3647, ""fr"", ""en"")"),"Qualitative watch, but ... quality watch, I was surprised to receive it in blue instead of black. The manual in french is missing and incomplete. Too bad Lige does not correct these hazards.")</f>
        <v>Qualitative watch, but ... quality watch, I was surprised to receive it in blue instead of black. The manual in french is missing and incomplete. Too bad Lige does not correct these hazards.</v>
      </c>
    </row>
    <row r="3648">
      <c r="A3648" s="1">
        <v>4.0</v>
      </c>
      <c r="B3648" s="1" t="s">
        <v>311</v>
      </c>
      <c r="C3648" t="str">
        <f>IFERROR(__xludf.DUMMYFUNCTION("GOOGLETRANSLATE(B3648, ""fr"", ""en"")"),"Okay Perfect")</f>
        <v>Okay Perfect</v>
      </c>
    </row>
    <row r="3649">
      <c r="A3649" s="1">
        <v>4.0</v>
      </c>
      <c r="B3649" s="1" t="s">
        <v>3615</v>
      </c>
      <c r="C3649" t="str">
        <f>IFERROR(__xludf.DUMMYFUNCTION("GOOGLETRANSLATE(B3649, ""fr"", ""en"")"),"Ultra comfortable Hello, I bought this bone conduction headphones, because I was very curious to hear what it looked. I especially appreciated the ease of use, it is very light and saw that it is not the ears that does not cause any discomfort. I also lov"&amp;"ed the fact of not being cut off from the world by listening to music. The sound quality and in turn a little back. The placement of ""transducer"" and very important and completely changes the record if you do not wear the helmet properly. The ideal plac"&amp;"ement is located just in front of the tragus, as on the presentation image. Without earplugs, there is very little bass with them are present, but the sound is a bit cavernous. I'm a bit fussy with the quality of sound, but clearly the sound is not bad. F"&amp;"or me, the ideal use is for videos and or conversations, in music during sport or comfort and is not to be cut off from the world is a real plus. This comment was helpful? Let me know by clicking HELP!")</f>
        <v>Ultra comfortable Hello, I bought this bone conduction headphones, because I was very curious to hear what it looked. I especially appreciated the ease of use, it is very light and saw that it is not the ears that does not cause any discomfort. I also loved the fact of not being cut off from the world by listening to music. The sound quality and in turn a little back. The placement of "transducer" and very important and completely changes the record if you do not wear the helmet properly. The ideal placement is located just in front of the tragus, as on the presentation image. Without earplugs, there is very little bass with them are present, but the sound is a bit cavernous. I'm a bit fussy with the quality of sound, but clearly the sound is not bad. For me, the ideal use is for videos and or conversations, in music during sport or comfort and is not to be cut off from the world is a real plus. This comment was helpful? Let me know by clicking HELP!</v>
      </c>
    </row>
    <row r="3650">
      <c r="A3650" s="1">
        <v>4.0</v>
      </c>
      <c r="B3650" s="1" t="s">
        <v>3616</v>
      </c>
      <c r="C3650" t="str">
        <f>IFERROR(__xludf.DUMMYFUNCTION("GOOGLETRANSLATE(B3650, ""fr"", ""en"")"),"Very cute for couples Super beautiful I love the bracelets are a little big blow view that there is sold over with, I touch Myself I remove beads 4 or 5 I think they are my size because small handful")</f>
        <v>Very cute for couples Super beautiful I love the bracelets are a little big blow view that there is sold over with, I touch Myself I remove beads 4 or 5 I think they are my size because small handful</v>
      </c>
    </row>
    <row r="3651">
      <c r="A3651" s="1">
        <v>4.0</v>
      </c>
      <c r="B3651" s="1" t="s">
        <v>3617</v>
      </c>
      <c r="C3651" t="str">
        <f>IFERROR(__xludf.DUMMYFUNCTION("GOOGLETRANSLATE(B3651, ""fr"", ""en"")"),"Excellent product Excellent product that fully meets my expectations. Very comfortable, wearable. I have not seen for at particular defect.")</f>
        <v>Excellent product Excellent product that fully meets my expectations. Very comfortable, wearable. I have not seen for at particular defect.</v>
      </c>
    </row>
    <row r="3652">
      <c r="A3652" s="1">
        <v>4.0</v>
      </c>
      <c r="B3652" s="1" t="s">
        <v>3618</v>
      </c>
      <c r="C3652" t="str">
        <f>IFERROR(__xludf.DUMMYFUNCTION("GOOGLETRANSLATE(B3652, ""fr"", ""en"")"),"Almost Perfect! This Bluetooth headset is great and I'd recommend it highly. One small detail: to change music or another we must return to the phone which is a shame but if it is strong enough and adapts well to different head and at a range of about 80m"&amp;"!")</f>
        <v>Almost Perfect! This Bluetooth headset is great and I'd recommend it highly. One small detail: to change music or another we must return to the phone which is a shame but if it is strong enough and adapts well to different head and at a range of about 80m!</v>
      </c>
    </row>
    <row r="3653">
      <c r="A3653" s="1">
        <v>5.0</v>
      </c>
      <c r="B3653" s="1" t="s">
        <v>3619</v>
      </c>
      <c r="C3653" t="str">
        <f>IFERROR(__xludf.DUMMYFUNCTION("GOOGLETRANSLATE(B3653, ""fr"", ""en"")"),"does what it I'd bought asks the bottle Badabulle heater that has blown after a few uses J I opted for a basic model with thermostat Allows me to breastfeed and to heat the complement meanwhile Guard usable temperature in car if it has the necessary equip"&amp;"ment to put on cigarette lighter socket as only 80w Warning sold without cord cigarette lighter power outlet by releasing itself off button")</f>
        <v>does what it I'd bought asks the bottle Badabulle heater that has blown after a few uses J I opted for a basic model with thermostat Allows me to breastfeed and to heat the complement meanwhile Guard usable temperature in car if it has the necessary equipment to put on cigarette lighter socket as only 80w Warning sold without cord cigarette lighter power outlet by releasing itself off button</v>
      </c>
    </row>
    <row r="3654">
      <c r="A3654" s="1">
        <v>5.0</v>
      </c>
      <c r="B3654" s="1" t="s">
        <v>3620</v>
      </c>
      <c r="C3654" t="str">
        <f>IFERROR(__xludf.DUMMYFUNCTION("GOOGLETRANSLATE(B3654, ""fr"", ""en"")"),"String Finally cotton oufff")</f>
        <v>String Finally cotton oufff</v>
      </c>
    </row>
    <row r="3655">
      <c r="A3655" s="1">
        <v>5.0</v>
      </c>
      <c r="B3655" s="1" t="s">
        <v>3621</v>
      </c>
      <c r="C3655" t="str">
        <f>IFERROR(__xludf.DUMMYFUNCTION("GOOGLETRANSLATE(B3655, ""fr"", ""en"")"),"Very nice shoe safety shoes for work! This is my second pair I'm very happy!")</f>
        <v>Very nice shoe safety shoes for work! This is my second pair I'm very happy!</v>
      </c>
    </row>
    <row r="3656">
      <c r="A3656" s="1">
        <v>5.0</v>
      </c>
      <c r="B3656" s="1" t="s">
        <v>3622</v>
      </c>
      <c r="C3656" t="str">
        <f>IFERROR(__xludf.DUMMYFUNCTION("GOOGLETRANSLATE(B3656, ""fr"", ""en"")"),"Casio Shock Really disappointed, consistent with the description. I need a second to show the barracks (another G SHOCK) and picked in repackaged without original packaging Excluding what a pleasant surprise, a completely new model in original packaging S"&amp;"till not disappointed my choice reconditioned, can be trusted to AMAZON The product is perfect when with him, I was going to see on yOU TUBE to complete his description, although a few settings are not intuitive but hey, G SHOCK within 50 € when this mode"&amp;"l is up to 130 in trade, it would be really difficult. I recommend without restriction.")</f>
        <v>Casio Shock Really disappointed, consistent with the description. I need a second to show the barracks (another G SHOCK) and picked in repackaged without original packaging Excluding what a pleasant surprise, a completely new model in original packaging Still not disappointed my choice reconditioned, can be trusted to AMAZON The product is perfect when with him, I was going to see on yOU TUBE to complete his description, although a few settings are not intuitive but hey, G SHOCK within 50 € when this model is up to 130 in trade, it would be really difficult. I recommend without restriction.</v>
      </c>
    </row>
    <row r="3657">
      <c r="A3657" s="1">
        <v>5.0</v>
      </c>
      <c r="B3657" s="1" t="s">
        <v>3623</v>
      </c>
      <c r="C3657" t="str">
        <f>IFERROR(__xludf.DUMMYFUNCTION("GOOGLETRANSLATE(B3657, ""fr"", ""en"")"),"Good qualities I used to paint flowers yet. They have good accuracy that the pans will not separate it. The shape of the handle is convenient for a good grip. For the moment I can not be found fault. I'm happy with my purchase")</f>
        <v>Good qualities I used to paint flowers yet. They have good accuracy that the pans will not separate it. The shape of the handle is convenient for a good grip. For the moment I can not be found fault. I'm happy with my purchase</v>
      </c>
    </row>
    <row r="3658">
      <c r="A3658" s="1">
        <v>5.0</v>
      </c>
      <c r="B3658" s="1" t="s">
        <v>3624</v>
      </c>
      <c r="C3658" t="str">
        <f>IFERROR(__xludf.DUMMYFUNCTION("GOOGLETRANSLATE(B3658, ""fr"", ""en"")"),"Perfect product complies with the description, received 1 day before the estimated date at the top!")</f>
        <v>Perfect product complies with the description, received 1 day before the estimated date at the top!</v>
      </c>
    </row>
    <row r="3659">
      <c r="A3659" s="1">
        <v>5.0</v>
      </c>
      <c r="B3659" s="1" t="s">
        <v>3625</v>
      </c>
      <c r="C3659" t="str">
        <f>IFERROR(__xludf.DUMMYFUNCTION("GOOGLETRANSLATE(B3659, ""fr"", ""en"")"),"Well I bought it for my personal use. The waiting period for the express delivery is not long. The product is well packaged and new. To have it is no quality problems after the test. If a friend asks me, I would recommend him to buy it. In short, I praise"&amp;".")</f>
        <v>Well I bought it for my personal use. The waiting period for the express delivery is not long. The product is well packaged and new. To have it is no quality problems after the test. If a friend asks me, I would recommend him to buy it. In short, I praise.</v>
      </c>
    </row>
    <row r="3660">
      <c r="A3660" s="1">
        <v>5.0</v>
      </c>
      <c r="B3660" s="1" t="s">
        <v>3626</v>
      </c>
      <c r="C3660" t="str">
        <f>IFERROR(__xludf.DUMMYFUNCTION("GOOGLETRANSLATE(B3660, ""fr"", ""en"")"),"well finished product and value for money interesting down survetemt and shorts for sports")</f>
        <v>well finished product and value for money interesting down survetemt and shorts for sports</v>
      </c>
    </row>
    <row r="3661">
      <c r="A3661" s="1">
        <v>5.0</v>
      </c>
      <c r="B3661" s="1" t="s">
        <v>3627</v>
      </c>
      <c r="C3661" t="str">
        <f>IFERROR(__xludf.DUMMYFUNCTION("GOOGLETRANSLATE(B3661, ""fr"", ""en"")"),"Good value Very compliant products. The value for money for original cartridges is excellent.")</f>
        <v>Good value Very compliant products. The value for money for original cartridges is excellent.</v>
      </c>
    </row>
    <row r="3662">
      <c r="A3662" s="1">
        <v>5.0</v>
      </c>
      <c r="B3662" s="1" t="s">
        <v>3628</v>
      </c>
      <c r="C3662" t="str">
        <f>IFERROR(__xludf.DUMMYFUNCTION("GOOGLETRANSLATE(B3662, ""fr"", ""en"")"),"great product Happy with my purchase, I'm not too used it but the little I've used, I am satisfied .Super to take a trip.")</f>
        <v>great product Happy with my purchase, I'm not too used it but the little I've used, I am satisfied .Super to take a trip.</v>
      </c>
    </row>
    <row r="3663">
      <c r="A3663" s="1">
        <v>5.0</v>
      </c>
      <c r="B3663" s="1" t="s">
        <v>3629</v>
      </c>
      <c r="C3663" t="str">
        <f>IFERROR(__xludf.DUMMYFUNCTION("GOOGLETRANSLATE(B3663, ""fr"", ""en"")"),"Useful. Useful for smartphone.")</f>
        <v>Useful. Useful for smartphone.</v>
      </c>
    </row>
    <row r="3664">
      <c r="A3664" s="1">
        <v>5.0</v>
      </c>
      <c r="B3664" s="1" t="s">
        <v>3630</v>
      </c>
      <c r="C3664" t="str">
        <f>IFERROR(__xludf.DUMMYFUNCTION("GOOGLETRANSLATE(B3664, ""fr"", ""en"")"),"That shoes I ordered a long time now it's stunning shoes are super cute and it's cheap what more? Buy.")</f>
        <v>That shoes I ordered a long time now it's stunning shoes are super cute and it's cheap what more? Buy.</v>
      </c>
    </row>
    <row r="3665">
      <c r="A3665" s="1">
        <v>5.0</v>
      </c>
      <c r="B3665" s="1" t="s">
        <v>3631</v>
      </c>
      <c r="C3665" t="str">
        <f>IFERROR(__xludf.DUMMYFUNCTION("GOOGLETRANSLATE(B3665, ""fr"", ""en"")"),"Very beautiful bracelet beautiful bracelet. Beautiful stones. Conforms to the photo. Received very quickly 👍")</f>
        <v>Very beautiful bracelet beautiful bracelet. Beautiful stones. Conforms to the photo. Received very quickly 👍</v>
      </c>
    </row>
    <row r="3666">
      <c r="A3666" s="1">
        <v>5.0</v>
      </c>
      <c r="B3666" s="1" t="s">
        <v>3632</v>
      </c>
      <c r="C3666" t="str">
        <f>IFERROR(__xludf.DUMMYFUNCTION("GOOGLETRANSLATE(B3666, ""fr"", ""en"")"),"highly responsive customer service! EDIT 2: Second product received very quickly, service very efficient and arrange. No problem on the second product. I gives 5 stars! I bought this desk lamp following recommendation of numerous on the internet and the g"&amp;"ood reviews it has received. Despite the relevance of the product and its proper use (nice touch, color management much thought, etc.) I am extremely disappointed with the finish ... Indeed, I've realized from the first use there was a big shift once the "&amp;"folded lamp itself, so much so that it is not right at all! I took pictures to make it more meaningful ... Maybe it's just the default of a series and I've had no luck ... EDIT 1: SAV brand m ' offered to send me a product for free, which I accepted. Serv"&amp;"ice very responsive, I will modify my log when I have received.")</f>
        <v>highly responsive customer service! EDIT 2: Second product received very quickly, service very efficient and arrange. No problem on the second product. I gives 5 stars! I bought this desk lamp following recommendation of numerous on the internet and the good reviews it has received. Despite the relevance of the product and its proper use (nice touch, color management much thought, etc.) I am extremely disappointed with the finish ... Indeed, I've realized from the first use there was a big shift once the folded lamp itself, so much so that it is not right at all! I took pictures to make it more meaningful ... Maybe it's just the default of a series and I've had no luck ... EDIT 1: SAV brand m ' offered to send me a product for free, which I accepted. Service very responsive, I will modify my log when I have received.</v>
      </c>
    </row>
    <row r="3667">
      <c r="A3667" s="1">
        <v>5.0</v>
      </c>
      <c r="B3667" s="1" t="s">
        <v>3633</v>
      </c>
      <c r="C3667" t="str">
        <f>IFERROR(__xludf.DUMMYFUNCTION("GOOGLETRANSLATE(B3667, ""fr"", ""en"")"),"Super nice quality and well finished")</f>
        <v>Super nice quality and well finished</v>
      </c>
    </row>
    <row r="3668">
      <c r="A3668" s="1">
        <v>2.0</v>
      </c>
      <c r="B3668" s="1" t="s">
        <v>3634</v>
      </c>
      <c r="C3668" t="str">
        <f>IFERROR(__xludf.DUMMYFUNCTION("GOOGLETRANSLATE(B3668, ""fr"", ""en"")"),"Not so pretty, practical with its numerous pockets, and it seems rather solid. ... except the closure. That of the 3 main pockets passed away after a month and I suspect others do not last long ...")</f>
        <v>Not so pretty, practical with its numerous pockets, and it seems rather solid. ... except the closure. That of the 3 main pockets passed away after a month and I suspect others do not last long ...</v>
      </c>
    </row>
    <row r="3669">
      <c r="A3669" s="1">
        <v>1.0</v>
      </c>
      <c r="B3669" s="1" t="s">
        <v>3635</v>
      </c>
      <c r="C3669" t="str">
        <f>IFERROR(__xludf.DUMMYFUNCTION("GOOGLETRANSLATE(B3669, ""fr"", ""en"")"),"Vulgar vulgar counterfeit infringement. No infrared, missing a head. ineffective massage just vibrations. I ask for a refund as soon as possible!")</f>
        <v>Vulgar vulgar counterfeit infringement. No infrared, missing a head. ineffective massage just vibrations. I ask for a refund as soon as possible!</v>
      </c>
    </row>
    <row r="3670">
      <c r="A3670" s="1">
        <v>1.0</v>
      </c>
      <c r="B3670" s="1" t="s">
        <v>3636</v>
      </c>
      <c r="C3670" t="str">
        <f>IFERROR(__xludf.DUMMYFUNCTION("GOOGLETRANSLATE(B3670, ""fr"", ""en"")"),"Do not choose this model The temperature controller began to go haywire in the first days of use. I do not recommend this product which is not good.")</f>
        <v>Do not choose this model The temperature controller began to go haywire in the first days of use. I do not recommend this product which is not good.</v>
      </c>
    </row>
    <row r="3671">
      <c r="A3671" s="1">
        <v>3.0</v>
      </c>
      <c r="B3671" s="1" t="s">
        <v>3637</v>
      </c>
      <c r="C3671" t="str">
        <f>IFERROR(__xludf.DUMMYFUNCTION("GOOGLETRANSLATE(B3671, ""fr"", ""en"")"),"The material is not pleasant to wear especially for sport (itch) Sports")</f>
        <v>The material is not pleasant to wear especially for sport (itch) Sports</v>
      </c>
    </row>
    <row r="3672">
      <c r="A3672" s="1">
        <v>3.0</v>
      </c>
      <c r="B3672" s="1" t="s">
        <v>3638</v>
      </c>
      <c r="C3672" t="str">
        <f>IFERROR(__xludf.DUMMYFUNCTION("GOOGLETRANSLATE(B3672, ""fr"", ""en"")"),"Pretty but it is true, it is very beautiful markers, beautiful colors and they work very well, only I painted a picture with a slate and magnetic paint and markers do not fade at all on it, even with water. I had to iron a coat of paint.")</f>
        <v>Pretty but it is true, it is very beautiful markers, beautiful colors and they work very well, only I painted a picture with a slate and magnetic paint and markers do not fade at all on it, even with water. I had to iron a coat of paint.</v>
      </c>
    </row>
    <row r="3673">
      <c r="A3673" s="1">
        <v>4.0</v>
      </c>
      <c r="B3673" s="1" t="s">
        <v>3639</v>
      </c>
      <c r="C3673" t="str">
        <f>IFERROR(__xludf.DUMMYFUNCTION("GOOGLETRANSLATE(B3673, ""fr"", ""en"")"),"Game play pen chrono very nice! Good times with family. fun game for children and some crazy laughter guaranteed!")</f>
        <v>Game play pen chrono very nice! Good times with family. fun game for children and some crazy laughter guaranteed!</v>
      </c>
    </row>
    <row r="3674">
      <c r="A3674" s="1">
        <v>4.0</v>
      </c>
      <c r="B3674" s="1" t="s">
        <v>3640</v>
      </c>
      <c r="C3674" t="str">
        <f>IFERROR(__xludf.DUMMYFUNCTION("GOOGLETRANSLATE(B3674, ""fr"", ""en"")"),"VERY SATISFIED No problem for the product that I know. As against the surprise was that I received three bottles for the price of 2 because I received an offer. Quick delivery. No complaints")</f>
        <v>VERY SATISFIED No problem for the product that I know. As against the surprise was that I received three bottles for the price of 2 because I received an offer. Quick delivery. No complaints</v>
      </c>
    </row>
    <row r="3675">
      <c r="A3675" s="1">
        <v>4.0</v>
      </c>
      <c r="B3675" s="1" t="s">
        <v>3641</v>
      </c>
      <c r="C3675" t="str">
        <f>IFERROR(__xludf.DUMMYFUNCTION("GOOGLETRANSLATE(B3675, ""fr"", ""en"")"),"Beautiful watch Very nice watch, the case is worthy of a great brand by against the band is really low end. A bar spring bracelet has released the day after the purchase.")</f>
        <v>Beautiful watch Very nice watch, the case is worthy of a great brand by against the band is really low end. A bar spring bracelet has released the day after the purchase.</v>
      </c>
    </row>
    <row r="3676">
      <c r="A3676" s="1">
        <v>4.0</v>
      </c>
      <c r="B3676" s="1" t="s">
        <v>3642</v>
      </c>
      <c r="C3676" t="str">
        <f>IFERROR(__xludf.DUMMYFUNCTION("GOOGLETRANSLATE(B3676, ""fr"", ""en"")"),"I recommend Article seen on testzon.com. Fast delivery and consistent with the description, resistant packaging. The pods come in a plastic box that seems solid. There are several sizes which allow many possibilities. After use they prove to be of good qu"&amp;"ality, I recommend.")</f>
        <v>I recommend Article seen on testzon.com. Fast delivery and consistent with the description, resistant packaging. The pods come in a plastic box that seems solid. There are several sizes which allow many possibilities. After use they prove to be of good quality, I recommend.</v>
      </c>
    </row>
    <row r="3677">
      <c r="A3677" s="1">
        <v>5.0</v>
      </c>
      <c r="B3677" s="1" t="s">
        <v>3643</v>
      </c>
      <c r="C3677" t="str">
        <f>IFERROR(__xludf.DUMMYFUNCTION("GOOGLETRANSLATE(B3677, ""fr"", ""en"")"),"Casio as usual I had already had two Casio watches in the past and I had Was found very reliable and robust. My new show is still excellent, easy to use and reliable. Happiness !")</f>
        <v>Casio as usual I had already had two Casio watches in the past and I had Was found very reliable and robust. My new show is still excellent, easy to use and reliable. Happiness !</v>
      </c>
    </row>
    <row r="3678">
      <c r="A3678" s="1">
        <v>5.0</v>
      </c>
      <c r="B3678" s="1" t="s">
        <v>3644</v>
      </c>
      <c r="C3678" t="str">
        <f>IFERROR(__xludf.DUMMYFUNCTION("GOOGLETRANSLATE(B3678, ""fr"", ""en"")"),"Satisfied Inbox yesterday used today, I am greatly satisfied. The sound is perfect and it allows me to immerse myself in the atmosphere to write in peace. No complaints.")</f>
        <v>Satisfied Inbox yesterday used today, I am greatly satisfied. The sound is perfect and it allows me to immerse myself in the atmosphere to write in peace. No complaints.</v>
      </c>
    </row>
    <row r="3679">
      <c r="A3679" s="1">
        <v>5.0</v>
      </c>
      <c r="B3679" s="1" t="s">
        <v>3645</v>
      </c>
      <c r="C3679" t="str">
        <f>IFERROR(__xludf.DUMMYFUNCTION("GOOGLETRANSLATE(B3679, ""fr"", ""en"")"),"Although this advent calendar with great success for a little girl riding passionate. Every day is appreciated for its new surprise.")</f>
        <v>Although this advent calendar with great success for a little girl riding passionate. Every day is appreciated for its new surprise.</v>
      </c>
    </row>
    <row r="3680">
      <c r="A3680" s="1">
        <v>5.0</v>
      </c>
      <c r="B3680" s="1" t="s">
        <v>3646</v>
      </c>
      <c r="C3680" t="str">
        <f>IFERROR(__xludf.DUMMYFUNCTION("GOOGLETRANSLATE(B3680, ""fr"", ""en"")"),"We love We love the easy to clean baby bottles")</f>
        <v>We love We love the easy to clean baby bottles</v>
      </c>
    </row>
    <row r="3681">
      <c r="A3681" s="1">
        <v>5.0</v>
      </c>
      <c r="B3681" s="1" t="s">
        <v>3647</v>
      </c>
      <c r="C3681" t="str">
        <f>IFERROR(__xludf.DUMMYFUNCTION("GOOGLETRANSLATE(B3681, ""fr"", ""en"")"),"Awesome Really great for my daughter draws more about the dolls. Felt walking beautiful color of course clears well under water my daughter loves.")</f>
        <v>Awesome Really great for my daughter draws more about the dolls. Felt walking beautiful color of course clears well under water my daughter loves.</v>
      </c>
    </row>
    <row r="3682">
      <c r="A3682" s="1">
        <v>5.0</v>
      </c>
      <c r="B3682" s="1" t="s">
        <v>3648</v>
      </c>
      <c r="C3682" t="str">
        <f>IFERROR(__xludf.DUMMYFUNCTION("GOOGLETRANSLATE(B3682, ""fr"", ""en"")"),"ready printer exellent price: lowest on the market")</f>
        <v>ready printer exellent price: lowest on the market</v>
      </c>
    </row>
    <row r="3683">
      <c r="A3683" s="1">
        <v>5.0</v>
      </c>
      <c r="B3683" s="1" t="s">
        <v>3649</v>
      </c>
      <c r="C3683" t="str">
        <f>IFERROR(__xludf.DUMMYFUNCTION("GOOGLETRANSLATE(B3683, ""fr"", ""en"")"),"A bag quality leather perfect bag is a REAL top quality product I am delighted with my purchase C is quite what I was looking with Multiple pockets c's all I wanted. He arrived in excellent condition a packaged product to protect it in a white cloth bag! "&amp;"very fast and perfect delivery! It is colored dark brown I quite like the color! I'm going to carry it to work to put my pc and all my stuff! I could have better! You can either keep the hand is A l c is perfect shoulder! I the door manually a real bag! S"&amp;" open closures perfectly without any discomfort! It's great I admit that C is very good because it always takes too!")</f>
        <v>A bag quality leather perfect bag is a REAL top quality product I am delighted with my purchase C is quite what I was looking with Multiple pockets c's all I wanted. He arrived in excellent condition a packaged product to protect it in a white cloth bag! very fast and perfect delivery! It is colored dark brown I quite like the color! I'm going to carry it to work to put my pc and all my stuff! I could have better! You can either keep the hand is A l c is perfect shoulder! I the door manually a real bag! S open closures perfectly without any discomfort! It's great I admit that C is very good because it always takes too!</v>
      </c>
    </row>
    <row r="3684">
      <c r="A3684" s="1">
        <v>5.0</v>
      </c>
      <c r="B3684" s="1" t="s">
        <v>3650</v>
      </c>
      <c r="C3684" t="str">
        <f>IFERROR(__xludf.DUMMYFUNCTION("GOOGLETRANSLATE(B3684, ""fr"", ""en"")"),"WAOUHHHH what about this tree of life apart Waouhhhhh !!! it matches the description. worn, it is delightful !!!")</f>
        <v>WAOUHHHH what about this tree of life apart Waouhhhhh !!! it matches the description. worn, it is delightful !!!</v>
      </c>
    </row>
    <row r="3685">
      <c r="A3685" s="1">
        <v>5.0</v>
      </c>
      <c r="B3685" s="1" t="s">
        <v>3651</v>
      </c>
      <c r="C3685" t="str">
        <f>IFERROR(__xludf.DUMMYFUNCTION("GOOGLETRANSLATE(B3685, ""fr"", ""en"")"),"SUPER BABY BOTTLES TRIANGULAR DODIE This batch of bottles is really good and complete. It contains 3 different sizes, PINK. Baby managed to hold on thanks to its triangular shape. I recommend: my children have always preferred their bottle dodie simple to"&amp;" other brands (too big, too heavy and too round) (and I've tried a lot) baby .. We can never prevent swallowing a few air sucking his bibi, but he swallows least with this one.")</f>
        <v>SUPER BABY BOTTLES TRIANGULAR DODIE This batch of bottles is really good and complete. It contains 3 different sizes, PINK. Baby managed to hold on thanks to its triangular shape. I recommend: my children have always preferred their bottle dodie simple to other brands (too big, too heavy and too round) (and I've tried a lot) baby .. We can never prevent swallowing a few air sucking his bibi, but he swallows least with this one.</v>
      </c>
    </row>
    <row r="3686">
      <c r="A3686" s="1">
        <v>5.0</v>
      </c>
      <c r="B3686" s="1" t="s">
        <v>2612</v>
      </c>
      <c r="C3686" t="str">
        <f>IFERROR(__xludf.DUMMYFUNCTION("GOOGLETRANSLATE(B3686, ""fr"", ""en"")"),"Although Ras")</f>
        <v>Although Ras</v>
      </c>
    </row>
    <row r="3687">
      <c r="A3687" s="1">
        <v>5.0</v>
      </c>
      <c r="B3687" s="1" t="s">
        <v>3652</v>
      </c>
      <c r="C3687" t="str">
        <f>IFERROR(__xludf.DUMMYFUNCTION("GOOGLETRANSLATE(B3687, ""fr"", ""en"")"),"Well I received a rose! Pity! However the brush is perfect for cleaning baby bottles and small swab handle is hidden in the ideal length to clean the teats of tips and small valves bottles Munchkin Latch. Works much better than my previous brand but same "&amp;"brush with plastic bristles that broke very quickly")</f>
        <v>Well I received a rose! Pity! However the brush is perfect for cleaning baby bottles and small swab handle is hidden in the ideal length to clean the teats of tips and small valves bottles Munchkin Latch. Works much better than my previous brand but same brush with plastic bristles that broke very quickly</v>
      </c>
    </row>
    <row r="3688">
      <c r="A3688" s="1">
        <v>5.0</v>
      </c>
      <c r="B3688" s="1" t="s">
        <v>3653</v>
      </c>
      <c r="C3688" t="str">
        <f>IFERROR(__xludf.DUMMYFUNCTION("GOOGLETRANSLATE(B3688, ""fr"", ""en"")"),"I recommend I recommend Super informative. My nephew loved this book")</f>
        <v>I recommend I recommend Super informative. My nephew loved this book</v>
      </c>
    </row>
    <row r="3689">
      <c r="A3689" s="1">
        <v>5.0</v>
      </c>
      <c r="B3689" s="1" t="s">
        <v>3654</v>
      </c>
      <c r="C3689" t="str">
        <f>IFERROR(__xludf.DUMMYFUNCTION("GOOGLETRANSLATE(B3689, ""fr"", ""en"")"),"Perfect I use when hiking and road trip by motorcycle. I personally removed the foam caps by preference and stayed very comfortable and perfectly maintained my chest (95B). I gave my daughter and my mother are very satisfied too, even may be more because "&amp;"they use it every day and can now select a lot more often inadequate blouses to their breasts (95D and 95E).")</f>
        <v>Perfect I use when hiking and road trip by motorcycle. I personally removed the foam caps by preference and stayed very comfortable and perfectly maintained my chest (95B). I gave my daughter and my mother are very satisfied too, even may be more because they use it every day and can now select a lot more often inadequate blouses to their breasts (95D and 95E).</v>
      </c>
    </row>
    <row r="3690">
      <c r="A3690" s="1">
        <v>5.0</v>
      </c>
      <c r="B3690" s="1" t="s">
        <v>3655</v>
      </c>
      <c r="C3690" t="str">
        <f>IFERROR(__xludf.DUMMYFUNCTION("GOOGLETRANSLATE(B3690, ""fr"", ""en"")"),"No low price for the quality I liked it very soft and comfortable product")</f>
        <v>No low price for the quality I liked it very soft and comfortable product</v>
      </c>
    </row>
    <row r="3691">
      <c r="A3691" s="1">
        <v>5.0</v>
      </c>
      <c r="B3691" s="1" t="s">
        <v>3656</v>
      </c>
      <c r="C3691" t="str">
        <f>IFERROR(__xludf.DUMMYFUNCTION("GOOGLETRANSLATE(B3691, ""fr"", ""en"")"),"Lightweight and good quality sound First, turn headphones into a beautiful box for protection. The manual is available in French and ensure that you have doubts about its use, but in reality it is very easy to use. Aesthetically elegant and unobtrusive, e"&amp;"rgonomic, well preserved. The headphones have a good self-control by buttons on the headphones is effective, and I also tested the phone conversations without problem. Full support is fast and the battery life of up to several hours. Several spare parts f"&amp;"or the ear in the box can provide optimum comfort to many people. They are light. Maintenance is perfect")</f>
        <v>Lightweight and good quality sound First, turn headphones into a beautiful box for protection. The manual is available in French and ensure that you have doubts about its use, but in reality it is very easy to use. Aesthetically elegant and unobtrusive, ergonomic, well preserved. The headphones have a good self-control by buttons on the headphones is effective, and I also tested the phone conversations without problem. Full support is fast and the battery life of up to several hours. Several spare parts for the ear in the box can provide optimum comfort to many people. They are light. Maintenance is perfect</v>
      </c>
    </row>
    <row r="3692">
      <c r="A3692" s="1">
        <v>2.0</v>
      </c>
      <c r="B3692" s="1" t="s">
        <v>3657</v>
      </c>
      <c r="C3692" t="str">
        <f>IFERROR(__xludf.DUMMYFUNCTION("GOOGLETRANSLATE(B3692, ""fr"", ""en"")"),"Hot but painful ... They seem well with warm removable liner wool. For cons, the heel is not maintained (though I tried two different sizes) and it rubs at the junction of plastic and textile parts. This part is really grossly over: it might be necessary "&amp;"to stick a band over ... I have not had the opportunity to test in real conditions, I had too much fear of pain while walking, I so've returned.")</f>
        <v>Hot but painful ... They seem well with warm removable liner wool. For cons, the heel is not maintained (though I tried two different sizes) and it rubs at the junction of plastic and textile parts. This part is really grossly over: it might be necessary to stick a band over ... I have not had the opportunity to test in real conditions, I had too much fear of pain while walking, I so've returned.</v>
      </c>
    </row>
    <row r="3693">
      <c r="A3693" s="1">
        <v>1.0</v>
      </c>
      <c r="B3693" s="1" t="s">
        <v>3658</v>
      </c>
      <c r="C3693" t="str">
        <f>IFERROR(__xludf.DUMMYFUNCTION("GOOGLETRANSLATE(B3693, ""fr"", ""en"")"),"Do not glue Incomprehensible, I put more than 40 cm of the product to keep an LED light (less than 800g) - Material: Plastic - tiles. it held no more than 10 minutes .... I am very disappointed! false PUB")</f>
        <v>Do not glue Incomprehensible, I put more than 40 cm of the product to keep an LED light (less than 800g) - Material: Plastic - tiles. it held no more than 10 minutes .... I am very disappointed! false PUB</v>
      </c>
    </row>
    <row r="3694">
      <c r="A3694" s="1">
        <v>1.0</v>
      </c>
      <c r="B3694" s="1" t="s">
        <v>3659</v>
      </c>
      <c r="C3694" t="str">
        <f>IFERROR(__xludf.DUMMYFUNCTION("GOOGLETRANSLATE(B3694, ""fr"", ""en"")"),"image that does not match the product is expected to 4 pairs of socks. Or there 'has that a. What a desappointment !")</f>
        <v>image that does not match the product is expected to 4 pairs of socks. Or there 'has that a. What a desappointment !</v>
      </c>
    </row>
    <row r="3695">
      <c r="A3695" s="1">
        <v>3.0</v>
      </c>
      <c r="B3695" s="1" t="s">
        <v>3660</v>
      </c>
      <c r="C3695" t="str">
        <f>IFERROR(__xludf.DUMMYFUNCTION("GOOGLETRANSLATE(B3695, ""fr"", ""en"")"),"comfortable slippery sole")</f>
        <v>comfortable slippery sole</v>
      </c>
    </row>
    <row r="3696">
      <c r="A3696" s="1">
        <v>3.0</v>
      </c>
      <c r="B3696" s="1" t="s">
        <v>3661</v>
      </c>
      <c r="C3696" t="str">
        <f>IFERROR(__xludf.DUMMYFUNCTION("GOOGLETRANSLATE(B3696, ""fr"", ""en"")"),"Painting Hello I find it too expensive for what it is. Too small for my taste.")</f>
        <v>Painting Hello I find it too expensive for what it is. Too small for my taste.</v>
      </c>
    </row>
    <row r="3697">
      <c r="A3697" s="1">
        <v>4.0</v>
      </c>
      <c r="B3697" s="1" t="s">
        <v>3662</v>
      </c>
      <c r="C3697" t="str">
        <f>IFERROR(__xludf.DUMMYFUNCTION("GOOGLETRANSLATE(B3697, ""fr"", ""en"")"),"Convenient ! Article corresponds to the description and photo. Palladium classic model I have not been disappointed. Delivery time.")</f>
        <v>Convenient ! Article corresponds to the description and photo. Palladium classic model I have not been disappointed. Delivery time.</v>
      </c>
    </row>
    <row r="3698">
      <c r="A3698" s="1">
        <v>4.0</v>
      </c>
      <c r="B3698" s="1" t="s">
        <v>3663</v>
      </c>
      <c r="C3698" t="str">
        <f>IFERROR(__xludf.DUMMYFUNCTION("GOOGLETRANSLATE(B3698, ""fr"", ""en"")"),"Pretty curls, laptops everywhere. classic style.")</f>
        <v>Pretty curls, laptops everywhere. classic style.</v>
      </c>
    </row>
    <row r="3699">
      <c r="A3699" s="1">
        <v>4.0</v>
      </c>
      <c r="B3699" s="1" t="s">
        <v>3664</v>
      </c>
      <c r="C3699" t="str">
        <f>IFERROR(__xludf.DUMMYFUNCTION("GOOGLETRANSLATE(B3699, ""fr"", ""en"")"),"Best value for money in my conaissance The object itself is unbeatable in terms of price, for that price you will not find better boom microphone. Of course, at this price, we do not expect a high-end pole, but the pole is still relatively strong, much st"&amp;"ronger than I imagined otherwise. As you can see from the photo, perch hold my blue yeti without any problems, while the latter weighs his weight, so no problem on that side.")</f>
        <v>Best value for money in my conaissance The object itself is unbeatable in terms of price, for that price you will not find better boom microphone. Of course, at this price, we do not expect a high-end pole, but the pole is still relatively strong, much stronger than I imagined otherwise. As you can see from the photo, perch hold my blue yeti without any problems, while the latter weighs his weight, so no problem on that side.</v>
      </c>
    </row>
    <row r="3700">
      <c r="A3700" s="1">
        <v>4.0</v>
      </c>
      <c r="B3700" s="1" t="s">
        <v>3665</v>
      </c>
      <c r="C3700" t="str">
        <f>IFERROR(__xludf.DUMMYFUNCTION("GOOGLETRANSLATE(B3700, ""fr"", ""en"")"),"not bad !!! considering the price, I expected a barely average stuff, just enough to make the journey from home to work, but frankly, it's a pleasant surprise !!! are certainly better, certainly, but at that price, it's a good price / quality! updated jus"&amp;"t a pity that there is no volume control on the remote suddenly I take it 1 star! nah!")</f>
        <v>not bad !!! considering the price, I expected a barely average stuff, just enough to make the journey from home to work, but frankly, it's a pleasant surprise !!! are certainly better, certainly, but at that price, it's a good price / quality! updated just a pity that there is no volume control on the remote suddenly I take it 1 star! nah!</v>
      </c>
    </row>
    <row r="3701">
      <c r="A3701" s="1">
        <v>5.0</v>
      </c>
      <c r="B3701" s="1" t="s">
        <v>3666</v>
      </c>
      <c r="C3701" t="str">
        <f>IFERROR(__xludf.DUMMYFUNCTION("GOOGLETRANSLATE(B3701, ""fr"", ""en"")"),"Tip top Very happy, great product, I am trying to try it, I took it to my problems shoulders and painful periods. It heats well, level 2 and 3, so glad I intend to provide Christmas for my parents.")</f>
        <v>Tip top Very happy, great product, I am trying to try it, I took it to my problems shoulders and painful periods. It heats well, level 2 and 3, so glad I intend to provide Christmas for my parents.</v>
      </c>
    </row>
    <row r="3702">
      <c r="A3702" s="1">
        <v>5.0</v>
      </c>
      <c r="B3702" s="1" t="s">
        <v>3667</v>
      </c>
      <c r="C3702" t="str">
        <f>IFERROR(__xludf.DUMMYFUNCTION("GOOGLETRANSLATE(B3702, ""fr"", ""en"")"),"Megaultra Very good headphones, I'm surprised")</f>
        <v>Megaultra Very good headphones, I'm surprised</v>
      </c>
    </row>
    <row r="3703">
      <c r="A3703" s="1">
        <v>5.0</v>
      </c>
      <c r="B3703" s="1" t="s">
        <v>3668</v>
      </c>
      <c r="C3703" t="str">
        <f>IFERROR(__xludf.DUMMYFUNCTION("GOOGLETRANSLATE(B3703, ""fr"", ""en"")"),"patalon good size as expected. Exactly what my daughter wanted.")</f>
        <v>patalon good size as expected. Exactly what my daughter wanted.</v>
      </c>
    </row>
    <row r="3704">
      <c r="A3704" s="1">
        <v>5.0</v>
      </c>
      <c r="B3704" s="1" t="s">
        <v>3669</v>
      </c>
      <c r="C3704" t="str">
        <f>IFERROR(__xludf.DUMMYFUNCTION("GOOGLETRANSLATE(B3704, ""fr"", ""en"")"),"Excellent product for muscle inflammation and after exercise. fast shipments; easy to use, quickly penetrating product; product used for less efficient muscle inflammation to muscle tears.")</f>
        <v>Excellent product for muscle inflammation and after exercise. fast shipments; easy to use, quickly penetrating product; product used for less efficient muscle inflammation to muscle tears.</v>
      </c>
    </row>
    <row r="3705">
      <c r="A3705" s="1">
        <v>5.0</v>
      </c>
      <c r="B3705" s="1" t="s">
        <v>3670</v>
      </c>
      <c r="C3705" t="str">
        <f>IFERROR(__xludf.DUMMYFUNCTION("GOOGLETRANSLATE(B3705, ""fr"", ""en"")"),"its mobility")</f>
        <v>its mobility</v>
      </c>
    </row>
    <row r="3706">
      <c r="A3706" s="1">
        <v>5.0</v>
      </c>
      <c r="B3706" s="1" t="s">
        <v>3671</v>
      </c>
      <c r="C3706" t="str">
        <f>IFERROR(__xludf.DUMMYFUNCTION("GOOGLETRANSLATE(B3706, ""fr"", ""en"")"),"perfect no complaints. It's perfect. the ink cartridges are for 36 photos. In fact, the cartridge is a series of parts 36 which rotates at each picture. So for each photo, a part is used. There is therefore the number of ink it takes to print 108 pictures"&amp;" (3 cartridges).")</f>
        <v>perfect no complaints. It's perfect. the ink cartridges are for 36 photos. In fact, the cartridge is a series of parts 36 which rotates at each picture. So for each photo, a part is used. There is therefore the number of ink it takes to print 108 pictures (3 cartridges).</v>
      </c>
    </row>
    <row r="3707">
      <c r="A3707" s="1">
        <v>5.0</v>
      </c>
      <c r="B3707" s="1" t="s">
        <v>3672</v>
      </c>
      <c r="C3707" t="str">
        <f>IFERROR(__xludf.DUMMYFUNCTION("GOOGLETRANSLATE(B3707, ""fr"", ""en"")"),"Top Good quality, same as picture")</f>
        <v>Top Good quality, same as picture</v>
      </c>
    </row>
    <row r="3708">
      <c r="A3708" s="1">
        <v>5.0</v>
      </c>
      <c r="B3708" s="1" t="s">
        <v>3673</v>
      </c>
      <c r="C3708" t="str">
        <f>IFERROR(__xludf.DUMMYFUNCTION("GOOGLETRANSLATE(B3708, ""fr"", ""en"")"),"Oil Super perfect! Fast delivery personalizes little message in small parcels The oil is very pleasant to apply, its scent is delicate and pleasant I really recommend this product")</f>
        <v>Oil Super perfect! Fast delivery personalizes little message in small parcels The oil is very pleasant to apply, its scent is delicate and pleasant I really recommend this product</v>
      </c>
    </row>
    <row r="3709">
      <c r="A3709" s="1">
        <v>5.0</v>
      </c>
      <c r="B3709" s="1" t="s">
        <v>3674</v>
      </c>
      <c r="C3709" t="str">
        <f>IFERROR(__xludf.DUMMYFUNCTION("GOOGLETRANSLATE(B3709, ""fr"", ""en"")"),"Excellent large mouse pad, seems solid, ""hangs"" in the office without a ""stick"" can be easily moved, the mouse glides well, happy with my purchase, 3,99 € hard to beat.")</f>
        <v>Excellent large mouse pad, seems solid, "hangs" in the office without a "stick" can be easily moved, the mouse glides well, happy with my purchase, 3,99 € hard to beat.</v>
      </c>
    </row>
    <row r="3710">
      <c r="A3710" s="1">
        <v>5.0</v>
      </c>
      <c r="B3710" s="1" t="s">
        <v>3675</v>
      </c>
      <c r="C3710" t="str">
        <f>IFERROR(__xludf.DUMMYFUNCTION("GOOGLETRANSLATE(B3710, ""fr"", ""en"")"),"Top Perfect beautiful shirt size well")</f>
        <v>Top Perfect beautiful shirt size well</v>
      </c>
    </row>
    <row r="3711">
      <c r="A3711" s="1">
        <v>5.0</v>
      </c>
      <c r="B3711" s="1" t="s">
        <v>3676</v>
      </c>
      <c r="C3711" t="str">
        <f>IFERROR(__xludf.DUMMYFUNCTION("GOOGLETRANSLATE(B3711, ""fr"", ""en"")"),"J adopts! Okay, I like this type of underwear that's put on the top and closed at the waist, very convenient for sports and good quality, I would recommend")</f>
        <v>J adopts! Okay, I like this type of underwear that's put on the top and closed at the waist, very convenient for sports and good quality, I would recommend</v>
      </c>
    </row>
    <row r="3712">
      <c r="A3712" s="1">
        <v>5.0</v>
      </c>
      <c r="B3712" s="1" t="s">
        <v>3677</v>
      </c>
      <c r="C3712" t="str">
        <f>IFERROR(__xludf.DUMMYFUNCTION("GOOGLETRANSLATE(B3712, ""fr"", ""en"")"),"Ideal to get back into the mythology book interesting because you can read an episode every day. The summary at the beginning lets remember the essential ideas every time.")</f>
        <v>Ideal to get back into the mythology book interesting because you can read an episode every day. The summary at the beginning lets remember the essential ideas every time.</v>
      </c>
    </row>
    <row r="3713">
      <c r="A3713" s="1">
        <v>5.0</v>
      </c>
      <c r="B3713" s="1" t="s">
        <v>3678</v>
      </c>
      <c r="C3713" t="str">
        <f>IFERROR(__xludf.DUMMYFUNCTION("GOOGLETRANSLATE(B3713, ""fr"", ""en"")"),"Very good value Very nice functional watch price with two analog / digital displays. Very easy to use with a quality finish. I recommend this product")</f>
        <v>Very good value Very nice functional watch price with two analog / digital displays. Very easy to use with a quality finish. I recommend this product</v>
      </c>
    </row>
    <row r="3714">
      <c r="A3714" s="1">
        <v>5.0</v>
      </c>
      <c r="B3714" s="1" t="s">
        <v>3679</v>
      </c>
      <c r="C3714" t="str">
        <f>IFERROR(__xludf.DUMMYFUNCTION("GOOGLETRANSLATE(B3714, ""fr"", ""en"")"),"Even prettier in real gift for the birthday of my sister, in fact its effect. I took the model in pink / blue, and the bracelet is even more beautiful in real than in pictures.")</f>
        <v>Even prettier in real gift for the birthday of my sister, in fact its effect. I took the model in pink / blue, and the bracelet is even more beautiful in real than in pictures.</v>
      </c>
    </row>
    <row r="3715">
      <c r="A3715" s="1">
        <v>5.0</v>
      </c>
      <c r="B3715" s="1" t="s">
        <v>3680</v>
      </c>
      <c r="C3715" t="str">
        <f>IFERROR(__xludf.DUMMYFUNCTION("GOOGLETRANSLATE(B3715, ""fr"", ""en"")"),"Superb quality &lt;div id = ""video-block-R2N52ADD0U8TMM"" class = ""a-section-spacing-small in-spacing-top mini video-block""&gt; &lt;/ div&gt; &lt;input type = ""hidden"" name = "" ""value ="" https://images-eu.ssl-images-amazon.com/images/I/915Uen7xQHS.mp4 ""class ="&amp;""" video-url ""&gt; &lt;input type ="" hidden ""name ="" ""value ="" https://images-eu.ssl-images-amazon.com/images/I/81QYrLwwBhS.png ""class ="" video-slate-img-url ""&gt; &amp; nbsp; shows Superb, quality is bluffing. Shows that recharges in the light, adjusting rad"&amp;"io controlled time, stopwatch, time ... But what I like most is when it lights in the dark when it is turned to either. I can not stop playing with it!")</f>
        <v>Superb quality &lt;div id = "video-block-R2N52ADD0U8TMM" class = "a-section-spacing-small in-spacing-top mini video-block"&gt; &lt;/ div&gt; &lt;input type = "hidden" name = " "value =" https://images-eu.ssl-images-amazon.com/images/I/915Uen7xQHS.mp4 "class =" video-url "&gt; &lt;input type =" hidden "name =" "value =" https://images-eu.ssl-images-amazon.com/images/I/81QYrLwwBhS.png "class =" video-slate-img-url "&gt; &amp; nbsp; shows Superb, quality is bluffing. Shows that recharges in the light, adjusting radio controlled time, stopwatch, time ... But what I like most is when it lights in the dark when it is turned to either. I can not stop playing with it!</v>
      </c>
    </row>
    <row r="3716">
      <c r="A3716" s="1">
        <v>2.0</v>
      </c>
      <c r="B3716" s="1" t="s">
        <v>3681</v>
      </c>
      <c r="C3716" t="str">
        <f>IFERROR(__xludf.DUMMYFUNCTION("GOOGLETRANSLATE(B3716, ""fr"", ""en"")"),"Insulated? The bag is very nice, not very big but enough to contain two small pots and a large bottle. As against the effect isothermal could use some work: small pot put in frozen, stood at ambient temperature less than 3 hours later. The same as in my d"&amp;"iaper bag, in short ... without interest, therefore.")</f>
        <v>Insulated? The bag is very nice, not very big but enough to contain two small pots and a large bottle. As against the effect isothermal could use some work: small pot put in frozen, stood at ambient temperature less than 3 hours later. The same as in my diaper bag, in short ... without interest, therefore.</v>
      </c>
    </row>
    <row r="3717">
      <c r="A3717" s="1">
        <v>1.0</v>
      </c>
      <c r="B3717" s="1" t="s">
        <v>3682</v>
      </c>
      <c r="C3717" t="str">
        <f>IFERROR(__xludf.DUMMYFUNCTION("GOOGLETRANSLATE(B3717, ""fr"", ""en"")"),"To avoid This size too large, there is no dress. Jai took the S it looks like L. No bending sleeves too wide. It is not as beautiful as the picture. Very disapointed")</f>
        <v>To avoid This size too large, there is no dress. Jai took the S it looks like L. No bending sleeves too wide. It is not as beautiful as the picture. Very disapointed</v>
      </c>
    </row>
    <row r="3718">
      <c r="A3718" s="1">
        <v>1.0</v>
      </c>
      <c r="B3718" s="1" t="s">
        <v>3683</v>
      </c>
      <c r="C3718" t="str">
        <f>IFERROR(__xludf.DUMMYFUNCTION("GOOGLETRANSLATE(B3718, ""fr"", ""en"")"),"Disappointed Very disappointed after 2 months the sole is off")</f>
        <v>Disappointed Very disappointed after 2 months the sole is off</v>
      </c>
    </row>
    <row r="3719">
      <c r="A3719" s="1">
        <v>3.0</v>
      </c>
      <c r="B3719" s="1" t="s">
        <v>3684</v>
      </c>
      <c r="C3719" t="str">
        <f>IFERROR(__xludf.DUMMYFUNCTION("GOOGLETRANSLATE(B3719, ""fr"", ""en"")"),"Solid, nice BUT not for the pedometer too random Mixed review for this little watch albeit very strong, very beautiful !! Obviously this is G-SHOCK In this it keeps its promises ... However small problem when the pedometer has a function that deserves to "&amp;"be reviewed ...")</f>
        <v>Solid, nice BUT not for the pedometer too random Mixed review for this little watch albeit very strong, very beautiful !! Obviously this is G-SHOCK In this it keeps its promises ... However small problem when the pedometer has a function that deserves to be reviewed ...</v>
      </c>
    </row>
    <row r="3720">
      <c r="A3720" s="1">
        <v>4.0</v>
      </c>
      <c r="B3720" s="1" t="s">
        <v>3685</v>
      </c>
      <c r="C3720" t="str">
        <f>IFERROR(__xludf.DUMMYFUNCTION("GOOGLETRANSLATE(B3720, ""fr"", ""en"")"),"Does its job! Sufficient for its usefulness. Can find cheaper elsewhere but helps out tremendously. I recommend")</f>
        <v>Does its job! Sufficient for its usefulness. Can find cheaper elsewhere but helps out tremendously. I recommend</v>
      </c>
    </row>
    <row r="3721">
      <c r="A3721" s="1">
        <v>4.0</v>
      </c>
      <c r="B3721" s="1" t="s">
        <v>3686</v>
      </c>
      <c r="C3721" t="str">
        <f>IFERROR(__xludf.DUMMYFUNCTION("GOOGLETRANSLATE(B3721, ""fr"", ""en"")"),"Very good product The pros: helmet is beautiful and it looks solid; the product corresponds to the image. Sending fast. The -: the pads are a bit hard and the noise reduction is not complete. To use non-professional that I am, this headset is very well vr"&amp;"aimement")</f>
        <v>Very good product The pros: helmet is beautiful and it looks solid; the product corresponds to the image. Sending fast. The -: the pads are a bit hard and the noise reduction is not complete. To use non-professional that I am, this headset is very well vraimement</v>
      </c>
    </row>
    <row r="3722">
      <c r="A3722" s="1">
        <v>4.0</v>
      </c>
      <c r="B3722" s="1" t="s">
        <v>3687</v>
      </c>
      <c r="C3722" t="str">
        <f>IFERROR(__xludf.DUMMYFUNCTION("GOOGLETRANSLATE(B3722, ""fr"", ""en"")"),"Nice watch Bought for a friend on her birthday, the design is nice but I find too pronounced gold color which can make the jewel effect a low-end damage")</f>
        <v>Nice watch Bought for a friend on her birthday, the design is nice but I find too pronounced gold color which can make the jewel effect a low-end damage</v>
      </c>
    </row>
    <row r="3723">
      <c r="A3723" s="1">
        <v>4.0</v>
      </c>
      <c r="B3723" s="1" t="s">
        <v>3688</v>
      </c>
      <c r="C3723" t="str">
        <f>IFERROR(__xludf.DUMMYFUNCTION("GOOGLETRANSLATE(B3723, ""fr"", ""en"")"),"Size large I should have taken an L rather than a XL Otherwise everything goes well")</f>
        <v>Size large I should have taken an L rather than a XL Otherwise everything goes well</v>
      </c>
    </row>
    <row r="3724">
      <c r="A3724" s="1">
        <v>5.0</v>
      </c>
      <c r="B3724" s="1" t="s">
        <v>3689</v>
      </c>
      <c r="C3724" t="str">
        <f>IFERROR(__xludf.DUMMYFUNCTION("GOOGLETRANSLATE(B3724, ""fr"", ""en"")"),"The TOP sequins top notch, the most stubborn stains leave super good, respect for the machine and nickel for very dirty towel, received quickly I will buy this product")</f>
        <v>The TOP sequins top notch, the most stubborn stains leave super good, respect for the machine and nickel for very dirty towel, received quickly I will buy this product</v>
      </c>
    </row>
    <row r="3725">
      <c r="A3725" s="1">
        <v>5.0</v>
      </c>
      <c r="B3725" s="1" t="s">
        <v>3690</v>
      </c>
      <c r="C3725" t="str">
        <f>IFERROR(__xludf.DUMMYFUNCTION("GOOGLETRANSLATE(B3725, ""fr"", ""en"")"),"stunner (for the price) my overall rating is the seller, the product and the delivery man (well the delivery girl). The delivery was more than met. Reading the reviews before buying, I was rather in expectation, but the first few minutes my wife and I hav"&amp;"e adopted without problem. I like when it's a little rough, and the movement of the balls does not bother me. My wife uses a folded towel to alleviate some hardness, in short, all the world is there, and we did a few sessions of physio economy.")</f>
        <v>stunner (for the price) my overall rating is the seller, the product and the delivery man (well the delivery girl). The delivery was more than met. Reading the reviews before buying, I was rather in expectation, but the first few minutes my wife and I have adopted without problem. I like when it's a little rough, and the movement of the balls does not bother me. My wife uses a folded towel to alleviate some hardness, in short, all the world is there, and we did a few sessions of physio economy.</v>
      </c>
    </row>
    <row r="3726">
      <c r="A3726" s="1">
        <v>5.0</v>
      </c>
      <c r="B3726" s="1" t="s">
        <v>3691</v>
      </c>
      <c r="C3726" t="str">
        <f>IFERROR(__xludf.DUMMYFUNCTION("GOOGLETRANSLATE(B3726, ""fr"", ""en"")"),"Very well very well!")</f>
        <v>Very well very well!</v>
      </c>
    </row>
    <row r="3727">
      <c r="A3727" s="1">
        <v>5.0</v>
      </c>
      <c r="B3727" s="1" t="s">
        <v>3692</v>
      </c>
      <c r="C3727" t="str">
        <f>IFERROR(__xludf.DUMMYFUNCTION("GOOGLETRANSLATE(B3727, ""fr"", ""en"")"),"Perfect This product is really perfect, and does its job well, I'm very anti-pop content.Filtre basic that wiped out the pop sounds, works very well with good clip acrocher to an articulated arm.")</f>
        <v>Perfect This product is really perfect, and does its job well, I'm very anti-pop content.Filtre basic that wiped out the pop sounds, works very well with good clip acrocher to an articulated arm.</v>
      </c>
    </row>
    <row r="3728">
      <c r="A3728" s="1">
        <v>5.0</v>
      </c>
      <c r="B3728" s="1" t="s">
        <v>3693</v>
      </c>
      <c r="C3728" t="str">
        <f>IFERROR(__xludf.DUMMYFUNCTION("GOOGLETRANSLATE(B3728, ""fr"", ""en"")"),"practical, aesthetic and easy to NOT use outdoor splash when water is boiling, large capacity (1.7 liters)")</f>
        <v>practical, aesthetic and easy to NOT use outdoor splash when water is boiling, large capacity (1.7 liters)</v>
      </c>
    </row>
    <row r="3729">
      <c r="A3729" s="1">
        <v>5.0</v>
      </c>
      <c r="B3729" s="1" t="s">
        <v>3694</v>
      </c>
      <c r="C3729" t="str">
        <f>IFERROR(__xludf.DUMMYFUNCTION("GOOGLETRANSLATE(B3729, ""fr"", ""en"")"),"Perfect I'm very happy with my new watch, easy to use and then they even have a manual in several very practical language to be able to régler.livrer in a plastic case.")</f>
        <v>Perfect I'm very happy with my new watch, easy to use and then they even have a manual in several very practical language to be able to régler.livrer in a plastic case.</v>
      </c>
    </row>
    <row r="3730">
      <c r="A3730" s="1">
        <v>5.0</v>
      </c>
      <c r="B3730" s="1" t="s">
        <v>3695</v>
      </c>
      <c r="C3730" t="str">
        <f>IFERROR(__xludf.DUMMYFUNCTION("GOOGLETRANSLATE(B3730, ""fr"", ""en"")"),"Nice effect No complaints about quality. Nice effect for a very reasonable price")</f>
        <v>Nice effect No complaints about quality. Nice effect for a very reasonable price</v>
      </c>
    </row>
    <row r="3731">
      <c r="A3731" s="1">
        <v>5.0</v>
      </c>
      <c r="B3731" s="1" t="s">
        <v>3696</v>
      </c>
      <c r="C3731" t="str">
        <f>IFERROR(__xludf.DUMMYFUNCTION("GOOGLETRANSLATE(B3731, ""fr"", ""en"")"),"In gadou style! one day we all need to go to toy in our garden, wading through gadou ... It takes for all tastes. Well with these boots there, it feels a little less amiss! On the amazing quality, durable all-weather, rainproof and Karcher (and yes I have"&amp;" tested the pressure on the foot, you feel nothing!) A great product for a brand used to the gum and rubber!")</f>
        <v>In gadou style! one day we all need to go to toy in our garden, wading through gadou ... It takes for all tastes. Well with these boots there, it feels a little less amiss! On the amazing quality, durable all-weather, rainproof and Karcher (and yes I have tested the pressure on the foot, you feel nothing!) A great product for a brand used to the gum and rubber!</v>
      </c>
    </row>
    <row r="3732">
      <c r="A3732" s="1">
        <v>5.0</v>
      </c>
      <c r="B3732" s="1" t="s">
        <v>3697</v>
      </c>
      <c r="C3732" t="str">
        <f>IFERROR(__xludf.DUMMYFUNCTION("GOOGLETRANSLATE(B3732, ""fr"", ""en"")"),"Ras Okay")</f>
        <v>Ras Okay</v>
      </c>
    </row>
    <row r="3733">
      <c r="A3733" s="1">
        <v>5.0</v>
      </c>
      <c r="B3733" s="1" t="s">
        <v>3698</v>
      </c>
      <c r="C3733" t="str">
        <f>IFERROR(__xludf.DUMMYFUNCTION("GOOGLETRANSLATE(B3733, ""fr"", ""en"")"),"Excellent value for money! I recommend Very useful, absorbs odors, moisture, in any place! Super convenient and reusable")</f>
        <v>Excellent value for money! I recommend Very useful, absorbs odors, moisture, in any place! Super convenient and reusable</v>
      </c>
    </row>
    <row r="3734">
      <c r="A3734" s="1">
        <v>5.0</v>
      </c>
      <c r="B3734" s="1" t="s">
        <v>3699</v>
      </c>
      <c r="C3734" t="str">
        <f>IFERROR(__xludf.DUMMYFUNCTION("GOOGLETRANSLATE(B3734, ""fr"", ""en"")"),"A must have! Perfect helmet, arrived in excellent condition. Rich bass as acute: a well-balanced product! What is best in this price range. The design is simple and flawless finish. I recommand it!")</f>
        <v>A must have! Perfect helmet, arrived in excellent condition. Rich bass as acute: a well-balanced product! What is best in this price range. The design is simple and flawless finish. I recommand it!</v>
      </c>
    </row>
    <row r="3735">
      <c r="A3735" s="1">
        <v>5.0</v>
      </c>
      <c r="B3735" s="1" t="s">
        <v>3700</v>
      </c>
      <c r="C3735" t="str">
        <f>IFERROR(__xludf.DUMMYFUNCTION("GOOGLETRANSLATE(B3735, ""fr"", ""en"")"),"Good product Satisfied by the product. Fragrance pleasant. inouvrable package for children")</f>
        <v>Good product Satisfied by the product. Fragrance pleasant. inouvrable package for children</v>
      </c>
    </row>
    <row r="3736">
      <c r="A3736" s="1">
        <v>5.0</v>
      </c>
      <c r="B3736" s="1" t="s">
        <v>3701</v>
      </c>
      <c r="C3736" t="str">
        <f>IFERROR(__xludf.DUMMYFUNCTION("GOOGLETRANSLATE(B3736, ""fr"", ""en"")"),"Pleasant satisfied")</f>
        <v>Pleasant satisfied</v>
      </c>
    </row>
    <row r="3737">
      <c r="A3737" s="1">
        <v>5.0</v>
      </c>
      <c r="B3737" s="1" t="s">
        <v>3702</v>
      </c>
      <c r="C3737" t="str">
        <f>IFERROR(__xludf.DUMMYFUNCTION("GOOGLETRANSLATE(B3737, ""fr"", ""en"")"),"MVPOWER Heated Mattress 150 x 80 cm, compliant C.E MVPOWER Heated Mattress 150 x 80 cm, 3 Levels Temperature Protection Against Overheating Pro article - complies easy hot to sleep and healthy when-alone. see you soon")</f>
        <v>MVPOWER Heated Mattress 150 x 80 cm, compliant C.E MVPOWER Heated Mattress 150 x 80 cm, 3 Levels Temperature Protection Against Overheating Pro article - complies easy hot to sleep and healthy when-alone. see you soon</v>
      </c>
    </row>
    <row r="3738">
      <c r="A3738" s="1">
        <v>5.0</v>
      </c>
      <c r="B3738" s="1" t="s">
        <v>3703</v>
      </c>
      <c r="C3738" t="str">
        <f>IFERROR(__xludf.DUMMYFUNCTION("GOOGLETRANSLATE(B3738, ""fr"", ""en"")"),"Very nice watch! Shows look great on the wrist. It's perfect for a dressy casual style or more. To have in his watch collection without hesitation.")</f>
        <v>Very nice watch! Shows look great on the wrist. It's perfect for a dressy casual style or more. To have in his watch collection without hesitation.</v>
      </c>
    </row>
    <row r="3739">
      <c r="A3739" s="1">
        <v>2.0</v>
      </c>
      <c r="B3739" s="1" t="s">
        <v>3704</v>
      </c>
      <c r="C3739" t="str">
        <f>IFERROR(__xludf.DUMMYFUNCTION("GOOGLETRANSLATE(B3739, ""fr"", ""en"")"),"Have only three Mesh Baskets ... Hello, I already had these four teats with speed so 4 holes in them. I bought in because some began to deteriorate after two years. What is my surprise this morning to see preparing breakfast for my daughter as yet rated s"&amp;"peed teats 4 have only three Mesh Baskets? Unlike my old who 4 well? I am very unhappy to see that we had a good laugh at me ...")</f>
        <v>Have only three Mesh Baskets ... Hello, I already had these four teats with speed so 4 holes in them. I bought in because some began to deteriorate after two years. What is my surprise this morning to see preparing breakfast for my daughter as yet rated speed teats 4 have only three Mesh Baskets? Unlike my old who 4 well? I am very unhappy to see that we had a good laugh at me ...</v>
      </c>
    </row>
    <row r="3740">
      <c r="A3740" s="1">
        <v>1.0</v>
      </c>
      <c r="B3740" s="1" t="s">
        <v>3705</v>
      </c>
      <c r="C3740" t="str">
        <f>IFERROR(__xludf.DUMMYFUNCTION("GOOGLETRANSLATE(B3740, ""fr"", ""en"")"),"I do not recommend! I bought these bottles following all the good reviews, but I am very deçue and absolutely not recommended !!!!!!!! 1) the bottles do not fit into conventional microwave (too large bottles ...) 2) in the heating with a conventional bott"&amp;"le warmer, the plastic is burning while the water inside is cold ... 3) my daughter used to drink with a speed of 3 nipple, and with mam baby bottles, the flow is too fast, she choked several times, she could not follow the flow then there had milk everyw"&amp;"here! In short, go your way!")</f>
        <v>I do not recommend! I bought these bottles following all the good reviews, but I am very deçue and absolutely not recommended !!!!!!!! 1) the bottles do not fit into conventional microwave (too large bottles ...) 2) in the heating with a conventional bottle warmer, the plastic is burning while the water inside is cold ... 3) my daughter used to drink with a speed of 3 nipple, and with mam baby bottles, the flow is too fast, she choked several times, she could not follow the flow then there had milk everywhere! In short, go your way!</v>
      </c>
    </row>
    <row r="3741">
      <c r="A3741" s="1">
        <v>3.0</v>
      </c>
      <c r="B3741" s="1" t="s">
        <v>3706</v>
      </c>
      <c r="C3741" t="str">
        <f>IFERROR(__xludf.DUMMYFUNCTION("GOOGLETRANSLATE(B3741, ""fr"", ""en"")"),"cheap so we came in for our money package late I needed a sweater not too expensive because my daughter wanted to customize it so it is the case. the fabric is a bit cheap but for the price it's still very good. the hood is curiously made (rather than one"&amp;" pieces of fabric with a hem for the passage of the cord, the fabric is folded in two without slides so the cord will ride between the two thicknesses and two thicknesses do not reach a well up. sweat the small size but it's shown I have therefore commiss"&amp;"ioned a plus size and it just goes.")</f>
        <v>cheap so we came in for our money package late I needed a sweater not too expensive because my daughter wanted to customize it so it is the case. the fabric is a bit cheap but for the price it's still very good. the hood is curiously made (rather than one pieces of fabric with a hem for the passage of the cord, the fabric is folded in two without slides so the cord will ride between the two thicknesses and two thicknesses do not reach a well up. sweat the small size but it's shown I have therefore commissioned a plus size and it just goes.</v>
      </c>
    </row>
    <row r="3742">
      <c r="A3742" s="1">
        <v>3.0</v>
      </c>
      <c r="B3742" s="1" t="s">
        <v>3707</v>
      </c>
      <c r="C3742" t="str">
        <f>IFERROR(__xludf.DUMMYFUNCTION("GOOGLETRANSLATE(B3742, ""fr"", ""en"")"),"Guard terrain time Surprised that the commissioning of the watch 2010 appeared! Not sure that the battery lasts 10 years? Warning for purists no countdown but indicated in the description. simplissime lightweight watch settings can be fragile bracelet? Bu"&amp;"t in this current range Casio enough and for the price ... What bothered me most, food.")</f>
        <v>Guard terrain time Surprised that the commissioning of the watch 2010 appeared! Not sure that the battery lasts 10 years? Warning for purists no countdown but indicated in the description. simplissime lightweight watch settings can be fragile bracelet? But in this current range Casio enough and for the price ... What bothered me most, food.</v>
      </c>
    </row>
    <row r="3743">
      <c r="A3743" s="1">
        <v>4.0</v>
      </c>
      <c r="B3743" s="1" t="s">
        <v>3708</v>
      </c>
      <c r="C3743" t="str">
        <f>IFERROR(__xludf.DUMMYFUNCTION("GOOGLETRANSLATE(B3743, ""fr"", ""en"")"),"Good Very good")</f>
        <v>Good Very good</v>
      </c>
    </row>
    <row r="3744">
      <c r="A3744" s="1">
        <v>4.0</v>
      </c>
      <c r="B3744" s="1" t="s">
        <v>3709</v>
      </c>
      <c r="C3744" t="str">
        <f>IFERROR(__xludf.DUMMYFUNCTION("GOOGLETRANSLATE(B3744, ""fr"", ""en"")"),"Beloved practical and consistent practice")</f>
        <v>Beloved practical and consistent practice</v>
      </c>
    </row>
    <row r="3745">
      <c r="A3745" s="1">
        <v>4.0</v>
      </c>
      <c r="B3745" s="1" t="s">
        <v>3710</v>
      </c>
      <c r="C3745" t="str">
        <f>IFERROR(__xludf.DUMMYFUNCTION("GOOGLETRANSLATE(B3745, ""fr"", ""en"")"),"against stroke and pain massage oil has the famous arnica but this is the best and expensive month when .toujours pharmacy having to wear hand")</f>
        <v>against stroke and pain massage oil has the famous arnica but this is the best and expensive month when .toujours pharmacy having to wear hand</v>
      </c>
    </row>
    <row r="3746">
      <c r="A3746" s="1">
        <v>4.0</v>
      </c>
      <c r="B3746" s="1" t="s">
        <v>3711</v>
      </c>
      <c r="C3746" t="str">
        <f>IFERROR(__xludf.DUMMYFUNCTION("GOOGLETRANSLATE(B3746, ""fr"", ""en"")"),"Although Nice product. Size compliant.")</f>
        <v>Although Nice product. Size compliant.</v>
      </c>
    </row>
    <row r="3747">
      <c r="A3747" s="1">
        <v>5.0</v>
      </c>
      <c r="B3747" s="1" t="s">
        <v>3712</v>
      </c>
      <c r="C3747" t="str">
        <f>IFERROR(__xludf.DUMMYFUNCTION("GOOGLETRANSLATE(B3747, ""fr"", ""en"")"),"change of air! I already knew. better than incense for those who resent combustion smoke and scent that lingers long. very pleasant and efficient ............. I love.")</f>
        <v>change of air! I already knew. better than incense for those who resent combustion smoke and scent that lingers long. very pleasant and efficient ............. I love.</v>
      </c>
    </row>
    <row r="3748">
      <c r="A3748" s="1">
        <v>5.0</v>
      </c>
      <c r="B3748" s="1" t="s">
        <v>3713</v>
      </c>
      <c r="C3748" t="str">
        <f>IFERROR(__xludf.DUMMYFUNCTION("GOOGLETRANSLATE(B3748, ""fr"", ""en"")"),"Shoes Really good shoes, very lightweight and discreet, which I do not like flashy shoes I am. The quality / price is excellent I think, to see in time.")</f>
        <v>Shoes Really good shoes, very lightweight and discreet, which I do not like flashy shoes I am. The quality / price is excellent I think, to see in time.</v>
      </c>
    </row>
    <row r="3749">
      <c r="A3749" s="1">
        <v>5.0</v>
      </c>
      <c r="B3749" s="1" t="s">
        <v>3714</v>
      </c>
      <c r="C3749" t="str">
        <f>IFERROR(__xludf.DUMMYFUNCTION("GOOGLETRANSLATE(B3749, ""fr"", ""en"")"),"Delighted gift for my mother, no special occasion. She is delighted and me too")</f>
        <v>Delighted gift for my mother, no special occasion. She is delighted and me too</v>
      </c>
    </row>
    <row r="3750">
      <c r="A3750" s="1">
        <v>5.0</v>
      </c>
      <c r="B3750" s="1" t="s">
        <v>3715</v>
      </c>
      <c r="C3750" t="str">
        <f>IFERROR(__xludf.DUMMYFUNCTION("GOOGLETRANSLATE(B3750, ""fr"", ""en"")"),"Jerome RAS")</f>
        <v>Jerome RAS</v>
      </c>
    </row>
    <row r="3751">
      <c r="A3751" s="1">
        <v>5.0</v>
      </c>
      <c r="B3751" s="1" t="s">
        <v>3716</v>
      </c>
      <c r="C3751" t="str">
        <f>IFERROR(__xludf.DUMMYFUNCTION("GOOGLETRANSLATE(B3751, ""fr"", ""en"")"),"How to say, it's ba Originals Nothing to add is original cartridges")</f>
        <v>How to say, it's ba Originals Nothing to add is original cartridges</v>
      </c>
    </row>
    <row r="3752">
      <c r="A3752" s="1">
        <v>5.0</v>
      </c>
      <c r="B3752" s="1" t="s">
        <v>3717</v>
      </c>
      <c r="C3752" t="str">
        <f>IFERROR(__xludf.DUMMYFUNCTION("GOOGLETRANSLATE(B3752, ""fr"", ""en"")"),"Very satisfied I already had his headphones and I love it's original that I had with my S8. I recommend.")</f>
        <v>Very satisfied I already had his headphones and I love it's original that I had with my S8. I recommend.</v>
      </c>
    </row>
    <row r="3753">
      <c r="A3753" s="1">
        <v>5.0</v>
      </c>
      <c r="B3753" s="1" t="s">
        <v>3718</v>
      </c>
      <c r="C3753" t="str">
        <f>IFERROR(__xludf.DUMMYFUNCTION("GOOGLETRANSLATE(B3753, ""fr"", ""en"")"),"Frankly very good sound, the sound is very good, fast coupling, efficient control, charging of the battery via the storage box or directly to the helmet using the adapter. With an effective, the helmet fits snugly in the ear, even in a sporting environmen"&amp;"t. I recommend this product has 200 percent")</f>
        <v>Frankly very good sound, the sound is very good, fast coupling, efficient control, charging of the battery via the storage box or directly to the helmet using the adapter. With an effective, the helmet fits snugly in the ear, even in a sporting environment. I recommend this product has 200 percent</v>
      </c>
    </row>
    <row r="3754">
      <c r="A3754" s="1">
        <v>5.0</v>
      </c>
      <c r="B3754" s="1" t="s">
        <v>3719</v>
      </c>
      <c r="C3754" t="str">
        <f>IFERROR(__xludf.DUMMYFUNCTION("GOOGLETRANSLATE(B3754, ""fr"", ""en"")"),"very pretty, comfortable, they heat a little late in the day but I'm happy")</f>
        <v>very pretty, comfortable, they heat a little late in the day but I'm happy</v>
      </c>
    </row>
    <row r="3755">
      <c r="A3755" s="1">
        <v>5.0</v>
      </c>
      <c r="B3755" s="1" t="s">
        <v>3720</v>
      </c>
      <c r="C3755" t="str">
        <f>IFERROR(__xludf.DUMMYFUNCTION("GOOGLETRANSLATE(B3755, ""fr"", ""en"")"),"This is a stylish gift, my partner loved it.")</f>
        <v>This is a stylish gift, my partner loved it.</v>
      </c>
    </row>
    <row r="3756">
      <c r="A3756" s="1">
        <v>5.0</v>
      </c>
      <c r="B3756" s="1" t="s">
        <v>3721</v>
      </c>
      <c r="C3756" t="str">
        <f>IFERROR(__xludf.DUMMYFUNCTION("GOOGLETRANSLATE(B3756, ""fr"", ""en"")"),"Perfect for the price perfect, by size against slightly larger and a little loose so take good size if it is between two take below.")</f>
        <v>Perfect for the price perfect, by size against slightly larger and a little loose so take good size if it is between two take below.</v>
      </c>
    </row>
    <row r="3757">
      <c r="A3757" s="1">
        <v>5.0</v>
      </c>
      <c r="B3757" s="1" t="s">
        <v>3722</v>
      </c>
      <c r="C3757" t="str">
        <f>IFERROR(__xludf.DUMMYFUNCTION("GOOGLETRANSLATE(B3757, ""fr"", ""en"")"),"Very good and inexpensive gift that my daughter shared with her school friend. Well finished and durable. Very pretty")</f>
        <v>Very good and inexpensive gift that my daughter shared with her school friend. Well finished and durable. Very pretty</v>
      </c>
    </row>
    <row r="3758">
      <c r="A3758" s="1">
        <v>5.0</v>
      </c>
      <c r="B3758" s="1" t="s">
        <v>1417</v>
      </c>
      <c r="C3758" t="str">
        <f>IFERROR(__xludf.DUMMYFUNCTION("GOOGLETRANSLATE(B3758, ""fr"", ""en"")"),"ras ras")</f>
        <v>ras ras</v>
      </c>
    </row>
    <row r="3759">
      <c r="A3759" s="1">
        <v>5.0</v>
      </c>
      <c r="B3759" s="1" t="s">
        <v>3723</v>
      </c>
      <c r="C3759" t="str">
        <f>IFERROR(__xludf.DUMMYFUNCTION("GOOGLETRANSLATE(B3759, ""fr"", ""en"")"),"sneakers great value bascket good and pleasant to wear")</f>
        <v>sneakers great value bascket good and pleasant to wear</v>
      </c>
    </row>
    <row r="3760">
      <c r="A3760" s="1">
        <v>5.0</v>
      </c>
      <c r="B3760" s="1" t="s">
        <v>3724</v>
      </c>
      <c r="C3760" t="str">
        <f>IFERROR(__xludf.DUMMYFUNCTION("GOOGLETRANSLATE(B3760, ""fr"", ""en"")"),"Perfect Excellent value. Comfortable (tall), easy maintenance. As soon as I get home, I put it, I am so comfortable in it! I have already purchased in 4 colors. Only the purple is not comfortable, it is a low rise is too small as I always take the same si"&amp;"ze.")</f>
        <v>Perfect Excellent value. Comfortable (tall), easy maintenance. As soon as I get home, I put it, I am so comfortable in it! I have already purchased in 4 colors. Only the purple is not comfortable, it is a low rise is too small as I always take the same size.</v>
      </c>
    </row>
    <row r="3761">
      <c r="A3761" s="1">
        <v>5.0</v>
      </c>
      <c r="B3761" s="1" t="s">
        <v>3725</v>
      </c>
      <c r="C3761" t="str">
        <f>IFERROR(__xludf.DUMMYFUNCTION("GOOGLETRANSLATE(B3761, ""fr"", ""en"")"),"Super bag Very good product")</f>
        <v>Super bag Very good product</v>
      </c>
    </row>
    <row r="3762">
      <c r="A3762" s="1">
        <v>2.0</v>
      </c>
      <c r="B3762" s="1" t="s">
        <v>3726</v>
      </c>
      <c r="C3762" t="str">
        <f>IFERROR(__xludf.DUMMYFUNCTION("GOOGLETRANSLATE(B3762, ""fr"", ""en"")"),"Nondurable very disappointed, pretty but received several deformations despite proper packaging")</f>
        <v>Nondurable very disappointed, pretty but received several deformations despite proper packaging</v>
      </c>
    </row>
    <row r="3763">
      <c r="A3763" s="1">
        <v>1.0</v>
      </c>
      <c r="B3763" s="1" t="s">
        <v>3727</v>
      </c>
      <c r="C3763" t="str">
        <f>IFERROR(__xludf.DUMMYFUNCTION("GOOGLETRANSLATE(B3763, ""fr"", ""en"")"),"Tétière very poor Comfortable and thick. Good food at first. As against the quality of the headrest is unacceptable. One of my clients has hurt the cervical because of this very low clamping system.")</f>
        <v>Tétière very poor Comfortable and thick. Good food at first. As against the quality of the headrest is unacceptable. One of my clients has hurt the cervical because of this very low clamping system.</v>
      </c>
    </row>
    <row r="3764">
      <c r="A3764" s="1">
        <v>1.0</v>
      </c>
      <c r="B3764" s="1" t="s">
        <v>3728</v>
      </c>
      <c r="C3764" t="str">
        <f>IFERROR(__xludf.DUMMYFUNCTION("GOOGLETRANSLATE(B3764, ""fr"", ""en"")"),"Disappointed .. Too small! Not easy to clean if by misfortune cheese than on the sides. And the first night of use, it broke down!")</f>
        <v>Disappointed .. Too small! Not easy to clean if by misfortune cheese than on the sides. And the first night of use, it broke down!</v>
      </c>
    </row>
    <row r="3765">
      <c r="A3765" s="1">
        <v>3.0</v>
      </c>
      <c r="B3765" s="1" t="s">
        <v>3729</v>
      </c>
      <c r="C3765" t="str">
        <f>IFERROR(__xludf.DUMMYFUNCTION("GOOGLETRANSLATE(B3765, ""fr"", ""en"")"),"A little gadget ... To see the time but I'm disappointed for the moment because the product is in difficulties to quickly mix a bottle of milk thickened.")</f>
        <v>A little gadget ... To see the time but I'm disappointed for the moment because the product is in difficulties to quickly mix a bottle of milk thickened.</v>
      </c>
    </row>
    <row r="3766">
      <c r="A3766" s="1">
        <v>3.0</v>
      </c>
      <c r="B3766" s="1" t="s">
        <v>3730</v>
      </c>
      <c r="C3766" t="str">
        <f>IFERROR(__xludf.DUMMYFUNCTION("GOOGLETRANSLATE(B3766, ""fr"", ""en"")"),"TIMING I DIFFICUTES ""galley"" a little to the setting of the altimeter and barometer, for lack of specific instructions in the manual, must be found in French!")</f>
        <v>TIMING I DIFFICUTES "galley" a little to the setting of the altimeter and barometer, for lack of specific instructions in the manual, must be found in French!</v>
      </c>
    </row>
    <row r="3767">
      <c r="A3767" s="1">
        <v>4.0</v>
      </c>
      <c r="B3767" s="1" t="s">
        <v>3731</v>
      </c>
      <c r="C3767" t="str">
        <f>IFERROR(__xludf.DUMMYFUNCTION("GOOGLETRANSLATE(B3767, ""fr"", ""en"")"),"Aspire good for the car it is fine")</f>
        <v>Aspire good for the car it is fine</v>
      </c>
    </row>
    <row r="3768">
      <c r="A3768" s="1">
        <v>4.0</v>
      </c>
      <c r="B3768" s="1" t="s">
        <v>3732</v>
      </c>
      <c r="C3768" t="str">
        <f>IFERROR(__xludf.DUMMYFUNCTION("GOOGLETRANSLATE(B3768, ""fr"", ""en"")"),"very good buy for trying dozens of pairs of work shoes, those are very comfortable, walking is pleasant, and the air of very good quality. only point where I did not put 5 stars is that I found a bit heavy.")</f>
        <v>very good buy for trying dozens of pairs of work shoes, those are very comfortable, walking is pleasant, and the air of very good quality. only point where I did not put 5 stars is that I found a bit heavy.</v>
      </c>
    </row>
    <row r="3769">
      <c r="A3769" s="1">
        <v>4.0</v>
      </c>
      <c r="B3769" s="1" t="s">
        <v>3733</v>
      </c>
      <c r="C3769" t="str">
        <f>IFERROR(__xludf.DUMMYFUNCTION("GOOGLETRANSLATE(B3769, ""fr"", ""en"")"),"Compliant Product in relation to its price")</f>
        <v>Compliant Product in relation to its price</v>
      </c>
    </row>
    <row r="3770">
      <c r="A3770" s="1">
        <v>4.0</v>
      </c>
      <c r="B3770" s="1" t="s">
        <v>3734</v>
      </c>
      <c r="C3770" t="str">
        <f>IFERROR(__xludf.DUMMYFUNCTION("GOOGLETRANSLATE(B3770, ""fr"", ""en"")"),"Pretty and practical Very nice bag that I use every day to carry my business work, the seams around the small external zippered pouch were quickly defeated then I fixed myself ..")</f>
        <v>Pretty and practical Very nice bag that I use every day to carry my business work, the seams around the small external zippered pouch were quickly defeated then I fixed myself ..</v>
      </c>
    </row>
    <row r="3771">
      <c r="A3771" s="1">
        <v>5.0</v>
      </c>
      <c r="B3771" s="1" t="s">
        <v>3735</v>
      </c>
      <c r="C3771" t="str">
        <f>IFERROR(__xludf.DUMMYFUNCTION("GOOGLETRANSLATE(B3771, ""fr"", ""en"")"),"Very satisfied !! The oils have arrived in a beautiful box. I put essential oils in my diffuser and it feels super good! pleasant smell and not heady. I recommend.")</f>
        <v>Very satisfied !! The oils have arrived in a beautiful box. I put essential oils in my diffuser and it feels super good! pleasant smell and not heady. I recommend.</v>
      </c>
    </row>
    <row r="3772">
      <c r="A3772" s="1">
        <v>5.0</v>
      </c>
      <c r="B3772" s="1" t="s">
        <v>3736</v>
      </c>
      <c r="C3772" t="str">
        <f>IFERROR(__xludf.DUMMYFUNCTION("GOOGLETRANSLATE(B3772, ""fr"", ""en"")"),"Good nice product wear Very good product. Quality .confort very well very well. And just size.")</f>
        <v>Good nice product wear Very good product. Quality .confort very well very well. And just size.</v>
      </c>
    </row>
    <row r="3773">
      <c r="A3773" s="1">
        <v>5.0</v>
      </c>
      <c r="B3773" s="1" t="s">
        <v>3737</v>
      </c>
      <c r="C3773" t="str">
        <f>IFERROR(__xludf.DUMMYFUNCTION("GOOGLETRANSLATE(B3773, ""fr"", ""en"")"),"Very soft, large, light and warm Use by my little in his dormitory where heating does not work, this coverage it is very useful, very soft, large, light and warm especially allows it to stay warm and covered . However made careful because the cover is con"&amp;"nected to electricity and one is never safe from a fire")</f>
        <v>Very soft, large, light and warm Use by my little in his dormitory where heating does not work, this coverage it is very useful, very soft, large, light and warm especially allows it to stay warm and covered . However made careful because the cover is connected to electricity and one is never safe from a fire</v>
      </c>
    </row>
    <row r="3774">
      <c r="A3774" s="1">
        <v>5.0</v>
      </c>
      <c r="B3774" s="1" t="s">
        <v>3738</v>
      </c>
      <c r="C3774" t="str">
        <f>IFERROR(__xludf.DUMMYFUNCTION("GOOGLETRANSLATE(B3774, ""fr"", ""en"")"),"Small very functional bag with multiple compartments. daily use as soon as it is to outside. I love its lightness while remaining solid.")</f>
        <v>Small very functional bag with multiple compartments. daily use as soon as it is to outside. I love its lightness while remaining solid.</v>
      </c>
    </row>
    <row r="3775">
      <c r="A3775" s="1">
        <v>5.0</v>
      </c>
      <c r="B3775" s="1" t="s">
        <v>3739</v>
      </c>
      <c r="C3775" t="str">
        <f>IFERROR(__xludf.DUMMYFUNCTION("GOOGLETRANSLATE(B3775, ""fr"", ""en"")"),"One of the great Sony beautiful packaging for this set in a beautiful box. Documentation, 6 sets of adapters for the ears in addition to those already present on the headphones, USB charging cable (usb-focus C). The case allows recharging the headphones 3"&amp;" times I have not been able to measure autonomy, but it seems to me very important suddenly. The application on Android for me is very comprehensive and provides good customization (adaptive noise reduction, equalizer .... Headphones can seem a bit bulky "&amp;"compared to the competition, but in fact they are very comfortable, lightweight and take very well. Listed ITS is simply excellent with a powerful equalizer that offers real profiles. noise reduction automatically adapts and seems efficient. in hot day, I"&amp;" was in front of the air conditioner rather noisy , with music and it has virtually disappeared from the surface (sound). it remains a small perception of ambient noise, but just right. Nothing to report next phone, it works perfectly with a good listener"&amp;". a good product.")</f>
        <v>One of the great Sony beautiful packaging for this set in a beautiful box. Documentation, 6 sets of adapters for the ears in addition to those already present on the headphones, USB charging cable (usb-focus C). The case allows recharging the headphones 3 times I have not been able to measure autonomy, but it seems to me very important suddenly. The application on Android for me is very comprehensive and provides good customization (adaptive noise reduction, equalizer .... Headphones can seem a bit bulky compared to the competition, but in fact they are very comfortable, lightweight and take very well. Listed ITS is simply excellent with a powerful equalizer that offers real profiles. noise reduction automatically adapts and seems efficient. in hot day, I was in front of the air conditioner rather noisy , with music and it has virtually disappeared from the surface (sound). it remains a small perception of ambient noise, but just right. Nothing to report next phone, it works perfectly with a good listener. a good product.</v>
      </c>
    </row>
    <row r="3776">
      <c r="A3776" s="1">
        <v>5.0</v>
      </c>
      <c r="B3776" s="1" t="s">
        <v>3740</v>
      </c>
      <c r="C3776" t="str">
        <f>IFERROR(__xludf.DUMMYFUNCTION("GOOGLETRANSLATE(B3776, ""fr"", ""en"")"),"Felt pretty Aesthetically The downside is spoon")</f>
        <v>Felt pretty Aesthetically The downside is spoon</v>
      </c>
    </row>
    <row r="3777">
      <c r="A3777" s="1">
        <v>5.0</v>
      </c>
      <c r="B3777" s="1" t="s">
        <v>3741</v>
      </c>
      <c r="C3777" t="str">
        <f>IFERROR(__xludf.DUMMYFUNCTION("GOOGLETRANSLATE(B3777, ""fr"", ""en"")"),"perfect perfect and quick matches demand")</f>
        <v>perfect perfect and quick matches demand</v>
      </c>
    </row>
    <row r="3778">
      <c r="A3778" s="1">
        <v>5.0</v>
      </c>
      <c r="B3778" s="1" t="s">
        <v>3742</v>
      </c>
      <c r="C3778" t="str">
        <f>IFERROR(__xludf.DUMMYFUNCTION("GOOGLETRANSLATE(B3778, ""fr"", ""en"")"),"Like in the movies ! &lt;Div id = ""video-block-R19DNT34TDTNFP"" class = ""a-section-spacing has-small-spacing-top video mini-block""&gt; &lt;div tabindex = ""0"" class = ""airy airy-svg vmin- unsupported airy-skin-beacon ""style ="" background-color: rgb (0, 0, 0"&amp;"); position: relative; width: 100%; height: 100%; font-size: 0px; overflow: hidden; outline: none ; ""&gt; &lt;div class ="" airy-renderer-container ""style ="" position: relative; height: 100%; width: 100%; ""&gt; &lt;video id ="" 23 ""preload ="" auto ""src ="" htt"&amp;"ps: //images-eu.ssl-images-amazon.com/images/I/A1ARJcf0xpS.mp4 ""style ="" position: absolute; left: 0px; top: 0px; overflow: hidden; height: 1px; width: 1px; "" &gt; &lt;/ video&gt; &lt;/ div&gt; &lt;div id = ""airy-slate-preload"" style = ""background-color: rgb (0, 0, 0"&amp;"); background-image: url (&amp; quot; https: // images- eu.ssl-images-amazon.com/images/I/A1VU76k9G2S.png&amp;quot;); background-size: contain; background-position: center center; background-repeat: no-repeat; position: absolute; top: 0px; left : 0px; visibility:"&amp;" visible; width: 100%; height: 100% ""&gt; &lt;/ div&gt; &lt;iframe scrolling ="" no ""framebord st = ""0"" src = ""about: blank"" style = ""display: none;""&gt; &lt;/ iframe&gt; &lt;div tabindex = ""- 1"" class = ""airy-controls-container"" style = ""opacity: 0; visibility: hid"&amp;"den; ""&gt; &lt;div tabindex ="" - 1 ""class ="" airy-screen-size-toggle airy-fullscreen ""&gt; &lt;/ div&gt; &lt;div tabindex ="" - 1 ""class ="" airy-container-bottom "" &gt; &lt;div tabindex = ""- 1"" class = ""airy-track-bar spacer-left"" style = ""width: 11px;""&gt; &lt;/ div&gt; &lt;d"&amp;"iv tabindex = ""- 1"" class = ""airy-play- toggle airy-play ""style ="" width: 12px; margin-right: 12px; ""&gt; &lt;/ div&gt; &lt;div tabindex ="" - 1 ""class ="" airy-audio-elements ""style ="" float: right; width: 34px; ""&gt; &lt;div tabindex ="" - 1 ""class ="" airy-au"&amp;"dio-toggle airy-on ""&gt; &lt;/ div&gt; &lt;div tabindex ="" - 1 ""class ="" airy-audio-container ""style = ""opacity: 0; visibility: hidden; ""&gt; &lt;div tabindex ="" - 1 ""class ="" airy-audio-track-bar ""style ="" height: 80%; ""&gt; &lt;div tabindex ="" - 1 ""class ="" air"&amp;"y-audio- scrubber bar ""style ="" height: 85% ""&gt; &lt;/ div&gt; &lt;div tabindex ="" - 1 ""class ="" airy-audio-scrubber ""style ="" height: 12px; bottom: 85% ""&gt; &lt;/ div&gt; &lt;/ div&gt; &lt;/ div&gt; &lt;/ div&gt; &lt;div tabindex ="" - 1 ""class ="" airy-duration-label ""style ="" flo"&amp;"at: right; width: 26px; margin-right: 4px; text-align: center; ""&gt; 0:00 &lt;/ div&gt; &lt;div tabindex ="" - 1 ""class ="" airy-track-bar spacer-right ""style ="" float: right; width: 11px; ""&gt; &lt;/ div&gt; &lt;div tabindex ="" - 1 ""class ="" airy-track-bar-container ""s"&amp;"tyle ="" margin-left: 35px; margin-right: 75px; ""&gt; &lt;div tabindex ="" - 1 ""class ="" airy-airy-track-bar vertical-centering-table ""&gt; &lt;div tabindex ="" - 1 ""class ="" airy-vertical-centering- table-cell ""&gt; &lt;div tabindex ="" - 1 ""class ="" airy-track-b"&amp;"ar elements ""&gt; &lt;div tabindex ="" - 1 ""class ="" airy-progress bar ""&gt; &lt;/ div&gt; &lt;div tabindex = ""- 1"" class = ""airy-scrubber bar""&gt; &lt;/ div&gt; &lt;div tabindex = ""- 1"" class = ""airy-scrubber""&gt; &lt;div tabindex = ""- 1"" class = ""airy-scrubber- icon ""&gt; &lt;/ "&amp;"div&gt; &lt;div tabindex ="" - 1 ""class ="" airy-adjusted-aui-tooltip ""style ="" opacity: 0; visibility: hidden; ""&gt; &lt;div tabindex ="" - 1 ""class ="" airy-adjusted-aui-tooltip-inner ""&gt; &lt;div tabindex ="" - 1 ""class ="" airy-current-time-label ""&gt; 0 00 &lt;/ di"&amp;"v&gt; &lt;/ div&gt; &lt;div tabindex = ""- 1"" class = ""airy-adjusted-aui-arrow-border""&gt; &lt;div tabindex = ""- 1"" class = ""airy-adjusted-aui-arrow"" &gt; &lt;/ div&gt; &lt;/ div&gt; &lt;/ div&gt; &lt;/ div&gt; &lt;/ div&gt; &lt;/ div&gt; &lt;/ div&gt; &lt;/ div&gt; &lt;/ div&gt; &lt;/ div&gt; &lt;div tabindex = ""- 1"" class = """&amp;"airy-airy-age-gate course airy-vertical-centering table-airy-dialog"" style = ""opacity: 0; visibility: hidden; ""&gt; &lt;div tabindex ="" - 1 ""class ="" airy-age-gate-vertical-centering-table-cell airy-vertical-centering-table-cell ""&gt; &lt;div tabindex ="" - 1 "&amp;"""class = ""airy-vertical-centering-wrapper airy-age-gate-elements-wrapper""&gt; &lt;div tabindex = ""- 1"" class = ""airy-age-gate-elements airy-dialog-elements""&gt; &lt;div tabindex = "" -1 ""class ="" airy-age-gate-prompt ""&gt; This video is not Intended for all au"&amp;"diences What time were you born &lt;/ div&gt; &lt;div tabindex =.?"" - 1 ""class ="" airy-age-gate -inputs airy-dialog-inner-elements ""&gt; &lt;select tabindex ="" - 1 ""class ="" airy-age-gate-month ""&gt; &lt;option value ="" 1 ""&gt; January &lt;/ option&gt; &lt;option value ="" 2 """&amp;"&gt; February &lt;/ option&gt; &lt;option value ="" 3 ""&gt; March &lt;/ option&gt; &lt;option value ="" 4 ""&gt; April &lt;/ option&gt; &lt;option value ="" 5 ""&gt; May &lt;/ option&gt; &lt;option value = ""6""&gt; June &lt;/ option&gt; &lt;option value = ""7""&gt; July &lt;/ option&gt; &lt;option value = ""8""&gt; August &lt;/ o"&amp;"ption&gt; &lt;option value = ""9""&gt; September &lt;/ option&gt; &lt;option value = ""10""&gt; October &lt;/ option&gt; &lt;option value = ""11""&gt; November &lt;/ option&gt; &lt;option value = ""12""&gt; December &lt;/ option&gt; &lt;/ select&gt; &lt;select tabindex = ""- 1"" class = ""airy-age-gate-day""&gt; &lt;opt"&amp;"i = One value ""1""&gt; 1 &lt;/ option&gt; &lt;option value = ""2""&gt; 2 &lt;/ option&gt; &lt;option value = ""3""&gt; 3 &lt;/ option&gt; &lt;option value = ""4""&gt; 4 &lt;/ option &gt; &lt;option value = ""5""&gt; 5 &lt;/ option&gt; &lt;option value = ""6""&gt; 6 &lt;/ option&gt; &lt;option value = ""7""&gt; 7 &lt;/ option&gt; &lt;opt"&amp;"ion value = ""8""&gt; 8 &lt; / option&gt; &lt;option value = ""9""&gt; 9 &lt;/ option&gt; &lt;option value = ""10""&gt; 10 &lt;/ option&gt; &lt;option value = ""11""&gt; 11 &lt;/ option&gt; &lt;option value = ""12""&gt; 12 &lt;/ option&gt; &lt;option value = ""13""&gt; 13 &lt;/ option&gt; &lt;option value = ""14""&gt; 14 &lt;/ opti"&amp;"on&gt; &lt;option value = ""15""&gt; 15 &lt;/ option&gt; &lt;option value = ""16 ""&gt; 16 &lt;/ option&gt; &lt;option value ="" 17 ""&gt; 17 &lt;/ option&gt; &lt;option value ="" 18 ""&gt; 18 &lt;/ option&gt; &lt;option value ="" 19 ""&gt; 19 &lt;/ option&gt; &lt;option value = ""20""&gt; 20 &lt;/ option&gt; &lt;option value = ""2"&amp;"1""&gt; 21 &lt;/ option&gt; &lt;option value = ""22""&gt; 22 &lt;/ option&gt; &lt;option value = ""23""&gt; 23 &lt;/ option&gt; &lt;option value = ""24""&gt; 24 &lt;/ option&gt; &lt;option value = ""25""&gt; 25 &lt;/ option&gt; &lt;option value = ""26""&gt; 26 &lt;/ option&gt; &lt;option value = ""27""&gt; 27 &lt;/ option&gt; &lt;option "&amp;"value = ""28""&gt; 28 &lt;/ option&gt; &lt;option value = ""29""&gt; 29 &lt;/ option&gt; &lt;option value = ""30""&gt; 30 &lt;/ option&gt; &lt;option value = ""31""&gt; 31 &lt;/ option&gt; &lt;/ select&gt; &lt;select tabindex = ""- 1"" class = ""airy-age-gate-year""&gt; &lt;option value = ""2019""&gt; 2019 &lt;/ option&gt;"&amp;" &lt; option value = ""2018""&gt; 2018 &lt;/ option&gt; &lt;option value = ""2017""&gt; 2017 &lt;/ option&gt; &lt;option value = ""2016""&gt; ​​2016 &lt;/ option&gt; &lt;option value = ""2015""&gt; 2015 &lt;/ option &gt; &lt;option value = ""2014""&gt; 2014 &lt;/ option&gt; &lt;option value = ""2013""&gt; 2013 &lt;/ option"&amp;"&gt; &lt;option value = ""2012""&gt; 2012 &lt;/ option&gt; &lt;option value = ""2011""&gt; 2011 &lt; / option&gt; &lt;option value = ""2010""&gt; 2010 &lt;/ option&gt; &lt;option value = ""2009""&gt; 2009 &lt;/ option&gt; &lt;option value = ""2008""&gt; 2008 &lt;/ option&gt; &lt;option value = ""2007""&gt; 2007 &lt;/ option&gt; "&amp;"&lt;option value = ""2006""&gt; 2006 &lt;/ option&gt; &lt;option value = ""2005""&gt; 2005 &lt;/ option&gt; &lt;option value = ""2004""&gt; 2004 &lt;/ option&gt; &lt;option value = ""2003 ""&gt; 2003 &lt;/ option&gt; &lt;option value ="" 2002 ""&gt; 2002 &lt;/ option&gt; &lt;option value ="" 2001 ""&gt; 2001 &lt;/ option&gt; "&amp;"&lt;option value ="" 2000 ""&gt; 2000 &lt;/ option&gt; &lt;option value = ""1999""&gt; 1999 &lt;/ option&gt; &lt;option value = ""1998""&gt; 1998 &lt;/ option&gt; &lt;option value = ""1997""&gt; 1997 &lt;/ option&gt; &lt;option value = ""1996""&gt; 1996 &lt;/ option&gt; &lt;option value = ""1995""&gt; 1995 &lt;/ option&gt; &lt;o"&amp;"ption value = ""1994""&gt; 1994 &lt;/ option&gt; &lt;option value = ""1993""&gt; 1993 &lt;/ option&gt; &lt;option value = ""1992""&gt; 1992 &lt;/ option&gt; &lt;option value = ""1991""&gt; 1991 &lt;/ option&gt; &lt;option value = ""1990""&gt; 1990 &lt;/ option&gt; &lt;option value = "" 1989 ""&gt; 1989 &lt;/ option&gt; &lt;op"&amp;"tion value ="" 1988 ""&gt; 1988 &lt;/ option&gt; &lt;option value ="" 1987 ""&gt; 1987 &lt;/ option&gt; &lt;option value ="" 1986 ""&gt; 1986 &lt;/ option&gt; &lt;option value = ""1985""&gt; 1985 &lt;/ option&gt; &lt;option value = ""1984""&gt; 1984 &lt;/ option&gt; &lt;option value = ""1983""&gt; 1983 &lt;/ option&gt; &lt;op"&amp;"tion value = ""1982""&gt; 1982 &lt;/ option&gt; &lt; option value = ""1981""&gt; 1981 &lt;/ option&gt; &lt;option value = ""1980""&gt; 1980 &lt;/ option&gt; &lt;option value = ""1979""&gt; 1979 &lt;/ option&gt; &lt;option value = ""1978""&gt; 1978 &lt;/ option &gt; &lt;option value = ""1977""&gt; 1977 &lt;/ option&gt; &lt;opt"&amp;"ion value = ""1976""&gt; 1976 &lt;/ option&gt; &lt;option value = ""1975""&gt; 1975 &lt;/ option&gt; &lt;option value = ""1974""&gt; 1974 &lt; / option&gt; &lt;option value = ""1973""&gt; 1973 &lt;/ option&gt; &lt;option value = ""1972""&gt; 1972 &lt;/ option&gt; &lt;option value = ""1971""&gt; 1971 &lt;/ option&gt; &lt;optio"&amp;"n value = ""1970""&gt; 1970 &lt;/ option&gt; &lt;option value = ""1969""&gt; 1969 &lt;/ option&gt; &lt;option value = ""1968""&gt; 1968 &lt;/ option&gt; &lt;option value = ""1967""&gt; 1967 &lt;/ option&gt; &lt;option value = ""1966 ""&gt; 1966 &lt;/ option&gt; &lt;option value ="" 1965 ""&gt; 1965 &lt;/ option&gt; &lt;option"&amp;" value ="" 1964 ""&gt; 1964 &lt;/ option&gt; &lt;option value ="" 1963 ""&gt; 1963 &lt;/ option&gt; &lt;option value = ""1962""&gt; 1962 &lt;/ option&gt; &lt;option value = ""1961""&gt; 1961 &lt;/ option&gt; &lt;option value = ""1960""&gt; 1960 &lt;/ op tion&gt; &lt;option value = ""1959""&gt; 1959 &lt;/ option&gt; &lt;option"&amp;" value = ""1958""&gt; 1958 &lt;/ option&gt; &lt;option value = ""1957""&gt; 1957 &lt;/ option&gt; &lt;option value = ""1956""&gt; 1956 &lt;/ option&gt; &lt;option value = ""1955""&gt; 1955 &lt;/ option&gt; &lt;option value = ""1954""&gt; 1954 &lt;/ option&gt; &lt;option value = ""1953""&gt; 1953 &lt;/ option&gt; &lt;option va"&amp;"lue = ""1952"" &gt; 1952 &lt;/ option&gt; &lt;option value = ""1951""&gt; 1951 &lt;/ option&gt; &lt;option value = ""1950""&gt; 1950 &lt;/ option&gt; &lt;option value = ""1949""&gt; 1949 &lt;/ option&gt; &lt;option value = "" 1948 ""&gt; 1948 &lt;/ option&gt; &lt;option value ="" 1947 ""&gt; 1947 &lt;/ option&gt; &lt;option v"&amp;"alue ="" 1946 ""&gt; 1946 &lt;/ option&gt; &lt;option value ="" 1945 ""&gt; 1945 &lt;/ option&gt; &lt;option value = ""1944""&gt; 1944 &lt;/ option&gt; &lt;option value = ""1943""&gt; 1943 &lt;/ option&gt; &lt;option value = ""1942""&gt; 1942 &lt;/ option&gt; &lt;option value = ""1941""&gt; 1941 &lt;/ option&gt; &lt; option v"&amp;"alue = ""1940""&gt; 1940 &lt;/ option&gt; &lt;option value = ""1939""&gt; 1939 &lt;/ option&gt; &lt;option value = ""1938""&gt; 1938 &lt;/ option&gt; &lt;option value = ""1937""&gt; 1937 &lt;/ option &gt; &lt;option value = ""1936""&gt; 1936 &lt;/ option&gt; &lt;option value = ""1935""&gt; 1935 &lt;/ option&gt; &lt;option val"&amp;"ue = ""1934""&gt; 1934 &lt;/ option&gt; &lt;option value = ""1933""&gt; 1933 &lt; / option&gt; &lt;option value = ""1932""&gt; 1932 &lt;/ option&gt; &lt;option value = ""1931""&gt; 1931 &lt;/ option&gt; &lt;option v alue = ""1930""&gt; 1930 &lt;/ option&gt; &lt;option value = ""1929""&gt; 1929 &lt;/ option&gt; &lt;option valu"&amp;"e = ""1928""&gt; 1928 &lt;/ option&gt; &lt;option value = ""1927""&gt; 1927 &lt;/ option&gt; &lt;option value = ""1926""&gt; 1926 &lt;/ option&gt; &lt;option value = ""1925""&gt; 1925 &lt;/ option&gt; &lt;option value = ""1924""&gt; 1924 &lt;/ option&gt; &lt;option value = ""1923""&gt; 1923 &lt;/ option&gt; &lt;option value ="&amp;" ""1922""&gt; 1922 &lt;/ option&gt; &lt;option value = ""1921""&gt; 1921 &lt;/ option&gt; &lt;option value = ""1920""&gt; 1920 &lt;/ option&gt; &lt;option value = ""1919""&gt; 1919 &lt;/ option&gt; &lt;option value = ""1918""&gt; 1918 &lt;/ option&gt; &lt;option value = ""1917""&gt; 1917 &lt;/ option&gt; &lt;option value = """&amp;"1916""&gt; 1916 &lt;/ option&gt; &lt;option value = ""1915"" &gt; 1915 &lt;/ option&gt; &lt;option value = ""1914""&gt; 1914 &lt;/ option&gt; &lt;option value = ""1913""&gt; 1913 &lt;/ option&gt; &lt;option value = ""1912""&gt; 1912 &lt;/ option&gt; &lt;option value = "" 1911 ""&gt; 1911 &lt;/ option&gt; &lt;option value ="" "&amp;"1910 ""&gt; 1910 &lt;/ option&gt; &lt;option value ="" 1909 ""&gt; 1909 &lt;/ option&gt; &lt;option value ="" 1908 ""&gt; 1908 &lt;/ option&gt; &lt;option value = ""1907""&gt; 1907 &lt;/ option&gt; &lt;option value = ""1906""&gt; 1906 &lt;/ option&gt; &lt;option value = ""1905""&gt; 1905 &lt;/ option&gt; &lt;option value = """&amp;"1904""&gt; 1904 &lt;/ option&gt; &lt; option value = ""1903""&gt; 1903 &lt;/ option&gt; &lt;option value = ""1902""&gt; 1902 &lt;/ option&gt; &lt;option value = ""1901""&gt; 19 01 &lt;/ option&gt; &lt;option value = ""1900""&gt; 1900 &lt;/ option&gt; &lt;/ select&gt; &lt;div tabindex = ""- 1"" class = ""airy-age-gate-su"&amp;"bmit airy-submit-button airy airy-submit- disabled ""&gt; Submit &lt;/ div&gt; &lt;/ div&gt; &lt;/ div&gt; &lt;/ div&gt; &lt;/ div&gt; &lt;/ div&gt; &lt;div tabindex ="" - 1 ""class ="" airy-install-flash-dialog airy-course airy -Vertical-centering-table dialog airy-airy-denied ""style ="" opacit"&amp;"y: 0; visibility: hidden; ""&gt; &lt;div tabindex ="" - 1 ""class ="" airy-install-flash-vertical-centering-table-cell airy-vertical-centering-table-cell ""&gt; &lt;div tabindex ="" - 1 ""class = ""airy-vertical-centering-wrapper airy-install-flash-elements-wrapper"""&amp;"&gt; &lt;div tabindex = ""- 1"" class = ""airy-install-flash-elements airy-dialog-elements""&gt; &lt;div tabindex = "" -1 ""class ="" airy-install-flash-prompt ""&gt; Adobe Flash Player is required to watch this video &lt;/ div&gt; &lt;div = tabindex."" - 1 ""class ="" airy-inst"&amp;"all-flash-button-wrapper airy -dialog-inner-elements ""&gt; &lt;div tabindex ="" - 1 ""class ="" airy-install-flash-button airy-button ""&gt; install Flash Player &lt;/ div&gt; &lt;/ div&gt; &lt;/ div&gt; &lt;/ div&gt; &lt;/ div&gt; &lt;/ div&gt; &lt;div tabindex = ""- 1"" class = ""airy-video-unsuppor"&amp;"ted-dialog airy-course airy-vertical-centering table-airy-dialog airy-denied"" style = ""opacity: 0; visibility: hidden; ""&gt; &lt;div tabindex ="" - 1 ""class ="" airy-video-unsupported-vertical-centering-table-cell airy-vertical-centering-table-cell ""&gt; &lt;div"&amp;" tabindex ="" - 1 ""class = ""airy-vertical-centering-wrapper airy-video-unsupported-elements-wrapper""&gt; &lt;div tabindex = ""- 1"" class = ""airy-video-unsupported-elements airy-dialog-elements""&gt; &lt;div tabindex = "" -1 ""class ="" airy-video-unsupported-pro"&amp;"mpt ""&gt; &lt;/ div&gt; &lt;/ div&gt; &lt;/ div&gt; &lt;/ div&gt; &lt;/ div&gt; &lt;div tabindex ="" - 1 ""class ="" airy-loading- spinner-stage airy-stage ""&gt; &lt;div tabindex ="" - 1 ""class ="" airy-loading-spinner-vertical-centering-table-cell airy-vertical-centering-table-cell ""&gt; &lt;div t"&amp;"abindex ="" - 1 ""class ="" airy-loading-spinner container airy-scalable-hint-container ""&gt; &lt;div tabindex ="" - 1 ""class ="" airy-loading-spinner-dummy airy-scalable-dummy ""&gt; &lt;/ div&gt; &lt; div tabindex = ""- 1"" class = ""airy-loading-spinner airy-hint"" st"&amp;"yle = ""visibility: hidden;""&gt; &lt;/ div&gt; &lt;/ div&gt; &lt;/ div&gt; &lt;/ div&gt; &lt;div tabindex = ""- 1 ""class ="" airy-ads-screen-size-toggle airy-screen-size-toggle airy-fullscreen ""style ="" visibility: hidden; ""&gt; &lt;/ div&gt; &lt;div tabindex = ""-1"" class = ""airy-ad-promp"&amp;"t-container"" style = ""visibility: hidden;""&gt; &lt;div tabindex = ""- 1"" class = ""airy-ad-prompt-vertical-centering table-airy-vertical- centering-table ""&gt; &lt;div tabindex ="" - 1 ""class ="" airy-ad-prompt-vertical-centering-table-cell airy-vertical-center"&amp;"ing-table-cell ""&gt; &lt;div tabindex ="" - 1 ""class = ""airy-ad-prompt-label""&gt; &lt;/ div&gt; &lt;/ div&gt; &lt;/ div&gt; &lt;/ div&gt; &lt;div tabindex = ""- 1"" class = ""airy-ads-controls-container"" style = ""visibility: hidden; ""&gt; &lt;div tabindex ="" - 1 ""class ="" airy-ads-audio"&amp;"-toggle airy-audio-toggle airy-on ""style ="" visibility: hidden; ""&gt; &lt;/ div&gt; &lt;div tabindex ="" - 1 ""class ="" airy-time-remaining-label-container ""&gt; &lt;div tabindex ="" - 1 ""class ="" airy-time-remaining-vertical-centering table-airy-vertical-centering-"&amp;"table ""&gt; &lt;div tabindex = ""- 1"" class = ""airy-time-remaining-vertical-centering-table-cell airy-vertical-centering-table-cell""&gt; &lt;div tabindex = ""- 1"" class = ""airy-vertical-centering-wrapper airy-time-remaining-label-wrapper ""&gt; &lt;div tabindex ="" -"&amp;" 1 ""class ="" airy-time-remaining-label ""style ="" visibility: hidden; ""&gt; &lt;/ div&gt; &lt;div tabi ndex = ""- 1"" class = ""airy-ad-skip"" style = ""visibility: hidden;""&gt; &lt;/ div&gt; &lt;div tabindex = ""- 1"" class = ""airy-ad-end"" style = ""visibility: hidden; "&amp;"""&gt; &lt;/ div&gt; &lt;/ div&gt; &lt;/ div&gt; &lt;/ div&gt; &lt;/ div&gt; &lt;div tabindex ="" - 1 ""class ="" airy-learn-more ""style ="" visibility: hidden; ""&gt; &lt;/ div&gt; &lt;/ div&gt; &lt;div tabindex = ""- 1"" class = ""airy-play-toggle-hint-stage airy-course airy-cursor""&gt; &lt;div tabindex = ""- "&amp;"1"" class = ""airy-play -toggle-hint-vertical-centering-table-cell airy-vertical-centering-table-cell airy-cursor ""&gt; &lt;div tabindex ="" - 1 ""class ="" airy-play-toggle-hint-container airy-scalable- hint-container ""&gt; &lt;div tabindex ="" - 1 ""class ="" air"&amp;"y-play-toggle-hint-dummy airy-scalable-dummy ""&gt; &lt;/ div&gt; &lt;div tabindex ="" - 1 ""class ="" airy-play -toggle airy-hint-hint-hint airy-play ""style ="" opacity: 1; visibility: visible; ""&gt; &lt;/ div&gt; &lt;/ div&gt; &lt;/ div&gt; &lt;/ div&gt; &lt;div tabindex ="" - 1 ""class ="" a"&amp;"iry-replay-hint-stage airy-stage ""style ="" visibility: hidden ; ""&gt; &lt;div tabindex ="" - 1 ""class ="" airy-replay-hint-vertical-centering-table-cell airy-vertical-centering-table-cell airy-cursor ""&gt; &lt;div tabindex ="" - 1 ""class = ""airy-replay-hint-co"&amp;"ntainer airy-scalable-hint-container""&gt; &lt;div tabindex = ""- 1"" class = ""airy-replay-hint-dummy airy-scalable-dummy""&gt; &lt;/ div&gt; &lt;div tabindex = ""- 1"" class = ""airy-replay-hint airy-hint""&gt; &lt;/ div&gt; &lt;/ div&gt; &lt;/ div&gt; &lt;/ div&gt; &lt;div tabindex = ""- 1"" class ="&amp;" ""airy-autoplay-hint -stage airy-stage ""style ="" visibility: hidden; ""&gt; &lt;div tabindex ="" - 1 ""class ="" airy-autoplay-hint-vertical-centering-table-cell airy-vertical-centering-table-cell airy- cursor ""&gt; &lt;div tabindex ="" - 1 ""class ="" autoplay a"&amp;"iry-airy-hint-container-scalable-hint-container ""&gt; &lt;div tabindex ="" - 1 ""class ="" airy-autoplay-hint-dummy airy- scalable-dummy ""&gt; &lt;/ div&gt; &lt;/ div&gt; &lt;/ div&gt; &lt;/ div&gt; &lt;/ div&gt; &lt;/ div&gt; &lt;input type ="" hidden ""name ="" ""value ="" https: // pictures-eu .ss"&amp;"l-image amazon.com / images / I / A1ARJcf0xpS.mp4 ""Class ="" video-url ""&gt; &lt;input type ="" hidden ""name ="" ""value ="" https://images-eu.ssl-images-amazon.com/images/I/A1VU76k9G2S.png ""class ="" video-slate-img-url ""&gt; &amp; nbsp; I bought this projector "&amp;"for projecting movies on the wall of my living room and the record is impressive, my only regret is not to have bought before. The projector is a compact size, so you can easily store in a TV cabinet, for use, you can put it on a small piece of furniture "&amp;"but there is also a hole on the underside of expected to fix on a level I think photograph device. The remote control allows perfect menu navigation and on the home screen, you have the opportunity to look at pictures, movies, videos ... To render flawles"&amp;"s, you need a clear any plain white wall or buy a screen adapted. Operation is simple, one branch an external hard disk drive or a USB stick in the device and in the home screen, we see the device, we go inside, selecting and reading the film is placed, c"&amp;"an see also photos or videos from a DVD player, a camera or camcorder that plugs into AV or PC that connects to VGA. The image rendering is good, the sound is okay, for my part, I plugged an external mini speaker on the headphones for better sound like in"&amp;" the cinema and there, we really believe it!")</f>
        <v>Like in the movies ! &lt;Div id = "video-block-R19DNT34TDTNFP" class = "a-section-spacing has-small-spacing-top video mini-block"&gt; &lt;div tabindex = "0" class = "airy airy-svg vmin- unsupported airy-skin-beacon "style =" background-color: rgb (0, 0, 0); position: relative; width: 100%; height: 100%; font-size: 0px; overflow: hidden; outline: none ; "&gt; &lt;div class =" airy-renderer-container "style =" position: relative; height: 100%; width: 100%; "&gt; &lt;video id =" 23 "preload =" auto "src =" https: //images-eu.ssl-images-amazon.com/images/I/A1ARJcf0xpS.mp4 "style =" position: absolute; left: 0px; top: 0px; overflow: hidden; height: 1px; width: 1px; " &gt; &lt;/ video&gt; &lt;/ div&gt; &lt;div id = "airy-slate-preload" style = "background-color: rgb (0, 0, 0); background-image: url (&amp; quot; https: // images- eu.ssl-images-amazon.com/images/I/A1VU76k9G2S.png&amp;quot;); background-size: contain; background-position: center center; background-repeat: no-repeat; position: absolute; top: 0px; left : 0px; visibility: visible; width: 100%; height: 100% "&gt; &lt;/ div&gt; &lt;iframe scrolling =" no "framebord st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A1ARJcf0xpS.mp4 "Class =" video-url "&gt; &lt;input type =" hidden "name =" "value =" https://images-eu.ssl-images-amazon.com/images/I/A1VU76k9G2S.png "class =" video-slate-img-url "&gt; &amp; nbsp; I bought this projector for projecting movies on the wall of my living room and the record is impressive, my only regret is not to have bought before. The projector is a compact size, so you can easily store in a TV cabinet, for use, you can put it on a small piece of furniture but there is also a hole on the underside of expected to fix on a level I think photograph device. The remote control allows perfect menu navigation and on the home screen, you have the opportunity to look at pictures, movies, videos ... To render flawless, you need a clear any plain white wall or buy a screen adapted. Operation is simple, one branch an external hard disk drive or a USB stick in the device and in the home screen, we see the device, we go inside, selecting and reading the film is placed, can see also photos or videos from a DVD player, a camera or camcorder that plugs into AV or PC that connects to VGA. The image rendering is good, the sound is okay, for my part, I plugged an external mini speaker on the headphones for better sound like in the cinema and there, we really believe it!</v>
      </c>
    </row>
    <row r="3779">
      <c r="A3779" s="1">
        <v>5.0</v>
      </c>
      <c r="B3779" s="1" t="s">
        <v>3743</v>
      </c>
      <c r="C3779" t="str">
        <f>IFERROR(__xludf.DUMMYFUNCTION("GOOGLETRANSLATE(B3779, ""fr"", ""en"")"),"Perfect ! The product corresponds to our expectations and we are very satisfied. It is effective and of high quality.")</f>
        <v>Perfect ! The product corresponds to our expectations and we are very satisfied. It is effective and of high quality.</v>
      </c>
    </row>
    <row r="3780">
      <c r="A3780" s="1">
        <v>5.0</v>
      </c>
      <c r="B3780" s="1" t="s">
        <v>3744</v>
      </c>
      <c r="C3780" t="str">
        <f>IFERROR(__xludf.DUMMYFUNCTION("GOOGLETRANSLATE(B3780, ""fr"", ""en"")"),"kdo ç'était to offer to my beautiful daughter she loved very super beautiful shoe no complaints")</f>
        <v>kdo ç'était to offer to my beautiful daughter she loved very super beautiful shoe no complaints</v>
      </c>
    </row>
    <row r="3781">
      <c r="A3781" s="1">
        <v>5.0</v>
      </c>
      <c r="B3781" s="1" t="s">
        <v>3745</v>
      </c>
      <c r="C3781" t="str">
        <f>IFERROR(__xludf.DUMMYFUNCTION("GOOGLETRANSLATE(B3781, ""fr"", ""en"")"),"Very well. Very well. To have the start.")</f>
        <v>Very well. Very well. To have the start.</v>
      </c>
    </row>
    <row r="3782">
      <c r="A3782" s="1">
        <v>5.0</v>
      </c>
      <c r="B3782" s="1" t="s">
        <v>3746</v>
      </c>
      <c r="C3782" t="str">
        <f>IFERROR(__xludf.DUMMYFUNCTION("GOOGLETRANSLATE(B3782, ""fr"", ""en"")"),"Brought my daughter loves my daughter 5 years. Getting started is a little long, but soon she set up the stencil itself and even made some very nice drawings. The sequin activity that goes with demand a little help but makes drawing lovely.")</f>
        <v>Brought my daughter loves my daughter 5 years. Getting started is a little long, but soon she set up the stencil itself and even made some very nice drawings. The sequin activity that goes with demand a little help but makes drawing lovely.</v>
      </c>
    </row>
    <row r="3783">
      <c r="A3783" s="1">
        <v>5.0</v>
      </c>
      <c r="B3783" s="1" t="s">
        <v>3747</v>
      </c>
      <c r="C3783" t="str">
        <f>IFERROR(__xludf.DUMMYFUNCTION("GOOGLETRANSLATE(B3783, ""fr"", ""en"")"),"Perfect practice shoes for walking on pebbles or stones at the bottom. Very pretty and size suitable as planned.")</f>
        <v>Perfect practice shoes for walking on pebbles or stones at the bottom. Very pretty and size suitable as planned.</v>
      </c>
    </row>
    <row r="3784">
      <c r="A3784" s="1">
        <v>5.0</v>
      </c>
      <c r="B3784" s="1" t="s">
        <v>3748</v>
      </c>
      <c r="C3784" t="str">
        <f>IFERROR(__xludf.DUMMYFUNCTION("GOOGLETRANSLATE(B3784, ""fr"", ""en"")"),"very very warm, very comfortable to wear, provide size above; I bought two of the blow, too small that I gave my fault and more for me")</f>
        <v>very very warm, very comfortable to wear, provide size above; I bought two of the blow, too small that I gave my fault and more for me</v>
      </c>
    </row>
    <row r="3785">
      <c r="A3785" s="1">
        <v>5.0</v>
      </c>
      <c r="B3785" s="1" t="s">
        <v>3749</v>
      </c>
      <c r="C3785" t="str">
        <f>IFERROR(__xludf.DUMMYFUNCTION("GOOGLETRANSLATE(B3785, ""fr"", ""en"")"),"Perfect I use every morning for my tea without disturbing the family")</f>
        <v>Perfect I use every morning for my tea without disturbing the family</v>
      </c>
    </row>
    <row r="3786">
      <c r="A3786" s="1">
        <v>2.0</v>
      </c>
      <c r="B3786" s="1" t="s">
        <v>3750</v>
      </c>
      <c r="C3786" t="str">
        <f>IFERROR(__xludf.DUMMYFUNCTION("GOOGLETRANSLATE(B3786, ""fr"", ""en"")"),"The picture does not give the size of an ear, damage Too Small")</f>
        <v>The picture does not give the size of an ear, damage Too Small</v>
      </c>
    </row>
    <row r="3787">
      <c r="A3787" s="1">
        <v>1.0</v>
      </c>
      <c r="B3787" s="1" t="s">
        <v>3751</v>
      </c>
      <c r="C3787" t="str">
        <f>IFERROR(__xludf.DUMMYFUNCTION("GOOGLETRANSLATE(B3787, ""fr"", ""en"")"),"Time and pedometer Hello Following the schedule change late October impossible to watch to the time What do I do thank you")</f>
        <v>Time and pedometer Hello Following the schedule change late October impossible to watch to the time What do I do thank you</v>
      </c>
    </row>
    <row r="3788">
      <c r="A3788" s="1">
        <v>1.0</v>
      </c>
      <c r="B3788" s="1" t="s">
        <v>3752</v>
      </c>
      <c r="C3788" t="str">
        <f>IFERROR(__xludf.DUMMYFUNCTION("GOOGLETRANSLATE(B3788, ""fr"", ""en"")"),"Become all black zero it is important not bought that kind of junk jewelry. This pendant is really fake it worthless it become all black after a few days does not zero bought this jewelry junk I do not recommend.")</f>
        <v>Become all black zero it is important not bought that kind of junk jewelry. This pendant is really fake it worthless it become all black after a few days does not zero bought this jewelry junk I do not recommend.</v>
      </c>
    </row>
    <row r="3789">
      <c r="A3789" s="1">
        <v>3.0</v>
      </c>
      <c r="B3789" s="1" t="s">
        <v>3753</v>
      </c>
      <c r="C3789" t="str">
        <f>IFERROR(__xludf.DUMMYFUNCTION("GOOGLETRANSLATE(B3789, ""fr"", ""en"")"),"Way. Micro low. Its ok very small Micro. Callers hear nothing.")</f>
        <v>Way. Micro low. Its ok very small Micro. Callers hear nothing.</v>
      </c>
    </row>
    <row r="3790">
      <c r="A3790" s="1">
        <v>4.0</v>
      </c>
      <c r="B3790" s="1" t="s">
        <v>3754</v>
      </c>
      <c r="C3790" t="str">
        <f>IFERROR(__xludf.DUMMYFUNCTION("GOOGLETRANSLATE(B3790, ""fr"", ""en"")"),"Beyerdynamic DT 770 headphones I bought 4 on AMAZON and I take this request for advice to give my comparison (on the seriousness of my sales favorite online, nothing to say, perfect). I tested four helmets on two MP3 players, the headphone amp to a mixer "&amp;"(home studio) and a digital piano. Start with the AKG K240MKII (55 ohms) and AKG K702. From the perspective of ""audio"", they are almost equivalent with a small superiority to the K702 model (a little more bass frequencies). The spatial average is the la"&amp;"ck of low frequencies gives an unbalanced sound tiring but not provided. Both require helmets to have a big head, or they take badly (no adjustments) and they have a detachable cable. So I use the 240 to hear the sound of my tablet at night to avoid distu"&amp;"rbing and 702 on my mixer when I did not want to be ""out of touch"" since it is an open helmet. The third is the beyerdynamic DT770 headphones pro (80 ohm). A good compromise sound reproduction perspective. More low frequencies as AKG, not at all tiring,"&amp;" it holds well on the head and is very comfortable to wear (adjustable). Its default, no detachable cable. I use it on my mixer (more willingly than the AKG K702). Finally, the Audio-Technica ATH-M50X. The sound better, the range is wide, low frequencies "&amp;"well present for headphones and spatial rather good. The comfort is very good (adjustable) although I prefer the velvet and the lack of joints (disturbing when the helmet is handled) the other three. The cable is removable. I use this helmet on my piano K"&amp;"awai hdg relatively demanding the piano since I mainly played on a Yamaha C3X. On my mixer, and so with synth sounds, I find it tiring helmet, too extroverted for this use over time. The ATH-M50X is recommended for listening to music on MP3 player or head"&amp;"phone amp. After listening began, difficult to remove.")</f>
        <v>Beyerdynamic DT 770 headphones I bought 4 on AMAZON and I take this request for advice to give my comparison (on the seriousness of my sales favorite online, nothing to say, perfect). I tested four helmets on two MP3 players, the headphone amp to a mixer (home studio) and a digital piano. Start with the AKG K240MKII (55 ohms) and AKG K702. From the perspective of "audio", they are almost equivalent with a small superiority to the K702 model (a little more bass frequencies). The spatial average is the lack of low frequencies gives an unbalanced sound tiring but not provided. Both require helmets to have a big head, or they take badly (no adjustments) and they have a detachable cable. So I use the 240 to hear the sound of my tablet at night to avoid disturbing and 702 on my mixer when I did not want to be "out of touch" since it is an open helmet. The third is the beyerdynamic DT770 headphones pro (80 ohm). A good compromise sound reproduction perspective. More low frequencies as AKG, not at all tiring, it holds well on the head and is very comfortable to wear (adjustable). Its default, no detachable cable. I use it on my mixer (more willingly than the AKG K702). Finally, the Audio-Technica ATH-M50X. The sound better, the range is wide, low frequencies well present for headphones and spatial rather good. The comfort is very good (adjustable) although I prefer the velvet and the lack of joints (disturbing when the helmet is handled) the other three. The cable is removable. I use this helmet on my piano Kawai hdg relatively demanding the piano since I mainly played on a Yamaha C3X. On my mixer, and so with synth sounds, I find it tiring helmet, too extroverted for this use over time. The ATH-M50X is recommended for listening to music on MP3 player or headphone amp. After listening began, difficult to remove.</v>
      </c>
    </row>
    <row r="3791">
      <c r="A3791" s="1">
        <v>4.0</v>
      </c>
      <c r="B3791" s="1" t="s">
        <v>3755</v>
      </c>
      <c r="C3791" t="str">
        <f>IFERROR(__xludf.DUMMYFUNCTION("GOOGLETRANSLATE(B3791, ""fr"", ""en"")"),"Impec As said above: arretez to force people to deposit a minimum number of words ... you may not have opinions or that the negative!")</f>
        <v>Impec As said above: arretez to force people to deposit a minimum number of words ... you may not have opinions or that the negative!</v>
      </c>
    </row>
    <row r="3792">
      <c r="A3792" s="1">
        <v>4.0</v>
      </c>
      <c r="B3792" s="1" t="s">
        <v>3756</v>
      </c>
      <c r="C3792" t="str">
        <f>IFERROR(__xludf.DUMMYFUNCTION("GOOGLETRANSLATE(B3792, ""fr"", ""en"")"),"quality equipment to get coffee quickly")</f>
        <v>quality equipment to get coffee quickly</v>
      </c>
    </row>
    <row r="3793">
      <c r="A3793" s="1">
        <v>4.0</v>
      </c>
      <c r="B3793" s="1" t="s">
        <v>3757</v>
      </c>
      <c r="C3793" t="str">
        <f>IFERROR(__xludf.DUMMYFUNCTION("GOOGLETRANSLATE(B3793, ""fr"", ""en"")"),"Quality / good price Having tested many Bluetooth headsets, I am very impressed with the quality / price of these headphones Klim. Pros: -Price affordable -good sound quality luxury style -packaging putting the product in single -very use value Negatives:"&amp;" -The headphones are wide which does not really nice on the ears -the noise ( pushed to the maximum) is not very powerful -the transport box is rather fragile (I made the mistake of the left in the front pocket of my bag. Nothing serious). I recommend thi"&amp;"s product only if it is for simple operation like listening to music while commuting, ect .. If you want to listen to music with great quality and strong enough, you have not found your perfect match.")</f>
        <v>Quality / good price Having tested many Bluetooth headsets, I am very impressed with the quality / price of these headphones Klim. Pros: -Price affordable -good sound quality luxury style -packaging putting the product in single -very use value Negatives: -The headphones are wide which does not really nice on the ears -the noise ( pushed to the maximum) is not very powerful -the transport box is rather fragile (I made the mistake of the left in the front pocket of my bag. Nothing serious). I recommend this product only if it is for simple operation like listening to music while commuting, ect .. If you want to listen to music with great quality and strong enough, you have not found your perfect match.</v>
      </c>
    </row>
    <row r="3794">
      <c r="A3794" s="1">
        <v>5.0</v>
      </c>
      <c r="B3794" s="1" t="s">
        <v>3758</v>
      </c>
      <c r="C3794" t="str">
        <f>IFERROR(__xludf.DUMMYFUNCTION("GOOGLETRANSLATE(B3794, ""fr"", ""en"")"),"This product perfectly matches the photo Offered gift, it rained immediately. Quality, finish ... Very good quality / price ratio. Fast shipping in a nice case. Everything looks good, we'll see the use if it keeps its promises ...")</f>
        <v>This product perfectly matches the photo Offered gift, it rained immediately. Quality, finish ... Very good quality / price ratio. Fast shipping in a nice case. Everything looks good, we'll see the use if it keeps its promises ...</v>
      </c>
    </row>
    <row r="3795">
      <c r="A3795" s="1">
        <v>5.0</v>
      </c>
      <c r="B3795" s="1" t="s">
        <v>3759</v>
      </c>
      <c r="C3795" t="str">
        <f>IFERROR(__xludf.DUMMYFUNCTION("GOOGLETRANSLATE(B3795, ""fr"", ""en"")"),"very functional very good practice shows' lighting suits me very well, the bracelet does not hurt the numerals are very visible the real question is why other watches are they more expensive frankly less than 25 fresh euros including shipping: 5 alarms , "&amp;"a stopwatch a countdown two hours and a button to switch from summer time to winter time and risitante 10 bar (90 meters underwater)")</f>
        <v>very functional very good practice shows' lighting suits me very well, the bracelet does not hurt the numerals are very visible the real question is why other watches are they more expensive frankly less than 25 fresh euros including shipping: 5 alarms , a stopwatch a countdown two hours and a button to switch from summer time to winter time and risitante 10 bar (90 meters underwater)</v>
      </c>
    </row>
    <row r="3796">
      <c r="A3796" s="1">
        <v>5.0</v>
      </c>
      <c r="B3796" s="1" t="s">
        <v>3760</v>
      </c>
      <c r="C3796" t="str">
        <f>IFERROR(__xludf.DUMMYFUNCTION("GOOGLETRANSLATE(B3796, ""fr"", ""en"")"),"Kettle it suited my needs")</f>
        <v>Kettle it suited my needs</v>
      </c>
    </row>
    <row r="3797">
      <c r="A3797" s="1">
        <v>5.0</v>
      </c>
      <c r="B3797" s="1" t="s">
        <v>3761</v>
      </c>
      <c r="C3797" t="str">
        <f>IFERROR(__xludf.DUMMYFUNCTION("GOOGLETRANSLATE(B3797, ""fr"", ""en"")"),"LEATHER BAG Bel Seems look solid and sufficient practice Storage")</f>
        <v>LEATHER BAG Bel Seems look solid and sufficient practice Storage</v>
      </c>
    </row>
    <row r="3798">
      <c r="A3798" s="1">
        <v>5.0</v>
      </c>
      <c r="B3798" s="1" t="s">
        <v>3762</v>
      </c>
      <c r="C3798" t="str">
        <f>IFERROR(__xludf.DUMMYFUNCTION("GOOGLETRANSLATE(B3798, ""fr"", ""en"")"),"Good value This kettle is really the top. Easy to handle and clean. It is ideal for office .. It really does not take much space.")</f>
        <v>Good value This kettle is really the top. Easy to handle and clean. It is ideal for office .. It really does not take much space.</v>
      </c>
    </row>
    <row r="3799">
      <c r="A3799" s="1">
        <v>5.0</v>
      </c>
      <c r="B3799" s="1" t="s">
        <v>3763</v>
      </c>
      <c r="C3799" t="str">
        <f>IFERROR(__xludf.DUMMYFUNCTION("GOOGLETRANSLATE(B3799, ""fr"", ""en"")"),"conventional use, price and quality ditto")</f>
        <v>conventional use, price and quality ditto</v>
      </c>
    </row>
    <row r="3800">
      <c r="A3800" s="1">
        <v>5.0</v>
      </c>
      <c r="B3800" s="1" t="s">
        <v>3764</v>
      </c>
      <c r="C3800" t="str">
        <f>IFERROR(__xludf.DUMMYFUNCTION("GOOGLETRANSLATE(B3800, ""fr"", ""en"")"),"Great product I am walking, they are very comfortable in addition there is a small hole for hanging in case they fall. Very good battery life and good quality of sound. In addition there is the percentage of the battery on the charging stand. The quality "&amp;"of the microphone is bonne.je council this article")</f>
        <v>Great product I am walking, they are very comfortable in addition there is a small hole for hanging in case they fall. Very good battery life and good quality of sound. In addition there is the percentage of the battery on the charging stand. The quality of the microphone is bonne.je council this article</v>
      </c>
    </row>
    <row r="3801">
      <c r="A3801" s="1">
        <v>5.0</v>
      </c>
      <c r="B3801" s="1" t="s">
        <v>3765</v>
      </c>
      <c r="C3801" t="str">
        <f>IFERROR(__xludf.DUMMYFUNCTION("GOOGLETRANSLATE(B3801, ""fr"", ""en"")"),"The black steel bracelet class high quality and robust. The clasp is effective and easy to use, it does not open by itself. A + for the supply of the tool to extract links to fit the right size.")</f>
        <v>The black steel bracelet class high quality and robust. The clasp is effective and easy to use, it does not open by itself. A + for the supply of the tool to extract links to fit the right size.</v>
      </c>
    </row>
    <row r="3802">
      <c r="A3802" s="1">
        <v>5.0</v>
      </c>
      <c r="B3802" s="1" t="s">
        <v>3766</v>
      </c>
      <c r="C3802" t="str">
        <f>IFERROR(__xludf.DUMMYFUNCTION("GOOGLETRANSLATE(B3802, ""fr"", ""en"")"),"Satisfied Article compliant")</f>
        <v>Satisfied Article compliant</v>
      </c>
    </row>
    <row r="3803">
      <c r="A3803" s="1">
        <v>5.0</v>
      </c>
      <c r="B3803" s="1" t="s">
        <v>3767</v>
      </c>
      <c r="C3803" t="str">
        <f>IFERROR(__xludf.DUMMYFUNCTION("GOOGLETRANSLATE(B3803, ""fr"", ""en"")"),"Received quickly I can not find the associated bottle teats ... Nice")</f>
        <v>Received quickly I can not find the associated bottle teats ... Nice</v>
      </c>
    </row>
    <row r="3804">
      <c r="A3804" s="1">
        <v>5.0</v>
      </c>
      <c r="B3804" s="1" t="s">
        <v>3768</v>
      </c>
      <c r="C3804" t="str">
        <f>IFERROR(__xludf.DUMMYFUNCTION("GOOGLETRANSLATE(B3804, ""fr"", ""en"")"),"Lolo Excellent quality very good shoe")</f>
        <v>Lolo Excellent quality very good shoe</v>
      </c>
    </row>
    <row r="3805">
      <c r="A3805" s="1">
        <v>5.0</v>
      </c>
      <c r="B3805" s="1" t="s">
        <v>3769</v>
      </c>
      <c r="C3805" t="str">
        <f>IFERROR(__xludf.DUMMYFUNCTION("GOOGLETRANSLATE(B3805, ""fr"", ""en"")"),"Product The product is of good quality for leather but the sole wears out too quickly. Less than 1 year")</f>
        <v>Product The product is of good quality for leather but the sole wears out too quickly. Less than 1 year</v>
      </c>
    </row>
    <row r="3806">
      <c r="A3806" s="1">
        <v>5.0</v>
      </c>
      <c r="B3806" s="1" t="s">
        <v>3770</v>
      </c>
      <c r="C3806" t="str">
        <f>IFERROR(__xludf.DUMMYFUNCTION("GOOGLETRANSLATE(B3806, ""fr"", ""en"")"),"Super sandals are very comfortable, I take them everywhere, especially well suited for the holidays around the pools. I also serve as bedroom slippers.")</f>
        <v>Super sandals are very comfortable, I take them everywhere, especially well suited for the holidays around the pools. I also serve as bedroom slippers.</v>
      </c>
    </row>
    <row r="3807">
      <c r="A3807" s="1">
        <v>5.0</v>
      </c>
      <c r="B3807" s="1" t="s">
        <v>3771</v>
      </c>
      <c r="C3807" t="str">
        <f>IFERROR(__xludf.DUMMYFUNCTION("GOOGLETRANSLATE(B3807, ""fr"", ""en"")"),"Absolutely satisfied very good headphones, perfect for sports and daily includes: the housing, small bag to put the box the headphones spare small caps plastic very good quality of the charger comes already prepared charge employment. holds very well in t"&amp;"he ears, housing ipetit and discreet. I am fully satisfied and recommend")</f>
        <v>Absolutely satisfied very good headphones, perfect for sports and daily includes: the housing, small bag to put the box the headphones spare small caps plastic very good quality of the charger comes already prepared charge employment. holds very well in the ears, housing ipetit and discreet. I am fully satisfied and recommend</v>
      </c>
    </row>
    <row r="3808">
      <c r="A3808" s="1">
        <v>5.0</v>
      </c>
      <c r="B3808" s="1" t="s">
        <v>3772</v>
      </c>
      <c r="C3808" t="str">
        <f>IFERROR(__xludf.DUMMYFUNCTION("GOOGLETRANSLATE(B3808, ""fr"", ""en"")"),"Super Great")</f>
        <v>Super Great</v>
      </c>
    </row>
    <row r="3809">
      <c r="A3809" s="1">
        <v>2.0</v>
      </c>
      <c r="B3809" s="1" t="s">
        <v>3773</v>
      </c>
      <c r="C3809" t="str">
        <f>IFERROR(__xludf.DUMMYFUNCTION("GOOGLETRANSLATE(B3809, ""fr"", ""en"")"),"No. The paper is soft but certainly fine. Compared to Lotus Aqatutube I had before with this one I have to put three times more layers of paper so it does not tear during the wiping. The package will then lasted 2 to 3 times less time for the same price. "&amp;"I can not redeem.")</f>
        <v>No. The paper is soft but certainly fine. Compared to Lotus Aqatutube I had before with this one I have to put three times more layers of paper so it does not tear during the wiping. The package will then lasted 2 to 3 times less time for the same price. I can not redeem.</v>
      </c>
    </row>
    <row r="3810">
      <c r="A3810" s="1">
        <v>1.0</v>
      </c>
      <c r="B3810" s="1" t="s">
        <v>3774</v>
      </c>
      <c r="C3810" t="str">
        <f>IFERROR(__xludf.DUMMYFUNCTION("GOOGLETRANSLATE(B3810, ""fr"", ""en"")"),"Large rigid and rigid Size")</f>
        <v>Large rigid and rigid Size</v>
      </c>
    </row>
    <row r="3811">
      <c r="A3811" s="1">
        <v>3.0</v>
      </c>
      <c r="B3811" s="1" t="s">
        <v>3775</v>
      </c>
      <c r="C3811" t="str">
        <f>IFERROR(__xludf.DUMMYFUNCTION("GOOGLETRANSLATE(B3811, ""fr"", ""en"")"),"Fair! For fun!! Do not expect a great article !!!")</f>
        <v>Fair! For fun!! Do not expect a great article !!!</v>
      </c>
    </row>
    <row r="3812">
      <c r="A3812" s="1">
        <v>3.0</v>
      </c>
      <c r="B3812" s="1" t="s">
        <v>3776</v>
      </c>
      <c r="C3812" t="str">
        <f>IFERROR(__xludf.DUMMYFUNCTION("GOOGLETRANSLATE(B3812, ""fr"", ""en"")"),"Good cougar keeps up the damage that the delicate finesse .At make use sparingly if you do not want to see apparaîtres holes.")</f>
        <v>Good cougar keeps up the damage that the delicate finesse .At make use sparingly if you do not want to see apparaîtres holes.</v>
      </c>
    </row>
    <row r="3813">
      <c r="A3813" s="1">
        <v>4.0</v>
      </c>
      <c r="B3813" s="1" t="s">
        <v>3777</v>
      </c>
      <c r="C3813" t="str">
        <f>IFERROR(__xludf.DUMMYFUNCTION("GOOGLETRANSLATE(B3813, ""fr"", ""en"")"),"Well ... It was great for a gift requested by a teenager who was thrilled ... the product appears to conform to demande.super delighted")</f>
        <v>Well ... It was great for a gift requested by a teenager who was thrilled ... the product appears to conform to demande.super delighted</v>
      </c>
    </row>
    <row r="3814">
      <c r="A3814" s="1">
        <v>4.0</v>
      </c>
      <c r="B3814" s="1" t="s">
        <v>3778</v>
      </c>
      <c r="C3814" t="str">
        <f>IFERROR(__xludf.DUMMYFUNCTION("GOOGLETRANSLATE(B3814, ""fr"", ""en"")"),"SAV - Equipment ok I received the package in good condition and in time, unfortunately unpacking missing red coiled cable (link camcorder / receiver) On after the service online (chat) I just return it and all my money back! I have another cable from anot"&amp;"her micro, nevertheless very disappointed with the experience ... As for the hardware itself: great product, perfect and qualitative material damage incident. (Edict I got a business phone line, he credits my account to recommend the cable, All's Well Tha"&amp;"t Ends Well then!)")</f>
        <v>SAV - Equipment ok I received the package in good condition and in time, unfortunately unpacking missing red coiled cable (link camcorder / receiver) On after the service online (chat) I just return it and all my money back! I have another cable from another micro, nevertheless very disappointed with the experience ... As for the hardware itself: great product, perfect and qualitative material damage incident. (Edict I got a business phone line, he credits my account to recommend the cable, All's Well That Ends Well then!)</v>
      </c>
    </row>
    <row r="3815">
      <c r="A3815" s="1">
        <v>4.0</v>
      </c>
      <c r="B3815" s="1" t="s">
        <v>3779</v>
      </c>
      <c r="C3815" t="str">
        <f>IFERROR(__xludf.DUMMYFUNCTION("GOOGLETRANSLATE(B3815, ""fr"", ""en"")"),"The right choice to replace original cartridges must for printing large e-books of recent devices and have practical use without breaking the bank. Some chip management issues when the cartridge needs to be replaced (displays unrecognized cartridge). But "&amp;"the printer driver (status monitor) is working properly, so just throw the cartridge replacement procedure and everything is in order. Epson WF-2010 under Windows 10.")</f>
        <v>The right choice to replace original cartridges must for printing large e-books of recent devices and have practical use without breaking the bank. Some chip management issues when the cartridge needs to be replaced (displays unrecognized cartridge). But the printer driver (status monitor) is working properly, so just throw the cartridge replacement procedure and everything is in order. Epson WF-2010 under Windows 10.</v>
      </c>
    </row>
    <row r="3816">
      <c r="A3816" s="1">
        <v>4.0</v>
      </c>
      <c r="B3816" s="1" t="s">
        <v>3780</v>
      </c>
      <c r="C3816" t="str">
        <f>IFERROR(__xludf.DUMMYFUNCTION("GOOGLETRANSLATE(B3816, ""fr"", ""en"")"),"very nice very nice rendering - but not transparent large size")</f>
        <v>very nice very nice rendering - but not transparent large size</v>
      </c>
    </row>
    <row r="3817">
      <c r="A3817" s="1">
        <v>4.0</v>
      </c>
      <c r="B3817" s="1" t="s">
        <v>3781</v>
      </c>
      <c r="C3817" t="str">
        <f>IFERROR(__xludf.DUMMYFUNCTION("GOOGLETRANSLATE(B3817, ""fr"", ""en"")"),"Basketball Fast transaction and footwear consistent with the description")</f>
        <v>Basketball Fast transaction and footwear consistent with the description</v>
      </c>
    </row>
    <row r="3818">
      <c r="A3818" s="1">
        <v>5.0</v>
      </c>
      <c r="B3818" s="1" t="s">
        <v>3782</v>
      </c>
      <c r="C3818" t="str">
        <f>IFERROR(__xludf.DUMMYFUNCTION("GOOGLETRANSLATE(B3818, ""fr"", ""en"")"),"Essential oil diffuser I wanted to enjoy the benefits of essential oils and I have ordered the broadcaster. He's very cute in size and design but it is also very effective, it has found its way quickly. I do not regret my choice, I recommend it highly.")</f>
        <v>Essential oil diffuser I wanted to enjoy the benefits of essential oils and I have ordered the broadcaster. He's very cute in size and design but it is also very effective, it has found its way quickly. I do not regret my choice, I recommend it highly.</v>
      </c>
    </row>
    <row r="3819">
      <c r="A3819" s="1">
        <v>5.0</v>
      </c>
      <c r="B3819" s="1" t="s">
        <v>3783</v>
      </c>
      <c r="C3819" t="str">
        <f>IFERROR(__xludf.DUMMYFUNCTION("GOOGLETRANSLATE(B3819, ""fr"", ""en"")"),"Excellent quality / price ratio Hello, I just bought these headphones and I am pleasantly surprised by the very good general quality. Listed on the long term. Highlight: - its material and good quality - 6 tips peers - memory foam is just awesome Weakness"&amp;": - The length of the wire is too long in my opinion. cordially")</f>
        <v>Excellent quality / price ratio Hello, I just bought these headphones and I am pleasantly surprised by the very good general quality. Listed on the long term. Highlight: - its material and good quality - 6 tips peers - memory foam is just awesome Weakness: - The length of the wire is too long in my opinion. cordially</v>
      </c>
    </row>
    <row r="3820">
      <c r="A3820" s="1">
        <v>5.0</v>
      </c>
      <c r="B3820" s="1" t="s">
        <v>3784</v>
      </c>
      <c r="C3820" t="str">
        <f>IFERROR(__xludf.DUMMYFUNCTION("GOOGLETRANSLATE(B3820, ""fr"", ""en"")"),"BTS concert it was worth € 40 My daughter loves")</f>
        <v>BTS concert it was worth € 40 My daughter loves</v>
      </c>
    </row>
    <row r="3821">
      <c r="A3821" s="1">
        <v>5.0</v>
      </c>
      <c r="B3821" s="1" t="s">
        <v>3785</v>
      </c>
      <c r="C3821" t="str">
        <f>IFERROR(__xludf.DUMMYFUNCTION("GOOGLETRANSLATE(B3821, ""fr"", ""en"")"),"Superb slippers The quality is there. Size does not normally hurt the foot, good value for money! I recommend this product to all men who want quality slippers")</f>
        <v>Superb slippers The quality is there. Size does not normally hurt the foot, good value for money! I recommend this product to all men who want quality slippers</v>
      </c>
    </row>
    <row r="3822">
      <c r="A3822" s="1">
        <v>5.0</v>
      </c>
      <c r="B3822" s="1" t="s">
        <v>3786</v>
      </c>
      <c r="C3822" t="str">
        <f>IFERROR(__xludf.DUMMYFUNCTION("GOOGLETRANSLATE(B3822, ""fr"", ""en"")"),"suoer brand I take this brand from the birth of my son, they are at the top and nipples adapted to the age of the child. No pain no longer stomach, I am delighted")</f>
        <v>suoer brand I take this brand from the birth of my son, they are at the top and nipples adapted to the age of the child. No pain no longer stomach, I am delighted</v>
      </c>
    </row>
    <row r="3823">
      <c r="A3823" s="1">
        <v>5.0</v>
      </c>
      <c r="B3823" s="1" t="s">
        <v>3787</v>
      </c>
      <c r="C3823" t="str">
        <f>IFERROR(__xludf.DUMMYFUNCTION("GOOGLETRANSLATE(B3823, ""fr"", ""en"")"),"I recommend sending Perfect fast")</f>
        <v>I recommend sending Perfect fast</v>
      </c>
    </row>
    <row r="3824">
      <c r="A3824" s="1">
        <v>5.0</v>
      </c>
      <c r="B3824" s="1" t="s">
        <v>3788</v>
      </c>
      <c r="C3824" t="str">
        <f>IFERROR(__xludf.DUMMYFUNCTION("GOOGLETRANSLATE(B3824, ""fr"", ""en"")"),"the wax that has the color it takes Superb, a happiness to extend it cirerait shoes for fun only with this wax. And what a range of colors!")</f>
        <v>the wax that has the color it takes Superb, a happiness to extend it cirerait shoes for fun only with this wax. And what a range of colors!</v>
      </c>
    </row>
    <row r="3825">
      <c r="A3825" s="1">
        <v>5.0</v>
      </c>
      <c r="B3825" s="1" t="s">
        <v>3789</v>
      </c>
      <c r="C3825" t="str">
        <f>IFERROR(__xludf.DUMMYFUNCTION("GOOGLETRANSLATE(B3825, ""fr"", ""en"")"),"Like slippers Good product for daily use")</f>
        <v>Like slippers Good product for daily use</v>
      </c>
    </row>
    <row r="3826">
      <c r="A3826" s="1">
        <v>5.0</v>
      </c>
      <c r="B3826" s="1" t="s">
        <v>3790</v>
      </c>
      <c r="C3826" t="str">
        <f>IFERROR(__xludf.DUMMYFUNCTION("GOOGLETRANSLATE(B3826, ""fr"", ""en"")"),"Perfect qualiter on top has a great ireprochable qualiter nothing for his award dir qualiter sound and super good and the tripod too well")</f>
        <v>Perfect qualiter on top has a great ireprochable qualiter nothing for his award dir qualiter sound and super good and the tripod too well</v>
      </c>
    </row>
    <row r="3827">
      <c r="A3827" s="1">
        <v>5.0</v>
      </c>
      <c r="B3827" s="1" t="s">
        <v>3791</v>
      </c>
      <c r="C3827" t="str">
        <f>IFERROR(__xludf.DUMMYFUNCTION("GOOGLETRANSLATE(B3827, ""fr"", ""en"")"),"good comfort")</f>
        <v>good comfort</v>
      </c>
    </row>
    <row r="3828">
      <c r="A3828" s="1">
        <v>5.0</v>
      </c>
      <c r="B3828" s="1" t="s">
        <v>3792</v>
      </c>
      <c r="C3828" t="str">
        <f>IFERROR(__xludf.DUMMYFUNCTION("GOOGLETRANSLATE(B3828, ""fr"", ""en"")"),"The heating fine electric blanket is very good. This is the best gift for parents, lovers, friends and children this winter. This Warmer Cushion can effectively warm up your body and relieve pain")</f>
        <v>The heating fine electric blanket is very good. This is the best gift for parents, lovers, friends and children this winter. This Warmer Cushion can effectively warm up your body and relieve pain</v>
      </c>
    </row>
    <row r="3829">
      <c r="A3829" s="1">
        <v>5.0</v>
      </c>
      <c r="B3829" s="1" t="s">
        <v>3793</v>
      </c>
      <c r="C3829" t="str">
        <f>IFERROR(__xludf.DUMMYFUNCTION("GOOGLETRANSLATE(B3829, ""fr"", ""en"")"),"I love that I wear wrist watch for already 1 month every day without exception, great, thank you for this.")</f>
        <v>I love that I wear wrist watch for already 1 month every day without exception, great, thank you for this.</v>
      </c>
    </row>
    <row r="3830">
      <c r="A3830" s="1">
        <v>5.0</v>
      </c>
      <c r="B3830" s="1" t="s">
        <v>3794</v>
      </c>
      <c r="C3830" t="str">
        <f>IFERROR(__xludf.DUMMYFUNCTION("GOOGLETRANSLATE(B3830, ""fr"", ""en"")"),"Kettle easy to use It is a good idea to have coffee encrusted LED lights")</f>
        <v>Kettle easy to use It is a good idea to have coffee encrusted LED lights</v>
      </c>
    </row>
    <row r="3831">
      <c r="A3831" s="1">
        <v>5.0</v>
      </c>
      <c r="B3831" s="1" t="s">
        <v>3795</v>
      </c>
      <c r="C3831" t="str">
        <f>IFERROR(__xludf.DUMMYFUNCTION("GOOGLETRANSLATE(B3831, ""fr"", ""en"")"),"Top My teenager is very happy, the sound is good, easy to put the ears and easy in his little box has storage and recharge is original, I will recommend to my nephews because cheap and good report price quality")</f>
        <v>Top My teenager is very happy, the sound is good, easy to put the ears and easy in his little box has storage and recharge is original, I will recommend to my nephews because cheap and good report price quality</v>
      </c>
    </row>
    <row r="3832">
      <c r="A3832" s="1">
        <v>5.0</v>
      </c>
      <c r="B3832" s="1" t="s">
        <v>1547</v>
      </c>
      <c r="C3832" t="str">
        <f>IFERROR(__xludf.DUMMYFUNCTION("GOOGLETRANSLATE(B3832, ""fr"", ""en"")"),"Ras Ras")</f>
        <v>Ras Ras</v>
      </c>
    </row>
    <row r="3833">
      <c r="A3833" s="1">
        <v>5.0</v>
      </c>
      <c r="B3833" s="1" t="s">
        <v>3796</v>
      </c>
      <c r="C3833" t="str">
        <f>IFERROR(__xludf.DUMMYFUNCTION("GOOGLETRANSLATE(B3833, ""fr"", ""en"")"),"Great product, except the price! A beautiful bag, leather is good, the seams are solid, the design is perfect, I'm very satisfied with my purchase, against delivery people are not professionals, packages thrown in my way, unfortunately it was raining that"&amp;" day, cardboard Amazon was completely soaked, luckily Visconti must know our drivers, the leather bag was wrapped in several containing solely the final canvas bag that wraps the product was slightly damp, leather has no damage! Amazon Visconti 10/10 10/1"&amp;"0 00/10 Delivery")</f>
        <v>Great product, except the price! A beautiful bag, leather is good, the seams are solid, the design is perfect, I'm very satisfied with my purchase, against delivery people are not professionals, packages thrown in my way, unfortunately it was raining that day, cardboard Amazon was completely soaked, luckily Visconti must know our drivers, the leather bag was wrapped in several containing solely the final canvas bag that wraps the product was slightly damp, leather has no damage! Amazon Visconti 10/10 10/10 00/10 Delivery</v>
      </c>
    </row>
    <row r="3834">
      <c r="A3834" s="1">
        <v>2.0</v>
      </c>
      <c r="B3834" s="1" t="s">
        <v>3797</v>
      </c>
      <c r="C3834" t="str">
        <f>IFERROR(__xludf.DUMMYFUNCTION("GOOGLETRANSLATE(B3834, ""fr"", ""en"")"),"Very disappointing Bad not too tight and well-cut light material is not solid at all. Not waterproof no need for sport")</f>
        <v>Very disappointing Bad not too tight and well-cut light material is not solid at all. Not waterproof no need for sport</v>
      </c>
    </row>
    <row r="3835">
      <c r="A3835" s="1">
        <v>1.0</v>
      </c>
      <c r="B3835" s="1" t="s">
        <v>3798</v>
      </c>
      <c r="C3835" t="str">
        <f>IFERROR(__xludf.DUMMYFUNCTION("GOOGLETRANSLATE(B3835, ""fr"", ""en"")"),"Strength mediocre at the sole To be honest these shoes are not aesthetically awful but in terms of strength is still a disaster I had to wear them fifteen times and the week starts to get very disappointed with his shoes")</f>
        <v>Strength mediocre at the sole To be honest these shoes are not aesthetically awful but in terms of strength is still a disaster I had to wear them fifteen times and the week starts to get very disappointed with his shoes</v>
      </c>
    </row>
    <row r="3836">
      <c r="A3836" s="1">
        <v>1.0</v>
      </c>
      <c r="B3836" s="1" t="s">
        <v>3799</v>
      </c>
      <c r="C3836" t="str">
        <f>IFERROR(__xludf.DUMMYFUNCTION("GOOGLETRANSLATE(B3836, ""fr"", ""en"")"),"DISAPPOINTMENT I bought this mic as a Christmas gift for my daughter. HUGE DISAPPOINTMENT. Only speakers work and not the microphone, gold is for the microphone I made this purchase. I do not recommend.")</f>
        <v>DISAPPOINTMENT I bought this mic as a Christmas gift for my daughter. HUGE DISAPPOINTMENT. Only speakers work and not the microphone, gold is for the microphone I made this purchase. I do not recommend.</v>
      </c>
    </row>
    <row r="3837">
      <c r="A3837" s="1">
        <v>3.0</v>
      </c>
      <c r="B3837" s="1" t="s">
        <v>3800</v>
      </c>
      <c r="C3837" t="str">
        <f>IFERROR(__xludf.DUMMYFUNCTION("GOOGLETRANSLATE(B3837, ""fr"", ""en"")"),"manual operation is convenient but deserves to be improved principle is nice, no need battery or batteries, the labeling machine is manual if that is rather convenient. but the letters s print correctly we must press hard enough and more to cut the ribbon"&amp;". s the simplest is to remove the small handle in order to have direct small trigger that is below and its becomes easier ...")</f>
        <v>manual operation is convenient but deserves to be improved principle is nice, no need battery or batteries, the labeling machine is manual if that is rather convenient. but the letters s print correctly we must press hard enough and more to cut the ribbon. s the simplest is to remove the small handle in order to have direct small trigger that is below and its becomes easier ...</v>
      </c>
    </row>
    <row r="3838">
      <c r="A3838" s="1">
        <v>3.0</v>
      </c>
      <c r="B3838" s="1" t="s">
        <v>3801</v>
      </c>
      <c r="C3838" t="str">
        <f>IFERROR(__xludf.DUMMYFUNCTION("GOOGLETRANSLATE(B3838, ""fr"", ""en"")"),"Average quality for calling this headset fulfills its main function, which is to listen to music, the sound is really good insulation to external noise is quite good. Comfort becomes annoying after a while, the headphones used, and starts to hurt after a "&amp;"while. But the real draw is that when we take a call, the person we have online hears us far even in a place without noise. Can not make a conversation in the street. I therefore recommend this helmet for those who want to listen to music with a good audi"&amp;"o quality")</f>
        <v>Average quality for calling this headset fulfills its main function, which is to listen to music, the sound is really good insulation to external noise is quite good. Comfort becomes annoying after a while, the headphones used, and starts to hurt after a while. But the real draw is that when we take a call, the person we have online hears us far even in a place without noise. Can not make a conversation in the street. I therefore recommend this helmet for those who want to listen to music with a good audio quality</v>
      </c>
    </row>
    <row r="3839">
      <c r="A3839" s="1">
        <v>4.0</v>
      </c>
      <c r="B3839" s="1" t="s">
        <v>3802</v>
      </c>
      <c r="C3839" t="str">
        <f>IFERROR(__xludf.DUMMYFUNCTION("GOOGLETRANSLATE(B3839, ""fr"", ""en"")"),"A little thicker would not hurt .... Ordered to replace my old fleece which had its time .. Overall it is a good product but a little thin for my taste when one wants to used outdoors. For the interior is perfect.")</f>
        <v>A little thicker would not hurt .... Ordered to replace my old fleece which had its time .. Overall it is a good product but a little thin for my taste when one wants to used outdoors. For the interior is perfect.</v>
      </c>
    </row>
    <row r="3840">
      <c r="A3840" s="1">
        <v>4.0</v>
      </c>
      <c r="B3840" s="1" t="s">
        <v>3803</v>
      </c>
      <c r="C3840" t="str">
        <f>IFERROR(__xludf.DUMMYFUNCTION("GOOGLETRANSLATE(B3840, ""fr"", ""en"")"),"Vintage Toaster! Super toaster vintage! He can not take large thick slice is the only negative. A little too imposing, but it's a nice kitchen accessory.")</f>
        <v>Vintage Toaster! Super toaster vintage! He can not take large thick slice is the only negative. A little too imposing, but it's a nice kitchen accessory.</v>
      </c>
    </row>
    <row r="3841">
      <c r="A3841" s="1">
        <v>4.0</v>
      </c>
      <c r="B3841" s="1" t="s">
        <v>3804</v>
      </c>
      <c r="C3841" t="str">
        <f>IFERROR(__xludf.DUMMYFUNCTION("GOOGLETRANSLATE(B3841, ""fr"", ""en"")"),"Discreet. Received on time. The stripping of the sheath is a bit difficult and we must be careful in separating the conductors, not to tear the sheath of the other (much like bacon bags). Once installed along my beams, this cable is very discreet.")</f>
        <v>Discreet. Received on time. The stripping of the sheath is a bit difficult and we must be careful in separating the conductors, not to tear the sheath of the other (much like bacon bags). Once installed along my beams, this cable is very discreet.</v>
      </c>
    </row>
    <row r="3842">
      <c r="A3842" s="1">
        <v>4.0</v>
      </c>
      <c r="B3842" s="1" t="s">
        <v>3805</v>
      </c>
      <c r="C3842" t="str">
        <f>IFERROR(__xludf.DUMMYFUNCTION("GOOGLETRANSLATE(B3842, ""fr"", ""en"")"),"Satisfied Exactly what I expected .pas surprise, recommenderai later. I hope this article will suivi.Ce be nice if there were more colors.")</f>
        <v>Satisfied Exactly what I expected .pas surprise, recommenderai later. I hope this article will suivi.Ce be nice if there were more colors.</v>
      </c>
    </row>
    <row r="3843">
      <c r="A3843" s="1">
        <v>5.0</v>
      </c>
      <c r="B3843" s="1" t="s">
        <v>3806</v>
      </c>
      <c r="C3843" t="str">
        <f>IFERROR(__xludf.DUMMYFUNCTION("GOOGLETRANSLATE(B3843, ""fr"", ""en"")"),"Excellent product solid, beautiful, practical. Perfect for those who like this type of product. The build quality suggests a long use.")</f>
        <v>Excellent product solid, beautiful, practical. Perfect for those who like this type of product. The build quality suggests a long use.</v>
      </c>
    </row>
    <row r="3844">
      <c r="A3844" s="1">
        <v>5.0</v>
      </c>
      <c r="B3844" s="1" t="s">
        <v>3807</v>
      </c>
      <c r="C3844" t="str">
        <f>IFERROR(__xludf.DUMMYFUNCTION("GOOGLETRANSLATE(B3844, ""fr"", ""en"")"),"great product that more consistent and at an unbeatable price")</f>
        <v>great product that more consistent and at an unbeatable price</v>
      </c>
    </row>
    <row r="3845">
      <c r="A3845" s="1">
        <v>5.0</v>
      </c>
      <c r="B3845" s="1" t="s">
        <v>3808</v>
      </c>
      <c r="C3845" t="str">
        <f>IFERROR(__xludf.DUMMYFUNCTION("GOOGLETRANSLATE(B3845, ""fr"", ""en"")"),"Top Bought for renovating an apartment and ask speakers blast wall sockets. The cable is well made and sturdy. I recommend")</f>
        <v>Top Bought for renovating an apartment and ask speakers blast wall sockets. The cable is well made and sturdy. I recommend</v>
      </c>
    </row>
    <row r="3846">
      <c r="A3846" s="1">
        <v>5.0</v>
      </c>
      <c r="B3846" s="1" t="s">
        <v>3809</v>
      </c>
      <c r="C3846" t="str">
        <f>IFERROR(__xludf.DUMMYFUNCTION("GOOGLETRANSLATE(B3846, ""fr"", ""en"")"),"A real favorite for this beautiful little bag goes everywhere. Yes, it is small but adequate when one is not one to be burdened superfluous. It can be worn on the shoulder or across the body (for my part, I prefer). It is light (when empty, of course ^^) "&amp;"and flexible enough. I have read many comments on smelling it, but only after ordering, suddenly, I was a little afraid of what I would find on arrival. But in fact, this is not disturbing at all. It smells like leather what! A faultless in my case. I JUS"&amp;"T LOVE IT !")</f>
        <v>A real favorite for this beautiful little bag goes everywhere. Yes, it is small but adequate when one is not one to be burdened superfluous. It can be worn on the shoulder or across the body (for my part, I prefer). It is light (when empty, of course ^^) and flexible enough. I have read many comments on smelling it, but only after ordering, suddenly, I was a little afraid of what I would find on arrival. But in fact, this is not disturbing at all. It smells like leather what! A faultless in my case. I JUST LOVE IT !</v>
      </c>
    </row>
    <row r="3847">
      <c r="A3847" s="1">
        <v>5.0</v>
      </c>
      <c r="B3847" s="1" t="s">
        <v>3810</v>
      </c>
      <c r="C3847" t="str">
        <f>IFERROR(__xludf.DUMMYFUNCTION("GOOGLETRANSLATE(B3847, ""fr"", ""en"")"),"Always effective! This is a must to have for tours linens that are mixed carefree, ie without transfer of colors to exit if you see what I mean. It's simple but so convenient that I can not live without it and I highly recommend you.")</f>
        <v>Always effective! This is a must to have for tours linens that are mixed carefree, ie without transfer of colors to exit if you see what I mean. It's simple but so convenient that I can not live without it and I highly recommend you.</v>
      </c>
    </row>
    <row r="3848">
      <c r="A3848" s="1">
        <v>5.0</v>
      </c>
      <c r="B3848" s="1" t="s">
        <v>3811</v>
      </c>
      <c r="C3848" t="str">
        <f>IFERROR(__xludf.DUMMYFUNCTION("GOOGLETRANSLATE(B3848, ""fr"", ""en"")"),"perfect dummies resistant in time")</f>
        <v>perfect dummies resistant in time</v>
      </c>
    </row>
    <row r="3849">
      <c r="A3849" s="1">
        <v>5.0</v>
      </c>
      <c r="B3849" s="1" t="s">
        <v>3812</v>
      </c>
      <c r="C3849" t="str">
        <f>IFERROR(__xludf.DUMMYFUNCTION("GOOGLETRANSLATE(B3849, ""fr"", ""en"")"),"Stable and lightweight Very good small tripod, stable, lightweight but strong, simple design and ridiculous prices. Used with a Rode NT4 known for its heavy weight. No tipping. A second tripod allows me to position two Rode NT5 in large AB taken for its s"&amp;"cenic outdoors")</f>
        <v>Stable and lightweight Very good small tripod, stable, lightweight but strong, simple design and ridiculous prices. Used with a Rode NT4 known for its heavy weight. No tipping. A second tripod allows me to position two Rode NT5 in large AB taken for its scenic outdoors</v>
      </c>
    </row>
    <row r="3850">
      <c r="A3850" s="1">
        <v>5.0</v>
      </c>
      <c r="B3850" s="1" t="s">
        <v>3813</v>
      </c>
      <c r="C3850" t="str">
        <f>IFERROR(__xludf.DUMMYFUNCTION("GOOGLETRANSLATE(B3850, ""fr"", ""en"")"),"At the top for sports or not So delivery and product conformity. The headphones fit easily, you are three sizes possible inside the box. The Bluetooth connection is quick and easy. The sound is of exceptional quality, and noise reduction is effective. In "&amp;"sports, they hold very well in the ears despite sweating, their autonomy is reliable and consistent, reliable rechargeable box suddenly eager for my sport sessions. Management with bose connect is easy and quick. Sport with such headphones, this is really"&amp;" the best!")</f>
        <v>At the top for sports or not So delivery and product conformity. The headphones fit easily, you are three sizes possible inside the box. The Bluetooth connection is quick and easy. The sound is of exceptional quality, and noise reduction is effective. In sports, they hold very well in the ears despite sweating, their autonomy is reliable and consistent, reliable rechargeable box suddenly eager for my sport sessions. Management with bose connect is easy and quick. Sport with such headphones, this is really the best!</v>
      </c>
    </row>
    <row r="3851">
      <c r="A3851" s="1">
        <v>5.0</v>
      </c>
      <c r="B3851" s="1" t="s">
        <v>3814</v>
      </c>
      <c r="C3851" t="str">
        <f>IFERROR(__xludf.DUMMYFUNCTION("GOOGLETRANSLATE(B3851, ""fr"", ""en"")"),"Okay products in line with expectations")</f>
        <v>Okay products in line with expectations</v>
      </c>
    </row>
    <row r="3852">
      <c r="A3852" s="1">
        <v>5.0</v>
      </c>
      <c r="B3852" s="1" t="s">
        <v>3815</v>
      </c>
      <c r="C3852" t="str">
        <f>IFERROR(__xludf.DUMMYFUNCTION("GOOGLETRANSLATE(B3852, ""fr"", ""en"")"),"nothing Satisfied")</f>
        <v>nothing Satisfied</v>
      </c>
    </row>
    <row r="3853">
      <c r="A3853" s="1">
        <v>5.0</v>
      </c>
      <c r="B3853" s="1" t="s">
        <v>3816</v>
      </c>
      <c r="C3853" t="str">
        <f>IFERROR(__xludf.DUMMYFUNCTION("GOOGLETRANSLATE(B3853, ""fr"", ""en"")"),"Very satisfied very comfortable shoes for hiking Ideal Command super")</f>
        <v>Very satisfied very comfortable shoes for hiking Ideal Command super</v>
      </c>
    </row>
    <row r="3854">
      <c r="A3854" s="1">
        <v>5.0</v>
      </c>
      <c r="B3854" s="1" t="s">
        <v>3817</v>
      </c>
      <c r="C3854" t="str">
        <f>IFERROR(__xludf.DUMMYFUNCTION("GOOGLETRANSLATE(B3854, ""fr"", ""en"")"),"A great pair! So classes and ultra comfortable! An alternative to the super StanSmith that everyone wears. It is worn with everything")</f>
        <v>A great pair! So classes and ultra comfortable! An alternative to the super StanSmith that everyone wears. It is worn with everything</v>
      </c>
    </row>
    <row r="3855">
      <c r="A3855" s="1">
        <v>5.0</v>
      </c>
      <c r="B3855" s="1" t="s">
        <v>3818</v>
      </c>
      <c r="C3855" t="str">
        <f>IFERROR(__xludf.DUMMYFUNCTION("GOOGLETRANSLATE(B3855, ""fr"", ""en"")"),"ink cartridge 541 canon xl attractive price, high capacity, fast delivery")</f>
        <v>ink cartridge 541 canon xl attractive price, high capacity, fast delivery</v>
      </c>
    </row>
    <row r="3856">
      <c r="A3856" s="1">
        <v>5.0</v>
      </c>
      <c r="B3856" s="1" t="s">
        <v>3819</v>
      </c>
      <c r="C3856" t="str">
        <f>IFERROR(__xludf.DUMMYFUNCTION("GOOGLETRANSLATE(B3856, ""fr"", ""en"")"),"Top Awesome")</f>
        <v>Top Awesome</v>
      </c>
    </row>
    <row r="3857">
      <c r="A3857" s="1">
        <v>5.0</v>
      </c>
      <c r="B3857" s="1" t="s">
        <v>3820</v>
      </c>
      <c r="C3857" t="str">
        <f>IFERROR(__xludf.DUMMYFUNCTION("GOOGLETRANSLATE(B3857, ""fr"", ""en"")"),"Impeccable, disappointed 5 days 7 7:30 / days in and zero worries, is doing well, no pain. Warning some colleagues wanted tested but wide feet feel pain on the right or left at the shell")</f>
        <v>Impeccable, disappointed 5 days 7 7:30 / days in and zero worries, is doing well, no pain. Warning some colleagues wanted tested but wide feet feel pain on the right or left at the shell</v>
      </c>
    </row>
    <row r="3858">
      <c r="A3858" s="1">
        <v>2.0</v>
      </c>
      <c r="B3858" s="1" t="s">
        <v>3821</v>
      </c>
      <c r="C3858" t="str">
        <f>IFERROR(__xludf.DUMMYFUNCTION("GOOGLETRANSLATE(B3858, ""fr"", ""en"")"),"Leather renovation. Product not terrible, did not cracking off again on a leather sofa, and removes color. I'm disappointed.")</f>
        <v>Leather renovation. Product not terrible, did not cracking off again on a leather sofa, and removes color. I'm disappointed.</v>
      </c>
    </row>
    <row r="3859">
      <c r="A3859" s="1">
        <v>1.0</v>
      </c>
      <c r="B3859" s="1" t="s">
        <v>3822</v>
      </c>
      <c r="C3859" t="str">
        <f>IFERROR(__xludf.DUMMYFUNCTION("GOOGLETRANSLATE(B3859, ""fr"", ""en"")"),"the price does not match the product (too expensive) impossible to match day and date !!!")</f>
        <v>the price does not match the product (too expensive) impossible to match day and date !!!</v>
      </c>
    </row>
    <row r="3860">
      <c r="A3860" s="1">
        <v>1.0</v>
      </c>
      <c r="B3860" s="1" t="s">
        <v>3823</v>
      </c>
      <c r="C3860" t="str">
        <f>IFERROR(__xludf.DUMMYFUNCTION("GOOGLETRANSLATE(B3860, ""fr"", ""en"")"),"Too small You take one size bigger!")</f>
        <v>Too small You take one size bigger!</v>
      </c>
    </row>
    <row r="3861">
      <c r="A3861" s="1">
        <v>3.0</v>
      </c>
      <c r="B3861" s="1" t="s">
        <v>3824</v>
      </c>
      <c r="C3861" t="str">
        <f>IFERROR(__xludf.DUMMYFUNCTION("GOOGLETRANSLATE(B3861, ""fr"", ""en"")"),"I found the same beaucoup moin is expensive .. Use to walk, very fragile ...")</f>
        <v>I found the same beaucoup moin is expensive .. Use to walk, very fragile ...</v>
      </c>
    </row>
    <row r="3862">
      <c r="A3862" s="1">
        <v>3.0</v>
      </c>
      <c r="B3862" s="1" t="s">
        <v>3825</v>
      </c>
      <c r="C3862" t="str">
        <f>IFERROR(__xludf.DUMMYFUNCTION("GOOGLETRANSLATE(B3862, ""fr"", ""en"")"),"Not good value value for money compared But pity the opening must be with another hands no button Auto Aperture")</f>
        <v>Not good value value for money compared But pity the opening must be with another hands no button Auto Aperture</v>
      </c>
    </row>
    <row r="3863">
      <c r="A3863" s="1">
        <v>4.0</v>
      </c>
      <c r="B3863" s="1" t="s">
        <v>3826</v>
      </c>
      <c r="C3863" t="str">
        <f>IFERROR(__xludf.DUMMYFUNCTION("GOOGLETRANSLATE(B3863, ""fr"", ""en"")"),"Very nice to use songs at parties with friends")</f>
        <v>Very nice to use songs at parties with friends</v>
      </c>
    </row>
    <row r="3864">
      <c r="A3864" s="1">
        <v>4.0</v>
      </c>
      <c r="B3864" s="1" t="s">
        <v>3827</v>
      </c>
      <c r="C3864" t="str">
        <f>IFERROR(__xludf.DUMMYFUNCTION("GOOGLETRANSLATE(B3864, ""fr"", ""en"")"),"Super hot to walk in the house when it's cold, but wear with a shirt underneath because the seams scrape a bit ;-)")</f>
        <v>Super hot to walk in the house when it's cold, but wear with a shirt underneath because the seams scrape a bit ;-)</v>
      </c>
    </row>
    <row r="3865">
      <c r="A3865" s="1">
        <v>4.0</v>
      </c>
      <c r="B3865" s="1" t="s">
        <v>3828</v>
      </c>
      <c r="C3865" t="str">
        <f>IFERROR(__xludf.DUMMYFUNCTION("GOOGLETRANSLATE(B3865, ""fr"", ""en"")"),"Beautiful but stylish outerwear is a bit wide")</f>
        <v>Beautiful but stylish outerwear is a bit wide</v>
      </c>
    </row>
    <row r="3866">
      <c r="A3866" s="1">
        <v>4.0</v>
      </c>
      <c r="B3866" s="1" t="s">
        <v>3829</v>
      </c>
      <c r="C3866" t="str">
        <f>IFERROR(__xludf.DUMMYFUNCTION("GOOGLETRANSLATE(B3866, ""fr"", ""en"")"),"Done appears fragile job for the live between a controller and social networks")</f>
        <v>Done appears fragile job for the live between a controller and social networks</v>
      </c>
    </row>
    <row r="3867">
      <c r="A3867" s="1">
        <v>5.0</v>
      </c>
      <c r="B3867" s="1" t="s">
        <v>3830</v>
      </c>
      <c r="C3867" t="str">
        <f>IFERROR(__xludf.DUMMYFUNCTION("GOOGLETRANSLATE(B3867, ""fr"", ""en"")"),"Very good super comfortable Great product and received the right size I can do without it I'll even order in another color")</f>
        <v>Very good super comfortable Great product and received the right size I can do without it I'll even order in another color</v>
      </c>
    </row>
    <row r="3868">
      <c r="A3868" s="1">
        <v>5.0</v>
      </c>
      <c r="B3868" s="1" t="s">
        <v>3831</v>
      </c>
      <c r="C3868" t="str">
        <f>IFERROR(__xludf.DUMMYFUNCTION("GOOGLETRANSLATE(B3868, ""fr"", ""en"")"),"Large envelopes super quality As always with Clairefontaine products that I use for my college years, great quality. These envelopes are big and strong.")</f>
        <v>Large envelopes super quality As always with Clairefontaine products that I use for my college years, great quality. These envelopes are big and strong.</v>
      </c>
    </row>
    <row r="3869">
      <c r="A3869" s="1">
        <v>5.0</v>
      </c>
      <c r="B3869" s="1" t="s">
        <v>3832</v>
      </c>
      <c r="C3869" t="str">
        <f>IFERROR(__xludf.DUMMYFUNCTION("GOOGLETRANSLATE(B3869, ""fr"", ""en"")"),"Very Good Good, makes his job")</f>
        <v>Very Good Good, makes his job</v>
      </c>
    </row>
    <row r="3870">
      <c r="A3870" s="1">
        <v>5.0</v>
      </c>
      <c r="B3870" s="1" t="s">
        <v>3833</v>
      </c>
      <c r="C3870" t="str">
        <f>IFERROR(__xludf.DUMMYFUNCTION("GOOGLETRANSLATE(B3870, ""fr"", ""en"")"),"Perfect is perfect! Thick curve well and he made a very beautiful silhouette I use for fever, it is very nice, tall, I feel very well moving and well maintained I highly recommend")</f>
        <v>Perfect is perfect! Thick curve well and he made a very beautiful silhouette I use for fever, it is very nice, tall, I feel very well moving and well maintained I highly recommend</v>
      </c>
    </row>
    <row r="3871">
      <c r="A3871" s="1">
        <v>5.0</v>
      </c>
      <c r="B3871" s="1" t="s">
        <v>3834</v>
      </c>
      <c r="C3871" t="str">
        <f>IFERROR(__xludf.DUMMYFUNCTION("GOOGLETRANSLATE(B3871, ""fr"", ""en"")"),"simple but very comfortable to wear a very simplistic but shows enough as it is for everyday wear is comfortable to wear and fits very simple outfit but pretty!")</f>
        <v>simple but very comfortable to wear a very simplistic but shows enough as it is for everyday wear is comfortable to wear and fits very simple outfit but pretty!</v>
      </c>
    </row>
    <row r="3872">
      <c r="A3872" s="1">
        <v>5.0</v>
      </c>
      <c r="B3872" s="1" t="s">
        <v>3835</v>
      </c>
      <c r="C3872" t="str">
        <f>IFERROR(__xludf.DUMMYFUNCTION("GOOGLETRANSLATE(B3872, ""fr"", ""en"")"),"Great Value These jackets are of good quality, with very nice colors. However if you are looking for good support, go your way, they are not made for ça.Au waist, I will say that M would go 85B / C 90B / C.")</f>
        <v>Great Value These jackets are of good quality, with very nice colors. However if you are looking for good support, go your way, they are not made for ça.Au waist, I will say that M would go 85B / C 90B / C.</v>
      </c>
    </row>
    <row r="3873">
      <c r="A3873" s="1">
        <v>5.0</v>
      </c>
      <c r="B3873" s="1" t="s">
        <v>3836</v>
      </c>
      <c r="C3873" t="str">
        <f>IFERROR(__xludf.DUMMYFUNCTION("GOOGLETRANSLATE(B3873, ""fr"", ""en"")"),"HP cartridge lot I bought this lot of HP ink cartridges for my printer. They are similar to the ones I usually buy in supermarket unless I paid this lot a lot cheaper. The cartridges are really consistent and identical. No problem after 15 days of use. I "&amp;"recommend. Feel free to click if you find my review helpful.")</f>
        <v>HP cartridge lot I bought this lot of HP ink cartridges for my printer. They are similar to the ones I usually buy in supermarket unless I paid this lot a lot cheaper. The cartridges are really consistent and identical. No problem after 15 days of use. I recommend. Feel free to click if you find my review helpful.</v>
      </c>
    </row>
    <row r="3874">
      <c r="A3874" s="1">
        <v>5.0</v>
      </c>
      <c r="B3874" s="1" t="s">
        <v>1288</v>
      </c>
      <c r="C3874" t="str">
        <f>IFERROR(__xludf.DUMMYFUNCTION("GOOGLETRANSLATE(B3874, ""fr"", ""en"")"),"perfect perfect")</f>
        <v>perfect perfect</v>
      </c>
    </row>
    <row r="3875">
      <c r="A3875" s="1">
        <v>5.0</v>
      </c>
      <c r="B3875" s="1" t="s">
        <v>3837</v>
      </c>
      <c r="C3875" t="str">
        <f>IFERROR(__xludf.DUMMYFUNCTION("GOOGLETRANSLATE(B3875, ""fr"", ""en"")"),"bag handy great product with multiple storage")</f>
        <v>bag handy great product with multiple storage</v>
      </c>
    </row>
    <row r="3876">
      <c r="A3876" s="1">
        <v>5.0</v>
      </c>
      <c r="B3876" s="1" t="s">
        <v>3838</v>
      </c>
      <c r="C3876" t="str">
        <f>IFERROR(__xludf.DUMMYFUNCTION("GOOGLETRANSLATE(B3876, ""fr"", ""en"")"),"Pretty little stickers Great Value! My 18 month old son was delighted! By cons they are really small.")</f>
        <v>Pretty little stickers Great Value! My 18 month old son was delighted! By cons they are really small.</v>
      </c>
    </row>
    <row r="3877">
      <c r="A3877" s="1">
        <v>5.0</v>
      </c>
      <c r="B3877" s="1" t="s">
        <v>3839</v>
      </c>
      <c r="C3877" t="str">
        <f>IFERROR(__xludf.DUMMYFUNCTION("GOOGLETRANSLATE(B3877, ""fr"", ""en"")"),"Okay great size but I kept still. Very good quality, very comfortable")</f>
        <v>Okay great size but I kept still. Very good quality, very comfortable</v>
      </c>
    </row>
    <row r="3878">
      <c r="A3878" s="1">
        <v>5.0</v>
      </c>
      <c r="B3878" s="1" t="s">
        <v>3840</v>
      </c>
      <c r="C3878" t="str">
        <f>IFERROR(__xludf.DUMMYFUNCTION("GOOGLETRANSLATE(B3878, ""fr"", ""en"")"),"Comment Twine good for plant suspended.")</f>
        <v>Comment Twine good for plant suspended.</v>
      </c>
    </row>
    <row r="3879">
      <c r="A3879" s="1">
        <v>5.0</v>
      </c>
      <c r="B3879" s="1" t="s">
        <v>3841</v>
      </c>
      <c r="C3879" t="str">
        <f>IFERROR(__xludf.DUMMYFUNCTION("GOOGLETRANSLATE(B3879, ""fr"", ""en"")"),"Idea for a gift I bought this toaster to offer it, and the person is very happy. Convenient, fast, design and received overnight.")</f>
        <v>Idea for a gift I bought this toaster to offer it, and the person is very happy. Convenient, fast, design and received overnight.</v>
      </c>
    </row>
    <row r="3880">
      <c r="A3880" s="1">
        <v>5.0</v>
      </c>
      <c r="B3880" s="1" t="s">
        <v>3842</v>
      </c>
      <c r="C3880" t="str">
        <f>IFERROR(__xludf.DUMMYFUNCTION("GOOGLETRANSLATE(B3880, ""fr"", ""en"")"),"Tasty lot, perfect for a birthday gift! Lot compliance with the Amazon description, no surprises. The bottles are very strong, the opening is large enough to be comfortable when filling the milk and naked cleaning. The color holds well, no problem even wa"&amp;"sh in the dishwasher. Pack complete, it plaiera much as a birth gift.")</f>
        <v>Tasty lot, perfect for a birthday gift! Lot compliance with the Amazon description, no surprises. The bottles are very strong, the opening is large enough to be comfortable when filling the milk and naked cleaning. The color holds well, no problem even wash in the dishwasher. Pack complete, it plaiera much as a birth gift.</v>
      </c>
    </row>
    <row r="3881">
      <c r="A3881" s="1">
        <v>5.0</v>
      </c>
      <c r="B3881" s="1" t="s">
        <v>3843</v>
      </c>
      <c r="C3881" t="str">
        <f>IFERROR(__xludf.DUMMYFUNCTION("GOOGLETRANSLATE(B3881, ""fr"", ""en"")"),"A beautiful accessed automatic watch. How to provide automatic arms without leaving a will? In moving towards these SEIKO 5. A proven mechanism, certainly not made in Japan, but that poses no particular problems. The accuracy is not evil, far from Swiss s"&amp;"tandards, but it loses or takes 15 seconds a day. So a little time setting 1 or twice a week and that's it. Moreover, what impresses me the most is the quality of the finishes. For that price I find baffling.")</f>
        <v>A beautiful accessed automatic watch. How to provide automatic arms without leaving a will? In moving towards these SEIKO 5. A proven mechanism, certainly not made in Japan, but that poses no particular problems. The accuracy is not evil, far from Swiss standards, but it loses or takes 15 seconds a day. So a little time setting 1 or twice a week and that's it. Moreover, what impresses me the most is the quality of the finishes. For that price I find baffling.</v>
      </c>
    </row>
    <row r="3882">
      <c r="A3882" s="1">
        <v>2.0</v>
      </c>
      <c r="B3882" s="1" t="s">
        <v>3844</v>
      </c>
      <c r="C3882" t="str">
        <f>IFERROR(__xludf.DUMMYFUNCTION("GOOGLETRANSLATE(B3882, ""fr"", ""en"")"),"The broken clip attaches is not resistant at all, broken for the second day. Disappointed")</f>
        <v>The broken clip attaches is not resistant at all, broken for the second day. Disappointed</v>
      </c>
    </row>
    <row r="3883">
      <c r="A3883" s="1">
        <v>1.0</v>
      </c>
      <c r="B3883" s="1" t="s">
        <v>3845</v>
      </c>
      <c r="C3883" t="str">
        <f>IFERROR(__xludf.DUMMYFUNCTION("GOOGLETRANSLATE(B3883, ""fr"", ""en"")"),"very mixed ... the loop air quality but the belt is extremely thin, incompatible with the addition of some heavy equipment ..")</f>
        <v>very mixed ... the loop air quality but the belt is extremely thin, incompatible with the addition of some heavy equipment ..</v>
      </c>
    </row>
    <row r="3884">
      <c r="A3884" s="1">
        <v>1.0</v>
      </c>
      <c r="B3884" s="1" t="s">
        <v>3846</v>
      </c>
      <c r="C3884" t="str">
        <f>IFERROR(__xludf.DUMMYFUNCTION("GOOGLETRANSLATE(B3884, ""fr"", ""en"")"),"The poor quality vest after some washing dégrage")</f>
        <v>The poor quality vest after some washing dégrage</v>
      </c>
    </row>
    <row r="3885">
      <c r="A3885" s="1">
        <v>3.0</v>
      </c>
      <c r="B3885" s="1" t="s">
        <v>3847</v>
      </c>
      <c r="C3885" t="str">
        <f>IFERROR(__xludf.DUMMYFUNCTION("GOOGLETRANSLATE(B3885, ""fr"", ""en"")"),"Very utilt Pencil useful, however we must press hard for the paint every time to get the paint")</f>
        <v>Very utilt Pencil useful, however we must press hard for the paint every time to get the paint</v>
      </c>
    </row>
    <row r="3886">
      <c r="A3886" s="1">
        <v>4.0</v>
      </c>
      <c r="B3886" s="1" t="s">
        <v>3848</v>
      </c>
      <c r="C3886" t="str">
        <f>IFERROR(__xludf.DUMMYFUNCTION("GOOGLETRANSLATE(B3886, ""fr"", ""en"")"),"To confirm ! Hello, the product is consistent with the description, except for the case Ample storage is not at all the same !!! would it be possible to have one with the mark above is described in the picture?")</f>
        <v>To confirm ! Hello, the product is consistent with the description, except for the case Ample storage is not at all the same !!! would it be possible to have one with the mark above is described in the picture?</v>
      </c>
    </row>
    <row r="3887">
      <c r="A3887" s="1">
        <v>4.0</v>
      </c>
      <c r="B3887" s="1" t="s">
        <v>3849</v>
      </c>
      <c r="C3887" t="str">
        <f>IFERROR(__xludf.DUMMYFUNCTION("GOOGLETRANSLATE(B3887, ""fr"", ""en"")"),"Good headphones but ... The Bluetooth headset has good sound and clear but no more, lacks a little low, autonomy is average (2 to 3 hours max) but more damage to me is that we can not use the headset left without right, my old ear dodocool possible.")</f>
        <v>Good headphones but ... The Bluetooth headset has good sound and clear but no more, lacks a little low, autonomy is average (2 to 3 hours max) but more damage to me is that we can not use the headset left without right, my old ear dodocool possible.</v>
      </c>
    </row>
    <row r="3888">
      <c r="A3888" s="1">
        <v>4.0</v>
      </c>
      <c r="B3888" s="1" t="s">
        <v>3850</v>
      </c>
      <c r="C3888" t="str">
        <f>IFERROR(__xludf.DUMMYFUNCTION("GOOGLETRANSLATE(B3888, ""fr"", ""en"")"),"Quality item Bel quality article, nice color, comfortable, easy to maintain. Just a caveat: despite the well respected washing instructions, tendency to pill.")</f>
        <v>Quality item Bel quality article, nice color, comfortable, easy to maintain. Just a caveat: despite the well respected washing instructions, tendency to pill.</v>
      </c>
    </row>
    <row r="3889">
      <c r="A3889" s="1">
        <v>4.0</v>
      </c>
      <c r="B3889" s="1" t="s">
        <v>3851</v>
      </c>
      <c r="C3889" t="str">
        <f>IFERROR(__xludf.DUMMYFUNCTION("GOOGLETRANSLATE(B3889, ""fr"", ""en"")"),"Puma socks I waited a bit before receiving them but they were in line with what I expected and I did not have any surprises.")</f>
        <v>Puma socks I waited a bit before receiving them but they were in line with what I expected and I did not have any surprises.</v>
      </c>
    </row>
    <row r="3890">
      <c r="A3890" s="1">
        <v>5.0</v>
      </c>
      <c r="B3890" s="1" t="s">
        <v>3852</v>
      </c>
      <c r="C3890" t="str">
        <f>IFERROR(__xludf.DUMMYFUNCTION("GOOGLETRANSLATE(B3890, ""fr"", ""en"")"),"Hyper comfortable Very good value for money. This is my second pair. Wears out after a year and hundreds of km.")</f>
        <v>Hyper comfortable Very good value for money. This is my second pair. Wears out after a year and hundreds of km.</v>
      </c>
    </row>
    <row r="3891">
      <c r="A3891" s="1">
        <v>5.0</v>
      </c>
      <c r="B3891" s="1" t="s">
        <v>3853</v>
      </c>
      <c r="C3891" t="str">
        <f>IFERROR(__xludf.DUMMYFUNCTION("GOOGLETRANSLATE(B3891, ""fr"", ""en"")"),"Comfort Very comfortable, I have the impression of being in slippers.")</f>
        <v>Comfort Very comfortable, I have the impression of being in slippers.</v>
      </c>
    </row>
    <row r="3892">
      <c r="A3892" s="1">
        <v>5.0</v>
      </c>
      <c r="B3892" s="1" t="s">
        <v>3854</v>
      </c>
      <c r="C3892" t="str">
        <f>IFERROR(__xludf.DUMMYFUNCTION("GOOGLETRANSLATE(B3892, ""fr"", ""en"")"),"PERFECT Works also in the cellar and next to my apartment two doors closed with headphones AND WITHOUT PHONE POCKET lA HEADPHONES WORK VERY WELL.")</f>
        <v>PERFECT Works also in the cellar and next to my apartment two doors closed with headphones AND WITHOUT PHONE POCKET lA HEADPHONES WORK VERY WELL.</v>
      </c>
    </row>
    <row r="3893">
      <c r="A3893" s="1">
        <v>5.0</v>
      </c>
      <c r="B3893" s="1" t="s">
        <v>3855</v>
      </c>
      <c r="C3893" t="str">
        <f>IFERROR(__xludf.DUMMYFUNCTION("GOOGLETRANSLATE(B3893, ""fr"", ""en"")"),"Good product Good product that seems good and more is pretty.")</f>
        <v>Good product Good product that seems good and more is pretty.</v>
      </c>
    </row>
    <row r="3894">
      <c r="A3894" s="1">
        <v>5.0</v>
      </c>
      <c r="B3894" s="1" t="s">
        <v>3856</v>
      </c>
      <c r="C3894" t="str">
        <f>IFERROR(__xludf.DUMMYFUNCTION("GOOGLETRANSLATE(B3894, ""fr"", ""en"")"),"Super Super collar is included vvment Christmas hihi")</f>
        <v>Super Super collar is included vvment Christmas hihi</v>
      </c>
    </row>
    <row r="3895">
      <c r="A3895" s="1">
        <v>5.0</v>
      </c>
      <c r="B3895" s="1" t="s">
        <v>3857</v>
      </c>
      <c r="C3895" t="str">
        <f>IFERROR(__xludf.DUMMYFUNCTION("GOOGLETRANSLATE(B3895, ""fr"", ""en"")"),"Superb! Puma, a brand that I love because it take a long time, not just 2 years as Nxxx! She is really pretty, the red button at the back gives it a Whou effect. The cushioned heel level is top thanks to this red matter. In front of the sole is very thin,"&amp;" ideal for car drivers in grass Excellent touched pedals, it all feels. The finish is exemplary, the only complaint is that the shoe is fairly thin before, and I have the broad feet. In short pump on top not so expensive that eventually ca.")</f>
        <v>Superb! Puma, a brand that I love because it take a long time, not just 2 years as Nxxx! She is really pretty, the red button at the back gives it a Whou effect. The cushioned heel level is top thanks to this red matter. In front of the sole is very thin, ideal for car drivers in grass Excellent touched pedals, it all feels. The finish is exemplary, the only complaint is that the shoe is fairly thin before, and I have the broad feet. In short pump on top not so expensive that eventually ca.</v>
      </c>
    </row>
    <row r="3896">
      <c r="A3896" s="1">
        <v>5.0</v>
      </c>
      <c r="B3896" s="1" t="s">
        <v>3858</v>
      </c>
      <c r="C3896" t="str">
        <f>IFERROR(__xludf.DUMMYFUNCTION("GOOGLETRANSLATE(B3896, ""fr"", ""en"")"),"beautiful watch beautiful watch sports, I love Suunto, and cheap. 10 years ago it cost twice. I saw a coupon here for just 100 euros and some ... I paid more but no regrets. Suunto the problem was to change the battery, problem solved, we can not get any "&amp;"easier and the battery less than 2 euros to change oneself.")</f>
        <v>beautiful watch beautiful watch sports, I love Suunto, and cheap. 10 years ago it cost twice. I saw a coupon here for just 100 euros and some ... I paid more but no regrets. Suunto the problem was to change the battery, problem solved, we can not get any easier and the battery less than 2 euros to change oneself.</v>
      </c>
    </row>
    <row r="3897">
      <c r="A3897" s="1">
        <v>5.0</v>
      </c>
      <c r="B3897" s="1" t="s">
        <v>3859</v>
      </c>
      <c r="C3897" t="str">
        <f>IFERROR(__xludf.DUMMYFUNCTION("GOOGLETRANSLATE(B3897, ""fr"", ""en"")"),"100% cotton Pleasantly surprised by this 100% cotton pants, I expected much worse given the price. It is incredibly soft but is still well within the wide elastic greenhouse does not belly and size is good. Very happy.")</f>
        <v>100% cotton Pleasantly surprised by this 100% cotton pants, I expected much worse given the price. It is incredibly soft but is still well within the wide elastic greenhouse does not belly and size is good. Very happy.</v>
      </c>
    </row>
    <row r="3898">
      <c r="A3898" s="1">
        <v>5.0</v>
      </c>
      <c r="B3898" s="1" t="s">
        <v>3860</v>
      </c>
      <c r="C3898" t="str">
        <f>IFERROR(__xludf.DUMMYFUNCTION("GOOGLETRANSLATE(B3898, ""fr"", ""en"")"),"Well take a size up")</f>
        <v>Well take a size up</v>
      </c>
    </row>
    <row r="3899">
      <c r="A3899" s="1">
        <v>5.0</v>
      </c>
      <c r="B3899" s="1" t="s">
        <v>3861</v>
      </c>
      <c r="C3899" t="str">
        <f>IFERROR(__xludf.DUMMYFUNCTION("GOOGLETRANSLATE(B3899, ""fr"", ""en"")"),"of impeccable quality dialogue and even to record a musical instrument")</f>
        <v>of impeccable quality dialogue and even to record a musical instrument</v>
      </c>
    </row>
    <row r="3900">
      <c r="A3900" s="1">
        <v>5.0</v>
      </c>
      <c r="B3900" s="1" t="s">
        <v>1687</v>
      </c>
      <c r="C3900" t="str">
        <f>IFERROR(__xludf.DUMMYFUNCTION("GOOGLETRANSLATE(B3900, ""fr"", ""en"")"),"Super Super")</f>
        <v>Super Super</v>
      </c>
    </row>
    <row r="3901">
      <c r="A3901" s="1">
        <v>5.0</v>
      </c>
      <c r="B3901" s="1" t="s">
        <v>3862</v>
      </c>
      <c r="C3901" t="str">
        <f>IFERROR(__xludf.DUMMYFUNCTION("GOOGLETRANSLATE(B3901, ""fr"", ""en"")"),"Beautiful design Fast bit noisy, pretty")</f>
        <v>Beautiful design Fast bit noisy, pretty</v>
      </c>
    </row>
    <row r="3902">
      <c r="A3902" s="1">
        <v>5.0</v>
      </c>
      <c r="B3902" s="1" t="s">
        <v>3863</v>
      </c>
      <c r="C3902" t="str">
        <f>IFERROR(__xludf.DUMMYFUNCTION("GOOGLETRANSLATE(B3902, ""fr"", ""en"")"),"Very satisfied Used by a teenager, this headset the delights. Indeed sound rendering and design are worthy of a great brand !! The headphones fall into a box that in addition to protecting the recharge. They can adapt, thanks to several tips, the whole fa"&amp;"mily. The association bluetooth is very easy, tactile buttons are intuitive to use volume and changes in beaches on both headphones. One can also use it to call the record is largely satisfactory.")</f>
        <v>Very satisfied Used by a teenager, this headset the delights. Indeed sound rendering and design are worthy of a great brand !! The headphones fall into a box that in addition to protecting the recharge. They can adapt, thanks to several tips, the whole family. The association bluetooth is very easy, tactile buttons are intuitive to use volume and changes in beaches on both headphones. One can also use it to call the record is largely satisfactory.</v>
      </c>
    </row>
    <row r="3903">
      <c r="A3903" s="1">
        <v>5.0</v>
      </c>
      <c r="B3903" s="1" t="s">
        <v>3864</v>
      </c>
      <c r="C3903" t="str">
        <f>IFERROR(__xludf.DUMMYFUNCTION("GOOGLETRANSLATE(B3903, ""fr"", ""en"")"),"Very well ! Use for my revisions, these highlighters are very practical, clear (the color is not too dark) Easy to use, I recommend!")</f>
        <v>Very well ! Use for my revisions, these highlighters are very practical, clear (the color is not too dark) Easy to use, I recommend!</v>
      </c>
    </row>
    <row r="3904">
      <c r="A3904" s="1">
        <v>5.0</v>
      </c>
      <c r="B3904" s="1" t="s">
        <v>3865</v>
      </c>
      <c r="C3904" t="str">
        <f>IFERROR(__xludf.DUMMYFUNCTION("GOOGLETRANSLATE(B3904, ""fr"", ""en"")"),"Perfect Perfect size. Height as the slightly higher picture ankle! Very good qualities. I recommend!")</f>
        <v>Perfect Perfect size. Height as the slightly higher picture ankle! Very good qualities. I recommend!</v>
      </c>
    </row>
    <row r="3905">
      <c r="A3905" s="1">
        <v>2.0</v>
      </c>
      <c r="B3905" s="1" t="s">
        <v>3866</v>
      </c>
      <c r="C3905" t="str">
        <f>IFERROR(__xludf.DUMMYFUNCTION("GOOGLETRANSLATE(B3905, ""fr"", ""en"")"),"Quality ed. Bad quality.")</f>
        <v>Quality ed. Bad quality.</v>
      </c>
    </row>
    <row r="3906">
      <c r="A3906" s="1">
        <v>1.0</v>
      </c>
      <c r="B3906" s="1" t="s">
        <v>3867</v>
      </c>
      <c r="C3906" t="str">
        <f>IFERROR(__xludf.DUMMYFUNCTION("GOOGLETRANSLATE(B3906, ""fr"", ""en"")"),"That sucks It's been 6 months since I bought JBL Bluetooth listen on amazon. at the beginning it is good but after 6 months on, 40 € lost mouvais quality, never bought JBL listen !!!")</f>
        <v>That sucks It's been 6 months since I bought JBL Bluetooth listen on amazon. at the beginning it is good but after 6 months on, 40 € lost mouvais quality, never bought JBL listen !!!</v>
      </c>
    </row>
    <row r="3907">
      <c r="A3907" s="1">
        <v>3.0</v>
      </c>
      <c r="B3907" s="1" t="s">
        <v>3868</v>
      </c>
      <c r="C3907" t="str">
        <f>IFERROR(__xludf.DUMMYFUNCTION("GOOGLETRANSLATE(B3907, ""fr"", ""en"")"),"Bcp too small. Disappointed pant that's too small I play 46 and I took the larger size. Back Free by cons but here 2nd pants received sick of return. And the average quality textiles. At this price we can find better.")</f>
        <v>Bcp too small. Disappointed pant that's too small I play 46 and I took the larger size. Back Free by cons but here 2nd pants received sick of return. And the average quality textiles. At this price we can find better.</v>
      </c>
    </row>
    <row r="3908">
      <c r="A3908" s="1">
        <v>3.0</v>
      </c>
      <c r="B3908" s="1" t="s">
        <v>3869</v>
      </c>
      <c r="C3908" t="str">
        <f>IFERROR(__xludf.DUMMYFUNCTION("GOOGLETRANSLATE(B3908, ""fr"", ""en"")"),"Bad multiple pockets and well agancées. ample capacity. The internal dimensions allow a place there (several) spiral notebook A4 smoothly. I am less optimistic in terms of the fabric. It is thick and very resistant but a faded brown with sometimes ""mottl"&amp;"ing"" washing. Furthermore the closure system pockets with magnet is not very convenient. The magnets are feeble and you really properly position the flaps so that they aimentent. 2 small inner pockets (such as mobile / badge) - 1 grd zipped inner bag 1 g"&amp;"rd zipped pocket ext - 2 small pockets ext flap magnetized. My advice for a vintage style-casual.")</f>
        <v>Bad multiple pockets and well agancées. ample capacity. The internal dimensions allow a place there (several) spiral notebook A4 smoothly. I am less optimistic in terms of the fabric. It is thick and very resistant but a faded brown with sometimes "mottling" washing. Furthermore the closure system pockets with magnet is not very convenient. The magnets are feeble and you really properly position the flaps so that they aimentent. 2 small inner pockets (such as mobile / badge) - 1 grd zipped inner bag 1 grd zipped pocket ext - 2 small pockets ext flap magnetized. My advice for a vintage style-casual.</v>
      </c>
    </row>
    <row r="3909">
      <c r="A3909" s="1">
        <v>4.0</v>
      </c>
      <c r="B3909" s="1" t="s">
        <v>3870</v>
      </c>
      <c r="C3909" t="str">
        <f>IFERROR(__xludf.DUMMYFUNCTION("GOOGLETRANSLATE(B3909, ""fr"", ""en"")"),"Attractive ring. A little dull. So yes the ring is rather pretty, she is as light. The only negative in my eyes: blue in the photo is greatly exaggerated compared to reality. So the real effect gives a very dark appearance. Also note that it is not smooth"&amp;", the border is in print (there is a hollow between two black bars) and personally I do not like. After it is quite nice. Maybe a little expensive for what it is in the end.")</f>
        <v>Attractive ring. A little dull. So yes the ring is rather pretty, she is as light. The only negative in my eyes: blue in the photo is greatly exaggerated compared to reality. So the real effect gives a very dark appearance. Also note that it is not smooth, the border is in print (there is a hollow between two black bars) and personally I do not like. After it is quite nice. Maybe a little expensive for what it is in the end.</v>
      </c>
    </row>
    <row r="3910">
      <c r="A3910" s="1">
        <v>4.0</v>
      </c>
      <c r="B3910" s="1" t="s">
        <v>3871</v>
      </c>
      <c r="C3910" t="str">
        <f>IFERROR(__xludf.DUMMYFUNCTION("GOOGLETRANSLATE(B3910, ""fr"", ""en"")"),"good but beware dimension")</f>
        <v>good but beware dimension</v>
      </c>
    </row>
    <row r="3911">
      <c r="A3911" s="1">
        <v>4.0</v>
      </c>
      <c r="B3911" s="1" t="s">
        <v>3872</v>
      </c>
      <c r="C3911" t="str">
        <f>IFERROR(__xludf.DUMMYFUNCTION("GOOGLETRANSLATE(B3911, ""fr"", ""en"")"),"Very well very well. Good product. Sent quickly. The leather is not of excellent quality, but according to the price.")</f>
        <v>Very well very well. Good product. Sent quickly. The leather is not of excellent quality, but according to the price.</v>
      </c>
    </row>
    <row r="3912">
      <c r="A3912" s="1">
        <v>4.0</v>
      </c>
      <c r="B3912" s="1" t="s">
        <v>3873</v>
      </c>
      <c r="C3912" t="str">
        <f>IFERROR(__xludf.DUMMYFUNCTION("GOOGLETRANSLATE(B3912, ""fr"", ""en"")"),"Easy to change, right impression I chose this bracelet to replace one of my Nokia Steel HR which is provoked me saying silicone allergies and burns. Delighted with my purchase, easy to change and adjust. Now to see the long term ... For now I suggest. Ver"&amp;"y pretty.")</f>
        <v>Easy to change, right impression I chose this bracelet to replace one of my Nokia Steel HR which is provoked me saying silicone allergies and burns. Delighted with my purchase, easy to change and adjust. Now to see the long term ... For now I suggest. Very pretty.</v>
      </c>
    </row>
    <row r="3913">
      <c r="A3913" s="1">
        <v>5.0</v>
      </c>
      <c r="B3913" s="1" t="s">
        <v>3874</v>
      </c>
      <c r="C3913" t="str">
        <f>IFERROR(__xludf.DUMMYFUNCTION("GOOGLETRANSLATE(B3913, ""fr"", ""en"")"),"Corresponds to the description, very simple to install and use this headset is easy to pair and use, it automatically pairs with the small original transmitter housing but also directly with other transmitters (a cell phone for example). The sound can be "&amp;"improved compared to a closed headphones (Music listening via portable) but great for TV, is an excellent compromise for those who want to listen to TV without disturbing those around him, the headset is very lege and quite nice to wear (unlike a closed h"&amp;"elmet), Bluetooth range is very important, even through a wall. Long battery before recharging; remains to reliability in time.")</f>
        <v>Corresponds to the description, very simple to install and use this headset is easy to pair and use, it automatically pairs with the small original transmitter housing but also directly with other transmitters (a cell phone for example). The sound can be improved compared to a closed headphones (Music listening via portable) but great for TV, is an excellent compromise for those who want to listen to TV without disturbing those around him, the headset is very lege and quite nice to wear (unlike a closed helmet), Bluetooth range is very important, even through a wall. Long battery before recharging; remains to reliability in time.</v>
      </c>
    </row>
    <row r="3914">
      <c r="A3914" s="1">
        <v>5.0</v>
      </c>
      <c r="B3914" s="1" t="s">
        <v>3875</v>
      </c>
      <c r="C3914" t="str">
        <f>IFERROR(__xludf.DUMMYFUNCTION("GOOGLETRANSLATE(B3914, ""fr"", ""en"")"),"All product ok ok except purchase I wanted to pay 4 times for free, and it did not work")</f>
        <v>All product ok ok except purchase I wanted to pay 4 times for free, and it did not work</v>
      </c>
    </row>
    <row r="3915">
      <c r="A3915" s="1">
        <v>5.0</v>
      </c>
      <c r="B3915" s="1" t="s">
        <v>3876</v>
      </c>
      <c r="C3915" t="str">
        <f>IFERROR(__xludf.DUMMYFUNCTION("GOOGLETRANSLATE(B3915, ""fr"", ""en"")"),"The atrium design of the ear cups are very accomplished, with the little box that goes with it can be transported anywhere it's really convenient when a sound quality noise is very well insulated!")</f>
        <v>The atrium design of the ear cups are very accomplished, with the little box that goes with it can be transported anywhere it's really convenient when a sound quality noise is very well insulated!</v>
      </c>
    </row>
    <row r="3916">
      <c r="A3916" s="1">
        <v>5.0</v>
      </c>
      <c r="B3916" s="1" t="s">
        <v>3877</v>
      </c>
      <c r="C3916" t="str">
        <f>IFERROR(__xludf.DUMMYFUNCTION("GOOGLETRANSLATE(B3916, ""fr"", ""en"")"),"Very good buy very satisfied with this product, having already replaced once the charger from my SoundLink speaker III by an official charger Bose (despite a pregnant high quality, Bose has the annoying habit like Apple to charge for replacement parts to "&amp;"a excessive price), I decided this time to turn towards a more affordable generic product. The only difference noted with an official charger is in price. The charge is fast and robust connectivity, I recommend.")</f>
        <v>Very good buy very satisfied with this product, having already replaced once the charger from my SoundLink speaker III by an official charger Bose (despite a pregnant high quality, Bose has the annoying habit like Apple to charge for replacement parts to a excessive price), I decided this time to turn towards a more affordable generic product. The only difference noted with an official charger is in price. The charge is fast and robust connectivity, I recommend.</v>
      </c>
    </row>
    <row r="3917">
      <c r="A3917" s="1">
        <v>5.0</v>
      </c>
      <c r="B3917" s="1" t="s">
        <v>3878</v>
      </c>
      <c r="C3917" t="str">
        <f>IFERROR(__xludf.DUMMYFUNCTION("GOOGLETRANSLATE(B3917, ""fr"", ""en"")"),"Recommends Bought a first time, satisfied with the product, very good value, good size")</f>
        <v>Recommends Bought a first time, satisfied with the product, very good value, good size</v>
      </c>
    </row>
    <row r="3918">
      <c r="A3918" s="1">
        <v>5.0</v>
      </c>
      <c r="B3918" s="1" t="s">
        <v>3879</v>
      </c>
      <c r="C3918" t="str">
        <f>IFERROR(__xludf.DUMMYFUNCTION("GOOGLETRANSLATE(B3918, ""fr"", ""en"")"),"RAS Good product. I was looking for a sterilizer that could get into my small microwave is the smallest I've found and it fits perfectly well. Large storage capacity inside. Very easy to use. Sterilizes and serves bottle dry then. I am fully satisfied wit"&amp;"h this product. Good value for money")</f>
        <v>RAS Good product. I was looking for a sterilizer that could get into my small microwave is the smallest I've found and it fits perfectly well. Large storage capacity inside. Very easy to use. Sterilizes and serves bottle dry then. I am fully satisfied with this product. Good value for money</v>
      </c>
    </row>
    <row r="3919">
      <c r="A3919" s="1">
        <v>5.0</v>
      </c>
      <c r="B3919" s="1" t="s">
        <v>3880</v>
      </c>
      <c r="C3919" t="str">
        <f>IFERROR(__xludf.DUMMYFUNCTION("GOOGLETRANSLATE(B3919, ""fr"", ""en"")"),"Convenient and useful. Fairly easy to use. Hold tight clothing if you follow the instructions .... in Spanish! (Even after washing). Quick delivery")</f>
        <v>Convenient and useful. Fairly easy to use. Hold tight clothing if you follow the instructions .... in Spanish! (Even after washing). Quick delivery</v>
      </c>
    </row>
    <row r="3920">
      <c r="A3920" s="1">
        <v>5.0</v>
      </c>
      <c r="B3920" s="1" t="s">
        <v>3881</v>
      </c>
      <c r="C3920" t="str">
        <f>IFERROR(__xludf.DUMMYFUNCTION("GOOGLETRANSLATE(B3920, ""fr"", ""en"")"),"Bracelets bracelets Very nice and good quality. Surprise for the price. I recommend")</f>
        <v>Bracelets bracelets Very nice and good quality. Surprise for the price. I recommend</v>
      </c>
    </row>
    <row r="3921">
      <c r="A3921" s="1">
        <v>5.0</v>
      </c>
      <c r="B3921" s="1" t="s">
        <v>3882</v>
      </c>
      <c r="C3921" t="str">
        <f>IFERROR(__xludf.DUMMYFUNCTION("GOOGLETRANSLATE(B3921, ""fr"", ""en"")"),"At the top for oil stains on fabric seats Worked perfectly for oil stains on fabric seat. I recommend.")</f>
        <v>At the top for oil stains on fabric seats Worked perfectly for oil stains on fabric seat. I recommend.</v>
      </c>
    </row>
    <row r="3922">
      <c r="A3922" s="1">
        <v>5.0</v>
      </c>
      <c r="B3922" s="1" t="s">
        <v>3883</v>
      </c>
      <c r="C3922" t="str">
        <f>IFERROR(__xludf.DUMMYFUNCTION("GOOGLETRANSLATE(B3922, ""fr"", ""en"")"),"Good quality / price ratio Pleasantly surprised by these headphones for the price the sound is really good, with pretty good bass, noise reduction is quite effective and they hold up well (not tested exercising because -that this is not my thing ... but I"&amp;" ^^ not n'pense it moves). Not yet tested on appeal but in any case for the music I am satisfied! (Be careful to turn the headphones 2 by cons before associating the phone if one earphone will work)")</f>
        <v>Good quality / price ratio Pleasantly surprised by these headphones for the price the sound is really good, with pretty good bass, noise reduction is quite effective and they hold up well (not tested exercising because -that this is not my thing ... but I ^^ not n'pense it moves). Not yet tested on appeal but in any case for the music I am satisfied! (Be careful to turn the headphones 2 by cons before associating the phone if one earphone will work)</v>
      </c>
    </row>
    <row r="3923">
      <c r="A3923" s="1">
        <v>5.0</v>
      </c>
      <c r="B3923" s="1" t="s">
        <v>3884</v>
      </c>
      <c r="C3923" t="str">
        <f>IFERROR(__xludf.DUMMYFUNCTION("GOOGLETRANSLATE(B3923, ""fr"", ""en"")"),"Great ! Great product. Light but stick to the feet. Good quanlité price. I think in other color recommended")</f>
        <v>Great ! Great product. Light but stick to the feet. Good quanlité price. I think in other color recommended</v>
      </c>
    </row>
    <row r="3924">
      <c r="A3924" s="1">
        <v>5.0</v>
      </c>
      <c r="B3924" s="1" t="s">
        <v>3885</v>
      </c>
      <c r="C3924" t="str">
        <f>IFERROR(__xludf.DUMMYFUNCTION("GOOGLETRANSLATE(B3924, ""fr"", ""en"")"),"Top Tailoring to my printer related products to its description")</f>
        <v>Top Tailoring to my printer related products to its description</v>
      </c>
    </row>
    <row r="3925">
      <c r="A3925" s="1">
        <v>5.0</v>
      </c>
      <c r="B3925" s="1" t="s">
        <v>3886</v>
      </c>
      <c r="C3925" t="str">
        <f>IFERROR(__xludf.DUMMYFUNCTION("GOOGLETRANSLATE(B3925, ""fr"", ""en"")"),"Nickel Purchased Christmas gift. They are perfect. My niece is delighted with her gift and therefore too")</f>
        <v>Nickel Purchased Christmas gift. They are perfect. My niece is delighted with her gift and therefore too</v>
      </c>
    </row>
    <row r="3926">
      <c r="A3926" s="1">
        <v>5.0</v>
      </c>
      <c r="B3926" s="1" t="s">
        <v>3887</v>
      </c>
      <c r="C3926" t="str">
        <f>IFERROR(__xludf.DUMMYFUNCTION("GOOGLETRANSLATE(B3926, ""fr"", ""en"")"),"Beautiful shoes Super shoes (Salomon) trail with Gripp From .. the only concern is to have your size. For it is complicated with Solomon (Character I took 46 normal size 44/45 so take one size bigger than your normal size")</f>
        <v>Beautiful shoes Super shoes (Salomon) trail with Gripp From .. the only concern is to have your size. For it is complicated with Solomon (Character I took 46 normal size 44/45 so take one size bigger than your normal size</v>
      </c>
    </row>
    <row r="3927">
      <c r="A3927" s="1">
        <v>5.0</v>
      </c>
      <c r="B3927" s="1" t="s">
        <v>3888</v>
      </c>
      <c r="C3927" t="str">
        <f>IFERROR(__xludf.DUMMYFUNCTION("GOOGLETRANSLATE(B3927, ""fr"", ""en"")"),"PERFECT, nothing more. Excellent product, I compared it with my free hand I set my kangoo work, and it is much better to the sound level. better hear me on the SuperTooth, pairing is very easy, short, but good product. Buy the eyes closed. It has a suppor"&amp;"t that rests on the sun visor and the SuperTooth just to magnetize it.")</f>
        <v>PERFECT, nothing more. Excellent product, I compared it with my free hand I set my kangoo work, and it is much better to the sound level. better hear me on the SuperTooth, pairing is very easy, short, but good product. Buy the eyes closed. It has a support that rests on the sun visor and the SuperTooth just to magnetize it.</v>
      </c>
    </row>
    <row r="3928">
      <c r="A3928" s="1">
        <v>2.0</v>
      </c>
      <c r="B3928" s="1" t="s">
        <v>3889</v>
      </c>
      <c r="C3928" t="str">
        <f>IFERROR(__xludf.DUMMYFUNCTION("GOOGLETRANSLATE(B3928, ""fr"", ""en"")"),"Tès disappointed I had read the reviews before buying and I was very disappointed, this faux leather bag is very steep more plastic than faux leather is more heavy even when empty. I had great difficulty in the return form in the corners of the bag had go"&amp;"ne inwards and I had the stuff of paper to restore its normal shape, I hope that when I would remove the paper will remain shaped, the other by, storytelling held it very tight zippers are very difficult to handle in the corners. It's a shame because the "&amp;"organization of this bag is very well done and is a good size. This bag will likely serve me occasionally. Conte Given its material this bag will soften pas.Si not returning is that I have difficulties to move. I really recommend!")</f>
        <v>Tès disappointed I had read the reviews before buying and I was very disappointed, this faux leather bag is very steep more plastic than faux leather is more heavy even when empty. I had great difficulty in the return form in the corners of the bag had gone inwards and I had the stuff of paper to restore its normal shape, I hope that when I would remove the paper will remain shaped, the other by, storytelling held it very tight zippers are very difficult to handle in the corners. It's a shame because the organization of this bag is very well done and is a good size. This bag will likely serve me occasionally. Conte Given its material this bag will soften pas.Si not returning is that I have difficulties to move. I really recommend!</v>
      </c>
    </row>
    <row r="3929">
      <c r="A3929" s="1">
        <v>1.0</v>
      </c>
      <c r="B3929" s="1" t="s">
        <v>3890</v>
      </c>
      <c r="C3929" t="str">
        <f>IFERROR(__xludf.DUMMYFUNCTION("GOOGLETRANSLATE(B3929, ""fr"", ""en"")"),"Too big and too heavy Use to work in a supermarket, too heavy for me over too large")</f>
        <v>Too big and too heavy Use to work in a supermarket, too heavy for me over too large</v>
      </c>
    </row>
    <row r="3930">
      <c r="A3930" s="1">
        <v>1.0</v>
      </c>
      <c r="B3930" s="1" t="s">
        <v>3891</v>
      </c>
      <c r="C3930" t="str">
        <f>IFERROR(__xludf.DUMMYFUNCTION("GOOGLETRANSLATE(B3930, ""fr"", ""en"")"),"UNACCEPTABLE thank you to sell a product, you need a NOTICE IN FRENCH I read neither German nor English AMAZON should control the product I do not know if it's a charger or batteries to replace those it WHY IS T IT IS NOT INCLUDED WITH THE PIANO IS UNACCE"&amp;"PTABLE")</f>
        <v>UNACCEPTABLE thank you to sell a product, you need a NOTICE IN FRENCH I read neither German nor English AMAZON should control the product I do not know if it's a charger or batteries to replace those it WHY IS T IT IS NOT INCLUDED WITH THE PIANO IS UNACCEPTABLE</v>
      </c>
    </row>
    <row r="3931">
      <c r="A3931" s="1">
        <v>3.0</v>
      </c>
      <c r="B3931" s="1" t="s">
        <v>3892</v>
      </c>
      <c r="C3931" t="str">
        <f>IFERROR(__xludf.DUMMYFUNCTION("GOOGLETRANSLATE(B3931, ""fr"", ""en"")"),"Beautiful jewelry fragile, but very fragile, however.")</f>
        <v>Beautiful jewelry fragile, but very fragile, however.</v>
      </c>
    </row>
    <row r="3932">
      <c r="A3932" s="1">
        <v>3.0</v>
      </c>
      <c r="B3932" s="1" t="s">
        <v>3893</v>
      </c>
      <c r="C3932" t="str">
        <f>IFERROR(__xludf.DUMMYFUNCTION("GOOGLETRANSLATE(B3932, ""fr"", ""en"")"),"Power cord too short small kettle handy, still works fine after several months of daily use. No detachable base, then it would have been better than its power cord is longer.")</f>
        <v>Power cord too short small kettle handy, still works fine after several months of daily use. No detachable base, then it would have been better than its power cord is longer.</v>
      </c>
    </row>
    <row r="3933">
      <c r="A3933" s="1">
        <v>4.0</v>
      </c>
      <c r="B3933" s="1" t="s">
        <v>3894</v>
      </c>
      <c r="C3933" t="str">
        <f>IFERROR(__xludf.DUMMYFUNCTION("GOOGLETRANSLATE(B3933, ""fr"", ""en"")"),"Good nickel product for the price. The sound is not the best strong point of this product but remains very correct for the price and it works well without disconnecting and autonomy is deviron 8am and fast charging. 1 / 2h I listen charging for 4 hours. N"&amp;"ickel. The same with better sound I live takes.")</f>
        <v>Good nickel product for the price. The sound is not the best strong point of this product but remains very correct for the price and it works well without disconnecting and autonomy is deviron 8am and fast charging. 1 / 2h I listen charging for 4 hours. Nickel. The same with better sound I live takes.</v>
      </c>
    </row>
    <row r="3934">
      <c r="A3934" s="1">
        <v>4.0</v>
      </c>
      <c r="B3934" s="1" t="s">
        <v>3895</v>
      </c>
      <c r="C3934" t="str">
        <f>IFERROR(__xludf.DUMMYFUNCTION("GOOGLETRANSLATE(B3934, ""fr"", ""en"")"),"Good Good but not 100% effective")</f>
        <v>Good Good but not 100% effective</v>
      </c>
    </row>
    <row r="3935">
      <c r="A3935" s="1">
        <v>4.0</v>
      </c>
      <c r="B3935" s="1" t="s">
        <v>3896</v>
      </c>
      <c r="C3935" t="str">
        <f>IFERROR(__xludf.DUMMYFUNCTION("GOOGLETRANSLATE(B3935, ""fr"", ""en"")"),"Glad Offered by my son for Mother's Day is a wonderful gift and I proudly. If I should give a negative aspect to this necklace is the link of the chain to close that seems a little fragile.")</f>
        <v>Glad Offered by my son for Mother's Day is a wonderful gift and I proudly. If I should give a negative aspect to this necklace is the link of the chain to close that seems a little fragile.</v>
      </c>
    </row>
    <row r="3936">
      <c r="A3936" s="1">
        <v>4.0</v>
      </c>
      <c r="B3936" s="1" t="s">
        <v>3897</v>
      </c>
      <c r="C3936" t="str">
        <f>IFERROR(__xludf.DUMMYFUNCTION("GOOGLETRANSLATE(B3936, ""fr"", ""en"")"),"My feedback is a quick feedback: + style hoody + solid air - delivered stained (model customer back?)! - great size for me, I organized the return of the product due to the approximately 1cm spot at the ventral pockets. Pity")</f>
        <v>My feedback is a quick feedback: + style hoody + solid air - delivered stained (model customer back?)! - great size for me, I organized the return of the product due to the approximately 1cm spot at the ventral pockets. Pity</v>
      </c>
    </row>
    <row r="3937">
      <c r="A3937" s="1">
        <v>5.0</v>
      </c>
      <c r="B3937" s="1" t="s">
        <v>3898</v>
      </c>
      <c r="C3937" t="str">
        <f>IFERROR(__xludf.DUMMYFUNCTION("GOOGLETRANSLATE(B3937, ""fr"", ""en"")"),"Comfortable soft light 1 Merell for me I do not regret my choice I recommend")</f>
        <v>Comfortable soft light 1 Merell for me I do not regret my choice I recommend</v>
      </c>
    </row>
    <row r="3938">
      <c r="A3938" s="1">
        <v>5.0</v>
      </c>
      <c r="B3938" s="1" t="s">
        <v>3899</v>
      </c>
      <c r="C3938" t="str">
        <f>IFERROR(__xludf.DUMMYFUNCTION("GOOGLETRANSLATE(B3938, ""fr"", ""en"")"),"The quality on top! Hello socks great! Of good quality ! Recommended, my son is very happy! Thank you")</f>
        <v>The quality on top! Hello socks great! Of good quality ! Recommended, my son is very happy! Thank you</v>
      </c>
    </row>
    <row r="3939">
      <c r="A3939" s="1">
        <v>5.0</v>
      </c>
      <c r="B3939" s="1" t="s">
        <v>3900</v>
      </c>
      <c r="C3939" t="str">
        <f>IFERROR(__xludf.DUMMYFUNCTION("GOOGLETRANSLATE(B3939, ""fr"", ""en"")"),"My favorite headphones Very good headphones, the sound quality is perfect, in addition, they are comfortable and do not hurt the ears (my ears are hypersensitive and easily damaged, the majority of the headphones to bleed). I also like that the insulation"&amp;" from outside noise is very good, but not complete. I hate the vacuum sound offered by many other headphones that makes you will not hear anything (for me it is an unpleasant sensation, and more dangerous in the street and not very practical in general). "&amp;"I really love these headphones!")</f>
        <v>My favorite headphones Very good headphones, the sound quality is perfect, in addition, they are comfortable and do not hurt the ears (my ears are hypersensitive and easily damaged, the majority of the headphones to bleed). I also like that the insulation from outside noise is very good, but not complete. I hate the vacuum sound offered by many other headphones that makes you will not hear anything (for me it is an unpleasant sensation, and more dangerous in the street and not very practical in general). I really love these headphones!</v>
      </c>
    </row>
    <row r="3940">
      <c r="A3940" s="1">
        <v>5.0</v>
      </c>
      <c r="B3940" s="1" t="s">
        <v>3901</v>
      </c>
      <c r="C3940" t="str">
        <f>IFERROR(__xludf.DUMMYFUNCTION("GOOGLETRANSLATE(B3940, ""fr"", ""en"")"),"A Casio watch as expected Casio respects what is expected of it, ie bear walks and especially the dips in the pool this summer. For style, it's Casio, do not expect a designer watch, but it is seen in the photos section!")</f>
        <v>A Casio watch as expected Casio respects what is expected of it, ie bear walks and especially the dips in the pool this summer. For style, it's Casio, do not expect a designer watch, but it is seen in the photos section!</v>
      </c>
    </row>
    <row r="3941">
      <c r="A3941" s="1">
        <v>5.0</v>
      </c>
      <c r="B3941" s="1" t="s">
        <v>3902</v>
      </c>
      <c r="C3941" t="str">
        <f>IFERROR(__xludf.DUMMYFUNCTION("GOOGLETRANSLATE(B3941, ""fr"", ""en"")"),"Good deal but size small size note it a little small S is rather a 16 but good quality holds up well to washing")</f>
        <v>Good deal but size small size note it a little small S is rather a 16 but good quality holds up well to washing</v>
      </c>
    </row>
    <row r="3942">
      <c r="A3942" s="1">
        <v>5.0</v>
      </c>
      <c r="B3942" s="1" t="s">
        <v>3903</v>
      </c>
      <c r="C3942" t="str">
        <f>IFERROR(__xludf.DUMMYFUNCTION("GOOGLETRANSLATE(B3942, ""fr"", ""en"")"),"Pretty simple and pretty good at first glance, to see the long term. Met my expectations.")</f>
        <v>Pretty simple and pretty good at first glance, to see the long term. Met my expectations.</v>
      </c>
    </row>
    <row r="3943">
      <c r="A3943" s="1">
        <v>5.0</v>
      </c>
      <c r="B3943" s="1" t="s">
        <v>3904</v>
      </c>
      <c r="C3943" t="str">
        <f>IFERROR(__xludf.DUMMYFUNCTION("GOOGLETRANSLATE(B3943, ""fr"", ""en"")"),"Enlighten breakfast! It can find its place almost everywhere because it is really classy with its dashboard to 5 buttons and stainless steel finish / black glass! The buttons (+) and (-) provide a choice of six temperatures marked with blue LEDs. Other bu"&amp;"ttons allow ejection, reheating and finally thawing, automatically followed by the grill. Its opening measures 26cm long and accept thicknesses up to 28mm. Clever: the lever can be raised during operation to check tanning sandwich without interrupting the"&amp;" heating cycle! The crumb tray, discreet, is released with a single tap and can disengage completely. Besides being beautiful, it is fast and grill evenly, a treat!")</f>
        <v>Enlighten breakfast! It can find its place almost everywhere because it is really classy with its dashboard to 5 buttons and stainless steel finish / black glass! The buttons (+) and (-) provide a choice of six temperatures marked with blue LEDs. Other buttons allow ejection, reheating and finally thawing, automatically followed by the grill. Its opening measures 26cm long and accept thicknesses up to 28mm. Clever: the lever can be raised during operation to check tanning sandwich without interrupting the heating cycle! The crumb tray, discreet, is released with a single tap and can disengage completely. Besides being beautiful, it is fast and grill evenly, a treat!</v>
      </c>
    </row>
    <row r="3944">
      <c r="A3944" s="1">
        <v>5.0</v>
      </c>
      <c r="B3944" s="1" t="s">
        <v>3905</v>
      </c>
      <c r="C3944" t="str">
        <f>IFERROR(__xludf.DUMMYFUNCTION("GOOGLETRANSLATE(B3944, ""fr"", ""en"")"),"Good product Good product works great and fits our research, we recommend this product temperatures freeze quickly and easily")</f>
        <v>Good product Good product works great and fits our research, we recommend this product temperatures freeze quickly and easily</v>
      </c>
    </row>
    <row r="3945">
      <c r="A3945" s="1">
        <v>5.0</v>
      </c>
      <c r="B3945" s="1" t="s">
        <v>3906</v>
      </c>
      <c r="C3945" t="str">
        <f>IFERROR(__xludf.DUMMYFUNCTION("GOOGLETRANSLATE(B3945, ""fr"", ""en"")"),"This is super great this is my daughter burst")</f>
        <v>This is super great this is my daughter burst</v>
      </c>
    </row>
    <row r="3946">
      <c r="A3946" s="1">
        <v>5.0</v>
      </c>
      <c r="B3946" s="1" t="s">
        <v>3907</v>
      </c>
      <c r="C3946" t="str">
        <f>IFERROR(__xludf.DUMMYFUNCTION("GOOGLETRANSLATE(B3946, ""fr"", ""en"")"),"it's really great as the picture beautiful gift beautiful magnificent piece")</f>
        <v>it's really great as the picture beautiful gift beautiful magnificent piece</v>
      </c>
    </row>
    <row r="3947">
      <c r="A3947" s="1">
        <v>5.0</v>
      </c>
      <c r="B3947" s="1" t="s">
        <v>3908</v>
      </c>
      <c r="C3947" t="str">
        <f>IFERROR(__xludf.DUMMYFUNCTION("GOOGLETRANSLATE(B3947, ""fr"", ""en"")"),"super super basketball, beautiful and very comfortable")</f>
        <v>super super basketball, beautiful and very comfortable</v>
      </c>
    </row>
    <row r="3948">
      <c r="A3948" s="1">
        <v>5.0</v>
      </c>
      <c r="B3948" s="1" t="s">
        <v>3909</v>
      </c>
      <c r="C3948" t="str">
        <f>IFERROR(__xludf.DUMMYFUNCTION("GOOGLETRANSLATE(B3948, ""fr"", ""en"")"),"complies with photos, appropriate size and very good overall quality. I am totally satisfied with this product. Meets photos, appropriate size and very good overall quality. Also very comfortable.")</f>
        <v>complies with photos, appropriate size and very good overall quality. I am totally satisfied with this product. Meets photos, appropriate size and very good overall quality. Also very comfortable.</v>
      </c>
    </row>
    <row r="3949">
      <c r="A3949" s="1">
        <v>5.0</v>
      </c>
      <c r="B3949" s="1" t="s">
        <v>3910</v>
      </c>
      <c r="C3949" t="str">
        <f>IFERROR(__xludf.DUMMYFUNCTION("GOOGLETRANSLATE(B3949, ""fr"", ""en"")"),"CHARMS I ordered two charms that I received on 12 December 2017. The deadline was from 18 December. I'm glad these two lovely charms that fit well on my Ninaqueen bracelet. To see how they evolve over time but level value ... Unbeatable!")</f>
        <v>CHARMS I ordered two charms that I received on 12 December 2017. The deadline was from 18 December. I'm glad these two lovely charms that fit well on my Ninaqueen bracelet. To see how they evolve over time but level value ... Unbeatable!</v>
      </c>
    </row>
    <row r="3950">
      <c r="A3950" s="1">
        <v>5.0</v>
      </c>
      <c r="B3950" s="1" t="s">
        <v>3911</v>
      </c>
      <c r="C3950" t="str">
        <f>IFERROR(__xludf.DUMMYFUNCTION("GOOGLETRANSLATE(B3950, ""fr"", ""en"")"),"very good for the first bluetooth earphone is a big surprise. They are connected easily and quickly. The sound quality is very good whatsoever in listening to music or calls, besides the microphone works well also because I have had no negative feedback o"&amp;"n my phone for my calls and touch keys are well the case with the features of the phone. autonomy is good and sufficient especially with the charging box that fits easily into a pocket.")</f>
        <v>very good for the first bluetooth earphone is a big surprise. They are connected easily and quickly. The sound quality is very good whatsoever in listening to music or calls, besides the microphone works well also because I have had no negative feedback on my phone for my calls and touch keys are well the case with the features of the phone. autonomy is good and sufficient especially with the charging box that fits easily into a pocket.</v>
      </c>
    </row>
    <row r="3951">
      <c r="A3951" s="1">
        <v>5.0</v>
      </c>
      <c r="B3951" s="1" t="s">
        <v>3912</v>
      </c>
      <c r="C3951" t="str">
        <f>IFERROR(__xludf.DUMMYFUNCTION("GOOGLETRANSLATE(B3951, ""fr"", ""en"")"),"Compliance and fast delivery Very good quality, annual recharge I do not always find in town")</f>
        <v>Compliance and fast delivery Very good quality, annual recharge I do not always find in town</v>
      </c>
    </row>
    <row r="3952">
      <c r="A3952" s="1">
        <v>2.0</v>
      </c>
      <c r="B3952" s="1" t="s">
        <v>3913</v>
      </c>
      <c r="C3952" t="str">
        <f>IFERROR(__xludf.DUMMYFUNCTION("GOOGLETRANSLATE(B3952, ""fr"", ""en"")"),"The food No heel after some day. Totally uncomfortable. Leaves traces on white socks")</f>
        <v>The food No heel after some day. Totally uncomfortable. Leaves traces on white socks</v>
      </c>
    </row>
    <row r="3953">
      <c r="A3953" s="1">
        <v>1.0</v>
      </c>
      <c r="B3953" s="1" t="s">
        <v>3914</v>
      </c>
      <c r="C3953" t="str">
        <f>IFERROR(__xludf.DUMMYFUNCTION("GOOGLETRANSLATE(B3953, ""fr"", ""en"")"),"To look stunning matching the description. Pity great jacket but controlled by L and XL received. No proposal to exchange share reimbursement.")</f>
        <v>To look stunning matching the description. Pity great jacket but controlled by L and XL received. No proposal to exchange share reimbursement.</v>
      </c>
    </row>
    <row r="3954">
      <c r="A3954" s="1">
        <v>1.0</v>
      </c>
      <c r="B3954" s="1" t="s">
        <v>3915</v>
      </c>
      <c r="C3954" t="str">
        <f>IFERROR(__xludf.DUMMYFUNCTION("GOOGLETRANSLATE(B3954, ""fr"", ""en"")"),"Very good quality 3 € too expensive I really like these pens, but since they are perfectly copied by the competition for half the price, I really wonder if I have done well to buy these charging unaffordable ! I recommend seeing the competition.")</f>
        <v>Very good quality 3 € too expensive I really like these pens, but since they are perfectly copied by the competition for half the price, I really wonder if I have done well to buy these charging unaffordable ! I recommend seeing the competition.</v>
      </c>
    </row>
    <row r="3955">
      <c r="A3955" s="1">
        <v>3.0</v>
      </c>
      <c r="B3955" s="1" t="s">
        <v>3916</v>
      </c>
      <c r="C3955" t="str">
        <f>IFERROR(__xludf.DUMMYFUNCTION("GOOGLETRANSLATE(B3955, ""fr"", ""en"")"),"While doing his job doing his job. By cons, my girls very easily take off and I received a yellow while I expected the white ... where my two stars less.")</f>
        <v>While doing his job doing his job. By cons, my girls very easily take off and I received a yellow while I expected the white ... where my two stars less.</v>
      </c>
    </row>
    <row r="3956">
      <c r="A3956" s="1">
        <v>4.0</v>
      </c>
      <c r="B3956" s="1" t="s">
        <v>3917</v>
      </c>
      <c r="C3956" t="str">
        <f>IFERROR(__xludf.DUMMYFUNCTION("GOOGLETRANSLATE(B3956, ""fr"", ""en"")"),"150ml Essential Oil Diffuser VicTsing Bought for a friend is very satisfied with this purchase, easy operation, compact, this fund very well in the living environment, beautiful, works perfectly.")</f>
        <v>150ml Essential Oil Diffuser VicTsing Bought for a friend is very satisfied with this purchase, easy operation, compact, this fund very well in the living environment, beautiful, works perfectly.</v>
      </c>
    </row>
    <row r="3957">
      <c r="A3957" s="1">
        <v>4.0</v>
      </c>
      <c r="B3957" s="1" t="s">
        <v>3918</v>
      </c>
      <c r="C3957" t="str">
        <f>IFERROR(__xludf.DUMMYFUNCTION("GOOGLETRANSLATE(B3957, ""fr"", ""en"")"),"Very comfortable very comfortable shoes, I put my shoes It's over this break feet")</f>
        <v>Very comfortable very comfortable shoes, I put my shoes It's over this break feet</v>
      </c>
    </row>
    <row r="3958">
      <c r="A3958" s="1">
        <v>4.0</v>
      </c>
      <c r="B3958" s="1" t="s">
        <v>3919</v>
      </c>
      <c r="C3958" t="str">
        <f>IFERROR(__xludf.DUMMYFUNCTION("GOOGLETRANSLATE(B3958, ""fr"", ""en"")"),"Alarm clock made for our 6 year old daughter. It's great but programming the alarm clock so sunrise is not obvious")</f>
        <v>Alarm clock made for our 6 year old daughter. It's great but programming the alarm clock so sunrise is not obvious</v>
      </c>
    </row>
    <row r="3959">
      <c r="A3959" s="1">
        <v>4.0</v>
      </c>
      <c r="B3959" s="1" t="s">
        <v>3920</v>
      </c>
      <c r="C3959" t="str">
        <f>IFERROR(__xludf.DUMMYFUNCTION("GOOGLETRANSLATE(B3959, ""fr"", ""en"")"),"I think quality shoulder bag, but a little small; good quality shoulder")</f>
        <v>I think quality shoulder bag, but a little small; good quality shoulder</v>
      </c>
    </row>
    <row r="3960">
      <c r="A3960" s="1">
        <v>4.0</v>
      </c>
      <c r="B3960" s="1" t="s">
        <v>3921</v>
      </c>
      <c r="C3960" t="str">
        <f>IFERROR(__xludf.DUMMYFUNCTION("GOOGLETRANSLATE(B3960, ""fr"", ""en"")"),"Basketball offset Jamron Very comfortable, slightly offset (that is great for the ""&amp; nbsp; &amp; nbsp small;""!), Take its usual size. I never put basketball, I have them in white, black and beige, and I'm thrilled!")</f>
        <v>Basketball offset Jamron Very comfortable, slightly offset (that is great for the "&amp; nbsp; &amp; nbsp small;"!), Take its usual size. I never put basketball, I have them in white, black and beige, and I'm thrilled!</v>
      </c>
    </row>
    <row r="3961">
      <c r="A3961" s="1">
        <v>5.0</v>
      </c>
      <c r="B3961" s="1" t="s">
        <v>3922</v>
      </c>
      <c r="C3961" t="str">
        <f>IFERROR(__xludf.DUMMYFUNCTION("GOOGLETRANSLATE(B3961, ""fr"", ""en"")"),"Unbeatable value for money purchased rolls for a move. Used with a streamer, no complaints, did the job. Resistant tape, for closing the cartons securely.")</f>
        <v>Unbeatable value for money purchased rolls for a move. Used with a streamer, no complaints, did the job. Resistant tape, for closing the cartons securely.</v>
      </c>
    </row>
    <row r="3962">
      <c r="A3962" s="1">
        <v>5.0</v>
      </c>
      <c r="B3962" s="1" t="s">
        <v>3923</v>
      </c>
      <c r="C3962" t="str">
        <f>IFERROR(__xludf.DUMMYFUNCTION("GOOGLETRANSLATE(B3962, ""fr"", ""en"")"),"Nothing to say for a mere 50 € more than reasonable price these sneakers is the strong air to see over time")</f>
        <v>Nothing to say for a mere 50 € more than reasonable price these sneakers is the strong air to see over time</v>
      </c>
    </row>
    <row r="3963">
      <c r="A3963" s="1">
        <v>5.0</v>
      </c>
      <c r="B3963" s="1" t="s">
        <v>3924</v>
      </c>
      <c r="C3963" t="str">
        <f>IFERROR(__xludf.DUMMYFUNCTION("GOOGLETRANSLATE(B3963, ""fr"", ""en"")"),"awesome Perfect")</f>
        <v>awesome Perfect</v>
      </c>
    </row>
    <row r="3964">
      <c r="A3964" s="1">
        <v>5.0</v>
      </c>
      <c r="B3964" s="1" t="s">
        <v>3925</v>
      </c>
      <c r="C3964" t="str">
        <f>IFERROR(__xludf.DUMMYFUNCTION("GOOGLETRANSLATE(B3964, ""fr"", ""en"")"),"very powerful active insulation, sound quality, comfort and connectivity on top. I tried several helmets active isolation: Bose QC35 &amp; amp; 700, WH-1000XM3 Sony, B &amp; amp; O BeoPlay H9. My analysis will be based in part on those. Let's start with the highl"&amp;"ights: - Exceptional comfort. I do not say this often, but you could almost forget that the door's pads are incredible, and the headband is very well thought out. - Its excellent: - Bass: Very present, they are not as impactful as the H9 (which I found ti"&amp;"ring in the long run), but are still very clear and pleasant. Clearly, this helmet is oriented towards this spectrum, even though, as I will mention just after the mids and highs are not without rest. - Medium: Sweet and detailed, they make perfect voice,"&amp;" in virtually every genre. They perfectly complement the bass on the metal or rock. - Treble: A little behind, they are very warm, detailed, and pleasant to listen to. - Spatial: Excellent. The best I could listen wirelessly. - Connectivity: There are not"&amp;" a myriad of audio codecs like the Sony, but enough to allow a wide use (Product codecs: APTX, APTX low latency, AAC). It is remarkable vis-à-vis the connection stability. I hardly no cuts, and no worries to connect to new equipment. In addition, the fact"&amp;" of integrating this helmet codec APTX low latency permez you to use when watching a movie or playing a video game, with no perceptible delay. Weaknesses: - Insulation: The helmet provides passively a few important insulation. Either there is not the prob"&amp;"lem, the majority of active isolation headphones are not great in this area. However, where is the problem on this helmet is that the active insulation is not very effective. Certe can choose 3 different modes of insulation, allowing to have felt differen"&amp;"t on the ear (pressure), but the isolation is very little impressive, and little below from Bose, Sony, or even Bang &amp; amp ; Olufsen. - Negative point: You can not (to my knowledge after reading the manual and searched the internet) to turn off the headse"&amp;"t without the fold, a little embettant if one wishes to let the headset on one foot. Conclusion: I highly recommend this headset if the active insulation is not your priority. It still will do his stuff on it, but you will Impress by all the positives tha"&amp;"t I mentioned above, making it one of the best wireless headphones market. If the insulation is the main active of your priorities, turn to the Bose 700, which is also an excellent product.")</f>
        <v>very powerful active insulation, sound quality, comfort and connectivity on top. I tried several helmets active isolation: Bose QC35 &amp; amp; 700, WH-1000XM3 Sony, B &amp; amp; O BeoPlay H9. My analysis will be based in part on those. Let's start with the highlights: - Exceptional comfort. I do not say this often, but you could almost forget that the door's pads are incredible, and the headband is very well thought out. - Its excellent: - Bass: Very present, they are not as impactful as the H9 (which I found tiring in the long run), but are still very clear and pleasant. Clearly, this helmet is oriented towards this spectrum, even though, as I will mention just after the mids and highs are not without rest. - Medium: Sweet and detailed, they make perfect voice, in virtually every genre. They perfectly complement the bass on the metal or rock. - Treble: A little behind, they are very warm, detailed, and pleasant to listen to. - Spatial: Excellent. The best I could listen wirelessly. - Connectivity: There are not a myriad of audio codecs like the Sony, but enough to allow a wide use (Product codecs: APTX, APTX low latency, AAC). It is remarkable vis-à-vis the connection stability. I hardly no cuts, and no worries to connect to new equipment. In addition, the fact of integrating this helmet codec APTX low latency permez you to use when watching a movie or playing a video game, with no perceptible delay. Weaknesses: - Insulation: The helmet provides passively a few important insulation. Either there is not the problem, the majority of active isolation headphones are not great in this area. However, where is the problem on this helmet is that the active insulation is not very effective. Certe can choose 3 different modes of insulation, allowing to have felt different on the ear (pressure), but the isolation is very little impressive, and little below from Bose, Sony, or even Bang &amp; amp ; Olufsen. - Negative point: You can not (to my knowledge after reading the manual and searched the internet) to turn off the headset without the fold, a little embettant if one wishes to let the headset on one foot. Conclusion: I highly recommend this headset if the active insulation is not your priority. It still will do his stuff on it, but you will Impress by all the positives that I mentioned above, making it one of the best wireless headphones market. If the insulation is the main active of your priorities, turn to the Bose 700, which is also an excellent product.</v>
      </c>
    </row>
    <row r="3965">
      <c r="A3965" s="1">
        <v>5.0</v>
      </c>
      <c r="B3965" s="1" t="s">
        <v>3926</v>
      </c>
      <c r="C3965" t="str">
        <f>IFERROR(__xludf.DUMMYFUNCTION("GOOGLETRANSLATE(B3965, ""fr"", ""en"")"),"Conforms to my request products conform but still tried, but hey it's only the son that should not be a problem")</f>
        <v>Conforms to my request products conform but still tried, but hey it's only the son that should not be a problem</v>
      </c>
    </row>
    <row r="3966">
      <c r="A3966" s="1">
        <v>5.0</v>
      </c>
      <c r="B3966" s="1" t="s">
        <v>3927</v>
      </c>
      <c r="C3966" t="str">
        <f>IFERROR(__xludf.DUMMYFUNCTION("GOOGLETRANSLATE(B3966, ""fr"", ""en"")"),"Product top !! Good quality product. Delighted with my purchase. Product well packaged. I am satisfied.")</f>
        <v>Product top !! Good quality product. Delighted with my purchase. Product well packaged. I am satisfied.</v>
      </c>
    </row>
    <row r="3967">
      <c r="A3967" s="1">
        <v>5.0</v>
      </c>
      <c r="B3967" s="1" t="s">
        <v>3928</v>
      </c>
      <c r="C3967" t="str">
        <f>IFERROR(__xludf.DUMMYFUNCTION("GOOGLETRANSLATE(B3967, ""fr"", ""en"")"),"It Deeplee BIPE a bit much for my taste. Level of quality and aesthetics is really not bad.")</f>
        <v>It Deeplee BIPE a bit much for my taste. Level of quality and aesthetics is really not bad.</v>
      </c>
    </row>
    <row r="3968">
      <c r="A3968" s="1">
        <v>5.0</v>
      </c>
      <c r="B3968" s="1" t="s">
        <v>3929</v>
      </c>
      <c r="C3968" t="str">
        <f>IFERROR(__xludf.DUMMYFUNCTION("GOOGLETRANSLATE(B3968, ""fr"", ""en"")"),"convenient and quick delivery hiking")</f>
        <v>convenient and quick delivery hiking</v>
      </c>
    </row>
    <row r="3969">
      <c r="A3969" s="1">
        <v>5.0</v>
      </c>
      <c r="B3969" s="1" t="s">
        <v>3930</v>
      </c>
      <c r="C3969" t="str">
        <f>IFERROR(__xludf.DUMMYFUNCTION("GOOGLETRANSLATE(B3969, ""fr"", ""en"")"),"Quality Nothing to say about this product, they are top.")</f>
        <v>Quality Nothing to say about this product, they are top.</v>
      </c>
    </row>
    <row r="3970">
      <c r="A3970" s="1">
        <v>5.0</v>
      </c>
      <c r="B3970" s="1" t="s">
        <v>3931</v>
      </c>
      <c r="C3970" t="str">
        <f>IFERROR(__xludf.DUMMYFUNCTION("GOOGLETRANSLATE(B3970, ""fr"", ""en"")"),"Perfect Perfect.")</f>
        <v>Perfect Perfect.</v>
      </c>
    </row>
    <row r="3971">
      <c r="A3971" s="1">
        <v>5.0</v>
      </c>
      <c r="B3971" s="1" t="s">
        <v>3932</v>
      </c>
      <c r="C3971" t="str">
        <f>IFERROR(__xludf.DUMMYFUNCTION("GOOGLETRANSLATE(B3971, ""fr"", ""en"")"),"Light and friendly These legendary sneakers are lightweight and easy to wear. They carve a big hair (1/2 to 1 size larger in French standard). But it is not a problem, because it allows to have shoes that do not hurt just the tip of the feet, for those wh"&amp;"o walk a lot with. Check-in time as always with Amazon. Only small downside to reproach sometimes depending on the country of manufacture, traces of glue or positioning problem of the tongues are sometimes seen. Long live the true old Converse made in the"&amp;" USA of my youth never encountered this type of problem. But that, as did the pub was before ...... Similarly, my shoes are each came with one of the two laces too short and not the same length as his counterpart. ?? It's painful ! I have found no explana"&amp;"tion for this on the net. But as I have two pairs of shoes, I finally made a real pair with two identical laces from 4 laces.")</f>
        <v>Light and friendly These legendary sneakers are lightweight and easy to wear. They carve a big hair (1/2 to 1 size larger in French standard). But it is not a problem, because it allows to have shoes that do not hurt just the tip of the feet, for those who walk a lot with. Check-in time as always with Amazon. Only small downside to reproach sometimes depending on the country of manufacture, traces of glue or positioning problem of the tongues are sometimes seen. Long live the true old Converse made in the USA of my youth never encountered this type of problem. But that, as did the pub was before ...... Similarly, my shoes are each came with one of the two laces too short and not the same length as his counterpart. ?? It's painful ! I have found no explanation for this on the net. But as I have two pairs of shoes, I finally made a real pair with two identical laces from 4 laces.</v>
      </c>
    </row>
    <row r="3972">
      <c r="A3972" s="1">
        <v>5.0</v>
      </c>
      <c r="B3972" s="1" t="s">
        <v>3933</v>
      </c>
      <c r="C3972" t="str">
        <f>IFERROR(__xludf.DUMMYFUNCTION("GOOGLETRANSLATE(B3972, ""fr"", ""en"")"),"Whiteness, cleanliness! I use Vanish products for years. I know of nothing better to whiten, remove stains and maintain the machine, especially the linen! A must-have at home!")</f>
        <v>Whiteness, cleanliness! I use Vanish products for years. I know of nothing better to whiten, remove stains and maintain the machine, especially the linen! A must-have at home!</v>
      </c>
    </row>
    <row r="3973">
      <c r="A3973" s="1">
        <v>5.0</v>
      </c>
      <c r="B3973" s="1" t="s">
        <v>3934</v>
      </c>
      <c r="C3973" t="str">
        <f>IFERROR(__xludf.DUMMYFUNCTION("GOOGLETRANSLATE(B3973, ""fr"", ""en"")"),"Very good running sneakers Basketball as slippers. J've made a very good choice already made more than 200 km of racing.")</f>
        <v>Very good running sneakers Basketball as slippers. J've made a very good choice already made more than 200 km of racing.</v>
      </c>
    </row>
    <row r="3974">
      <c r="A3974" s="1">
        <v>5.0</v>
      </c>
      <c r="B3974" s="1" t="s">
        <v>3935</v>
      </c>
      <c r="C3974" t="str">
        <f>IFERROR(__xludf.DUMMYFUNCTION("GOOGLETRANSLATE(B3974, ""fr"", ""en"")"),"It's what I expected The packages received corresponds perfectly to what I was looking for: 2 pallets, which are relatively small and do not take so not too square, and 12 brushes, with all sizes. I have not tested them, but at first glance the quality se"&amp;"ems to be the go")</f>
        <v>It's what I expected The packages received corresponds perfectly to what I was looking for: 2 pallets, which are relatively small and do not take so not too square, and 12 brushes, with all sizes. I have not tested them, but at first glance the quality seems to be the go</v>
      </c>
    </row>
    <row r="3975">
      <c r="A3975" s="1">
        <v>5.0</v>
      </c>
      <c r="B3975" s="1" t="s">
        <v>3936</v>
      </c>
      <c r="C3975" t="str">
        <f>IFERROR(__xludf.DUMMYFUNCTION("GOOGLETRANSLATE(B3975, ""fr"", ""en"")"),"Level noise reduction one is right rather pleasantly surprised by the quality of the earpiece. Little more with the metallic finish to connect the headphones cable part! I prefer headphones with volume control. Appearance is also very beautiful, my classm"&amp;"ates love it too, the sound quality is not bad!")</f>
        <v>Level noise reduction one is right rather pleasantly surprised by the quality of the earpiece. Little more with the metallic finish to connect the headphones cable part! I prefer headphones with volume control. Appearance is also very beautiful, my classmates love it too, the sound quality is not bad!</v>
      </c>
    </row>
    <row r="3976">
      <c r="A3976" s="1">
        <v>2.0</v>
      </c>
      <c r="B3976" s="1" t="s">
        <v>3937</v>
      </c>
      <c r="C3976" t="str">
        <f>IFERROR(__xludf.DUMMYFUNCTION("GOOGLETRANSLATE(B3976, ""fr"", ""en"")"),"Disappointed different model because I did not get this model but transparent bottles with strawberries! Off I had chosen for their design ...")</f>
        <v>Disappointed different model because I did not get this model but transparent bottles with strawberries! Off I had chosen for their design ...</v>
      </c>
    </row>
    <row r="3977">
      <c r="A3977" s="1">
        <v>1.0</v>
      </c>
      <c r="B3977" s="1" t="s">
        <v>3938</v>
      </c>
      <c r="C3977" t="str">
        <f>IFERROR(__xludf.DUMMYFUNCTION("GOOGLETRANSLATE(B3977, ""fr"", ""en"")"),"Hello uncomfortable uncomfortable I would get a refund")</f>
        <v>Hello uncomfortable uncomfortable I would get a refund</v>
      </c>
    </row>
    <row r="3978">
      <c r="A3978" s="1">
        <v>3.0</v>
      </c>
      <c r="B3978" s="1" t="s">
        <v>3939</v>
      </c>
      <c r="C3978" t="str">
        <f>IFERROR(__xludf.DUMMYFUNCTION("GOOGLETRANSLATE(B3978, ""fr"", ""en"")"),"Cool Damage to the size it was really beautiful and very nice")</f>
        <v>Cool Damage to the size it was really beautiful and very nice</v>
      </c>
    </row>
    <row r="3979">
      <c r="A3979" s="1">
        <v>3.0</v>
      </c>
      <c r="B3979" s="1" t="s">
        <v>3940</v>
      </c>
      <c r="C3979" t="str">
        <f>IFERROR(__xludf.DUMMYFUNCTION("GOOGLETRANSLATE(B3979, ""fr"", ""en"")"),"Levis classic small size !!!")</f>
        <v>Levis classic small size !!!</v>
      </c>
    </row>
    <row r="3980">
      <c r="A3980" s="1">
        <v>4.0</v>
      </c>
      <c r="B3980" s="1" t="s">
        <v>3941</v>
      </c>
      <c r="C3980" t="str">
        <f>IFERROR(__xludf.DUMMYFUNCTION("GOOGLETRANSLATE(B3980, ""fr"", ""en"")"),"Bag very Praty Ranking")</f>
        <v>Bag very Praty Ranking</v>
      </c>
    </row>
    <row r="3981">
      <c r="A3981" s="1">
        <v>4.0</v>
      </c>
      <c r="B3981" s="1" t="s">
        <v>3942</v>
      </c>
      <c r="C3981" t="str">
        <f>IFERROR(__xludf.DUMMYFUNCTION("GOOGLETRANSLATE(B3981, ""fr"", ""en"")"),"Well Satisfied just strap a little small if not perfect and many pockets")</f>
        <v>Well Satisfied just strap a little small if not perfect and many pockets</v>
      </c>
    </row>
    <row r="3982">
      <c r="A3982" s="1">
        <v>4.0</v>
      </c>
      <c r="B3982" s="1" t="s">
        <v>3943</v>
      </c>
      <c r="C3982" t="str">
        <f>IFERROR(__xludf.DUMMYFUNCTION("GOOGLETRANSLATE(B3982, ""fr"", ""en"")"),"Less dense than the one delivered with the machine very good despite the less thickness than the one delivered with the machine.")</f>
        <v>Less dense than the one delivered with the machine very good despite the less thickness than the one delivered with the machine.</v>
      </c>
    </row>
    <row r="3983">
      <c r="A3983" s="1">
        <v>4.0</v>
      </c>
      <c r="B3983" s="1" t="s">
        <v>3944</v>
      </c>
      <c r="C3983" t="str">
        <f>IFERROR(__xludf.DUMMYFUNCTION("GOOGLETRANSLATE(B3983, ""fr"", ""en"")"),"compliant product line with expectations. by against the size is identical to the non-xl format, which shows the scam on these consumables which are filled only half their capacity for an outrageously high price ...")</f>
        <v>compliant product line with expectations. by against the size is identical to the non-xl format, which shows the scam on these consumables which are filled only half their capacity for an outrageously high price ...</v>
      </c>
    </row>
    <row r="3984">
      <c r="A3984" s="1">
        <v>5.0</v>
      </c>
      <c r="B3984" s="1" t="s">
        <v>3945</v>
      </c>
      <c r="C3984" t="str">
        <f>IFERROR(__xludf.DUMMYFUNCTION("GOOGLETRANSLATE(B3984, ""fr"", ""en"")"),"functional watch. I recommend this solar radio shows and reliable controlée.Matériel used mer.J'ai changed the bracelet to put it a more comfortable nylon strap Locate on internet.Je recommends")</f>
        <v>functional watch. I recommend this solar radio shows and reliable controlée.Matériel used mer.J'ai changed the bracelet to put it a more comfortable nylon strap Locate on internet.Je recommends</v>
      </c>
    </row>
    <row r="3985">
      <c r="A3985" s="1">
        <v>5.0</v>
      </c>
      <c r="B3985" s="1" t="s">
        <v>3946</v>
      </c>
      <c r="C3985" t="str">
        <f>IFERROR(__xludf.DUMMYFUNCTION("GOOGLETRANSLATE(B3985, ""fr"", ""en"")"),"Gift appreciated by the recipient. Gift appreciated by the recipient.")</f>
        <v>Gift appreciated by the recipient. Gift appreciated by the recipient.</v>
      </c>
    </row>
    <row r="3986">
      <c r="A3986" s="1">
        <v>5.0</v>
      </c>
      <c r="B3986" s="1" t="s">
        <v>3947</v>
      </c>
      <c r="C3986" t="str">
        <f>IFERROR(__xludf.DUMMYFUNCTION("GOOGLETRANSLATE(B3986, ""fr"", ""en"")"),"Brush nickel It is perfect as a brush")</f>
        <v>Brush nickel It is perfect as a brush</v>
      </c>
    </row>
    <row r="3987">
      <c r="A3987" s="1">
        <v>5.0</v>
      </c>
      <c r="B3987" s="1" t="s">
        <v>3948</v>
      </c>
      <c r="C3987" t="str">
        <f>IFERROR(__xludf.DUMMYFUNCTION("GOOGLETRANSLATE(B3987, ""fr"", ""en"")"),"Very good quality I'm used to note all my appointments and really great, but I bought a little big")</f>
        <v>Very good quality I'm used to note all my appointments and really great, but I bought a little big</v>
      </c>
    </row>
    <row r="3988">
      <c r="A3988" s="1">
        <v>5.0</v>
      </c>
      <c r="B3988" s="1" t="s">
        <v>3949</v>
      </c>
      <c r="C3988" t="str">
        <f>IFERROR(__xludf.DUMMYFUNCTION("GOOGLETRANSLATE(B3988, ""fr"", ""en"")"),"perfect product for baby Madam uses everyday and with that meets these needs. The system itself is ingenious because it can enboiter or not the bases depending on the amount of product to be sterilized. In less than 10 minutes, everything is clean. To be "&amp;"objective, Madame also clean without the old bottles and teats and she feels a clean difference. Advantage in this Advent that is used for more than 3 months without worry. [If this review helpful to you, please report it below. ]")</f>
        <v>perfect product for baby Madam uses everyday and with that meets these needs. The system itself is ingenious because it can enboiter or not the bases depending on the amount of product to be sterilized. In less than 10 minutes, everything is clean. To be objective, Madame also clean without the old bottles and teats and she feels a clean difference. Advantage in this Advent that is used for more than 3 months without worry. [If this review helpful to you, please report it below. ]</v>
      </c>
    </row>
    <row r="3989">
      <c r="A3989" s="1">
        <v>5.0</v>
      </c>
      <c r="B3989" s="1" t="s">
        <v>3950</v>
      </c>
      <c r="C3989" t="str">
        <f>IFERROR(__xludf.DUMMYFUNCTION("GOOGLETRANSLATE(B3989, ""fr"", ""en"")"),"Top delivery earlier than expected! Parcel very well packed and the product according to the photo I recommend")</f>
        <v>Top delivery earlier than expected! Parcel very well packed and the product according to the photo I recommend</v>
      </c>
    </row>
    <row r="3990">
      <c r="A3990" s="1">
        <v>5.0</v>
      </c>
      <c r="B3990" s="1" t="s">
        <v>3951</v>
      </c>
      <c r="C3990" t="str">
        <f>IFERROR(__xludf.DUMMYFUNCTION("GOOGLETRANSLATE(B3990, ""fr"", ""en"")"),"Kettle great product very good. It heats quickly and helps maintain the water at the desired temperature. Besides, it's nice and a small effect on the table. (Y)")</f>
        <v>Kettle great product very good. It heats quickly and helps maintain the water at the desired temperature. Besides, it's nice and a small effect on the table. (Y)</v>
      </c>
    </row>
    <row r="3991">
      <c r="A3991" s="1">
        <v>5.0</v>
      </c>
      <c r="B3991" s="1" t="s">
        <v>3952</v>
      </c>
      <c r="C3991" t="str">
        <f>IFERROR(__xludf.DUMMYFUNCTION("GOOGLETRANSLATE(B3991, ""fr"", ""en"")"),"Super perfect fit, not used at the size wearable and pretty color")</f>
        <v>Super perfect fit, not used at the size wearable and pretty color</v>
      </c>
    </row>
    <row r="3992">
      <c r="A3992" s="1">
        <v>5.0</v>
      </c>
      <c r="B3992" s="1" t="s">
        <v>3953</v>
      </c>
      <c r="C3992" t="str">
        <f>IFERROR(__xludf.DUMMYFUNCTION("GOOGLETRANSLATE(B3992, ""fr"", ""en"")"),"To offer I offered to a birthday to my niece and she is very happy. Allows you to find countries and pen comes with.")</f>
        <v>To offer I offered to a birthday to my niece and she is very happy. Allows you to find countries and pen comes with.</v>
      </c>
    </row>
    <row r="3993">
      <c r="A3993" s="1">
        <v>5.0</v>
      </c>
      <c r="B3993" s="1" t="s">
        <v>3954</v>
      </c>
      <c r="C3993" t="str">
        <f>IFERROR(__xludf.DUMMYFUNCTION("GOOGLETRANSLATE(B3993, ""fr"", ""en"")"),"Perfect Very expensive anyway, but actually quite appropriate, quality is at the rendezvous. There is good size maintaining it's great!")</f>
        <v>Perfect Very expensive anyway, but actually quite appropriate, quality is at the rendezvous. There is good size maintaining it's great!</v>
      </c>
    </row>
    <row r="3994">
      <c r="A3994" s="1">
        <v>5.0</v>
      </c>
      <c r="B3994" s="1" t="s">
        <v>3955</v>
      </c>
      <c r="C3994" t="str">
        <f>IFERROR(__xludf.DUMMYFUNCTION("GOOGLETRANSLATE(B3994, ""fr"", ""en"")"),"Perfect Practice must for moms Easy to assemble Easy to clean")</f>
        <v>Perfect Practice must for moms Easy to assemble Easy to clean</v>
      </c>
    </row>
    <row r="3995">
      <c r="A3995" s="1">
        <v>5.0</v>
      </c>
      <c r="B3995" s="1" t="s">
        <v>3956</v>
      </c>
      <c r="C3995" t="str">
        <f>IFERROR(__xludf.DUMMYFUNCTION("GOOGLETRANSLATE(B3995, ""fr"", ""en"")"),"The feet in comfort. Not my first Yuedge, hiking, biking and more comfort what to wear, especially in the shoes of safety.")</f>
        <v>The feet in comfort. Not my first Yuedge, hiking, biking and more comfort what to wear, especially in the shoes of safety.</v>
      </c>
    </row>
    <row r="3996">
      <c r="A3996" s="1">
        <v>5.0</v>
      </c>
      <c r="B3996" s="1" t="s">
        <v>3957</v>
      </c>
      <c r="C3996" t="str">
        <f>IFERROR(__xludf.DUMMYFUNCTION("GOOGLETRANSLATE(B3996, ""fr"", ""en"")"),"the sound is cool feel this is very good value? Very comfortable, you can change something if it does not suit you. The sound feels gently and no noise. The color is black, it's classic. And venduer offers me the shell. this is good and this one can prote"&amp;"ct my évouteurs. I admit.")</f>
        <v>the sound is cool feel this is very good value? Very comfortable, you can change something if it does not suit you. The sound feels gently and no noise. The color is black, it's classic. And venduer offers me the shell. this is good and this one can protect my évouteurs. I admit.</v>
      </c>
    </row>
    <row r="3997">
      <c r="A3997" s="1">
        <v>5.0</v>
      </c>
      <c r="B3997" s="1" t="s">
        <v>3958</v>
      </c>
      <c r="C3997" t="str">
        <f>IFERROR(__xludf.DUMMYFUNCTION("GOOGLETRANSLATE(B3997, ""fr"", ""en"")"),"Chic and stylish! Bought to offer, this bracelet is superb. It comes in a box and protected with a plastic film (a removing recess) prepared to offer. Color from purple to blue with varying degrees of transparency and brightness depending on the brightnes"&amp;"s. The bracelet is fine but to solid. It is adjustable with a small chain allowing it to adapt to the wrist (watch still in too large wrist because despite the chain, it would rule out the parties ""&amp; nbsp; rigid &amp; nbsp;"" to go, not sure whether expandab"&amp;"le at will). The ""&amp; nbsp; &amp; nbsp diamonds;"" though false, make their effect. It is chic without too much bling. It can offer women of all ages and make any type of occasion. Very fast delivery with premium, despite the Christmas holidays. You will under"&amp;"stand, I am very satisfied with this bracelet bought on sale flash in addition, a great value! See with time (I will change my review if needed). Hopefully you have been utile☺️")</f>
        <v>Chic and stylish! Bought to offer, this bracelet is superb. It comes in a box and protected with a plastic film (a removing recess) prepared to offer. Color from purple to blue with varying degrees of transparency and brightness depending on the brightness. The bracelet is fine but to solid. It is adjustable with a small chain allowing it to adapt to the wrist (watch still in too large wrist because despite the chain, it would rule out the parties "&amp; nbsp; rigid &amp; nbsp;" to go, not sure whether expandable at will). The "&amp; nbsp; &amp; nbsp diamonds;" though false, make their effect. It is chic without too much bling. It can offer women of all ages and make any type of occasion. Very fast delivery with premium, despite the Christmas holidays. You will understand, I am very satisfied with this bracelet bought on sale flash in addition, a great value! See with time (I will change my review if needed). Hopefully you have been utile☺️</v>
      </c>
    </row>
    <row r="3998">
      <c r="A3998" s="1">
        <v>5.0</v>
      </c>
      <c r="B3998" s="1" t="s">
        <v>3959</v>
      </c>
      <c r="C3998" t="str">
        <f>IFERROR(__xludf.DUMMYFUNCTION("GOOGLETRANSLATE(B3998, ""fr"", ""en"")"),"Nothing to say. Excellent product! Perfectly suited for sports sessions and comfortable. I recommend but watch out for those seeking discreet headphones ... indeed they are much bigger than the Jabra Sport headphones elite (which are already quite signifi"&amp;"cant in terms of diameter), it is no where to biensur a matter of aesthetics but I think that given the price this is information that it is better known. If the sound is perfect ... just what Bose!")</f>
        <v>Nothing to say. Excellent product! Perfectly suited for sports sessions and comfortable. I recommend but watch out for those seeking discreet headphones ... indeed they are much bigger than the Jabra Sport headphones elite (which are already quite significant in terms of diameter), it is no where to biensur a matter of aesthetics but I think that given the price this is information that it is better known. If the sound is perfect ... just what Bose!</v>
      </c>
    </row>
    <row r="3999">
      <c r="A3999" s="1">
        <v>5.0</v>
      </c>
      <c r="B3999" s="1" t="s">
        <v>3960</v>
      </c>
      <c r="C3999" t="str">
        <f>IFERROR(__xludf.DUMMYFUNCTION("GOOGLETRANSLATE(B3999, ""fr"", ""en"")"),"New product well packed fast delivery No pain during long listening Good sound for headphones discounted 15 euros I had an LG can not find the same quality of sound for this price so great helmet rule well produced new well packed")</f>
        <v>New product well packed fast delivery No pain during long listening Good sound for headphones discounted 15 euros I had an LG can not find the same quality of sound for this price so great helmet rule well produced new well packed</v>
      </c>
    </row>
    <row r="4000">
      <c r="A4000" s="1">
        <v>2.0</v>
      </c>
      <c r="B4000" s="1" t="s">
        <v>3961</v>
      </c>
      <c r="C4000" t="str">
        <f>IFERROR(__xludf.DUMMYFUNCTION("GOOGLETRANSLATE(B4000, ""fr"", ""en"")"),"Super Super material to wear with jeans")</f>
        <v>Super Super material to wear with jeans</v>
      </c>
    </row>
    <row r="4001">
      <c r="A4001" s="1">
        <v>1.0</v>
      </c>
      <c r="B4001" s="1" t="s">
        <v>3962</v>
      </c>
      <c r="C4001" t="str">
        <f>IFERROR(__xludf.DUMMYFUNCTION("GOOGLETRANSLATE(B4001, ""fr"", ""en"")"),"Disappointed quality fabric poor.")</f>
        <v>Disappointed quality fabric poor.</v>
      </c>
    </row>
    <row r="4002">
      <c r="A4002" s="1">
        <v>1.0</v>
      </c>
      <c r="B4002" s="1" t="s">
        <v>3963</v>
      </c>
      <c r="C4002" t="str">
        <f>IFERROR(__xludf.DUMMYFUNCTION("GOOGLETRANSLATE(B4002, ""fr"", ""en"")"),"Product Only incomplete bottle three, not four as stated and no brush received !!")</f>
        <v>Product Only incomplete bottle three, not four as stated and no brush received !!</v>
      </c>
    </row>
    <row r="4003">
      <c r="A4003" s="1">
        <v>3.0</v>
      </c>
      <c r="B4003" s="1" t="s">
        <v>3964</v>
      </c>
      <c r="C4003" t="str">
        <f>IFERROR(__xludf.DUMMYFUNCTION("GOOGLETRANSLATE(B4003, ""fr"", ""en"")"),"Slippery I expected more from the fangs brand tong sound nice but as soon as we have wet feet are very slippery, buy out of the pool, and although they are dangerous snowsports feet inside the tong and suddenly we risk the chutte. Be very careful with the"&amp;"se flip flops.")</f>
        <v>Slippery I expected more from the fangs brand tong sound nice but as soon as we have wet feet are very slippery, buy out of the pool, and although they are dangerous snowsports feet inside the tong and suddenly we risk the chutte. Be very careful with these flip flops.</v>
      </c>
    </row>
    <row r="4004">
      <c r="A4004" s="1">
        <v>3.0</v>
      </c>
      <c r="B4004" s="1" t="s">
        <v>3965</v>
      </c>
      <c r="C4004" t="str">
        <f>IFERROR(__xludf.DUMMYFUNCTION("GOOGLETRANSLATE(B4004, ""fr"", ""en"")"),"For the price will ca Small cut on the front of the chassure troublesome but not so serious. A shoe can rigid. Ok delivered in time")</f>
        <v>For the price will ca Small cut on the front of the chassure troublesome but not so serious. A shoe can rigid. Ok delivered in time</v>
      </c>
    </row>
    <row r="4005">
      <c r="A4005" s="1">
        <v>4.0</v>
      </c>
      <c r="B4005" s="1" t="s">
        <v>3966</v>
      </c>
      <c r="C4005" t="str">
        <f>IFERROR(__xludf.DUMMYFUNCTION("GOOGLETRANSLATE(B4005, ""fr"", ""en"")"),"Super super practical bag with lots of pockets. There's nothing wrong over")</f>
        <v>Super super practical bag with lots of pockets. There's nothing wrong over</v>
      </c>
    </row>
    <row r="4006">
      <c r="A4006" s="1">
        <v>4.0</v>
      </c>
      <c r="B4006" s="1" t="s">
        <v>3967</v>
      </c>
      <c r="C4006" t="str">
        <f>IFERROR(__xludf.DUMMYFUNCTION("GOOGLETRANSLATE(B4006, ""fr"", ""en"")"),"Ok Ras")</f>
        <v>Ok Ras</v>
      </c>
    </row>
    <row r="4007">
      <c r="A4007" s="1">
        <v>4.0</v>
      </c>
      <c r="B4007" s="1" t="s">
        <v>3968</v>
      </c>
      <c r="C4007" t="str">
        <f>IFERROR(__xludf.DUMMYFUNCTION("GOOGLETRANSLATE(B4007, ""fr"", ""en"")"),"It is Article")</f>
        <v>It is Article</v>
      </c>
    </row>
    <row r="4008">
      <c r="A4008" s="1">
        <v>4.0</v>
      </c>
      <c r="B4008" s="1" t="s">
        <v>3969</v>
      </c>
      <c r="C4008" t="str">
        <f>IFERROR(__xludf.DUMMYFUNCTION("GOOGLETRANSLATE(B4008, ""fr"", ""en"")"),"fast delivery price good quality flush")</f>
        <v>fast delivery price good quality flush</v>
      </c>
    </row>
    <row r="4009">
      <c r="A4009" s="1">
        <v>5.0</v>
      </c>
      <c r="B4009" s="1" t="s">
        <v>3970</v>
      </c>
      <c r="C4009" t="str">
        <f>IFERROR(__xludf.DUMMYFUNCTION("GOOGLETRANSLATE(B4009, ""fr"", ""en"")"),"Delighted, I recommend these headphones. Earphones received on time, very packaging design, good sound, practical and pleasant to use, perfect, very happy with my purchase, I recommend these headphones")</f>
        <v>Delighted, I recommend these headphones. Earphones received on time, very packaging design, good sound, practical and pleasant to use, perfect, very happy with my purchase, I recommend these headphones</v>
      </c>
    </row>
    <row r="4010">
      <c r="A4010" s="1">
        <v>5.0</v>
      </c>
      <c r="B4010" s="1" t="s">
        <v>3971</v>
      </c>
      <c r="C4010" t="str">
        <f>IFERROR(__xludf.DUMMYFUNCTION("GOOGLETRANSLATE(B4010, ""fr"", ""en"")"),"reliable seller, funky sneakers The seller is reliable and expeditious with the controls. The sneakers arrived in very little time. These are true, original. By cons attention! Models adidas Shoe little. Then choose one or even a size and 1/3 more than wh"&amp;"at you usually strap on to be good.")</f>
        <v>reliable seller, funky sneakers The seller is reliable and expeditious with the controls. The sneakers arrived in very little time. These are true, original. By cons attention! Models adidas Shoe little. Then choose one or even a size and 1/3 more than what you usually strap on to be good.</v>
      </c>
    </row>
    <row r="4011">
      <c r="A4011" s="1">
        <v>5.0</v>
      </c>
      <c r="B4011" s="1" t="s">
        <v>3972</v>
      </c>
      <c r="C4011" t="str">
        <f>IFERROR(__xludf.DUMMYFUNCTION("GOOGLETRANSLATE(B4011, ""fr"", ""en"")"),"Irreplaceable For years I use it with happiness and not just for clothes children. This product is ideal to loosen the laundry. A handful in a bowl, add water a little hot to melt the soap and soak the stained laundry. My little trick I add a drop of lave"&amp;"nder essence. I then use the ""sauce"" in machine and the machine is bursting with good smell of soap that has nothing to do with the chemical smell of disinfectant that is found in some laundry soap from Marseille said!")</f>
        <v>Irreplaceable For years I use it with happiness and not just for clothes children. This product is ideal to loosen the laundry. A handful in a bowl, add water a little hot to melt the soap and soak the stained laundry. My little trick I add a drop of lavender essence. I then use the "sauce" in machine and the machine is bursting with good smell of soap that has nothing to do with the chemical smell of disinfectant that is found in some laundry soap from Marseille said!</v>
      </c>
    </row>
    <row r="4012">
      <c r="A4012" s="1">
        <v>5.0</v>
      </c>
      <c r="B4012" s="1" t="s">
        <v>3973</v>
      </c>
      <c r="C4012" t="str">
        <f>IFERROR(__xludf.DUMMYFUNCTION("GOOGLETRANSLATE(B4012, ""fr"", ""en"")"),"VERY WELL AND NOT bruillant I ordered this aroma diffuser for the office. The delivery arrived quickly and packaged safely. There is next to the diffuser a small measuring cup, a cleaning brush and the power cord packed in the apparatus. The diffuser is m"&amp;"ade of plastic wood effect, very easy to clean. The apparatus operates quietly, has an automatic stop between 1 and 3 hours or a continuous operation. Embedded LEDs change color. I am satisfied and can now make a perfume and a pleasant mood in my office.")</f>
        <v>VERY WELL AND NOT bruillant I ordered this aroma diffuser for the office. The delivery arrived quickly and packaged safely. There is next to the diffuser a small measuring cup, a cleaning brush and the power cord packed in the apparatus. The diffuser is made of plastic wood effect, very easy to clean. The apparatus operates quietly, has an automatic stop between 1 and 3 hours or a continuous operation. Embedded LEDs change color. I am satisfied and can now make a perfume and a pleasant mood in my office.</v>
      </c>
    </row>
    <row r="4013">
      <c r="A4013" s="1">
        <v>5.0</v>
      </c>
      <c r="B4013" s="1" t="s">
        <v>3974</v>
      </c>
      <c r="C4013" t="str">
        <f>IFERROR(__xludf.DUMMYFUNCTION("GOOGLETRANSLATE(B4013, ""fr"", ""en"")"),"casio casio one day ... forever Very nice watch. It is still relevant in 2016! For the price I recommend it! I am not disappointed")</f>
        <v>casio casio one day ... forever Very nice watch. It is still relevant in 2016! For the price I recommend it! I am not disappointed</v>
      </c>
    </row>
    <row r="4014">
      <c r="A4014" s="1">
        <v>5.0</v>
      </c>
      <c r="B4014" s="1" t="s">
        <v>3975</v>
      </c>
      <c r="C4014" t="str">
        <f>IFERROR(__xludf.DUMMYFUNCTION("GOOGLETRANSLATE(B4014, ""fr"", ""en"")"),"Practice Super practical for drying bottles my girlfriend is super happy.")</f>
        <v>Practice Super practical for drying bottles my girlfriend is super happy.</v>
      </c>
    </row>
    <row r="4015">
      <c r="A4015" s="1">
        <v>5.0</v>
      </c>
      <c r="B4015" s="1" t="s">
        <v>3976</v>
      </c>
      <c r="C4015" t="str">
        <f>IFERROR(__xludf.DUMMYFUNCTION("GOOGLETRANSLATE(B4015, ""fr"", ""en"")"),"shows matching my expectations knowing the altitude and the weather changes in the mountains and in foreign countries, this watch is relatively slight adjustments after some trial and error is relatively intuitive.")</f>
        <v>shows matching my expectations knowing the altitude and the weather changes in the mountains and in foreign countries, this watch is relatively slight adjustments after some trial and error is relatively intuitive.</v>
      </c>
    </row>
    <row r="4016">
      <c r="A4016" s="1">
        <v>5.0</v>
      </c>
      <c r="B4016" s="1" t="s">
        <v>3977</v>
      </c>
      <c r="C4016" t="str">
        <f>IFERROR(__xludf.DUMMYFUNCTION("GOOGLETRANSLATE(B4016, ""fr"", ""en"")"),"A buy without hesitation! In the top ! The format is nickel, quality at the rendezvous. I recommend without hesitation. The delivery was also very fast.")</f>
        <v>A buy without hesitation! In the top ! The format is nickel, quality at the rendezvous. I recommend without hesitation. The delivery was also very fast.</v>
      </c>
    </row>
    <row r="4017">
      <c r="A4017" s="1">
        <v>5.0</v>
      </c>
      <c r="B4017" s="1" t="s">
        <v>3978</v>
      </c>
      <c r="C4017" t="str">
        <f>IFERROR(__xludf.DUMMYFUNCTION("GOOGLETRANSLATE(B4017, ""fr"", ""en"")"),"Good sound! Headphones of good quality and with a sound of hell !!! Very useful for passing the call and fits nicely in the ear. The touch the headset works very well.")</f>
        <v>Good sound! Headphones of good quality and with a sound of hell !!! Very useful for passing the call and fits nicely in the ear. The touch the headset works very well.</v>
      </c>
    </row>
    <row r="4018">
      <c r="A4018" s="1">
        <v>5.0</v>
      </c>
      <c r="B4018" s="1" t="s">
        <v>3979</v>
      </c>
      <c r="C4018" t="str">
        <f>IFERROR(__xludf.DUMMYFUNCTION("GOOGLETRANSLATE(B4018, ""fr"", ""en"")"),"VERY GOOD PRODUCT really suited to those who do not support the bra classic it is a lot that command to a friend who saw them home, although a small bra comfortable and great price 15.99 three ,,,")</f>
        <v>VERY GOOD PRODUCT really suited to those who do not support the bra classic it is a lot that command to a friend who saw them home, although a small bra comfortable and great price 15.99 three ,,,</v>
      </c>
    </row>
    <row r="4019">
      <c r="A4019" s="1">
        <v>5.0</v>
      </c>
      <c r="B4019" s="1" t="s">
        <v>3980</v>
      </c>
      <c r="C4019" t="str">
        <f>IFERROR(__xludf.DUMMYFUNCTION("GOOGLETRANSLATE(B4019, ""fr"", ""en"")"),"Good quality nickel")</f>
        <v>Good quality nickel</v>
      </c>
    </row>
    <row r="4020">
      <c r="A4020" s="1">
        <v>5.0</v>
      </c>
      <c r="B4020" s="1" t="s">
        <v>3981</v>
      </c>
      <c r="C4020" t="str">
        <f>IFERROR(__xludf.DUMMYFUNCTION("GOOGLETRANSLATE(B4020, ""fr"", ""en"")"),"It happened right product on time, my daughter was very happy, it is good quality and the price is affordable so satisfied!")</f>
        <v>It happened right product on time, my daughter was very happy, it is good quality and the price is affordable so satisfied!</v>
      </c>
    </row>
    <row r="4021">
      <c r="A4021" s="1">
        <v>5.0</v>
      </c>
      <c r="B4021" s="1" t="s">
        <v>1261</v>
      </c>
      <c r="C4021" t="str">
        <f>IFERROR(__xludf.DUMMYFUNCTION("GOOGLETRANSLATE(B4021, ""fr"", ""en"")"),"good good")</f>
        <v>good good</v>
      </c>
    </row>
    <row r="4022">
      <c r="A4022" s="1">
        <v>5.0</v>
      </c>
      <c r="B4022" s="1" t="s">
        <v>3982</v>
      </c>
      <c r="C4022" t="str">
        <f>IFERROR(__xludf.DUMMYFUNCTION("GOOGLETRANSLATE(B4022, ""fr"", ""en"")"),"They are well Good price")</f>
        <v>They are well Good price</v>
      </c>
    </row>
    <row r="4023">
      <c r="A4023" s="1">
        <v>5.0</v>
      </c>
      <c r="B4023" s="1" t="s">
        <v>3983</v>
      </c>
      <c r="C4023" t="str">
        <f>IFERROR(__xludf.DUMMYFUNCTION("GOOGLETRANSLATE(B4023, ""fr"", ""en"")"),"Good quality Good quality")</f>
        <v>Good quality Good quality</v>
      </c>
    </row>
    <row r="4024">
      <c r="A4024" s="1">
        <v>2.0</v>
      </c>
      <c r="B4024" s="1" t="s">
        <v>3984</v>
      </c>
      <c r="C4024" t="str">
        <f>IFERROR(__xludf.DUMMYFUNCTION("GOOGLETRANSLATE(B4024, ""fr"", ""en"")"),"Disappointed by the Amazon I quickly got very disappointed but it was an American decision was not the French Amazon would specify in the comments")</f>
        <v>Disappointed by the Amazon I quickly got very disappointed but it was an American decision was not the French Amazon would specify in the comments</v>
      </c>
    </row>
    <row r="4025">
      <c r="A4025" s="1">
        <v>1.0</v>
      </c>
      <c r="B4025" s="1" t="s">
        <v>3985</v>
      </c>
      <c r="C4025" t="str">
        <f>IFERROR(__xludf.DUMMYFUNCTION("GOOGLETRANSLATE(B4025, ""fr"", ""en"")"),"Carastrophique ... Order to offer ... and surprise !! It lacks a diamond ... So imagine my head when the person opened my gift ... Diamond is not even in the box ..")</f>
        <v>Carastrophique ... Order to offer ... and surprise !! It lacks a diamond ... So imagine my head when the person opened my gift ... Diamond is not even in the box ..</v>
      </c>
    </row>
    <row r="4026">
      <c r="A4026" s="1">
        <v>1.0</v>
      </c>
      <c r="B4026" s="1" t="s">
        <v>3986</v>
      </c>
      <c r="C4026" t="str">
        <f>IFERROR(__xludf.DUMMYFUNCTION("GOOGLETRANSLATE(B4026, ""fr"", ""en"")"),"poor reception to a hitch and 2 minutes after a large hole in the sock bin unreliable direction of everything in life I regret not taking the picture !!")</f>
        <v>poor reception to a hitch and 2 minutes after a large hole in the sock bin unreliable direction of everything in life I regret not taking the picture !!</v>
      </c>
    </row>
    <row r="4027">
      <c r="A4027" s="1">
        <v>3.0</v>
      </c>
      <c r="B4027" s="1" t="s">
        <v>3987</v>
      </c>
      <c r="C4027" t="str">
        <f>IFERROR(__xludf.DUMMYFUNCTION("GOOGLETRANSLATE(B4027, ""fr"", ""en"")"),"Ok a little smaller than what I thought and a close button does not work. Then, how are you doing.")</f>
        <v>Ok a little smaller than what I thought and a close button does not work. Then, how are you doing.</v>
      </c>
    </row>
    <row r="4028">
      <c r="A4028" s="1">
        <v>3.0</v>
      </c>
      <c r="B4028" s="1" t="s">
        <v>3988</v>
      </c>
      <c r="C4028" t="str">
        <f>IFERROR(__xludf.DUMMYFUNCTION("GOOGLETRANSLATE(B4028, ""fr"", ""en"")"),"pretty good headphones I bought these headphones for the job and the plane. To date I have not yet had the opportunity to test in these conditions but I had fun doing some tests. For example with the hood of the lit kitchen ... Noise Reduction off, we hea"&amp;"r, activated noise reduction, we hear more ... It's confusing at first but you get done quickly. In terms of sound quality, not a music lover, I can not really judge, the only point I can make is this: the bass is very present some pieces became somewhat "&amp;"painful and unpleasant. Maybe it takes you to a setting of the equalizer of the phone? To see in time. I will update as and measurement.")</f>
        <v>pretty good headphones I bought these headphones for the job and the plane. To date I have not yet had the opportunity to test in these conditions but I had fun doing some tests. For example with the hood of the lit kitchen ... Noise Reduction off, we hear, activated noise reduction, we hear more ... It's confusing at first but you get done quickly. In terms of sound quality, not a music lover, I can not really judge, the only point I can make is this: the bass is very present some pieces became somewhat painful and unpleasant. Maybe it takes you to a setting of the equalizer of the phone? To see in time. I will update as and measurement.</v>
      </c>
    </row>
    <row r="4029">
      <c r="A4029" s="1">
        <v>4.0</v>
      </c>
      <c r="B4029" s="1" t="s">
        <v>3989</v>
      </c>
      <c r="C4029" t="str">
        <f>IFERROR(__xludf.DUMMYFUNCTION("GOOGLETRANSLATE(B4029, ""fr"", ""en"")"),"Bra I am disappointed")</f>
        <v>Bra I am disappointed</v>
      </c>
    </row>
    <row r="4030">
      <c r="A4030" s="1">
        <v>4.0</v>
      </c>
      <c r="B4030" s="1" t="s">
        <v>3990</v>
      </c>
      <c r="C4030" t="str">
        <f>IFERROR(__xludf.DUMMYFUNCTION("GOOGLETRANSLATE(B4030, ""fr"", ""en"")"),"Wouaaaaaaaaah incredible! This design is so beautiful, the watch is fine short on it no complaints. The screen is amazing, AMO LED is very bright and readable in all circumstances. The wear OS experience is really good and complete and I personally love t"&amp;"his OS. In terms of power has mixed: Select activities is very fluid and launches applications quickly and Select activities it lag a bit but overall it does not bother the user experience. The battery life is mediocre but personally I do not mind: I do n"&amp;"ot wear a watch when I eat once I took the opportunity to load it. If one takes a full day in a short intensive use and with many off option (like Gps ....) and if ¾ of an intensive use during the day. &amp; Nbsp; The charger is steep but I would have preferr"&amp;"ed a great support so that the watch does not slip. The setting is beautiful without being exceptional. The leather strap is the most beautiful I've seen to date (I'm not an expert in the field). I really recommend having a smart Watch and if it is not th"&amp;"at one is a subject which I can not do without.")</f>
        <v>Wouaaaaaaaaah incredible! This design is so beautiful, the watch is fine short on it no complaints. The screen is amazing, AMO LED is very bright and readable in all circumstances. The wear OS experience is really good and complete and I personally love this OS. In terms of power has mixed: Select activities is very fluid and launches applications quickly and Select activities it lag a bit but overall it does not bother the user experience. The battery life is mediocre but personally I do not mind: I do not wear a watch when I eat once I took the opportunity to load it. If one takes a full day in a short intensive use and with many off option (like Gps ....) and if ¾ of an intensive use during the day. &amp; Nbsp; The charger is steep but I would have preferred a great support so that the watch does not slip. The setting is beautiful without being exceptional. The leather strap is the most beautiful I've seen to date (I'm not an expert in the field). I really recommend having a smart Watch and if it is not that one is a subject which I can not do without.</v>
      </c>
    </row>
    <row r="4031">
      <c r="A4031" s="1">
        <v>4.0</v>
      </c>
      <c r="B4031" s="1" t="s">
        <v>3991</v>
      </c>
      <c r="C4031" t="str">
        <f>IFERROR(__xludf.DUMMYFUNCTION("GOOGLETRANSLATE(B4031, ""fr"", ""en"")"),"Russell Hobbs 21671 Kettle retro 70 Very satisfied, nice kettle placed on a work plan is very decorative. Heats very quickly, a plus for the temperature, I do not regret my purchase.")</f>
        <v>Russell Hobbs 21671 Kettle retro 70 Very satisfied, nice kettle placed on a work plan is very decorative. Heats very quickly, a plus for the temperature, I do not regret my purchase.</v>
      </c>
    </row>
    <row r="4032">
      <c r="A4032" s="1">
        <v>4.0</v>
      </c>
      <c r="B4032" s="1" t="s">
        <v>3992</v>
      </c>
      <c r="C4032" t="str">
        <f>IFERROR(__xludf.DUMMYFUNCTION("GOOGLETRANSLATE(B4032, ""fr"", ""en"")"),"Pendant bland I found it very nice for the price but I find the pendant bland color does not appear as the picture and small stones")</f>
        <v>Pendant bland I found it very nice for the price but I find the pendant bland color does not appear as the picture and small stones</v>
      </c>
    </row>
    <row r="4033">
      <c r="A4033" s="1">
        <v>5.0</v>
      </c>
      <c r="B4033" s="1" t="s">
        <v>3993</v>
      </c>
      <c r="C4033" t="str">
        <f>IFERROR(__xludf.DUMMYFUNCTION("GOOGLETRANSLATE(B4033, ""fr"", ""en"")"),"Good funky, commen? ons by the negative ... this seller is more expensive than the site Wincase ... and that's it, super fast, in two days it was home. For devices ... this stuff is just great (and not just for Wincases addicts), they connect to devices ("&amp;"Wincase) without any manipulation, it a great battery life and the housing is provided with a booster battery . Compared to all other copies (I know I have done myself), no worries offset voice / image or a single headset that works. In short,? A is expen"&amp;"sive, but level technology is unparalleled.")</f>
        <v>Good funky, commen? ons by the negative ... this seller is more expensive than the site Wincase ... and that's it, super fast, in two days it was home. For devices ... this stuff is just great (and not just for Wincases addicts), they connect to devices (Wincase) without any manipulation, it a great battery life and the housing is provided with a booster battery . Compared to all other copies (I know I have done myself), no worries offset voice / image or a single headset that works. In short,? A is expensive, but level technology is unparalleled.</v>
      </c>
    </row>
    <row r="4034">
      <c r="A4034" s="1">
        <v>5.0</v>
      </c>
      <c r="B4034" s="1" t="s">
        <v>3994</v>
      </c>
      <c r="C4034" t="str">
        <f>IFERROR(__xludf.DUMMYFUNCTION("GOOGLETRANSLATE(B4034, ""fr"", ""en"")"),"Super Perfect thickened milk! My children are immediately adapted to these nipples and take much better their bottles")</f>
        <v>Super Perfect thickened milk! My children are immediately adapted to these nipples and take much better their bottles</v>
      </c>
    </row>
    <row r="4035">
      <c r="A4035" s="1">
        <v>5.0</v>
      </c>
      <c r="B4035" s="1" t="s">
        <v>3995</v>
      </c>
      <c r="C4035" t="str">
        <f>IFERROR(__xludf.DUMMYFUNCTION("GOOGLETRANSLATE(B4035, ""fr"", ""en"")"),"Very good very practical. Strap solid. strong and beautiful bag. Several pouch. large enough inside. Not disappointed with this purchase is very convenient to travel with room for a computer books.")</f>
        <v>Very good very practical. Strap solid. strong and beautiful bag. Several pouch. large enough inside. Not disappointed with this purchase is very convenient to travel with room for a computer books.</v>
      </c>
    </row>
    <row r="4036">
      <c r="A4036" s="1">
        <v>5.0</v>
      </c>
      <c r="B4036" s="1" t="s">
        <v>3996</v>
      </c>
      <c r="C4036" t="str">
        <f>IFERROR(__xludf.DUMMYFUNCTION("GOOGLETRANSLATE(B4036, ""fr"", ""en"")"),"Product quality well cut wearable color and size M compliant for my 38/40")</f>
        <v>Product quality well cut wearable color and size M compliant for my 38/40</v>
      </c>
    </row>
    <row r="4037">
      <c r="A4037" s="1">
        <v>5.0</v>
      </c>
      <c r="B4037" s="1" t="s">
        <v>3997</v>
      </c>
      <c r="C4037" t="str">
        <f>IFERROR(__xludf.DUMMYFUNCTION("GOOGLETRANSLATE(B4037, ""fr"", ""en"")"),"The birthday gift from my father! I bought this for my father's birthday, the quality of the watch is amazing for its price. The watch is very stylish, size is very good and feels very comfortable when worn. My father loves it.")</f>
        <v>The birthday gift from my father! I bought this for my father's birthday, the quality of the watch is amazing for its price. The watch is very stylish, size is very good and feels very comfortable when worn. My father loves it.</v>
      </c>
    </row>
    <row r="4038">
      <c r="A4038" s="1">
        <v>5.0</v>
      </c>
      <c r="B4038" s="1" t="s">
        <v>3998</v>
      </c>
      <c r="C4038" t="str">
        <f>IFERROR(__xludf.DUMMYFUNCTION("GOOGLETRANSLATE(B4038, ""fr"", ""en"")"),"Very satisfied They are awesome")</f>
        <v>Very satisfied They are awesome</v>
      </c>
    </row>
    <row r="4039">
      <c r="A4039" s="1">
        <v>5.0</v>
      </c>
      <c r="B4039" s="1" t="s">
        <v>3999</v>
      </c>
      <c r="C4039" t="str">
        <f>IFERROR(__xludf.DUMMYFUNCTION("GOOGLETRANSLATE(B4039, ""fr"", ""en"")"),"Timeless model timeless model. Multigenerational Very comfortable, both vintage and current. Size confirms. Requires a minimum of maintenance. Delighted with this achzt")</f>
        <v>Timeless model timeless model. Multigenerational Very comfortable, both vintage and current. Size confirms. Requires a minimum of maintenance. Delighted with this achzt</v>
      </c>
    </row>
    <row r="4040">
      <c r="A4040" s="1">
        <v>5.0</v>
      </c>
      <c r="B4040" s="1" t="s">
        <v>4000</v>
      </c>
      <c r="C4040" t="str">
        <f>IFERROR(__xludf.DUMMYFUNCTION("GOOGLETRANSLATE(B4040, ""fr"", ""en"")"),"good. not leather but good product.")</f>
        <v>good. not leather but good product.</v>
      </c>
    </row>
    <row r="4041">
      <c r="A4041" s="1">
        <v>5.0</v>
      </c>
      <c r="B4041" s="1" t="s">
        <v>4001</v>
      </c>
      <c r="C4041" t="str">
        <f>IFERROR(__xludf.DUMMYFUNCTION("GOOGLETRANSLATE(B4041, ""fr"", ""en"")"),"Very good quality comfortable and very light.")</f>
        <v>Very good quality comfortable and very light.</v>
      </c>
    </row>
    <row r="4042">
      <c r="A4042" s="1">
        <v>5.0</v>
      </c>
      <c r="B4042" s="1" t="s">
        <v>4002</v>
      </c>
      <c r="C4042" t="str">
        <f>IFERROR(__xludf.DUMMYFUNCTION("GOOGLETRANSLATE(B4042, ""fr"", ""en"")"),"Ouaou! Headphones portable, fairly comfortable once worn. I do not see the pain even wore three hours later ears, it is very rare")</f>
        <v>Ouaou! Headphones portable, fairly comfortable once worn. I do not see the pain even wore three hours later ears, it is very rare</v>
      </c>
    </row>
    <row r="4043">
      <c r="A4043" s="1">
        <v>5.0</v>
      </c>
      <c r="B4043" s="1" t="s">
        <v>4003</v>
      </c>
      <c r="C4043" t="str">
        <f>IFERROR(__xludf.DUMMYFUNCTION("GOOGLETRANSLATE(B4043, ""fr"", ""en"")"),"WELL WELL")</f>
        <v>WELL WELL</v>
      </c>
    </row>
    <row r="4044">
      <c r="A4044" s="1">
        <v>5.0</v>
      </c>
      <c r="B4044" s="1" t="s">
        <v>838</v>
      </c>
      <c r="C4044" t="str">
        <f>IFERROR(__xludf.DUMMYFUNCTION("GOOGLETRANSLATE(B4044, ""fr"", ""en"")"),"candy")</f>
        <v>candy</v>
      </c>
    </row>
    <row r="4045">
      <c r="A4045" s="1">
        <v>5.0</v>
      </c>
      <c r="B4045" s="1" t="s">
        <v>4004</v>
      </c>
      <c r="C4045" t="str">
        <f>IFERROR(__xludf.DUMMYFUNCTION("GOOGLETRANSLATE(B4045, ""fr"", ""en"")"),"Watch that suits everybody, very classy I bought this watch to offer my boyfriend. He loved it! She arrived early and no particular problem (scratches or other ...)")</f>
        <v>Watch that suits everybody, very classy I bought this watch to offer my boyfriend. He loved it! She arrived early and no particular problem (scratches or other ...)</v>
      </c>
    </row>
    <row r="4046">
      <c r="A4046" s="1">
        <v>5.0</v>
      </c>
      <c r="B4046" s="1" t="s">
        <v>4005</v>
      </c>
      <c r="C4046" t="str">
        <f>IFERROR(__xludf.DUMMYFUNCTION("GOOGLETRANSLATE(B4046, ""fr"", ""en"")"),"faster than his shadow super fast delivery before the scheduled date, and the product according to the one I use for ages; Best of all, Price, sweet as today's time.")</f>
        <v>faster than his shadow super fast delivery before the scheduled date, and the product according to the one I use for ages; Best of all, Price, sweet as today's time.</v>
      </c>
    </row>
    <row r="4047">
      <c r="A4047" s="1">
        <v>5.0</v>
      </c>
      <c r="B4047" s="1" t="s">
        <v>4006</v>
      </c>
      <c r="C4047" t="str">
        <f>IFERROR(__xludf.DUMMYFUNCTION("GOOGLETRANSLATE(B4047, ""fr"", ""en"")"),"Comfortable and convenient! Very comfortable with the memory soles and practical form! I am a fan of Sketchers and could not live without it! It offers good performance despite the absence of lace. I put them in a year, almost every day and it wears slowl"&amp;"y. Only flaw I had, along with another pair, is the inner tissue behind the heel is damaged and it becomes painful as rubbing. But considering the use, it seems normal that there wear. I recommend!!")</f>
        <v>Comfortable and convenient! Very comfortable with the memory soles and practical form! I am a fan of Sketchers and could not live without it! It offers good performance despite the absence of lace. I put them in a year, almost every day and it wears slowly. Only flaw I had, along with another pair, is the inner tissue behind the heel is damaged and it becomes painful as rubbing. But considering the use, it seems normal that there wear. I recommend!!</v>
      </c>
    </row>
    <row r="4048">
      <c r="A4048" s="1">
        <v>2.0</v>
      </c>
      <c r="B4048" s="1" t="s">
        <v>4007</v>
      </c>
      <c r="C4048" t="str">
        <f>IFERROR(__xludf.DUMMYFUNCTION("GOOGLETRANSLATE(B4048, ""fr"", ""en"")"),"Average product. A bit disappointed with this purchase. Received within the time. Bluetooth Ok. But its low. To hear him talk or sing, you have to stick your mouth to the microphone ... very disagreeable when during a birthday for example, 6 children are "&amp;"trying to use the camera in turn.")</f>
        <v>Average product. A bit disappointed with this purchase. Received within the time. Bluetooth Ok. But its low. To hear him talk or sing, you have to stick your mouth to the microphone ... very disagreeable when during a birthday for example, 6 children are trying to use the camera in turn.</v>
      </c>
    </row>
    <row r="4049">
      <c r="A4049" s="1">
        <v>1.0</v>
      </c>
      <c r="B4049" s="1" t="s">
        <v>4008</v>
      </c>
      <c r="C4049" t="str">
        <f>IFERROR(__xludf.DUMMYFUNCTION("GOOGLETRANSLATE(B4049, ""fr"", ""en"")"),"NOT FOR CARDS! Bought for packing boxes Do not stick well, I do not recommend")</f>
        <v>NOT FOR CARDS! Bought for packing boxes Do not stick well, I do not recommend</v>
      </c>
    </row>
    <row r="4050">
      <c r="A4050" s="1">
        <v>1.0</v>
      </c>
      <c r="B4050" s="1" t="s">
        <v>4009</v>
      </c>
      <c r="C4050" t="str">
        <f>IFERROR(__xludf.DUMMYFUNCTION("GOOGLETRANSLATE(B4050, ""fr"", ""en"")"),"It does not please everyone Book received by my daughter of 9 years at Christmas, she found the strange, not really his age. I was inspired by the scores ... total disappointment m being cheated. Why did you buy that ?? Um, Malay ...")</f>
        <v>It does not please everyone Book received by my daughter of 9 years at Christmas, she found the strange, not really his age. I was inspired by the scores ... total disappointment m being cheated. Why did you buy that ?? Um, Malay ...</v>
      </c>
    </row>
    <row r="4051">
      <c r="A4051" s="1">
        <v>3.0</v>
      </c>
      <c r="B4051" s="1" t="s">
        <v>4010</v>
      </c>
      <c r="C4051" t="str">
        <f>IFERROR(__xludf.DUMMYFUNCTION("GOOGLETRANSLATE(B4051, ""fr"", ""en"")"),"Pretty decue product on the picture but that does some real hardware. Using the average 3h prigrammables diffusion does not last more than 2 hours. Sometimes random brightness is racing by fast flashes. As against the dissemination of scents is perfect. S"&amp;"o I wait and see if over time it will diffuser.")</f>
        <v>Pretty decue product on the picture but that does some real hardware. Using the average 3h prigrammables diffusion does not last more than 2 hours. Sometimes random brightness is racing by fast flashes. As against the dissemination of scents is perfect. So I wait and see if over time it will diffuser.</v>
      </c>
    </row>
    <row r="4052">
      <c r="A4052" s="1">
        <v>4.0</v>
      </c>
      <c r="B4052" s="1" t="s">
        <v>4011</v>
      </c>
      <c r="C4052" t="str">
        <f>IFERROR(__xludf.DUMMYFUNCTION("GOOGLETRANSLATE(B4052, ""fr"", ""en"")"),"great product My baby Direct taken MAM bottle, it was expected to make several brands but the first was good Negative: pity that the start has 60ml graduation because it is difficult to see how much baby n ' no drinking sudden a marking from 20ml have bee"&amp;"n more helpful, especially that it is very difficult to realize in the eye of the remaining given the complexity of the bottle down (be rubber background)")</f>
        <v>great product My baby Direct taken MAM bottle, it was expected to make several brands but the first was good Negative: pity that the start has 60ml graduation because it is difficult to see how much baby n ' no drinking sudden a marking from 20ml have been more helpful, especially that it is very difficult to realize in the eye of the remaining given the complexity of the bottle down (be rubber background)</v>
      </c>
    </row>
    <row r="4053">
      <c r="A4053" s="1">
        <v>4.0</v>
      </c>
      <c r="B4053" s="1" t="s">
        <v>4012</v>
      </c>
      <c r="C4053" t="str">
        <f>IFERROR(__xludf.DUMMYFUNCTION("GOOGLETRANSLATE(B4053, ""fr"", ""en"")"),"Nothing to say Nothing to say")</f>
        <v>Nothing to say Nothing to say</v>
      </c>
    </row>
    <row r="4054">
      <c r="A4054" s="1">
        <v>4.0</v>
      </c>
      <c r="B4054" s="1" t="s">
        <v>4013</v>
      </c>
      <c r="C4054" t="str">
        <f>IFERROR(__xludf.DUMMYFUNCTION("GOOGLETRANSLATE(B4054, ""fr"", ""en"")"),"simple to install easily installer- works well even if an error message appears. against by the printer reports the empty cartridge, but it seems that there is some ink when shaken. But for the price I had already ordered and I renewed because the value f"&amp;"or money is very interesting.")</f>
        <v>simple to install easily installer- works well even if an error message appears. against by the printer reports the empty cartridge, but it seems that there is some ink when shaken. But for the price I had already ordered and I renewed because the value for money is very interesting.</v>
      </c>
    </row>
    <row r="4055">
      <c r="A4055" s="1">
        <v>4.0</v>
      </c>
      <c r="B4055" s="1" t="s">
        <v>4014</v>
      </c>
      <c r="C4055" t="str">
        <f>IFERROR(__xludf.DUMMYFUNCTION("GOOGLETRANSLATE(B4055, ""fr"", ""en"")"),"Beautiful sweater time delivery, good quality jacket and crisp. Light but holding hot, for aviators or others.")</f>
        <v>Beautiful sweater time delivery, good quality jacket and crisp. Light but holding hot, for aviators or others.</v>
      </c>
    </row>
    <row r="4056">
      <c r="A4056" s="1">
        <v>5.0</v>
      </c>
      <c r="B4056" s="1" t="s">
        <v>4015</v>
      </c>
      <c r="C4056" t="str">
        <f>IFERROR(__xludf.DUMMYFUNCTION("GOOGLETRANSLATE(B4056, ""fr"", ""en"")"),"super cleans very well and I love the smell")</f>
        <v>super cleans very well and I love the smell</v>
      </c>
    </row>
    <row r="4057">
      <c r="A4057" s="1">
        <v>5.0</v>
      </c>
      <c r="B4057" s="1" t="s">
        <v>4016</v>
      </c>
      <c r="C4057" t="str">
        <f>IFERROR(__xludf.DUMMYFUNCTION("GOOGLETRANSLATE(B4057, ""fr"", ""en"")"),"In the top ! Ideal for singing or for recording meetings. Ideal for course on Skype! I appreciate quality brand so I'll even take the Blue Microphones Raspberry.")</f>
        <v>In the top ! Ideal for singing or for recording meetings. Ideal for course on Skype! I appreciate quality brand so I'll even take the Blue Microphones Raspberry.</v>
      </c>
    </row>
    <row r="4058">
      <c r="A4058" s="1">
        <v>5.0</v>
      </c>
      <c r="B4058" s="1" t="s">
        <v>4017</v>
      </c>
      <c r="C4058" t="str">
        <f>IFERROR(__xludf.DUMMYFUNCTION("GOOGLETRANSLATE(B4058, ""fr"", ""en"")"),"Okay bracelet very nice, beautiful black finish, it is easy to remove the links provided by the device.")</f>
        <v>Okay bracelet very nice, beautiful black finish, it is easy to remove the links provided by the device.</v>
      </c>
    </row>
    <row r="4059">
      <c r="A4059" s="1">
        <v>5.0</v>
      </c>
      <c r="B4059" s="1" t="s">
        <v>4018</v>
      </c>
      <c r="C4059" t="str">
        <f>IFERROR(__xludf.DUMMYFUNCTION("GOOGLETRANSLATE(B4059, ""fr"", ""en"")"),"Ideal comfortable and absolutely modern Light I love")</f>
        <v>Ideal comfortable and absolutely modern Light I love</v>
      </c>
    </row>
    <row r="4060">
      <c r="A4060" s="1">
        <v>5.0</v>
      </c>
      <c r="B4060" s="1" t="s">
        <v>4019</v>
      </c>
      <c r="C4060" t="str">
        <f>IFERROR(__xludf.DUMMYFUNCTION("GOOGLETRANSLATE(B4060, ""fr"", ""en"")"),"Genial Very satisfied")</f>
        <v>Genial Very satisfied</v>
      </c>
    </row>
    <row r="4061">
      <c r="A4061" s="1">
        <v>5.0</v>
      </c>
      <c r="B4061" s="1" t="s">
        <v>4020</v>
      </c>
      <c r="C4061" t="str">
        <f>IFERROR(__xludf.DUMMYFUNCTION("GOOGLETRANSLATE(B4061, ""fr"", ""en"")"),"ok ok")</f>
        <v>ok ok</v>
      </c>
    </row>
    <row r="4062">
      <c r="A4062" s="1">
        <v>5.0</v>
      </c>
      <c r="B4062" s="1" t="s">
        <v>4021</v>
      </c>
      <c r="C4062" t="str">
        <f>IFERROR(__xludf.DUMMYFUNCTION("GOOGLETRANSLATE(B4062, ""fr"", ""en"")"),"Too beautiful!!!!! Super stylish beautiful she wear for all occasions as well as to work for an afternoon of shopping or a romantic dinner 😍😍😍😍")</f>
        <v>Too beautiful!!!!! Super stylish beautiful she wear for all occasions as well as to work for an afternoon of shopping or a romantic dinner 😍😍😍😍</v>
      </c>
    </row>
    <row r="4063">
      <c r="A4063" s="1">
        <v>5.0</v>
      </c>
      <c r="B4063" s="1" t="s">
        <v>4022</v>
      </c>
      <c r="C4063" t="str">
        <f>IFERROR(__xludf.DUMMYFUNCTION("GOOGLETRANSLATE(B4063, ""fr"", ""en"")"),"Of Gift")</f>
        <v>Of Gift</v>
      </c>
    </row>
    <row r="4064">
      <c r="A4064" s="1">
        <v>5.0</v>
      </c>
      <c r="B4064" s="1" t="s">
        <v>4023</v>
      </c>
      <c r="C4064" t="str">
        <f>IFERROR(__xludf.DUMMYFUNCTION("GOOGLETRANSLATE(B4064, ""fr"", ""en"")"),"Too good Super")</f>
        <v>Too good Super</v>
      </c>
    </row>
    <row r="4065">
      <c r="A4065" s="1">
        <v>5.0</v>
      </c>
      <c r="B4065" s="1" t="s">
        <v>4024</v>
      </c>
      <c r="C4065" t="str">
        <f>IFERROR(__xludf.DUMMYFUNCTION("GOOGLETRANSLATE(B4065, ""fr"", ""en"")"),"Soft and comfortable. Did I bought this pair of shoes for my sport. They are very comfortable, flexible and very good style for my taste.")</f>
        <v>Soft and comfortable. Did I bought this pair of shoes for my sport. They are very comfortable, flexible and very good style for my taste.</v>
      </c>
    </row>
    <row r="4066">
      <c r="A4066" s="1">
        <v>5.0</v>
      </c>
      <c r="B4066" s="1" t="s">
        <v>4025</v>
      </c>
      <c r="C4066" t="str">
        <f>IFERROR(__xludf.DUMMYFUNCTION("GOOGLETRANSLATE(B4066, ""fr"", ""en"")"),"Super Hyper practice the only downside is the box is a bit big")</f>
        <v>Super Hyper practice the only downside is the box is a bit big</v>
      </c>
    </row>
    <row r="4067">
      <c r="A4067" s="1">
        <v>5.0</v>
      </c>
      <c r="B4067" s="1" t="s">
        <v>4026</v>
      </c>
      <c r="C4067" t="str">
        <f>IFERROR(__xludf.DUMMYFUNCTION("GOOGLETRANSLATE(B4067, ""fr"", ""en"")"),"Perfect and good price gift for my daughter exactly as planned. Perfect thank you")</f>
        <v>Perfect and good price gift for my daughter exactly as planned. Perfect thank you</v>
      </c>
    </row>
    <row r="4068">
      <c r="A4068" s="1">
        <v>5.0</v>
      </c>
      <c r="B4068" s="1" t="s">
        <v>4027</v>
      </c>
      <c r="C4068" t="str">
        <f>IFERROR(__xludf.DUMMYFUNCTION("GOOGLETRANSLATE(B4068, ""fr"", ""en"")"),"Great product quality very good.")</f>
        <v>Great product quality very good.</v>
      </c>
    </row>
    <row r="4069">
      <c r="A4069" s="1">
        <v>5.0</v>
      </c>
      <c r="B4069" s="1" t="s">
        <v>4028</v>
      </c>
      <c r="C4069" t="str">
        <f>IFERROR(__xludf.DUMMYFUNCTION("GOOGLETRANSLATE(B4069, ""fr"", ""en"")"),"Impeccable Good manufacturing, impeccable quality, size that fits. I recommend")</f>
        <v>Impeccable Good manufacturing, impeccable quality, size that fits. I recommend</v>
      </c>
    </row>
    <row r="4070">
      <c r="A4070" s="1">
        <v>5.0</v>
      </c>
      <c r="B4070" s="1" t="s">
        <v>4029</v>
      </c>
      <c r="C4070" t="str">
        <f>IFERROR(__xludf.DUMMYFUNCTION("GOOGLETRANSLATE(B4070, ""fr"", ""en"")"),"Cheaper than in commerce and more bags Commercially these bags are more expensive and there are only 8 per packaging! I love this product because the bags are ultra-resistant and have wrists that can be tightly closed bags during throw. If you parry this "&amp;"comment useful thank you to click yes and more tests and reviews visit my website, the link is in my profile (English site).")</f>
        <v>Cheaper than in commerce and more bags Commercially these bags are more expensive and there are only 8 per packaging! I love this product because the bags are ultra-resistant and have wrists that can be tightly closed bags during throw. If you parry this comment useful thank you to click yes and more tests and reviews visit my website, the link is in my profile (English site).</v>
      </c>
    </row>
    <row r="4071">
      <c r="A4071" s="1">
        <v>2.0</v>
      </c>
      <c r="B4071" s="1" t="s">
        <v>4030</v>
      </c>
      <c r="C4071" t="str">
        <f>IFERROR(__xludf.DUMMYFUNCTION("GOOGLETRANSLATE(B4071, ""fr"", ""en"")"),"But not suitable for sport If tears very quickly when using")</f>
        <v>But not suitable for sport If tears very quickly when using</v>
      </c>
    </row>
    <row r="4072">
      <c r="A4072" s="1">
        <v>1.0</v>
      </c>
      <c r="B4072" s="1" t="s">
        <v>4031</v>
      </c>
      <c r="C4072" t="str">
        <f>IFERROR(__xludf.DUMMYFUNCTION("GOOGLETRANSLATE(B4072, ""fr"", ""en"")"),"Bad Put me my HP 3636 failed. It was difficult enough to understand that the printer refused the installation of an HP original cartridge at this price. I fumbled for 24 hours, the software detects a trace of ink in the black cartridge. This is not the fi"&amp;"rst time I have had to change a printer to a design flaw in the HP cartridge. willful failure? unintentional failure? Planned obsolescence?? Morality that you take home cartouchez or not, if the machine is programmed to heave nothing fera.Dans this case a"&amp;" star is TOO.")</f>
        <v>Bad Put me my HP 3636 failed. It was difficult enough to understand that the printer refused the installation of an HP original cartridge at this price. I fumbled for 24 hours, the software detects a trace of ink in the black cartridge. This is not the first time I have had to change a printer to a design flaw in the HP cartridge. willful failure? unintentional failure? Planned obsolescence?? Morality that you take home cartouchez or not, if the machine is programmed to heave nothing fera.Dans this case a star is TOO.</v>
      </c>
    </row>
    <row r="4073">
      <c r="A4073" s="1">
        <v>3.0</v>
      </c>
      <c r="B4073" s="1" t="s">
        <v>4032</v>
      </c>
      <c r="C4073" t="str">
        <f>IFERROR(__xludf.DUMMYFUNCTION("GOOGLETRANSLATE(B4073, ""fr"", ""en"")"),"comfortable but ... I took these sandals to the pool. They are comfortable, even if one she slips slightly to the side when wet. But the biggest concern is the drying time ... Several hours are needed before it is dry enough to be rows. Unfortunate and in"&amp;"convenient!")</f>
        <v>comfortable but ... I took these sandals to the pool. They are comfortable, even if one she slips slightly to the side when wet. But the biggest concern is the drying time ... Several hours are needed before it is dry enough to be rows. Unfortunate and inconvenient!</v>
      </c>
    </row>
    <row r="4074">
      <c r="A4074" s="1">
        <v>3.0</v>
      </c>
      <c r="B4074" s="1" t="s">
        <v>4033</v>
      </c>
      <c r="C4074" t="str">
        <f>IFERROR(__xludf.DUMMYFUNCTION("GOOGLETRANSLATE(B4074, ""fr"", ""en"")"),"Very correct soundcore The Liberty Air are very correct, it approximates the original airpods. The box with the headphones is aesthetic and indicates the load. holding is good even in a sport, it takes a little practice to go from one piece to another, vo"&amp;"ice control etc. Beware, there is no command to raise or lower the volume.")</f>
        <v>Very correct soundcore The Liberty Air are very correct, it approximates the original airpods. The box with the headphones is aesthetic and indicates the load. holding is good even in a sport, it takes a little practice to go from one piece to another, voice control etc. Beware, there is no command to raise or lower the volume.</v>
      </c>
    </row>
    <row r="4075">
      <c r="A4075" s="1">
        <v>4.0</v>
      </c>
      <c r="B4075" s="1" t="s">
        <v>4034</v>
      </c>
      <c r="C4075" t="str">
        <f>IFERROR(__xludf.DUMMYFUNCTION("GOOGLETRANSLATE(B4075, ""fr"", ""en"")"),"Good Product A bit noisy")</f>
        <v>Good Product A bit noisy</v>
      </c>
    </row>
    <row r="4076">
      <c r="A4076" s="1">
        <v>4.0</v>
      </c>
      <c r="B4076" s="1" t="s">
        <v>1837</v>
      </c>
      <c r="C4076" t="str">
        <f>IFERROR(__xludf.DUMMYFUNCTION("GOOGLETRANSLATE(B4076, ""fr"", ""en"")"),"Good Good")</f>
        <v>Good Good</v>
      </c>
    </row>
    <row r="4077">
      <c r="A4077" s="1">
        <v>4.0</v>
      </c>
      <c r="B4077" s="1" t="s">
        <v>4035</v>
      </c>
      <c r="C4077" t="str">
        <f>IFERROR(__xludf.DUMMYFUNCTION("GOOGLETRANSLATE(B4077, ""fr"", ""en"")"),"Well I use to listen to the radio throughout the house with good sound quality, even through thick walls. Up to 50 m away.")</f>
        <v>Well I use to listen to the radio throughout the house with good sound quality, even through thick walls. Up to 50 m away.</v>
      </c>
    </row>
    <row r="4078">
      <c r="A4078" s="1">
        <v>4.0</v>
      </c>
      <c r="B4078" s="1" t="s">
        <v>4036</v>
      </c>
      <c r="C4078" t="str">
        <f>IFERROR(__xludf.DUMMYFUNCTION("GOOGLETRANSLATE(B4078, ""fr"", ""en"")"),"Perfect perfect and guns, cannons and they are purchased in promo, a wonder very happy :)")</f>
        <v>Perfect perfect and guns, cannons and they are purchased in promo, a wonder very happy :)</v>
      </c>
    </row>
    <row r="4079">
      <c r="A4079" s="1">
        <v>5.0</v>
      </c>
      <c r="B4079" s="1" t="s">
        <v>4037</v>
      </c>
      <c r="C4079" t="str">
        <f>IFERROR(__xludf.DUMMYFUNCTION("GOOGLETRANSLATE(B4079, ""fr"", ""en"")"),"perfect cotton is pleasant - they are quite thick, very good quality")</f>
        <v>perfect cotton is pleasant - they are quite thick, very good quality</v>
      </c>
    </row>
    <row r="4080">
      <c r="A4080" s="1">
        <v>5.0</v>
      </c>
      <c r="B4080" s="1" t="s">
        <v>4038</v>
      </c>
      <c r="C4080" t="str">
        <f>IFERROR(__xludf.DUMMYFUNCTION("GOOGLETRANSLATE(B4080, ""fr"", ""en"")"),"THANK YOU I LOVE THE PRICE")</f>
        <v>THANK YOU I LOVE THE PRICE</v>
      </c>
    </row>
    <row r="4081">
      <c r="A4081" s="1">
        <v>5.0</v>
      </c>
      <c r="B4081" s="1" t="s">
        <v>4039</v>
      </c>
      <c r="C4081" t="str">
        <f>IFERROR(__xludf.DUMMYFUNCTION("GOOGLETRANSLATE(B4081, ""fr"", ""en"")"),"I love Material very nice!")</f>
        <v>I love Material very nice!</v>
      </c>
    </row>
    <row r="4082">
      <c r="A4082" s="1">
        <v>5.0</v>
      </c>
      <c r="B4082" s="1" t="s">
        <v>4040</v>
      </c>
      <c r="C4082" t="str">
        <f>IFERROR(__xludf.DUMMYFUNCTION("GOOGLETRANSLATE(B4082, ""fr"", ""en"")"),"Vest very thick jacket")</f>
        <v>Vest very thick jacket</v>
      </c>
    </row>
    <row r="4083">
      <c r="A4083" s="1">
        <v>5.0</v>
      </c>
      <c r="B4083" s="1" t="s">
        <v>4041</v>
      </c>
      <c r="C4083" t="str">
        <f>IFERROR(__xludf.DUMMYFUNCTION("GOOGLETRANSLATE(B4083, ""fr"", ""en"")"),"Boots really elegant and comfortable to wear I took a size above mine related reviews of other buyers and yes, they run small so it's perfect. The shoes are stylish, thin and very comfortable to wear. I do not recommanldes for a person with feet ""thick"""&amp;" mine are fine and that greenhouse anyway. By cons they are like slippers! I do not regret my purchase, first time I am taking this brand, I am delighted.")</f>
        <v>Boots really elegant and comfortable to wear I took a size above mine related reviews of other buyers and yes, they run small so it's perfect. The shoes are stylish, thin and very comfortable to wear. I do not recommanldes for a person with feet "thick" mine are fine and that greenhouse anyway. By cons they are like slippers! I do not regret my purchase, first time I am taking this brand, I am delighted.</v>
      </c>
    </row>
    <row r="4084">
      <c r="A4084" s="1">
        <v>5.0</v>
      </c>
      <c r="B4084" s="1" t="s">
        <v>4042</v>
      </c>
      <c r="C4084" t="str">
        <f>IFERROR(__xludf.DUMMYFUNCTION("GOOGLETRANSLATE(B4084, ""fr"", ""en"")"),"I recommend a size above Beautiful! I recommend one size bigger eg I make 37 I took 37 and a half")</f>
        <v>I recommend a size above Beautiful! I recommend one size bigger eg I make 37 I took 37 and a half</v>
      </c>
    </row>
    <row r="4085">
      <c r="A4085" s="1">
        <v>5.0</v>
      </c>
      <c r="B4085" s="1" t="s">
        <v>4043</v>
      </c>
      <c r="C4085" t="str">
        <f>IFERROR(__xludf.DUMMYFUNCTION("GOOGLETRANSLATE(B4085, ""fr"", ""en"")"),"My comments for DYMO Label Manager 160 I'm really satisfied with my purchase. This labeler is very easy to use and very complete. Read still the Quick Start Guide supplied with the machine and better, go to Google to have the complete instructions and FRE"&amp;"NCH PDF that you can print. After that, no problem, you do what you want to access the various functions. The QWERTY keyboard is really convenient and flexible material keys are more pleasant to use. Do not forget to buy 6 AAA batteries are not included w"&amp;"ith the machine. I recommend this purchase.")</f>
        <v>My comments for DYMO Label Manager 160 I'm really satisfied with my purchase. This labeler is very easy to use and very complete. Read still the Quick Start Guide supplied with the machine and better, go to Google to have the complete instructions and FRENCH PDF that you can print. After that, no problem, you do what you want to access the various functions. The QWERTY keyboard is really convenient and flexible material keys are more pleasant to use. Do not forget to buy 6 AAA batteries are not included with the machine. I recommend this purchase.</v>
      </c>
    </row>
    <row r="4086">
      <c r="A4086" s="1">
        <v>5.0</v>
      </c>
      <c r="B4086" s="1" t="s">
        <v>4044</v>
      </c>
      <c r="C4086" t="str">
        <f>IFERROR(__xludf.DUMMYFUNCTION("GOOGLETRANSLATE(B4086, ""fr"", ""en"")"),"Effective J was quickly infested with moth in the house with nothing happens not even a single c is very effective")</f>
        <v>Effective J was quickly infested with moth in the house with nothing happens not even a single c is very effective</v>
      </c>
    </row>
    <row r="4087">
      <c r="A4087" s="1">
        <v>5.0</v>
      </c>
      <c r="B4087" s="1" t="s">
        <v>4045</v>
      </c>
      <c r="C4087" t="str">
        <f>IFERROR(__xludf.DUMMYFUNCTION("GOOGLETRANSLATE(B4087, ""fr"", ""en"")"),"I recommend @ I love perfect 👍👍👍")</f>
        <v>I recommend @ I love perfect 👍👍👍</v>
      </c>
    </row>
    <row r="4088">
      <c r="A4088" s="1">
        <v>5.0</v>
      </c>
      <c r="B4088" s="1" t="s">
        <v>4046</v>
      </c>
      <c r="C4088" t="str">
        <f>IFERROR(__xludf.DUMMYFUNCTION("GOOGLETRANSLATE(B4088, ""fr"", ""en"")"),"exactly like the description Very easy to use perfect quality at the top")</f>
        <v>exactly like the description Very easy to use perfect quality at the top</v>
      </c>
    </row>
    <row r="4089">
      <c r="A4089" s="1">
        <v>5.0</v>
      </c>
      <c r="B4089" s="1" t="s">
        <v>4047</v>
      </c>
      <c r="C4089" t="str">
        <f>IFERROR(__xludf.DUMMYFUNCTION("GOOGLETRANSLATE(B4089, ""fr"", ""en"")"),"Very nice watch top top top shows superb packaging nickel very happy with my purchase A bit complicated for the setting but luckily the instructions of the watch is very well done")</f>
        <v>Very nice watch top top top shows superb packaging nickel very happy with my purchase A bit complicated for the setting but luckily the instructions of the watch is very well done</v>
      </c>
    </row>
    <row r="4090">
      <c r="A4090" s="1">
        <v>5.0</v>
      </c>
      <c r="B4090" s="1" t="s">
        <v>4048</v>
      </c>
      <c r="C4090" t="str">
        <f>IFERROR(__xludf.DUMMYFUNCTION("GOOGLETRANSLATE(B4090, ""fr"", ""en"")"),"Nickel Nice hat, I wanted a cap discreet enough with a nice shape and this one is perfect. The visor is rigid, the fabric is good and the color navy blue with a nice little logo ""NY"" discreet but spring brings the next class. I am very happy with this p"&amp;"urchase")</f>
        <v>Nickel Nice hat, I wanted a cap discreet enough with a nice shape and this one is perfect. The visor is rigid, the fabric is good and the color navy blue with a nice little logo "NY" discreet but spring brings the next class. I am very happy with this purchase</v>
      </c>
    </row>
    <row r="4091">
      <c r="A4091" s="1">
        <v>5.0</v>
      </c>
      <c r="B4091" s="1" t="s">
        <v>4049</v>
      </c>
      <c r="C4091" t="str">
        <f>IFERROR(__xludf.DUMMYFUNCTION("GOOGLETRANSLATE(B4091, ""fr"", ""en"")"),"The important thing is to know without serving Very good product if you know how to use, avoid short washes or not hot enough and everything will be fine. Chemical and produce less aggressive than usual detergents for both the environment and to the skin.")</f>
        <v>The important thing is to know without serving Very good product if you know how to use, avoid short washes or not hot enough and everything will be fine. Chemical and produce less aggressive than usual detergents for both the environment and to the skin.</v>
      </c>
    </row>
    <row r="4092">
      <c r="A4092" s="1">
        <v>5.0</v>
      </c>
      <c r="B4092" s="1" t="s">
        <v>4050</v>
      </c>
      <c r="C4092" t="str">
        <f>IFERROR(__xludf.DUMMYFUNCTION("GOOGLETRANSLATE(B4092, ""fr"", ""en"")"),"effective and odors against 45 nights to forget I spend a month's holiday and I use 2 ais.")</f>
        <v>effective and odors against 45 nights to forget I spend a month's holiday and I use 2 ais.</v>
      </c>
    </row>
    <row r="4093">
      <c r="A4093" s="1">
        <v>5.0</v>
      </c>
      <c r="B4093" s="1" t="s">
        <v>4051</v>
      </c>
      <c r="C4093" t="str">
        <f>IFERROR(__xludf.DUMMYFUNCTION("GOOGLETRANSLATE(B4093, ""fr"", ""en"")"),"Magic compliant Product, fast delivery.")</f>
        <v>Magic compliant Product, fast delivery.</v>
      </c>
    </row>
    <row r="4094">
      <c r="A4094" s="1">
        <v>2.0</v>
      </c>
      <c r="B4094" s="1" t="s">
        <v>4052</v>
      </c>
      <c r="C4094" t="str">
        <f>IFERROR(__xludf.DUMMYFUNCTION("GOOGLETRANSLATE(B4094, ""fr"", ""en"")"),"Brushes not solid. The paletttes are, brushes are not solid. They hold 2min penalty in the hand of my son. Pity")</f>
        <v>Brushes not solid. The paletttes are, brushes are not solid. They hold 2min penalty in the hand of my son. Pity</v>
      </c>
    </row>
    <row r="4095">
      <c r="A4095" s="1">
        <v>1.0</v>
      </c>
      <c r="B4095" s="1" t="s">
        <v>4053</v>
      </c>
      <c r="C4095" t="str">
        <f>IFERROR(__xludf.DUMMYFUNCTION("GOOGLETRANSLATE(B4095, ""fr"", ""en"")"),"MAXI SCAM !!!! This so-called washing ball is made of a flexible plastic common sphere without lid for a slow release of the detergent. This piece of soft plastic is not worth more than 10 cents as long as we want at all costs to buy it. Paid € 9.95 it is"&amp;" better extrude an old tennis ball !!")</f>
        <v>MAXI SCAM !!!! This so-called washing ball is made of a flexible plastic common sphere without lid for a slow release of the detergent. This piece of soft plastic is not worth more than 10 cents as long as we want at all costs to buy it. Paid € 9.95 it is better extrude an old tennis ball !!</v>
      </c>
    </row>
    <row r="4096">
      <c r="A4096" s="1">
        <v>1.0</v>
      </c>
      <c r="B4096" s="1" t="s">
        <v>4054</v>
      </c>
      <c r="C4096" t="str">
        <f>IFERROR(__xludf.DUMMYFUNCTION("GOOGLETRANSLATE(B4096, ""fr"", ""en"")"),"Odor appalling These tissues have a horrible smell of fish")</f>
        <v>Odor appalling These tissues have a horrible smell of fish</v>
      </c>
    </row>
    <row r="4097">
      <c r="A4097" s="1">
        <v>3.0</v>
      </c>
      <c r="B4097" s="1" t="s">
        <v>4055</v>
      </c>
      <c r="C4097" t="str">
        <f>IFERROR(__xludf.DUMMYFUNCTION("GOOGLETRANSLATE(B4097, ""fr"", ""en"")"),"Worth its price Held 15 days door every day. For the price you should not expect better anyway!")</f>
        <v>Worth its price Held 15 days door every day. For the price you should not expect better anyway!</v>
      </c>
    </row>
    <row r="4098">
      <c r="A4098" s="1">
        <v>3.0</v>
      </c>
      <c r="B4098" s="1" t="s">
        <v>4056</v>
      </c>
      <c r="C4098" t="str">
        <f>IFERROR(__xludf.DUMMYFUNCTION("GOOGLETRANSLATE(B4098, ""fr"", ""en"")"),"Beautiful bag Product Fairtrade but leaves high carbon footprint (manufacturing in India, Italian company). Beautiful leather, size consistent with the description.")</f>
        <v>Beautiful bag Product Fairtrade but leaves high carbon footprint (manufacturing in India, Italian company). Beautiful leather, size consistent with the description.</v>
      </c>
    </row>
    <row r="4099">
      <c r="A4099" s="1">
        <v>4.0</v>
      </c>
      <c r="B4099" s="1" t="s">
        <v>4057</v>
      </c>
      <c r="C4099" t="str">
        <f>IFERROR(__xludf.DUMMYFUNCTION("GOOGLETRANSLATE(B4099, ""fr"", ""en"")"),"Warning, Shoe great !! Boots quality, the color of the picture is true to life, on this point you do have no surprises, but pay attention to size, these great Shoe boots, I had ordered at 42, I have returned and 41 redeemed.")</f>
        <v>Warning, Shoe great !! Boots quality, the color of the picture is true to life, on this point you do have no surprises, but pay attention to size, these great Shoe boots, I had ordered at 42, I have returned and 41 redeemed.</v>
      </c>
    </row>
    <row r="4100">
      <c r="A4100" s="1">
        <v>4.0</v>
      </c>
      <c r="B4100" s="1" t="s">
        <v>4058</v>
      </c>
      <c r="C4100" t="str">
        <f>IFERROR(__xludf.DUMMYFUNCTION("GOOGLETRANSLATE(B4100, ""fr"", ""en"")"),"Purchase Basketball labor for work took a size above are my size it's fine Basketball comfortable to see the Very nice design time")</f>
        <v>Purchase Basketball labor for work took a size above are my size it's fine Basketball comfortable to see the Very nice design time</v>
      </c>
    </row>
    <row r="4101">
      <c r="A4101" s="1">
        <v>4.0</v>
      </c>
      <c r="B4101" s="1" t="s">
        <v>4059</v>
      </c>
      <c r="C4101" t="str">
        <f>IFERROR(__xludf.DUMMYFUNCTION("GOOGLETRANSLATE(B4101, ""fr"", ""en"")"),"Dreadlocks nice but from the 1st use the product abyss")</f>
        <v>Dreadlocks nice but from the 1st use the product abyss</v>
      </c>
    </row>
    <row r="4102">
      <c r="A4102" s="1">
        <v>4.0</v>
      </c>
      <c r="B4102" s="1" t="s">
        <v>4060</v>
      </c>
      <c r="C4102" t="str">
        <f>IFERROR(__xludf.DUMMYFUNCTION("GOOGLETRANSLATE(B4102, ""fr"", ""en"")"),"Nice for my teen! My teen love !!! Model very nice and very correct. The sneakers were received quickly. The quality seems to go")</f>
        <v>Nice for my teen! My teen love !!! Model very nice and very correct. The sneakers were received quickly. The quality seems to go</v>
      </c>
    </row>
    <row r="4103">
      <c r="A4103" s="1">
        <v>4.0</v>
      </c>
      <c r="B4103" s="1" t="s">
        <v>4061</v>
      </c>
      <c r="C4103" t="str">
        <f>IFERROR(__xludf.DUMMYFUNCTION("GOOGLETRANSLATE(B4103, ""fr"", ""en"")"),"Beautiful and strong Jen am very happy ..")</f>
        <v>Beautiful and strong Jen am very happy ..</v>
      </c>
    </row>
    <row r="4104">
      <c r="A4104" s="1">
        <v>5.0</v>
      </c>
      <c r="B4104" s="1" t="s">
        <v>4062</v>
      </c>
      <c r="C4104" t="str">
        <f>IFERROR(__xludf.DUMMYFUNCTION("GOOGLETRANSLATE(B4104, ""fr"", ""en"")"),"ok value for money, you have to buy the bottle and not Natural Classic Philips Avent otherwise it will not fit.")</f>
        <v>ok value for money, you have to buy the bottle and not Natural Classic Philips Avent otherwise it will not fit.</v>
      </c>
    </row>
    <row r="4105">
      <c r="A4105" s="1">
        <v>5.0</v>
      </c>
      <c r="B4105" s="1" t="s">
        <v>4063</v>
      </c>
      <c r="C4105" t="str">
        <f>IFERROR(__xludf.DUMMYFUNCTION("GOOGLETRANSLATE(B4105, ""fr"", ""en"")"),"Okay Nothing to say in particular is what is expected of a teat medium flow. Hole small anyway I have bought the flow at desssus")</f>
        <v>Okay Nothing to say in particular is what is expected of a teat medium flow. Hole small anyway I have bought the flow at desssus</v>
      </c>
    </row>
    <row r="4106">
      <c r="A4106" s="1">
        <v>5.0</v>
      </c>
      <c r="B4106" s="1" t="s">
        <v>4064</v>
      </c>
      <c r="C4106" t="str">
        <f>IFERROR(__xludf.DUMMYFUNCTION("GOOGLETRANSLATE(B4106, ""fr"", ""en"")"),"Top to mix bottles This mixer is used from 1 month of my son to mix his bottles! Ideal for milk that had to hurt to dissolve")</f>
        <v>Top to mix bottles This mixer is used from 1 month of my son to mix his bottles! Ideal for milk that had to hurt to dissolve</v>
      </c>
    </row>
    <row r="4107">
      <c r="A4107" s="1">
        <v>5.0</v>
      </c>
      <c r="B4107" s="1" t="s">
        <v>4065</v>
      </c>
      <c r="C4107" t="str">
        <f>IFERROR(__xludf.DUMMYFUNCTION("GOOGLETRANSLATE(B4107, ""fr"", ""en"")"),"Very good product The brand lives up to its reputation. Excellent massage seat. Quality materials and perfect finishes. It is very effective and really helps target exactly the massage you want thanks to its numerous modes of operation. A session of 15 mi"&amp;"nutes every night, a treat before bed. I highly recommend.")</f>
        <v>Very good product The brand lives up to its reputation. Excellent massage seat. Quality materials and perfect finishes. It is very effective and really helps target exactly the massage you want thanks to its numerous modes of operation. A session of 15 minutes every night, a treat before bed. I highly recommend.</v>
      </c>
    </row>
    <row r="4108">
      <c r="A4108" s="1">
        <v>5.0</v>
      </c>
      <c r="B4108" s="1" t="s">
        <v>4066</v>
      </c>
      <c r="C4108" t="str">
        <f>IFERROR(__xludf.DUMMYFUNCTION("GOOGLETRANSLATE(B4108, ""fr"", ""en"")"),"Nickel Okay Fast delivery")</f>
        <v>Nickel Okay Fast delivery</v>
      </c>
    </row>
    <row r="4109">
      <c r="A4109" s="1">
        <v>5.0</v>
      </c>
      <c r="B4109" s="1" t="s">
        <v>4067</v>
      </c>
      <c r="C4109" t="str">
        <f>IFERROR(__xludf.DUMMYFUNCTION("GOOGLETRANSLATE(B4109, ""fr"", ""en"")"),"Very satisfied with my purchase very good product sound quality is perfect the excellent Bluetooth connection without static or break the headphones are very nice aesthetically. Really satisfied with my purchase")</f>
        <v>Very satisfied with my purchase very good product sound quality is perfect the excellent Bluetooth connection without static or break the headphones are very nice aesthetically. Really satisfied with my purchase</v>
      </c>
    </row>
    <row r="4110">
      <c r="A4110" s="1">
        <v>5.0</v>
      </c>
      <c r="B4110" s="1" t="s">
        <v>4068</v>
      </c>
      <c r="C4110" t="str">
        <f>IFERROR(__xludf.DUMMYFUNCTION("GOOGLETRANSLATE(B4110, ""fr"", ""en"")"),"BRUSH PRACTICE super brush to practice whiteboard for little hands of my little girl I recommend this good buy")</f>
        <v>BRUSH PRACTICE super brush to practice whiteboard for little hands of my little girl I recommend this good buy</v>
      </c>
    </row>
    <row r="4111">
      <c r="A4111" s="1">
        <v>5.0</v>
      </c>
      <c r="B4111" s="1" t="s">
        <v>4069</v>
      </c>
      <c r="C4111" t="str">
        <f>IFERROR(__xludf.DUMMYFUNCTION("GOOGLETRANSLATE(B4111, ""fr"", ""en"")"),"neck pouch beautiful bag but too big for me, good quality and strong that damage suits'd take me another but smaller")</f>
        <v>neck pouch beautiful bag but too big for me, good quality and strong that damage suits'd take me another but smaller</v>
      </c>
    </row>
    <row r="4112">
      <c r="A4112" s="1">
        <v>5.0</v>
      </c>
      <c r="B4112" s="1" t="s">
        <v>4070</v>
      </c>
      <c r="C4112" t="str">
        <f>IFERROR(__xludf.DUMMYFUNCTION("GOOGLETRANSLATE(B4112, ""fr"", ""en"")"),"Practical Small compact bag, very convenient. Its design is simple, black with a small metal plate on the front, very masculine. The quality is very good. Although small, it consists of three zip pockets and a pocket on the front. The pockets are wide eno"&amp;"ugh to encourage the return of little things, my smartphone 6 inches will fit without problems. There is also a pen holder on the side. Two straps are provided to allow the bag to wear over the shoulder or around the waist. My husband is from XXL and adju"&amp;"stable strap set to the maximum size is far too large. Virtually all body may agree! It is also possible thanks to the hanger attach the bag to the belt.")</f>
        <v>Practical Small compact bag, very convenient. Its design is simple, black with a small metal plate on the front, very masculine. The quality is very good. Although small, it consists of three zip pockets and a pocket on the front. The pockets are wide enough to encourage the return of little things, my smartphone 6 inches will fit without problems. There is also a pen holder on the side. Two straps are provided to allow the bag to wear over the shoulder or around the waist. My husband is from XXL and adjustable strap set to the maximum size is far too large. Virtually all body may agree! It is also possible thanks to the hanger attach the bag to the belt.</v>
      </c>
    </row>
    <row r="4113">
      <c r="A4113" s="1">
        <v>5.0</v>
      </c>
      <c r="B4113" s="1" t="s">
        <v>4071</v>
      </c>
      <c r="C4113" t="str">
        <f>IFERROR(__xludf.DUMMYFUNCTION("GOOGLETRANSLATE(B4113, ""fr"", ""en"")"),"GOOD PRODUCT SPORT INDOOR PRODUCT VERY WELL SUITED")</f>
        <v>GOOD PRODUCT SPORT INDOOR PRODUCT VERY WELL SUITED</v>
      </c>
    </row>
    <row r="4114">
      <c r="A4114" s="1">
        <v>5.0</v>
      </c>
      <c r="B4114" s="1" t="s">
        <v>4072</v>
      </c>
      <c r="C4114" t="str">
        <f>IFERROR(__xludf.DUMMYFUNCTION("GOOGLETRANSLATE(B4114, ""fr"", ""en"")"),"great product fast delivery product conforms to the description! I am a follower of these bottles that my daughter, breastfed, takes easily!")</f>
        <v>great product fast delivery product conforms to the description! I am a follower of these bottles that my daughter, breastfed, takes easily!</v>
      </c>
    </row>
    <row r="4115">
      <c r="A4115" s="1">
        <v>5.0</v>
      </c>
      <c r="B4115" s="1" t="s">
        <v>4073</v>
      </c>
      <c r="C4115" t="str">
        <f>IFERROR(__xludf.DUMMYFUNCTION("GOOGLETRANSLATE(B4115, ""fr"", ""en"")"),"night ok +")</f>
        <v>night ok +</v>
      </c>
    </row>
    <row r="4116">
      <c r="A4116" s="1">
        <v>5.0</v>
      </c>
      <c r="B4116" s="1" t="s">
        <v>4074</v>
      </c>
      <c r="C4116" t="str">
        <f>IFERROR(__xludf.DUMMYFUNCTION("GOOGLETRANSLATE(B4116, ""fr"", ""en"")"),"The cartridge that can be expected cartridge of regretting not being able to use compatible, much cheaper!")</f>
        <v>The cartridge that can be expected cartridge of regretting not being able to use compatible, much cheaper!</v>
      </c>
    </row>
    <row r="4117">
      <c r="A4117" s="1">
        <v>5.0</v>
      </c>
      <c r="B4117" s="1" t="s">
        <v>4075</v>
      </c>
      <c r="C4117" t="str">
        <f>IFERROR(__xludf.DUMMYFUNCTION("GOOGLETRANSLATE(B4117, ""fr"", ""en"")"),"Top Notch Just Wouahou! They are perfect. Both on the price than quality. No matter where you are, you can listen to your music without background noise. Fits very well to the ears thanks to the 3 sizes of nozzles available. Were my first wireless headpho"&amp;"nes and frankly I do not regret. I recommend much!")</f>
        <v>Top Notch Just Wouahou! They are perfect. Both on the price than quality. No matter where you are, you can listen to your music without background noise. Fits very well to the ears thanks to the 3 sizes of nozzles available. Were my first wireless headphones and frankly I do not regret. I recommend much!</v>
      </c>
    </row>
    <row r="4118">
      <c r="A4118" s="1">
        <v>5.0</v>
      </c>
      <c r="B4118" s="1" t="s">
        <v>4076</v>
      </c>
      <c r="C4118" t="str">
        <f>IFERROR(__xludf.DUMMYFUNCTION("GOOGLETRANSLATE(B4118, ""fr"", ""en"")"),"excellent product for creating I've been using this product for creations of all kinds and I love the reflection Metallic, colors and possible mixes! I would like to find at least two other metallised white felt, because the outfit is special for me, crea"&amp;"tor! I can make mixes and my work on metal is positive! Me, I am delighted with this purchase, I recommend it and there is a way to keep the felt to make more or less thick lines.")</f>
        <v>excellent product for creating I've been using this product for creations of all kinds and I love the reflection Metallic, colors and possible mixes! I would like to find at least two other metallised white felt, because the outfit is special for me, creator! I can make mixes and my work on metal is positive! Me, I am delighted with this purchase, I recommend it and there is a way to keep the felt to make more or less thick lines.</v>
      </c>
    </row>
    <row r="4119">
      <c r="A4119" s="1">
        <v>2.0</v>
      </c>
      <c r="B4119" s="1" t="s">
        <v>4077</v>
      </c>
      <c r="C4119" t="str">
        <f>IFERROR(__xludf.DUMMYFUNCTION("GOOGLETRANSLATE(B4119, ""fr"", ""en"")"),"I do not recommend the scratching tissue after 10 minutes of training. My husband uses it more.")</f>
        <v>I do not recommend the scratching tissue after 10 minutes of training. My husband uses it more.</v>
      </c>
    </row>
    <row r="4120">
      <c r="A4120" s="1">
        <v>1.0</v>
      </c>
      <c r="B4120" s="1" t="s">
        <v>4078</v>
      </c>
      <c r="C4120" t="str">
        <f>IFERROR(__xludf.DUMMYFUNCTION("GOOGLETRANSLATE(B4120, ""fr"", ""en"")"),"Loose back, lost his ear in one day! The media did not fit and the earrings continued to fall. I tried to use several types of media that I had, but unfortunately, these earrings could not stay.")</f>
        <v>Loose back, lost his ear in one day! The media did not fit and the earrings continued to fall. I tried to use several types of media that I had, but unfortunately, these earrings could not stay.</v>
      </c>
    </row>
    <row r="4121">
      <c r="A4121" s="1">
        <v>1.0</v>
      </c>
      <c r="B4121" s="1" t="s">
        <v>4079</v>
      </c>
      <c r="C4121" t="str">
        <f>IFERROR(__xludf.DUMMYFUNCTION("GOOGLETRANSLATE(B4121, ""fr"", ""en"")"),"mouth print head these cartridges are compatible with my printer Pixma TS8000, but clog print head which requires a thorough cleaning before each page print")</f>
        <v>mouth print head these cartridges are compatible with my printer Pixma TS8000, but clog print head which requires a thorough cleaning before each page print</v>
      </c>
    </row>
    <row r="4122">
      <c r="A4122" s="1">
        <v>3.0</v>
      </c>
      <c r="B4122" s="1" t="s">
        <v>4080</v>
      </c>
      <c r="C4122" t="str">
        <f>IFERROR(__xludf.DUMMYFUNCTION("GOOGLETRANSLATE(B4122, ""fr"", ""en"")"),"My second pair of checkers I do not remember that they were also uncomfortable at first ... My first pair kept me 2 years dropped me (I wore them almost all the time every day, even a both holes) I do not know if it's the fact of being passed nike meantim"&amp;"e but the sole is not the most comfortable and I skated with a session and I have some very sorry for ... Well the city, forget for tricks")</f>
        <v>My second pair of checkers I do not remember that they were also uncomfortable at first ... My first pair kept me 2 years dropped me (I wore them almost all the time every day, even a both holes) I do not know if it's the fact of being passed nike meantime but the sole is not the most comfortable and I skated with a session and I have some very sorry for ... Well the city, forget for tricks</v>
      </c>
    </row>
    <row r="4123">
      <c r="A4123" s="1">
        <v>3.0</v>
      </c>
      <c r="B4123" s="1" t="s">
        <v>4081</v>
      </c>
      <c r="C4123" t="str">
        <f>IFERROR(__xludf.DUMMYFUNCTION("GOOGLETRANSLATE(B4123, ""fr"", ""en"")"),"It does the job but disappointed by the capacitance between the display and the reality it is marked 1.7L but in reality one can put it that one liter to thus heat a little disappointed about that but hey it does the job")</f>
        <v>It does the job but disappointed by the capacitance between the display and the reality it is marked 1.7L but in reality one can put it that one liter to thus heat a little disappointed about that but hey it does the job</v>
      </c>
    </row>
    <row r="4124">
      <c r="A4124" s="1">
        <v>4.0</v>
      </c>
      <c r="B4124" s="1" t="s">
        <v>4082</v>
      </c>
      <c r="C4124" t="str">
        <f>IFERROR(__xludf.DUMMYFUNCTION("GOOGLETRANSLATE(B4124, ""fr"", ""en"")"),"useful medium quality +")</f>
        <v>useful medium quality +</v>
      </c>
    </row>
    <row r="4125">
      <c r="A4125" s="1">
        <v>4.0</v>
      </c>
      <c r="B4125" s="1" t="s">
        <v>4083</v>
      </c>
      <c r="C4125" t="str">
        <f>IFERROR(__xludf.DUMMYFUNCTION("GOOGLETRANSLATE(B4125, ""fr"", ""en"")"),"Watch Lige sport black &amp; amp; gold Very good price / quality / style .. very elegant wrist")</f>
        <v>Watch Lige sport black &amp; amp; gold Very good price / quality / style .. very elegant wrist</v>
      </c>
    </row>
    <row r="4126">
      <c r="A4126" s="1">
        <v>4.0</v>
      </c>
      <c r="B4126" s="1" t="s">
        <v>4084</v>
      </c>
      <c r="C4126" t="str">
        <f>IFERROR(__xludf.DUMMYFUNCTION("GOOGLETRANSLATE(B4126, ""fr"", ""en"")"),"Very good hiking shoes very good performance, durable and comfortable This is already my 3rd pair of Columbia!")</f>
        <v>Very good hiking shoes very good performance, durable and comfortable This is already my 3rd pair of Columbia!</v>
      </c>
    </row>
    <row r="4127">
      <c r="A4127" s="1">
        <v>4.0</v>
      </c>
      <c r="B4127" s="1" t="s">
        <v>4085</v>
      </c>
      <c r="C4127" t="str">
        <f>IFERROR(__xludf.DUMMYFUNCTION("GOOGLETRANSLATE(B4127, ""fr"", ""en"")"),"a beautiful pendant cute snowflake making good for the price I paid (less than 20 €) Personally I carry on a real silver chain and it is not fake at all, very happy contrary my new snowflake")</f>
        <v>a beautiful pendant cute snowflake making good for the price I paid (less than 20 €) Personally I carry on a real silver chain and it is not fake at all, very happy contrary my new snowflake</v>
      </c>
    </row>
    <row r="4128">
      <c r="A4128" s="1">
        <v>5.0</v>
      </c>
      <c r="B4128" s="1" t="s">
        <v>4086</v>
      </c>
      <c r="C4128" t="str">
        <f>IFERROR(__xludf.DUMMYFUNCTION("GOOGLETRANSLATE(B4128, ""fr"", ""en"")"),"usefulness of essential oils! I have used this product for a toothache and it works .A drop on a cotton swab and apply to the tooth and gum!")</f>
        <v>usefulness of essential oils! I have used this product for a toothache and it works .A drop on a cotton swab and apply to the tooth and gum!</v>
      </c>
    </row>
    <row r="4129">
      <c r="A4129" s="1">
        <v>5.0</v>
      </c>
      <c r="B4129" s="1" t="s">
        <v>4087</v>
      </c>
      <c r="C4129" t="str">
        <f>IFERROR(__xludf.DUMMYFUNCTION("GOOGLETRANSLATE(B4129, ""fr"", ""en"")"),"Quality products ! I received my product with no problem, Aigle boots are good quality. For small size made against her attention. In any case if you are looking for good quality boots I recommend you. (Given that the price is not excessive for boots of t"&amp;"his quality.)")</f>
        <v>Quality products ! I received my product with no problem, Aigle boots are good quality. For small size made against her attention. In any case if you are looking for good quality boots I recommend you. (Given that the price is not excessive for boots of this quality.)</v>
      </c>
    </row>
    <row r="4130">
      <c r="A4130" s="1">
        <v>5.0</v>
      </c>
      <c r="B4130" s="1" t="s">
        <v>4088</v>
      </c>
      <c r="C4130" t="str">
        <f>IFERROR(__xludf.DUMMYFUNCTION("GOOGLETRANSLATE(B4130, ""fr"", ""en"")"),"Relaxation on top Brilliant! super relaxation product, top delivery and fast! I recommend ! zenatitude in sight!")</f>
        <v>Relaxation on top Brilliant! super relaxation product, top delivery and fast! I recommend ! zenatitude in sight!</v>
      </c>
    </row>
    <row r="4131">
      <c r="A4131" s="1">
        <v>5.0</v>
      </c>
      <c r="B4131" s="1" t="s">
        <v>4089</v>
      </c>
      <c r="C4131" t="str">
        <f>IFERROR(__xludf.DUMMYFUNCTION("GOOGLETRANSLATE(B4131, ""fr"", ""en"")"),"Top! The new balance small size but comfort quality at top")</f>
        <v>Top! The new balance small size but comfort quality at top</v>
      </c>
    </row>
    <row r="4132">
      <c r="A4132" s="1">
        <v>5.0</v>
      </c>
      <c r="B4132" s="1" t="s">
        <v>4090</v>
      </c>
      <c r="C4132" t="str">
        <f>IFERROR(__xludf.DUMMYFUNCTION("GOOGLETRANSLATE(B4132, ""fr"", ""en"")"),"This quality very efficient in sound and volume and quality at the price")</f>
        <v>This quality very efficient in sound and volume and quality at the price</v>
      </c>
    </row>
    <row r="4133">
      <c r="A4133" s="1">
        <v>5.0</v>
      </c>
      <c r="B4133" s="1" t="s">
        <v>4091</v>
      </c>
      <c r="C4133" t="str">
        <f>IFERROR(__xludf.DUMMYFUNCTION("GOOGLETRANSLATE(B4133, ""fr"", ""en"")"),"economic, not smudge or stain, erasable pen all in one that recharges very easily and contains an eraser. It is very pleasant to write with. More leak ink everywhere, burr and at lower cost. I highly recommend this range in all colors.")</f>
        <v>economic, not smudge or stain, erasable pen all in one that recharges very easily and contains an eraser. It is very pleasant to write with. More leak ink everywhere, burr and at lower cost. I highly recommend this range in all colors.</v>
      </c>
    </row>
    <row r="4134">
      <c r="A4134" s="1">
        <v>5.0</v>
      </c>
      <c r="B4134" s="1" t="s">
        <v>4092</v>
      </c>
      <c r="C4134" t="str">
        <f>IFERROR(__xludf.DUMMYFUNCTION("GOOGLETRANSLATE(B4134, ""fr"", ""en"")"),"super super headphones, good sound quality, bends easily. Ideal for limited budget. My teen son love the blue and does not break the ears with poor quality headphones, which we are forced to hard to hear the words.")</f>
        <v>super super headphones, good sound quality, bends easily. Ideal for limited budget. My teen son love the blue and does not break the ears with poor quality headphones, which we are forced to hard to hear the words.</v>
      </c>
    </row>
    <row r="4135">
      <c r="A4135" s="1">
        <v>5.0</v>
      </c>
      <c r="B4135" s="1" t="s">
        <v>4093</v>
      </c>
      <c r="C4135" t="str">
        <f>IFERROR(__xludf.DUMMYFUNCTION("GOOGLETRANSLATE(B4135, ""fr"", ""en"")"),"Very good article Article up to my expectations")</f>
        <v>Very good article Article up to my expectations</v>
      </c>
    </row>
    <row r="4136">
      <c r="A4136" s="1">
        <v>5.0</v>
      </c>
      <c r="B4136" s="1" t="s">
        <v>4094</v>
      </c>
      <c r="C4136" t="str">
        <f>IFERROR(__xludf.DUMMYFUNCTION("GOOGLETRANSLATE(B4136, ""fr"", ""en"")"),"Good triplex He is being asked :)")</f>
        <v>Good triplex He is being asked :)</v>
      </c>
    </row>
    <row r="4137">
      <c r="A4137" s="1">
        <v>5.0</v>
      </c>
      <c r="B4137" s="1" t="s">
        <v>4095</v>
      </c>
      <c r="C4137" t="str">
        <f>IFERROR(__xludf.DUMMYFUNCTION("GOOGLETRANSLATE(B4137, ""fr"", ""en"")"),"Nickel In time right size")</f>
        <v>Nickel In time right size</v>
      </c>
    </row>
    <row r="4138">
      <c r="A4138" s="1">
        <v>5.0</v>
      </c>
      <c r="B4138" s="1" t="s">
        <v>4096</v>
      </c>
      <c r="C4138" t="str">
        <f>IFERROR(__xludf.DUMMYFUNCTION("GOOGLETRANSLATE(B4138, ""fr"", ""en"")"),"comply comply with the description and good quality")</f>
        <v>comply comply with the description and good quality</v>
      </c>
    </row>
    <row r="4139">
      <c r="A4139" s="1">
        <v>5.0</v>
      </c>
      <c r="B4139" s="1" t="s">
        <v>4097</v>
      </c>
      <c r="C4139" t="str">
        <f>IFERROR(__xludf.DUMMYFUNCTION("GOOGLETRANSLATE(B4139, ""fr"", ""en"")"),"Comfortable and amplified sounds Wireless Headphones used for the tablet. Although this one is not of excellent quality, the headset solves the sound problem. It is quite light and comfortable to wear.")</f>
        <v>Comfortable and amplified sounds Wireless Headphones used for the tablet. Although this one is not of excellent quality, the headset solves the sound problem. It is quite light and comfortable to wear.</v>
      </c>
    </row>
    <row r="4140">
      <c r="A4140" s="1">
        <v>5.0</v>
      </c>
      <c r="B4140" s="1" t="s">
        <v>4098</v>
      </c>
      <c r="C4140" t="str">
        <f>IFERROR(__xludf.DUMMYFUNCTION("GOOGLETRANSLATE(B4140, ""fr"", ""en"")"),"Nikel got nothing to say in advance even even arrived in advance the size nikel I took the S / M and perfect normally I S and the color and skimpy little flat I thought the bottom was white but it is infact beige but nothing serious end well for me in the"&amp;" pictures we say white")</f>
        <v>Nikel got nothing to say in advance even even arrived in advance the size nikel I took the S / M and perfect normally I S and the color and skimpy little flat I thought the bottom was white but it is infact beige but nothing serious end well for me in the pictures we say white</v>
      </c>
    </row>
    <row r="4141">
      <c r="A4141" s="1">
        <v>5.0</v>
      </c>
      <c r="B4141" s="1" t="s">
        <v>4099</v>
      </c>
      <c r="C4141" t="str">
        <f>IFERROR(__xludf.DUMMYFUNCTION("GOOGLETRANSLATE(B4141, ""fr"", ""en"")"),"A wonderful gift idea !!! This sterilizer Babymoov turbo pure stands as a feeding bottle suitable for conversion shaft in a removable bell which can sterilize and / or dry up to 6 large bottles or accessories, a pump etc. This French-made product is guara"&amp;"nteed for life after registering on the site ... excellent. Simply fill the small reservoir of water and switch on the cycle to see bottles being sterilized 8 min at 95 degrees, must by clean against them before .. this is not a dishwasher !!! All the sam"&amp;"e !! An alarm warns you of the end ... the machine can keep bottles ... it stops Alone !! I particularly enjoyed the nozzles that go to the ends of the branches ensuring access of steam at the bottom of the bottle back on it ... an excellent point. The de"&amp;"vice is not small but what a time saver with a new born to a young mother sometimes a little lost ... a cycle of 8 minutes and include sterile bottles or other programmable choice from 30 to 45 min for sterile and dry !! No more worries about infant safet"&amp;"y !! An honors the hepatitis filter located under the device ensuring top quality filtering incoming air .. Its use does not last long but it is certainly a plus. With 4 kids, we lapped but my husband would have enjoyed this unit with our older so he was "&amp;"lost and tired on arrival maternity !! The device is certainly not cheap, but worth the investment, given the services rendered and the time saved. A great gift idea !!! If this assessment could help you, Likez if bous had any questions, do not hesitate t"&amp;"o ask them, thank you.")</f>
        <v>A wonderful gift idea !!! This sterilizer Babymoov turbo pure stands as a feeding bottle suitable for conversion shaft in a removable bell which can sterilize and / or dry up to 6 large bottles or accessories, a pump etc. This French-made product is guaranteed for life after registering on the site ... excellent. Simply fill the small reservoir of water and switch on the cycle to see bottles being sterilized 8 min at 95 degrees, must by clean against them before .. this is not a dishwasher !!! All the same !! An alarm warns you of the end ... the machine can keep bottles ... it stops Alone !! I particularly enjoyed the nozzles that go to the ends of the branches ensuring access of steam at the bottom of the bottle back on it ... an excellent point. The device is not small but what a time saver with a new born to a young mother sometimes a little lost ... a cycle of 8 minutes and include sterile bottles or other programmable choice from 30 to 45 min for sterile and dry !! No more worries about infant safety !! An honors the hepatitis filter located under the device ensuring top quality filtering incoming air .. Its use does not last long but it is certainly a plus. With 4 kids, we lapped but my husband would have enjoyed this unit with our older so he was lost and tired on arrival maternity !! The device is certainly not cheap, but worth the investment, given the services rendered and the time saved. A great gift idea !!! If this assessment could help you, Likez if bous had any questions, do not hesitate to ask them, thank you.</v>
      </c>
    </row>
    <row r="4142">
      <c r="A4142" s="1">
        <v>5.0</v>
      </c>
      <c r="B4142" s="1" t="s">
        <v>4100</v>
      </c>
      <c r="C4142" t="str">
        <f>IFERROR(__xludf.DUMMYFUNCTION("GOOGLETRANSLATE(B4142, ""fr"", ""en"")"),"Brilliant Color This clock is very well thought out. Radio captures well the sound is good and the different lights are very soft. I love my new alarm clock")</f>
        <v>Brilliant Color This clock is very well thought out. Radio captures well the sound is good and the different lights are very soft. I love my new alarm clock</v>
      </c>
    </row>
    <row r="4143">
      <c r="A4143" s="1">
        <v>2.0</v>
      </c>
      <c r="B4143" s="1" t="s">
        <v>4101</v>
      </c>
      <c r="C4143" t="str">
        <f>IFERROR(__xludf.DUMMYFUNCTION("GOOGLETRANSLATE(B4143, ""fr"", ""en"")"),"Good but does not work after 2 months After envriron 2 months of use, the dial to the sound on the headphones stopped working, it turns into the void, result, no more sound from the headphones, I do not know what to do ...")</f>
        <v>Good but does not work after 2 months After envriron 2 months of use, the dial to the sound on the headphones stopped working, it turns into the void, result, no more sound from the headphones, I do not know what to do ...</v>
      </c>
    </row>
    <row r="4144">
      <c r="A4144" s="1">
        <v>1.0</v>
      </c>
      <c r="B4144" s="1" t="s">
        <v>4102</v>
      </c>
      <c r="C4144" t="str">
        <f>IFERROR(__xludf.DUMMYFUNCTION("GOOGLETRANSLATE(B4144, ""fr"", ""en"")"),"That sucks Poor Article")</f>
        <v>That sucks Poor Article</v>
      </c>
    </row>
    <row r="4145">
      <c r="A4145" s="1">
        <v>1.0</v>
      </c>
      <c r="B4145" s="1" t="s">
        <v>4103</v>
      </c>
      <c r="C4145" t="str">
        <f>IFERROR(__xludf.DUMMYFUNCTION("GOOGLETRANSLATE(B4145, ""fr"", ""en"")"),"Disappointed Disappointed with my purchase, noisy coffee and not very stable, this article does not deserve better than a star")</f>
        <v>Disappointed Disappointed with my purchase, noisy coffee and not very stable, this article does not deserve better than a star</v>
      </c>
    </row>
    <row r="4146">
      <c r="A4146" s="1">
        <v>3.0</v>
      </c>
      <c r="B4146" s="1" t="s">
        <v>4104</v>
      </c>
      <c r="C4146" t="str">
        <f>IFERROR(__xludf.DUMMYFUNCTION("GOOGLETRANSLATE(B4146, ""fr"", ""en"")"),"Consumes a lot of petrol .... Small handy warmer in winter ....")</f>
        <v>Consumes a lot of petrol .... Small handy warmer in winter ....</v>
      </c>
    </row>
    <row r="4147">
      <c r="A4147" s="1">
        <v>4.0</v>
      </c>
      <c r="B4147" s="1" t="s">
        <v>4105</v>
      </c>
      <c r="C4147" t="str">
        <f>IFERROR(__xludf.DUMMYFUNCTION("GOOGLETRANSLATE(B4147, ""fr"", ""en"")"),"Pretty holding comfortable interior, large size thanks to buyer feedback, I ordered one size bigger, which is perfect! Keeping comfortable inside, I immediately order another color.")</f>
        <v>Pretty holding comfortable interior, large size thanks to buyer feedback, I ordered one size bigger, which is perfect! Keeping comfortable inside, I immediately order another color.</v>
      </c>
    </row>
    <row r="4148">
      <c r="A4148" s="1">
        <v>4.0</v>
      </c>
      <c r="B4148" s="1" t="s">
        <v>4106</v>
      </c>
      <c r="C4148" t="str">
        <f>IFERROR(__xludf.DUMMYFUNCTION("GOOGLETRANSLATE(B4148, ""fr"", ""en"")"),"Superb lamp beautiful product that delights a child. It seems quality and solid. 3 intensities of light for reading and beautiful colors of night. Arrival perfectly packed in its box and quickly. Unfortunately, after 2 weeks of use, the plug was heated an"&amp;"d the lamp has burnt. Beautiful disappointment, I refer the product. Following this problem, the seller service is very responsive, I quickly received a code for a free new lamp. It works perfectly")</f>
        <v>Superb lamp beautiful product that delights a child. It seems quality and solid. 3 intensities of light for reading and beautiful colors of night. Arrival perfectly packed in its box and quickly. Unfortunately, after 2 weeks of use, the plug was heated and the lamp has burnt. Beautiful disappointment, I refer the product. Following this problem, the seller service is very responsive, I quickly received a code for a free new lamp. It works perfectly</v>
      </c>
    </row>
    <row r="4149">
      <c r="A4149" s="1">
        <v>4.0</v>
      </c>
      <c r="B4149" s="1" t="s">
        <v>4107</v>
      </c>
      <c r="C4149" t="str">
        <f>IFERROR(__xludf.DUMMYFUNCTION("GOOGLETRANSLATE(B4149, ""fr"", ""en"")"),"Good value but not of the same quality as the original I bought these cartridges to replace those origins that were empty. In terms of longevity I have not enough experience to judge. They are well recognized but the quality of the ink is not like the ori"&amp;"ginal, the colors are less vivid, the result is not the same. Good! after this pack of cartridges costs the price of a single original cartridge. So its still ok for the price. The advantage is that it contains the same gray that is quite rare in other su"&amp;"bstitution packages. I'm fairly satisfied with my purchase. If my opinion was useful to you, please let me know by clicking USEFUL")</f>
        <v>Good value but not of the same quality as the original I bought these cartridges to replace those origins that were empty. In terms of longevity I have not enough experience to judge. They are well recognized but the quality of the ink is not like the original, the colors are less vivid, the result is not the same. Good! after this pack of cartridges costs the price of a single original cartridge. So its still ok for the price. The advantage is that it contains the same gray that is quite rare in other substitution packages. I'm fairly satisfied with my purchase. If my opinion was useful to you, please let me know by clicking USEFUL</v>
      </c>
    </row>
    <row r="4150">
      <c r="A4150" s="1">
        <v>4.0</v>
      </c>
      <c r="B4150" s="1" t="s">
        <v>4108</v>
      </c>
      <c r="C4150" t="str">
        <f>IFERROR(__xludf.DUMMYFUNCTION("GOOGLETRANSLATE(B4150, ""fr"", ""en"")"),"Super very effective adhesion to attach anything to the wall, a 2-3kg frame for me. But poir the price I would have liked more in length.")</f>
        <v>Super very effective adhesion to attach anything to the wall, a 2-3kg frame for me. But poir the price I would have liked more in length.</v>
      </c>
    </row>
    <row r="4151">
      <c r="A4151" s="1">
        <v>5.0</v>
      </c>
      <c r="B4151" s="1" t="s">
        <v>4109</v>
      </c>
      <c r="C4151" t="str">
        <f>IFERROR(__xludf.DUMMYFUNCTION("GOOGLETRANSLATE(B4151, ""fr"", ""en"")"),"CASIO J'ADORE I was looking for this product for lontemps (I have had several, but is the strap broke (I made to another) or the battery was nase.. So, rather than ""doing"" fix (new bracelet + new battery) I'm bought a new SUPER and I LOVE")</f>
        <v>CASIO J'ADORE I was looking for this product for lontemps (I have had several, but is the strap broke (I made to another) or the battery was nase.. So, rather than "doing" fix (new bracelet + new battery) I'm bought a new SUPER and I LOVE</v>
      </c>
    </row>
    <row r="4152">
      <c r="A4152" s="1">
        <v>5.0</v>
      </c>
      <c r="B4152" s="1" t="s">
        <v>4110</v>
      </c>
      <c r="C4152" t="str">
        <f>IFERROR(__xludf.DUMMYFUNCTION("GOOGLETRANSLATE(B4152, ""fr"", ""en"")"),"Pretty Bra Sports The sports bras are well and are beautiful material. I would say it has a light support means depending on the size of your bust. I would buy again.")</f>
        <v>Pretty Bra Sports The sports bras are well and are beautiful material. I would say it has a light support means depending on the size of your bust. I would buy again.</v>
      </c>
    </row>
    <row r="4153">
      <c r="A4153" s="1">
        <v>5.0</v>
      </c>
      <c r="B4153" s="1" t="s">
        <v>4111</v>
      </c>
      <c r="C4153" t="str">
        <f>IFERROR(__xludf.DUMMYFUNCTION("GOOGLETRANSLATE(B4153, ""fr"", ""en"")"),"Excellent product excellent product with incredible value ratio. Battery lasts super long, reduced external noise, good sound quality. I recommend 100%")</f>
        <v>Excellent product excellent product with incredible value ratio. Battery lasts super long, reduced external noise, good sound quality. I recommend 100%</v>
      </c>
    </row>
    <row r="4154">
      <c r="A4154" s="1">
        <v>5.0</v>
      </c>
      <c r="B4154" s="1" t="s">
        <v>4112</v>
      </c>
      <c r="C4154" t="str">
        <f>IFERROR(__xludf.DUMMYFUNCTION("GOOGLETRANSLATE(B4154, ""fr"", ""en"")"),"Price compliant product similar to that of the large pharmacy durability.")</f>
        <v>Price compliant product similar to that of the large pharmacy durability.</v>
      </c>
    </row>
    <row r="4155">
      <c r="A4155" s="1">
        <v>5.0</v>
      </c>
      <c r="B4155" s="1" t="s">
        <v>4113</v>
      </c>
      <c r="C4155" t="str">
        <f>IFERROR(__xludf.DUMMYFUNCTION("GOOGLETRANSLATE(B4155, ""fr"", ""en"")"),"Value very compact packaging, easy installation, nice lighting through its different brightness modes (suitable for normal lighting, reading corner chair ...). primary end but very design amount! Very good value for money, I'm happy!")</f>
        <v>Value very compact packaging, easy installation, nice lighting through its different brightness modes (suitable for normal lighting, reading corner chair ...). primary end but very design amount! Very good value for money, I'm happy!</v>
      </c>
    </row>
    <row r="4156">
      <c r="A4156" s="1">
        <v>5.0</v>
      </c>
      <c r="B4156" s="1" t="s">
        <v>4114</v>
      </c>
      <c r="C4156" t="str">
        <f>IFERROR(__xludf.DUMMYFUNCTION("GOOGLETRANSLATE(B4156, ""fr"", ""en"")"),"Weekly good size 3 years I take the same agenda, neither too large nor too small. Perfect!")</f>
        <v>Weekly good size 3 years I take the same agenda, neither too large nor too small. Perfect!</v>
      </c>
    </row>
    <row r="4157">
      <c r="A4157" s="1">
        <v>5.0</v>
      </c>
      <c r="B4157" s="1" t="s">
        <v>4115</v>
      </c>
      <c r="C4157" t="str">
        <f>IFERROR(__xludf.DUMMYFUNCTION("GOOGLETRANSLATE(B4157, ""fr"", ""en"")"),"I love Amazon Frankly tooop jador Amazon")</f>
        <v>I love Amazon Frankly tooop jador Amazon</v>
      </c>
    </row>
    <row r="4158">
      <c r="A4158" s="1">
        <v>5.0</v>
      </c>
      <c r="B4158" s="1" t="s">
        <v>4116</v>
      </c>
      <c r="C4158" t="str">
        <f>IFERROR(__xludf.DUMMYFUNCTION("GOOGLETRANSLATE(B4158, ""fr"", ""en"")"),"Great Legging great for sports or other activities. I put the first time to go to the ropes and I was very comfortable. I play 42, so I ordered a Large leggings and size was perfect. There is also a small pocket on each side to be able to put his phone wh"&amp;"ere player. The legging is just great! I recommend me !!")</f>
        <v>Great Legging great for sports or other activities. I put the first time to go to the ropes and I was very comfortable. I play 42, so I ordered a Large leggings and size was perfect. There is also a small pocket on each side to be able to put his phone where player. The legging is just great! I recommend me !!</v>
      </c>
    </row>
    <row r="4159">
      <c r="A4159" s="1">
        <v>5.0</v>
      </c>
      <c r="B4159" s="1" t="s">
        <v>4117</v>
      </c>
      <c r="C4159" t="str">
        <f>IFERROR(__xludf.DUMMYFUNCTION("GOOGLETRANSLATE(B4159, ""fr"", ""en"")"),"Genuine Cartridge Original HP cartridge, so no compatibility problems or even error message on the printer. I recommend to take 2 small cartridge rather than 1 XL, because the price is almost the same. The advantage is to have a new print head every cartr"&amp;"idge, and we all know that the ink in these cartridges dry quickly if the use that occasionally, so having 2 small cartridges instead of one big is really an advantage.")</f>
        <v>Genuine Cartridge Original HP cartridge, so no compatibility problems or even error message on the printer. I recommend to take 2 small cartridge rather than 1 XL, because the price is almost the same. The advantage is to have a new print head every cartridge, and we all know that the ink in these cartridges dry quickly if the use that occasionally, so having 2 small cartridges instead of one big is really an advantage.</v>
      </c>
    </row>
    <row r="4160">
      <c r="A4160" s="1">
        <v>5.0</v>
      </c>
      <c r="B4160" s="1" t="s">
        <v>1687</v>
      </c>
      <c r="C4160" t="str">
        <f>IFERROR(__xludf.DUMMYFUNCTION("GOOGLETRANSLATE(B4160, ""fr"", ""en"")"),"Super Super")</f>
        <v>Super Super</v>
      </c>
    </row>
    <row r="4161">
      <c r="A4161" s="1">
        <v>5.0</v>
      </c>
      <c r="B4161" s="1" t="s">
        <v>4118</v>
      </c>
      <c r="C4161" t="str">
        <f>IFERROR(__xludf.DUMMYFUNCTION("GOOGLETRANSLATE(B4161, ""fr"", ""en"")"),"it stings but it's great I love it ... I use it almost every day. I do not really know if the benefits or not ... I've had several months, but I like to lie down on it. Hard to move over in underwear because it stings, so I put a little short. I feel my p"&amp;"ulse pounding in my back in my body, and then a warm sensation and wellbeing. I did try to friends who did not like because it stings a lot and do not manage to stay a few seconds. Personally, I put it on my bed and I lay me over 30 minutes per day approx"&amp;"imately. It relieves me especially when I have a headache. The quills are hard, it's plastic. They make me a mark in the back and it's red for a few minutes. I have not tried yet the wash. By cons I have Cats, and hair like stick to the fabric ^^. There i"&amp;"s a bag for storage is convenient")</f>
        <v>it stings but it's great I love it ... I use it almost every day. I do not really know if the benefits or not ... I've had several months, but I like to lie down on it. Hard to move over in underwear because it stings, so I put a little short. I feel my pulse pounding in my back in my body, and then a warm sensation and wellbeing. I did try to friends who did not like because it stings a lot and do not manage to stay a few seconds. Personally, I put it on my bed and I lay me over 30 minutes per day approximately. It relieves me especially when I have a headache. The quills are hard, it's plastic. They make me a mark in the back and it's red for a few minutes. I have not tried yet the wash. By cons I have Cats, and hair like stick to the fabric ^^. There is a bag for storage is convenient</v>
      </c>
    </row>
    <row r="4162">
      <c r="A4162" s="1">
        <v>5.0</v>
      </c>
      <c r="B4162" s="1" t="s">
        <v>4119</v>
      </c>
      <c r="C4162" t="str">
        <f>IFERROR(__xludf.DUMMYFUNCTION("GOOGLETRANSLATE(B4162, ""fr"", ""en"")"),"This show is almost a professional tool that has no vocation to be noticed. It allows to navigate in time easily with proper accuracy. different hardness of the glasses would be appreciated for the same model limited to scratches")</f>
        <v>This show is almost a professional tool that has no vocation to be noticed. It allows to navigate in time easily with proper accuracy. different hardness of the glasses would be appreciated for the same model limited to scratches</v>
      </c>
    </row>
    <row r="4163">
      <c r="A4163" s="1">
        <v>5.0</v>
      </c>
      <c r="B4163" s="1" t="s">
        <v>4120</v>
      </c>
      <c r="C4163" t="str">
        <f>IFERROR(__xludf.DUMMYFUNCTION("GOOGLETRANSLATE(B4163, ""fr"", ""en"")"),"Good article I bought all the collection level 1. My daughter loves, very easy to read! I recommend.")</f>
        <v>Good article I bought all the collection level 1. My daughter loves, very easy to read! I recommend.</v>
      </c>
    </row>
    <row r="4164">
      <c r="A4164" s="1">
        <v>5.0</v>
      </c>
      <c r="B4164" s="1" t="s">
        <v>4121</v>
      </c>
      <c r="C4164" t="str">
        <f>IFERROR(__xludf.DUMMYFUNCTION("GOOGLETRANSLATE(B4164, ""fr"", ""en"")"),"Super Size properly sized perfectly - Next day delivery, perfect packaging in box vans.")</f>
        <v>Super Size properly sized perfectly - Next day delivery, perfect packaging in box vans.</v>
      </c>
    </row>
    <row r="4165">
      <c r="A4165" s="1">
        <v>5.0</v>
      </c>
      <c r="B4165" s="1" t="s">
        <v>4122</v>
      </c>
      <c r="C4165" t="str">
        <f>IFERROR(__xludf.DUMMYFUNCTION("GOOGLETRANSLATE(B4165, ""fr"", ""en"")"),"It s convenient damaged quickly at the solid wire not strengthen")</f>
        <v>It s convenient damaged quickly at the solid wire not strengthen</v>
      </c>
    </row>
    <row r="4166">
      <c r="A4166" s="1">
        <v>2.0</v>
      </c>
      <c r="B4166" s="1" t="s">
        <v>4123</v>
      </c>
      <c r="C4166" t="str">
        <f>IFERROR(__xludf.DUMMYFUNCTION("GOOGLETRANSLATE(B4166, ""fr"", ""en"")"),"Disappointed :( The material is nice, lace corresponds to what is seen in the picture. By cons is neither more nor less than a bra, the two strips lace tie have no interest apart that of having to be attached and wasting time. This is clearly not keeping "&amp;"bra for sports, he will serve me at best to hold hotter than a bra in winter ... the two shells are great visible under the fabric, especially as I took the white color. Size XXL impeccable for the 105D by cons. in short, it's not bad as a t-shirt to walk"&amp;" the dogs, but no more ...")</f>
        <v>Disappointed :( The material is nice, lace corresponds to what is seen in the picture. By cons is neither more nor less than a bra, the two strips lace tie have no interest apart that of having to be attached and wasting time. This is clearly not keeping bra for sports, he will serve me at best to hold hotter than a bra in winter ... the two shells are great visible under the fabric, especially as I took the white color. Size XXL impeccable for the 105D by cons. in short, it's not bad as a t-shirt to walk the dogs, but no more ...</v>
      </c>
    </row>
    <row r="4167">
      <c r="A4167" s="1">
        <v>1.0</v>
      </c>
      <c r="B4167" s="1" t="s">
        <v>4124</v>
      </c>
      <c r="C4167" t="str">
        <f>IFERROR(__xludf.DUMMYFUNCTION("GOOGLETRANSLATE(B4167, ""fr"", ""en"")"),"Color sustainable NO ... in 1 month only! It says ""lasting color"" for version ""rose gold"": unfortunately wrong for my watch! :( Received June 21, the color pink is already disappearing. I work on a computer all day. I guess it's because the strap rubb"&amp;"ing on the desktop. For the rest, everything was in line with my expectations, I 'was totally satisfied (sealing side, no idea because not tested). Considering the other satisfied comments, I do not know if this is an isolated case ... so, I'll test their"&amp;" service.")</f>
        <v>Color sustainable NO ... in 1 month only! It says "lasting color" for version "rose gold": unfortunately wrong for my watch! :( Received June 21, the color pink is already disappearing. I work on a computer all day. I guess it's because the strap rubbing on the desktop. For the rest, everything was in line with my expectations, I 'was totally satisfied (sealing side, no idea because not tested). Considering the other satisfied comments, I do not know if this is an isolated case ... so, I'll test their service.</v>
      </c>
    </row>
    <row r="4168">
      <c r="A4168" s="1">
        <v>3.0</v>
      </c>
      <c r="B4168" s="1" t="s">
        <v>4125</v>
      </c>
      <c r="C4168" t="str">
        <f>IFERROR(__xludf.DUMMYFUNCTION("GOOGLETRANSLATE(B4168, ""fr"", ""en"")"),"For parents who prefer glass bottles Comment of a friend to whom I offered these bottles. Quality Level nothing wrong bottle glass is really more fun and is not found dangerous baby products, by quickly against the glass heated in the bottle warmer so you"&amp;" have to be more vigilant. The teat is ideal for babies who are breastfed or mixed, form is well studied. Like many bottles they benefit from an anti colic option anymore. Finally for cleaning is the negative point is spending more time than conventional "&amp;"bottles that go in the dishwasher. Overall a good product I recommend to parents who prefer glass bottles. I was convinced by the MAM brand which is really convenient. bottles pass aulave dishwasher and sterilize in the microwave a mega time saver!")</f>
        <v>For parents who prefer glass bottles Comment of a friend to whom I offered these bottles. Quality Level nothing wrong bottle glass is really more fun and is not found dangerous baby products, by quickly against the glass heated in the bottle warmer so you have to be more vigilant. The teat is ideal for babies who are breastfed or mixed, form is well studied. Like many bottles they benefit from an anti colic option anymore. Finally for cleaning is the negative point is spending more time than conventional bottles that go in the dishwasher. Overall a good product I recommend to parents who prefer glass bottles. I was convinced by the MAM brand which is really convenient. bottles pass aulave dishwasher and sterilize in the microwave a mega time saver!</v>
      </c>
    </row>
    <row r="4169">
      <c r="A4169" s="1">
        <v>3.0</v>
      </c>
      <c r="B4169" s="1" t="s">
        <v>4126</v>
      </c>
      <c r="C4169" t="str">
        <f>IFERROR(__xludf.DUMMYFUNCTION("GOOGLETRANSLATE(B4169, ""fr"", ""en"")"),"This small size small size Article")</f>
        <v>This small size small size Article</v>
      </c>
    </row>
    <row r="4170">
      <c r="A4170" s="1">
        <v>4.0</v>
      </c>
      <c r="B4170" s="1" t="s">
        <v>4127</v>
      </c>
      <c r="C4170" t="str">
        <f>IFERROR(__xludf.DUMMYFUNCTION("GOOGLETRANSLATE(B4170, ""fr"", ""en"")"),"Too good Super nice")</f>
        <v>Too good Super nice</v>
      </c>
    </row>
    <row r="4171">
      <c r="A4171" s="1">
        <v>4.0</v>
      </c>
      <c r="B4171" s="1" t="s">
        <v>4128</v>
      </c>
      <c r="C4171" t="str">
        <f>IFERROR(__xludf.DUMMYFUNCTION("GOOGLETRANSLATE(B4171, ""fr"", ""en"")"),"Rather shoes cities sports ... The coating on tiptoe, with leather look around and it marks easily with dust. But I'm comfortable for everyday life. For intensive sport, the sole seems a little thin for my taste.")</f>
        <v>Rather shoes cities sports ... The coating on tiptoe, with leather look around and it marks easily with dust. But I'm comfortable for everyday life. For intensive sport, the sole seems a little thin for my taste.</v>
      </c>
    </row>
    <row r="4172">
      <c r="A4172" s="1">
        <v>4.0</v>
      </c>
      <c r="B4172" s="1" t="s">
        <v>4129</v>
      </c>
      <c r="C4172" t="str">
        <f>IFERROR(__xludf.DUMMYFUNCTION("GOOGLETRANSLATE(B4172, ""fr"", ""en"")"),"Very clean Unlike other boxes tellers need to move to be able to pay on those each one has an independent opening is convenient and hygienic. In time the small plastic pieces are broken but it is not annoying.")</f>
        <v>Very clean Unlike other boxes tellers need to move to be able to pay on those each one has an independent opening is convenient and hygienic. In time the small plastic pieces are broken but it is not annoying.</v>
      </c>
    </row>
    <row r="4173">
      <c r="A4173" s="1">
        <v>4.0</v>
      </c>
      <c r="B4173" s="1" t="s">
        <v>4130</v>
      </c>
      <c r="C4173" t="str">
        <f>IFERROR(__xludf.DUMMYFUNCTION("GOOGLETRANSLATE(B4173, ""fr"", ""en"")"),"This sweater is really good, a single exeption This sweater is really good, a single exception, I believe it is slightly too wide at the bottom, but at the shoulders and pecs is good.")</f>
        <v>This sweater is really good, a single exeption This sweater is really good, a single exception, I believe it is slightly too wide at the bottom, but at the shoulders and pecs is good.</v>
      </c>
    </row>
    <row r="4174">
      <c r="A4174" s="1">
        <v>5.0</v>
      </c>
      <c r="B4174" s="1" t="s">
        <v>4131</v>
      </c>
      <c r="C4174" t="str">
        <f>IFERROR(__xludf.DUMMYFUNCTION("GOOGLETRANSLATE(B4174, ""fr"", ""en"")"),"This is perfect Nothing to say, it plays the role it should play no problem suddenly nothing to say it holds well on my Rhode")</f>
        <v>This is perfect Nothing to say, it plays the role it should play no problem suddenly nothing to say it holds well on my Rhode</v>
      </c>
    </row>
    <row r="4175">
      <c r="A4175" s="1">
        <v>5.0</v>
      </c>
      <c r="B4175" s="1" t="s">
        <v>4132</v>
      </c>
      <c r="C4175" t="str">
        <f>IFERROR(__xludf.DUMMYFUNCTION("GOOGLETRANSLATE(B4175, ""fr"", ""en"")"),"Perfect I am very satisfied. I use for several years, but the problem was that in supermarkets this is not always available.")</f>
        <v>Perfect I am very satisfied. I use for several years, but the problem was that in supermarkets this is not always available.</v>
      </c>
    </row>
    <row r="4176">
      <c r="A4176" s="1">
        <v>5.0</v>
      </c>
      <c r="B4176" s="1" t="s">
        <v>4133</v>
      </c>
      <c r="C4176" t="str">
        <f>IFERROR(__xludf.DUMMYFUNCTION("GOOGLETRANSLATE(B4176, ""fr"", ""en"")"),"Sweatshirt cutest my husband was very happy as he has already started and of course wash before putting")</f>
        <v>Sweatshirt cutest my husband was very happy as he has already started and of course wash before putting</v>
      </c>
    </row>
    <row r="4177">
      <c r="A4177" s="1">
        <v>5.0</v>
      </c>
      <c r="B4177" s="1" t="s">
        <v>508</v>
      </c>
      <c r="C4177" t="str">
        <f>IFERROR(__xludf.DUMMYFUNCTION("GOOGLETRANSLATE(B4177, ""fr"", ""en"")"),"Very well very well")</f>
        <v>Very well very well</v>
      </c>
    </row>
    <row r="4178">
      <c r="A4178" s="1">
        <v>5.0</v>
      </c>
      <c r="B4178" s="1" t="s">
        <v>4134</v>
      </c>
      <c r="C4178" t="str">
        <f>IFERROR(__xludf.DUMMYFUNCTION("GOOGLETRANSLATE(B4178, ""fr"", ""en"")"),"Good quality I served myself of this cable to connect the LEDs together. Nothing to say, it fills very well its cable function.")</f>
        <v>Good quality I served myself of this cable to connect the LEDs together. Nothing to say, it fills very well its cable function.</v>
      </c>
    </row>
    <row r="4179">
      <c r="A4179" s="1">
        <v>5.0</v>
      </c>
      <c r="B4179" s="1" t="s">
        <v>4135</v>
      </c>
      <c r="C4179" t="str">
        <f>IFERROR(__xludf.DUMMYFUNCTION("GOOGLETRANSLATE(B4179, ""fr"", ""en"")"),"beauty charm jewelry what fairyland what brilliance Beautiful")</f>
        <v>beauty charm jewelry what fairyland what brilliance Beautiful</v>
      </c>
    </row>
    <row r="4180">
      <c r="A4180" s="1">
        <v>5.0</v>
      </c>
      <c r="B4180" s="1" t="s">
        <v>4136</v>
      </c>
      <c r="C4180" t="str">
        <f>IFERROR(__xludf.DUMMYFUNCTION("GOOGLETRANSLATE(B4180, ""fr"", ""en"")"),"Gifts for a friend Pretty watch - my friend was delighted with the gift")</f>
        <v>Gifts for a friend Pretty watch - my friend was delighted with the gift</v>
      </c>
    </row>
    <row r="4181">
      <c r="A4181" s="1">
        <v>5.0</v>
      </c>
      <c r="B4181" s="1" t="s">
        <v>4137</v>
      </c>
      <c r="C4181" t="str">
        <f>IFERROR(__xludf.DUMMYFUNCTION("GOOGLETRANSLATE(B4181, ""fr"", ""en"")"),"Excellent Excellent")</f>
        <v>Excellent Excellent</v>
      </c>
    </row>
    <row r="4182">
      <c r="A4182" s="1">
        <v>5.0</v>
      </c>
      <c r="B4182" s="1" t="s">
        <v>4138</v>
      </c>
      <c r="C4182" t="str">
        <f>IFERROR(__xludf.DUMMYFUNCTION("GOOGLETRANSLATE(B4182, ""fr"", ""en"")"),"Highly effective Works great, easy to use. I recommend")</f>
        <v>Highly effective Works great, easy to use. I recommend</v>
      </c>
    </row>
    <row r="4183">
      <c r="A4183" s="1">
        <v>5.0</v>
      </c>
      <c r="B4183" s="1" t="s">
        <v>4139</v>
      </c>
      <c r="C4183" t="str">
        <f>IFERROR(__xludf.DUMMYFUNCTION("GOOGLETRANSLATE(B4183, ""fr"", ""en"")"),"nickel Very practical, can give pieces of fresh fruit and baby leave the nibble safely. the net is very fine, no song goes, consider this more as a ""juice dispenser nibbling"" than a fruit pieces dispenser. So great Secure. provide a ""solid"" bib per co"&amp;"ns! because baby will everywhere, but ours is really happy !!! ;-)")</f>
        <v>nickel Very practical, can give pieces of fresh fruit and baby leave the nibble safely. the net is very fine, no song goes, consider this more as a "juice dispenser nibbling" than a fruit pieces dispenser. So great Secure. provide a "solid" bib per cons! because baby will everywhere, but ours is really happy !!! ;-)</v>
      </c>
    </row>
    <row r="4184">
      <c r="A4184" s="1">
        <v>5.0</v>
      </c>
      <c r="B4184" s="1" t="s">
        <v>4140</v>
      </c>
      <c r="C4184" t="str">
        <f>IFERROR(__xludf.DUMMYFUNCTION("GOOGLETRANSLATE(B4184, ""fr"", ""en"")"),"Quality I hesitated to take them and finally not at all disappointed. The sound quality is very good I love listening to my music. The touch is well thought, I can pause or change while continuing my jogging. It can also charge are phone with the case in "&amp;"case of emergency. Little more battery level is displayed above and deliver with a storage bag. Small, discreet and wish well to the ear.")</f>
        <v>Quality I hesitated to take them and finally not at all disappointed. The sound quality is very good I love listening to my music. The touch is well thought, I can pause or change while continuing my jogging. It can also charge are phone with the case in case of emergency. Little more battery level is displayed above and deliver with a storage bag. Small, discreet and wish well to the ear.</v>
      </c>
    </row>
    <row r="4185">
      <c r="A4185" s="1">
        <v>5.0</v>
      </c>
      <c r="B4185" s="1" t="s">
        <v>4141</v>
      </c>
      <c r="C4185" t="str">
        <f>IFERROR(__xludf.DUMMYFUNCTION("GOOGLETRANSLATE(B4185, ""fr"", ""en"")"),"Nice and comfortable! sports leggings, black with white stripes and Parma. 83% polyester and 17% elastane, so very very comfortable. Well cut, well finished. its size is high, it remains in place. Not moved nor wash or tumble dry. A small pocket for keys "&amp;"or such. for n 'any sport. Adopted!")</f>
        <v>Nice and comfortable! sports leggings, black with white stripes and Parma. 83% polyester and 17% elastane, so very very comfortable. Well cut, well finished. its size is high, it remains in place. Not moved nor wash or tumble dry. A small pocket for keys or such. for n 'any sport. Adopted!</v>
      </c>
    </row>
    <row r="4186">
      <c r="A4186" s="1">
        <v>5.0</v>
      </c>
      <c r="B4186" s="1" t="s">
        <v>4142</v>
      </c>
      <c r="C4186" t="str">
        <f>IFERROR(__xludf.DUMMYFUNCTION("GOOGLETRANSLATE(B4186, ""fr"", ""en"")"),"I use quality shoes every day, they are the right size and warm. I recommend")</f>
        <v>I use quality shoes every day, they are the right size and warm. I recommend</v>
      </c>
    </row>
    <row r="4187">
      <c r="A4187" s="1">
        <v>5.0</v>
      </c>
      <c r="B4187" s="1" t="s">
        <v>4143</v>
      </c>
      <c r="C4187" t="str">
        <f>IFERROR(__xludf.DUMMYFUNCTION("GOOGLETRANSLATE(B4187, ""fr"", ""en"")"),"perfect watch! Summer or Winter Time automatically. Awesome ! No need to go, no battery needed for solar watch. Awesome ! Aesthetic with digital or analog reading. What's more, frankly? I highly recommend, and fast delivery, +.")</f>
        <v>perfect watch! Summer or Winter Time automatically. Awesome ! No need to go, no battery needed for solar watch. Awesome ! Aesthetic with digital or analog reading. What's more, frankly? I highly recommend, and fast delivery, +.</v>
      </c>
    </row>
    <row r="4188">
      <c r="A4188" s="1">
        <v>5.0</v>
      </c>
      <c r="B4188" s="1" t="s">
        <v>4144</v>
      </c>
      <c r="C4188" t="str">
        <f>IFERROR(__xludf.DUMMYFUNCTION("GOOGLETRANSLATE(B4188, ""fr"", ""en"")"),"Nice product robust design compared to my old ""unbranded"" a little more expensive but the quality at a price. The Base can store excess power cord which prevents it drags on the worktop. In short I recommend this kettle carefree.")</f>
        <v>Nice product robust design compared to my old "unbranded" a little more expensive but the quality at a price. The Base can store excess power cord which prevents it drags on the worktop. In short I recommend this kettle carefree.</v>
      </c>
    </row>
    <row r="4189">
      <c r="A4189" s="1">
        <v>5.0</v>
      </c>
      <c r="B4189" s="1" t="s">
        <v>4145</v>
      </c>
      <c r="C4189" t="str">
        <f>IFERROR(__xludf.DUMMYFUNCTION("GOOGLETRANSLATE(B4189, ""fr"", ""en"")"),"The top diffuser design Aroma scent diffuser Infinitoo is based on the look of a sand dune and looks like dark wood. Visually, it looks really good. Commissioning is very easy. Connect the diffuser to power, with max. Fill 500 ml of water, add flavor or f"&amp;"ragrance oil if necessary and turn. The diffuser can be used for a limited duration or continuous operation. The corresponding switch is located on the device. Similarly, you can choose the broadcaster whether to enable the ambient light. This shines plea"&amp;"santly alternately in 7 different colors or you are looking for a permanent color. Steam continuously out of an opening at the top of the diffuser. It is pleasant that the diffuser is really quiet and you can easily use it in the bedroom.")</f>
        <v>The top diffuser design Aroma scent diffuser Infinitoo is based on the look of a sand dune and looks like dark wood. Visually, it looks really good. Commissioning is very easy. Connect the diffuser to power, with max. Fill 500 ml of water, add flavor or fragrance oil if necessary and turn. The diffuser can be used for a limited duration or continuous operation. The corresponding switch is located on the device. Similarly, you can choose the broadcaster whether to enable the ambient light. This shines pleasantly alternately in 7 different colors or you are looking for a permanent color. Steam continuously out of an opening at the top of the diffuser. It is pleasant that the diffuser is really quiet and you can easily use it in the bedroom.</v>
      </c>
    </row>
    <row r="4190">
      <c r="A4190" s="1">
        <v>2.0</v>
      </c>
      <c r="B4190" s="1" t="s">
        <v>4146</v>
      </c>
      <c r="C4190" t="str">
        <f>IFERROR(__xludf.DUMMYFUNCTION("GOOGLETRANSLATE(B4190, ""fr"", ""en"")"),"pretty on the outside, too fragile inside model pretty, beautiful canvas, good cut, but very disappointed with the fragile lining in the heel. Shoes bought to wear with formal wear. Very few updates to keep them white and perfect. From the 6 or 8th time I"&amp;" put the inner lining, heel right, has given way to a big hole. Since rape my heel against the fabric laminated ...... FRO FRO VERY! Product disappointed and skeptical about this brand as I positioned as being of good quality.")</f>
        <v>pretty on the outside, too fragile inside model pretty, beautiful canvas, good cut, but very disappointed with the fragile lining in the heel. Shoes bought to wear with formal wear. Very few updates to keep them white and perfect. From the 6 or 8th time I put the inner lining, heel right, has given way to a big hole. Since rape my heel against the fabric laminated ...... FRO FRO VERY! Product disappointed and skeptical about this brand as I positioned as being of good quality.</v>
      </c>
    </row>
    <row r="4191">
      <c r="A4191" s="1">
        <v>1.0</v>
      </c>
      <c r="B4191" s="1" t="s">
        <v>4147</v>
      </c>
      <c r="C4191" t="str">
        <f>IFERROR(__xludf.DUMMYFUNCTION("GOOGLETRANSLATE(B4191, ""fr"", ""en"")"),"Long live internet I should have to go to China on foot. I can not get better since I have not received anything, great for a birthday ... And then he asks a note?")</f>
        <v>Long live internet I should have to go to China on foot. I can not get better since I have not received anything, great for a birthday ... And then he asks a note?</v>
      </c>
    </row>
    <row r="4192">
      <c r="A4192" s="1">
        <v>1.0</v>
      </c>
      <c r="B4192" s="1" t="s">
        <v>4148</v>
      </c>
      <c r="C4192" t="str">
        <f>IFERROR(__xludf.DUMMYFUNCTION("GOOGLETRANSLATE(B4192, ""fr"", ""en"")"),"The quality Hello? Jai received the bouillard today I have just tested it leaks !!!")</f>
        <v>The quality Hello? Jai received the bouillard today I have just tested it leaks !!!</v>
      </c>
    </row>
    <row r="4193">
      <c r="A4193" s="1">
        <v>3.0</v>
      </c>
      <c r="B4193" s="1" t="s">
        <v>4149</v>
      </c>
      <c r="C4193" t="str">
        <f>IFERROR(__xludf.DUMMYFUNCTION("GOOGLETRANSLATE(B4193, ""fr"", ""en"")"),"Jogging Very leap for jogging")</f>
        <v>Jogging Very leap for jogging</v>
      </c>
    </row>
    <row r="4194">
      <c r="A4194" s="1">
        <v>3.0</v>
      </c>
      <c r="B4194" s="1" t="s">
        <v>4150</v>
      </c>
      <c r="C4194" t="str">
        <f>IFERROR(__xludf.DUMMYFUNCTION("GOOGLETRANSLATE(B4194, ""fr"", ""en"")"),"Meets Very nice description")</f>
        <v>Meets Very nice description</v>
      </c>
    </row>
    <row r="4195">
      <c r="A4195" s="1">
        <v>4.0</v>
      </c>
      <c r="B4195" s="1" t="s">
        <v>4151</v>
      </c>
      <c r="C4195" t="str">
        <f>IFERROR(__xludf.DUMMYFUNCTION("GOOGLETRANSLATE(B4195, ""fr"", ""en"")"),"No C not leather leather")</f>
        <v>No C not leather leather</v>
      </c>
    </row>
    <row r="4196">
      <c r="A4196" s="1">
        <v>4.0</v>
      </c>
      <c r="B4196" s="1" t="s">
        <v>4152</v>
      </c>
      <c r="C4196" t="str">
        <f>IFERROR(__xludf.DUMMYFUNCTION("GOOGLETRANSLATE(B4196, ""fr"", ""en"")"),"Good purchase consistent with the description Helmet bought to play the ps4? Pleased with my purchase for longevity I can not answer because it is a recent purchase")</f>
        <v>Good purchase consistent with the description Helmet bought to play the ps4? Pleased with my purchase for longevity I can not answer because it is a recent purchase</v>
      </c>
    </row>
    <row r="4197">
      <c r="A4197" s="1">
        <v>4.0</v>
      </c>
      <c r="B4197" s="1" t="s">
        <v>4153</v>
      </c>
      <c r="C4197" t="str">
        <f>IFERROR(__xludf.DUMMYFUNCTION("GOOGLETRANSLATE(B4197, ""fr"", ""en"")"),"sweet and lovely lamp lamp bought for my 7 year old son. he is delighted. many possibilities of playing time, the brightness, the choice of his. Not easy to understand at first and requires a small break to understand how to change settings. negative poin"&amp;"t. sunrise and sunset occurs by changes in brightness and color at any given time according to adjustment and not a soft graduation. A good product overall, I recommend")</f>
        <v>sweet and lovely lamp lamp bought for my 7 year old son. he is delighted. many possibilities of playing time, the brightness, the choice of his. Not easy to understand at first and requires a small break to understand how to change settings. negative point. sunrise and sunset occurs by changes in brightness and color at any given time according to adjustment and not a soft graduation. A good product overall, I recommend</v>
      </c>
    </row>
    <row r="4198">
      <c r="A4198" s="1">
        <v>4.0</v>
      </c>
      <c r="B4198" s="1" t="s">
        <v>4154</v>
      </c>
      <c r="C4198" t="str">
        <f>IFERROR(__xludf.DUMMYFUNCTION("GOOGLETRANSLATE(B4198, ""fr"", ""en"")"),"top great for the price")</f>
        <v>top great for the price</v>
      </c>
    </row>
    <row r="4199">
      <c r="A4199" s="1">
        <v>5.0</v>
      </c>
      <c r="B4199" s="1" t="s">
        <v>4155</v>
      </c>
      <c r="C4199" t="str">
        <f>IFERROR(__xludf.DUMMYFUNCTION("GOOGLETRANSLATE(B4199, ""fr"", ""en"")"),"Meets very comfortable Perfect description")</f>
        <v>Meets very comfortable Perfect description</v>
      </c>
    </row>
    <row r="4200">
      <c r="A4200" s="1">
        <v>5.0</v>
      </c>
      <c r="B4200" s="1" t="s">
        <v>4156</v>
      </c>
      <c r="C4200" t="str">
        <f>IFERROR(__xludf.DUMMYFUNCTION("GOOGLETRANSLATE(B4200, ""fr"", ""en"")"),"outstanding comfort an insole that takes on the shape of the foot during long walks no calf contracture no achjle tendon pain whatever the ground deformation of the foot rest perfectly held shoe a little hot by very good weather")</f>
        <v>outstanding comfort an insole that takes on the shape of the foot during long walks no calf contracture no achjle tendon pain whatever the ground deformation of the foot rest perfectly held shoe a little hot by very good weather</v>
      </c>
    </row>
    <row r="4201">
      <c r="A4201" s="1">
        <v>5.0</v>
      </c>
      <c r="B4201" s="1" t="s">
        <v>4157</v>
      </c>
      <c r="C4201" t="str">
        <f>IFERROR(__xludf.DUMMYFUNCTION("GOOGLETRANSLATE(B4201, ""fr"", ""en"")"),"Great product Very good rendering qualitative product is clean I just wish the length of cable that connected to the handle is rather a result, and also the USB port next to the jack. Beyond that force to see that the quality is good with a good record of"&amp;" serious acute and no saturation. It is also comfortable that after a big session (3h) ears were just warm but no pain. In short, as seen in an article the value of this headset is excellent.")</f>
        <v>Great product Very good rendering qualitative product is clean I just wish the length of cable that connected to the handle is rather a result, and also the USB port next to the jack. Beyond that force to see that the quality is good with a good record of serious acute and no saturation. It is also comfortable that after a big session (3h) ears were just warm but no pain. In short, as seen in an article the value of this headset is excellent.</v>
      </c>
    </row>
    <row r="4202">
      <c r="A4202" s="1">
        <v>5.0</v>
      </c>
      <c r="B4202" s="1" t="s">
        <v>4158</v>
      </c>
      <c r="C4202" t="str">
        <f>IFERROR(__xludf.DUMMYFUNCTION("GOOGLETRANSLATE(B4202, ""fr"", ""en"")"),"Comfort These socks are very comfortable. There is no warm feelings and even fewer cold. They are soft.")</f>
        <v>Comfort These socks are very comfortable. There is no warm feelings and even fewer cold. They are soft.</v>
      </c>
    </row>
    <row r="4203">
      <c r="A4203" s="1">
        <v>5.0</v>
      </c>
      <c r="B4203" s="1" t="s">
        <v>4159</v>
      </c>
      <c r="C4203" t="str">
        <f>IFERROR(__xludf.DUMMYFUNCTION("GOOGLETRANSLATE(B4203, ""fr"", ""en"")"),"Thank you Households")</f>
        <v>Thank you Households</v>
      </c>
    </row>
    <row r="4204">
      <c r="A4204" s="1">
        <v>5.0</v>
      </c>
      <c r="B4204" s="1" t="s">
        <v>4160</v>
      </c>
      <c r="C4204" t="str">
        <f>IFERROR(__xludf.DUMMYFUNCTION("GOOGLETRANSLATE(B4204, ""fr"", ""en"")"),"Although the top")</f>
        <v>Although the top</v>
      </c>
    </row>
    <row r="4205">
      <c r="A4205" s="1">
        <v>5.0</v>
      </c>
      <c r="B4205" s="1" t="s">
        <v>4161</v>
      </c>
      <c r="C4205" t="str">
        <f>IFERROR(__xludf.DUMMYFUNCTION("GOOGLETRANSLATE(B4205, ""fr"", ""en"")"),"calculator for high school One of the lowest prices. Calculator advised by the math teacher of my daughter's 2nd. Quick delivery. Until 09.30.18, there are 10 euros to pay on proof of purchase. Amazon provided you anyway an office bill. The teens are not "&amp;"careful with their bag I opted to add a rigid shell much like laptops;)")</f>
        <v>calculator for high school One of the lowest prices. Calculator advised by the math teacher of my daughter's 2nd. Quick delivery. Until 09.30.18, there are 10 euros to pay on proof of purchase. Amazon provided you anyway an office bill. The teens are not careful with their bag I opted to add a rigid shell much like laptops;)</v>
      </c>
    </row>
    <row r="4206">
      <c r="A4206" s="1">
        <v>5.0</v>
      </c>
      <c r="B4206" s="1" t="s">
        <v>4162</v>
      </c>
      <c r="C4206" t="str">
        <f>IFERROR(__xludf.DUMMYFUNCTION("GOOGLETRANSLATE(B4206, ""fr"", ""en"")"),"Great product I bought for my mom and she completely adhered! It uses the pillow at night and sleep well on it! Very good value for money")</f>
        <v>Great product I bought for my mom and she completely adhered! It uses the pillow at night and sleep well on it! Very good value for money</v>
      </c>
    </row>
    <row r="4207">
      <c r="A4207" s="1">
        <v>5.0</v>
      </c>
      <c r="B4207" s="1" t="s">
        <v>4163</v>
      </c>
      <c r="C4207" t="str">
        <f>IFERROR(__xludf.DUMMYFUNCTION("GOOGLETRANSLATE(B4207, ""fr"", ""en"")"),"NIKE AIR no galley !!!!! Design, comfort and simplicity, I ask no more for a pair of shoes that always knew to show me the image that reflects the brand in my eyes!")</f>
        <v>NIKE AIR no galley !!!!! Design, comfort and simplicity, I ask no more for a pair of shoes that always knew to show me the image that reflects the brand in my eyes!</v>
      </c>
    </row>
    <row r="4208">
      <c r="A4208" s="1">
        <v>5.0</v>
      </c>
      <c r="B4208" s="1" t="s">
        <v>4164</v>
      </c>
      <c r="C4208" t="str">
        <f>IFERROR(__xludf.DUMMYFUNCTION("GOOGLETRANSLATE(B4208, ""fr"", ""en"")"),"Recommend to buy first baby and just so happy I recommend!")</f>
        <v>Recommend to buy first baby and just so happy I recommend!</v>
      </c>
    </row>
    <row r="4209">
      <c r="A4209" s="1">
        <v>5.0</v>
      </c>
      <c r="B4209" s="1" t="s">
        <v>4165</v>
      </c>
      <c r="C4209" t="str">
        <f>IFERROR(__xludf.DUMMYFUNCTION("GOOGLETRANSLATE(B4209, ""fr"", ""en"")"),"perfect ! I ordered one pair for each of my children and they seem very happy! the color and shape correspond to the image of the site! Received within the time agreed.")</f>
        <v>perfect ! I ordered one pair for each of my children and they seem very happy! the color and shape correspond to the image of the site! Received within the time agreed.</v>
      </c>
    </row>
    <row r="4210">
      <c r="A4210" s="1">
        <v>5.0</v>
      </c>
      <c r="B4210" s="1" t="s">
        <v>4166</v>
      </c>
      <c r="C4210" t="str">
        <f>IFERROR(__xludf.DUMMYFUNCTION("GOOGLETRANSLATE(B4210, ""fr"", ""en"")"),"Good product ! Article good quality! The sound is fluid and headsets are very comfortable !! The system is top pr recharge and fast !! I am glad")</f>
        <v>Good product ! Article good quality! The sound is fluid and headsets are very comfortable !! The system is top pr recharge and fast !! I am glad</v>
      </c>
    </row>
    <row r="4211">
      <c r="A4211" s="1">
        <v>5.0</v>
      </c>
      <c r="B4211" s="1" t="s">
        <v>4167</v>
      </c>
      <c r="C4211" t="str">
        <f>IFERROR(__xludf.DUMMYFUNCTION("GOOGLETRANSLATE(B4211, ""fr"", ""en"")"),"Cute! My wife literally crush on this beautiful gem fancy! It comes in a beautiful green blue sky that changes what can be and usually accompanied by a small microfiber cloth of the same color. It has a fine and adjustable chain with a link could not be m"&amp;"ore classic. It represents a Koala adorned many brilliant crystals which I assure you is successful. He takes her in his arms a beautiful blue heart also with beautiful finishes. This is obviously a fantasy gem and not a luxury jewelry, so be careful with"&amp;" its use (eg water), beyond that, for its good quality / price ratio and above all for its design unusual, I recommend it. ■ If you found my review helpful, please feel free to click YES just below, it's always fun, thank you! ■ :)")</f>
        <v>Cute! My wife literally crush on this beautiful gem fancy! It comes in a beautiful green blue sky that changes what can be and usually accompanied by a small microfiber cloth of the same color. It has a fine and adjustable chain with a link could not be more classic. It represents a Koala adorned many brilliant crystals which I assure you is successful. He takes her in his arms a beautiful blue heart also with beautiful finishes. This is obviously a fantasy gem and not a luxury jewelry, so be careful with its use (eg water), beyond that, for its good quality / price ratio and above all for its design unusual, I recommend it. ■ If you found my review helpful, please feel free to click YES just below, it's always fun, thank you! ■ :)</v>
      </c>
    </row>
    <row r="4212">
      <c r="A4212" s="1">
        <v>5.0</v>
      </c>
      <c r="B4212" s="1" t="s">
        <v>4168</v>
      </c>
      <c r="C4212" t="str">
        <f>IFERROR(__xludf.DUMMYFUNCTION("GOOGLETRANSLATE(B4212, ""fr"", ""en"")"),"Excellent Ben suitable product complies with pictures wearable comfortable only downside I felt was a foot taller than the other, but now I think it's better a little weird")</f>
        <v>Excellent Ben suitable product complies with pictures wearable comfortable only downside I felt was a foot taller than the other, but now I think it's better a little weird</v>
      </c>
    </row>
    <row r="4213">
      <c r="A4213" s="1">
        <v>5.0</v>
      </c>
      <c r="B4213" s="1" t="s">
        <v>4169</v>
      </c>
      <c r="C4213" t="str">
        <f>IFERROR(__xludf.DUMMYFUNCTION("GOOGLETRANSLATE(B4213, ""fr"", ""en"")"),"Headphone quality I just got the helmet! I rushed to try it! I'm really glad the helmet! Great sound, great fit. Color is very pretty. It is lightweight and functional! Quality! I recommend !")</f>
        <v>Headphone quality I just got the helmet! I rushed to try it! I'm really glad the helmet! Great sound, great fit. Color is very pretty. It is lightweight and functional! Quality! I recommend !</v>
      </c>
    </row>
    <row r="4214">
      <c r="A4214" s="1">
        <v>2.0</v>
      </c>
      <c r="B4214" s="1" t="s">
        <v>4170</v>
      </c>
      <c r="C4214" t="str">
        <f>IFERROR(__xludf.DUMMYFUNCTION("GOOGLETRANSLATE(B4214, ""fr"", ""en"")"),"blah complicated for a child of 8 years for an adult my 21 year old son is the only one to understand jokes I do not recommend it for 7 8 years")</f>
        <v>blah complicated for a child of 8 years for an adult my 21 year old son is the only one to understand jokes I do not recommend it for 7 8 years</v>
      </c>
    </row>
    <row r="4215">
      <c r="A4215" s="1">
        <v>1.0</v>
      </c>
      <c r="B4215" s="1" t="s">
        <v>4171</v>
      </c>
      <c r="C4215" t="str">
        <f>IFERROR(__xludf.DUMMYFUNCTION("GOOGLETRANSLATE(B4215, ""fr"", ""en"")"),"a month and nothing !! That three weeks since we received this product and the sponge tip has completely exploded. leaving only the hair !! small tip for teats remains useful but we need to buy a new brush !! I STRONGLY RECOMMENDED.")</f>
        <v>a month and nothing !! That three weeks since we received this product and the sponge tip has completely exploded. leaving only the hair !! small tip for teats remains useful but we need to buy a new brush !! I STRONGLY RECOMMENDED.</v>
      </c>
    </row>
    <row r="4216">
      <c r="A4216" s="1">
        <v>1.0</v>
      </c>
      <c r="B4216" s="1" t="s">
        <v>4172</v>
      </c>
      <c r="C4216" t="str">
        <f>IFERROR(__xludf.DUMMYFUNCTION("GOOGLETRANSLATE(B4216, ""fr"", ""en"")"),"Disappointed attention to good quality product Hello size but the size is absolutely not absolutely I Order M, which must make a double-xl or xl really disappointed with this purchase take away size below ...")</f>
        <v>Disappointed attention to good quality product Hello size but the size is absolutely not absolutely I Order M, which must make a double-xl or xl really disappointed with this purchase take away size below ...</v>
      </c>
    </row>
    <row r="4217">
      <c r="A4217" s="1">
        <v>3.0</v>
      </c>
      <c r="B4217" s="1" t="s">
        <v>4173</v>
      </c>
      <c r="C4217" t="str">
        <f>IFERROR(__xludf.DUMMYFUNCTION("GOOGLETRANSLATE(B4217, ""fr"", ""en"")"),"Yes I am happy for this purchase, but too early to use, so back to you shortly to give you more information.")</f>
        <v>Yes I am happy for this purchase, but too early to use, so back to you shortly to give you more information.</v>
      </c>
    </row>
    <row r="4218">
      <c r="A4218" s="1">
        <v>4.0</v>
      </c>
      <c r="B4218" s="1" t="s">
        <v>4174</v>
      </c>
      <c r="C4218" t="str">
        <f>IFERROR(__xludf.DUMMYFUNCTION("GOOGLETRANSLATE(B4218, ""fr"", ""en"")"),"Good Kettle Kettle")</f>
        <v>Good Kettle Kettle</v>
      </c>
    </row>
    <row r="4219">
      <c r="A4219" s="1">
        <v>4.0</v>
      </c>
      <c r="B4219" s="1" t="s">
        <v>4175</v>
      </c>
      <c r="C4219" t="str">
        <f>IFERROR(__xludf.DUMMYFUNCTION("GOOGLETRANSLATE(B4219, ""fr"", ""en"")"),"sweet dreams became She was delighted, delivery nickel ... THANK YOU!")</f>
        <v>sweet dreams became She was delighted, delivery nickel ... THANK YOU!</v>
      </c>
    </row>
    <row r="4220">
      <c r="A4220" s="1">
        <v>4.0</v>
      </c>
      <c r="B4220" s="1" t="s">
        <v>4176</v>
      </c>
      <c r="C4220" t="str">
        <f>IFERROR(__xludf.DUMMYFUNCTION("GOOGLETRANSLATE(B4220, ""fr"", ""en"")"),"Nickel for printing of ""desktop"" Let us live, we do not use it for photo prints. Just all coming in family mode: color photocopies, black document printing and colors ... These compatible cartridges are more than adequate for our use and seems, for now,"&amp;" not clog the nozzles of our Canon printer.")</f>
        <v>Nickel for printing of "desktop" Let us live, we do not use it for photo prints. Just all coming in family mode: color photocopies, black document printing and colors ... These compatible cartridges are more than adequate for our use and seems, for now, not clog the nozzles of our Canon printer.</v>
      </c>
    </row>
    <row r="4221">
      <c r="A4221" s="1">
        <v>4.0</v>
      </c>
      <c r="B4221" s="1" t="s">
        <v>4177</v>
      </c>
      <c r="C4221" t="str">
        <f>IFERROR(__xludf.DUMMYFUNCTION("GOOGLETRANSLATE(B4221, ""fr"", ""en"")"),"Good product my son is delighted to leisure beach. Very comfortable but when it's hot you sweat a lot.")</f>
        <v>Good product my son is delighted to leisure beach. Very comfortable but when it's hot you sweat a lot.</v>
      </c>
    </row>
    <row r="4222">
      <c r="A4222" s="1">
        <v>5.0</v>
      </c>
      <c r="B4222" s="1" t="s">
        <v>4178</v>
      </c>
      <c r="C4222" t="str">
        <f>IFERROR(__xludf.DUMMYFUNCTION("GOOGLETRANSLATE(B4222, ""fr"", ""en"")"),"Beautiful and adjustable Very nice product, fits wrist through the elastic thread, small ❤️ well proportioned with pearls. A pouch of velvet with even offered. I recommend")</f>
        <v>Beautiful and adjustable Very nice product, fits wrist through the elastic thread, small ❤️ well proportioned with pearls. A pouch of velvet with even offered. I recommend</v>
      </c>
    </row>
    <row r="4223">
      <c r="A4223" s="1">
        <v>5.0</v>
      </c>
      <c r="B4223" s="1" t="s">
        <v>4179</v>
      </c>
      <c r="C4223" t="str">
        <f>IFERROR(__xludf.DUMMYFUNCTION("GOOGLETRANSLATE(B4223, ""fr"", ""en"")"),"Content Perfect, it keeps me warm up the whole room when it's cold and I'm still in front of my pc with the radiator at the other end of the room, Parcontre is horribly annoying to clean")</f>
        <v>Content Perfect, it keeps me warm up the whole room when it's cold and I'm still in front of my pc with the radiator at the other end of the room, Parcontre is horribly annoying to clean</v>
      </c>
    </row>
    <row r="4224">
      <c r="A4224" s="1">
        <v>5.0</v>
      </c>
      <c r="B4224" s="1" t="s">
        <v>4180</v>
      </c>
      <c r="C4224" t="str">
        <f>IFERROR(__xludf.DUMMYFUNCTION("GOOGLETRANSLATE(B4224, ""fr"", ""en"")"),"Although design line with our expectations, fast delivery, beautiful shade of blue ignition The cover is not removable somewhat difficult to clean, but not impossible anyway! The noise level could be improved.")</f>
        <v>Although design line with our expectations, fast delivery, beautiful shade of blue ignition The cover is not removable somewhat difficult to clean, but not impossible anyway! The noise level could be improved.</v>
      </c>
    </row>
    <row r="4225">
      <c r="A4225" s="1">
        <v>5.0</v>
      </c>
      <c r="B4225" s="1" t="s">
        <v>4181</v>
      </c>
      <c r="C4225" t="str">
        <f>IFERROR(__xludf.DUMMYFUNCTION("GOOGLETRANSLATE(B4225, ""fr"", ""en"")"),"Very nice Very nice discovery, my 5 year old son loved this book with humorous and beautiful drawings. So we will continue the collection ...")</f>
        <v>Very nice Very nice discovery, my 5 year old son loved this book with humorous and beautiful drawings. So we will continue the collection ...</v>
      </c>
    </row>
    <row r="4226">
      <c r="A4226" s="1">
        <v>5.0</v>
      </c>
      <c r="B4226" s="1" t="s">
        <v>4182</v>
      </c>
      <c r="C4226" t="str">
        <f>IFERROR(__xludf.DUMMYFUNCTION("GOOGLETRANSLATE(B4226, ""fr"", ""en"")"),"perfect item consistent with the description. The size is to take the usual size. Of good quality, to see wear but nothing bad yet.")</f>
        <v>perfect item consistent with the description. The size is to take the usual size. Of good quality, to see wear but nothing bad yet.</v>
      </c>
    </row>
    <row r="4227">
      <c r="A4227" s="1">
        <v>5.0</v>
      </c>
      <c r="B4227" s="1" t="s">
        <v>4183</v>
      </c>
      <c r="C4227" t="str">
        <f>IFERROR(__xludf.DUMMYFUNCTION("GOOGLETRANSLATE(B4227, ""fr"", ""en"")"),"Good product Very comfortable")</f>
        <v>Good product Very comfortable</v>
      </c>
    </row>
    <row r="4228">
      <c r="A4228" s="1">
        <v>5.0</v>
      </c>
      <c r="B4228" s="1" t="s">
        <v>4184</v>
      </c>
      <c r="C4228" t="str">
        <f>IFERROR(__xludf.DUMMYFUNCTION("GOOGLETRANSLATE(B4228, ""fr"", ""en"")"),"Ras Meets description.")</f>
        <v>Ras Meets description.</v>
      </c>
    </row>
    <row r="4229">
      <c r="A4229" s="1">
        <v>5.0</v>
      </c>
      <c r="B4229" s="1" t="s">
        <v>4185</v>
      </c>
      <c r="C4229" t="str">
        <f>IFERROR(__xludf.DUMMYFUNCTION("GOOGLETRANSLATE(B4229, ""fr"", ""en"")"),"Perfect article of the description pleasant Fast delivery Material")</f>
        <v>Perfect article of the description pleasant Fast delivery Material</v>
      </c>
    </row>
    <row r="4230">
      <c r="A4230" s="1">
        <v>5.0</v>
      </c>
      <c r="B4230" s="1" t="s">
        <v>4186</v>
      </c>
      <c r="C4230" t="str">
        <f>IFERROR(__xludf.DUMMYFUNCTION("GOOGLETRANSLATE(B4230, ""fr"", ""en"")"),"Color velvet and everything that makes fashion this winter for the weekend or go to gym is perfect.")</f>
        <v>Color velvet and everything that makes fashion this winter for the weekend or go to gym is perfect.</v>
      </c>
    </row>
    <row r="4231">
      <c r="A4231" s="1">
        <v>5.0</v>
      </c>
      <c r="B4231" s="1" t="s">
        <v>4187</v>
      </c>
      <c r="C4231" t="str">
        <f>IFERROR(__xludf.DUMMYFUNCTION("GOOGLETRANSLATE(B4231, ""fr"", ""en"")"),"Recordings are quality! I use it to hold general vocabulary or register cours.La sound quality is very good records top.l'appareil any kind of time that this is a concert or meeting. QUZ only caution I can do is when a large crowd sings along, depending o"&amp;"n the intensity it can be noisy.")</f>
        <v>Recordings are quality! I use it to hold general vocabulary or register cours.La sound quality is very good records top.l'appareil any kind of time that this is a concert or meeting. QUZ only caution I can do is when a large crowd sings along, depending on the intensity it can be noisy.</v>
      </c>
    </row>
    <row r="4232">
      <c r="A4232" s="1">
        <v>5.0</v>
      </c>
      <c r="B4232" s="1" t="s">
        <v>4188</v>
      </c>
      <c r="C4232" t="str">
        <f>IFERROR(__xludf.DUMMYFUNCTION("GOOGLETRANSLATE(B4232, ""fr"", ""en"")"),"Very useful in case of irritable bowel syndrome Having reached this problem for children, the only and unique products of interest are green clay, activated carbon and probiotics. Avoidance of certain foods and drugs offered by pharmaceutical companies an"&amp;"d doctors are of no use. All these products are to be taken in cure from 2 to 4 weeks as often as necessary. After some time, we reduce the symptoms and attacks recur less frequently but do not disappear completely. But at least these natural products saf"&amp;"e until help medicine or find a solution to this very unpleasant disease that does not kill anyone, but that can make life almost nonexistent company in extreme cases.")</f>
        <v>Very useful in case of irritable bowel syndrome Having reached this problem for children, the only and unique products of interest are green clay, activated carbon and probiotics. Avoidance of certain foods and drugs offered by pharmaceutical companies and doctors are of no use. All these products are to be taken in cure from 2 to 4 weeks as often as necessary. After some time, we reduce the symptoms and attacks recur less frequently but do not disappear completely. But at least these natural products safe until help medicine or find a solution to this very unpleasant disease that does not kill anyone, but that can make life almost nonexistent company in extreme cases.</v>
      </c>
    </row>
    <row r="4233">
      <c r="A4233" s="1">
        <v>5.0</v>
      </c>
      <c r="B4233" s="1" t="s">
        <v>4189</v>
      </c>
      <c r="C4233" t="str">
        <f>IFERROR(__xludf.DUMMYFUNCTION("GOOGLETRANSLATE(B4233, ""fr"", ""en"")"),"Nickel my very helpful to have additional ports that I wanted to add 3 additional ventilos Be Quiet 120mm")</f>
        <v>Nickel my very helpful to have additional ports that I wanted to add 3 additional ventilos Be Quiet 120mm</v>
      </c>
    </row>
    <row r="4234">
      <c r="A4234" s="1">
        <v>5.0</v>
      </c>
      <c r="B4234" s="1" t="s">
        <v>4190</v>
      </c>
      <c r="C4234" t="str">
        <f>IFERROR(__xludf.DUMMYFUNCTION("GOOGLETRANSLATE(B4234, ""fr"", ""en"")"),"Excellent product Leather is very correct for the made in china, the product is well arranged, the color is perfect. See time, but overall I recommend this product.")</f>
        <v>Excellent product Leather is very correct for the made in china, the product is well arranged, the color is perfect. See time, but overall I recommend this product.</v>
      </c>
    </row>
    <row r="4235">
      <c r="A4235" s="1">
        <v>5.0</v>
      </c>
      <c r="B4235" s="1" t="s">
        <v>4191</v>
      </c>
      <c r="C4235" t="str">
        <f>IFERROR(__xludf.DUMMYFUNCTION("GOOGLETRANSLATE(B4235, ""fr"", ""en"")"),"Beautiful doc martens !! Perfect, nothing to say .... Very happy with the product ....")</f>
        <v>Beautiful doc martens !! Perfect, nothing to say .... Very happy with the product ....</v>
      </c>
    </row>
    <row r="4236">
      <c r="A4236" s="1">
        <v>5.0</v>
      </c>
      <c r="B4236" s="1" t="s">
        <v>4192</v>
      </c>
      <c r="C4236" t="str">
        <f>IFERROR(__xludf.DUMMYFUNCTION("GOOGLETRANSLATE(B4236, ""fr"", ""en"")"),"Comfortable perfect bag to accommodate a glasses case, a wallet and a smartphone 2 or 3 papers. the shoulder strap is wide and strong. little less if you want to quibble, the flap cover is inaccessible, it is reserved for flat objects that should go out r"&amp;"arely, badge or car key without contact.")</f>
        <v>Comfortable perfect bag to accommodate a glasses case, a wallet and a smartphone 2 or 3 papers. the shoulder strap is wide and strong. little less if you want to quibble, the flap cover is inaccessible, it is reserved for flat objects that should go out rarely, badge or car key without contact.</v>
      </c>
    </row>
    <row r="4237">
      <c r="A4237" s="1">
        <v>2.0</v>
      </c>
      <c r="B4237" s="1" t="s">
        <v>4193</v>
      </c>
      <c r="C4237" t="str">
        <f>IFERROR(__xludf.DUMMYFUNCTION("GOOGLETRANSLATE(B4237, ""fr"", ""en"")"),"Problem with nipples! Pretty disappointed with this yet recognized brand. As another comment, my baby takes all the pacifier in his mouth forcing me to hold the bottle by pulling slightly above! (7 month old, flow teat 2) Honestly not practical! Furthermo"&amp;"re the nipple collapses completely, the air does not circulate which forced me to completely remove the bottle from the mouth of my baby so that the air will call redo ... It ended on a site Used resale!")</f>
        <v>Problem with nipples! Pretty disappointed with this yet recognized brand. As another comment, my baby takes all the pacifier in his mouth forcing me to hold the bottle by pulling slightly above! (7 month old, flow teat 2) Honestly not practical! Furthermore the nipple collapses completely, the air does not circulate which forced me to completely remove the bottle from the mouth of my baby so that the air will call redo ... It ended on a site Used resale!</v>
      </c>
    </row>
    <row r="4238">
      <c r="A4238" s="1">
        <v>1.0</v>
      </c>
      <c r="B4238" s="1" t="s">
        <v>4194</v>
      </c>
      <c r="C4238" t="str">
        <f>IFERROR(__xludf.DUMMYFUNCTION("GOOGLETRANSLATE(B4238, ""fr"", ""en"")"),"Noise Make too much noise is heard from far away. If the bracelet after a few days he began to have traces I wonder if it's real cook")</f>
        <v>Noise Make too much noise is heard from far away. If the bracelet after a few days he began to have traces I wonder if it's real cook</v>
      </c>
    </row>
    <row r="4239">
      <c r="A4239" s="1">
        <v>3.0</v>
      </c>
      <c r="B4239" s="1" t="s">
        <v>4195</v>
      </c>
      <c r="C4239" t="str">
        <f>IFERROR(__xludf.DUMMYFUNCTION("GOOGLETRANSLATE(B4239, ""fr"", ""en"")"),"Not very nice to see beefy in time. I do not advise buying.")</f>
        <v>Not very nice to see beefy in time. I do not advise buying.</v>
      </c>
    </row>
    <row r="4240">
      <c r="A4240" s="1">
        <v>3.0</v>
      </c>
      <c r="B4240" s="1" t="s">
        <v>4196</v>
      </c>
      <c r="C4240" t="str">
        <f>IFERROR(__xludf.DUMMYFUNCTION("GOOGLETRANSLATE(B4240, ""fr"", ""en"")"),". Warm but stitching it cracked soon !!!!")</f>
        <v>. Warm but stitching it cracked soon !!!!</v>
      </c>
    </row>
    <row r="4241">
      <c r="A4241" s="1">
        <v>4.0</v>
      </c>
      <c r="B4241" s="1" t="s">
        <v>4197</v>
      </c>
      <c r="C4241" t="str">
        <f>IFERROR(__xludf.DUMMYFUNCTION("GOOGLETRANSLATE(B4241, ""fr"", ""en"")"),"Superb large size shoes! But they have tendency to make big feet ... they large sizes")</f>
        <v>Superb large size shoes! But they have tendency to make big feet ... they large sizes</v>
      </c>
    </row>
    <row r="4242">
      <c r="A4242" s="1">
        <v>4.0</v>
      </c>
      <c r="B4242" s="1" t="s">
        <v>4198</v>
      </c>
      <c r="C4242" t="str">
        <f>IFERROR(__xludf.DUMMYFUNCTION("GOOGLETRANSLATE(B4242, ""fr"", ""en"")"),"weekly calendar. well, I will recommend to the year 2019. I can write everything down ... but not put it in my bag too !!! grand.Mais it was my choice.")</f>
        <v>weekly calendar. well, I will recommend to the year 2019. I can write everything down ... but not put it in my bag too !!! grand.Mais it was my choice.</v>
      </c>
    </row>
    <row r="4243">
      <c r="A4243" s="1">
        <v>4.0</v>
      </c>
      <c r="B4243" s="1" t="s">
        <v>4199</v>
      </c>
      <c r="C4243" t="str">
        <f>IFERROR(__xludf.DUMMYFUNCTION("GOOGLETRANSLATE(B4243, ""fr"", ""en"")"),"Nickel sport socks set ""Sun"" good size consistent and good quality.")</f>
        <v>Nickel sport socks set "Sun" good size consistent and good quality.</v>
      </c>
    </row>
    <row r="4244">
      <c r="A4244" s="1">
        <v>4.0</v>
      </c>
      <c r="B4244" s="1" t="s">
        <v>4200</v>
      </c>
      <c r="C4244" t="str">
        <f>IFERROR(__xludf.DUMMYFUNCTION("GOOGLETRANSLATE(B4244, ""fr"", ""en"")"),"Here fresh long J command every year .. use for migraines .. I find them thinner than usual .. I hope will in time ...")</f>
        <v>Here fresh long J command every year .. use for migraines .. I find them thinner than usual .. I hope will in time ...</v>
      </c>
    </row>
    <row r="4245">
      <c r="A4245" s="1">
        <v>4.0</v>
      </c>
      <c r="B4245" s="1" t="s">
        <v>4201</v>
      </c>
      <c r="C4245" t="str">
        <f>IFERROR(__xludf.DUMMYFUNCTION("GOOGLETRANSLATE(B4245, ""fr"", ""en"")"),"Pleasant shoe shoe very flexible and enjoyable exact size but easily takes the water in case of rain.")</f>
        <v>Pleasant shoe shoe very flexible and enjoyable exact size but easily takes the water in case of rain.</v>
      </c>
    </row>
    <row r="4246">
      <c r="A4246" s="1">
        <v>5.0</v>
      </c>
      <c r="B4246" s="1" t="s">
        <v>4202</v>
      </c>
      <c r="C4246" t="str">
        <f>IFERROR(__xludf.DUMMYFUNCTION("GOOGLETRANSLATE(B4246, ""fr"", ""en"")"),"I just love it ! Lightweight headphones without son with good battery life. The charging cable is long enough, and the quality of the sublime! helmet vibrations are fine, and the software to enable and disable, change the sound. Good lighting on the sides"&amp;", small downside is that the microphone could have been better for that price, concluding: Very good helmet.")</f>
        <v>I just love it ! Lightweight headphones without son with good battery life. The charging cable is long enough, and the quality of the sublime! helmet vibrations are fine, and the software to enable and disable, change the sound. Good lighting on the sides, small downside is that the microphone could have been better for that price, concluding: Very good helmet.</v>
      </c>
    </row>
    <row r="4247">
      <c r="A4247" s="1">
        <v>5.0</v>
      </c>
      <c r="B4247" s="1" t="s">
        <v>4203</v>
      </c>
      <c r="C4247" t="str">
        <f>IFERROR(__xludf.DUMMYFUNCTION("GOOGLETRANSLATE(B4247, ""fr"", ""en"")"),"shows very beautiful watch fob pocket really cheap and good qualities")</f>
        <v>shows very beautiful watch fob pocket really cheap and good qualities</v>
      </c>
    </row>
    <row r="4248">
      <c r="A4248" s="1">
        <v>5.0</v>
      </c>
      <c r="B4248" s="1" t="s">
        <v>4204</v>
      </c>
      <c r="C4248" t="str">
        <f>IFERROR(__xludf.DUMMYFUNCTION("GOOGLETRANSLATE(B4248, ""fr"", ""en"")"),"Excellent! After testing the trekz model during QLQ weeks and have returned to cause discomfort, c is the model for 2 months and the only limit is its autonomy fan of this helmet Really By car, by bike, on foot or simply at home I sometimes wears the helm"&amp;"et 8hr row. No discomfort caused by vibration (the reason for the return trekz) perfect headset in the car, I think it is consistent with French law saw the 2 ears remain free. J have a good car stereo and car and on foot. Cycling c is sometimes more diff"&amp;"icult with the wind but I prefer not to hear the music sometimes 3 minutes being cut off from the outside. The noise suppression is correct, my interlocutor is often unaware that I travel. The assistant google a bit harder but nothing insurmountable. I th"&amp;"ought I put only 4 stars for the exercise because with cycling helmet and goggles, headphones sometimes moves but would despise vmt product qualities. S money well invested, tested even in the shower. The manufacturer should communicate better on the cont"&amp;"ent of the packaging J got a waist pouch handy and almost waterproof and especially 2 charging cables. I fear not to find myself without cable.")</f>
        <v>Excellent! After testing the trekz model during QLQ weeks and have returned to cause discomfort, c is the model for 2 months and the only limit is its autonomy fan of this helmet Really By car, by bike, on foot or simply at home I sometimes wears the helmet 8hr row. No discomfort caused by vibration (the reason for the return trekz) perfect headset in the car, I think it is consistent with French law saw the 2 ears remain free. J have a good car stereo and car and on foot. Cycling c is sometimes more difficult with the wind but I prefer not to hear the music sometimes 3 minutes being cut off from the outside. The noise suppression is correct, my interlocutor is often unaware that I travel. The assistant google a bit harder but nothing insurmountable. I thought I put only 4 stars for the exercise because with cycling helmet and goggles, headphones sometimes moves but would despise vmt product qualities. S money well invested, tested even in the shower. The manufacturer should communicate better on the content of the packaging J got a waist pouch handy and almost waterproof and especially 2 charging cables. I fear not to find myself without cable.</v>
      </c>
    </row>
    <row r="4249">
      <c r="A4249" s="1">
        <v>5.0</v>
      </c>
      <c r="B4249" s="1" t="s">
        <v>4205</v>
      </c>
      <c r="C4249" t="str">
        <f>IFERROR(__xludf.DUMMYFUNCTION("GOOGLETRANSLATE(B4249, ""fr"", ""en"")"),"Trainers at the top beautiful shoes very comfortable identical to the image even more beautiful in reality, shoes normal size take its usual size in 3 days received a pair of black laces offered I recommend this seller without hesitation")</f>
        <v>Trainers at the top beautiful shoes very comfortable identical to the image even more beautiful in reality, shoes normal size take its usual size in 3 days received a pair of black laces offered I recommend this seller without hesitation</v>
      </c>
    </row>
    <row r="4250">
      <c r="A4250" s="1">
        <v>5.0</v>
      </c>
      <c r="B4250" s="1" t="s">
        <v>4206</v>
      </c>
      <c r="C4250" t="str">
        <f>IFERROR(__xludf.DUMMYFUNCTION("GOOGLETRANSLATE(B4250, ""fr"", ""en"")"),"Great! Super shoes all is as expected and perfect, but it took a jog in every way to recover ..")</f>
        <v>Great! Super shoes all is as expected and perfect, but it took a jog in every way to recover ..</v>
      </c>
    </row>
    <row r="4251">
      <c r="A4251" s="1">
        <v>5.0</v>
      </c>
      <c r="B4251" s="1" t="s">
        <v>4207</v>
      </c>
      <c r="C4251" t="str">
        <f>IFERROR(__xludf.DUMMYFUNCTION("GOOGLETRANSLATE(B4251, ""fr"", ""en"")"),"A VERY GOOD BONNETTE I seek windshield for my Eagletone UM30 microphone for some time I left this windshield and I'm really happy it perfectly fits my microphone. No complaints at this price why deprive this")</f>
        <v>A VERY GOOD BONNETTE I seek windshield for my Eagletone UM30 microphone for some time I left this windshield and I'm really happy it perfectly fits my microphone. No complaints at this price why deprive this</v>
      </c>
    </row>
    <row r="4252">
      <c r="A4252" s="1">
        <v>5.0</v>
      </c>
      <c r="B4252" s="1" t="s">
        <v>4208</v>
      </c>
      <c r="C4252" t="str">
        <f>IFERROR(__xludf.DUMMYFUNCTION("GOOGLETRANSLATE(B4252, ""fr"", ""en"")"),"good quality for price good product, report quality / excellent price. beautiful design, bought for my teen of 14, the helmet does not take place in the backpack. I do not regret my purchase. I recommend without hesitation.")</f>
        <v>good quality for price good product, report quality / excellent price. beautiful design, bought for my teen of 14, the helmet does not take place in the backpack. I do not regret my purchase. I recommend without hesitation.</v>
      </c>
    </row>
    <row r="4253">
      <c r="A4253" s="1">
        <v>5.0</v>
      </c>
      <c r="B4253" s="1" t="s">
        <v>4209</v>
      </c>
      <c r="C4253" t="str">
        <f>IFERROR(__xludf.DUMMYFUNCTION("GOOGLETRANSLATE(B4253, ""fr"", ""en"")"),"Alarm clock with light I bought one that looks but more hair for my son last week but my daughter 3 years was jealous of the sudden I got this one. It is top and there are many functions: Alarm with different sounds, FM radio, alarm clock with light")</f>
        <v>Alarm clock with light I bought one that looks but more hair for my son last week but my daughter 3 years was jealous of the sudden I got this one. It is top and there are many functions: Alarm with different sounds, FM radio, alarm clock with light</v>
      </c>
    </row>
    <row r="4254">
      <c r="A4254" s="1">
        <v>5.0</v>
      </c>
      <c r="B4254" s="1" t="s">
        <v>508</v>
      </c>
      <c r="C4254" t="str">
        <f>IFERROR(__xludf.DUMMYFUNCTION("GOOGLETRANSLATE(B4254, ""fr"", ""en"")"),"Very well very well")</f>
        <v>Very well very well</v>
      </c>
    </row>
    <row r="4255">
      <c r="A4255" s="1">
        <v>5.0</v>
      </c>
      <c r="B4255" s="1" t="s">
        <v>4210</v>
      </c>
      <c r="C4255" t="str">
        <f>IFERROR(__xludf.DUMMYFUNCTION("GOOGLETRANSLATE(B4255, ""fr"", ""en"")"),"Comfortable pull Extremely comfortable and very well designed jadore")</f>
        <v>Comfortable pull Extremely comfortable and very well designed jadore</v>
      </c>
    </row>
    <row r="4256">
      <c r="A4256" s="1">
        <v>5.0</v>
      </c>
      <c r="B4256" s="1" t="s">
        <v>4211</v>
      </c>
      <c r="C4256" t="str">
        <f>IFERROR(__xludf.DUMMYFUNCTION("GOOGLETRANSLATE(B4256, ""fr"", ""en"")"),"It is miraculous! After reading hundreds of positive reviews, I decided to buy one. I use 30 minutes a day to force 70. My knee pain that radiated throughout the fibula and femur which kept me awake disappeared within a few days. I quickly walk again with"&amp;"out a limp. It is miraculous!")</f>
        <v>It is miraculous! After reading hundreds of positive reviews, I decided to buy one. I use 30 minutes a day to force 70. My knee pain that radiated throughout the fibula and femur which kept me awake disappeared within a few days. I quickly walk again without a limp. It is miraculous!</v>
      </c>
    </row>
    <row r="4257">
      <c r="A4257" s="1">
        <v>5.0</v>
      </c>
      <c r="B4257" s="1" t="s">
        <v>4212</v>
      </c>
      <c r="C4257" t="str">
        <f>IFERROR(__xludf.DUMMYFUNCTION("GOOGLETRANSLATE(B4257, ""fr"", ""en"")"),"Fast delivery Fast delivery Complies Very satisfied")</f>
        <v>Fast delivery Fast delivery Complies Very satisfied</v>
      </c>
    </row>
    <row r="4258">
      <c r="A4258" s="1">
        <v>5.0</v>
      </c>
      <c r="B4258" s="1" t="s">
        <v>4213</v>
      </c>
      <c r="C4258" t="str">
        <f>IFERROR(__xludf.DUMMYFUNCTION("GOOGLETRANSLATE(B4258, ""fr"", ""en"")"),"Practical and adaptable Adaptable to Medela tires milk and pacifier Calma. Strong, easy to clean. No problem for the dishwasher and sterilization.")</f>
        <v>Practical and adaptable Adaptable to Medela tires milk and pacifier Calma. Strong, easy to clean. No problem for the dishwasher and sterilization.</v>
      </c>
    </row>
    <row r="4259">
      <c r="A4259" s="1">
        <v>5.0</v>
      </c>
      <c r="B4259" s="1" t="s">
        <v>4214</v>
      </c>
      <c r="C4259" t="str">
        <f>IFERROR(__xludf.DUMMYFUNCTION("GOOGLETRANSLATE(B4259, ""fr"", ""en"")"),"Disinfecting Wipes Purchased in the program save by subscribing 'this allows a lot of wipes good value they are thick - feel good! ppermettent and small-time cleanings including toilets.")</f>
        <v>Disinfecting Wipes Purchased in the program save by subscribing 'this allows a lot of wipes good value they are thick - feel good! ppermettent and small-time cleanings including toilets.</v>
      </c>
    </row>
    <row r="4260">
      <c r="A4260" s="1">
        <v>5.0</v>
      </c>
      <c r="B4260" s="1" t="s">
        <v>4215</v>
      </c>
      <c r="C4260" t="str">
        <f>IFERROR(__xludf.DUMMYFUNCTION("GOOGLETRANSLATE(B4260, ""fr"", ""en"")"),"Perfect I am very satisfied, it does a very good job! I do a lot of creations and is therefore very useful to me. Easy to use, everything is perfect for me!")</f>
        <v>Perfect I am very satisfied, it does a very good job! I do a lot of creations and is therefore very useful to me. Easy to use, everything is perfect for me!</v>
      </c>
    </row>
    <row r="4261">
      <c r="A4261" s="1">
        <v>2.0</v>
      </c>
      <c r="B4261" s="1" t="s">
        <v>4216</v>
      </c>
      <c r="C4261" t="str">
        <f>IFERROR(__xludf.DUMMYFUNCTION("GOOGLETRANSLATE(B4261, ""fr"", ""en"")"),"Leaking After 10 months of daily use, the kettle leaks at the window :(")</f>
        <v>Leaking After 10 months of daily use, the kettle leaks at the window :(</v>
      </c>
    </row>
    <row r="4262">
      <c r="A4262" s="1">
        <v>1.0</v>
      </c>
      <c r="B4262" s="1" t="s">
        <v>4217</v>
      </c>
      <c r="C4262" t="str">
        <f>IFERROR(__xludf.DUMMYFUNCTION("GOOGLETRANSLATE(B4262, ""fr"", ""en"")"),"Not durable enough After 2 months of normal use and very satisfactory, the bottle warmer longer works. We do not recommandonc product.")</f>
        <v>Not durable enough After 2 months of normal use and very satisfactory, the bottle warmer longer works. We do not recommandonc product.</v>
      </c>
    </row>
    <row r="4263">
      <c r="A4263" s="1">
        <v>1.0</v>
      </c>
      <c r="B4263" s="1" t="s">
        <v>4218</v>
      </c>
      <c r="C4263" t="str">
        <f>IFERROR(__xludf.DUMMYFUNCTION("GOOGLETRANSLATE(B4263, ""fr"", ""en"")"),"defective very disappointed not buying French and more quickly discharged does not take over 20mn.Madame Rezolier")</f>
        <v>defective very disappointed not buying French and more quickly discharged does not take over 20mn.Madame Rezolier</v>
      </c>
    </row>
    <row r="4264">
      <c r="A4264" s="1">
        <v>3.0</v>
      </c>
      <c r="B4264" s="1" t="s">
        <v>4219</v>
      </c>
      <c r="C4264" t="str">
        <f>IFERROR(__xludf.DUMMYFUNCTION("GOOGLETRANSLATE(B4264, ""fr"", ""en"")"),"Good but .. Used in an uninhabited house, they are saturated in 1 week. So I would say they are more effective in normal condition.")</f>
        <v>Good but .. Used in an uninhabited house, they are saturated in 1 week. So I would say they are more effective in normal condition.</v>
      </c>
    </row>
    <row r="4265">
      <c r="A4265" s="1">
        <v>3.0</v>
      </c>
      <c r="B4265" s="1" t="s">
        <v>4220</v>
      </c>
      <c r="C4265" t="str">
        <f>IFERROR(__xludf.DUMMYFUNCTION("GOOGLETRANSLATE(B4265, ""fr"", ""en"")"),"Pretty necklace necklace without it's still okay to knock which is a shame. I was surprised by its lightness. Small charms middle is not centered it disturbed me, so, I managed to move it by adding a ring to refocus. Oh and also it is not as long as in th"&amp;"e photo. Or the girl is very small and it's me that is too large: p")</f>
        <v>Pretty necklace necklace without it's still okay to knock which is a shame. I was surprised by its lightness. Small charms middle is not centered it disturbed me, so, I managed to move it by adding a ring to refocus. Oh and also it is not as long as in the photo. Or the girl is very small and it's me that is too large: p</v>
      </c>
    </row>
    <row r="4266">
      <c r="A4266" s="1">
        <v>4.0</v>
      </c>
      <c r="B4266" s="1" t="s">
        <v>4221</v>
      </c>
      <c r="C4266" t="str">
        <f>IFERROR(__xludf.DUMMYFUNCTION("GOOGLETRANSLATE(B4266, ""fr"", ""en"")"),"Good product, good service Quality / good price. The sound is very good for this price range. The helmet green head a little, making a little ears hurt after a while, but otherwise it is quite comfortable to wear. I found the fragile activation button: mi"&amp;"ne had broken after a month, but the seller contacted me quickly to replace the defective product. Excellent approach by customer service.")</f>
        <v>Good product, good service Quality / good price. The sound is very good for this price range. The helmet green head a little, making a little ears hurt after a while, but otherwise it is quite comfortable to wear. I found the fragile activation button: mine had broken after a month, but the seller contacted me quickly to replace the defective product. Excellent approach by customer service.</v>
      </c>
    </row>
    <row r="4267">
      <c r="A4267" s="1">
        <v>4.0</v>
      </c>
      <c r="B4267" s="1" t="s">
        <v>4222</v>
      </c>
      <c r="C4267" t="str">
        <f>IFERROR(__xludf.DUMMYFUNCTION("GOOGLETRANSLATE(B4267, ""fr"", ""en"")"),"Armenian Paper Product already known and used regularly to remove odors especially in the toilet, I can not find in stores.")</f>
        <v>Armenian Paper Product already known and used regularly to remove odors especially in the toilet, I can not find in stores.</v>
      </c>
    </row>
    <row r="4268">
      <c r="A4268" s="1">
        <v>4.0</v>
      </c>
      <c r="B4268" s="1" t="s">
        <v>4223</v>
      </c>
      <c r="C4268" t="str">
        <f>IFERROR(__xludf.DUMMYFUNCTION("GOOGLETRANSLATE(B4268, ""fr"", ""en"")"),"Pretty cool I have since 2 days so I can not comment on autonomy. Its level, it will ... low are not correct ... shame. but for the price it was good headphones with good comfort and style. And besides, the media loading recharge your mobile. I recommend")</f>
        <v>Pretty cool I have since 2 days so I can not comment on autonomy. Its level, it will ... low are not correct ... shame. but for the price it was good headphones with good comfort and style. And besides, the media loading recharge your mobile. I recommend</v>
      </c>
    </row>
    <row r="4269">
      <c r="A4269" s="1">
        <v>4.0</v>
      </c>
      <c r="B4269" s="1" t="s">
        <v>4224</v>
      </c>
      <c r="C4269" t="str">
        <f>IFERROR(__xludf.DUMMYFUNCTION("GOOGLETRANSLATE(B4269, ""fr"", ""en"")"),"6 pairs I received 6 pairs of socks I had not seen I thought there were 3 pairs but in the product description 6 otherwise good pairs")</f>
        <v>6 pairs I received 6 pairs of socks I had not seen I thought there were 3 pairs but in the product description 6 otherwise good pairs</v>
      </c>
    </row>
    <row r="4270">
      <c r="A4270" s="1">
        <v>5.0</v>
      </c>
      <c r="B4270" s="1" t="s">
        <v>4225</v>
      </c>
      <c r="C4270" t="str">
        <f>IFERROR(__xludf.DUMMYFUNCTION("GOOGLETRANSLATE(B4270, ""fr"", ""en"")"),"Super birth gift box birth with 4 bottles, a bottle brush and a pacifier. There are two bottles of 125ml for newborns with teats slow flow rates and two green bottles of 260ml milk for the first ages with average flow teats. The brush is handy and allows "&amp;"to wash bottles and teats by removing milk residues. This is a really nice case and very useful to start with a newborn baby, the price is reasonable. This can make a birth gift for a little girl or a little boy because the colors are neutral. I am very s"&amp;"atisfied and recommend.")</f>
        <v>Super birth gift box birth with 4 bottles, a bottle brush and a pacifier. There are two bottles of 125ml for newborns with teats slow flow rates and two green bottles of 260ml milk for the first ages with average flow teats. The brush is handy and allows to wash bottles and teats by removing milk residues. This is a really nice case and very useful to start with a newborn baby, the price is reasonable. This can make a birth gift for a little girl or a little boy because the colors are neutral. I am very satisfied and recommend.</v>
      </c>
    </row>
    <row r="4271">
      <c r="A4271" s="1">
        <v>5.0</v>
      </c>
      <c r="B4271" s="1" t="s">
        <v>4226</v>
      </c>
      <c r="C4271" t="str">
        <f>IFERROR(__xludf.DUMMYFUNCTION("GOOGLETRANSLATE(B4271, ""fr"", ""en"")"),"👍 Professional logistic operator")</f>
        <v>👍 Professional logistic operator</v>
      </c>
    </row>
    <row r="4272">
      <c r="A4272" s="1">
        <v>5.0</v>
      </c>
      <c r="B4272" s="1" t="s">
        <v>4227</v>
      </c>
      <c r="C4272" t="str">
        <f>IFERROR(__xludf.DUMMYFUNCTION("GOOGLETRANSLATE(B4272, ""fr"", ""en"")"),"Button batteries I ordered these batteries for Christmas toys and small candles imitation candles. These cells operate perfectly and priced it's prime. I recommend these batteries and I give 5 stars")</f>
        <v>Button batteries I ordered these batteries for Christmas toys and small candles imitation candles. These cells operate perfectly and priced it's prime. I recommend these batteries and I give 5 stars</v>
      </c>
    </row>
    <row r="4273">
      <c r="A4273" s="1">
        <v>5.0</v>
      </c>
      <c r="B4273" s="1" t="s">
        <v>4228</v>
      </c>
      <c r="C4273" t="str">
        <f>IFERROR(__xludf.DUMMYFUNCTION("GOOGLETRANSLATE(B4273, ""fr"", ""en"")"),"Basketball safety with steel end I ve ordered black sneakers for 37 travail.taille impecable n .I have no pain with 8heures.avec I wear the warmth of yesterday I haven not even sweat of pieds.elle are not heavy .for the moment I am working contente.livrai"&amp;"son rapide.je large area .and I am al aise.je recommend them.")</f>
        <v>Basketball safety with steel end I ve ordered black sneakers for 37 travail.taille impecable n .I have no pain with 8heures.avec I wear the warmth of yesterday I haven not even sweat of pieds.elle are not heavy .for the moment I am working contente.livraison rapide.je large area .and I am al aise.je recommend them.</v>
      </c>
    </row>
    <row r="4274">
      <c r="A4274" s="1">
        <v>5.0</v>
      </c>
      <c r="B4274" s="1" t="s">
        <v>4229</v>
      </c>
      <c r="C4274" t="str">
        <f>IFERROR(__xludf.DUMMYFUNCTION("GOOGLETRANSLATE(B4274, ""fr"", ""en"")"),"Tennis All right pair sent quickly and in a handy pouch .. My dils love and finally decided to tie his shoelaces alone :-)")</f>
        <v>Tennis All right pair sent quickly and in a handy pouch .. My dils love and finally decided to tie his shoelaces alone :-)</v>
      </c>
    </row>
    <row r="4275">
      <c r="A4275" s="1">
        <v>5.0</v>
      </c>
      <c r="B4275" s="1" t="s">
        <v>4230</v>
      </c>
      <c r="C4275" t="str">
        <f>IFERROR(__xludf.DUMMYFUNCTION("GOOGLETRANSLATE(B4275, ""fr"", ""en"")"),"Cartridges for EPSON XP 325 cartridges purchased for an Epson 325 XP. Compatible, easy to install and very good print quality. 👍 perfect.")</f>
        <v>Cartridges for EPSON XP 325 cartridges purchased for an Epson 325 XP. Compatible, easy to install and very good print quality. 👍 perfect.</v>
      </c>
    </row>
    <row r="4276">
      <c r="A4276" s="1">
        <v>5.0</v>
      </c>
      <c r="B4276" s="1" t="s">
        <v>4231</v>
      </c>
      <c r="C4276" t="str">
        <f>IFERROR(__xludf.DUMMYFUNCTION("GOOGLETRANSLATE(B4276, ""fr"", ""en"")"),"Glad phenomenal autonomy of this headset. Too bad there is not a system that automatically cuts the noise reduction because if you forget to put the switch in the off position when asking the helmet remains active and will drain the battery. Fortunately a"&amp;"s noise reduction, certainly effective in the bass is very average in mid-high, I do not use it. In normal use autonomy is completely awesome!")</f>
        <v>Glad phenomenal autonomy of this headset. Too bad there is not a system that automatically cuts the noise reduction because if you forget to put the switch in the off position when asking the helmet remains active and will drain the battery. Fortunately as noise reduction, certainly effective in the bass is very average in mid-high, I do not use it. In normal use autonomy is completely awesome!</v>
      </c>
    </row>
    <row r="4277">
      <c r="A4277" s="1">
        <v>5.0</v>
      </c>
      <c r="B4277" s="1" t="s">
        <v>4232</v>
      </c>
      <c r="C4277" t="str">
        <f>IFERROR(__xludf.DUMMYFUNCTION("GOOGLETRANSLATE(B4277, ""fr"", ""en"")"),"Plug &amp; amp; Play, ergonomic with handy features Recognition by the computer immediately. You can scroll through the slides, go back, start the presentation mode, or displaying a blank page. The laser works well. Please allow 2 AAA batteries.")</f>
        <v>Plug &amp; amp; Play, ergonomic with handy features Recognition by the computer immediately. You can scroll through the slides, go back, start the presentation mode, or displaying a blank page. The laser works well. Please allow 2 AAA batteries.</v>
      </c>
    </row>
    <row r="4278">
      <c r="A4278" s="1">
        <v>5.0</v>
      </c>
      <c r="B4278" s="1" t="s">
        <v>4233</v>
      </c>
      <c r="C4278" t="str">
        <f>IFERROR(__xludf.DUMMYFUNCTION("GOOGLETRANSLATE(B4278, ""fr"", ""en"")"),"Grand QUO VADIS Hello, Always the same treat for my wife who utise a pro ..... always the same quality of service to spare computers, and recyclable after a few years ..... .    Thank you and happy new year")</f>
        <v>Grand QUO VADIS Hello, Always the same treat for my wife who utise a pro ..... always the same quality of service to spare computers, and recyclable after a few years ..... .    Thank you and happy new year</v>
      </c>
    </row>
    <row r="4279">
      <c r="A4279" s="1">
        <v>5.0</v>
      </c>
      <c r="B4279" s="1" t="s">
        <v>4234</v>
      </c>
      <c r="C4279" t="str">
        <f>IFERROR(__xludf.DUMMYFUNCTION("GOOGLETRANSLATE(B4279, ""fr"", ""en"")"),"sweat shirt very good buy for me as simple and c is what I like more plain color c perfect I will recommend to aillor")</f>
        <v>sweat shirt very good buy for me as simple and c is what I like more plain color c perfect I will recommend to aillor</v>
      </c>
    </row>
    <row r="4280">
      <c r="A4280" s="1">
        <v>5.0</v>
      </c>
      <c r="B4280" s="1" t="s">
        <v>4235</v>
      </c>
      <c r="C4280" t="str">
        <f>IFERROR(__xludf.DUMMYFUNCTION("GOOGLETRANSLATE(B4280, ""fr"", ""en"")"),"Recommend J bought this for my wife who is very happy, she's using it for sports, take the headphones very well. Transmission allows the automatic loading and displays the battery level thereby avoid falling short of batterie.de addition, it is possible t"&amp;"o charge the phone with the case of cr headphones is very good value pratique.tres price")</f>
        <v>Recommend J bought this for my wife who is very happy, she's using it for sports, take the headphones very well. Transmission allows the automatic loading and displays the battery level thereby avoid falling short of batterie.de addition, it is possible to charge the phone with the case of cr headphones is very good value pratique.tres price</v>
      </c>
    </row>
    <row r="4281">
      <c r="A4281" s="1">
        <v>5.0</v>
      </c>
      <c r="B4281" s="1" t="s">
        <v>4236</v>
      </c>
      <c r="C4281" t="str">
        <f>IFERROR(__xludf.DUMMYFUNCTION("GOOGLETRANSLATE(B4281, ""fr"", ""en"")"),"Is that it will on Samsung connected watches This bracelet is at the top for Samsung s2 and s3 watches THANKS")</f>
        <v>Is that it will on Samsung connected watches This bracelet is at the top for Samsung s2 and s3 watches THANKS</v>
      </c>
    </row>
    <row r="4282">
      <c r="A4282" s="1">
        <v>5.0</v>
      </c>
      <c r="B4282" s="1" t="s">
        <v>4237</v>
      </c>
      <c r="C4282" t="str">
        <f>IFERROR(__xludf.DUMMYFUNCTION("GOOGLETRANSLATE(B4282, ""fr"", ""en"")"),"Impeccable At top")</f>
        <v>Impeccable At top</v>
      </c>
    </row>
    <row r="4283">
      <c r="A4283" s="1">
        <v>5.0</v>
      </c>
      <c r="B4283" s="1" t="s">
        <v>4238</v>
      </c>
      <c r="C4283" t="str">
        <f>IFERROR(__xludf.DUMMYFUNCTION("GOOGLETRANSLATE(B4283, ""fr"", ""en"")"),"Super connected shows I love, this is my 2nd connected watch, very happy, easy to use.")</f>
        <v>Super connected shows I love, this is my 2nd connected watch, very happy, easy to use.</v>
      </c>
    </row>
    <row r="4284">
      <c r="A4284" s="1">
        <v>5.0</v>
      </c>
      <c r="B4284" s="1" t="s">
        <v>4239</v>
      </c>
      <c r="C4284" t="str">
        <f>IFERROR(__xludf.DUMMYFUNCTION("GOOGLETRANSLATE(B4284, ""fr"", ""en"")"),"👏 👏")</f>
        <v>👏 👏</v>
      </c>
    </row>
    <row r="4285">
      <c r="A4285" s="1">
        <v>2.0</v>
      </c>
      <c r="B4285" s="1" t="s">
        <v>4240</v>
      </c>
      <c r="C4285" t="str">
        <f>IFERROR(__xludf.DUMMYFUNCTION("GOOGLETRANSLATE(B4285, ""fr"", ""en"")"),"Bad shoes too small so they hurt my feet. They are also damaged very easily, especially in terms of the sole")</f>
        <v>Bad shoes too small so they hurt my feet. They are also damaged very easily, especially in terms of the sole</v>
      </c>
    </row>
    <row r="4286">
      <c r="A4286" s="1">
        <v>1.0</v>
      </c>
      <c r="B4286" s="1" t="s">
        <v>4241</v>
      </c>
      <c r="C4286" t="str">
        <f>IFERROR(__xludf.DUMMYFUNCTION("GOOGLETRANSLATE(B4286, ""fr"", ""en"")"),"not for my shoes")</f>
        <v>not for my shoes</v>
      </c>
    </row>
    <row r="4287">
      <c r="A4287" s="1">
        <v>1.0</v>
      </c>
      <c r="B4287" s="1" t="s">
        <v>4242</v>
      </c>
      <c r="C4287" t="str">
        <f>IFERROR(__xludf.DUMMYFUNCTION("GOOGLETRANSLATE(B4287, ""fr"", ""en"")"),"somthron too late occurs too late for me I did not see the cotton in this product resembles a cigarette paper")</f>
        <v>somthron too late occurs too late for me I did not see the cotton in this product resembles a cigarette paper</v>
      </c>
    </row>
    <row r="4288">
      <c r="A4288" s="1">
        <v>3.0</v>
      </c>
      <c r="B4288" s="1" t="s">
        <v>4243</v>
      </c>
      <c r="C4288" t="str">
        <f>IFERROR(__xludf.DUMMYFUNCTION("GOOGLETRANSLATE(B4288, ""fr"", ""en"")"),"Earphones guaranteed? Hello I wanted to know if the headphones were guaranteed because often the sound cuts and to listen to music that is not great.")</f>
        <v>Earphones guaranteed? Hello I wanted to know if the headphones were guaranteed because often the sound cuts and to listen to music that is not great.</v>
      </c>
    </row>
    <row r="4289">
      <c r="A4289" s="1">
        <v>3.0</v>
      </c>
      <c r="B4289" s="1" t="s">
        <v>4244</v>
      </c>
      <c r="C4289" t="str">
        <f>IFERROR(__xludf.DUMMYFUNCTION("GOOGLETRANSLATE(B4289, ""fr"", ""en"")"),"For fans The sweet is for my daughter who is a fan of the group. For me, I find it a bit expensive, but at this level, we can not judge ... In terms of product quality I find my way through, nothing more.")</f>
        <v>For fans The sweet is for my daughter who is a fan of the group. For me, I find it a bit expensive, but at this level, we can not judge ... In terms of product quality I find my way through, nothing more.</v>
      </c>
    </row>
    <row r="4290">
      <c r="A4290" s="1">
        <v>4.0</v>
      </c>
      <c r="B4290" s="1" t="s">
        <v>4245</v>
      </c>
      <c r="C4290" t="str">
        <f>IFERROR(__xludf.DUMMYFUNCTION("GOOGLETRANSLATE(B4290, ""fr"", ""en"")"),"Heater mat Beurer Article corresponds exactly to my expectations (size and quality) Note EXCELLENT AFTER SALE Amazon and Electricity corner I recommend")</f>
        <v>Heater mat Beurer Article corresponds exactly to my expectations (size and quality) Note EXCELLENT AFTER SALE Amazon and Electricity corner I recommend</v>
      </c>
    </row>
    <row r="4291">
      <c r="A4291" s="1">
        <v>4.0</v>
      </c>
      <c r="B4291" s="1" t="s">
        <v>4246</v>
      </c>
      <c r="C4291" t="str">
        <f>IFERROR(__xludf.DUMMYFUNCTION("GOOGLETRANSLATE(B4291, ""fr"", ""en"")"),"Vintage is back better than the pictures, the bracelet looks fragile, the price is good for a watch at 30 €, perfect delivery")</f>
        <v>Vintage is back better than the pictures, the bracelet looks fragile, the price is good for a watch at 30 €, perfect delivery</v>
      </c>
    </row>
    <row r="4292">
      <c r="A4292" s="1">
        <v>4.0</v>
      </c>
      <c r="B4292" s="1" t="s">
        <v>4247</v>
      </c>
      <c r="C4292" t="str">
        <f>IFERROR(__xludf.DUMMYFUNCTION("GOOGLETRANSLATE(B4292, ""fr"", ""en"")"),"Confirms my expectations lightweight shoe and flexible, rather for winter use autumn as keeps you warm, good value for use only walking and driving")</f>
        <v>Confirms my expectations lightweight shoe and flexible, rather for winter use autumn as keeps you warm, good value for use only walking and driving</v>
      </c>
    </row>
    <row r="4293">
      <c r="A4293" s="1">
        <v>4.0</v>
      </c>
      <c r="B4293" s="1" t="s">
        <v>4248</v>
      </c>
      <c r="C4293" t="str">
        <f>IFERROR(__xludf.DUMMYFUNCTION("GOOGLETRANSLATE(B4293, ""fr"", ""en"")"),"To try. Filter actually recording. Not bad.")</f>
        <v>To try. Filter actually recording. Not bad.</v>
      </c>
    </row>
    <row r="4294">
      <c r="A4294" s="1">
        <v>5.0</v>
      </c>
      <c r="B4294" s="1" t="s">
        <v>4249</v>
      </c>
      <c r="C4294" t="str">
        <f>IFERROR(__xludf.DUMMYFUNCTION("GOOGLETRANSLATE(B4294, ""fr"", ""en"")"),"Command unusable arrived quickly. No problem, NICKEL impression immediately recognized my printer that is new. The second time my cartridges were to change, I am not arrived to put my printer started, I had to redeem origins cartridges were empty when I a"&amp;"gain tried gohepi even problem and now I have regained my printer cartridge original pact is epson 255. Since I take care of an association we print a lot so I bought an old printer model for now it to seems to work but my cartridges are not the same they"&amp;" are 16 so I spent a lot of money for nothing")</f>
        <v>Command unusable arrived quickly. No problem, NICKEL impression immediately recognized my printer that is new. The second time my cartridges were to change, I am not arrived to put my printer started, I had to redeem origins cartridges were empty when I again tried gohepi even problem and now I have regained my printer cartridge original pact is epson 255. Since I take care of an association we print a lot so I bought an old printer model for now it to seems to work but my cartridges are not the same they are 16 so I spent a lot of money for nothing</v>
      </c>
    </row>
    <row r="4295">
      <c r="A4295" s="1">
        <v>5.0</v>
      </c>
      <c r="B4295" s="1" t="s">
        <v>4250</v>
      </c>
      <c r="C4295" t="str">
        <f>IFERROR(__xludf.DUMMYFUNCTION("GOOGLETRANSLATE(B4295, ""fr"", ""en"")"),"earrings I bought for my daughter for 9 years, but I put them too. They are super nice as well for a child than for an adult.")</f>
        <v>earrings I bought for my daughter for 9 years, but I put them too. They are super nice as well for a child than for an adult.</v>
      </c>
    </row>
    <row r="4296">
      <c r="A4296" s="1">
        <v>5.0</v>
      </c>
      <c r="B4296" s="1" t="s">
        <v>4251</v>
      </c>
      <c r="C4296" t="str">
        <f>IFERROR(__xludf.DUMMYFUNCTION("GOOGLETRANSLATE(B4296, ""fr"", ""en"")"),"great great product as always with north face")</f>
        <v>great great product as always with north face</v>
      </c>
    </row>
    <row r="4297">
      <c r="A4297" s="1">
        <v>5.0</v>
      </c>
      <c r="B4297" s="1" t="s">
        <v>4252</v>
      </c>
      <c r="C4297" t="str">
        <f>IFERROR(__xludf.DUMMYFUNCTION("GOOGLETRANSLATE(B4297, ""fr"", ""en"")"),"dawn simulator lamp and twilight I bought this lamp to me at the time, which helped me tremendously morning to wake me in shape or help me better sleep. Everything is super adjustable at that with which one wants to wake and volume of the required sound a"&amp;"nd easy to use. I bought the lamps in the same kind later for my children who, despite positive comments have absolutely never worked in their wake or sleep. I decided to invest in two new lamps for each of them and for revivals are ultra simple, especial"&amp;"ly for my older who found it hard to wake up and often cranky (9 years). Since this is the first up and prepared, and good humor :) short, happiness, I recommend +++")</f>
        <v>dawn simulator lamp and twilight I bought this lamp to me at the time, which helped me tremendously morning to wake me in shape or help me better sleep. Everything is super adjustable at that with which one wants to wake and volume of the required sound and easy to use. I bought the lamps in the same kind later for my children who, despite positive comments have absolutely never worked in their wake or sleep. I decided to invest in two new lamps for each of them and for revivals are ultra simple, especially for my older who found it hard to wake up and often cranky (9 years). Since this is the first up and prepared, and good humor :) short, happiness, I recommend +++</v>
      </c>
    </row>
    <row r="4298">
      <c r="A4298" s="1">
        <v>5.0</v>
      </c>
      <c r="B4298" s="1" t="s">
        <v>4253</v>
      </c>
      <c r="C4298" t="str">
        <f>IFERROR(__xludf.DUMMYFUNCTION("GOOGLETRANSLATE(B4298, ""fr"", ""en"")"),"Article Converse very satisfactory, in line with my expectations. I followed the advice of customers ordering a size smaller than my size and it's perfect!")</f>
        <v>Article Converse very satisfactory, in line with my expectations. I followed the advice of customers ordering a size smaller than my size and it's perfect!</v>
      </c>
    </row>
    <row r="4299">
      <c r="A4299" s="1">
        <v>5.0</v>
      </c>
      <c r="B4299" s="1" t="s">
        <v>4254</v>
      </c>
      <c r="C4299" t="str">
        <f>IFERROR(__xludf.DUMMYFUNCTION("GOOGLETRANSLATE(B4299, ""fr"", ""en"")"),"Okay Nothing to say, the shoe is perfect. It can make any occasion, for hiking or just the city, it goes with everything.")</f>
        <v>Okay Nothing to say, the shoe is perfect. It can make any occasion, for hiking or just the city, it goes with everything.</v>
      </c>
    </row>
    <row r="4300">
      <c r="A4300" s="1">
        <v>5.0</v>
      </c>
      <c r="B4300" s="1" t="s">
        <v>4255</v>
      </c>
      <c r="C4300" t="str">
        <f>IFERROR(__xludf.DUMMYFUNCTION("GOOGLETRANSLATE(B4300, ""fr"", ""en"")"),"Good product Very good quality and size very well. A worn with trousers long sweater. Or dress with tights. In the top. Wash and go to the dryer does not move. I recommend")</f>
        <v>Good product Very good quality and size very well. A worn with trousers long sweater. Or dress with tights. In the top. Wash and go to the dryer does not move. I recommend</v>
      </c>
    </row>
    <row r="4301">
      <c r="A4301" s="1">
        <v>5.0</v>
      </c>
      <c r="B4301" s="1" t="s">
        <v>4256</v>
      </c>
      <c r="C4301" t="str">
        <f>IFERROR(__xludf.DUMMYFUNCTION("GOOGLETRANSLATE(B4301, ""fr"", ""en"")"),"For sports or jogging very beautiful city Nice quality very soft and soft tissues as well for the sport that with a long tunic After fitting that jogging is very convincing")</f>
        <v>For sports or jogging very beautiful city Nice quality very soft and soft tissues as well for the sport that with a long tunic After fitting that jogging is very convincing</v>
      </c>
    </row>
    <row r="4302">
      <c r="A4302" s="1">
        <v>5.0</v>
      </c>
      <c r="B4302" s="1" t="s">
        <v>4257</v>
      </c>
      <c r="C4302" t="str">
        <f>IFERROR(__xludf.DUMMYFUNCTION("GOOGLETRANSLATE(B4302, ""fr"", ""en"")"),"Great safety shoe in")</f>
        <v>Great safety shoe in</v>
      </c>
    </row>
    <row r="4303">
      <c r="A4303" s="1">
        <v>5.0</v>
      </c>
      <c r="B4303" s="1" t="s">
        <v>4258</v>
      </c>
      <c r="C4303" t="str">
        <f>IFERROR(__xludf.DUMMYFUNCTION("GOOGLETRANSLATE(B4303, ""fr"", ""en"")"),"Very good quality I m serve to feed strips of LEDs. It's perfect. Very good quality.")</f>
        <v>Very good quality I m serve to feed strips of LEDs. It's perfect. Very good quality.</v>
      </c>
    </row>
    <row r="4304">
      <c r="A4304" s="1">
        <v>5.0</v>
      </c>
      <c r="B4304" s="1" t="s">
        <v>4259</v>
      </c>
      <c r="C4304" t="str">
        <f>IFERROR(__xludf.DUMMYFUNCTION("GOOGLETRANSLATE(B4304, ""fr"", ""en"")"),"Looks slippers !! Excellent product. As slippers !!! Warning take 1/2 sizes in Underwear")</f>
        <v>Looks slippers !! Excellent product. As slippers !!! Warning take 1/2 sizes in Underwear</v>
      </c>
    </row>
    <row r="4305">
      <c r="A4305" s="1">
        <v>5.0</v>
      </c>
      <c r="B4305" s="1" t="s">
        <v>4260</v>
      </c>
      <c r="C4305" t="str">
        <f>IFERROR(__xludf.DUMMYFUNCTION("GOOGLETRANSLATE(B4305, ""fr"", ""en"")"),"Patch Tiger Balm effective against aches Patch perfect balm for muscle pain tiger. It sticks well to the skin and heats quickly enough to alleviate aches.")</f>
        <v>Patch Tiger Balm effective against aches Patch perfect balm for muscle pain tiger. It sticks well to the skin and heats quickly enough to alleviate aches.</v>
      </c>
    </row>
    <row r="4306">
      <c r="A4306" s="1">
        <v>5.0</v>
      </c>
      <c r="B4306" s="1" t="s">
        <v>4261</v>
      </c>
      <c r="C4306" t="str">
        <f>IFERROR(__xludf.DUMMYFUNCTION("GOOGLETRANSLATE(B4306, ""fr"", ""en"")"),"Very satisfied A product of very good quality very easy to use and very useful for small angle rounder does not hurt himself with documents")</f>
        <v>Very satisfied A product of very good quality very easy to use and very useful for small angle rounder does not hurt himself with documents</v>
      </c>
    </row>
    <row r="4307">
      <c r="A4307" s="1">
        <v>5.0</v>
      </c>
      <c r="B4307" s="1" t="s">
        <v>4262</v>
      </c>
      <c r="C4307" t="str">
        <f>IFERROR(__xludf.DUMMYFUNCTION("GOOGLETRANSLATE(B4307, ""fr"", ""en"")"),"Testing successful I have been testing a fabric very end where I could not to anything with another much older pair. And there, very clean cut, scissors do not snag the fabric with a very good grip, which is a plus. I have not yet tried on a thicker fabri"&amp;"c but I think if you get there with a very thin cotton, there should not be any problem. Finally, the scissors came the day of delivery indicated. For now, that happiness!")</f>
        <v>Testing successful I have been testing a fabric very end where I could not to anything with another much older pair. And there, very clean cut, scissors do not snag the fabric with a very good grip, which is a plus. I have not yet tried on a thicker fabric but I think if you get there with a very thin cotton, there should not be any problem. Finally, the scissors came the day of delivery indicated. For now, that happiness!</v>
      </c>
    </row>
    <row r="4308">
      <c r="A4308" s="1">
        <v>5.0</v>
      </c>
      <c r="B4308" s="1" t="s">
        <v>4263</v>
      </c>
      <c r="C4308" t="str">
        <f>IFERROR(__xludf.DUMMYFUNCTION("GOOGLETRANSLATE(B4308, ""fr"", ""en"")"),"Basic but does what you ask him if you are looking for a pair of cheap bluetooth headphones, for occasional use it's perfect. I bought them for listening to music at low volume office, discreetly. Their small size makes them go unnoticed hair let loose. T"&amp;"he sound is okay, not great but okay. Lack some depth. A bit of sizzle when they are connected and that nothing is played. Comfort okay, they do not fall at all and are forgotten. Side noise reduction is not bad, it bothers me a lot personally becuase I h"&amp;"ear very loud the beating of my heart but I do not use it at all as plugs so much :) For the price c is very correct. Those 50, 60 or 120 € is probably better necessarily, but we have here for money.")</f>
        <v>Basic but does what you ask him if you are looking for a pair of cheap bluetooth headphones, for occasional use it's perfect. I bought them for listening to music at low volume office, discreetly. Their small size makes them go unnoticed hair let loose. The sound is okay, not great but okay. Lack some depth. A bit of sizzle when they are connected and that nothing is played. Comfort okay, they do not fall at all and are forgotten. Side noise reduction is not bad, it bothers me a lot personally becuase I hear very loud the beating of my heart but I do not use it at all as plugs so much :) For the price c is very correct. Those 50, 60 or 120 € is probably better necessarily, but we have here for money.</v>
      </c>
    </row>
    <row r="4309">
      <c r="A4309" s="1">
        <v>2.0</v>
      </c>
      <c r="B4309" s="1" t="s">
        <v>4264</v>
      </c>
      <c r="C4309" t="str">
        <f>IFERROR(__xludf.DUMMYFUNCTION("GOOGLETRANSLATE(B4309, ""fr"", ""en"")"),"I regret my purchase! I already knew the principle and had already tested. But then big disappointment ... After heated, the water bottle wet spring! So underwhelming ... The humidity is very uncomfortable .. Certe the price was more attractive than the c"&amp;"ompetition but suddenly it's still very expensive for a useless product! In short go your way ...")</f>
        <v>I regret my purchase! I already knew the principle and had already tested. But then big disappointment ... After heated, the water bottle wet spring! So underwhelming ... The humidity is very uncomfortable .. Certe the price was more attractive than the competition but suddenly it's still very expensive for a useless product! In short go your way ...</v>
      </c>
    </row>
    <row r="4310">
      <c r="A4310" s="1">
        <v>1.0</v>
      </c>
      <c r="B4310" s="1" t="s">
        <v>4265</v>
      </c>
      <c r="C4310" t="str">
        <f>IFERROR(__xludf.DUMMYFUNCTION("GOOGLETRANSLATE(B4310, ""fr"", ""en"")"),"Scam and abuse Basketball size 35 then that I had ordered 39 and they got dark I had ordered red, ashamed, c is the scam ..")</f>
        <v>Scam and abuse Basketball size 35 then that I had ordered 39 and they got dark I had ordered red, ashamed, c is the scam ..</v>
      </c>
    </row>
    <row r="4311">
      <c r="A4311" s="1">
        <v>1.0</v>
      </c>
      <c r="B4311" s="1" t="s">
        <v>4266</v>
      </c>
      <c r="C4311" t="str">
        <f>IFERROR(__xludf.DUMMYFUNCTION("GOOGLETRANSLATE(B4311, ""fr"", ""en"")"),"sometimes break very disappointed")</f>
        <v>sometimes break very disappointed</v>
      </c>
    </row>
    <row r="4312">
      <c r="A4312" s="1">
        <v>3.0</v>
      </c>
      <c r="B4312" s="1" t="s">
        <v>4267</v>
      </c>
      <c r="C4312" t="str">
        <f>IFERROR(__xludf.DUMMYFUNCTION("GOOGLETRANSLATE(B4312, ""fr"", ""en"")"),"Quality means least ... At first a bit difficult to set up ds the printer does not recognize. compel to force implementation. The ink is of medium quality less. The colors are not as vivid as the brand of the printer. But enough for DIY and children drawi"&amp;"ngs. For the job I recommend getting better.")</f>
        <v>Quality means least ... At first a bit difficult to set up ds the printer does not recognize. compel to force implementation. The ink is of medium quality less. The colors are not as vivid as the brand of the printer. But enough for DIY and children drawings. For the job I recommend getting better.</v>
      </c>
    </row>
    <row r="4313">
      <c r="A4313" s="1">
        <v>4.0</v>
      </c>
      <c r="B4313" s="1" t="s">
        <v>4268</v>
      </c>
      <c r="C4313" t="str">
        <f>IFERROR(__xludf.DUMMYFUNCTION("GOOGLETRANSLATE(B4313, ""fr"", ""en"")"),"very well very well")</f>
        <v>very well very well</v>
      </c>
    </row>
    <row r="4314">
      <c r="A4314" s="1">
        <v>4.0</v>
      </c>
      <c r="B4314" s="1" t="s">
        <v>4269</v>
      </c>
      <c r="C4314" t="str">
        <f>IFERROR(__xludf.DUMMYFUNCTION("GOOGLETRANSLATE(B4314, ""fr"", ""en"")"),"Good helmet The sound is pretty good but you have to put the volume louder to hear. I think it hurts the ears after a while listening. It does not isolate a lot of outside noise, then it certainly depends on the type of environment. I still find good qual"&amp;"ity / price ratio. Delivered quickly.")</f>
        <v>Good helmet The sound is pretty good but you have to put the volume louder to hear. I think it hurts the ears after a while listening. It does not isolate a lot of outside noise, then it certainly depends on the type of environment. I still find good quality / price ratio. Delivered quickly.</v>
      </c>
    </row>
    <row r="4315">
      <c r="A4315" s="1">
        <v>4.0</v>
      </c>
      <c r="B4315" s="1" t="s">
        <v>4270</v>
      </c>
      <c r="C4315" t="str">
        <f>IFERROR(__xludf.DUMMYFUNCTION("GOOGLETRANSLATE(B4315, ""fr"", ""en"")"),"Black Eastpack Kit Super kit, just a little b-mol is that it lacks space for about 7 to 8 pens. This is due to the model that is not rounded on the coasts, otherwise super strength and closing, true to the brand Eastpak. The price is justified. Nothing to"&amp;" say .")</f>
        <v>Black Eastpack Kit Super kit, just a little b-mol is that it lacks space for about 7 to 8 pens. This is due to the model that is not rounded on the coasts, otherwise super strength and closing, true to the brand Eastpak. The price is justified. Nothing to say .</v>
      </c>
    </row>
    <row r="4316">
      <c r="A4316" s="1">
        <v>4.0</v>
      </c>
      <c r="B4316" s="1" t="s">
        <v>4271</v>
      </c>
      <c r="C4316" t="str">
        <f>IFERROR(__xludf.DUMMYFUNCTION("GOOGLETRANSLATE(B4316, ""fr"", ""en"")"),"Some kinks ..... nevermind Received for testing free .... I'm used to putting style booties ""slippers"" for years in winter, so I tested these slippers. Received in a plastic bag with slightly deformed soles, a sequined look a little weird at first .... "&amp;"but quickly forgotten. Putting the foot in at first is bad because the foot is struggling to get to the bottom, must shoot well, it gives a foot print choking with embarrassing .... pressure that disappears after a few hours. In appearance, the slippers a"&amp;"re wide for my taste by against fluffy inside and underneath. The sole is not too thick, it feels so fast walking on a pebble or the like, but they are well slip. On the back of the slipper, there is a small ledge nice visually but has not used much, a le"&amp;"dge a little higher it would have had much better. In terms of size, I make the following brands 44/45, I took the same size available (44/45) and I think it's limit. So a product tested for free by 42/43 for my son, I also ordered another pair in 44/45 ("&amp;"pay) for myself. Defects my taste on this product are: - Side sequin .... not great but different version available - size available only by union of two sizes - just in size but jump two size change if ...... For price, it's still in the upper range for "&amp;"slippers. To see the time that the sole will last before tearing into two or other problems.")</f>
        <v>Some kinks ..... nevermind Received for testing free .... I'm used to putting style booties "slippers" for years in winter, so I tested these slippers. Received in a plastic bag with slightly deformed soles, a sequined look a little weird at first .... but quickly forgotten. Putting the foot in at first is bad because the foot is struggling to get to the bottom, must shoot well, it gives a foot print choking with embarrassing .... pressure that disappears after a few hours. In appearance, the slippers are wide for my taste by against fluffy inside and underneath. The sole is not too thick, it feels so fast walking on a pebble or the like, but they are well slip. On the back of the slipper, there is a small ledge nice visually but has not used much, a ledge a little higher it would have had much better. In terms of size, I make the following brands 44/45, I took the same size available (44/45) and I think it's limit. So a product tested for free by 42/43 for my son, I also ordered another pair in 44/45 (pay) for myself. Defects my taste on this product are: - Side sequin .... not great but different version available - size available only by union of two sizes - just in size but jump two size change if ...... For price, it's still in the upper range for slippers. To see the time that the sole will last before tearing into two or other problems.</v>
      </c>
    </row>
    <row r="4317">
      <c r="A4317" s="1">
        <v>5.0</v>
      </c>
      <c r="B4317" s="1" t="s">
        <v>4272</v>
      </c>
      <c r="C4317" t="str">
        <f>IFERROR(__xludf.DUMMYFUNCTION("GOOGLETRANSLATE(B4317, ""fr"", ""en"")"),"Gégnal I finally made the move ... great experience for my first wireless headset. I like its design ... great quality. I am delighted about it. Thank you so much.")</f>
        <v>Gégnal I finally made the move ... great experience for my first wireless headset. I like its design ... great quality. I am delighted about it. Thank you so much.</v>
      </c>
    </row>
    <row r="4318">
      <c r="A4318" s="1">
        <v>5.0</v>
      </c>
      <c r="B4318" s="1" t="s">
        <v>4273</v>
      </c>
      <c r="C4318" t="str">
        <f>IFERROR(__xludf.DUMMYFUNCTION("GOOGLETRANSLATE(B4318, ""fr"", ""en"")"),"Device satisfactory operation currently helmet purchased in mid-February 2019 and tested for 3 weeks. The operation is satisfactory for the time (sound quality, noise reduction). Reliability and quality of batteries to do with the time (I will change this"&amp;" assessment can be). Possibility of wired (I bought a parallel wire 5m for connecting to a TV).")</f>
        <v>Device satisfactory operation currently helmet purchased in mid-February 2019 and tested for 3 weeks. The operation is satisfactory for the time (sound quality, noise reduction). Reliability and quality of batteries to do with the time (I will change this assessment can be). Possibility of wired (I bought a parallel wire 5m for connecting to a TV).</v>
      </c>
    </row>
    <row r="4319">
      <c r="A4319" s="1">
        <v>5.0</v>
      </c>
      <c r="B4319" s="1" t="s">
        <v>4274</v>
      </c>
      <c r="C4319" t="str">
        <f>IFERROR(__xludf.DUMMYFUNCTION("GOOGLETRANSLATE(B4319, ""fr"", ""en"")"),"EXCELLENT VALUE FOR MONEY I bought it without conviction because it was to replace my beautiful Denon DL 103 I broke but has become overpriced (about 300 €) and there I am amazed with this price a moving coil cartridge with more sufficient output level to"&amp;" allow me to delete the pre preamp this is crazy and the sound is excellent especially with my Japanese and American direct prints may lack a bit of fishing, for example, heel shots in ""flamenco fever"" or Oscar Peterson ""we get request"" serious pêchus"&amp;" slightly less compared to the DL103 but until I win the lottery this is excellent though and for 10 times less")</f>
        <v>EXCELLENT VALUE FOR MONEY I bought it without conviction because it was to replace my beautiful Denon DL 103 I broke but has become overpriced (about 300 €) and there I am amazed with this price a moving coil cartridge with more sufficient output level to allow me to delete the pre preamp this is crazy and the sound is excellent especially with my Japanese and American direct prints may lack a bit of fishing, for example, heel shots in "flamenco fever" or Oscar Peterson "we get request" serious pêchus slightly less compared to the DL103 but until I win the lottery this is excellent though and for 10 times less</v>
      </c>
    </row>
    <row r="4320">
      <c r="A4320" s="1">
        <v>5.0</v>
      </c>
      <c r="B4320" s="1" t="s">
        <v>4275</v>
      </c>
      <c r="C4320" t="str">
        <f>IFERROR(__xludf.DUMMYFUNCTION("GOOGLETRANSLATE(B4320, ""fr"", ""en"")"),"Thank you ! Just thank you for designing this cushion which greatly relieves my back and my neck! I was not really sure which format to choose and opted for this model because it had the advantage of being small without losing quality. I am very pleased t"&amp;"hat provides massages, and every time I feel some pressure, he became my indispensable ally!")</f>
        <v>Thank you ! Just thank you for designing this cushion which greatly relieves my back and my neck! I was not really sure which format to choose and opted for this model because it had the advantage of being small without losing quality. I am very pleased that provides massages, and every time I feel some pressure, he became my indispensable ally!</v>
      </c>
    </row>
    <row r="4321">
      <c r="A4321" s="1">
        <v>5.0</v>
      </c>
      <c r="B4321" s="1" t="s">
        <v>4276</v>
      </c>
      <c r="C4321" t="str">
        <f>IFERROR(__xludf.DUMMYFUNCTION("GOOGLETRANSLATE(B4321, ""fr"", ""en"")"),"right size that fits the wrist should be all of the same size would be ideal ...")</f>
        <v>right size that fits the wrist should be all of the same size would be ideal ...</v>
      </c>
    </row>
    <row r="4322">
      <c r="A4322" s="1">
        <v>5.0</v>
      </c>
      <c r="B4322" s="1" t="s">
        <v>4277</v>
      </c>
      <c r="C4322" t="str">
        <f>IFERROR(__xludf.DUMMYFUNCTION("GOOGLETRANSLATE(B4322, ""fr"", ""en"")"),"Value at the top! Then there level value anything honestly say I recommend this product you can buy eyes closed it works very well in our TPE;)")</f>
        <v>Value at the top! Then there level value anything honestly say I recommend this product you can buy eyes closed it works very well in our TPE;)</v>
      </c>
    </row>
    <row r="4323">
      <c r="A4323" s="1">
        <v>5.0</v>
      </c>
      <c r="B4323" s="1" t="s">
        <v>2457</v>
      </c>
      <c r="C4323" t="str">
        <f>IFERROR(__xludf.DUMMYFUNCTION("GOOGLETRANSLATE(B4323, ""fr"", ""en"")"),"Ok Ok")</f>
        <v>Ok Ok</v>
      </c>
    </row>
    <row r="4324">
      <c r="A4324" s="1">
        <v>5.0</v>
      </c>
      <c r="B4324" s="1" t="s">
        <v>4278</v>
      </c>
      <c r="C4324" t="str">
        <f>IFERROR(__xludf.DUMMYFUNCTION("GOOGLETRANSLATE(B4324, ""fr"", ""en"")"),"Press briquette Simply perfect. I recommend to prepare the paper mache to make it beautiful you briquette compact paper.")</f>
        <v>Press briquette Simply perfect. I recommend to prepare the paper mache to make it beautiful you briquette compact paper.</v>
      </c>
    </row>
    <row r="4325">
      <c r="A4325" s="1">
        <v>5.0</v>
      </c>
      <c r="B4325" s="1" t="s">
        <v>4279</v>
      </c>
      <c r="C4325" t="str">
        <f>IFERROR(__xludf.DUMMYFUNCTION("GOOGLETRANSLATE(B4325, ""fr"", ""en"")"),"Perfect ! Superb this portable kettle! Great for take it everywhere, in his bag to go to work, drive, etc. Fast delivery, thank you!")</f>
        <v>Perfect ! Superb this portable kettle! Great for take it everywhere, in his bag to go to work, drive, etc. Fast delivery, thank you!</v>
      </c>
    </row>
    <row r="4326">
      <c r="A4326" s="1">
        <v>5.0</v>
      </c>
      <c r="B4326" s="1" t="s">
        <v>4280</v>
      </c>
      <c r="C4326" t="str">
        <f>IFERROR(__xludf.DUMMYFUNCTION("GOOGLETRANSLATE(B4326, ""fr"", ""en"")"),"I recommend Very good product.")</f>
        <v>I recommend Very good product.</v>
      </c>
    </row>
    <row r="4327">
      <c r="A4327" s="1">
        <v>5.0</v>
      </c>
      <c r="B4327" s="1" t="s">
        <v>4281</v>
      </c>
      <c r="C4327" t="str">
        <f>IFERROR(__xludf.DUMMYFUNCTION("GOOGLETRANSLATE(B4327, ""fr"", ""en"")"),"Very comfortable shoes A pleasure to wear them and walk and run with or")</f>
        <v>Very comfortable shoes A pleasure to wear them and walk and run with or</v>
      </c>
    </row>
    <row r="4328">
      <c r="A4328" s="1">
        <v>5.0</v>
      </c>
      <c r="B4328" s="1" t="s">
        <v>4282</v>
      </c>
      <c r="C4328" t="str">
        <f>IFERROR(__xludf.DUMMYFUNCTION("GOOGLETRANSLATE(B4328, ""fr"", ""en"")"),"Kettle Very good product that will allow you to boil water very quickly. Nice design, with a bandeau blue LED on and when it heats. Glass is transparent, with a large capacity water 2L, clearly display the water level. Easy to use, I recommend.")</f>
        <v>Kettle Very good product that will allow you to boil water very quickly. Nice design, with a bandeau blue LED on and when it heats. Glass is transparent, with a large capacity water 2L, clearly display the water level. Easy to use, I recommend.</v>
      </c>
    </row>
    <row r="4329">
      <c r="A4329" s="1">
        <v>5.0</v>
      </c>
      <c r="B4329" s="1" t="s">
        <v>4283</v>
      </c>
      <c r="C4329" t="str">
        <f>IFERROR(__xludf.DUMMYFUNCTION("GOOGLETRANSLATE(B4329, ""fr"", ""en"")"),"Perfect ! My kids love this collection.Parfait! Text well.")</f>
        <v>Perfect ! My kids love this collection.Parfait! Text well.</v>
      </c>
    </row>
    <row r="4330">
      <c r="A4330" s="1">
        <v>5.0</v>
      </c>
      <c r="B4330" s="1" t="s">
        <v>4284</v>
      </c>
      <c r="C4330" t="str">
        <f>IFERROR(__xludf.DUMMYFUNCTION("GOOGLETRANSLATE(B4330, ""fr"", ""en"")"),"Earphone Good quality headphones are convenient, provides a high quality sound. They hold well. The charge is reliable and beautiful design. The case is solid and does not take up space. I'm really happy with my headphones. I would recommend no problem.")</f>
        <v>Earphone Good quality headphones are convenient, provides a high quality sound. They hold well. The charge is reliable and beautiful design. The case is solid and does not take up space. I'm really happy with my headphones. I would recommend no problem.</v>
      </c>
    </row>
    <row r="4331">
      <c r="A4331" s="1">
        <v>5.0</v>
      </c>
      <c r="B4331" s="1" t="s">
        <v>4285</v>
      </c>
      <c r="C4331" t="str">
        <f>IFERROR(__xludf.DUMMYFUNCTION("GOOGLETRANSLATE(B4331, ""fr"", ""en"")"),"Well my daughter is thrilled Super beautiful pearls")</f>
        <v>Well my daughter is thrilled Super beautiful pearls</v>
      </c>
    </row>
    <row r="4332">
      <c r="A4332" s="1">
        <v>2.0</v>
      </c>
      <c r="B4332" s="1" t="s">
        <v>4286</v>
      </c>
      <c r="C4332" t="str">
        <f>IFERROR(__xludf.DUMMYFUNCTION("GOOGLETRANSLATE(B4332, ""fr"", ""en"")"),"Disappointed by this diffuser. The light is not working properly, the unit will stop only when he still water and a false contact on the switches. I am disappointed by the broadcaster.")</f>
        <v>Disappointed by this diffuser. The light is not working properly, the unit will stop only when he still water and a false contact on the switches. I am disappointed by the broadcaster.</v>
      </c>
    </row>
    <row r="4333">
      <c r="A4333" s="1">
        <v>1.0</v>
      </c>
      <c r="B4333" s="1" t="s">
        <v>4287</v>
      </c>
      <c r="C4333" t="str">
        <f>IFERROR(__xludf.DUMMYFUNCTION("GOOGLETRANSLATE(B4333, ""fr"", ""en"")"),"difficult opening It is unfortunate that this bag is also flawed because the material is correct and neutral but nice color. The problem lies in the openings closed by lightning. The pockets did not open well and it is difficult to insert things into it. "&amp;"Also the depth is relatively small, so from a small wallet and pen, this bag will contain no more.")</f>
        <v>difficult opening It is unfortunate that this bag is also flawed because the material is correct and neutral but nice color. The problem lies in the openings closed by lightning. The pockets did not open well and it is difficult to insert things into it. Also the depth is relatively small, so from a small wallet and pen, this bag will contain no more.</v>
      </c>
    </row>
    <row r="4334">
      <c r="A4334" s="1">
        <v>3.0</v>
      </c>
      <c r="B4334" s="1" t="s">
        <v>4288</v>
      </c>
      <c r="C4334" t="str">
        <f>IFERROR(__xludf.DUMMYFUNCTION("GOOGLETRANSLATE(B4334, ""fr"", ""en"")"),"nice model but large in size Unfortunately I had to return because bcp too big. Pity.")</f>
        <v>nice model but large in size Unfortunately I had to return because bcp too big. Pity.</v>
      </c>
    </row>
    <row r="4335">
      <c r="A4335" s="1">
        <v>3.0</v>
      </c>
      <c r="B4335" s="1" t="s">
        <v>4289</v>
      </c>
      <c r="C4335" t="str">
        <f>IFERROR(__xludf.DUMMYFUNCTION("GOOGLETRANSLATE(B4335, ""fr"", ""en"")"),"Kettle while steel I use this daily kettle for tea, herbal tea ... I chose it for its price, very interesting, its manufacturing material, stainless steel, its capacity, ideal qd many of us home and its look, go with my toaster, my coffee.")</f>
        <v>Kettle while steel I use this daily kettle for tea, herbal tea ... I chose it for its price, very interesting, its manufacturing material, stainless steel, its capacity, ideal qd many of us home and its look, go with my toaster, my coffee.</v>
      </c>
    </row>
    <row r="4336">
      <c r="A4336" s="1">
        <v>4.0</v>
      </c>
      <c r="B4336" s="1" t="s">
        <v>4290</v>
      </c>
      <c r="C4336" t="str">
        <f>IFERROR(__xludf.DUMMYFUNCTION("GOOGLETRANSLATE(B4336, ""fr"", ""en"")"),"She Jolie are pretty flexible. To see if it fit on the period")</f>
        <v>She Jolie are pretty flexible. To see if it fit on the period</v>
      </c>
    </row>
    <row r="4337">
      <c r="A4337" s="1">
        <v>4.0</v>
      </c>
      <c r="B4337" s="1" t="s">
        <v>4291</v>
      </c>
      <c r="C4337" t="str">
        <f>IFERROR(__xludf.DUMMYFUNCTION("GOOGLETRANSLATE(B4337, ""fr"", ""en"")"),"Very practical class for daily use")</f>
        <v>Very practical class for daily use</v>
      </c>
    </row>
    <row r="4338">
      <c r="A4338" s="1">
        <v>4.0</v>
      </c>
      <c r="B4338" s="1" t="s">
        <v>4292</v>
      </c>
      <c r="C4338" t="str">
        <f>IFERROR(__xludf.DUMMYFUNCTION("GOOGLETRANSLATE(B4338, ""fr"", ""en"")"),"Good buy Very nice, although it's true that get used the first few minutes (but I think it is for any foot massager). For sound, it does not excessively noise, so no need to increase the sound from the TV. After walking in heels all day, it's really relax"&amp;"ing. Only small problem, it hardly feels heat damage.")</f>
        <v>Good buy Very nice, although it's true that get used the first few minutes (but I think it is for any foot massager). For sound, it does not excessively noise, so no need to increase the sound from the TV. After walking in heels all day, it's really relaxing. Only small problem, it hardly feels heat damage.</v>
      </c>
    </row>
    <row r="4339">
      <c r="A4339" s="1">
        <v>4.0</v>
      </c>
      <c r="B4339" s="1" t="s">
        <v>4293</v>
      </c>
      <c r="C4339" t="str">
        <f>IFERROR(__xludf.DUMMYFUNCTION("GOOGLETRANSLATE(B4339, ""fr"", ""en"")"),"Nickel 👌 Great! Very nice, mounts as originals at apple bracelets 👍")</f>
        <v>Nickel 👌 Great! Very nice, mounts as originals at apple bracelets 👍</v>
      </c>
    </row>
    <row r="4340">
      <c r="A4340" s="1">
        <v>5.0</v>
      </c>
      <c r="B4340" s="1" t="s">
        <v>4294</v>
      </c>
      <c r="C4340" t="str">
        <f>IFERROR(__xludf.DUMMYFUNCTION("GOOGLETRANSLATE(B4340, ""fr"", ""en"")"),"Kettle Thermal Thermal kettle suited to me. I like to take the tea several times in the day and especially at night. As it is heat I did not need to heat water constantement I noticed that the water remains warm even the next day. Not confirm liters but 1"&amp;" liter of water is safe. The only downside is that when the coffee is not filled it makes noise. So no silencieuse🤔")</f>
        <v>Kettle Thermal Thermal kettle suited to me. I like to take the tea several times in the day and especially at night. As it is heat I did not need to heat water constantement I noticed that the water remains warm even the next day. Not confirm liters but 1 liter of water is safe. The only downside is that when the coffee is not filled it makes noise. So no silencieuse🤔</v>
      </c>
    </row>
    <row r="4341">
      <c r="A4341" s="1">
        <v>5.0</v>
      </c>
      <c r="B4341" s="1" t="s">
        <v>4295</v>
      </c>
      <c r="C4341" t="str">
        <f>IFERROR(__xludf.DUMMYFUNCTION("GOOGLETRANSLATE(B4341, ""fr"", ""en"")"),"Perfect Perfect product, arrived on time and very good quality, perfect size.")</f>
        <v>Perfect Perfect product, arrived on time and very good quality, perfect size.</v>
      </c>
    </row>
    <row r="4342">
      <c r="A4342" s="1">
        <v>5.0</v>
      </c>
      <c r="B4342" s="1" t="s">
        <v>4296</v>
      </c>
      <c r="C4342" t="str">
        <f>IFERROR(__xludf.DUMMYFUNCTION("GOOGLETRANSLATE(B4342, ""fr"", ""en"")"),"Good buy Good Design")</f>
        <v>Good buy Good Design</v>
      </c>
    </row>
    <row r="4343">
      <c r="A4343" s="1">
        <v>5.0</v>
      </c>
      <c r="B4343" s="1" t="s">
        <v>4297</v>
      </c>
      <c r="C4343" t="str">
        <f>IFERROR(__xludf.DUMMYFUNCTION("GOOGLETRANSLATE(B4343, ""fr"", ""en"")"),"purchase price and speed loader, while nickel. and in addition it works ... on the Bose website I have had for 3 weeks and 10 times more expensive.")</f>
        <v>purchase price and speed loader, while nickel. and in addition it works ... on the Bose website I have had for 3 weeks and 10 times more expensive.</v>
      </c>
    </row>
    <row r="4344">
      <c r="A4344" s="1">
        <v>5.0</v>
      </c>
      <c r="B4344" s="1" t="s">
        <v>4298</v>
      </c>
      <c r="C4344" t="str">
        <f>IFERROR(__xludf.DUMMYFUNCTION("GOOGLETRANSLATE(B4344, ""fr"", ""en"")"),"Very good product Bought for 6 months and used daily without problems. Nice aesthetic with its blue LED but the big advantage is what is glass. So transparent allowing see is how the water is very hard compared to a conventional kettle. So once a month, a"&amp;" little white vinegar 15 minutes and it is like new.")</f>
        <v>Very good product Bought for 6 months and used daily without problems. Nice aesthetic with its blue LED but the big advantage is what is glass. So transparent allowing see is how the water is very hard compared to a conventional kettle. So once a month, a little white vinegar 15 minutes and it is like new.</v>
      </c>
    </row>
    <row r="4345">
      <c r="A4345" s="1">
        <v>5.0</v>
      </c>
      <c r="B4345" s="1" t="s">
        <v>4299</v>
      </c>
      <c r="C4345" t="str">
        <f>IFERROR(__xludf.DUMMYFUNCTION("GOOGLETRANSLATE(B4345, ""fr"", ""en"")"),"very nice watch, it flatters, the bracelet is good and nice, looks like a much more expensive branded product. treat yourself short")</f>
        <v>very nice watch, it flatters, the bracelet is good and nice, looks like a much more expensive branded product. treat yourself short</v>
      </c>
    </row>
    <row r="4346">
      <c r="A4346" s="1">
        <v>5.0</v>
      </c>
      <c r="B4346" s="1" t="s">
        <v>4300</v>
      </c>
      <c r="C4346" t="str">
        <f>IFERROR(__xludf.DUMMYFUNCTION("GOOGLETRANSLATE(B4346, ""fr"", ""en"")"),"Impeccable Impeccable !!")</f>
        <v>Impeccable Impeccable !!</v>
      </c>
    </row>
    <row r="4347">
      <c r="A4347" s="1">
        <v>5.0</v>
      </c>
      <c r="B4347" s="1" t="s">
        <v>4301</v>
      </c>
      <c r="C4347" t="str">
        <f>IFERROR(__xludf.DUMMYFUNCTION("GOOGLETRANSLATE(B4347, ""fr"", ""en"")"),"Comfortable to wear for the summer, they are top. They match my tastes. They are more comfortable.")</f>
        <v>Comfortable to wear for the summer, they are top. They match my tastes. They are more comfortable.</v>
      </c>
    </row>
    <row r="4348">
      <c r="A4348" s="1">
        <v>5.0</v>
      </c>
      <c r="B4348" s="1" t="s">
        <v>4302</v>
      </c>
      <c r="C4348" t="str">
        <f>IFERROR(__xludf.DUMMYFUNCTION("GOOGLETRANSLATE(B4348, ""fr"", ""en"")"),"This was a gift for gifts")</f>
        <v>This was a gift for gifts</v>
      </c>
    </row>
    <row r="4349">
      <c r="A4349" s="1">
        <v>5.0</v>
      </c>
      <c r="B4349" s="1" t="s">
        <v>4303</v>
      </c>
      <c r="C4349" t="str">
        <f>IFERROR(__xludf.DUMMYFUNCTION("GOOGLETRANSLATE(B4349, ""fr"", ""en"")"),"Although a little big for me (54cm head circumference). It is very simple to connect. The sound is really impressive.")</f>
        <v>Although a little big for me (54cm head circumference). It is very simple to connect. The sound is really impressive.</v>
      </c>
    </row>
    <row r="4350">
      <c r="A4350" s="1">
        <v>5.0</v>
      </c>
      <c r="B4350" s="1" t="s">
        <v>4304</v>
      </c>
      <c r="C4350" t="str">
        <f>IFERROR(__xludf.DUMMYFUNCTION("GOOGLETRANSLATE(B4350, ""fr"", ""en"")"),"Sterilizer and bottle warmer &lt;div id = ""video-block-R1WV7G9XK887SF"" class = ""a-section-spacing-small in-spacing-top mini video-block""&gt; &lt;div tabindex = ""0"" class = ""airy airy -svg vmin-unsupported airy-skin-beacon ""style ="" background-color: rgb ("&amp;"0, 0, 0); position: relative; width: 100%; height: 100%; font-size: 0px; overflow: hidden ; outline: none; ""&gt; &lt;div class ="" airy-renderer-container ""style ="" position: relative; height: 100%; width: 100%; ""&gt; &lt;video id ="" 14 ""preload ="" auto ""src "&amp;"= ""https://images-eu.ssl-images-amazon.com/images/I/A1MZX2gcvOS.mp4"" style = ""position: absolute; left: 0px; top: 0px; overflow: hidden; height: 1px; width : 1px; ""&gt; &lt;/ video&gt; &lt;/ div&gt; &lt;div id ="" airy-slate-preload ""style ="" background-color: rgb (0"&amp;", 0, 0); background-image: url (&amp; quot; https: //images-eu.ssl-images-amazon.com/images/I/818-3ey5d2S.png&amp;quot;); background-size: contain; background-position: center center; background-repeat: no-repeat; position: absolute ; top: 0px; left: 0px; visibil"&amp;"ity: visible; width: 100%; height: 100% ""&gt; &lt;/ d iv&gt; &lt;iframe scrolling = ""no"" frameborder = ""0"" src = ""about: blank"" style = ""display: none;""&gt; &lt;/ iframe&gt; &lt;div tabindex = ""- 1"" class = ""airy-controls-container ""style ="" opacity: 0; visibility:"&amp;" hidden; ""&gt; &lt;div tabindex ="" - 1 ""class ="" airy-screen-size-toggle airy-fullscreen ""&gt; &lt;/ div&gt; &lt;div tabindex ="" - 1 ""class ="" airy-container-bottom "" &gt; &lt;div tabindex = ""- 1"" class = ""airy-track-bar spacer-left"" style = ""width: 11px;""&gt; &lt;/ div"&amp;"&gt; &lt;div tabindex = ""- 1"" class = ""airy-play- toggle airy-play ""style ="" width: 12px; margin-right: 12px; ""&gt; &lt;/ div&gt; &lt;div tabindex ="" - 1 ""class ="" airy-audio-elements ""style ="" float: right; width: 34px; ""&gt; &lt;div tabindex ="" - 1 ""class ="" air"&amp;"y-audio-toggle airy-on ""&gt; &lt;/ div&gt; &lt;div tabindex ="" - 1 ""class ="" airy-audio-container ""style = ""opacity: 0; visibility: hidden; ""&gt; &lt;div tabindex ="" - 1 ""class ="" airy-audio-track-bar ""style ="" height: 80%; ""&gt; &lt;div tabindex ="" - 1 ""class ="""&amp;" airy-audio- scrubber bar ""style ="" height: 85% ""&gt; &lt;/ div&gt; &lt;div tabindex ="" - 1 ""class ="" airy-audio-scrubber ""style ="" height: 12px; bottom: 85% ""&gt; &lt;/ div&gt; &lt;/ div&gt; &lt;/ div&gt; &lt;/ div&gt; &lt;div tabindex ="" - 1 ""class ="" airy-duration-label ""style ="""&amp;" float: right; width: 26px; margin-right: 4px; text-align: center; ""&gt; 0:29 &lt;/ div&gt; &lt;div tabindex ="" - 1 ""class ="" airy-track-bar spacer-right ""style ="" float: right; width: 11px; ""&gt; &lt;/ div&gt; &lt;div tabindex ="" - 1 ""class ="" airy-track-bar-container"&amp;" ""style ="" margin-left: 35px; margin-right: 75px; ""&gt; &lt;div tabindex ="" - 1 ""class ="" airy-airy-track-bar vertical-centering-table ""&gt; &lt;div tabindex ="" - 1 ""class ="" airy-vertical-centering- table-cell ""&gt; &lt;div tabindex ="" - 1 ""class ="" airy-tra"&amp;"ck-bar elements ""&gt; &lt;div tabindex ="" - 1 ""class ="" airy-progress-bar ""style ="" width: 2.43123%; ""&gt; &lt;/ div&gt; &lt;div tabindex ="" - 1 ""class ="" airy-scrubber bar ""&gt; &lt;/ div&gt; &lt;div tabindex ="" - 1 ""class ="" airy-scrubber ""&gt; &lt;div tabindex ="" - 1 ""cl"&amp;"ass ="" airy-scrubber-icon ""&gt; &lt;/ div&gt; &lt;div tabindex ="" - 1 ""class ="" airy-adjusted-aui-tooltip ""style ="" opacity: 0; visibility: hidden; ""&gt; &lt;div tabindex ="" - 1 ""class ="" airy-adjusted-aui-tooltip-inner ""&gt; &lt;div tabindex ="" - 1 ""class ="" airy"&amp;"-current-time-label ""&gt; 0 00 &lt;/ div&gt; &lt;/ div&gt; &lt;div tabindex = ""- 1"" class = ""airy-adjusted-aui-arrow-border""&gt; &lt;div tabindex = ""- 1"" class = ""airy-adjusted-aui-arrow"" &gt; &lt;/ div&gt; &lt;/ div&gt; &lt;/ div&gt; &lt;/ div&gt; &lt;/ div&gt; &lt;/ div&gt; &lt;/ div&gt; &lt;/ div&gt; &lt;/ div&gt; &lt;/ div&gt; "&amp;"&lt;div tabindex = ""- 1"" class = ""airy-airy-age-gate course airy-vertical-centering table-airy-dialog"" style = ""opacity: 0; visibility: hidden; ""&gt; &lt;div tabindex ="" - 1 ""class ="" airy-age-gate-vertical-centering-table-cell airy-vertical-centering-tab"&amp;"le-cell ""&gt; &lt;div tabindex ="" - 1 ""class = ""airy-vertical-centering-wrapper airy-age-gate-elements-wrapper""&gt; &lt;div tabindex = ""- 1"" class = ""airy-age-gate-elements airy-dialog-elements""&gt; &lt;div tabindex = "" -1 ""class ="" airy-age-gate-prompt ""&gt; Thi"&amp;"s video is not Intended for all audiences What time were you born &lt;/ div&gt; &lt;div tabindex =.?"" - 1 ""class ="" airy-age-gate -inputs airy-dialog-inner-elements ""&gt; &lt;select tabindex ="" - 1 ""class ="" airy-age-gate-month ""&gt; &lt;option value ="" 1 ""&gt; January"&amp;" &lt;/ option&gt; &lt;option value ="" 2 ""&gt; February &lt;/ option&gt; &lt;option value ="" 3 ""&gt; March &lt;/ option&gt; &lt;option value ="" 4 ""&gt; April &lt;/ option&gt; &lt;option value ="" 5 ""&gt; May &lt;/ option&gt; &lt;option value = ""6""&gt; June &lt;/ option&gt; &lt;option value = ""7""&gt; July &lt;/ option&gt; "&amp;"&lt;option value = ""8""&gt; August &lt;/ option&gt; &lt;option value = ""9""&gt; September &lt;/ option&gt; &lt;option value = ""10""&gt; October &lt;/ option&gt; &lt;option value = ""11""&gt; November &lt;/ option&gt; &lt;option value = ""12""&gt; December &lt;/ option&gt; &lt;/ select&gt; &lt;select tabindex = ""- 1"" c"&amp;"lass = ""airy-age-gate-day""&gt; &lt;opti = One value ""1""&gt; 1 &lt;/ option&gt; &lt;option value = ""2""&gt; 2 &lt;/ option&gt; &lt;option value = ""3""&gt; 3 &lt;/ option&gt; &lt;option value = ""4""&gt; 4 &lt;/ option &gt; &lt;option value = ""5""&gt; 5 &lt;/ option&gt; &lt;option value = ""6""&gt; 6 &lt;/ option&gt; &lt;optio"&amp;"n value = ""7""&gt; 7 &lt;/ option&gt; &lt;option value = ""8""&gt; 8 &lt; / option&gt; &lt;option value = ""9""&gt; 9 &lt;/ option&gt; &lt;option value = ""10""&gt; 10 &lt;/ option&gt; &lt;option value = ""11""&gt; 11 &lt;/ option&gt; &lt;option value = ""12""&gt; 12 &lt;/ option&gt; &lt;option value = ""13""&gt; 13 &lt;/ option&gt; "&amp;"&lt;option value = ""14""&gt; 14 &lt;/ option&gt; &lt;option value = ""15""&gt; 15 &lt;/ option&gt; &lt;option value = ""16 ""&gt; 16 &lt;/ option&gt; &lt;option value ="" 17 ""&gt; 17 &lt;/ option&gt; &lt;option value ="" 18 ""&gt; 18 &lt;/ option&gt; &lt;option value ="" 19 ""&gt; 19 &lt;/ option&gt; &lt;option value = ""20""&gt;"&amp;" 20 &lt;/ option&gt; &lt;option value = ""21""&gt; 21 &lt;/ option&gt; &lt;option value = ""22""&gt; 22 &lt;/ option&gt; &lt;option value = ""23""&gt; 23 &lt;/ option&gt; &lt;option value = ""24""&gt; 24 &lt;/ option&gt; &lt;option value = ""25""&gt; 25 &lt;/ option&gt; &lt;option value = ""26""&gt; 26 &lt;/ option&gt; &lt;option valu"&amp;"e = ""27""&gt; 27 &lt;/ option&gt; &lt;option value = ""28""&gt; 28 &lt;/ option&gt; &lt;option value = ""29""&gt; 29 &lt;/ option&gt; &lt;option value = ""30""&gt; 30 &lt;/ option&gt; &lt;option value = ""31""&gt; 31 &lt;/ option&gt; &lt;/ select&gt; &lt;select tabindex = ""- 1"" class = ""airy-age-gate-year""&gt; &lt;option"&amp;" value = ""2019""&gt; 2019 &lt;/ option&gt; &lt; option value = ""2018""&gt; 2018 &lt;/ option&gt; &lt;option value = ""2017""&gt; 2017 &lt;/ option&gt; &lt;option value = ""2016""&gt; ​​2016 &lt;/ option&gt; &lt;option value = ""2015""&gt; 2015 &lt;/ option &gt; &lt;option value = ""2014""&gt; 2014 &lt;/ option&gt; &lt;optio"&amp;"n value = ""2013""&gt; 2013 &lt;/ option&gt; &lt;option value = ""2012""&gt; 2012 &lt;/ option&gt; &lt;option value = ""2011""&gt; 2011 &lt; / option&gt; &lt;option value = ""2010""&gt; 2010 &lt;/ option&gt; &lt;option value = ""2009""&gt; 2009 &lt;/ option&gt; &lt;option value = ""2008""&gt; 2008 &lt;/ option&gt; &lt;option "&amp;"value = ""2007""&gt; 2007 &lt;/ option&gt; &lt;option value = ""2006""&gt; 2006 &lt;/ option&gt; &lt;option value = ""2005""&gt; 2005 &lt;/ option&gt; &lt;option value = ""2004""&gt; 2004 &lt;/ option&gt; &lt;option value = ""2003 ""&gt; 2003 &lt;/ option&gt; &lt;option value ="" 2002 ""&gt; 2002 &lt;/ option&gt; &lt;option v"&amp;"alue ="" 2001 ""&gt; 2001 &lt;/ option&gt; &lt;option value ="" 2000 ""&gt; 2000 &lt;/ option&gt; &lt;option value = ""1999""&gt; 1999 &lt;/ option&gt; &lt;option value = ""1998""&gt; 1998 &lt;/ option&gt; &lt;option value = ""1997""&gt; 1997 &lt;/ option&gt; &lt;option value = ""1996""&gt; 1996 &lt;/ option&gt; &lt;option va"&amp;"lue = ""1995""&gt; 1995 &lt;/ option&gt; &lt;option value = ""1994""&gt; 1994 &lt;/ option&gt; &lt;option value = ""1993""&gt; 1993 &lt;/ option&gt; &lt;option value = ""1992""&gt; 1992 &lt;/ option&gt; &lt;option value = ""1991""&gt; 1991 &lt;/ option&gt; &lt;option value = ""1990""&gt; 1990 &lt;/ option&gt; &lt;option value"&amp;" = "" 1989 ""&gt; 1989 &lt;/ option&gt; &lt;option value ="" 1988 ""&gt; 1988 &lt;/ option&gt; &lt;option value ="" 1987 ""&gt; 1987 &lt;/ option&gt; &lt;option value ="" 1986 ""&gt; 1986 &lt;/ option&gt; &lt;option value = ""1985""&gt; 1985 &lt;/ option&gt; &lt;option value = ""1984""&gt; 1984 &lt;/ option&gt; &lt;option val"&amp;"ue = ""1983""&gt; 1983 &lt;/ option&gt; &lt;option value = ""1982""&gt; 1982 &lt;/ option&gt; &lt; option value = ""1981""&gt; 1981 &lt;/ option&gt; &lt;option value = ""1980""&gt; 1980 &lt;/ option&gt; &lt;option value = ""1979""&gt; 1979 &lt;/ option&gt; &lt;option value = ""1978""&gt; 1978 &lt;/ option &gt; &lt;option valu"&amp;"e = ""1977""&gt; 1977 &lt;/ option&gt; &lt;option value = ""1976""&gt; 1976 &lt;/ option&gt; &lt;option value = ""1975""&gt; 1975 &lt;/ option&gt; &lt;option value = ""1974""&gt; 1974 &lt; / option&gt; &lt;option value = ""1973""&gt; 1973 &lt;/ option&gt; &lt;option value = ""1972""&gt; 1972 &lt;/ option&gt; &lt;option value "&amp;"= ""1971""&gt; 1971 &lt;/ option&gt; &lt;option value = ""1970""&gt; 1970 &lt;/ option&gt; &lt;option value = ""1969""&gt; 1969 &lt;/ option&gt; &lt;option value = ""1968""&gt; 1968 &lt;/ option&gt; &lt;option value = ""1967""&gt; 1967 &lt;/ option&gt; &lt;option value = ""1966 ""&gt; 1966 &lt;/ option&gt; &lt;option value ="&amp;""" 1965 ""&gt; 1965 &lt;/ option&gt; &lt;option value ="" 1964 ""&gt; 1964 &lt;/ option&gt; &lt;option value ="" 1963 ""&gt; 1963 &lt;/ option&gt; &lt;option value = ""1962""&gt; 1962 &lt;/ option&gt; &lt;option value = ""1961""&gt; 1961 &lt;/ option&gt; &lt;option value = ""1960""&gt; 1960 &lt;/ op tion&gt; &lt;option value "&amp;"= ""1959""&gt; 1959 &lt;/ option&gt; &lt;option value = ""1958""&gt; 1958 &lt;/ option&gt; &lt;option value = ""1957""&gt; 1957 &lt;/ option&gt; &lt;option value = ""1956""&gt; 1956 &lt;/ option&gt; &lt;option value = ""1955""&gt; 1955 &lt;/ option&gt; &lt;option value = ""1954""&gt; 1954 &lt;/ option&gt; &lt;option value = "&amp;"""1953""&gt; 1953 &lt;/ option&gt; &lt;option value = ""1952"" &gt; 1952 &lt;/ option&gt; &lt;option value = ""1951""&gt; 1951 &lt;/ option&gt; &lt;option value = ""1950""&gt; 1950 &lt;/ option&gt; &lt;option value = ""1949""&gt; 1949 &lt;/ option&gt; &lt;option value = "" 1948 ""&gt; 1948 &lt;/ option&gt; &lt;option value ="&amp;""" 1947 ""&gt; 1947 &lt;/ option&gt; &lt;option value ="" 1946 ""&gt; 1946 &lt;/ option&gt; &lt;option value ="" 1945 ""&gt; 1945 &lt;/ option&gt; &lt;option value = ""1944""&gt; 1944 &lt;/ option&gt; &lt;option value = ""1943""&gt; 1943 &lt;/ option&gt; &lt;option value = ""1942""&gt; 1942 &lt;/ option&gt; &lt;option value ="&amp;" ""1941""&gt; 1941 &lt;/ option&gt; &lt; option value = ""1940""&gt; 1940 &lt;/ option&gt; &lt;option value = ""1939""&gt; 1939 &lt;/ option&gt; &lt;option value = ""1938""&gt; 1938 &lt;/ option&gt; &lt;option value = ""1937""&gt; 1937 &lt;/ option &gt; &lt;option value = ""1936""&gt; 1936 &lt;/ option&gt; &lt;option value = "&amp;"""1935""&gt; 1935 &lt;/ option&gt; &lt;option value = ""1934""&gt; 1934 &lt;/ option&gt; &lt;option value = ""1933""&gt; 1933 &lt; / option&gt; &lt;option value = ""1932""&gt; 1932 &lt;/ option&gt; &lt;option value = ""1931""&gt; 1931 &lt;/ option&gt; &lt;option v alue = ""1930""&gt; 1930 &lt;/ option&gt; &lt;option value = "&amp;"""1929""&gt; 1929 &lt;/ option&gt; &lt;option value = ""1928""&gt; 1928 &lt;/ option&gt; &lt;option value = ""1927""&gt; 1927 &lt;/ option&gt; &lt;option value = ""1926""&gt; 1926 &lt;/ option&gt; &lt;option value = ""1925""&gt; 1925 &lt;/ option&gt; &lt;option value = ""1924""&gt; 1924 &lt;/ option&gt; &lt;option value = ""1"&amp;"923""&gt; 1923 &lt;/ option&gt; &lt;option value = ""1922""&gt; 1922 &lt;/ option&gt; &lt;option value = ""1921""&gt; 1921 &lt;/ option&gt; &lt;option value = ""1920""&gt; 1920 &lt;/ option&gt; &lt;option value = ""1919""&gt; 1919 &lt;/ option&gt; &lt;option value = ""1918""&gt; 1918 &lt;/ option&gt; &lt;option value = ""1917"&amp;"""&gt; 1917 &lt;/ option&gt; &lt;option value = ""1916""&gt; 1916 &lt;/ option&gt; &lt;option value = ""1915"" &gt; 1915 &lt;/ option&gt; &lt;option value = ""1914""&gt; 1914 &lt;/ option&gt; &lt;option value = ""1913""&gt; 1913 &lt;/ option&gt; &lt;option value = ""1912""&gt; 1912 &lt;/ option&gt; &lt;option value = "" 1911 "&amp;"""&gt; 1911 &lt;/ option&gt; &lt;option value ="" 1910 ""&gt; 1910 &lt;/ option&gt; &lt;option value ="" 1909 ""&gt; 1909 &lt;/ option&gt; &lt;option value ="" 1908 ""&gt; 1908 &lt;/ option&gt; &lt;option value = ""1907""&gt; 1907 &lt;/ option&gt; &lt;option value = ""1906""&gt; 1906 &lt;/ option&gt; &lt;option value = ""1905"&amp;"""&gt; 1905 &lt;/ option&gt; &lt;option value = ""1904""&gt; 1904 &lt;/ option&gt; &lt; option value = ""1903""&gt; 1903 &lt;/ option&gt; &lt;option value = ""1902""&gt; 1902 &lt;/ option&gt; &lt;option value = ""1901""&gt; 19 01 &lt;/ option&gt; &lt;option value = ""1900""&gt; 1900 &lt;/ option&gt; &lt;/ select&gt; &lt;div tabinde"&amp;"x = ""- 1"" class = ""airy-age-gate-submit airy-submit-button airy airy-submit- disabled ""&gt; Submit &lt;/ div&gt; &lt;/ div&gt; &lt;/ div&gt; &lt;/ div&gt; &lt;/ div&gt; &lt;/ div&gt; &lt;div tabindex ="" - 1 ""class ="" airy-install-flash-dialog airy-course airy -Vertical-centering-table dial"&amp;"og airy-airy-denied ""style ="" opacity: 0; visibility: hidden; ""&gt; &lt;div tabindex ="" - 1 ""class ="" airy-install-flash-vertical-centering-table-cell airy-vertical-centering-table-cell ""&gt; &lt;div tabindex ="" - 1 ""class = ""airy-vertical-centering-wrapper"&amp;" airy-install-flash-elements-wrapper""&gt; &lt;div tabindex = ""- 1"" class = ""airy-install-flash-elements airy-dialog-elements""&gt; &lt;div tabindex = "" -1 ""class ="" airy-install-flash-prompt ""&gt; Adobe Flash Player is required to watch this video &lt;/ div&gt; &lt;div ="&amp;" tabindex."" - 1 ""class ="" airy-install-flash-button-wrapper airy -dialog-inner-elements ""&gt; &lt;div tabindex ="" - 1 ""class ="" airy-install-flash-button airy-button ""&gt; install Flash Player &lt;/ div&gt; &lt;/ div&gt; &lt;/ div&gt; &lt;/ div&gt; &lt;/ div&gt; &lt;/ div&gt; &lt;div tabindex ="&amp;" ""- 1"" class = ""airy-video-unsupported-dialog airy-course airy-vertical-centering table-airy-dialog airy-denied"" style = ""opacity: 0; visibility: hidden; ""&gt; &lt;div tabindex ="" - 1 ""class ="" airy-video-unsupported-vertical-centering-table-cell airy-"&amp;"vertical-centering-table-cell ""&gt; &lt;div tabindex ="" - 1 ""class = ""airy-vertical-centering-wrapper airy-video-unsupported-elements-wrapper""&gt; &lt;div tabindex = ""- 1"" class = ""airy-video-unsupported-elements airy-dialog-elements""&gt; &lt;div tabindex = "" -1 "&amp;"""class ="" airy-video-unsupported-prompt ""&gt; &lt;/ div&gt; &lt;/ div&gt; &lt;/ div&gt; &lt;/ div&gt; &lt;/ div&gt; &lt;div tabindex ="" - 1 ""class ="" airy-loading- spinner-stage airy-stage ""&gt; &lt;div tabindex ="" - 1 ""class ="" airy-loading-spinner-vertical-centering-table-cell airy-ve"&amp;"rtical-centering-table-cell ""&gt; &lt;div tabindex ="" - 1 ""class ="" airy-loading-spinner container airy-scalable-hint-container ""&gt; &lt;div tabindex ="" - 1 ""class ="" airy-loading-spinner-dummy airy-scalable-dummy ""&gt; &lt;/ div&gt; &lt; div tabindex = ""- 1"" class ="&amp;" ""airy-loading-spinner airy-hint"" style = ""visibility: hidden;""&gt; &lt;/ div&gt; &lt;/ div&gt; &lt;/ div&gt; &lt;/ div&gt; &lt;div tabindex = ""- 1 ""class ="" airy-ads-screen-size-toggle airy-screen-size-toggle airy-fullscreen ""style ="" visibility: hidden; ""&gt; &lt;/ div&gt; &lt;div tab"&amp;"index = ""-1"" class = ""airy-ad-prompt-container"" style = ""visibility: hidden;""&gt; &lt;div tabindex = ""- 1"" class = ""airy-ad-prompt-vertical-centering table-airy-vertical- centering-table ""&gt; &lt;div tabindex ="" - 1 ""class ="" airy-ad-prompt-vertical-cen"&amp;"tering-table-cell airy-vertical-centering-table-cell ""&gt; &lt;div tabindex ="" - 1 ""class = ""airy-ad-prompt-label""&gt; &lt;/ div&gt; &lt;/ div&gt; &lt;/ div&gt; &lt;/ div&gt; &lt;div tabindex = ""- 1"" class = ""airy-ads-controls-container"" style = ""visibility: hidden; ""&gt; &lt;div tabin"&amp;"dex ="" - 1 ""class ="" airy-ads-audio-toggle airy-audio-toggle airy-on ""style ="" visibility: hidden; ""&gt; &lt;/ div&gt; &lt;div tabindex ="" - 1 ""class ="" airy-time-remaining-label-container ""&gt; &lt;div tabindex ="" - 1 ""class ="" airy-time-remaining-vertical-ce"&amp;"ntering table-airy-vertical-centering-table ""&gt; &lt;div tabindex = ""- 1"" class = ""airy-time-remaining-vertical-centering-table-cell airy-vertical-centering-table-cell""&gt; &lt;div tabindex = ""- 1"" class = ""airy-vertical-centering-wrapper airy-time-remaining"&amp;"-label-wrapper ""&gt; &lt;div tabindex ="" - 1 ""class ="" airy-time-remaining-label ""style ="" visibility: hidden; ""&gt; &lt;/ div&gt; &lt;div tabi ndex = ""- 1"" class = ""airy-ad-skip"" style = ""visibility: hidden;""&gt; &lt;/ div&gt; &lt;div tabindex = ""- 1"" class = ""airy-ad"&amp;"-end"" style = ""visibility: hidden; ""&gt; &lt;/ div&gt; &lt;/ div&gt; &lt;/ div&gt; &lt;/ div&gt; &lt;/ div&gt; &lt;div tabindex ="" - 1 ""class ="" airy-learn-more ""style ="" visibility: hidden; ""&gt; &lt;/ div&gt; &lt;/ div&gt; &lt;div tabindex = ""- 1"" class = ""airy-play-toggle-hint-stage airy-cours"&amp;"e airy-cursor""&gt; &lt;div tabindex = ""- 1"" class = ""airy-play -toggle-hint-vertical-centering-table-cell airy-vertical-centering-table-cell airy-cursor ""&gt; &lt;div tabindex ="" - 1 ""class ="" airy-play-toggle-hint-container airy-scalable- hint-container ""&gt; "&amp;"&lt;div tabindex ="" - 1 ""class ="" airy-play-toggle-hint-dummy airy-scalable-dummy ""&gt; &lt;/ div&gt; &lt;div tabindex ="" - 1 ""class ="" airy-play -toggle airy-hint-hint-hint airy-play ""style ="" opacity: 1; visibility: visible; ""&gt; &lt;/ div&gt; &lt;/ div&gt; &lt;/ div&gt; &lt;/ div"&amp;"&gt; &lt;div tabindex ="" - 1 ""class ="" airy-replay-hint-stage airy-stage ""style ="" visibility: hidden ; ""&gt; &lt;div tabindex ="" - 1 ""class ="" airy-replay-hint-vertical-centering-table-cell airy-vertical-centering-table-cell airy-cursor ""&gt; &lt;div tabindex ="&amp;""" - 1 ""class = ""airy-replay-hint-container airy-scalable-hint-container""&gt; &lt;div tabindex = ""- 1"" class = ""airy-replay-hint-dummy airy-scalable-dummy""&gt; &lt;/ div&gt; &lt;div tabindex = ""- 1"" class = ""airy-replay-hint airy-hint""&gt; &lt;/ div&gt; &lt;/ div&gt; &lt;/ div&gt; &lt;"&amp;"/ div&gt; &lt;div tabindex = ""- 1"" class = ""airy-autoplay-hint -stage airy-stage ""style ="" visibility: hidden; ""&gt; &lt;div tabindex ="" - 1 ""class ="" airy-autoplay-hint-vertical-centering-table-cell airy-vertical-centering-table-cell airy- cursor ""&gt; &lt;div t"&amp;"abindex ="" - 1 ""class ="" autoplay airy-airy-hint-container-scalable-hint-container ""&gt; &lt;div tabindex ="" - 1 ""class ="" airy-autoplay-hint-dummy airy- scalable-dummy ""&gt; &lt;/ div&gt; &lt;/ div&gt; &lt;/ div&gt; &lt;/ div&gt; &lt;/ div&gt; &lt;/ div&gt; &lt;input type ="" hidden ""name ="""&amp;" ""value ="" https: // pictures-eu .ssl-image amazon.com / images / I / A1MZX2gcvOS.mp4 ""Class ="" video-url ""&gt; &lt;input type ="" hidden ""name ="" ""value ="" https://images-eu.ssl-images-amazon.com/images/I/818-3ey5d2S.png ""class = ""video-slate-img-ur"&amp;"l""&gt; &amp; nbsp; This device is intended to heat the bottle and sterilize baby bottles and pacifiers. There function milk heated to normal temperature and refrigerated milk. For sterilizing baby bottles and pacifiers you have compartment for this purpose. You"&amp;" function sterilization and drying. Once the function is completed, the unit this standby mode. You have to master goblet metering the amount of water necessary for the use of sterilization and heating. We must empty the unit after each use and must not m"&amp;"aster the chemicals for cleaning. You could use white vinegar or citric acid for removing limestone. Good product and very practical.")</f>
        <v>Sterilizer and bottle warmer &lt;div id = "video-block-R1WV7G9XK887SF" class = "a-section-spacing-small in-spacing-top mini video-block"&gt; &lt;div tabindex = "0" class = "airy airy -svg vmin-unsupported airy-skin-beacon "style =" background-color: rgb (0, 0, 0); position: relative; width: 100%; height: 100%; font-size: 0px; overflow: hidden ; outline: none; "&gt; &lt;div class =" airy-renderer-container "style =" position: relative; height: 100%; width: 100%; "&gt; &lt;video id =" 14 "preload =" auto "src = "https://images-eu.ssl-images-amazon.com/images/I/A1MZX2gcvOS.mp4" style = "position: absolute; left: 0px; top: 0px; overflow: hidden; height: 1px; width : 1px; "&gt; &lt;/ video&gt; &lt;/ div&gt; &lt;div id =" airy-slate-preload "style =" background-color: rgb (0, 0, 0); background-image: url (&amp; quot; https: //images-eu.ssl-images-amazon.com/images/I/818-3ey5d2S.png&amp;quot;); background-size: contain; background-position: center center; background-repeat: no-repeat; position: absolute ; top: 0px; left: 0px; visibility: visible; width: 100%; height: 100% "&gt; &lt;/ d 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0:29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airy-progress-bar "style =" width: 2.43123%; "&gt; &lt;/ div&gt; &lt;div tabindex =" - 1 "class =" airy-scrubber 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A1MZX2gcvOS.mp4 "Class =" video-url "&gt; &lt;input type =" hidden "name =" "value =" https://images-eu.ssl-images-amazon.com/images/I/818-3ey5d2S.png "class = "video-slate-img-url"&gt; &amp; nbsp; This device is intended to heat the bottle and sterilize baby bottles and pacifiers. There function milk heated to normal temperature and refrigerated milk. For sterilizing baby bottles and pacifiers you have compartment for this purpose. You function sterilization and drying. Once the function is completed, the unit this standby mode. You have to master goblet metering the amount of water necessary for the use of sterilization and heating. We must empty the unit after each use and must not master the chemicals for cleaning. You could use white vinegar or citric acid for removing limestone. Good product and very practical.</v>
      </c>
    </row>
    <row r="4351">
      <c r="A4351" s="1">
        <v>5.0</v>
      </c>
      <c r="B4351" s="1" t="s">
        <v>4305</v>
      </c>
      <c r="C4351" t="str">
        <f>IFERROR(__xludf.DUMMYFUNCTION("GOOGLETRANSLATE(B4351, ""fr"", ""en"")"),"DELIGHTED! When you have a child in kindergarten or primary school and they ask of tissue boxes is perfect! I bought this lot the past year, both for the school and for the house and I'm thrilled. They are perfect, thick, very good quality (just like pape"&amp;"r towel and toilet paper of the same brand) I highly recommend against all other brands!")</f>
        <v>DELIGHTED! When you have a child in kindergarten or primary school and they ask of tissue boxes is perfect! I bought this lot the past year, both for the school and for the house and I'm thrilled. They are perfect, thick, very good quality (just like paper towel and toilet paper of the same brand) I highly recommend against all other brands!</v>
      </c>
    </row>
    <row r="4352">
      <c r="A4352" s="1">
        <v>5.0</v>
      </c>
      <c r="B4352" s="1" t="s">
        <v>4306</v>
      </c>
      <c r="C4352" t="str">
        <f>IFERROR(__xludf.DUMMYFUNCTION("GOOGLETRANSLATE(B4352, ""fr"", ""en"")"),"Jacket Comfortable jacket too great! Quite warm and very comfortable! I recommend")</f>
        <v>Jacket Comfortable jacket too great! Quite warm and very comfortable! I recommend</v>
      </c>
    </row>
    <row r="4353">
      <c r="A4353" s="1">
        <v>5.0</v>
      </c>
      <c r="B4353" s="1" t="s">
        <v>4307</v>
      </c>
      <c r="C4353" t="str">
        <f>IFERROR(__xludf.DUMMYFUNCTION("GOOGLETRANSLATE(B4353, ""fr"", ""en"")"),"Great ! Nice sneakers. The felt is excellent. perfect fit. And good quality. Good sports !!! Faster delivery as announced. Fully satisfied with this purchase. I recommend.")</f>
        <v>Great ! Nice sneakers. The felt is excellent. perfect fit. And good quality. Good sports !!! Faster delivery as announced. Fully satisfied with this purchase. I recommend.</v>
      </c>
    </row>
    <row r="4354">
      <c r="A4354" s="1">
        <v>5.0</v>
      </c>
      <c r="B4354" s="1" t="s">
        <v>4308</v>
      </c>
      <c r="C4354" t="str">
        <f>IFERROR(__xludf.DUMMYFUNCTION("GOOGLETRANSLATE(B4354, ""fr"", ""en"")"),"Always the same impeccable boils super sneakers ... True, they carve a little hair (toe a little tight and blister in the evening) but not enough to make the size bigger. Great looks, great color. The TBS opiate, it is a standard. I hope they will not hav"&amp;"e the same problem as my two previous pairs, the outer sole was cracked from one end to the other after a year.")</f>
        <v>Always the same impeccable boils super sneakers ... True, they carve a little hair (toe a little tight and blister in the evening) but not enough to make the size bigger. Great looks, great color. The TBS opiate, it is a standard. I hope they will not have the same problem as my two previous pairs, the outer sole was cracked from one end to the other after a year.</v>
      </c>
    </row>
    <row r="4355">
      <c r="A4355" s="1">
        <v>2.0</v>
      </c>
      <c r="B4355" s="1" t="s">
        <v>4309</v>
      </c>
      <c r="C4355" t="str">
        <f>IFERROR(__xludf.DUMMYFUNCTION("GOOGLETRANSLATE(B4355, ""fr"", ""en"")"),"Joggers for use outside of winter, not hot at all. The cut is bonne.Le fabric is very light. I will use it in the spring. For washing for finesse, I am skeptical about holding ??")</f>
        <v>Joggers for use outside of winter, not hot at all. The cut is bonne.Le fabric is very light. I will use it in the spring. For washing for finesse, I am skeptical about holding ??</v>
      </c>
    </row>
    <row r="4356">
      <c r="A4356" s="1">
        <v>1.0</v>
      </c>
      <c r="B4356" s="1" t="s">
        <v>4310</v>
      </c>
      <c r="C4356" t="str">
        <f>IFERROR(__xludf.DUMMYFUNCTION("GOOGLETRANSLATE(B4356, ""fr"", ""en"")"),"Feels nothing even by doubling the doses. Usually I put 5 drops and it works very well, with the same product with 10 drops the smell is low. I do not advise this.")</f>
        <v>Feels nothing even by doubling the doses. Usually I put 5 drops and it works very well, with the same product with 10 drops the smell is low. I do not advise this.</v>
      </c>
    </row>
    <row r="4357">
      <c r="A4357" s="1">
        <v>1.0</v>
      </c>
      <c r="B4357" s="1" t="s">
        <v>4311</v>
      </c>
      <c r="C4357" t="str">
        <f>IFERROR(__xludf.DUMMYFUNCTION("GOOGLETRANSLATE(B4357, ""fr"", ""en"")"),"Cleaning sole iron inefficient. I followed the instructions, completely ineffective !!!!")</f>
        <v>Cleaning sole iron inefficient. I followed the instructions, completely ineffective !!!!</v>
      </c>
    </row>
    <row r="4358">
      <c r="A4358" s="1">
        <v>3.0</v>
      </c>
      <c r="B4358" s="1" t="s">
        <v>4312</v>
      </c>
      <c r="C4358" t="str">
        <f>IFERROR(__xludf.DUMMYFUNCTION("GOOGLETRANSLATE(B4358, ""fr"", ""en"")"),"large size and the indoor sport I will not return those shoes but I will buy soles. if you are like me buy a size 37 from 36 because even with socks, there is a good size too. To the outside I find a little ""light"" without maintenance. They are flexible"&amp;" and perfect for indoor sports,")</f>
        <v>large size and the indoor sport I will not return those shoes but I will buy soles. if you are like me buy a size 37 from 36 because even with socks, there is a good size too. To the outside I find a little "light" without maintenance. They are flexible and perfect for indoor sports,</v>
      </c>
    </row>
    <row r="4359">
      <c r="A4359" s="1">
        <v>3.0</v>
      </c>
      <c r="B4359" s="1" t="s">
        <v>4313</v>
      </c>
      <c r="C4359" t="str">
        <f>IFERROR(__xludf.DUMMYFUNCTION("GOOGLETRANSLATE(B4359, ""fr"", ""en"")"),"Fair Good as the price")</f>
        <v>Fair Good as the price</v>
      </c>
    </row>
    <row r="4360">
      <c r="A4360" s="1">
        <v>4.0</v>
      </c>
      <c r="B4360" s="1" t="s">
        <v>4314</v>
      </c>
      <c r="C4360" t="str">
        <f>IFERROR(__xludf.DUMMYFUNCTION("GOOGLETRANSLATE(B4360, ""fr"", ""en"")"),"pleasantly surprised that helmet really surprised me already manufacturing quality level, it is pretty well finished everything has its place there is no play between the workpiece and the plastic seems rather solid. but the part that I was bluffing, the "&amp;"are, it is certe premium helmet of a + € 200, but prices are nothing to complain about, are appropriate in the majority of people. And finally in terms of comfort okay headset is super light he holds in place on the head. short I recommend this helmet.")</f>
        <v>pleasantly surprised that helmet really surprised me already manufacturing quality level, it is pretty well finished everything has its place there is no play between the workpiece and the plastic seems rather solid. but the part that I was bluffing, the are, it is certe premium helmet of a + € 200, but prices are nothing to complain about, are appropriate in the majority of people. And finally in terms of comfort okay headset is super light he holds in place on the head. short I recommend this helmet.</v>
      </c>
    </row>
    <row r="4361">
      <c r="A4361" s="1">
        <v>4.0</v>
      </c>
      <c r="B4361" s="1" t="s">
        <v>4315</v>
      </c>
      <c r="C4361" t="str">
        <f>IFERROR(__xludf.DUMMYFUNCTION("GOOGLETRANSLATE(B4361, ""fr"", ""en"")"),"Top Very comfortable nothing to say, some lint after the first wash if RAS.")</f>
        <v>Top Very comfortable nothing to say, some lint after the first wash if RAS.</v>
      </c>
    </row>
    <row r="4362">
      <c r="A4362" s="1">
        <v>4.0</v>
      </c>
      <c r="B4362" s="1" t="s">
        <v>4316</v>
      </c>
      <c r="C4362" t="str">
        <f>IFERROR(__xludf.DUMMYFUNCTION("GOOGLETRANSLATE(B4362, ""fr"", ""en"")"),"Good quality / price Nice for the streetware")</f>
        <v>Good quality / price Nice for the streetware</v>
      </c>
    </row>
    <row r="4363">
      <c r="A4363" s="1">
        <v>4.0</v>
      </c>
      <c r="B4363" s="1" t="s">
        <v>4317</v>
      </c>
      <c r="C4363" t="str">
        <f>IFERROR(__xludf.DUMMYFUNCTION("GOOGLETRANSLATE(B4363, ""fr"", ""en"")"),"Kettle Responds expectations")</f>
        <v>Kettle Responds expectations</v>
      </c>
    </row>
    <row r="4364">
      <c r="A4364" s="1">
        <v>5.0</v>
      </c>
      <c r="B4364" s="1" t="s">
        <v>4318</v>
      </c>
      <c r="C4364" t="str">
        <f>IFERROR(__xludf.DUMMYFUNCTION("GOOGLETRANSLATE(B4364, ""fr"", ""en"")"),"Watch magnificent Bel shows both elegant and sporty, even if it is light enough.")</f>
        <v>Watch magnificent Bel shows both elegant and sporty, even if it is light enough.</v>
      </c>
    </row>
    <row r="4365">
      <c r="A4365" s="1">
        <v>5.0</v>
      </c>
      <c r="B4365" s="1" t="s">
        <v>4319</v>
      </c>
      <c r="C4365" t="str">
        <f>IFERROR(__xludf.DUMMYFUNCTION("GOOGLETRANSLATE(B4365, ""fr"", ""en"")"),"The best of all! This stain remover for white cloth is outstanding and is the only one who managed to take me a wine dry stain on a white shirt using the procedure for stain resistant. Congratulations!")</f>
        <v>The best of all! This stain remover for white cloth is outstanding and is the only one who managed to take me a wine dry stain on a white shirt using the procedure for stain resistant. Congratulations!</v>
      </c>
    </row>
    <row r="4366">
      <c r="A4366" s="1">
        <v>5.0</v>
      </c>
      <c r="B4366" s="1" t="s">
        <v>4320</v>
      </c>
      <c r="C4366" t="str">
        <f>IFERROR(__xludf.DUMMYFUNCTION("GOOGLETRANSLATE(B4366, ""fr"", ""en"")"),"Perfect Very nice, good cut, perfect")</f>
        <v>Perfect Very nice, good cut, perfect</v>
      </c>
    </row>
    <row r="4367">
      <c r="A4367" s="1">
        <v>5.0</v>
      </c>
      <c r="B4367" s="1" t="s">
        <v>4321</v>
      </c>
      <c r="C4367" t="str">
        <f>IFERROR(__xludf.DUMMYFUNCTION("GOOGLETRANSLATE(B4367, ""fr"", ""en"")"),"Good product compliant with the description. Very comfortable.")</f>
        <v>Good product compliant with the description. Very comfortable.</v>
      </c>
    </row>
    <row r="4368">
      <c r="A4368" s="1">
        <v>5.0</v>
      </c>
      <c r="B4368" s="1" t="s">
        <v>4322</v>
      </c>
      <c r="C4368" t="str">
        <f>IFERROR(__xludf.DUMMYFUNCTION("GOOGLETRANSLATE(B4368, ""fr"", ""en"")"),"Core18 adidas Pants fine, soft, warm")</f>
        <v>Core18 adidas Pants fine, soft, warm</v>
      </c>
    </row>
    <row r="4369">
      <c r="A4369" s="1">
        <v>5.0</v>
      </c>
      <c r="B4369" s="1" t="s">
        <v>4323</v>
      </c>
      <c r="C4369" t="str">
        <f>IFERROR(__xludf.DUMMYFUNCTION("GOOGLETRANSLATE(B4369, ""fr"", ""en"")"),"Very beautiful necklace my mother Birthday")</f>
        <v>Very beautiful necklace my mother Birthday</v>
      </c>
    </row>
    <row r="4370">
      <c r="A4370" s="1">
        <v>5.0</v>
      </c>
      <c r="B4370" s="1" t="s">
        <v>4324</v>
      </c>
      <c r="C4370" t="str">
        <f>IFERROR(__xludf.DUMMYFUNCTION("GOOGLETRANSLATE(B4370, ""fr"", ""en"")"),"Vive puma I am very happy with my purchase I like this brand is that they have never disappointed because quality is top side")</f>
        <v>Vive puma I am very happy with my purchase I like this brand is that they have never disappointed because quality is top side</v>
      </c>
    </row>
    <row r="4371">
      <c r="A4371" s="1">
        <v>5.0</v>
      </c>
      <c r="B4371" s="1" t="s">
        <v>4325</v>
      </c>
      <c r="C4371" t="str">
        <f>IFERROR(__xludf.DUMMYFUNCTION("GOOGLETRANSLATE(B4371, ""fr"", ""en"")"),"Stock cheaply with 500 envelopes, I have 3 years of tranquility! standard quality envelope")</f>
        <v>Stock cheaply with 500 envelopes, I have 3 years of tranquility! standard quality envelope</v>
      </c>
    </row>
    <row r="4372">
      <c r="A4372" s="1">
        <v>5.0</v>
      </c>
      <c r="B4372" s="1" t="s">
        <v>4326</v>
      </c>
      <c r="C4372" t="str">
        <f>IFERROR(__xludf.DUMMYFUNCTION("GOOGLETRANSLATE(B4372, ""fr"", ""en"")"),"Top notch! It draws milk to save my breastfeeding already 2 months! Does its job well, small, convenient to carry anywhere! I highly recommend this draws milk !!!")</f>
        <v>Top notch! It draws milk to save my breastfeeding already 2 months! Does its job well, small, convenient to carry anywhere! I highly recommend this draws milk !!!</v>
      </c>
    </row>
    <row r="4373">
      <c r="A4373" s="1">
        <v>5.0</v>
      </c>
      <c r="B4373" s="1" t="s">
        <v>4327</v>
      </c>
      <c r="C4373" t="str">
        <f>IFERROR(__xludf.DUMMYFUNCTION("GOOGLETRANSLATE(B4373, ""fr"", ""en"")"),"Very nice work. Very good quality . Very nice finish.")</f>
        <v>Very nice work. Very good quality . Very nice finish.</v>
      </c>
    </row>
    <row r="4374">
      <c r="A4374" s="1">
        <v>5.0</v>
      </c>
      <c r="B4374" s="1" t="s">
        <v>4328</v>
      </c>
      <c r="C4374" t="str">
        <f>IFERROR(__xludf.DUMMYFUNCTION("GOOGLETRANSLATE(B4374, ""fr"", ""en"")"),"Perfect Product received quickly and without surprises, great.")</f>
        <v>Perfect Product received quickly and without surprises, great.</v>
      </c>
    </row>
    <row r="4375">
      <c r="A4375" s="1">
        <v>5.0</v>
      </c>
      <c r="B4375" s="1" t="s">
        <v>4329</v>
      </c>
      <c r="C4375" t="str">
        <f>IFERROR(__xludf.DUMMYFUNCTION("GOOGLETRANSLATE(B4375, ""fr"", ""en"")"),"Again, excellent product and service I had already, for a month, the similar model (1AER) with black dial. I must say I find it (blue background) extremely pretty: This fund is blue classy as discreet and greyish (the picture is a bit misleading). It is a"&amp;" remarkable product that I wear with an outfit leisure, knowing that Black Dial will be better for my taste, with attire. Thank you, Amazon, for the respect of the announced delivery times, even in this time of transport strike.")</f>
        <v>Again, excellent product and service I had already, for a month, the similar model (1AER) with black dial. I must say I find it (blue background) extremely pretty: This fund is blue classy as discreet and greyish (the picture is a bit misleading). It is a remarkable product that I wear with an outfit leisure, knowing that Black Dial will be better for my taste, with attire. Thank you, Amazon, for the respect of the announced delivery times, even in this time of transport strike.</v>
      </c>
    </row>
    <row r="4376">
      <c r="A4376" s="1">
        <v>5.0</v>
      </c>
      <c r="B4376" s="1" t="s">
        <v>4330</v>
      </c>
      <c r="C4376" t="str">
        <f>IFERROR(__xludf.DUMMYFUNCTION("GOOGLETRANSLATE(B4376, ""fr"", ""en"")"),"Beautiful discreet and efficient This wand is very stylish. It is very effective with these different modes of vibration that my wife was able to appreciate greatly. In his small pouch is unrecognizable and makes little noise which avoids awaken those sle"&amp;"eping in the annexes rooms. We recommend it.")</f>
        <v>Beautiful discreet and efficient This wand is very stylish. It is very effective with these different modes of vibration that my wife was able to appreciate greatly. In his small pouch is unrecognizable and makes little noise which avoids awaken those sleeping in the annexes rooms. We recommend it.</v>
      </c>
    </row>
    <row r="4377">
      <c r="A4377" s="1">
        <v>5.0</v>
      </c>
      <c r="B4377" s="1" t="s">
        <v>4331</v>
      </c>
      <c r="C4377" t="str">
        <f>IFERROR(__xludf.DUMMYFUNCTION("GOOGLETRANSLATE(B4377, ""fr"", ""en"")"),"Beautiful watch The watch that I received is good. She is quite friendly and like many on the arm ... After setting the size. The watch comes with a tutorial to change the size but still a little complicated.")</f>
        <v>Beautiful watch The watch that I received is good. She is quite friendly and like many on the arm ... After setting the size. The watch comes with a tutorial to change the size but still a little complicated.</v>
      </c>
    </row>
    <row r="4378">
      <c r="A4378" s="1">
        <v>5.0</v>
      </c>
      <c r="B4378" s="1" t="s">
        <v>4332</v>
      </c>
      <c r="C4378" t="str">
        <f>IFERROR(__xludf.DUMMYFUNCTION("GOOGLETRANSLATE(B4378, ""fr"", ""en"")"),"Compliant and very pretty! Order received on time, hot water bottles are very pretty. Plastic looks solid. They are easy to fill and well keep warm! Very good product, I recommend!")</f>
        <v>Compliant and very pretty! Order received on time, hot water bottles are very pretty. Plastic looks solid. They are easy to fill and well keep warm! Very good product, I recommend!</v>
      </c>
    </row>
    <row r="4379">
      <c r="A4379" s="1">
        <v>5.0</v>
      </c>
      <c r="B4379" s="1" t="s">
        <v>4333</v>
      </c>
      <c r="C4379" t="str">
        <f>IFERROR(__xludf.DUMMYFUNCTION("GOOGLETRANSLATE(B4379, ""fr"", ""en"")"),"FAN I bought it and no regrets - I am completely satisfied with this purchase - finally a bra suitable and 100% trust in the brand")</f>
        <v>FAN I bought it and no regrets - I am completely satisfied with this purchase - finally a bra suitable and 100% trust in the brand</v>
      </c>
    </row>
    <row r="4380">
      <c r="A4380" s="1">
        <v>2.0</v>
      </c>
      <c r="B4380" s="1" t="s">
        <v>4334</v>
      </c>
      <c r="C4380" t="str">
        <f>IFERROR(__xludf.DUMMYFUNCTION("GOOGLETRANSLATE(B4380, ""fr"", ""en"")"),"Converse Shoes too big, not recommended for 37, they instead size 38 !!!! Damage after the wait to be able to mettres !!!!")</f>
        <v>Converse Shoes too big, not recommended for 37, they instead size 38 !!!! Damage after the wait to be able to mettres !!!!</v>
      </c>
    </row>
    <row r="4381">
      <c r="A4381" s="1">
        <v>1.0</v>
      </c>
      <c r="B4381" s="1" t="s">
        <v>4335</v>
      </c>
      <c r="C4381" t="str">
        <f>IFERROR(__xludf.DUMMYFUNCTION("GOOGLETRANSLATE(B4381, ""fr"", ""en"")"),"Too small very small size I can a disgusted because the product is good")</f>
        <v>Too small very small size I can a disgusted because the product is good</v>
      </c>
    </row>
    <row r="4382">
      <c r="A4382" s="1">
        <v>1.0</v>
      </c>
      <c r="B4382" s="1" t="s">
        <v>4336</v>
      </c>
      <c r="C4382" t="str">
        <f>IFERROR(__xludf.DUMMYFUNCTION("GOOGLETRANSLATE(B4382, ""fr"", ""en"")"),"Referred faulty clasp Clasp")</f>
        <v>Referred faulty clasp Clasp</v>
      </c>
    </row>
    <row r="4383">
      <c r="A4383" s="1">
        <v>3.0</v>
      </c>
      <c r="B4383" s="1" t="s">
        <v>4337</v>
      </c>
      <c r="C4383" t="str">
        <f>IFERROR(__xludf.DUMMYFUNCTION("GOOGLETRANSLATE(B4383, ""fr"", ""en"")"),"Not bad Nice, but my daughter did not hang more than that on this book ..")</f>
        <v>Not bad Nice, but my daughter did not hang more than that on this book ..</v>
      </c>
    </row>
    <row r="4384">
      <c r="A4384" s="1">
        <v>4.0</v>
      </c>
      <c r="B4384" s="1" t="s">
        <v>4338</v>
      </c>
      <c r="C4384" t="str">
        <f>IFERROR(__xludf.DUMMYFUNCTION("GOOGLETRANSLATE(B4384, ""fr"", ""en"")"),"Beautiful, strong, but feels hard Photo conforms to the bag, it is still darker. It seems solid and of good quality, I return my things to go to college (sorter, kit, computer 13 '), there are many compartments inside, a few stand out seams are poorly fin"&amp;"ished. However, it has a very strong smell of sheep, even after letting out a whole weekend, basting several times Febreeze, the smell is still present (but less intense). For that price, we still have a good quality bag.")</f>
        <v>Beautiful, strong, but feels hard Photo conforms to the bag, it is still darker. It seems solid and of good quality, I return my things to go to college (sorter, kit, computer 13 '), there are many compartments inside, a few stand out seams are poorly finished. However, it has a very strong smell of sheep, even after letting out a whole weekend, basting several times Febreeze, the smell is still present (but less intense). For that price, we still have a good quality bag.</v>
      </c>
    </row>
    <row r="4385">
      <c r="A4385" s="1">
        <v>4.0</v>
      </c>
      <c r="B4385" s="1" t="s">
        <v>4339</v>
      </c>
      <c r="C4385" t="str">
        <f>IFERROR(__xludf.DUMMYFUNCTION("GOOGLETRANSLATE(B4385, ""fr"", ""en"")"),"Impec! I wear it every day, it suits me perfectly, small pockets are practical, I use EDC work wonderful.")</f>
        <v>Impec! I wear it every day, it suits me perfectly, small pockets are practical, I use EDC work wonderful.</v>
      </c>
    </row>
    <row r="4386">
      <c r="A4386" s="1">
        <v>4.0</v>
      </c>
      <c r="B4386" s="1" t="s">
        <v>4340</v>
      </c>
      <c r="C4386" t="str">
        <f>IFERROR(__xludf.DUMMYFUNCTION("GOOGLETRANSLATE(B4386, ""fr"", ""en"")"),"Casio Excellent value. I highly recommend this watch. Very nice design.")</f>
        <v>Casio Excellent value. I highly recommend this watch. Very nice design.</v>
      </c>
    </row>
    <row r="4387">
      <c r="A4387" s="1">
        <v>4.0</v>
      </c>
      <c r="B4387" s="1" t="s">
        <v>4341</v>
      </c>
      <c r="C4387" t="str">
        <f>IFERROR(__xludf.DUMMYFUNCTION("GOOGLETRANSLATE(B4387, ""fr"", ""en"")"),"Recalibration of the analog dial After a year I struggled a bit to recalibrate the hands of the analog dial, but eventually following the instruction manual, all is well.")</f>
        <v>Recalibration of the analog dial After a year I struggled a bit to recalibrate the hands of the analog dial, but eventually following the instruction manual, all is well.</v>
      </c>
    </row>
    <row r="4388">
      <c r="A4388" s="1">
        <v>4.0</v>
      </c>
      <c r="B4388" s="1" t="s">
        <v>4342</v>
      </c>
      <c r="C4388" t="str">
        <f>IFERROR(__xludf.DUMMYFUNCTION("GOOGLETRANSLATE(B4388, ""fr"", ""en"")"),"Although Good pair")</f>
        <v>Although Good pair</v>
      </c>
    </row>
    <row r="4389">
      <c r="A4389" s="1">
        <v>5.0</v>
      </c>
      <c r="B4389" s="1" t="s">
        <v>4343</v>
      </c>
      <c r="C4389" t="str">
        <f>IFERROR(__xludf.DUMMYFUNCTION("GOOGLETRANSLATE(B4389, ""fr"", ""en"")"),"Pretty pink and blue wristband bracelet very nice and pleasant to wear. The colors and reflections are like the picture so no surprise. Pretty lightweight bracelet to wear. The clasp is quality and practical with its double small chain.")</f>
        <v>Pretty pink and blue wristband bracelet very nice and pleasant to wear. The colors and reflections are like the picture so no surprise. Pretty lightweight bracelet to wear. The clasp is quality and practical with its double small chain.</v>
      </c>
    </row>
    <row r="4390">
      <c r="A4390" s="1">
        <v>5.0</v>
      </c>
      <c r="B4390" s="1" t="s">
        <v>4344</v>
      </c>
      <c r="C4390" t="str">
        <f>IFERROR(__xludf.DUMMYFUNCTION("GOOGLETRANSLATE(B4390, ""fr"", ""en"")"),"In the top ! Kettle perfect for us who love each temperature is respected for each tea or herbal tea! Nothing wrong conform to its description!")</f>
        <v>In the top ! Kettle perfect for us who love each temperature is respected for each tea or herbal tea! Nothing wrong conform to its description!</v>
      </c>
    </row>
    <row r="4391">
      <c r="A4391" s="1">
        <v>5.0</v>
      </c>
      <c r="B4391" s="1" t="s">
        <v>4345</v>
      </c>
      <c r="C4391" t="str">
        <f>IFERROR(__xludf.DUMMYFUNCTION("GOOGLETRANSLATE(B4391, ""fr"", ""en"")"),"BIG BIG ROLL WIDTH SUPER PRACTICE FOR MOVING VERY PRACTICAL FOR ITS SIZE AND QUALITY PRICE RAPPOERT")</f>
        <v>BIG BIG ROLL WIDTH SUPER PRACTICE FOR MOVING VERY PRACTICAL FOR ITS SIZE AND QUALITY PRICE RAPPOERT</v>
      </c>
    </row>
    <row r="4392">
      <c r="A4392" s="1">
        <v>5.0</v>
      </c>
      <c r="B4392" s="1" t="s">
        <v>4346</v>
      </c>
      <c r="C4392" t="str">
        <f>IFERROR(__xludf.DUMMYFUNCTION("GOOGLETRANSLATE(B4392, ""fr"", ""en"")"),"I can only bow my head! I had the first TrueWireless headphones from Sony, which were already very good despite worries connection between the two atria. Here we touch perfection, an impressive noise reduction and similar to last Sony headphones that ever"&amp;"yone speaks. I tested it in an Austin Mini 86 makes as much noise as a lawnmower, see accelerating, and although I feel calm in my living room, impressive! Sound quality aside as usual it is breathtaking, even balance between all frequencies, no sharp dom"&amp;"inance as one can have in bose. Everything is in its place as the artist intended! Level one is finishing on the premium, clearly, they are beautiful, the details looked after better than Bang &amp; amp; Olufsen for which parts leather age badly. If you hesit"&amp;"ate between several models, the price displayed for these Sony headphones you do not have to think about is them the best.")</f>
        <v>I can only bow my head! I had the first TrueWireless headphones from Sony, which were already very good despite worries connection between the two atria. Here we touch perfection, an impressive noise reduction and similar to last Sony headphones that everyone speaks. I tested it in an Austin Mini 86 makes as much noise as a lawnmower, see accelerating, and although I feel calm in my living room, impressive! Sound quality aside as usual it is breathtaking, even balance between all frequencies, no sharp dominance as one can have in bose. Everything is in its place as the artist intended! Level one is finishing on the premium, clearly, they are beautiful, the details looked after better than Bang &amp; amp; Olufsen for which parts leather age badly. If you hesitate between several models, the price displayed for these Sony headphones you do not have to think about is them the best.</v>
      </c>
    </row>
    <row r="4393">
      <c r="A4393" s="1">
        <v>5.0</v>
      </c>
      <c r="B4393" s="1" t="s">
        <v>4347</v>
      </c>
      <c r="C4393" t="str">
        <f>IFERROR(__xludf.DUMMYFUNCTION("GOOGLETRANSLATE(B4393, ""fr"", ""en"")"),"Very strong I recommend vivement.Je used very often with a blue yeti fixed with a antipop and it does not move a boom poil.La is still rotating and accessible.Vous can unfold and fold several times c is still firm.")</f>
        <v>Very strong I recommend vivement.Je used very often with a blue yeti fixed with a antipop and it does not move a boom poil.La is still rotating and accessible.Vous can unfold and fold several times c is still firm.</v>
      </c>
    </row>
    <row r="4394">
      <c r="A4394" s="1">
        <v>5.0</v>
      </c>
      <c r="B4394" s="1" t="s">
        <v>4348</v>
      </c>
      <c r="C4394" t="str">
        <f>IFERROR(__xludf.DUMMYFUNCTION("GOOGLETRANSLATE(B4394, ""fr"", ""en"")"),"Good shoes for almost everything. Quality is currently very well and I have no major problem.")</f>
        <v>Good shoes for almost everything. Quality is currently very well and I have no major problem.</v>
      </c>
    </row>
    <row r="4395">
      <c r="A4395" s="1">
        <v>5.0</v>
      </c>
      <c r="B4395" s="1" t="s">
        <v>4349</v>
      </c>
      <c r="C4395" t="str">
        <f>IFERROR(__xludf.DUMMYFUNCTION("GOOGLETRANSLATE(B4395, ""fr"", ""en"")"),"ease of use excellent product, easy menus, good sound, ample volume. outstanding quality. To recommend.")</f>
        <v>ease of use excellent product, easy menus, good sound, ample volume. outstanding quality. To recommend.</v>
      </c>
    </row>
    <row r="4396">
      <c r="A4396" s="1">
        <v>5.0</v>
      </c>
      <c r="B4396" s="1" t="s">
        <v>4350</v>
      </c>
      <c r="C4396" t="str">
        <f>IFERROR(__xludf.DUMMYFUNCTION("GOOGLETRANSLATE(B4396, ""fr"", ""en"")"),"Skirt Bohemian easy to wear pretty full skirt very wearable summer. The liner prevents it from being transparent. The pattern is stylish. We can put it with a shirt or blouse.")</f>
        <v>Skirt Bohemian easy to wear pretty full skirt very wearable summer. The liner prevents it from being transparent. The pattern is stylish. We can put it with a shirt or blouse.</v>
      </c>
    </row>
    <row r="4397">
      <c r="A4397" s="1">
        <v>5.0</v>
      </c>
      <c r="B4397" s="1" t="s">
        <v>4351</v>
      </c>
      <c r="C4397" t="str">
        <f>IFERROR(__xludf.DUMMYFUNCTION("GOOGLETRANSLATE(B4397, ""fr"", ""en"")"),"Convenient It makes my life easier, printing office and hop, the mail is ready to go")</f>
        <v>Convenient It makes my life easier, printing office and hop, the mail is ready to go</v>
      </c>
    </row>
    <row r="4398">
      <c r="A4398" s="1">
        <v>5.0</v>
      </c>
      <c r="B4398" s="1" t="s">
        <v>4352</v>
      </c>
      <c r="C4398" t="str">
        <f>IFERROR(__xludf.DUMMYFUNCTION("GOOGLETRANSLATE(B4398, ""fr"", ""en"")"),"Simple to use and I love good smell of burning paper Armenia home use is simple and I find the pleasant smell I'm not a fan of incense so it's perfect")</f>
        <v>Simple to use and I love good smell of burning paper Armenia home use is simple and I find the pleasant smell I'm not a fan of incense so it's perfect</v>
      </c>
    </row>
    <row r="4399">
      <c r="A4399" s="1">
        <v>5.0</v>
      </c>
      <c r="B4399" s="1" t="s">
        <v>4353</v>
      </c>
      <c r="C4399" t="str">
        <f>IFERROR(__xludf.DUMMYFUNCTION("GOOGLETRANSLATE(B4399, ""fr"", ""en"")"),"Regular purchase My wife is true to this article and regularly renewed by changing color or not. She uses this kind of footwear.")</f>
        <v>Regular purchase My wife is true to this article and regularly renewed by changing color or not. She uses this kind of footwear.</v>
      </c>
    </row>
    <row r="4400">
      <c r="A4400" s="1">
        <v>5.0</v>
      </c>
      <c r="B4400" s="1" t="s">
        <v>4354</v>
      </c>
      <c r="C4400" t="str">
        <f>IFERROR(__xludf.DUMMYFUNCTION("GOOGLETRANSLATE(B4400, ""fr"", ""en"")"),"beautiful ornament section consistent with the description. nice quality. I recommend")</f>
        <v>beautiful ornament section consistent with the description. nice quality. I recommend</v>
      </c>
    </row>
    <row r="4401">
      <c r="A4401" s="1">
        <v>5.0</v>
      </c>
      <c r="B4401" s="1" t="s">
        <v>4355</v>
      </c>
      <c r="C4401" t="str">
        <f>IFERROR(__xludf.DUMMYFUNCTION("GOOGLETRANSLATE(B4401, ""fr"", ""en"")"),"Very good anarchist emblem badge, easy to makes fine on my work pants.")</f>
        <v>Very good anarchist emblem badge, easy to makes fine on my work pants.</v>
      </c>
    </row>
    <row r="4402">
      <c r="A4402" s="1">
        <v>5.0</v>
      </c>
      <c r="B4402" s="1" t="s">
        <v>4356</v>
      </c>
      <c r="C4402" t="str">
        <f>IFERROR(__xludf.DUMMYFUNCTION("GOOGLETRANSLATE(B4402, ""fr"", ""en"")"),"Foot Foot RODE PSA1 bought to go with my microphone RODE NT-USB 1 year with this pole and works perfectly, no squealing, no jamming, like new. Would highly recommend if you want to access your microphone regardless of your location on your desktop.")</f>
        <v>Foot Foot RODE PSA1 bought to go with my microphone RODE NT-USB 1 year with this pole and works perfectly, no squealing, no jamming, like new. Would highly recommend if you want to access your microphone regardless of your location on your desktop.</v>
      </c>
    </row>
    <row r="4403">
      <c r="A4403" s="1">
        <v>5.0</v>
      </c>
      <c r="B4403" s="1" t="s">
        <v>4357</v>
      </c>
      <c r="C4403" t="str">
        <f>IFERROR(__xludf.DUMMYFUNCTION("GOOGLETRANSLATE(B4403, ""fr"", ""en"")"),"Vive UGG! perfect shoe in the cold and snow, very comfortable even with small orthopedic insoles, proper packaging, timely delivery")</f>
        <v>Vive UGG! perfect shoe in the cold and snow, very comfortable even with small orthopedic insoles, proper packaging, timely delivery</v>
      </c>
    </row>
    <row r="4404">
      <c r="A4404" s="1">
        <v>2.0</v>
      </c>
      <c r="B4404" s="1" t="s">
        <v>4358</v>
      </c>
      <c r="C4404" t="str">
        <f>IFERROR(__xludf.DUMMYFUNCTION("GOOGLETRANSLATE(B4404, ""fr"", ""en"")"),"cheap poor Pants Pants: the fabric is of poor quality (thin fabric), the pockets are drilled, some of the zippered pockets are useless (false pockets) and size too small. Do not buy, it's not worth the price ...")</f>
        <v>cheap poor Pants Pants: the fabric is of poor quality (thin fabric), the pockets are drilled, some of the zippered pockets are useless (false pockets) and size too small. Do not buy, it's not worth the price ...</v>
      </c>
    </row>
    <row r="4405">
      <c r="A4405" s="1">
        <v>1.0</v>
      </c>
      <c r="B4405" s="1" t="s">
        <v>4359</v>
      </c>
      <c r="C4405" t="str">
        <f>IFERROR(__xludf.DUMMYFUNCTION("GOOGLETRANSLATE(B4405, ""fr"", ""en"")"),"Allergic allergies. I do not know what is the metal but it's awful. I had to give. Note that I regularly wear costume jewelry without problems")</f>
        <v>Allergic allergies. I do not know what is the metal but it's awful. I had to give. Note that I regularly wear costume jewelry without problems</v>
      </c>
    </row>
    <row r="4406">
      <c r="A4406" s="1">
        <v>3.0</v>
      </c>
      <c r="B4406" s="1" t="s">
        <v>4360</v>
      </c>
      <c r="C4406" t="str">
        <f>IFERROR(__xludf.DUMMYFUNCTION("GOOGLETRANSLATE(B4406, ""fr"", ""en"")"),"Prices interested that say 1st right price you need for a microphone and a basic boom")</f>
        <v>Prices interested that say 1st right price you need for a microphone and a basic boom</v>
      </c>
    </row>
    <row r="4407">
      <c r="A4407" s="1">
        <v>3.0</v>
      </c>
      <c r="B4407" s="1" t="s">
        <v>4361</v>
      </c>
      <c r="C4407" t="str">
        <f>IFERROR(__xludf.DUMMYFUNCTION("GOOGLETRANSLATE(B4407, ""fr"", ""en"")"),"Nice watch at a good price. Beautiful shows not too big nor too small for a good price on amazon compared to the other site and is quite livreson satisfesant.")</f>
        <v>Nice watch at a good price. Beautiful shows not too big nor too small for a good price on amazon compared to the other site and is quite livreson satisfesant.</v>
      </c>
    </row>
    <row r="4408">
      <c r="A4408" s="1">
        <v>4.0</v>
      </c>
      <c r="B4408" s="1" t="s">
        <v>4362</v>
      </c>
      <c r="C4408" t="str">
        <f>IFERROR(__xludf.DUMMYFUNCTION("GOOGLETRANSLATE(B4408, ""fr"", ""en"")"),"It works!!! I was scared at first use because I put these cartridges and I wanted to make a copy without having turned on my computer. And it did not work. It takes the computer is on and connected to the printer for you to confirm that you want to use th"&amp;"ese cartridges and you know that are not EPSON cartridges. After this little manipulation (very easy because the printer only open a dialog screen where you simply select yes), you can use these cartridges without worries. At first sight there are no big "&amp;"differences between those above and EPSON. I recommend!")</f>
        <v>It works!!! I was scared at first use because I put these cartridges and I wanted to make a copy without having turned on my computer. And it did not work. It takes the computer is on and connected to the printer for you to confirm that you want to use these cartridges and you know that are not EPSON cartridges. After this little manipulation (very easy because the printer only open a dialog screen where you simply select yes), you can use these cartridges without worries. At first sight there are no big differences between those above and EPSON. I recommend!</v>
      </c>
    </row>
    <row r="4409">
      <c r="A4409" s="1">
        <v>4.0</v>
      </c>
      <c r="B4409" s="1" t="s">
        <v>4363</v>
      </c>
      <c r="C4409" t="str">
        <f>IFERROR(__xludf.DUMMYFUNCTION("GOOGLETRANSLATE(B4409, ""fr"", ""en"")"),"Bestseller Received after 10 days and conforms to what I expected because this is my 2nd pair and they are still as simple and light. The tip a little hard softens over time and I recommend a pair of cushioned insoles for comfort. Received taupe and clear"&amp;"er than the image for the winter it can go through dry socks and a bit thick nickel c Very good quality / price ratio, a bestseller.")</f>
        <v>Bestseller Received after 10 days and conforms to what I expected because this is my 2nd pair and they are still as simple and light. The tip a little hard softens over time and I recommend a pair of cushioned insoles for comfort. Received taupe and clearer than the image for the winter it can go through dry socks and a bit thick nickel c Very good quality / price ratio, a bestseller.</v>
      </c>
    </row>
    <row r="4410">
      <c r="A4410" s="1">
        <v>4.0</v>
      </c>
      <c r="B4410" s="1" t="s">
        <v>4364</v>
      </c>
      <c r="C4410" t="str">
        <f>IFERROR(__xludf.DUMMYFUNCTION("GOOGLETRANSLATE(B4410, ""fr"", ""en"")"),"Nickel teen and others without pocket ... The essential accessory for the teenager From college to high school and more !!!")</f>
        <v>Nickel teen and others without pocket ... The essential accessory for the teenager From college to high school and more !!!</v>
      </c>
    </row>
    <row r="4411">
      <c r="A4411" s="1">
        <v>4.0</v>
      </c>
      <c r="B4411" s="1" t="s">
        <v>4365</v>
      </c>
      <c r="C4411" t="str">
        <f>IFERROR(__xludf.DUMMYFUNCTION("GOOGLETRANSLATE(B4411, ""fr"", ""en"")"),"Good shoes Pretty Well finished product a little heavy but soon we made it well LESUR Hang wet floors, slippery Looks like hiking shoes")</f>
        <v>Good shoes Pretty Well finished product a little heavy but soon we made it well LESUR Hang wet floors, slippery Looks like hiking shoes</v>
      </c>
    </row>
    <row r="4412">
      <c r="A4412" s="1">
        <v>5.0</v>
      </c>
      <c r="B4412" s="1" t="s">
        <v>4366</v>
      </c>
      <c r="C4412" t="str">
        <f>IFERROR(__xludf.DUMMYFUNCTION("GOOGLETRANSLATE(B4412, ""fr"", ""en"")"),"teats as usual, laugh to say !!!!! Always satisfied with the brand Advent whether pacifiers or bottles certainly more expensive but profitable !!!!!")</f>
        <v>teats as usual, laugh to say !!!!! Always satisfied with the brand Advent whether pacifiers or bottles certainly more expensive but profitable !!!!!</v>
      </c>
    </row>
    <row r="4413">
      <c r="A4413" s="1">
        <v>5.0</v>
      </c>
      <c r="B4413" s="1" t="s">
        <v>4367</v>
      </c>
      <c r="C4413" t="str">
        <f>IFERROR(__xludf.DUMMYFUNCTION("GOOGLETRANSLATE(B4413, ""fr"", ""en"")"),"The best brush world And all these years with an old trick that lines bottles and never dry ... if only I had this brush earlier! I offer to all mums :-) It is also used for water bottles and cups children with her caps for nipples. It is dishwasher safe.")</f>
        <v>The best brush world And all these years with an old trick that lines bottles and never dry ... if only I had this brush earlier! I offer to all mums :-) It is also used for water bottles and cups children with her caps for nipples. It is dishwasher safe.</v>
      </c>
    </row>
    <row r="4414">
      <c r="A4414" s="1">
        <v>5.0</v>
      </c>
      <c r="B4414" s="1" t="s">
        <v>4368</v>
      </c>
      <c r="C4414" t="str">
        <f>IFERROR(__xludf.DUMMYFUNCTION("GOOGLETRANSLATE(B4414, ""fr"", ""en"")"),"Great product Beyond my expectations. This watch is great. Quality Packaging. Seiko always good products. unbeatable value for money for an automatic watch!")</f>
        <v>Great product Beyond my expectations. This watch is great. Quality Packaging. Seiko always good products. unbeatable value for money for an automatic watch!</v>
      </c>
    </row>
    <row r="4415">
      <c r="A4415" s="1">
        <v>5.0</v>
      </c>
      <c r="B4415" s="1" t="s">
        <v>4369</v>
      </c>
      <c r="C4415" t="str">
        <f>IFERROR(__xludf.DUMMYFUNCTION("GOOGLETRANSLATE(B4415, ""fr"", ""en"")"),"Bib ready in 30 seconds and end of digestive discomfort !! The pediatrician advised us to warm the bottle because baby had major reflux and was struggling to make his burping and stool. Having not yet finished the milk box, we started with this product to"&amp;" warm the bottle. we chose it because it was the fastest on the market to heat water and the right temperature, with a baby who has good lungs every second counts night. broken promise! Bonus: the ease of use and self clean. Bonus 2: the possibility to he"&amp;"at up baby food according to the amount of food bonus 3: the sterilizer which we had gone that far, but we would have anyway purchased the product. Bonus 4: even if the product is a little space on the worktop is convenient to pick up and transport the he"&amp;"ating part. If we had however issued a criticism it would be that the product is really not aesthetic, plastic is really ugly. People can purchase the bibexspresso can we think put a little more for a better product invoice.")</f>
        <v>Bib ready in 30 seconds and end of digestive discomfort !! The pediatrician advised us to warm the bottle because baby had major reflux and was struggling to make his burping and stool. Having not yet finished the milk box, we started with this product to warm the bottle. we chose it because it was the fastest on the market to heat water and the right temperature, with a baby who has good lungs every second counts night. broken promise! Bonus: the ease of use and self clean. Bonus 2: the possibility to heat up baby food according to the amount of food bonus 3: the sterilizer which we had gone that far, but we would have anyway purchased the product. Bonus 4: even if the product is a little space on the worktop is convenient to pick up and transport the heating part. If we had however issued a criticism it would be that the product is really not aesthetic, plastic is really ugly. People can purchase the bibexspresso can we think put a little more for a better product invoice.</v>
      </c>
    </row>
    <row r="4416">
      <c r="A4416" s="1">
        <v>5.0</v>
      </c>
      <c r="B4416" s="1" t="s">
        <v>4370</v>
      </c>
      <c r="C4416" t="str">
        <f>IFERROR(__xludf.DUMMYFUNCTION("GOOGLETRANSLATE(B4416, ""fr"", ""en"")"),"Excellent Very good I highly recommend This is the second time I order this lot.")</f>
        <v>Excellent Very good I highly recommend This is the second time I order this lot.</v>
      </c>
    </row>
    <row r="4417">
      <c r="A4417" s="1">
        <v>5.0</v>
      </c>
      <c r="B4417" s="1" t="s">
        <v>4371</v>
      </c>
      <c r="C4417" t="str">
        <f>IFERROR(__xludf.DUMMYFUNCTION("GOOGLETRANSLATE(B4417, ""fr"", ""en"")"),"As in slippers! When you wear these Columbia Canyon Point Waterproof feels almost like slippers, a close detail, take a size above your usual size is safer because they carve a little small. I do not trail or treck but the ride and hike in mountain and it"&amp;" gives me the kind of perfect shoe, comfortable, light and even aesthetic as they are quite feminine with nice colors. You will keep your feet dry but walking on wet surfaces. The kind of shoe you forget to remove it when you return to the car so you feel"&amp;" good inside, it's rare enough to be stressed! Considering the price, hard to beat!")</f>
        <v>As in slippers! When you wear these Columbia Canyon Point Waterproof feels almost like slippers, a close detail, take a size above your usual size is safer because they carve a little small. I do not trail or treck but the ride and hike in mountain and it gives me the kind of perfect shoe, comfortable, light and even aesthetic as they are quite feminine with nice colors. You will keep your feet dry but walking on wet surfaces. The kind of shoe you forget to remove it when you return to the car so you feel good inside, it's rare enough to be stressed! Considering the price, hard to beat!</v>
      </c>
    </row>
    <row r="4418">
      <c r="A4418" s="1">
        <v>5.0</v>
      </c>
      <c r="B4418" s="1" t="s">
        <v>787</v>
      </c>
      <c r="C4418" t="str">
        <f>IFERROR(__xludf.DUMMYFUNCTION("GOOGLETRANSLATE(B4418, ""fr"", ""en"")"),"Very good product great product")</f>
        <v>Very good product great product</v>
      </c>
    </row>
    <row r="4419">
      <c r="A4419" s="1">
        <v>5.0</v>
      </c>
      <c r="B4419" s="1" t="s">
        <v>4372</v>
      </c>
      <c r="C4419" t="str">
        <f>IFERROR(__xludf.DUMMYFUNCTION("GOOGLETRANSLATE(B4419, ""fr"", ""en"")"),"Okay very effective product for maintenance of leather shoes")</f>
        <v>Okay very effective product for maintenance of leather shoes</v>
      </c>
    </row>
    <row r="4420">
      <c r="A4420" s="1">
        <v>5.0</v>
      </c>
      <c r="B4420" s="1" t="s">
        <v>4373</v>
      </c>
      <c r="C4420" t="str">
        <f>IFERROR(__xludf.DUMMYFUNCTION("GOOGLETRANSLATE(B4420, ""fr"", ""en"")"),"French product French product of very good quality. Do not hesitate !!! I sold my business and when it is really very good.")</f>
        <v>French product French product of very good quality. Do not hesitate !!! I sold my business and when it is really very good.</v>
      </c>
    </row>
    <row r="4421">
      <c r="A4421" s="1">
        <v>5.0</v>
      </c>
      <c r="B4421" s="1" t="s">
        <v>4374</v>
      </c>
      <c r="C4421" t="str">
        <f>IFERROR(__xludf.DUMMYFUNCTION("GOOGLETRANSLATE(B4421, ""fr"", ""en"")"),"Pretty elegant bracelet, different colors of eye of tiger")</f>
        <v>Pretty elegant bracelet, different colors of eye of tiger</v>
      </c>
    </row>
    <row r="4422">
      <c r="A4422" s="1">
        <v>5.0</v>
      </c>
      <c r="B4422" s="1" t="s">
        <v>4375</v>
      </c>
      <c r="C4422" t="str">
        <f>IFERROR(__xludf.DUMMYFUNCTION("GOOGLETRANSLATE(B4422, ""fr"", ""en"")"),"Super super practical bag that allows for my bike quietly. Maybe wear dorsal and ventral level. I love his style and it is very comfortable. I recommand it.")</f>
        <v>Super super practical bag that allows for my bike quietly. Maybe wear dorsal and ventral level. I love his style and it is very comfortable. I recommand it.</v>
      </c>
    </row>
    <row r="4423">
      <c r="A4423" s="1">
        <v>5.0</v>
      </c>
      <c r="B4423" s="1" t="s">
        <v>4376</v>
      </c>
      <c r="C4423" t="str">
        <f>IFERROR(__xludf.DUMMYFUNCTION("GOOGLETRANSLATE(B4423, ""fr"", ""en"")"),"Lovely Delighted")</f>
        <v>Lovely Delighted</v>
      </c>
    </row>
    <row r="4424">
      <c r="A4424" s="1">
        <v>5.0</v>
      </c>
      <c r="B4424" s="1" t="s">
        <v>4377</v>
      </c>
      <c r="C4424" t="str">
        <f>IFERROR(__xludf.DUMMYFUNCTION("GOOGLETRANSLATE(B4424, ""fr"", ""en"")"),"Magnificent They are beautiful I recommend !!!!")</f>
        <v>Magnificent They are beautiful I recommend !!!!</v>
      </c>
    </row>
    <row r="4425">
      <c r="A4425" s="1">
        <v>5.0</v>
      </c>
      <c r="B4425" s="1" t="s">
        <v>224</v>
      </c>
      <c r="C4425" t="str">
        <f>IFERROR(__xludf.DUMMYFUNCTION("GOOGLETRANSLATE(B4425, ""fr"", ""en"")"),"perfect perfect")</f>
        <v>perfect perfect</v>
      </c>
    </row>
    <row r="4426">
      <c r="A4426" s="1">
        <v>5.0</v>
      </c>
      <c r="B4426" s="1" t="s">
        <v>4378</v>
      </c>
      <c r="C4426" t="str">
        <f>IFERROR(__xludf.DUMMYFUNCTION("GOOGLETRANSLATE(B4426, ""fr"", ""en"")"),"Super thank you")</f>
        <v>Super thank you</v>
      </c>
    </row>
    <row r="4427">
      <c r="A4427" s="1">
        <v>2.0</v>
      </c>
      <c r="B4427" s="1" t="s">
        <v>4379</v>
      </c>
      <c r="C4427" t="str">
        <f>IFERROR(__xludf.DUMMYFUNCTION("GOOGLETRANSLATE(B4427, ""fr"", ""en"")"),"NICE AND WARM nice and hot shoe against a quality review has already peeling at the foot of the fold")</f>
        <v>NICE AND WARM nice and hot shoe against a quality review has already peeling at the foot of the fold</v>
      </c>
    </row>
    <row r="4428">
      <c r="A4428" s="1">
        <v>1.0</v>
      </c>
      <c r="B4428" s="1" t="s">
        <v>4380</v>
      </c>
      <c r="C4428" t="str">
        <f>IFERROR(__xludf.DUMMYFUNCTION("GOOGLETRANSLATE(B4428, ""fr"", ""en"")"),"The lid does not close tea a month and the cover already firmer. Unable to return the item at AMAZON. I contacted Koenig service. I'm waiting for an answer...")</f>
        <v>The lid does not close tea a month and the cover already firmer. Unable to return the item at AMAZON. I contacted Koenig service. I'm waiting for an answer...</v>
      </c>
    </row>
    <row r="4429">
      <c r="A4429" s="1">
        <v>1.0</v>
      </c>
      <c r="B4429" s="1" t="s">
        <v>4381</v>
      </c>
      <c r="C4429" t="str">
        <f>IFERROR(__xludf.DUMMYFUNCTION("GOOGLETRANSLATE(B4429, ""fr"", ""en"")"),"The product I received is the same past. The fabric is different; Everything is different. terrible product. Not like the photographer. Coverage cassee a week after I received the product. The connection has ceased to work. Very disappointed!!")</f>
        <v>The product I received is the same past. The fabric is different; Everything is different. terrible product. Not like the photographer. Coverage cassee a week after I received the product. The connection has ceased to work. Very disappointed!!</v>
      </c>
    </row>
    <row r="4430">
      <c r="A4430" s="1">
        <v>3.0</v>
      </c>
      <c r="B4430" s="1" t="s">
        <v>4382</v>
      </c>
      <c r="C4430" t="str">
        <f>IFERROR(__xludf.DUMMYFUNCTION("GOOGLETRANSLATE(B4430, ""fr"", ""en"")"),"pretty pretty")</f>
        <v>pretty pretty</v>
      </c>
    </row>
    <row r="4431">
      <c r="A4431" s="1">
        <v>3.0</v>
      </c>
      <c r="B4431" s="1" t="s">
        <v>4383</v>
      </c>
      <c r="C4431" t="str">
        <f>IFERROR(__xludf.DUMMYFUNCTION("GOOGLETRANSLATE(B4431, ""fr"", ""en"")"),"Small small size. Little hard at first. I took black but are rather dark gray")</f>
        <v>Small small size. Little hard at first. I took black but are rather dark gray</v>
      </c>
    </row>
    <row r="4432">
      <c r="A4432" s="1">
        <v>4.0</v>
      </c>
      <c r="B4432" s="1" t="s">
        <v>4384</v>
      </c>
      <c r="C4432" t="str">
        <f>IFERROR(__xludf.DUMMYFUNCTION("GOOGLETRANSLATE(B4432, ""fr"", ""en"")"),"Size a little big The 41.5 was a bit large, take a half size to less than its usual size, at least in my case")</f>
        <v>Size a little big The 41.5 was a bit large, take a half size to less than its usual size, at least in my case</v>
      </c>
    </row>
    <row r="4433">
      <c r="A4433" s="1">
        <v>4.0</v>
      </c>
      <c r="B4433" s="1" t="s">
        <v>4385</v>
      </c>
      <c r="C4433" t="str">
        <f>IFERROR(__xludf.DUMMYFUNCTION("GOOGLETRANSLATE(B4433, ""fr"", ""en"")"),"ideal bag to carry the maximum and value for money ideal size for all documents, pockets on the sides sufficient quality in relation to price. Easy to take")</f>
        <v>ideal bag to carry the maximum and value for money ideal size for all documents, pockets on the sides sufficient quality in relation to price. Easy to take</v>
      </c>
    </row>
    <row r="4434">
      <c r="A4434" s="1">
        <v>4.0</v>
      </c>
      <c r="B4434" s="1" t="s">
        <v>4386</v>
      </c>
      <c r="C4434" t="str">
        <f>IFERROR(__xludf.DUMMYFUNCTION("GOOGLETRANSLATE(B4434, ""fr"", ""en"")"),"good value good quality paper")</f>
        <v>good value good quality paper</v>
      </c>
    </row>
    <row r="4435">
      <c r="A4435" s="1">
        <v>4.0</v>
      </c>
      <c r="B4435" s="1" t="s">
        <v>4387</v>
      </c>
      <c r="C4435" t="str">
        <f>IFERROR(__xludf.DUMMYFUNCTION("GOOGLETRANSLATE(B4435, ""fr"", ""en"")"),"ditto the very beautiful picture perfectly matches the picture is a very fine walk through against small problem insole makes a bend midfoot")</f>
        <v>ditto the very beautiful picture perfectly matches the picture is a very fine walk through against small problem insole makes a bend midfoot</v>
      </c>
    </row>
    <row r="4436">
      <c r="A4436" s="1">
        <v>5.0</v>
      </c>
      <c r="B4436" s="1" t="s">
        <v>4388</v>
      </c>
      <c r="C4436" t="str">
        <f>IFERROR(__xludf.DUMMYFUNCTION("GOOGLETRANSLATE(B4436, ""fr"", ""en"")"),"TOO PLEASED a great jacket! Super sweet too too nice !!!! I really love! I recommend the size is no surprise nickel")</f>
        <v>TOO PLEASED a great jacket! Super sweet too too nice !!!! I really love! I recommend the size is no surprise nickel</v>
      </c>
    </row>
    <row r="4437">
      <c r="A4437" s="1">
        <v>5.0</v>
      </c>
      <c r="B4437" s="1" t="s">
        <v>4389</v>
      </c>
      <c r="C4437" t="str">
        <f>IFERROR(__xludf.DUMMYFUNCTION("GOOGLETRANSLATE(B4437, ""fr"", ""en"")"),"Good product J bought this product to restore the shine and cover some areas on sneakers stan smith, rendering is perfect and easy to apply.")</f>
        <v>Good product J bought this product to restore the shine and cover some areas on sneakers stan smith, rendering is perfect and easy to apply.</v>
      </c>
    </row>
    <row r="4438">
      <c r="A4438" s="1">
        <v>5.0</v>
      </c>
      <c r="B4438" s="1" t="s">
        <v>4390</v>
      </c>
      <c r="C4438" t="str">
        <f>IFERROR(__xludf.DUMMYFUNCTION("GOOGLETRANSLATE(B4438, ""fr"", ""en"")"),"comfortable compliant product")</f>
        <v>comfortable compliant product</v>
      </c>
    </row>
    <row r="4439">
      <c r="A4439" s="1">
        <v>5.0</v>
      </c>
      <c r="B4439" s="1" t="s">
        <v>4391</v>
      </c>
      <c r="C4439" t="str">
        <f>IFERROR(__xludf.DUMMYFUNCTION("GOOGLETRANSLATE(B4439, ""fr"", ""en"")"),"Superb Vraied or false I do not care ... They are cannon of a perfect bright white for the season. In short I am very satisfied ... Listed on the long term.")</f>
        <v>Superb Vraied or false I do not care ... They are cannon of a perfect bright white for the season. In short I am very satisfied ... Listed on the long term.</v>
      </c>
    </row>
    <row r="4440">
      <c r="A4440" s="1">
        <v>5.0</v>
      </c>
      <c r="B4440" s="1" t="s">
        <v>4392</v>
      </c>
      <c r="C4440" t="str">
        <f>IFERROR(__xludf.DUMMYFUNCTION("GOOGLETRANSLATE(B4440, ""fr"", ""en"")"),"Good effective product and soothing Softens and relaxes muscles well, both before and after the effort. good price / quality. Smell my pleasant taste. sufficient capacity.")</f>
        <v>Good effective product and soothing Softens and relaxes muscles well, both before and after the effort. good price / quality. Smell my pleasant taste. sufficient capacity.</v>
      </c>
    </row>
    <row r="4441">
      <c r="A4441" s="1">
        <v>5.0</v>
      </c>
      <c r="B4441" s="1" t="s">
        <v>224</v>
      </c>
      <c r="C4441" t="str">
        <f>IFERROR(__xludf.DUMMYFUNCTION("GOOGLETRANSLATE(B4441, ""fr"", ""en"")"),"perfect perfect")</f>
        <v>perfect perfect</v>
      </c>
    </row>
    <row r="4442">
      <c r="A4442" s="1">
        <v>5.0</v>
      </c>
      <c r="B4442" s="1" t="s">
        <v>4393</v>
      </c>
      <c r="C4442" t="str">
        <f>IFERROR(__xludf.DUMMYFUNCTION("GOOGLETRANSLATE(B4442, ""fr"", ""en"")"),"The quality Eastpak! Everyone knows as the brand that aspect of his backpacks become essential references. Strong, lightweight, comfortable enough, thick flanges and above all, the aesthetics of this gray ""black denim"" is perfect!")</f>
        <v>The quality Eastpak! Everyone knows as the brand that aspect of his backpacks become essential references. Strong, lightweight, comfortable enough, thick flanges and above all, the aesthetics of this gray "black denim" is perfect!</v>
      </c>
    </row>
    <row r="4443">
      <c r="A4443" s="1">
        <v>5.0</v>
      </c>
      <c r="B4443" s="1" t="s">
        <v>4394</v>
      </c>
      <c r="C4443" t="str">
        <f>IFERROR(__xludf.DUMMYFUNCTION("GOOGLETRANSLATE(B4443, ""fr"", ""en"")"),"Good quality Product is a beautiful quality and finish. The person who received the gift love. Very allergic, I had some concerns and there was no reaction, so it's really perfect")</f>
        <v>Good quality Product is a beautiful quality and finish. The person who received the gift love. Very allergic, I had some concerns and there was no reaction, so it's really perfect</v>
      </c>
    </row>
    <row r="4444">
      <c r="A4444" s="1">
        <v>5.0</v>
      </c>
      <c r="B4444" s="1" t="s">
        <v>4395</v>
      </c>
      <c r="C4444" t="str">
        <f>IFERROR(__xludf.DUMMYFUNCTION("GOOGLETRANSLATE(B4444, ""fr"", ""en"")"),"Awesome ! Great product, great for evenings among friends")</f>
        <v>Awesome ! Great product, great for evenings among friends</v>
      </c>
    </row>
    <row r="4445">
      <c r="A4445" s="1">
        <v>5.0</v>
      </c>
      <c r="B4445" s="1" t="s">
        <v>4396</v>
      </c>
      <c r="C4445" t="str">
        <f>IFERROR(__xludf.DUMMYFUNCTION("GOOGLETRANSLATE(B4445, ""fr"", ""en"")"),"Top Too cute")</f>
        <v>Top Too cute</v>
      </c>
    </row>
    <row r="4446">
      <c r="A4446" s="1">
        <v>5.0</v>
      </c>
      <c r="B4446" s="1" t="s">
        <v>508</v>
      </c>
      <c r="C4446" t="str">
        <f>IFERROR(__xludf.DUMMYFUNCTION("GOOGLETRANSLATE(B4446, ""fr"", ""en"")"),"Very well very well")</f>
        <v>Very well very well</v>
      </c>
    </row>
    <row r="4447">
      <c r="A4447" s="1">
        <v>5.0</v>
      </c>
      <c r="B4447" s="1" t="s">
        <v>4397</v>
      </c>
      <c r="C4447" t="str">
        <f>IFERROR(__xludf.DUMMYFUNCTION("GOOGLETRANSLATE(B4447, ""fr"", ""en"")"),"Best quality price report. To not let hang the headphones on the desk, aesthetic, discreet and helpful. I recommend !")</f>
        <v>Best quality price report. To not let hang the headphones on the desk, aesthetic, discreet and helpful. I recommend !</v>
      </c>
    </row>
    <row r="4448">
      <c r="A4448" s="1">
        <v>5.0</v>
      </c>
      <c r="B4448" s="1" t="s">
        <v>4398</v>
      </c>
      <c r="C4448" t="str">
        <f>IFERROR(__xludf.DUMMYFUNCTION("GOOGLETRANSLATE(B4448, ""fr"", ""en"")"),"Nickel I was skeptical, I have a physical job, and I feel much better in the evening after a small meeting of 15mn")</f>
        <v>Nickel I was skeptical, I have a physical job, and I feel much better in the evening after a small meeting of 15mn</v>
      </c>
    </row>
    <row r="4449">
      <c r="A4449" s="1">
        <v>5.0</v>
      </c>
      <c r="B4449" s="1" t="s">
        <v>4399</v>
      </c>
      <c r="C4449" t="str">
        <f>IFERROR(__xludf.DUMMYFUNCTION("GOOGLETRANSLATE(B4449, ""fr"", ""en"")"),"easy Very easy to set up and very stable")</f>
        <v>easy Very easy to set up and very stable</v>
      </c>
    </row>
    <row r="4450">
      <c r="A4450" s="1">
        <v>5.0</v>
      </c>
      <c r="B4450" s="1" t="s">
        <v>4400</v>
      </c>
      <c r="C4450" t="str">
        <f>IFERROR(__xludf.DUMMYFUNCTION("GOOGLETRANSLATE(B4450, ""fr"", ""en"")"),"Lovely bracelet Meets the expected")</f>
        <v>Lovely bracelet Meets the expected</v>
      </c>
    </row>
    <row r="4451">
      <c r="A4451" s="1">
        <v>2.0</v>
      </c>
      <c r="B4451" s="1" t="s">
        <v>4401</v>
      </c>
      <c r="C4451" t="str">
        <f>IFERROR(__xludf.DUMMYFUNCTION("GOOGLETRANSLATE(B4451, ""fr"", ""en"")"),"Fragile ++++ Very nice bracelet, but very fragile clasp. I had to return it because welding broken ...")</f>
        <v>Fragile ++++ Very nice bracelet, but very fragile clasp. I had to return it because welding broken ...</v>
      </c>
    </row>
    <row r="4452">
      <c r="A4452" s="1">
        <v>1.0</v>
      </c>
      <c r="B4452" s="1" t="s">
        <v>4402</v>
      </c>
      <c r="C4452" t="str">
        <f>IFERROR(__xludf.DUMMYFUNCTION("GOOGLETRANSLATE(B4452, ""fr"", ""en"")"),"No longer works in a week no longer works after 1 week and a half of use really heavy ... Lights 1 second and then nothing. If there has been misuse, I would at least know how, but I'm more like a manufacturing defect ...")</f>
        <v>No longer works in a week no longer works after 1 week and a half of use really heavy ... Lights 1 second and then nothing. If there has been misuse, I would at least know how, but I'm more like a manufacturing defect ...</v>
      </c>
    </row>
    <row r="4453">
      <c r="A4453" s="1">
        <v>1.0</v>
      </c>
      <c r="B4453" s="1" t="s">
        <v>4403</v>
      </c>
      <c r="C4453" t="str">
        <f>IFERROR(__xludf.DUMMYFUNCTION("GOOGLETRANSLATE(B4453, ""fr"", ""en"")"),"no shell if we buy so-called safety shoe c is working for shells looks very very hurt over my amazon purchase loses the quality of these products to the very top figure")</f>
        <v>no shell if we buy so-called safety shoe c is working for shells looks very very hurt over my amazon purchase loses the quality of these products to the very top figure</v>
      </c>
    </row>
    <row r="4454">
      <c r="A4454" s="1">
        <v>3.0</v>
      </c>
      <c r="B4454" s="1" t="s">
        <v>4404</v>
      </c>
      <c r="C4454" t="str">
        <f>IFERROR(__xludf.DUMMYFUNCTION("GOOGLETRANSLATE(B4454, ""fr"", ""en"")"),"Bie Super, really pay attention to my size I'm doing 39 I took 28-42 and that's my size battery so I doubt that in 42rentre")</f>
        <v>Bie Super, really pay attention to my size I'm doing 39 I took 28-42 and that's my size battery so I doubt that in 42rentre</v>
      </c>
    </row>
    <row r="4455">
      <c r="A4455" s="1">
        <v>3.0</v>
      </c>
      <c r="B4455" s="1" t="s">
        <v>4405</v>
      </c>
      <c r="C4455" t="str">
        <f>IFERROR(__xludf.DUMMYFUNCTION("GOOGLETRANSLATE(B4455, ""fr"", ""en"")"),"2 3 perfect knew I just receive them. weird because in the lot there is one that is less of a good size so he serves and is too tight while the other 2 are properly fitted and comfortable .... somebody had this problem ??")</f>
        <v>2 3 perfect knew I just receive them. weird because in the lot there is one that is less of a good size so he serves and is too tight while the other 2 are properly fitted and comfortable .... somebody had this problem ??</v>
      </c>
    </row>
    <row r="4456">
      <c r="A4456" s="1">
        <v>4.0</v>
      </c>
      <c r="B4456" s="1" t="s">
        <v>1261</v>
      </c>
      <c r="C4456" t="str">
        <f>IFERROR(__xludf.DUMMYFUNCTION("GOOGLETRANSLATE(B4456, ""fr"", ""en"")"),"good good")</f>
        <v>good good</v>
      </c>
    </row>
    <row r="4457">
      <c r="A4457" s="1">
        <v>4.0</v>
      </c>
      <c r="B4457" s="1" t="s">
        <v>4406</v>
      </c>
      <c r="C4457" t="str">
        <f>IFERROR(__xludf.DUMMYFUNCTION("GOOGLETRANSLATE(B4457, ""fr"", ""en"")"),"Very useful in winter approaches &lt;div id = ""video-block-R2P9A8YRBE8WQ4"" class = ""a-section-spacing-small-spacing has-top video mini-block""&gt; &lt;div tabindex = ""0 ""class ="" airy airy-svg vmin-supported airy-skin-beacon ""style ="" background-color: rgb"&amp;" (0, 0, 0); position: relative; width: 100%; height: 100%; font-size : 0px; overflow: hidden; outline: none; ""&gt; &lt;div class ="" airy-renderer-container ""style ="" position: relative; height: 100%; width: 100%; ""&gt; &lt;video id ="" 7 "" preload = ""auto"" sr"&amp;"c = ""https://images-eu.ssl-images-amazon.com/images/I/A1j0ukTVb4S.mp4"" style = ""position: absolute; left: 0px; top: 0px; overflow: hidden ; height: 1px; width: 1px; ""&gt; &lt;/ video&gt; &lt;/ div&gt; &lt;div id ="" airy-slate-preload ""style ="" background-color: rgb "&amp;"(0, 0, 0); background-image: url (&amp; quot; https: //images-eu.ssl-images-amazon.com/images/I/713lMEcV6SS.png&amp;quot;); background-size: contain; background-position: center center; background-repeat: no-repeat ; position: absolute; top: 0px; left: 0px; visib"&amp;"ility: visible; width: 100%; height: 100% ""&gt; &lt;/ di v&gt; &lt;iframe scrolling = ""no"" frameborder = ""0"" src = ""about: blank"" style = ""display: none;""&gt; &lt;/ iframe&gt; &lt;div tabindex = ""- 1"" class = ""airy-controls-container ""style ="" opacity: 0; visibilit"&amp;"y: hidden; ""&gt; &lt;div tabindex ="" - 1 ""class ="" airy-screen-size-toggle airy-fullscreen ""&gt; &lt;/ div&gt; &lt;div tabindex ="" - 1 ""class ="" airy-container-bottom "" &gt; &lt;div tabindex = ""- 1"" class = ""airy-track-bar spacer-left"" style = ""width: 11px;""&gt; &lt;/ d"&amp;"iv&gt; &lt;div tabindex = ""- 1"" class = ""airy-play- toggle airy-play ""style ="" width: 12px; margin-right: 12px; ""&gt; &lt;/ div&gt; &lt;div tabindex ="" - 1 ""class ="" airy-audio-elements ""style ="" float: right; width: 34px; ""&gt; &lt;div tabindex ="" - 1 ""class ="" a"&amp;"iry-audio-toggle airy-on ""&gt; &lt;/ div&gt; &lt;div tabindex ="" - 1 ""class ="" airy-audio-container ""style = ""opacity: 0; visibility: hidden; ""&gt; &lt;div tabindex ="" - 1 ""class ="" airy-audio-track-bar ""style ="" height: 80%; ""&gt; &lt;div tabindex ="" - 1 ""class ="&amp;""" airy-audio- scrubber bar ""style ="" height: 85% ""&gt; &lt;/ div&gt; &lt;div tabindex ="" - 1 ""class ="" airy-audio-scrubber ""style ="" height: 12px; bottom: 85% ""&gt; &lt;/ div&gt; &lt;/ div&gt; &lt;/ div&gt; &lt;/ div&gt; &lt;div tabindex ="" - 1 ""class ="" airy-duration-label ""style ="&amp;""" float: right; width: 26px; margin-right: 4px; text-align: center; ""&gt; 0:00 &lt;/ div&gt; &lt;div tabindex ="" - 1 ""class ="" airy-track-bar spacer-right ""style ="" float: right; width: 11px; ""&gt; &lt;/ div&gt; &lt;div tabindex ="" - 1 ""class ="" airy-track-bar-contain"&amp;"er ""style ="" margin-left: 35px; margin-right: 75px; ""&gt; &lt;div tabindex ="" - 1 ""class ="" airy-airy-track-bar vertical-centering-table ""&gt; &lt;div tabindex ="" - 1 ""class ="" airy-vertical-centering- table-cell ""&gt; &lt;div tabindex ="" - 1 ""class ="" airy-t"&amp;"rack-bar elements ""&gt; &lt;div tabindex ="" - 1 ""class ="" airy-progress bar ""&gt; &lt;/ div&gt; &lt;div tabindex = ""- 1"" class = ""airy-scrubber bar""&gt; &lt;/ div&gt; &lt;div tabindex = ""- 1"" class = ""airy-scrubber""&gt; &lt;div tabindex = ""- 1"" class = ""airy-scrubber- icon "&amp;"""&gt; &lt;/ div&gt; &lt;div tabindex ="" - 1 ""class ="" airy-adjusted-aui-tooltip ""style ="" opacity: 0; visibility: hidden; ""&gt; &lt;div tabindex ="" - 1 ""class ="" airy-adjusted-aui-tooltip-inner ""&gt; &lt;div tabindex ="" - 1 ""class ="" airy-current-time-label ""&gt; 0 0"&amp;"0 &lt;/ div&gt; &lt;/ div&gt; &lt;div tabindex = ""- 1"" class = ""airy-adjusted-aui-arrow-border""&gt; &lt;div tabindex = ""- 1"" class = ""airy-adjusted-aui-arrow"" &gt; &lt;/ div&gt; &lt;/ div&gt; &lt;/ div&gt; &lt;/ div&gt; &lt;/ div&gt; &lt;/ div&gt; &lt;/ div&gt; &lt;/ div&gt; &lt;/ div&gt; &lt;/ div&gt; &lt;div tabindex = ""- 1"" cla"&amp;"ss = ""airy-airy-age-gate course airy-vertical-centering table-airy-dialog"" style = ""opacity: 0; visibility: hidden; ""&gt; &lt;div tabindex ="" - 1 ""class ="" airy-age-gate-vertical-centering-table-cell airy-vertical-centering-table-cell ""&gt; &lt;div tabindex ="&amp;""" - 1 ""class = ""airy-vertical-centering-wrapper airy-age-gate-elements-wrapper""&gt; &lt;div tabindex = ""- 1"" class = ""airy-age-gate-elements airy-dialog-elements""&gt; &lt;div tabindex = "" -1 ""class ="" airy-age-gate-prompt ""&gt; This video is not Intended for"&amp;" all audiences What time were you born &lt;/ div&gt; &lt;div tabindex =.?"" - 1 ""class ="" airy-age-gate -inputs airy-dialog-inner-elements ""&gt; &lt;select tabindex ="" - 1 ""class ="" airy-age-gate-month ""&gt; &lt;option value ="" 1 ""&gt; January &lt;/ option&gt; &lt;option value ="&amp;""" 2 ""&gt; February &lt;/ option&gt; &lt;option value ="" 3 ""&gt; March &lt;/ option&gt; &lt;option value ="" 4 ""&gt; April &lt;/ option&gt; &lt;option value ="" 5 ""&gt; May &lt;/ option&gt; &lt;option value = ""6""&gt; June &lt;/ option&gt; &lt;option value = ""7""&gt; July &lt;/ option&gt; &lt;option value = ""8""&gt; Augu"&amp;"st &lt;/ option&gt; &lt;option value = ""9""&gt; September &lt;/ option&gt; &lt;option value = ""10""&gt; October &lt;/ option&gt; &lt;option value = ""11""&gt; November &lt;/ option&gt; &lt;option value = ""12""&gt; December &lt;/ option&gt; &lt;/ select&gt; &lt;select tabindex = ""- 1"" class = ""airy-age-gate-day"&amp;"""&gt; &lt;opti = One value ""1""&gt; 1 &lt;/ option&gt; &lt;option value = ""2""&gt; 2 &lt;/ option&gt; &lt;option value = ""3""&gt; 3 &lt;/ option&gt; &lt;option value = ""4""&gt; 4 &lt;/ option &gt; &lt;option value = ""5""&gt; 5 &lt;/ option&gt; &lt;option value = ""6""&gt; 6 &lt;/ option&gt; &lt;option value = ""7""&gt; 7 &lt;/ opti"&amp;"on&gt; &lt;option value = ""8""&gt; 8 &lt; / option&gt; &lt;option value = ""9""&gt; 9 &lt;/ option&gt; &lt;option value = ""10""&gt; 10 &lt;/ option&gt; &lt;option value = ""11""&gt; 11 &lt;/ option&gt; &lt;option value = ""12""&gt; 12 &lt;/ option&gt; &lt;option value = ""13""&gt; 13 &lt;/ option&gt; &lt;option value = ""14""&gt; 14"&amp;" &lt;/ option&gt; &lt;option value = ""15""&gt; 15 &lt;/ option&gt; &lt;option value = ""16 ""&gt; 16 &lt;/ option&gt; &lt;option value ="" 17 ""&gt; 17 &lt;/ option&gt; &lt;option value ="" 18 ""&gt; 18 &lt;/ option&gt; &lt;option value ="" 19 ""&gt; 19 &lt;/ option&gt; &lt;option value = ""20""&gt; 20 &lt;/ option&gt; &lt;option val"&amp;"ue = ""21""&gt; 21 &lt;/ option&gt; &lt;option value = ""22""&gt; 22 &lt;/ option&gt; &lt;option value = ""23""&gt; 23 &lt;/ option&gt; &lt;option value = ""24""&gt; 24 &lt;/ option&gt; &lt;option value = ""25""&gt; 25 &lt;/ option&gt; &lt;option value = ""26""&gt; 26 &lt;/ option&gt; &lt;option value = ""27""&gt; 27 &lt;/ option&gt; "&amp;"&lt;option value = ""28""&gt; 28 &lt;/ option&gt; &lt;option value = ""29""&gt; 29 &lt;/ option&gt; &lt;option value = ""30""&gt; 30 &lt;/ option&gt; &lt;option value = ""31""&gt; 31 &lt;/ option&gt; &lt;/ select&gt; &lt;select tabindex = ""- 1"" class = ""airy-age-gate-year""&gt; &lt;option value = ""2019""&gt; 2019 &lt;/"&amp;" option&gt; &lt; option value = ""2018""&gt; 2018 &lt;/ option&gt; &lt;option value = ""2017""&gt; 2017 &lt;/ option&gt; &lt;option value = ""2016""&gt; ​​2016 &lt;/ option&gt; &lt;option value = ""2015""&gt; 2015 &lt;/ option &gt; &lt;option value = ""2014""&gt; 2014 &lt;/ option&gt; &lt;option value = ""2013""&gt; 2013 &lt;"&amp;"/ option&gt; &lt;option value = ""2012""&gt; 2012 &lt;/ option&gt; &lt;option value = ""2011""&gt; 2011 &lt; / option&gt; &lt;option value = ""2010""&gt; 2010 &lt;/ option&gt; &lt;option value = ""2009""&gt; 2009 &lt;/ option&gt; &lt;option value = ""2008""&gt; 2008 &lt;/ option&gt; &lt;option value = ""2007""&gt; 2007 &lt;/ "&amp;"option&gt; &lt;option value = ""2006""&gt; 2006 &lt;/ option&gt; &lt;option value = ""2005""&gt; 2005 &lt;/ option&gt; &lt;option value = ""2004""&gt; 2004 &lt;/ option&gt; &lt;option value = ""2003 ""&gt; 2003 &lt;/ option&gt; &lt;option value ="" 2002 ""&gt; 2002 &lt;/ option&gt; &lt;option value ="" 2001 ""&gt; 2001 &lt;/ "&amp;"option&gt; &lt;option value ="" 2000 ""&gt; 2000 &lt;/ option&gt; &lt;option value = ""1999""&gt; 1999 &lt;/ option&gt; &lt;option value = ""1998""&gt; 1998 &lt;/ option&gt; &lt;option value = ""1997""&gt; 1997 &lt;/ option&gt; &lt;option value = ""1996""&gt; 1996 &lt;/ option&gt; &lt;option value = ""1995""&gt; 1995 &lt;/ op"&amp;"tion&gt; &lt;option value = ""1994""&gt; 1994 &lt;/ option&gt; &lt;option value = ""1993""&gt; 1993 &lt;/ option&gt; &lt;option value = ""1992""&gt; 1992 &lt;/ option&gt; &lt;option value = ""1991""&gt; 1991 &lt;/ option&gt; &lt;option value = ""1990""&gt; 1990 &lt;/ option&gt; &lt;option value = "" 1989 ""&gt; 1989 &lt;/ opt"&amp;"ion&gt; &lt;option value ="" 1988 ""&gt; 1988 &lt;/ option&gt; &lt;option value ="" 1987 ""&gt; 1987 &lt;/ option&gt; &lt;option value ="" 1986 ""&gt; 1986 &lt;/ option&gt; &lt;option value = ""1985""&gt; 1985 &lt;/ option&gt; &lt;option value = ""1984""&gt; 1984 &lt;/ option&gt; &lt;option value = ""1983""&gt; 1983 &lt;/ opt"&amp;"ion&gt; &lt;option value = ""1982""&gt; 1982 &lt;/ option&gt; &lt; option value = ""1981""&gt; 1981 &lt;/ option&gt; &lt;option value = ""1980""&gt; 1980 &lt;/ option&gt; &lt;option value = ""1979""&gt; 1979 &lt;/ option&gt; &lt;option value = ""1978""&gt; 1978 &lt;/ option &gt; &lt;option value = ""1977""&gt; 1977 &lt;/ opti"&amp;"on&gt; &lt;option value = ""1976""&gt; 1976 &lt;/ option&gt; &lt;option value = ""1975""&gt; 1975 &lt;/ option&gt; &lt;option value = ""1974""&gt; 1974 &lt; / option&gt; &lt;option value = ""1973""&gt; 1973 &lt;/ option&gt; &lt;option value = ""1972""&gt; 1972 &lt;/ option&gt; &lt;option value = ""1971""&gt; 1971 &lt;/ option"&amp;"&gt; &lt;option value = ""1970""&gt; 1970 &lt;/ option&gt; &lt;option value = ""1969""&gt; 1969 &lt;/ option&gt; &lt;option value = ""1968""&gt; 1968 &lt;/ option&gt; &lt;option value = ""1967""&gt; 1967 &lt;/ option&gt; &lt;option value = ""1966 ""&gt; 1966 &lt;/ option&gt; &lt;option value ="" 1965 ""&gt; 1965 &lt;/ option&gt;"&amp;" &lt;option value ="" 1964 ""&gt; 1964 &lt;/ option&gt; &lt;option value ="" 1963 ""&gt; 1963 &lt;/ option&gt; &lt;option value = ""1962""&gt; 1962 &lt;/ option&gt; &lt;option value = ""1961""&gt; 1961 &lt;/ option&gt; &lt;option value = ""1960""&gt; 1960 &lt;/ op tion&gt; &lt;option value = ""1959""&gt; 1959 &lt;/ option&gt;"&amp;" &lt;option value = ""1958""&gt; 1958 &lt;/ option&gt; &lt;option value = ""1957""&gt; 1957 &lt;/ option&gt; &lt;option value = ""1956""&gt; 1956 &lt;/ option&gt; &lt;option value = ""1955""&gt; 1955 &lt;/ option&gt; &lt;option value = ""1954""&gt; 1954 &lt;/ option&gt; &lt;option value = ""1953""&gt; 1953 &lt;/ option&gt; &lt;o"&amp;"ption value = ""1952"" &gt; 1952 &lt;/ option&gt; &lt;option value = ""1951""&gt; 1951 &lt;/ option&gt; &lt;option value = ""1950""&gt; 1950 &lt;/ option&gt; &lt;option value = ""1949""&gt; 1949 &lt;/ option&gt; &lt;option value = "" 1948 ""&gt; 1948 &lt;/ option&gt; &lt;option value ="" 1947 ""&gt; 1947 &lt;/ option&gt; &lt;"&amp;"option value ="" 1946 ""&gt; 1946 &lt;/ option&gt; &lt;option value ="" 1945 ""&gt; 1945 &lt;/ option&gt; &lt;option value = ""1944""&gt; 1944 &lt;/ option&gt; &lt;option value = ""1943""&gt; 1943 &lt;/ option&gt; &lt;option value = ""1942""&gt; 1942 &lt;/ option&gt; &lt;option value = ""1941""&gt; 1941 &lt;/ option&gt; &lt; "&amp;"option value = ""1940""&gt; 1940 &lt;/ option&gt; &lt;option value = ""1939""&gt; 1939 &lt;/ option&gt; &lt;option value = ""1938""&gt; 1938 &lt;/ option&gt; &lt;option value = ""1937""&gt; 1937 &lt;/ option &gt; &lt;option value = ""1936""&gt; 1936 &lt;/ option&gt; &lt;option value = ""1935""&gt; 1935 &lt;/ option&gt; &lt;op"&amp;"tion value = ""1934""&gt; 1934 &lt;/ option&gt; &lt;option value = ""1933""&gt; 1933 &lt; / option&gt; &lt;option value = ""1932""&gt; 1932 &lt;/ option&gt; &lt;option value = ""1931""&gt; 1931 &lt;/ option&gt; &lt;option v alue = ""1930""&gt; 1930 &lt;/ option&gt; &lt;option value = ""1929""&gt; 1929 &lt;/ option&gt; &lt;opt"&amp;"ion value = ""1928""&gt; 1928 &lt;/ option&gt; &lt;option value = ""1927""&gt; 1927 &lt;/ option&gt; &lt;option value = ""1926""&gt; 1926 &lt;/ option&gt; &lt;option value = ""1925""&gt; 1925 &lt;/ option&gt; &lt;option value = ""1924""&gt; 1924 &lt;/ option&gt; &lt;option value = ""1923""&gt; 1923 &lt;/ option&gt; &lt;option"&amp;" value = ""1922""&gt; 1922 &lt;/ option&gt; &lt;option value = ""1921""&gt; 1921 &lt;/ option&gt; &lt;option value = ""1920""&gt; 1920 &lt;/ option&gt; &lt;option value = ""1919""&gt; 1919 &lt;/ option&gt; &lt;option value = ""1918""&gt; 1918 &lt;/ option&gt; &lt;option value = ""1917""&gt; 1917 &lt;/ option&gt; &lt;option va"&amp;"lue = ""1916""&gt; 1916 &lt;/ option&gt; &lt;option value = ""1915"" &gt; 1915 &lt;/ option&gt; &lt;option value = ""1914""&gt; 1914 &lt;/ option&gt; &lt;option value = ""1913""&gt; 1913 &lt;/ option&gt; &lt;option value = ""1912""&gt; 1912 &lt;/ option&gt; &lt;option value = "" 1911 ""&gt; 1911 &lt;/ option&gt; &lt;option va"&amp;"lue ="" 1910 ""&gt; 1910 &lt;/ option&gt; &lt;option value ="" 1909 ""&gt; 1909 &lt;/ option&gt; &lt;option value ="" 1908 ""&gt; 1908 &lt;/ option&gt; &lt;option value = ""1907""&gt; 1907 &lt;/ option&gt; &lt;option value = ""1906""&gt; 1906 &lt;/ option&gt; &lt;option value = ""1905""&gt; 1905 &lt;/ option&gt; &lt;option va"&amp;"lue = ""1904""&gt; 1904 &lt;/ option&gt; &lt; option value = ""1903""&gt; 1903 &lt;/ option&gt; &lt;option value = ""1902""&gt; 1902 &lt;/ option&gt; &lt;option value = ""1901""&gt; 19 01 &lt;/ option&gt; &lt;option value = ""1900""&gt; 1900 &lt;/ option&gt; &lt;/ select&gt; &lt;div tabindex = ""- 1"" class = ""airy-age"&amp;"-gate-submit airy-submit-button airy airy-submit- disabled ""&gt; Submit &lt;/ div&gt; &lt;/ div&gt; &lt;/ div&gt; &lt;/ div&gt; &lt;/ div&gt; &lt;/ div&gt; &lt;div tabindex ="" - 1 ""class ="" airy-install-flash-dialog airy-course airy -Vertical-centering-table dialog airy-airy-denied ""style ="&amp;""" opacity: 0; visibility: hidden; ""&gt; &lt;div tabindex ="" - 1 ""class ="" airy-install-flash-vertical-centering-table-cell airy-vertical-centering-table-cell ""&gt; &lt;div tabindex ="" - 1 ""class = ""airy-vertical-centering-wrapper airy-install-flash-elements-"&amp;"wrapper""&gt; &lt;div tabindex = ""- 1"" class = ""airy-install-flash-elements airy-dialog-elements""&gt; &lt;div tabindex = "" -1 ""class ="" airy-install-flash-prompt ""&gt; Adobe Flash Player is required to watch this video &lt;/ div&gt; &lt;div = tabindex."" - 1 ""class ="" "&amp;"airy-install-flash-button-wrapper airy -dialog-inner-elements ""&gt; &lt;div tabindex ="" - 1 ""class ="" airy-install-flash-button airy-button ""&gt; install Flash Player &lt;/ div&gt; &lt;/ div&gt; &lt;/ div&gt; &lt;/ div&gt; &lt;/ div&gt; &lt;/ div&gt; &lt;div tabindex = ""- 1"" class = ""airy-video"&amp;"-unsupported-dialog airy-course airy-vertical-centering table-airy-dialog airy-denied"" style = ""opacity: 0; visibility: hidden; ""&gt; &lt;div tabindex ="" - 1 ""class ="" airy-video-unsupported-vertical-centering-table-cell airy-vertical-centering-table-cell"&amp;" ""&gt; &lt;div tabindex ="" - 1 ""class = ""airy-vertical-centering-wrapper airy-video-unsupported-elements-wrapper""&gt; &lt;div tabindex = ""- 1"" class = ""airy-video-unsupported-elements airy-dialog-elements""&gt; &lt;div tabindex = "" -1 ""class ="" airy-video-unsupp"&amp;"orted-prompt ""&gt; &lt;/ div&gt; &lt;/ div&gt; &lt;/ div&gt; &lt;/ div&gt; &lt;/ div&gt; &lt;div tabindex ="" - 1 ""class ="" airy-loading- spinner-stage airy-stage ""&gt; &lt;div tabindex ="" - 1 ""class ="" airy-loading-spinner-vertical-centering-table-cell airy-vertical-centering-table-cell "&amp;"""&gt; &lt;div tabindex ="" - 1 ""class ="" airy-loading-spinner container airy-scalable-hint-container ""&gt; &lt;div tabindex ="" - 1 ""class ="" airy-loading-spinner-dummy airy-scalable-dummy ""&gt; &lt;/ div&gt; &lt; div tabindex = ""- 1"" class = ""airy-loading-spinner airy"&amp;"-hint"" style = ""visibility: hidden;""&gt; &lt;/ div&gt; &lt;/ div&gt; &lt;/ div&gt; &lt;/ div&gt; &lt;div tabindex = ""- 1 ""class ="" airy-ads-screen-size-toggle airy-screen-size-toggle airy-fullscreen ""style ="" visibility: hidden; ""&gt; &lt;/ div&gt; &lt;div tabindex = ""-1"" class = ""air"&amp;"y-ad-prompt-container"" style = ""visibility: hidden;""&gt; &lt;div tabindex = ""- 1"" class = ""airy-ad-prompt-vertical-centering table-airy-vertical- centering-table ""&gt; &lt;div tabindex ="" - 1 ""class ="" airy-ad-prompt-vertical-centering-table-cell airy-verti"&amp;"cal-centering-table-cell ""&gt; &lt;div tabindex ="" - 1 ""class = ""airy-ad-prompt-label""&gt; &lt;/ div&gt; &lt;/ div&gt; &lt;/ div&gt; &lt;/ div&gt; &lt;div tabindex = ""- 1"" class = ""airy-ads-controls-container"" style = ""visibility: hidden; ""&gt; &lt;div tabindex ="" - 1 ""class ="" airy"&amp;"-ads-audio-toggle airy-audio-toggle airy-on ""style ="" visibility: hidden; ""&gt; &lt;/ div&gt; &lt;div tabindex ="" - 1 ""class ="" airy-time-remaining-label-container ""&gt; &lt;div tabindex ="" - 1 ""class ="" airy-time-remaining-vertical-centering table-airy-vertical-"&amp;"centering-table ""&gt; &lt;div tabindex = ""- 1"" class = ""airy-time-remaining-vertical-centering-table-cell airy-vertical-centering-table-cell""&gt; &lt;div tabindex = ""- 1"" class = ""airy-vertical-centering-wrapper airy-time-remaining-label-wrapper ""&gt; &lt;div tabi"&amp;"ndex ="" - 1 ""class ="" airy-time-remaining-label ""style ="" visibility: hidden; ""&gt; &lt;/ div&gt; &lt;div tabi ndex = ""- 1"" class = ""airy-ad-skip"" style = ""visibility: hidden;""&gt; &lt;/ div&gt; &lt;div tabindex = ""- 1"" class = ""airy-ad-end"" style = ""visibility:"&amp;" hidden; ""&gt; &lt;/ div&gt; &lt;/ div&gt; &lt;/ div&gt; &lt;/ div&gt; &lt;/ div&gt; &lt;div tabindex ="" - 1 ""class ="" airy-learn-more ""style ="" visibility: hidden; ""&gt; &lt;/ div&gt; &lt;/ div&gt; &lt;div tabindex = ""- 1"" class = ""airy-play-toggle-hint-stage airy-course airy-cursor""&gt; &lt;div tabind"&amp;"ex = ""- 1"" class = ""airy-play -toggle-hint-vertical-centering-table-cell airy-vertical-centering-table-cell airy-cursor ""&gt; &lt;div tabindex ="" - 1 ""class ="" airy-play-toggle-hint-container airy-scalable- hint-container ""&gt; &lt;div tabindex ="" - 1 ""clas"&amp;"s ="" airy-play-toggle-hint-dummy airy-scalable-dummy ""&gt; &lt;/ div&gt; &lt;div tabindex ="" - 1 ""class ="" airy-play -toggle airy-hint-hint-hint airy-play ""style ="" opacity: 1; visibility: visible; ""&gt; &lt;/ div&gt; &lt;/ div&gt; &lt;/ div&gt; &lt;/ div&gt; &lt;div tabindex ="" - 1 ""cl"&amp;"ass ="" airy-replay-hint-stage airy-stage ""style ="" visibility: hidden ; ""&gt; &lt;div tabindex ="" - 1 ""class ="" airy-replay-hint-vertical-centering-table-cell airy-vertical-centering-table-cell airy-cursor ""&gt; &lt;div tabindex ="" - 1 ""class = ""airy-repla"&amp;"y-hint-container airy-scalable-hint-container""&gt; &lt;div tabindex = ""- 1"" class = ""airy-replay-hint-dummy airy-scalable-dummy""&gt; &lt;/ div&gt; &lt;div tabindex = ""- 1"" class = ""airy-replay-hint airy-hint""&gt; &lt;/ div&gt; &lt;/ div&gt; &lt;/ div&gt; &lt;/ div&gt; &lt;div tabindex = ""- 1"&amp;""" class = ""airy-autoplay-hint -stage airy-stage ""style ="" visibility: hidden; ""&gt; &lt;div tabindex ="" - 1 ""class ="" airy-autoplay-hint-vertical-centering-table-cell airy-vertical-centering-table-cell airy- cursor ""&gt; &lt;div tabindex ="" - 1 ""class ="" "&amp;"autoplay airy-airy-hint-container-scalable-hint-container ""&gt; &lt;div tabindex ="" - 1 ""class ="" airy-autoplay-hint-dummy airy- scalable-dummy ""&gt; &lt;/ div&gt; &lt;/ div&gt; &lt;/ div&gt; &lt;/ div&gt; &lt;/ div&gt; &lt;/ div&gt; &lt;input type ="" hidden ""name ="" ""value ="" https: // pictu"&amp;"res-eu .ssl-image amazon.com / images / I / A1j0ukTVb4S.mp4 ""Class ="" video-url ""&gt; &lt;input type ="" hidden ""name ="" ""value ="" https://images-eu.ssl-images-amazon.com/images/I/713lMEcV6SS.png ""class ="" video-slate-img-url ""&gt; &amp; nbsp; for adults thi"&amp;"s heated mattress warm your nights it is very easy to install thanks to the cords which keeps in place all night ￼il be laid directly on the mattress ￼ below the fitted sheet to make the foot of the bed so that pillows are not pas￼ at the chaleur￼. Heat h"&amp;"alf an hour before moving !! the bed is warm. If you want to leave it on all night, position the minimum. Personally I prefer the warm up for half an hour and turn it off! it starts in the washing machine position ""&amp; nbsp; delicate linen &amp; nbsp;"" Hoping"&amp;" it will be cold this winter! Watch out for people wearing pacemaker￼. I hope this helps")</f>
        <v>Very useful in winter approaches &lt;div id = "video-block-R2P9A8YRBE8WQ4" class = "a-section-spacing-small-spacing has-top video mini-block"&gt; &lt;div tabindex = "0 "class =" airy airy-svg vmin-supported airy-skin-beacon "style =" background-color: rgb (0, 0, 0); position: relative; width: 100%; height: 100%; font-size : 0px; overflow: hidden; outline: none; "&gt; &lt;div class =" airy-renderer-container "style =" position: relative; height: 100%; width: 100%; "&gt; &lt;video id =" 7 " preload = "auto" src = "https://images-eu.ssl-images-amazon.com/images/I/A1j0ukTVb4S.mp4" style = "position: absolute; left: 0px; top: 0px; overflow: hidden ; height: 1px; width: 1px; "&gt; &lt;/ video&gt; &lt;/ div&gt; &lt;div id =" airy-slate-preload "style =" background-color: rgb (0, 0, 0); background-image: url (&amp; quot; https: //images-eu.ssl-images-amazon.com/images/I/713lMEcV6SS.png&amp;quot;); background-size: contain; background-position: center center; background-repeat: no-repeat ; position: absolute; top: 0px; left: 0px; visibility: visible; width: 100%; height: 100% "&gt; &lt;/ di 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A1j0ukTVb4S.mp4 "Class =" video-url "&gt; &lt;input type =" hidden "name =" "value =" https://images-eu.ssl-images-amazon.com/images/I/713lMEcV6SS.png "class =" video-slate-img-url "&gt; &amp; nbsp; for adults this heated mattress warm your nights it is very easy to install thanks to the cords which keeps in place all night ￼il be laid directly on the mattress ￼ below the fitted sheet to make the foot of the bed so that pillows are not pas￼ at the chaleur￼. Heat half an hour before moving !! the bed is warm. If you want to leave it on all night, position the minimum. Personally I prefer the warm up for half an hour and turn it off! it starts in the washing machine position "&amp; nbsp; delicate linen &amp; nbsp;" Hoping it will be cold this winter! Watch out for people wearing pacemaker￼. I hope this helps</v>
      </c>
    </row>
    <row r="4458">
      <c r="A4458" s="1">
        <v>4.0</v>
      </c>
      <c r="B4458" s="1" t="s">
        <v>4407</v>
      </c>
      <c r="C4458" t="str">
        <f>IFERROR(__xludf.DUMMYFUNCTION("GOOGLETRANSLATE(B4458, ""fr"", ""en"")"),"good product and good delivery an effective product for a small price. I had handsfree expensive and of poor quality. I was amazed at the value. Obviously this is not the high end. but frankly it is excellent. least: saturates when food thoroughly .... bu"&amp;"t ... normal. and no possibility of multimedia listening, or skype. it's just the phone.")</f>
        <v>good product and good delivery an effective product for a small price. I had handsfree expensive and of poor quality. I was amazed at the value. Obviously this is not the high end. but frankly it is excellent. least: saturates when food thoroughly .... but ... normal. and no possibility of multimedia listening, or skype. it's just the phone.</v>
      </c>
    </row>
    <row r="4459">
      <c r="A4459" s="1">
        <v>4.0</v>
      </c>
      <c r="B4459" s="1" t="s">
        <v>4408</v>
      </c>
      <c r="C4459" t="str">
        <f>IFERROR(__xludf.DUMMYFUNCTION("GOOGLETRANSLATE(B4459, ""fr"", ""en"")"),"Optical illusion! First day .... painful blisters on the toes [4orteils each foot] for more rien.pas heavy.")</f>
        <v>Optical illusion! First day .... painful blisters on the toes [4orteils each foot] for more rien.pas heavy.</v>
      </c>
    </row>
    <row r="4460">
      <c r="A4460" s="1">
        <v>5.0</v>
      </c>
      <c r="B4460" s="1" t="s">
        <v>4409</v>
      </c>
      <c r="C4460" t="str">
        <f>IFERROR(__xludf.DUMMYFUNCTION("GOOGLETRANSLATE(B4460, ""fr"", ""en"")"),"Jolie Gives good and very pretty")</f>
        <v>Jolie Gives good and very pretty</v>
      </c>
    </row>
    <row r="4461">
      <c r="A4461" s="1">
        <v>5.0</v>
      </c>
      <c r="B4461" s="1" t="s">
        <v>4410</v>
      </c>
      <c r="C4461" t="str">
        <f>IFERROR(__xludf.DUMMYFUNCTION("GOOGLETRANSLATE(B4461, ""fr"", ""en"")"),"Good quality / price for brand awareness Jolie shows, lightweight, comfortable to wear. Wear it when in chic outfit when no Lacoste clothes on your back (If not overload!)! Quartz is very accurate (US Mechanism brand Movado [I think!]). The Italian bracel"&amp;"et is very good and easy to adjust by cons did not watch everyday since it does not display the date of the month.")</f>
        <v>Good quality / price for brand awareness Jolie shows, lightweight, comfortable to wear. Wear it when in chic outfit when no Lacoste clothes on your back (If not overload!)! Quartz is very accurate (US Mechanism brand Movado [I think!]). The Italian bracelet is very good and easy to adjust by cons did not watch everyday since it does not display the date of the month.</v>
      </c>
    </row>
    <row r="4462">
      <c r="A4462" s="1">
        <v>5.0</v>
      </c>
      <c r="B4462" s="1" t="s">
        <v>4411</v>
      </c>
      <c r="C4462" t="str">
        <f>IFERROR(__xludf.DUMMYFUNCTION("GOOGLETRANSLATE(B4462, ""fr"", ""en"")"),"Good product I chose this rating because I received very quickly, they are in very good conditions and the size is fine. I loved the speed of delivery. I recommend it for all.")</f>
        <v>Good product I chose this rating because I received very quickly, they are in very good conditions and the size is fine. I loved the speed of delivery. I recommend it for all.</v>
      </c>
    </row>
    <row r="4463">
      <c r="A4463" s="1">
        <v>5.0</v>
      </c>
      <c r="B4463" s="1" t="s">
        <v>4412</v>
      </c>
      <c r="C4463" t="str">
        <f>IFERROR(__xludf.DUMMYFUNCTION("GOOGLETRANSLATE(B4463, ""fr"", ""en"")"),"perfect size XXL is suitable for the 44 elastis fabric somewhat stretchy wife so good body lines on the ideal length strapless")</f>
        <v>perfect size XXL is suitable for the 44 elastis fabric somewhat stretchy wife so good body lines on the ideal length strapless</v>
      </c>
    </row>
    <row r="4464">
      <c r="A4464" s="1">
        <v>5.0</v>
      </c>
      <c r="B4464" s="1" t="s">
        <v>4413</v>
      </c>
      <c r="C4464" t="str">
        <f>IFERROR(__xludf.DUMMYFUNCTION("GOOGLETRANSLATE(B4464, ""fr"", ""en"")"),"essential functions and multi Top to heat baby milk (not microwave) keep them warm for several hours to see keep water hot ds bib night and that there is no longer a pour milk powder and no waiting for bb 😁les more it thawed breast milk and acts as steri"&amp;"lizer 2 bib. It takes up less space than large sterilizer I highly recommend it for us childminders 😊")</f>
        <v>essential functions and multi Top to heat baby milk (not microwave) keep them warm for several hours to see keep water hot ds bib night and that there is no longer a pour milk powder and no waiting for bb 😁les more it thawed breast milk and acts as sterilizer 2 bib. It takes up less space than large sterilizer I highly recommend it for us childminders 😊</v>
      </c>
    </row>
    <row r="4465">
      <c r="A4465" s="1">
        <v>5.0</v>
      </c>
      <c r="B4465" s="1" t="s">
        <v>4414</v>
      </c>
      <c r="C4465" t="str">
        <f>IFERROR(__xludf.DUMMYFUNCTION("GOOGLETRANSLATE(B4465, ""fr"", ""en"")"),"Quality of lacoste Perfect: LACOSTE")</f>
        <v>Quality of lacoste Perfect: LACOSTE</v>
      </c>
    </row>
    <row r="4466">
      <c r="A4466" s="1">
        <v>5.0</v>
      </c>
      <c r="B4466" s="1" t="s">
        <v>4415</v>
      </c>
      <c r="C4466" t="str">
        <f>IFERROR(__xludf.DUMMYFUNCTION("GOOGLETRANSLATE(B4466, ""fr"", ""en"")"),"Nickel The shoes arrived the day before, good quality to look. See in time but for now satisfied!")</f>
        <v>Nickel The shoes arrived the day before, good quality to look. See in time but for now satisfied!</v>
      </c>
    </row>
    <row r="4467">
      <c r="A4467" s="1">
        <v>5.0</v>
      </c>
      <c r="B4467" s="1" t="s">
        <v>4416</v>
      </c>
      <c r="C4467" t="str">
        <f>IFERROR(__xludf.DUMMYFUNCTION("GOOGLETRANSLATE(B4467, ""fr"", ""en"")"),"Get Shoes Shoes very good anyway with vans are never disappointed!")</f>
        <v>Get Shoes Shoes very good anyway with vans are never disappointed!</v>
      </c>
    </row>
    <row r="4468">
      <c r="A4468" s="1">
        <v>5.0</v>
      </c>
      <c r="B4468" s="1" t="s">
        <v>4417</v>
      </c>
      <c r="C4468" t="str">
        <f>IFERROR(__xludf.DUMMYFUNCTION("GOOGLETRANSLATE(B4468, ""fr"", ""en"")"),"Product perfect for use We use this every day for our young child, young parents can buy easily this sterilizer.")</f>
        <v>Product perfect for use We use this every day for our young child, young parents can buy easily this sterilizer.</v>
      </c>
    </row>
    <row r="4469">
      <c r="A4469" s="1">
        <v>5.0</v>
      </c>
      <c r="B4469" s="1" t="s">
        <v>4418</v>
      </c>
      <c r="C4469" t="str">
        <f>IFERROR(__xludf.DUMMYFUNCTION("GOOGLETRANSLATE(B4469, ""fr"", ""en"")"),"1 year after I bought the same! Worn daily for 1 year I bought the same pair! Unbeatable value for money! Excellent game for this price")</f>
        <v>1 year after I bought the same! Worn daily for 1 year I bought the same pair! Unbeatable value for money! Excellent game for this price</v>
      </c>
    </row>
    <row r="4470">
      <c r="A4470" s="1">
        <v>5.0</v>
      </c>
      <c r="B4470" s="1" t="s">
        <v>4419</v>
      </c>
      <c r="C4470" t="str">
        <f>IFERROR(__xludf.DUMMYFUNCTION("GOOGLETRANSLATE(B4470, ""fr"", ""en"")"),"nice and good value for money For many years, my girlfriend and I buy products from this brand and we are never disappointed, the colors are nice, the quality is quite good, the color remains very lively even after months, and in addition they arrive quic"&amp;"kly, that ask for? If you need a sweat shirt unadorned but done its job perfectly, I can not recommend this brand a good value")</f>
        <v>nice and good value for money For many years, my girlfriend and I buy products from this brand and we are never disappointed, the colors are nice, the quality is quite good, the color remains very lively even after months, and in addition they arrive quickly, that ask for? If you need a sweat shirt unadorned but done its job perfectly, I can not recommend this brand a good value</v>
      </c>
    </row>
    <row r="4471">
      <c r="A4471" s="1">
        <v>5.0</v>
      </c>
      <c r="B4471" s="1" t="s">
        <v>4420</v>
      </c>
      <c r="C4471" t="str">
        <f>IFERROR(__xludf.DUMMYFUNCTION("GOOGLETRANSLATE(B4471, ""fr"", ""en"")"),"Perfect ! I just received my bag today. I already have several different colors, and the quality is by appointment. No surprises. The color (black denim) is the picture. I recommend.")</f>
        <v>Perfect ! I just received my bag today. I already have several different colors, and the quality is by appointment. No surprises. The color (black denim) is the picture. I recommend.</v>
      </c>
    </row>
    <row r="4472">
      <c r="A4472" s="1">
        <v>5.0</v>
      </c>
      <c r="B4472" s="1" t="s">
        <v>4421</v>
      </c>
      <c r="C4472" t="str">
        <f>IFERROR(__xludf.DUMMYFUNCTION("GOOGLETRANSLATE(B4472, ""fr"", ""en"")"),"Prettier than the picture I confess to being amazed at the quality of this gem. At which point I hasten to buy the earrings. This pendant is original and it made an impression. The play of light of this jewel is bluffing.")</f>
        <v>Prettier than the picture I confess to being amazed at the quality of this gem. At which point I hasten to buy the earrings. This pendant is original and it made an impression. The play of light of this jewel is bluffing.</v>
      </c>
    </row>
    <row r="4473">
      <c r="A4473" s="1">
        <v>5.0</v>
      </c>
      <c r="B4473" s="1" t="s">
        <v>4422</v>
      </c>
      <c r="C4473" t="str">
        <f>IFERROR(__xludf.DUMMYFUNCTION("GOOGLETRANSLATE(B4473, ""fr"", ""en"")"),"Although for baby Really good for baby")</f>
        <v>Although for baby Really good for baby</v>
      </c>
    </row>
    <row r="4474">
      <c r="A4474" s="1">
        <v>5.0</v>
      </c>
      <c r="B4474" s="1" t="s">
        <v>4423</v>
      </c>
      <c r="C4474" t="str">
        <f>IFERROR(__xludf.DUMMYFUNCTION("GOOGLETRANSLATE(B4474, ""fr"", ""en"")"),"EXCELLENT report quality / price The first impression is good unpacking it is quite nice but a bit heavy. Comfort is okay some much more expensive helmets same month wearable. Listening to the sound is nice bass voices are well rendered but all lack a bit"&amp;" of precision but at this price nothing to say. The battery life is very good, I did not have measured but I recharge often. In short, a good buy I recommend without restrictions expected price.")</f>
        <v>EXCELLENT report quality / price The first impression is good unpacking it is quite nice but a bit heavy. Comfort is okay some much more expensive helmets same month wearable. Listening to the sound is nice bass voices are well rendered but all lack a bit of precision but at this price nothing to say. The battery life is very good, I did not have measured but I recharge often. In short, a good buy I recommend without restrictions expected price.</v>
      </c>
    </row>
    <row r="4475">
      <c r="A4475" s="1">
        <v>2.0</v>
      </c>
      <c r="B4475" s="1" t="s">
        <v>1261</v>
      </c>
      <c r="C4475" t="str">
        <f>IFERROR(__xludf.DUMMYFUNCTION("GOOGLETRANSLATE(B4475, ""fr"", ""en"")"),"good good")</f>
        <v>good good</v>
      </c>
    </row>
    <row r="4476">
      <c r="A4476" s="1">
        <v>1.0</v>
      </c>
      <c r="B4476" s="1" t="s">
        <v>4424</v>
      </c>
      <c r="C4476" t="str">
        <f>IFERROR(__xludf.DUMMYFUNCTION("GOOGLETRANSLATE(B4476, ""fr"", ""en"")"),"The product does not match the photo, old model The product does not match the photo, old model")</f>
        <v>The product does not match the photo, old model The product does not match the photo, old model</v>
      </c>
    </row>
    <row r="4477">
      <c r="A4477" s="1">
        <v>1.0</v>
      </c>
      <c r="B4477" s="1" t="s">
        <v>4425</v>
      </c>
      <c r="C4477" t="str">
        <f>IFERROR(__xludf.DUMMYFUNCTION("GOOGLETRANSLATE(B4477, ""fr"", ""en"")"),"Disappointed disappointed with my purchase. I expected to have a warm coat but his is not the case.")</f>
        <v>Disappointed disappointed with my purchase. I expected to have a warm coat but his is not the case.</v>
      </c>
    </row>
    <row r="4478">
      <c r="A4478" s="1">
        <v>3.0</v>
      </c>
      <c r="B4478" s="1" t="s">
        <v>4426</v>
      </c>
      <c r="C4478" t="str">
        <f>IFERROR(__xludf.DUMMYFUNCTION("GOOGLETRANSLATE(B4478, ""fr"", ""en"")"),"Compliant Product compliant and very attractive price. As against the pacifier falls far inside. Whenever my daughter eat I have to remove the bottle so that the teat resumes form what irritates me a lot")</f>
        <v>Compliant Product compliant and very attractive price. As against the pacifier falls far inside. Whenever my daughter eat I have to remove the bottle so that the teat resumes form what irritates me a lot</v>
      </c>
    </row>
    <row r="4479">
      <c r="A4479" s="1">
        <v>4.0</v>
      </c>
      <c r="B4479" s="1" t="s">
        <v>4427</v>
      </c>
      <c r="C4479" t="str">
        <f>IFERROR(__xludf.DUMMYFUNCTION("GOOGLETRANSLATE(B4479, ""fr"", ""en"")"),"Beautiful shoes a long time I was looking for boots like this. Quality is at the rendezvous, careful though she tend to cut a little big. Consider a size less than your usual size.")</f>
        <v>Beautiful shoes a long time I was looking for boots like this. Quality is at the rendezvous, careful though she tend to cut a little big. Consider a size less than your usual size.</v>
      </c>
    </row>
    <row r="4480">
      <c r="A4480" s="1">
        <v>4.0</v>
      </c>
      <c r="B4480" s="1" t="s">
        <v>4428</v>
      </c>
      <c r="C4480" t="str">
        <f>IFERROR(__xludf.DUMMYFUNCTION("GOOGLETRANSLATE(B4480, ""fr"", ""en"")"),"Satisfactory good product and a priori without much risk products")</f>
        <v>Satisfactory good product and a priori without much risk products</v>
      </c>
    </row>
    <row r="4481">
      <c r="A4481" s="1">
        <v>4.0</v>
      </c>
      <c r="B4481" s="1" t="s">
        <v>4429</v>
      </c>
      <c r="C4481" t="str">
        <f>IFERROR(__xludf.DUMMYFUNCTION("GOOGLETRANSLATE(B4481, ""fr"", ""en"")"),"Top product that relaxes and relieves some pain.")</f>
        <v>Top product that relaxes and relieves some pain.</v>
      </c>
    </row>
    <row r="4482">
      <c r="A4482" s="1">
        <v>4.0</v>
      </c>
      <c r="B4482" s="1" t="s">
        <v>4430</v>
      </c>
      <c r="C4482" t="str">
        <f>IFERROR(__xludf.DUMMYFUNCTION("GOOGLETRANSLATE(B4482, ""fr"", ""en"")"),"suits my expectations at ease market, not cumbersome, the pocket is great for the laptop and take in all the papers")</f>
        <v>suits my expectations at ease market, not cumbersome, the pocket is great for the laptop and take in all the papers</v>
      </c>
    </row>
    <row r="4483">
      <c r="A4483" s="1">
        <v>5.0</v>
      </c>
      <c r="B4483" s="1" t="s">
        <v>4431</v>
      </c>
      <c r="C4483" t="str">
        <f>IFERROR(__xludf.DUMMYFUNCTION("GOOGLETRANSLATE(B4483, ""fr"", ""en"")"),"Perfect Very good broadcaster I have now for several me and who works at least 8 hours a jour.La capacity is large and the quality is bonne.je recommend this product.")</f>
        <v>Perfect Very good broadcaster I have now for several me and who works at least 8 hours a jour.La capacity is large and the quality is bonne.je recommend this product.</v>
      </c>
    </row>
    <row r="4484">
      <c r="A4484" s="1">
        <v>5.0</v>
      </c>
      <c r="B4484" s="1" t="s">
        <v>4432</v>
      </c>
      <c r="C4484" t="str">
        <f>IFERROR(__xludf.DUMMYFUNCTION("GOOGLETRANSLATE(B4484, ""fr"", ""en"")"),"Perhaps the most beautiful? I have already bought dissuseurs odor, so I found their work both healthy and pleasant Whenever I tried a different form My daughter has been caught by a colorful è broadcaster whose light varies), I have the offertt him to buy"&amp;" one: the class is fine, what matters Sitting on a wooden desk, he perfectly pass the liquid volume, but most have expired, is important, for according to the dosage and product disseminate sensitive smell or rather discreet I like the ability to program "&amp;"on 1h, 2h ou3h and finally the light in the form of a circle, is discrete, and can also turn off if desired short it delights me and diffuser I recommand it")</f>
        <v>Perhaps the most beautiful? I have already bought dissuseurs odor, so I found their work both healthy and pleasant Whenever I tried a different form My daughter has been caught by a colorful è broadcaster whose light varies), I have the offertt him to buy one: the class is fine, what matters Sitting on a wooden desk, he perfectly pass the liquid volume, but most have expired, is important, for according to the dosage and product disseminate sensitive smell or rather discreet I like the ability to program on 1h, 2h ou3h and finally the light in the form of a circle, is discrete, and can also turn off if desired short it delights me and diffuser I recommand it</v>
      </c>
    </row>
    <row r="4485">
      <c r="A4485" s="1">
        <v>5.0</v>
      </c>
      <c r="B4485" s="1" t="s">
        <v>4433</v>
      </c>
      <c r="C4485" t="str">
        <f>IFERROR(__xludf.DUMMYFUNCTION("GOOGLETRANSLATE(B4485, ""fr"", ""en"")"),"Purchased gift. I received several compliments on this bracelet. Like! Goes with almost any outfit.")</f>
        <v>Purchased gift. I received several compliments on this bracelet. Like! Goes with almost any outfit.</v>
      </c>
    </row>
    <row r="4486">
      <c r="A4486" s="1">
        <v>5.0</v>
      </c>
      <c r="B4486" s="1" t="s">
        <v>4434</v>
      </c>
      <c r="C4486" t="str">
        <f>IFERROR(__xludf.DUMMYFUNCTION("GOOGLETRANSLATE(B4486, ""fr"", ""en"")"),"On top Very satisfied with my purchase. Works perfectly well.")</f>
        <v>On top Very satisfied with my purchase. Works perfectly well.</v>
      </c>
    </row>
    <row r="4487">
      <c r="A4487" s="1">
        <v>5.0</v>
      </c>
      <c r="B4487" s="1" t="s">
        <v>4435</v>
      </c>
      <c r="C4487" t="str">
        <f>IFERROR(__xludf.DUMMYFUNCTION("GOOGLETRANSLATE(B4487, ""fr"", ""en"")"),"They are comfortable and good quality. Quick delivery. neat package. I bought socks to replace my old who were too worn. At the opening of the box pleasant surprise you discover pretty socks. They are of good quality. In use they are comfortable, they fit"&amp;" perfectly to the shape of the foot, the elastic are resistant even after several washes, they are hot there is no cold feet. A good price-performance ratio. I recommend his socks.")</f>
        <v>They are comfortable and good quality. Quick delivery. neat package. I bought socks to replace my old who were too worn. At the opening of the box pleasant surprise you discover pretty socks. They are of good quality. In use they are comfortable, they fit perfectly to the shape of the foot, the elastic are resistant even after several washes, they are hot there is no cold feet. A good price-performance ratio. I recommend his socks.</v>
      </c>
    </row>
    <row r="4488">
      <c r="A4488" s="1">
        <v>5.0</v>
      </c>
      <c r="B4488" s="1" t="s">
        <v>969</v>
      </c>
      <c r="C4488" t="str">
        <f>IFERROR(__xludf.DUMMYFUNCTION("GOOGLETRANSLATE(B4488, ""fr"", ""en"")"),"compliant compliant")</f>
        <v>compliant compliant</v>
      </c>
    </row>
    <row r="4489">
      <c r="A4489" s="1">
        <v>5.0</v>
      </c>
      <c r="B4489" s="1" t="s">
        <v>4436</v>
      </c>
      <c r="C4489" t="str">
        <f>IFERROR(__xludf.DUMMYFUNCTION("GOOGLETRANSLATE(B4489, ""fr"", ""en"")"),"impecable A pop simple and effective. Clamps over the microphone. Personally, I think it's better than having to tighten anti-pop on the arm / boom that supports the microphone. Now on a microphone singing I'm not on it more effective than anti-pop classi"&amp;"c double layer. But given my need (stream) and considering the price, I am very satisfied. However, I have a doubt about the life of the elastic holds. But hey, it is elastic, not difficult to change.")</f>
        <v>impecable A pop simple and effective. Clamps over the microphone. Personally, I think it's better than having to tighten anti-pop on the arm / boom that supports the microphone. Now on a microphone singing I'm not on it more effective than anti-pop classic double layer. But given my need (stream) and considering the price, I am very satisfied. However, I have a doubt about the life of the elastic holds. But hey, it is elastic, not difficult to change.</v>
      </c>
    </row>
    <row r="4490">
      <c r="A4490" s="1">
        <v>5.0</v>
      </c>
      <c r="B4490" s="1" t="s">
        <v>4437</v>
      </c>
      <c r="C4490" t="str">
        <f>IFERROR(__xludf.DUMMYFUNCTION("GOOGLETRANSLATE(B4490, ""fr"", ""en"")"),"Good Baby bottles are perfect as those of the pharmacy color drawings remains intact")</f>
        <v>Good Baby bottles are perfect as those of the pharmacy color drawings remains intact</v>
      </c>
    </row>
    <row r="4491">
      <c r="A4491" s="1">
        <v>5.0</v>
      </c>
      <c r="B4491" s="1" t="s">
        <v>4438</v>
      </c>
      <c r="C4491" t="str">
        <f>IFERROR(__xludf.DUMMYFUNCTION("GOOGLETRANSLATE(B4491, ""fr"", ""en"")"),"Just great urban Marche. Top and comfortable")</f>
        <v>Just great urban Marche. Top and comfortable</v>
      </c>
    </row>
    <row r="4492">
      <c r="A4492" s="1">
        <v>5.0</v>
      </c>
      <c r="B4492" s="1" t="s">
        <v>4439</v>
      </c>
      <c r="C4492" t="str">
        <f>IFERROR(__xludf.DUMMYFUNCTION("GOOGLETRANSLATE(B4492, ""fr"", ""en"")"),"Indispensable great for connecting a condenser microphone to a computer. a space-saving, but it is not too troublesome Cables provided (micro and power supply) are of suitable length (about 2m)")</f>
        <v>Indispensable great for connecting a condenser microphone to a computer. a space-saving, but it is not too troublesome Cables provided (micro and power supply) are of suitable length (about 2m)</v>
      </c>
    </row>
    <row r="4493">
      <c r="A4493" s="1">
        <v>5.0</v>
      </c>
      <c r="B4493" s="1" t="s">
        <v>4440</v>
      </c>
      <c r="C4493" t="str">
        <f>IFERROR(__xludf.DUMMYFUNCTION("GOOGLETRANSLATE(B4493, ""fr"", ""en"")"),"Same Good size and product according to the picture")</f>
        <v>Same Good size and product according to the picture</v>
      </c>
    </row>
    <row r="4494">
      <c r="A4494" s="1">
        <v>5.0</v>
      </c>
      <c r="B4494" s="1" t="s">
        <v>4441</v>
      </c>
      <c r="C4494" t="str">
        <f>IFERROR(__xludf.DUMMYFUNCTION("GOOGLETRANSLATE(B4494, ""fr"", ""en"")"),"Nothing to say Product compliant and efficient. No complaints. Good capacity. Quick to charge the iPhone. One can go on weekend quiet")</f>
        <v>Nothing to say Product compliant and efficient. No complaints. Good capacity. Quick to charge the iPhone. One can go on weekend quiet</v>
      </c>
    </row>
    <row r="4495">
      <c r="A4495" s="1">
        <v>5.0</v>
      </c>
      <c r="B4495" s="1" t="s">
        <v>4442</v>
      </c>
      <c r="C4495" t="str">
        <f>IFERROR(__xludf.DUMMYFUNCTION("GOOGLETRANSLATE(B4495, ""fr"", ""en"")"),"beautiful and comfortable Comfortable solid")</f>
        <v>beautiful and comfortable Comfortable solid</v>
      </c>
    </row>
    <row r="4496">
      <c r="A4496" s="1">
        <v>5.0</v>
      </c>
      <c r="B4496" s="1" t="s">
        <v>4443</v>
      </c>
      <c r="C4496" t="str">
        <f>IFERROR(__xludf.DUMMYFUNCTION("GOOGLETRANSLATE(B4496, ""fr"", ""en"")"),"Perfect Very good product very good quality. Simple effective fits the description. Simple to use, easy to clean. Takes place can.")</f>
        <v>Perfect Very good product very good quality. Simple effective fits the description. Simple to use, easy to clean. Takes place can.</v>
      </c>
    </row>
    <row r="4497">
      <c r="A4497" s="1">
        <v>5.0</v>
      </c>
      <c r="B4497" s="1" t="s">
        <v>4444</v>
      </c>
      <c r="C4497" t="str">
        <f>IFERROR(__xludf.DUMMYFUNCTION("GOOGLETRANSLATE(B4497, ""fr"", ""en"")"),"Good quality content")</f>
        <v>Good quality content</v>
      </c>
    </row>
    <row r="4498">
      <c r="A4498" s="1">
        <v>2.0</v>
      </c>
      <c r="B4498" s="1" t="s">
        <v>4445</v>
      </c>
      <c r="C4498" t="str">
        <f>IFERROR(__xludf.DUMMYFUNCTION("GOOGLETRANSLATE(B4498, ""fr"", ""en"")"),"Disappointed color (blue sky) does not correspond at all to the picture: it is rather a light blue oil. The shoe is like all 2750 model Superga size well. Too bad the actual color has nothing to do with the image on the site ...")</f>
        <v>Disappointed color (blue sky) does not correspond at all to the picture: it is rather a light blue oil. The shoe is like all 2750 model Superga size well. Too bad the actual color has nothing to do with the image on the site ...</v>
      </c>
    </row>
    <row r="4499">
      <c r="A4499" s="1">
        <v>1.0</v>
      </c>
      <c r="B4499" s="1" t="s">
        <v>4446</v>
      </c>
      <c r="C4499" t="str">
        <f>IFERROR(__xludf.DUMMYFUNCTION("GOOGLETRANSLATE(B4499, ""fr"", ""en"")"),"Disappointed I'm not satisfied with the purchase, but nothing to do with the product that is simply not suitable for baby 2 months and was breastfed, he needed a pacifier with less speed and more like the mother's breast.")</f>
        <v>Disappointed I'm not satisfied with the purchase, but nothing to do with the product that is simply not suitable for baby 2 months and was breastfed, he needed a pacifier with less speed and more like the mother's breast.</v>
      </c>
    </row>
    <row r="4500">
      <c r="A4500" s="1">
        <v>3.0</v>
      </c>
      <c r="B4500" s="1" t="s">
        <v>4447</v>
      </c>
      <c r="C4500" t="str">
        <f>IFERROR(__xludf.DUMMYFUNCTION("GOOGLETRANSLATE(B4500, ""fr"", ""en"")"),"Compliance has Received the moment. neat package, but the box was very damaged bottles. Fortunately they do nothing! If the product conforms to the descriptions. It remains to see how my pepette the love!")</f>
        <v>Compliance has Received the moment. neat package, but the box was very damaged bottles. Fortunately they do nothing! If the product conforms to the descriptions. It remains to see how my pepette the love!</v>
      </c>
    </row>
    <row r="4501">
      <c r="A4501" s="1">
        <v>3.0</v>
      </c>
      <c r="B4501" s="1" t="s">
        <v>4448</v>
      </c>
      <c r="C4501" t="str">
        <f>IFERROR(__xludf.DUMMYFUNCTION("GOOGLETRANSLATE(B4501, ""fr"", ""en"")"),"not bad, practice practice large back pocket. tissue déperle water .well average pensé.Taille is not just a small pouch. is worn on the front aussi.rapport quality fair price")</f>
        <v>not bad, practice practice large back pocket. tissue déperle water .well average pensé.Taille is not just a small pouch. is worn on the front aussi.rapport quality fair price</v>
      </c>
    </row>
    <row r="4502">
      <c r="A4502" s="1">
        <v>4.0</v>
      </c>
      <c r="B4502" s="1" t="s">
        <v>4449</v>
      </c>
      <c r="C4502" t="str">
        <f>IFERROR(__xludf.DUMMYFUNCTION("GOOGLETRANSLATE(B4502, ""fr"", ""en"")"),"Complies Complies, delivery neat, good value. 4 stars and not 5 because the dial is a little too big")</f>
        <v>Complies Complies, delivery neat, good value. 4 stars and not 5 because the dial is a little too big</v>
      </c>
    </row>
    <row r="4503">
      <c r="A4503" s="1">
        <v>4.0</v>
      </c>
      <c r="B4503" s="1" t="s">
        <v>4450</v>
      </c>
      <c r="C4503" t="str">
        <f>IFERROR(__xludf.DUMMYFUNCTION("GOOGLETRANSLATE(B4503, ""fr"", ""en"")"),"The cat ears on the hood too great 👌 Blow of heart of my daughter's ears on the hood on top everyone is a fan 🤩 against by not s expect a reasonable thickness but holds up well to washing")</f>
        <v>The cat ears on the hood too great 👌 Blow of heart of my daughter's ears on the hood on top everyone is a fan 🤩 against by not s expect a reasonable thickness but holds up well to washing</v>
      </c>
    </row>
    <row r="4504">
      <c r="A4504" s="1">
        <v>4.0</v>
      </c>
      <c r="B4504" s="1" t="s">
        <v>4451</v>
      </c>
      <c r="C4504" t="str">
        <f>IFERROR(__xludf.DUMMYFUNCTION("GOOGLETRANSLATE(B4504, ""fr"", ""en"")"),"Nostalgia ... Very good fabric, color and cut of the original, everything is there to return to childhood with this famous army bag")</f>
        <v>Nostalgia ... Very good fabric, color and cut of the original, everything is there to return to childhood with this famous army bag</v>
      </c>
    </row>
    <row r="4505">
      <c r="A4505" s="1">
        <v>4.0</v>
      </c>
      <c r="B4505" s="1" t="s">
        <v>4452</v>
      </c>
      <c r="C4505" t="str">
        <f>IFERROR(__xludf.DUMMYFUNCTION("GOOGLETRANSLATE(B4505, ""fr"", ""en"")"),"Excellent mechanical watch shows purchased there are almost 1 year and I wear almost every day. Good power reserve. Nevertheless, it loses 2 to 3 minutes on a quarter. In addition it requires maintenance in the watch at least once every 3 years ...")</f>
        <v>Excellent mechanical watch shows purchased there are almost 1 year and I wear almost every day. Good power reserve. Nevertheless, it loses 2 to 3 minutes on a quarter. In addition it requires maintenance in the watch at least once every 3 years ...</v>
      </c>
    </row>
    <row r="4506">
      <c r="A4506" s="1">
        <v>5.0</v>
      </c>
      <c r="B4506" s="1" t="s">
        <v>4453</v>
      </c>
      <c r="C4506" t="str">
        <f>IFERROR(__xludf.DUMMYFUNCTION("GOOGLETRANSLATE(B4506, ""fr"", ""en"")"),"Awesome ! Despite a somewhat large size these timberlands are beautiful! They are lighter than the original and seems really nice once made up!")</f>
        <v>Awesome ! Despite a somewhat large size these timberlands are beautiful! They are lighter than the original and seems really nice once made up!</v>
      </c>
    </row>
    <row r="4507">
      <c r="A4507" s="1">
        <v>5.0</v>
      </c>
      <c r="B4507" s="1" t="s">
        <v>4454</v>
      </c>
      <c r="C4507" t="str">
        <f>IFERROR(__xludf.DUMMYFUNCTION("GOOGLETRANSLATE(B4507, ""fr"", ""en"")"),"perfect Hello, I received it quickly, and it's great! Frankly this is the third object I bought Klim brand (PC keyboard, headphones and earphones pc) I am very happy with this brand is the affordable, quality, and it's French). advice do not hesitate !!!")</f>
        <v>perfect Hello, I received it quickly, and it's great! Frankly this is the third object I bought Klim brand (PC keyboard, headphones and earphones pc) I am very happy with this brand is the affordable, quality, and it's French). advice do not hesitate !!!</v>
      </c>
    </row>
    <row r="4508">
      <c r="A4508" s="1">
        <v>5.0</v>
      </c>
      <c r="B4508" s="1" t="s">
        <v>4455</v>
      </c>
      <c r="C4508" t="str">
        <f>IFERROR(__xludf.DUMMYFUNCTION("GOOGLETRANSLATE(B4508, ""fr"", ""en"")"),"Excellent! This microphone is perfect, an entry that has everything a great for me. The quality / price is really great, no complaints. The spider absorbs shock and vibration, and pop filter is just niquel. To recommend with eyes closed !")</f>
        <v>Excellent! This microphone is perfect, an entry that has everything a great for me. The quality / price is really great, no complaints. The spider absorbs shock and vibration, and pop filter is just niquel. To recommend with eyes closed !</v>
      </c>
    </row>
    <row r="4509">
      <c r="A4509" s="1">
        <v>5.0</v>
      </c>
      <c r="B4509" s="1" t="s">
        <v>4456</v>
      </c>
      <c r="C4509" t="str">
        <f>IFERROR(__xludf.DUMMYFUNCTION("GOOGLETRANSLATE(B4509, ""fr"", ""en"")"),"Cheap and effective The cushion can be used on the back, stomach, legs, neck ... Anyway, very versatile. Very easy since there is only one button for both modes. We have time to enjoy a nice massage before the automatic shutdown to allow cooling. The mass"&amp;"age is not too hard, but just to rely more or less on it (use pillows) to vary the power. For now, the article seems solid. To be confirmed over time. In winter, the cat likes the heating function and tries to stick on ... In short, a purchase validated b"&amp;"y the whole family.")</f>
        <v>Cheap and effective The cushion can be used on the back, stomach, legs, neck ... Anyway, very versatile. Very easy since there is only one button for both modes. We have time to enjoy a nice massage before the automatic shutdown to allow cooling. The massage is not too hard, but just to rely more or less on it (use pillows) to vary the power. For now, the article seems solid. To be confirmed over time. In winter, the cat likes the heating function and tries to stick on ... In short, a purchase validated by the whole family.</v>
      </c>
    </row>
    <row r="4510">
      <c r="A4510" s="1">
        <v>5.0</v>
      </c>
      <c r="B4510" s="1" t="s">
        <v>4457</v>
      </c>
      <c r="C4510" t="str">
        <f>IFERROR(__xludf.DUMMYFUNCTION("GOOGLETRANSLATE(B4510, ""fr"", ""en"")"),"beautiful moose product")</f>
        <v>beautiful moose product</v>
      </c>
    </row>
    <row r="4511">
      <c r="A4511" s="1">
        <v>5.0</v>
      </c>
      <c r="B4511" s="1" t="s">
        <v>4458</v>
      </c>
      <c r="C4511" t="str">
        <f>IFERROR(__xludf.DUMMYFUNCTION("GOOGLETRANSLATE(B4511, ""fr"", ""en"")"),"Comfortable Faithful to the model years 80🌞")</f>
        <v>Comfortable Faithful to the model years 80🌞</v>
      </c>
    </row>
    <row r="4512">
      <c r="A4512" s="1">
        <v>5.0</v>
      </c>
      <c r="B4512" s="1" t="s">
        <v>4459</v>
      </c>
      <c r="C4512" t="str">
        <f>IFERROR(__xludf.DUMMYFUNCTION("GOOGLETRANSLATE(B4512, ""fr"", ""en"")"),"No complaints ! Perfect ! Perfect for what I wanted. Super summer shoes, which it cleans very easily. Finally they are very strong, you can do anything with.")</f>
        <v>No complaints ! Perfect ! Perfect for what I wanted. Super summer shoes, which it cleans very easily. Finally they are very strong, you can do anything with.</v>
      </c>
    </row>
    <row r="4513">
      <c r="A4513" s="1">
        <v>5.0</v>
      </c>
      <c r="B4513" s="1" t="s">
        <v>4460</v>
      </c>
      <c r="C4513" t="str">
        <f>IFERROR(__xludf.DUMMYFUNCTION("GOOGLETRANSLATE(B4513, ""fr"", ""en"")"),"Perfect I chose the one size bigger pr able to wear the stroke of stockinets, I could almost have me not to, they carve really perfect bien.colori, inner sole leather pr comfort (and not to stain white pr feet ). AVC delivered two pairs of shoelaces, a co"&amp;"lor of the shoes and contrasting. Nothing to say, I got exactly what I expected.")</f>
        <v>Perfect I chose the one size bigger pr able to wear the stroke of stockinets, I could almost have me not to, they carve really perfect bien.colori, inner sole leather pr comfort (and not to stain white pr feet ). AVC delivered two pairs of shoelaces, a color of the shoes and contrasting. Nothing to say, I got exactly what I expected.</v>
      </c>
    </row>
    <row r="4514">
      <c r="A4514" s="1">
        <v>5.0</v>
      </c>
      <c r="B4514" s="1" t="s">
        <v>4461</v>
      </c>
      <c r="C4514" t="str">
        <f>IFERROR(__xludf.DUMMYFUNCTION("GOOGLETRANSLATE(B4514, ""fr"", ""en"")"),"Super I who sought everywhere these valves. I finally find !!!! Product according to the description")</f>
        <v>Super I who sought everywhere these valves. I finally find !!!! Product according to the description</v>
      </c>
    </row>
    <row r="4515">
      <c r="A4515" s="1">
        <v>5.0</v>
      </c>
      <c r="B4515" s="1" t="s">
        <v>4462</v>
      </c>
      <c r="C4515" t="str">
        <f>IFERROR(__xludf.DUMMYFUNCTION("GOOGLETRANSLATE(B4515, ""fr"", ""en"")"),"A good product Impec")</f>
        <v>A good product Impec</v>
      </c>
    </row>
    <row r="4516">
      <c r="A4516" s="1">
        <v>5.0</v>
      </c>
      <c r="B4516" s="1" t="s">
        <v>4463</v>
      </c>
      <c r="C4516" t="str">
        <f>IFERROR(__xludf.DUMMYFUNCTION("GOOGLETRANSLATE(B4516, ""fr"", ""en"")"),"Good product Súper SAC. Nothing to say except perhaps lack of pockets ...")</f>
        <v>Good product Súper SAC. Nothing to say except perhaps lack of pockets ...</v>
      </c>
    </row>
    <row r="4517">
      <c r="A4517" s="1">
        <v>5.0</v>
      </c>
      <c r="B4517" s="1" t="s">
        <v>4464</v>
      </c>
      <c r="C4517" t="str">
        <f>IFERROR(__xludf.DUMMYFUNCTION("GOOGLETRANSLATE(B4517, ""fr"", ""en"")"),"Shoes at the top carve well, stylish and go with everything. Warm and comfortable, with a pleasant fragrance")</f>
        <v>Shoes at the top carve well, stylish and go with everything. Warm and comfortable, with a pleasant fragrance</v>
      </c>
    </row>
    <row r="4518">
      <c r="A4518" s="1">
        <v>5.0</v>
      </c>
      <c r="B4518" s="1" t="s">
        <v>4465</v>
      </c>
      <c r="C4518" t="str">
        <f>IFERROR(__xludf.DUMMYFUNCTION("GOOGLETRANSLATE(B4518, ""fr"", ""en"")"),"ok good product focus right size")</f>
        <v>ok good product focus right size</v>
      </c>
    </row>
    <row r="4519">
      <c r="A4519" s="1">
        <v>5.0</v>
      </c>
      <c r="B4519" s="1" t="s">
        <v>4466</v>
      </c>
      <c r="C4519" t="str">
        <f>IFERROR(__xludf.DUMMYFUNCTION("GOOGLETRANSLATE(B4519, ""fr"", ""en"")"),"Okay Watch superb. Corresponding to the photo and description!")</f>
        <v>Okay Watch superb. Corresponding to the photo and description!</v>
      </c>
    </row>
    <row r="4520">
      <c r="A4520" s="1">
        <v>5.0</v>
      </c>
      <c r="B4520" s="1" t="s">
        <v>4467</v>
      </c>
      <c r="C4520" t="str">
        <f>IFERROR(__xludf.DUMMYFUNCTION("GOOGLETRANSLATE(B4520, ""fr"", ""en"")"),"Bracelet I received the bracelet, I thank you!")</f>
        <v>Bracelet I received the bracelet, I thank you!</v>
      </c>
    </row>
    <row r="4521">
      <c r="A4521" s="1">
        <v>2.0</v>
      </c>
      <c r="B4521" s="1" t="s">
        <v>4468</v>
      </c>
      <c r="C4521" t="str">
        <f>IFERROR(__xludf.DUMMYFUNCTION("GOOGLETRANSLATE(B4521, ""fr"", ""en"")"),"disappointed by the product I did not like this product because of its quality, the leaves are not static like the ones I used to use, which does not properly maintain multiple elements on the same sheet and suddenly everything gliding, I recommend this o"&amp;"nly for the simple lamination sheet A4 only")</f>
        <v>disappointed by the product I did not like this product because of its quality, the leaves are not static like the ones I used to use, which does not properly maintain multiple elements on the same sheet and suddenly everything gliding, I recommend this only for the simple lamination sheet A4 only</v>
      </c>
    </row>
    <row r="4522">
      <c r="A4522" s="1">
        <v>1.0</v>
      </c>
      <c r="B4522" s="1" t="s">
        <v>4469</v>
      </c>
      <c r="C4522" t="str">
        <f>IFERROR(__xludf.DUMMYFUNCTION("GOOGLETRANSLATE(B4522, ""fr"", ""en"")"),"Really bad quality!!! I wore these sneakers 15 days ago and are already torn on the sides, I am very disappointed ... especially since I have never had any problems with the Amazon products")</f>
        <v>Really bad quality!!! I wore these sneakers 15 days ago and are already torn on the sides, I am very disappointed ... especially since I have never had any problems with the Amazon products</v>
      </c>
    </row>
    <row r="4523">
      <c r="A4523" s="1">
        <v>1.0</v>
      </c>
      <c r="B4523" s="1" t="s">
        <v>4470</v>
      </c>
      <c r="C4523" t="str">
        <f>IFERROR(__xludf.DUMMYFUNCTION("GOOGLETRANSLATE(B4523, ""fr"", ""en"")"),"It is too much too big for un.39 impossible to exchange the seller does not respond for at moins.10 days, yes I am your top because it is really beautiful and I do not just wear them.")</f>
        <v>It is too much too big for un.39 impossible to exchange the seller does not respond for at moins.10 days, yes I am your top because it is really beautiful and I do not just wear them.</v>
      </c>
    </row>
    <row r="4524">
      <c r="A4524" s="1">
        <v>3.0</v>
      </c>
      <c r="B4524" s="1" t="s">
        <v>4471</v>
      </c>
      <c r="C4524" t="str">
        <f>IFERROR(__xludf.DUMMYFUNCTION("GOOGLETRANSLATE(B4524, ""fr"", ""en"")"),"magic eraser I would have thought that they would have held longer at the end of a cleaning they begin to soften this damage")</f>
        <v>magic eraser I would have thought that they would have held longer at the end of a cleaning they begin to soften this damage</v>
      </c>
    </row>
    <row r="4525">
      <c r="A4525" s="1">
        <v>3.0</v>
      </c>
      <c r="B4525" s="1" t="s">
        <v>4472</v>
      </c>
      <c r="C4525" t="str">
        <f>IFERROR(__xludf.DUMMYFUNCTION("GOOGLETRANSLATE(B4525, ""fr"", ""en"")"),"A little weakling as her even with the additional power I expected sth more powerful, especially with the additional power. There must be ways to improve it, but I prefer the blue Yeti clearly bought on Amazon, which is impeccable!")</f>
        <v>A little weakling as her even with the additional power I expected sth more powerful, especially with the additional power. There must be ways to improve it, but I prefer the blue Yeti clearly bought on Amazon, which is impeccable!</v>
      </c>
    </row>
    <row r="4526">
      <c r="A4526" s="1">
        <v>4.0</v>
      </c>
      <c r="B4526" s="1" t="s">
        <v>4473</v>
      </c>
      <c r="C4526" t="str">
        <f>IFERROR(__xludf.DUMMYFUNCTION("GOOGLETRANSLATE(B4526, ""fr"", ""en"")"),"Good product small latencies anyway, but it's still reasonable for the price, I so I used valid")</f>
        <v>Good product small latencies anyway, but it's still reasonable for the price, I so I used valid</v>
      </c>
    </row>
    <row r="4527">
      <c r="A4527" s="1">
        <v>4.0</v>
      </c>
      <c r="B4527" s="1" t="s">
        <v>4474</v>
      </c>
      <c r="C4527" t="str">
        <f>IFERROR(__xludf.DUMMYFUNCTION("GOOGLETRANSLATE(B4527, ""fr"", ""en"")"),"ideal spring product was produced and adapted for the summer, it will be well in the area go walking and running, even by bicycle, you do not sweat in")</f>
        <v>ideal spring product was produced and adapted for the summer, it will be well in the area go walking and running, even by bicycle, you do not sweat in</v>
      </c>
    </row>
    <row r="4528">
      <c r="A4528" s="1">
        <v>4.0</v>
      </c>
      <c r="B4528" s="1" t="s">
        <v>1547</v>
      </c>
      <c r="C4528" t="str">
        <f>IFERROR(__xludf.DUMMYFUNCTION("GOOGLETRANSLATE(B4528, ""fr"", ""en"")"),"Ras Ras")</f>
        <v>Ras Ras</v>
      </c>
    </row>
    <row r="4529">
      <c r="A4529" s="1">
        <v>4.0</v>
      </c>
      <c r="B4529" s="1" t="s">
        <v>4475</v>
      </c>
      <c r="C4529" t="str">
        <f>IFERROR(__xludf.DUMMYFUNCTION("GOOGLETRANSLATE(B4529, ""fr"", ""en"")"),"Perfect. Very well.")</f>
        <v>Perfect. Very well.</v>
      </c>
    </row>
    <row r="4530">
      <c r="A4530" s="1">
        <v>5.0</v>
      </c>
      <c r="B4530" s="1" t="s">
        <v>4476</v>
      </c>
      <c r="C4530" t="str">
        <f>IFERROR(__xludf.DUMMYFUNCTION("GOOGLETRANSLATE(B4530, ""fr"", ""en"")"),"Perfect Perfect for my baby 13 months can finally drink their single bottle. Certainly they put everywhere, but they are proud to be autonomous, and we parents can drink our coffee at the same time they (not the see coffee).")</f>
        <v>Perfect Perfect for my baby 13 months can finally drink their single bottle. Certainly they put everywhere, but they are proud to be autonomous, and we parents can drink our coffee at the same time they (not the see coffee).</v>
      </c>
    </row>
    <row r="4531">
      <c r="A4531" s="1">
        <v>5.0</v>
      </c>
      <c r="B4531" s="1" t="s">
        <v>4477</v>
      </c>
      <c r="C4531" t="str">
        <f>IFERROR(__xludf.DUMMYFUNCTION("GOOGLETRANSLATE(B4531, ""fr"", ""en"")"),"good very comfortable product")</f>
        <v>good very comfortable product</v>
      </c>
    </row>
    <row r="4532">
      <c r="A4532" s="1">
        <v>5.0</v>
      </c>
      <c r="B4532" s="1" t="s">
        <v>4478</v>
      </c>
      <c r="C4532" t="str">
        <f>IFERROR(__xludf.DUMMYFUNCTION("GOOGLETRANSLATE(B4532, ""fr"", ""en"")"),"I love I saw that there is a volume 2 I can not wait to buy. I took for all the little girls I know in different languages. This book is fantastic !!")</f>
        <v>I love I saw that there is a volume 2 I can not wait to buy. I took for all the little girls I know in different languages. This book is fantastic !!</v>
      </c>
    </row>
    <row r="4533">
      <c r="A4533" s="1">
        <v>5.0</v>
      </c>
      <c r="B4533" s="1" t="s">
        <v>4479</v>
      </c>
      <c r="C4533" t="str">
        <f>IFERROR(__xludf.DUMMYFUNCTION("GOOGLETRANSLATE(B4533, ""fr"", ""en"")"),"Original earphones Very good headphones, similar to the original ones that I already had. Delivered in a small box plastic storage Samsung. Delivery a bit long because they come directly from China. There has not against small caps Spare sizes.")</f>
        <v>Original earphones Very good headphones, similar to the original ones that I already had. Delivered in a small box plastic storage Samsung. Delivery a bit long because they come directly from China. There has not against small caps Spare sizes.</v>
      </c>
    </row>
    <row r="4534">
      <c r="A4534" s="1">
        <v>5.0</v>
      </c>
      <c r="B4534" s="1" t="s">
        <v>4480</v>
      </c>
      <c r="C4534" t="str">
        <f>IFERROR(__xludf.DUMMYFUNCTION("GOOGLETRANSLATE(B4534, ""fr"", ""en"")"),"Highly recommend I was looking for an adjustable temperature kettle for my thé.je am satisfied with what she produit.certe beep a little good but nothing to wake everyone either. Just put the water it s stop once the temperature attent c is top and if we "&amp;"let it switches to holding temperature and frankly nothing to dire.pour hot drinks c is idéal.j was due to septic beep but it's not huge either. I highly recommend more level price and function c is a bargain.")</f>
        <v>Highly recommend I was looking for an adjustable temperature kettle for my thé.je am satisfied with what she produit.certe beep a little good but nothing to wake everyone either. Just put the water it s stop once the temperature attent c is top and if we let it switches to holding temperature and frankly nothing to dire.pour hot drinks c is idéal.j was due to septic beep but it's not huge either. I highly recommend more level price and function c is a bargain.</v>
      </c>
    </row>
    <row r="4535">
      <c r="A4535" s="1">
        <v>5.0</v>
      </c>
      <c r="B4535" s="1" t="s">
        <v>4481</v>
      </c>
      <c r="C4535" t="str">
        <f>IFERROR(__xludf.DUMMYFUNCTION("GOOGLETRANSLATE(B4535, ""fr"", ""en"")"),"perfect accordance with the description headphones strictly identical to those lost it's perfect !!")</f>
        <v>perfect accordance with the description headphones strictly identical to those lost it's perfect !!</v>
      </c>
    </row>
    <row r="4536">
      <c r="A4536" s="1">
        <v>5.0</v>
      </c>
      <c r="B4536" s="1" t="s">
        <v>4482</v>
      </c>
      <c r="C4536" t="str">
        <f>IFERROR(__xludf.DUMMYFUNCTION("GOOGLETRANSLATE(B4536, ""fr"", ""en"")"),"Brilliant I'm so glad I bought fanny pack. This is the ideal place to keep my essential for travel and occasional walks. It looks good and feels comfortable as a shoulder bag. I will definitely recommend. It was also shipped quickly and packed adequately.")</f>
        <v>Brilliant I'm so glad I bought fanny pack. This is the ideal place to keep my essential for travel and occasional walks. It looks good and feels comfortable as a shoulder bag. I will definitely recommend. It was also shipped quickly and packed adequately.</v>
      </c>
    </row>
    <row r="4537">
      <c r="A4537" s="1">
        <v>5.0</v>
      </c>
      <c r="B4537" s="1" t="s">
        <v>4483</v>
      </c>
      <c r="C4537" t="str">
        <f>IFERROR(__xludf.DUMMYFUNCTION("GOOGLETRANSLATE(B4537, ""fr"", ""en"")"),"Great! I love it!")</f>
        <v>Great! I love it!</v>
      </c>
    </row>
    <row r="4538">
      <c r="A4538" s="1">
        <v>5.0</v>
      </c>
      <c r="B4538" s="1" t="s">
        <v>4484</v>
      </c>
      <c r="C4538" t="str">
        <f>IFERROR(__xludf.DUMMYFUNCTION("GOOGLETRANSLATE(B4538, ""fr"", ""en"")"),"Pretty Puma sneakers I test these sneakers in size 37.5. In fact, they perfectly match my size 38. These shoes are beautiful, very feminine, white, very delicately highlighted with pink and gold. The closure, lace is original, with elongated eyelets of me"&amp;"tal pink gold. The laces are wide and appear resistant; they are braided. But we also have a pair of satin laces (which will add elegance and originality). Eventually these lovely shoes will not be used as sports shoes, but stylish fashion accessory. Furt"&amp;"hermore, they are comfortable. Again they carve great.")</f>
        <v>Pretty Puma sneakers I test these sneakers in size 37.5. In fact, they perfectly match my size 38. These shoes are beautiful, very feminine, white, very delicately highlighted with pink and gold. The closure, lace is original, with elongated eyelets of metal pink gold. The laces are wide and appear resistant; they are braided. But we also have a pair of satin laces (which will add elegance and originality). Eventually these lovely shoes will not be used as sports shoes, but stylish fashion accessory. Furthermore, they are comfortable. Again they carve great.</v>
      </c>
    </row>
    <row r="4539">
      <c r="A4539" s="1">
        <v>5.0</v>
      </c>
      <c r="B4539" s="1" t="s">
        <v>4485</v>
      </c>
      <c r="C4539" t="str">
        <f>IFERROR(__xludf.DUMMYFUNCTION("GOOGLETRANSLATE(B4539, ""fr"", ""en"")"),"Diffuser imitation candle Beautiful diffuser imitation sparkling candle as true. It is original in its design and the quality is there. It can serve as many essential oil diffuser that assist lamp. I do not regret my purchase. Delivered quickly.")</f>
        <v>Diffuser imitation candle Beautiful diffuser imitation sparkling candle as true. It is original in its design and the quality is there. It can serve as many essential oil diffuser that assist lamp. I do not regret my purchase. Delivered quickly.</v>
      </c>
    </row>
    <row r="4540">
      <c r="A4540" s="1">
        <v>5.0</v>
      </c>
      <c r="B4540" s="1" t="s">
        <v>4486</v>
      </c>
      <c r="C4540" t="str">
        <f>IFERROR(__xludf.DUMMYFUNCTION("GOOGLETRANSLATE(B4540, ""fr"", ""en"")"),"Super cute cougar From what! Awesome. The color is much more beautiful in real life.")</f>
        <v>Super cute cougar From what! Awesome. The color is much more beautiful in real life.</v>
      </c>
    </row>
    <row r="4541">
      <c r="A4541" s="1">
        <v>5.0</v>
      </c>
      <c r="B4541" s="1" t="s">
        <v>4487</v>
      </c>
      <c r="C4541" t="str">
        <f>IFERROR(__xludf.DUMMYFUNCTION("GOOGLETRANSLATE(B4541, ""fr"", ""en"")"),"Beautiful and elegant to buy a small gift to my mom, she was delighted by this bracelet! The colors really give much in real life, it seems resistant, the materials give confidence It is a beautiful object for a gift, think about it for Christmas;)")</f>
        <v>Beautiful and elegant to buy a small gift to my mom, she was delighted by this bracelet! The colors really give much in real life, it seems resistant, the materials give confidence It is a beautiful object for a gift, think about it for Christmas;)</v>
      </c>
    </row>
    <row r="4542">
      <c r="A4542" s="1">
        <v>5.0</v>
      </c>
      <c r="B4542" s="1" t="s">
        <v>4488</v>
      </c>
      <c r="C4542" t="str">
        <f>IFERROR(__xludf.DUMMYFUNCTION("GOOGLETRANSLATE(B4542, ""fr"", ""en"")"),"Very good quality for its price Noise reduction works well except with certain frequencies (in a train, you hardly hear over the road noise but you hear the hiss of the inverter) but I think the problem is the same with all such devices, they can not coun"&amp;"ter all frequencies ... sound like very much, it is hot, low purr without being too aggressive, the midrange and treble are clear. I therefore recommend to its value. I just wish a on / off switch as it must wait until the headset goes into standby.")</f>
        <v>Very good quality for its price Noise reduction works well except with certain frequencies (in a train, you hardly hear over the road noise but you hear the hiss of the inverter) but I think the problem is the same with all such devices, they can not counter all frequencies ... sound like very much, it is hot, low purr without being too aggressive, the midrange and treble are clear. I therefore recommend to its value. I just wish a on / off switch as it must wait until the headset goes into standby.</v>
      </c>
    </row>
    <row r="4543">
      <c r="A4543" s="1">
        <v>5.0</v>
      </c>
      <c r="B4543" s="1" t="s">
        <v>4489</v>
      </c>
      <c r="C4543" t="str">
        <f>IFERROR(__xludf.DUMMYFUNCTION("GOOGLETRANSLATE(B4543, ""fr"", ""en"")"),"Cover Fabric sofa seemed a little late, but ultimately very resistant, I have two small children 5 climbing above 2 teenagers of 17 and 16 who bask above and 5 cats squatting regularly, the tissue does not move, even washing. Very good")</f>
        <v>Cover Fabric sofa seemed a little late, but ultimately very resistant, I have two small children 5 climbing above 2 teenagers of 17 and 16 who bask above and 5 cats squatting regularly, the tissue does not move, even washing. Very good</v>
      </c>
    </row>
    <row r="4544">
      <c r="A4544" s="1">
        <v>5.0</v>
      </c>
      <c r="B4544" s="1" t="s">
        <v>4490</v>
      </c>
      <c r="C4544" t="str">
        <f>IFERROR(__xludf.DUMMYFUNCTION("GOOGLETRANSLATE(B4544, ""fr"", ""en"")"),"Perfect for two mugs Very happy with my purchase. It takes up little space on the worktop and quickly heats. nice design")</f>
        <v>Perfect for two mugs Very happy with my purchase. It takes up little space on the worktop and quickly heats. nice design</v>
      </c>
    </row>
    <row r="4545">
      <c r="A4545" s="1">
        <v>5.0</v>
      </c>
      <c r="B4545" s="1" t="s">
        <v>4491</v>
      </c>
      <c r="C4545" t="str">
        <f>IFERROR(__xludf.DUMMYFUNCTION("GOOGLETRANSLATE(B4545, ""fr"", ""en"")"),"The electric massage This is a nice massage device to massage the head. Operation is simple, it is light and easy to handle. Good value, Nice to purchase.")</f>
        <v>The electric massage This is a nice massage device to massage the head. Operation is simple, it is light and easy to handle. Good value, Nice to purchase.</v>
      </c>
    </row>
    <row r="4546">
      <c r="A4546" s="1">
        <v>2.0</v>
      </c>
      <c r="B4546" s="1" t="s">
        <v>4492</v>
      </c>
      <c r="C4546" t="str">
        <f>IFERROR(__xludf.DUMMYFUNCTION("GOOGLETRANSLATE(B4546, ""fr"", ""en"")"),"nil nil")</f>
        <v>nil nil</v>
      </c>
    </row>
    <row r="4547">
      <c r="A4547" s="1">
        <v>1.0</v>
      </c>
      <c r="B4547" s="1" t="s">
        <v>4493</v>
      </c>
      <c r="C4547" t="str">
        <f>IFERROR(__xludf.DUMMYFUNCTION("GOOGLETRANSLATE(B4547, ""fr"", ""en"")"),"Burn pouring (steam) Nice design but I have enough to burn me (bad training) ....")</f>
        <v>Burn pouring (steam) Nice design but I have enough to burn me (bad training) ....</v>
      </c>
    </row>
    <row r="4548">
      <c r="A4548" s="1">
        <v>1.0</v>
      </c>
      <c r="B4548" s="1" t="s">
        <v>4494</v>
      </c>
      <c r="C4548" t="str">
        <f>IFERROR(__xludf.DUMMYFUNCTION("GOOGLETRANSLATE(B4548, ""fr"", ""en"")"),"Bad A fragrance truly sickening")</f>
        <v>Bad A fragrance truly sickening</v>
      </c>
    </row>
    <row r="4549">
      <c r="A4549" s="1">
        <v>3.0</v>
      </c>
      <c r="B4549" s="1" t="s">
        <v>4495</v>
      </c>
      <c r="C4549" t="str">
        <f>IFERROR(__xludf.DUMMYFUNCTION("GOOGLETRANSLATE(B4549, ""fr"", ""en"")"),"Loss of Grosse loss of")</f>
        <v>Loss of Grosse loss of</v>
      </c>
    </row>
    <row r="4550">
      <c r="A4550" s="1">
        <v>4.0</v>
      </c>
      <c r="B4550" s="1" t="s">
        <v>4496</v>
      </c>
      <c r="C4550" t="str">
        <f>IFERROR(__xludf.DUMMYFUNCTION("GOOGLETRANSLATE(B4550, ""fr"", ""en"")"),"Perfect but ... The more this Bola pregnancy is the pen that comes with it. It gives a touch of originality. But suddenly, the ringing of the bell is thereby hidden. We hear more the clash between Bola and pen, so I ended up leaving only the bell that pro"&amp;"duces a light and pleasant sound. The chain is long enough for the bola comes to the navel. Perfect.")</f>
        <v>Perfect but ... The more this Bola pregnancy is the pen that comes with it. It gives a touch of originality. But suddenly, the ringing of the bell is thereby hidden. We hear more the clash between Bola and pen, so I ended up leaving only the bell that produces a light and pleasant sound. The chain is long enough for the bola comes to the navel. Perfect.</v>
      </c>
    </row>
    <row r="4551">
      <c r="A4551" s="1">
        <v>4.0</v>
      </c>
      <c r="B4551" s="1" t="s">
        <v>4497</v>
      </c>
      <c r="C4551" t="str">
        <f>IFERROR(__xludf.DUMMYFUNCTION("GOOGLETRANSLATE(B4551, ""fr"", ""en"")"),"Slippers Slippers open nice and comfortable. Fit the description, purchase satisfactory. New but seem good.")</f>
        <v>Slippers Slippers open nice and comfortable. Fit the description, purchase satisfactory. New but seem good.</v>
      </c>
    </row>
    <row r="4552">
      <c r="A4552" s="1">
        <v>4.0</v>
      </c>
      <c r="B4552" s="1" t="s">
        <v>4498</v>
      </c>
      <c r="C4552" t="str">
        <f>IFERROR(__xludf.DUMMYFUNCTION("GOOGLETRANSLATE(B4552, ""fr"", ""en"")"),"feet for avoiding blows strong it s feet are very pretty but I have a wide foot and kick hard so I had to return")</f>
        <v>feet for avoiding blows strong it s feet are very pretty but I have a wide foot and kick hard so I had to return</v>
      </c>
    </row>
    <row r="4553">
      <c r="A4553" s="1">
        <v>4.0</v>
      </c>
      <c r="B4553" s="1" t="s">
        <v>4499</v>
      </c>
      <c r="C4553" t="str">
        <f>IFERROR(__xludf.DUMMYFUNCTION("GOOGLETRANSLATE(B4553, ""fr"", ""en"")"),"Although original cartridge, does his job, lasts long. high price but this is the price for a big cartridge so no regrets")</f>
        <v>Although original cartridge, does his job, lasts long. high price but this is the price for a big cartridge so no regrets</v>
      </c>
    </row>
    <row r="4554">
      <c r="A4554" s="1">
        <v>4.0</v>
      </c>
      <c r="B4554" s="1" t="s">
        <v>4500</v>
      </c>
      <c r="C4554" t="str">
        <f>IFERROR(__xludf.DUMMYFUNCTION("GOOGLETRANSLATE(B4554, ""fr"", ""en"")"),"Very good These are fairly thick cardboard folders. Nothing special to say ... without worries suitable for classification of A4 paper.")</f>
        <v>Very good These are fairly thick cardboard folders. Nothing special to say ... without worries suitable for classification of A4 paper.</v>
      </c>
    </row>
    <row r="4555">
      <c r="A4555" s="1">
        <v>5.0</v>
      </c>
      <c r="B4555" s="1" t="s">
        <v>4501</v>
      </c>
      <c r="C4555" t="str">
        <f>IFERROR(__xludf.DUMMYFUNCTION("GOOGLETRANSLATE(B4555, ""fr"", ""en"")"),"Shoes sneakers Shoes lovely and very comfortable. Has nothing to envy of big brands. Very pleased with the choice and even the color is great. recommended :)")</f>
        <v>Shoes sneakers Shoes lovely and very comfortable. Has nothing to envy of big brands. Very pleased with the choice and even the color is great. recommended :)</v>
      </c>
    </row>
    <row r="4556">
      <c r="A4556" s="1">
        <v>5.0</v>
      </c>
      <c r="B4556" s="1" t="s">
        <v>4502</v>
      </c>
      <c r="C4556" t="str">
        <f>IFERROR(__xludf.DUMMYFUNCTION("GOOGLETRANSLATE(B4556, ""fr"", ""en"")"),"Product not found ds stores you think ????")</f>
        <v>Product not found ds stores you think ????</v>
      </c>
    </row>
    <row r="4557">
      <c r="A4557" s="1">
        <v>5.0</v>
      </c>
      <c r="B4557" s="1" t="s">
        <v>4503</v>
      </c>
      <c r="C4557" t="str">
        <f>IFERROR(__xludf.DUMMYFUNCTION("GOOGLETRANSLATE(B4557, ""fr"", ""en"")"),"perfect no complaints, top section comes with several smaller mounting strips in case it breaks, leather nickel seems perfectly fits the watch great product.")</f>
        <v>perfect no complaints, top section comes with several smaller mounting strips in case it breaks, leather nickel seems perfectly fits the watch great product.</v>
      </c>
    </row>
    <row r="4558">
      <c r="A4558" s="1">
        <v>5.0</v>
      </c>
      <c r="B4558" s="1" t="s">
        <v>4504</v>
      </c>
      <c r="C4558" t="str">
        <f>IFERROR(__xludf.DUMMYFUNCTION("GOOGLETRANSLATE(B4558, ""fr"", ""en"")"),"Excellent Fast delivery, go to my sister on the weekends, bring it to him in the past! There is no noise when we boil water, and it's very fast. The items are the same as described, very satisfied!")</f>
        <v>Excellent Fast delivery, go to my sister on the weekends, bring it to him in the past! There is no noise when we boil water, and it's very fast. The items are the same as described, very satisfied!</v>
      </c>
    </row>
    <row r="4559">
      <c r="A4559" s="1">
        <v>5.0</v>
      </c>
      <c r="B4559" s="1" t="s">
        <v>4505</v>
      </c>
      <c r="C4559" t="str">
        <f>IFERROR(__xludf.DUMMYFUNCTION("GOOGLETRANSLATE(B4559, ""fr"", ""en"")"),"Very satisfied They are exactly like the pictures. Very comfortable to wear, light. Very good value. I walk really well and long.")</f>
        <v>Very satisfied They are exactly like the pictures. Very comfortable to wear, light. Very good value. I walk really well and long.</v>
      </c>
    </row>
    <row r="4560">
      <c r="A4560" s="1">
        <v>5.0</v>
      </c>
      <c r="B4560" s="1" t="s">
        <v>4506</v>
      </c>
      <c r="C4560" t="str">
        <f>IFERROR(__xludf.DUMMYFUNCTION("GOOGLETRANSLATE(B4560, ""fr"", ""en"")"),"Satisfied Pink look is very pretty and fashionable, the daughter of my friend like him, very suitable for girls.")</f>
        <v>Satisfied Pink look is very pretty and fashionable, the daughter of my friend like him, very suitable for girls.</v>
      </c>
    </row>
    <row r="4561">
      <c r="A4561" s="1">
        <v>5.0</v>
      </c>
      <c r="B4561" s="1" t="s">
        <v>4507</v>
      </c>
      <c r="C4561" t="str">
        <f>IFERROR(__xludf.DUMMYFUNCTION("GOOGLETRANSLATE(B4561, ""fr"", ""en"")"),"Perfect for the price I have a heavy micro overall (bird um1) and he adapts and fits perfectly. Manageable overall and very stable.")</f>
        <v>Perfect for the price I have a heavy micro overall (bird um1) and he adapts and fits perfectly. Manageable overall and very stable.</v>
      </c>
    </row>
    <row r="4562">
      <c r="A4562" s="1">
        <v>5.0</v>
      </c>
      <c r="B4562" s="1" t="s">
        <v>4508</v>
      </c>
      <c r="C4562" t="str">
        <f>IFERROR(__xludf.DUMMYFUNCTION("GOOGLETRANSLATE(B4562, ""fr"", ""en"")"),"Super Ideal for cleaning bottles (any brand of baby bottles)")</f>
        <v>Super Ideal for cleaning bottles (any brand of baby bottles)</v>
      </c>
    </row>
    <row r="4563">
      <c r="A4563" s="1">
        <v>5.0</v>
      </c>
      <c r="B4563" s="1" t="s">
        <v>4509</v>
      </c>
      <c r="C4563" t="str">
        <f>IFERROR(__xludf.DUMMYFUNCTION("GOOGLETRANSLATE(B4563, ""fr"", ""en"")"),"Top.Rien wrong cartridge very good. I recommend.")</f>
        <v>Top.Rien wrong cartridge very good. I recommend.</v>
      </c>
    </row>
    <row r="4564">
      <c r="A4564" s="1">
        <v>5.0</v>
      </c>
      <c r="B4564" s="1" t="s">
        <v>4510</v>
      </c>
      <c r="C4564" t="str">
        <f>IFERROR(__xludf.DUMMYFUNCTION("GOOGLETRANSLATE(B4564, ""fr"", ""en"")"),"practical for a small price quickly andwater heater is hot")</f>
        <v>practical for a small price quickly andwater heater is hot</v>
      </c>
    </row>
    <row r="4565">
      <c r="A4565" s="1">
        <v>5.0</v>
      </c>
      <c r="B4565" s="1" t="s">
        <v>4511</v>
      </c>
      <c r="C4565" t="str">
        <f>IFERROR(__xludf.DUMMYFUNCTION("GOOGLETRANSLATE(B4565, ""fr"", ""en"")"),"comfort! My son finally adopted them, in all its forms these socks have all the qualities for a demanding teen.")</f>
        <v>comfort! My son finally adopted them, in all its forms these socks have all the qualities for a demanding teen.</v>
      </c>
    </row>
    <row r="4566">
      <c r="A4566" s="1">
        <v>5.0</v>
      </c>
      <c r="B4566" s="1" t="s">
        <v>4512</v>
      </c>
      <c r="C4566" t="str">
        <f>IFERROR(__xludf.DUMMYFUNCTION("GOOGLETRANSLATE(B4566, ""fr"", ""en"")"),"Very good shoes very nice and comfortable and sends fast")</f>
        <v>Very good shoes very nice and comfortable and sends fast</v>
      </c>
    </row>
    <row r="4567">
      <c r="A4567" s="1">
        <v>5.0</v>
      </c>
      <c r="B4567" s="1" t="s">
        <v>4513</v>
      </c>
      <c r="C4567" t="str">
        <f>IFERROR(__xludf.DUMMYFUNCTION("GOOGLETRANSLATE(B4567, ""fr"", ""en"")"),"I love the color I am used to buy bensimons and I must admit I really love this color. Level size, I always take the one I usually take and I had no surprises.")</f>
        <v>I love the color I am used to buy bensimons and I must admit I really love this color. Level size, I always take the one I usually take and I had no surprises.</v>
      </c>
    </row>
    <row r="4568">
      <c r="A4568" s="1">
        <v>5.0</v>
      </c>
      <c r="B4568" s="1" t="s">
        <v>4514</v>
      </c>
      <c r="C4568" t="str">
        <f>IFERROR(__xludf.DUMMYFUNCTION("GOOGLETRANSLATE(B4568, ""fr"", ""en"")"),"What a very good buy happiness massaging cushion, I have pain in the neck and back and massaging with the cushion is really nice to relieve tension, I also tested the massage while driving, it really is a + after a busy day!")</f>
        <v>What a very good buy happiness massaging cushion, I have pain in the neck and back and massaging with the cushion is really nice to relieve tension, I also tested the massage while driving, it really is a + after a busy day!</v>
      </c>
    </row>
    <row r="4569">
      <c r="A4569" s="1">
        <v>5.0</v>
      </c>
      <c r="B4569" s="1" t="s">
        <v>4515</v>
      </c>
      <c r="C4569" t="str">
        <f>IFERROR(__xludf.DUMMYFUNCTION("GOOGLETRANSLATE(B4569, ""fr"", ""en"")"),"nice little bracelet. Well suited to the wrist, not too heavy I enjoyed the wire and pearl more. Very good idea")</f>
        <v>nice little bracelet. Well suited to the wrist, not too heavy I enjoyed the wire and pearl more. Very good idea</v>
      </c>
    </row>
    <row r="4570">
      <c r="A4570" s="1">
        <v>2.0</v>
      </c>
      <c r="B4570" s="1" t="s">
        <v>4516</v>
      </c>
      <c r="C4570" t="str">
        <f>IFERROR(__xludf.DUMMYFUNCTION("GOOGLETRANSLATE(B4570, ""fr"", ""en"")"),"Photos of the product does not correspond to the proceeds of goods presentation The pictures do not correspond to the product received. In fact I ordered a pair of solid black clapper as shown in the photos and I received them black and white. After verif"&amp;"ication, it appears only the 6 presentation of photos shows a black and white pair while all other photos show a fully black pair. On the other hand, took a size above the usual size, I found the top tap dancing very close and tight. To see over time if i"&amp;"t opens. Do not hesitate to take one size bigger as stated in other reviews.")</f>
        <v>Photos of the product does not correspond to the proceeds of goods presentation The pictures do not correspond to the product received. In fact I ordered a pair of solid black clapper as shown in the photos and I received them black and white. After verification, it appears only the 6 presentation of photos shows a black and white pair while all other photos show a fully black pair. On the other hand, took a size above the usual size, I found the top tap dancing very close and tight. To see over time if it opens. Do not hesitate to take one size bigger as stated in other reviews.</v>
      </c>
    </row>
    <row r="4571">
      <c r="A4571" s="1">
        <v>1.0</v>
      </c>
      <c r="B4571" s="1" t="s">
        <v>4517</v>
      </c>
      <c r="C4571" t="str">
        <f>IFERROR(__xludf.DUMMYFUNCTION("GOOGLETRANSLATE(B4571, ""fr"", ""en"")"),"Check your cartridges .... I bought this reference precaution in April. I wanted to install them today and they are refused by the printer .In fact, the cartridges are 550/551, not 570 / 571.Le external size is identical. Obviously I had not checked at re"&amp;"ception and discarded packaging and documentation. 40 € for lost! Very disappointed (first) of the Amazon service. The moral imperative to check the content reception of your order. Enjoy my misadventure!")</f>
        <v>Check your cartridges .... I bought this reference precaution in April. I wanted to install them today and they are refused by the printer .In fact, the cartridges are 550/551, not 570 / 571.Le external size is identical. Obviously I had not checked at reception and discarded packaging and documentation. 40 € for lost! Very disappointed (first) of the Amazon service. The moral imperative to check the content reception of your order. Enjoy my misadventure!</v>
      </c>
    </row>
    <row r="4572">
      <c r="A4572" s="1">
        <v>3.0</v>
      </c>
      <c r="B4572" s="1" t="s">
        <v>4518</v>
      </c>
      <c r="C4572" t="str">
        <f>IFERROR(__xludf.DUMMYFUNCTION("GOOGLETRANSLATE(B4572, ""fr"", ""en"")"),"A little short, but comfortable a little disappointed with the high bit élatiquée size, I find the size just a little length. Besides, comfort, material very well.")</f>
        <v>A little short, but comfortable a little disappointed with the high bit élatiquée size, I find the size just a little length. Besides, comfort, material very well.</v>
      </c>
    </row>
    <row r="4573">
      <c r="A4573" s="1">
        <v>3.0</v>
      </c>
      <c r="B4573" s="1" t="s">
        <v>4519</v>
      </c>
      <c r="C4573" t="str">
        <f>IFERROR(__xludf.DUMMYFUNCTION("GOOGLETRANSLATE(B4573, ""fr"", ""en"")"),"Insoles not compensated if the size is good but the sole curve is not in line, obliged to add an insole for a regularity of the curve")</f>
        <v>Insoles not compensated if the size is good but the sole curve is not in line, obliged to add an insole for a regularity of the curve</v>
      </c>
    </row>
    <row r="4574">
      <c r="A4574" s="1">
        <v>4.0</v>
      </c>
      <c r="B4574" s="1" t="s">
        <v>4520</v>
      </c>
      <c r="C4574" t="str">
        <f>IFERROR(__xludf.DUMMYFUNCTION("GOOGLETRANSLATE(B4574, ""fr"", ""en"")"),"LED desk lamp Cool design, variable temperature and intensity which adapts the light according to its needs. A star removed because for LED I find it very hot after a few minutes. Fast delivery and careful.")</f>
        <v>LED desk lamp Cool design, variable temperature and intensity which adapts the light according to its needs. A star removed because for LED I find it very hot after a few minutes. Fast delivery and careful.</v>
      </c>
    </row>
    <row r="4575">
      <c r="A4575" s="1">
        <v>4.0</v>
      </c>
      <c r="B4575" s="1" t="s">
        <v>4521</v>
      </c>
      <c r="C4575" t="str">
        <f>IFERROR(__xludf.DUMMYFUNCTION("GOOGLETRANSLATE(B4575, ""fr"", ""en"")"),"bought a gift for gift which was appreciated by the person who received it. sympath some experience to do to pass the time and s' fun")</f>
        <v>bought a gift for gift which was appreciated by the person who received it. sympath some experience to do to pass the time and s' fun</v>
      </c>
    </row>
    <row r="4576">
      <c r="A4576" s="1">
        <v>4.0</v>
      </c>
      <c r="B4576" s="1" t="s">
        <v>4522</v>
      </c>
      <c r="C4576" t="str">
        <f>IFERROR(__xludf.DUMMYFUNCTION("GOOGLETRANSLATE(B4576, ""fr"", ""en"")"),"Good product ! The size is a bit small, I advise you to take one size bigger than yours. If the material is comfortable and enjoyable. I recommend this product, and I think the resume in a different color. I just found the length of the string before a bi"&amp;"t long. In summary, I do not regret my purchase.")</f>
        <v>Good product ! The size is a bit small, I advise you to take one size bigger than yours. If the material is comfortable and enjoyable. I recommend this product, and I think the resume in a different color. I just found the length of the string before a bit long. In summary, I do not regret my purchase.</v>
      </c>
    </row>
    <row r="4577">
      <c r="A4577" s="1">
        <v>4.0</v>
      </c>
      <c r="B4577" s="1" t="s">
        <v>4523</v>
      </c>
      <c r="C4577" t="str">
        <f>IFERROR(__xludf.DUMMYFUNCTION("GOOGLETRANSLATE(B4577, ""fr"", ""en"")"),"Classic Ai had to return 41 because shoes too narrow. Too bad it is available in 42 more!")</f>
        <v>Classic Ai had to return 41 because shoes too narrow. Too bad it is available in 42 more!</v>
      </c>
    </row>
    <row r="4578">
      <c r="A4578" s="1">
        <v>5.0</v>
      </c>
      <c r="B4578" s="1" t="s">
        <v>4524</v>
      </c>
      <c r="C4578" t="str">
        <f>IFERROR(__xludf.DUMMYFUNCTION("GOOGLETRANSLATE(B4578, ""fr"", ""en"")"),"Easy to use and effective 👍 Grandma no longer leaves her and this is a way to keep him good traffic. While Agee of soon 97 years, she understood the simple operation of use. It was my fear but it is good. She did not miss the small daily session.")</f>
        <v>Easy to use and effective 👍 Grandma no longer leaves her and this is a way to keep him good traffic. While Agee of soon 97 years, she understood the simple operation of use. It was my fear but it is good. She did not miss the small daily session.</v>
      </c>
    </row>
    <row r="4579">
      <c r="A4579" s="1">
        <v>5.0</v>
      </c>
      <c r="B4579" s="1" t="s">
        <v>4525</v>
      </c>
      <c r="C4579" t="str">
        <f>IFERROR(__xludf.DUMMYFUNCTION("GOOGLETRANSLATE(B4579, ""fr"", ""en"")"),"👍🏾 💪🏾")</f>
        <v>👍🏾 💪🏾</v>
      </c>
    </row>
    <row r="4580">
      <c r="A4580" s="1">
        <v>5.0</v>
      </c>
      <c r="B4580" s="1" t="s">
        <v>4526</v>
      </c>
      <c r="C4580" t="str">
        <f>IFERROR(__xludf.DUMMYFUNCTION("GOOGLETRANSLATE(B4580, ""fr"", ""en"")"),"Very good size appropriate, quality equal to Puma.")</f>
        <v>Very good size appropriate, quality equal to Puma.</v>
      </c>
    </row>
    <row r="4581">
      <c r="A4581" s="1">
        <v>5.0</v>
      </c>
      <c r="B4581" s="1" t="s">
        <v>4527</v>
      </c>
      <c r="C4581" t="str">
        <f>IFERROR(__xludf.DUMMYFUNCTION("GOOGLETRANSLATE(B4581, ""fr"", ""en"")"),"Super Ordered for my husband during a flash sale, very pretty. Size as planned. For the price (27 €) is nothing to say.")</f>
        <v>Super Ordered for my husband during a flash sale, very pretty. Size as planned. For the price (27 €) is nothing to say.</v>
      </c>
    </row>
    <row r="4582">
      <c r="A4582" s="1">
        <v>5.0</v>
      </c>
      <c r="B4582" s="1" t="s">
        <v>4528</v>
      </c>
      <c r="C4582" t="str">
        <f>IFERROR(__xludf.DUMMYFUNCTION("GOOGLETRANSLATE(B4582, ""fr"", ""en"")"),"Vive noel Perfect for early child CP! So I buy the rest of the collection. For the price, you should take advantage!")</f>
        <v>Vive noel Perfect for early child CP! So I buy the rest of the collection. For the price, you should take advantage!</v>
      </c>
    </row>
    <row r="4583">
      <c r="A4583" s="1">
        <v>5.0</v>
      </c>
      <c r="B4583" s="1" t="s">
        <v>4529</v>
      </c>
      <c r="C4583" t="str">
        <f>IFERROR(__xludf.DUMMYFUNCTION("GOOGLETRANSLATE(B4583, ""fr"", ""en"")"),"Impeccable I read the reviews and so I took a size smaller running backs, they nickel fit me. I was scared because in a comment the person received the fabric instead of leather PHEW they were beautiful and good leather. I have received 2 days before the "&amp;"scheduled date now only take them for them to Anjoue Vintage 😊")</f>
        <v>Impeccable I read the reviews and so I took a size smaller running backs, they nickel fit me. I was scared because in a comment the person received the fabric instead of leather PHEW they were beautiful and good leather. I have received 2 days before the scheduled date now only take them for them to Anjoue Vintage 😊</v>
      </c>
    </row>
    <row r="4584">
      <c r="A4584" s="1">
        <v>5.0</v>
      </c>
      <c r="B4584" s="1" t="s">
        <v>4530</v>
      </c>
      <c r="C4584" t="str">
        <f>IFERROR(__xludf.DUMMYFUNCTION("GOOGLETRANSLATE(B4584, ""fr"", ""en"")"),"Delighted childhood bear comfortable shoes and finished well. Delivered in good condition. I think back to my years in the country. The shoes are back in fashion. Cool")</f>
        <v>Delighted childhood bear comfortable shoes and finished well. Delivered in good condition. I think back to my years in the country. The shoes are back in fashion. Cool</v>
      </c>
    </row>
    <row r="4585">
      <c r="A4585" s="1">
        <v>5.0</v>
      </c>
      <c r="B4585" s="1" t="s">
        <v>4531</v>
      </c>
      <c r="C4585" t="str">
        <f>IFERROR(__xludf.DUMMYFUNCTION("GOOGLETRANSLATE(B4585, ""fr"", ""en"")"),"Comfortable and powerful I am very happy, simpler use and well described in the instruction manual. Now e jne know if he can use long without problem, but I recommend it as same")</f>
        <v>Comfortable and powerful I am very happy, simpler use and well described in the instruction manual. Now e jne know if he can use long without problem, but I recommend it as same</v>
      </c>
    </row>
    <row r="4586">
      <c r="A4586" s="1">
        <v>5.0</v>
      </c>
      <c r="B4586" s="1" t="s">
        <v>4532</v>
      </c>
      <c r="C4586" t="str">
        <f>IFERROR(__xludf.DUMMYFUNCTION("GOOGLETRANSLATE(B4586, ""fr"", ""en"")"),"Quality and aesthetics! This is a set of 3 glass bottles Dodie. Capacity: two bottles of 270 ml. A bottle of 150 ml. They are all three broad glue. They are all three anti colic. They are all three nipple flat. Guaranteed without BPA and BPS. However, the"&amp;"y have different speed the highest volume of 270 ml those have a flow power 2. The bottle of 150 ml at a rate of 1. Aesthetically they are very successful. They represent three capitals: New York, Paris, London. I am no stranger to this type of product, I"&amp;" never had any problems. The quality is there, the fact whether glass is very significant especially for the dishwasher and the life of bottles. Good value for money. I hope this review helps, if you have any questions feel free")</f>
        <v>Quality and aesthetics! This is a set of 3 glass bottles Dodie. Capacity: two bottles of 270 ml. A bottle of 150 ml. They are all three broad glue. They are all three anti colic. They are all three nipple flat. Guaranteed without BPA and BPS. However, they have different speed the highest volume of 270 ml those have a flow power 2. The bottle of 150 ml at a rate of 1. Aesthetically they are very successful. They represent three capitals: New York, Paris, London. I am no stranger to this type of product, I never had any problems. The quality is there, the fact whether glass is very significant especially for the dishwasher and the life of bottles. Good value for money. I hope this review helps, if you have any questions feel free</v>
      </c>
    </row>
    <row r="4587">
      <c r="A4587" s="1">
        <v>5.0</v>
      </c>
      <c r="B4587" s="1" t="s">
        <v>4533</v>
      </c>
      <c r="C4587" t="str">
        <f>IFERROR(__xludf.DUMMYFUNCTION("GOOGLETRANSLATE(B4587, ""fr"", ""en"")"),"Excellent bargain")</f>
        <v>Excellent bargain</v>
      </c>
    </row>
    <row r="4588">
      <c r="A4588" s="1">
        <v>5.0</v>
      </c>
      <c r="B4588" s="1" t="s">
        <v>4534</v>
      </c>
      <c r="C4588" t="str">
        <f>IFERROR(__xludf.DUMMYFUNCTION("GOOGLETRANSLATE(B4588, ""fr"", ""en"")"),"It's relaxing seat seat massage too well, it's really a professional seat very relaxing. easy use with a remote control provided that one can choose at what level of body to be massaged and control its intensity. (Neck, back, buttock) I am pleased with th"&amp;"is purchase. I highly recommend it. Especially after a long work day it relaxes us.")</f>
        <v>It's relaxing seat seat massage too well, it's really a professional seat very relaxing. easy use with a remote control provided that one can choose at what level of body to be massaged and control its intensity. (Neck, back, buttock) I am pleased with this purchase. I highly recommend it. Especially after a long work day it relaxes us.</v>
      </c>
    </row>
    <row r="4589">
      <c r="A4589" s="1">
        <v>5.0</v>
      </c>
      <c r="B4589" s="1" t="s">
        <v>4535</v>
      </c>
      <c r="C4589" t="str">
        <f>IFERROR(__xludf.DUMMYFUNCTION("GOOGLETRANSLATE(B4589, ""fr"", ""en"")"),"Ideal for reading the first readings")</f>
        <v>Ideal for reading the first readings</v>
      </c>
    </row>
    <row r="4590">
      <c r="A4590" s="1">
        <v>5.0</v>
      </c>
      <c r="B4590" s="1" t="s">
        <v>4536</v>
      </c>
      <c r="C4590" t="str">
        <f>IFERROR(__xludf.DUMMYFUNCTION("GOOGLETRANSLATE(B4590, ""fr"", ""en"")"),"Pretty well sweatshirt. Not very thick but all in all, it's hot. I do not regret my purchase. Thank you so much for everything")</f>
        <v>Pretty well sweatshirt. Not very thick but all in all, it's hot. I do not regret my purchase. Thank you so much for everything</v>
      </c>
    </row>
    <row r="4591">
      <c r="A4591" s="1">
        <v>5.0</v>
      </c>
      <c r="B4591" s="1" t="s">
        <v>4537</v>
      </c>
      <c r="C4591" t="str">
        <f>IFERROR(__xludf.DUMMYFUNCTION("GOOGLETRANSLATE(B4591, ""fr"", ""en"")"),"Beautiful Received on time, pretty collar assembly. To see over time if the strings do not rust. I recommend.")</f>
        <v>Beautiful Received on time, pretty collar assembly. To see over time if the strings do not rust. I recommend.</v>
      </c>
    </row>
    <row r="4592">
      <c r="A4592" s="1">
        <v>5.0</v>
      </c>
      <c r="B4592" s="1" t="s">
        <v>4538</v>
      </c>
      <c r="C4592" t="str">
        <f>IFERROR(__xludf.DUMMYFUNCTION("GOOGLETRANSLATE(B4592, ""fr"", ""en"")"),"Fast and correct delivery that sounds like a good product, at least no problem since I use it but I can not guarantee the number of paper that I would print. because the original one has not really held long. (Less than 300 sheets)")</f>
        <v>Fast and correct delivery that sounds like a good product, at least no problem since I use it but I can not guarantee the number of paper that I would print. because the original one has not really held long. (Less than 300 sheets)</v>
      </c>
    </row>
    <row r="4593">
      <c r="A4593" s="1">
        <v>2.0</v>
      </c>
      <c r="B4593" s="1" t="s">
        <v>4539</v>
      </c>
      <c r="C4593" t="str">
        <f>IFERROR(__xludf.DUMMYFUNCTION("GOOGLETRANSLATE(B4593, ""fr"", ""en"")"),"Not for sensitive skin I have what we call a blonde skin. splinters cores are too large and irritate. As against the mixture of oils is very nice")</f>
        <v>Not for sensitive skin I have what we call a blonde skin. splinters cores are too large and irritate. As against the mixture of oils is very nice</v>
      </c>
    </row>
    <row r="4594">
      <c r="A4594" s="1">
        <v>1.0</v>
      </c>
      <c r="B4594" s="1" t="s">
        <v>4540</v>
      </c>
      <c r="C4594" t="str">
        <f>IFERROR(__xludf.DUMMYFUNCTION("GOOGLETRANSLATE(B4594, ""fr"", ""en"")"),"Very nice but not really made for the running. Shoe that is made primarily for ""&amp; nbsp; &amp; nbsp decorate,"" but I would not advise for running too unstable. Perfect size. For the price you can not ask too much either.")</f>
        <v>Very nice but not really made for the running. Shoe that is made primarily for "&amp; nbsp; &amp; nbsp decorate," but I would not advise for running too unstable. Perfect size. For the price you can not ask too much either.</v>
      </c>
    </row>
    <row r="4595">
      <c r="A4595" s="1">
        <v>1.0</v>
      </c>
      <c r="B4595" s="1" t="s">
        <v>4541</v>
      </c>
      <c r="C4595" t="str">
        <f>IFERROR(__xludf.DUMMYFUNCTION("GOOGLETRANSLATE(B4595, ""fr"", ""en"")"),"Do not buy. Scam! It is unacceptable. The article is a copy of a real T-shirt Underground Armor. This is a scam! There's even a spelling error on the label in Spanish")</f>
        <v>Do not buy. Scam! It is unacceptable. The article is a copy of a real T-shirt Underground Armor. This is a scam! There's even a spelling error on the label in Spanish</v>
      </c>
    </row>
    <row r="4596">
      <c r="A4596" s="1">
        <v>3.0</v>
      </c>
      <c r="B4596" s="1" t="s">
        <v>4542</v>
      </c>
      <c r="C4596" t="str">
        <f>IFERROR(__xludf.DUMMYFUNCTION("GOOGLETRANSLATE(B4596, ""fr"", ""en"")"),"exchange time zone without the intervention you look now, you say, I'm late for a particular thing, and then you notice that the display of the day is in another language, and Oscan you and you hand the correct settings, you advance one hour or more! has "&amp;"this concern settings changes quite the time change was winter.")</f>
        <v>exchange time zone without the intervention you look now, you say, I'm late for a particular thing, and then you notice that the display of the day is in another language, and Oscan you and you hand the correct settings, you advance one hour or more! has this concern settings changes quite the time change was winter.</v>
      </c>
    </row>
    <row r="4597">
      <c r="A4597" s="1">
        <v>3.0</v>
      </c>
      <c r="B4597" s="1" t="s">
        <v>4543</v>
      </c>
      <c r="C4597" t="str">
        <f>IFERROR(__xludf.DUMMYFUNCTION("GOOGLETRANSLATE(B4597, ""fr"", ""en"")"),"Take one size above I like the sneakers")</f>
        <v>Take one size above I like the sneakers</v>
      </c>
    </row>
    <row r="4598">
      <c r="A4598" s="1">
        <v>4.0</v>
      </c>
      <c r="B4598" s="1" t="s">
        <v>4544</v>
      </c>
      <c r="C4598" t="str">
        <f>IFERROR(__xludf.DUMMYFUNCTION("GOOGLETRANSLATE(B4598, ""fr"", ""en"")"),"Excellent value Kettle practice with a time of rapid heating and not too much noise. The color burgundy brown change classical colors.")</f>
        <v>Excellent value Kettle practice with a time of rapid heating and not too much noise. The color burgundy brown change classical colors.</v>
      </c>
    </row>
    <row r="4599">
      <c r="A4599" s="1">
        <v>4.0</v>
      </c>
      <c r="B4599" s="1" t="s">
        <v>4545</v>
      </c>
      <c r="C4599" t="str">
        <f>IFERROR(__xludf.DUMMYFUNCTION("GOOGLETRANSLATE(B4599, ""fr"", ""en"")"),"Very good product Private")</f>
        <v>Very good product Private</v>
      </c>
    </row>
    <row r="4600">
      <c r="A4600" s="1">
        <v>4.0</v>
      </c>
      <c r="B4600" s="1" t="s">
        <v>4546</v>
      </c>
      <c r="C4600" t="str">
        <f>IFERROR(__xludf.DUMMYFUNCTION("GOOGLETRANSLATE(B4600, ""fr"", ""en"")"),"Friendly. Light and comfortable but not ventilated. Add an insole.")</f>
        <v>Friendly. Light and comfortable but not ventilated. Add an insole.</v>
      </c>
    </row>
    <row r="4601">
      <c r="A4601" s="1">
        <v>4.0</v>
      </c>
      <c r="B4601" s="1" t="s">
        <v>4547</v>
      </c>
      <c r="C4601" t="str">
        <f>IFERROR(__xludf.DUMMYFUNCTION("GOOGLETRANSLATE(B4601, ""fr"", ""en"")"),"Very good quality These cables fully meet the expectations that I had, I audiophile, I wanted good cables not too expensive for a second stereo installation, they are perfect. Its clear and rich.")</f>
        <v>Very good quality These cables fully meet the expectations that I had, I audiophile, I wanted good cables not too expensive for a second stereo installation, they are perfect. Its clear and rich.</v>
      </c>
    </row>
    <row r="4602">
      <c r="A4602" s="1">
        <v>5.0</v>
      </c>
      <c r="B4602" s="1" t="s">
        <v>4548</v>
      </c>
      <c r="C4602" t="str">
        <f>IFERROR(__xludf.DUMMYFUNCTION("GOOGLETRANSLATE(B4602, ""fr"", ""en"")"),"perfect conformity with their description and photo a nice design, but especially nice because they are super comfortable")</f>
        <v>perfect conformity with their description and photo a nice design, but especially nice because they are super comfortable</v>
      </c>
    </row>
    <row r="4603">
      <c r="A4603" s="1">
        <v>5.0</v>
      </c>
      <c r="B4603" s="1" t="s">
        <v>4549</v>
      </c>
      <c r="C4603" t="str">
        <f>IFERROR(__xludf.DUMMYFUNCTION("GOOGLETRANSLATE(B4603, ""fr"", ""en"")"),"Absolute comfort for traveling and walking is of a great comfort!")</f>
        <v>Absolute comfort for traveling and walking is of a great comfort!</v>
      </c>
    </row>
    <row r="4604">
      <c r="A4604" s="1">
        <v>5.0</v>
      </c>
      <c r="B4604" s="1" t="s">
        <v>4550</v>
      </c>
      <c r="C4604" t="str">
        <f>IFERROR(__xludf.DUMMYFUNCTION("GOOGLETRANSLATE(B4604, ""fr"", ""en"")"),"Perfect Very good product")</f>
        <v>Perfect Very good product</v>
      </c>
    </row>
    <row r="4605">
      <c r="A4605" s="1">
        <v>5.0</v>
      </c>
      <c r="B4605" s="1" t="s">
        <v>4551</v>
      </c>
      <c r="C4605" t="str">
        <f>IFERROR(__xludf.DUMMYFUNCTION("GOOGLETRANSLATE(B4605, ""fr"", ""en"")"),"Impec to see in time Good size")</f>
        <v>Impec to see in time Good size</v>
      </c>
    </row>
    <row r="4606">
      <c r="A4606" s="1">
        <v>5.0</v>
      </c>
      <c r="B4606" s="1" t="s">
        <v>4552</v>
      </c>
      <c r="C4606" t="str">
        <f>IFERROR(__xludf.DUMMYFUNCTION("GOOGLETRANSLATE(B4606, ""fr"", ""en"")"),"Basketball Match converse well descriptive. Good quality and nice outfit. I recommend this article. The girl is delighted his sneakers")</f>
        <v>Basketball Match converse well descriptive. Good quality and nice outfit. I recommend this article. The girl is delighted his sneakers</v>
      </c>
    </row>
    <row r="4607">
      <c r="A4607" s="1">
        <v>5.0</v>
      </c>
      <c r="B4607" s="1" t="s">
        <v>4553</v>
      </c>
      <c r="C4607" t="str">
        <f>IFERROR(__xludf.DUMMYFUNCTION("GOOGLETRANSLATE(B4607, ""fr"", ""en"")"),"IMPECC NICKEL")</f>
        <v>IMPECC NICKEL</v>
      </c>
    </row>
    <row r="4608">
      <c r="A4608" s="1">
        <v>5.0</v>
      </c>
      <c r="B4608" s="1" t="s">
        <v>4554</v>
      </c>
      <c r="C4608" t="str">
        <f>IFERROR(__xludf.DUMMYFUNCTION("GOOGLETRANSLATE(B4608, ""fr"", ""en"")"),"Ras Ras")</f>
        <v>Ras Ras</v>
      </c>
    </row>
    <row r="4609">
      <c r="A4609" s="1">
        <v>5.0</v>
      </c>
      <c r="B4609" s="1" t="s">
        <v>4555</v>
      </c>
      <c r="C4609" t="str">
        <f>IFERROR(__xludf.DUMMYFUNCTION("GOOGLETRANSLATE(B4609, ""fr"", ""en"")"),"Excellent table everyday use, careful planning another bag for poor quality")</f>
        <v>Excellent table everyday use, careful planning another bag for poor quality</v>
      </c>
    </row>
    <row r="4610">
      <c r="A4610" s="1">
        <v>5.0</v>
      </c>
      <c r="B4610" s="1" t="s">
        <v>4556</v>
      </c>
      <c r="C4610" t="str">
        <f>IFERROR(__xludf.DUMMYFUNCTION("GOOGLETRANSLATE(B4610, ""fr"", ""en"")"),"Very nice I just receive it and I tested, it works well and it's very nice. The light gradually simulating the sunrise from pale red to intense white, programmable from 10 to 60 minutes before the alarm of his NIOHC (several preset sounds or radio of choi"&amp;"ce) Although also separate settings assigned to the functions (sound alarm ...) and adjustment sleep with light simulating the sunset french manual is well ;-) the only negative is that the radio stations Preset automatically (there are 27!) and we can cl"&amp;"assify them in the order you want. But ... for waking We'll see situation after experiments. But very good feeling for now")</f>
        <v>Very nice I just receive it and I tested, it works well and it's very nice. The light gradually simulating the sunrise from pale red to intense white, programmable from 10 to 60 minutes before the alarm of his NIOHC (several preset sounds or radio of choice) Although also separate settings assigned to the functions (sound alarm ...) and adjustment sleep with light simulating the sunset french manual is well ;-) the only negative is that the radio stations Preset automatically (there are 27!) and we can classify them in the order you want. But ... for waking We'll see situation after experiments. But very good feeling for now</v>
      </c>
    </row>
    <row r="4611">
      <c r="A4611" s="1">
        <v>5.0</v>
      </c>
      <c r="B4611" s="1" t="s">
        <v>4557</v>
      </c>
      <c r="C4611" t="str">
        <f>IFERROR(__xludf.DUMMYFUNCTION("GOOGLETRANSLATE(B4611, ""fr"", ""en"")"),"Original Hi, Nothing to say, this is the original Canon cartridges, it fulfills its functions and good quality for less money than in the traditional trade.")</f>
        <v>Original Hi, Nothing to say, this is the original Canon cartridges, it fulfills its functions and good quality for less money than in the traditional trade.</v>
      </c>
    </row>
    <row r="4612">
      <c r="A4612" s="1">
        <v>5.0</v>
      </c>
      <c r="B4612" s="1" t="s">
        <v>4558</v>
      </c>
      <c r="C4612" t="str">
        <f>IFERROR(__xludf.DUMMYFUNCTION("GOOGLETRANSLATE(B4612, ""fr"", ""en"")"),"Good product I recommend")</f>
        <v>Good product I recommend</v>
      </c>
    </row>
    <row r="4613">
      <c r="A4613" s="1">
        <v>5.0</v>
      </c>
      <c r="B4613" s="1" t="s">
        <v>4559</v>
      </c>
      <c r="C4613" t="str">
        <f>IFERROR(__xludf.DUMMYFUNCTION("GOOGLETRANSLATE(B4613, ""fr"", ""en"")"),"good quality consistent with the description and expectations")</f>
        <v>good quality consistent with the description and expectations</v>
      </c>
    </row>
    <row r="4614">
      <c r="A4614" s="1">
        <v>5.0</v>
      </c>
      <c r="B4614" s="1" t="s">
        <v>4560</v>
      </c>
      <c r="C4614" t="str">
        <f>IFERROR(__xludf.DUMMYFUNCTION("GOOGLETRANSLATE(B4614, ""fr"", ""en"")"),"comfort Ideal for everyday")</f>
        <v>comfort Ideal for everyday</v>
      </c>
    </row>
    <row r="4615">
      <c r="A4615" s="1">
        <v>5.0</v>
      </c>
      <c r="B4615" s="1" t="s">
        <v>4561</v>
      </c>
      <c r="C4615" t="str">
        <f>IFERROR(__xludf.DUMMYFUNCTION("GOOGLETRANSLATE(B4615, ""fr"", ""en"")"),"C cute I love the way the story is told and we rediscover a great many heroes of Greek mythology in this series. Unlike Ulysses where I got lost, like him, in his comings and goings through the islands and adventures, this story is a subtle blend of sweet"&amp;"ness, emotions and twists")</f>
        <v>C cute I love the way the story is told and we rediscover a great many heroes of Greek mythology in this series. Unlike Ulysses where I got lost, like him, in his comings and goings through the islands and adventures, this story is a subtle blend of sweetness, emotions and twists</v>
      </c>
    </row>
    <row r="4616">
      <c r="A4616" s="1">
        <v>5.0</v>
      </c>
      <c r="B4616" s="1" t="s">
        <v>4562</v>
      </c>
      <c r="C4616" t="str">
        <f>IFERROR(__xludf.DUMMYFUNCTION("GOOGLETRANSLATE(B4616, ""fr"", ""en"")"),"Lacoste Super")</f>
        <v>Lacoste Super</v>
      </c>
    </row>
    <row r="4617">
      <c r="A4617" s="1">
        <v>2.0</v>
      </c>
      <c r="B4617" s="1" t="s">
        <v>4563</v>
      </c>
      <c r="C4617" t="str">
        <f>IFERROR(__xludf.DUMMYFUNCTION("GOOGLETRANSLATE(B4617, ""fr"", ""en"")"),"risk of burns To be avoided for family use with children because real risks of burns. When pressed all the kettle becomes hot to the hand grip. Even at work and warning label, one of us has regretted. We will replace it because of this major fault.")</f>
        <v>risk of burns To be avoided for family use with children because real risks of burns. When pressed all the kettle becomes hot to the hand grip. Even at work and warning label, one of us has regretted. We will replace it because of this major fault.</v>
      </c>
    </row>
    <row r="4618">
      <c r="A4618" s="1">
        <v>1.0</v>
      </c>
      <c r="B4618" s="1" t="s">
        <v>4564</v>
      </c>
      <c r="C4618" t="str">
        <f>IFERROR(__xludf.DUMMYFUNCTION("GOOGLETRANSLATE(B4618, ""fr"", ""en"")"),"Very disappointed not reliable. Account even when not working !!!")</f>
        <v>Very disappointed not reliable. Account even when not working !!!</v>
      </c>
    </row>
    <row r="4619">
      <c r="A4619" s="1">
        <v>1.0</v>
      </c>
      <c r="B4619" s="1" t="s">
        <v>4565</v>
      </c>
      <c r="C4619" t="str">
        <f>IFERROR(__xludf.DUMMYFUNCTION("GOOGLETRANSLATE(B4619, ""fr"", ""en"")"),"No Very disappointed after 3 times the magnetic clasp door stopped working. I would not recommend the")</f>
        <v>No Very disappointed after 3 times the magnetic clasp door stopped working. I would not recommend the</v>
      </c>
    </row>
    <row r="4620">
      <c r="A4620" s="1">
        <v>3.0</v>
      </c>
      <c r="B4620" s="1" t="s">
        <v>4566</v>
      </c>
      <c r="C4620" t="str">
        <f>IFERROR(__xludf.DUMMYFUNCTION("GOOGLETRANSLATE(B4620, ""fr"", ""en"")"),"Mounting system too complex quality probably very good but not even try because too many screws, son, stuff and stuff to fix my smartphone becomes a gas plant and loses the interest of convenience always available in pocket . So back to me.")</f>
        <v>Mounting system too complex quality probably very good but not even try because too many screws, son, stuff and stuff to fix my smartphone becomes a gas plant and loses the interest of convenience always available in pocket . So back to me.</v>
      </c>
    </row>
    <row r="4621">
      <c r="A4621" s="1">
        <v>3.0</v>
      </c>
      <c r="B4621" s="1" t="s">
        <v>4567</v>
      </c>
      <c r="C4621" t="str">
        <f>IFERROR(__xludf.DUMMYFUNCTION("GOOGLETRANSLATE(B4621, ""fr"", ""en"")"),"size to see again, I put on the 47 ordered 45 after 2 Returns Hello, I am very satisfied, they are classified and comfortable for safety shoes !!! however the size is a goodbye, I put on the 47 so ordered 47 too big !!!!! I therefore order of 46 too big a"&amp;"nd I finalize my order of 45. What a waste, 3 deliveries, postage and time (3 weeks) to make return etc ... Board = &amp; gt; sizes equal to and greater than 45 = &amp; gt; - size 2 sizes less than 45 = &amp; gt; - 1 size")</f>
        <v>size to see again, I put on the 47 ordered 45 after 2 Returns Hello, I am very satisfied, they are classified and comfortable for safety shoes !!! however the size is a goodbye, I put on the 47 so ordered 47 too big !!!!! I therefore order of 46 too big and I finalize my order of 45. What a waste, 3 deliveries, postage and time (3 weeks) to make return etc ... Board = &amp; gt; sizes equal to and greater than 45 = &amp; gt; - size 2 sizes less than 45 = &amp; gt; - 1 size</v>
      </c>
    </row>
    <row r="4622">
      <c r="A4622" s="1">
        <v>4.0</v>
      </c>
      <c r="B4622" s="1" t="s">
        <v>4568</v>
      </c>
      <c r="C4622" t="str">
        <f>IFERROR(__xludf.DUMMYFUNCTION("GOOGLETRANSLATE(B4622, ""fr"", ""en"")"),"in line with the announcement The delivery is fast, product fully in line with the announcement, I highly recommeded, nice leather that will put to, unwanted necklace with pendebntifs crazy plastic")</f>
        <v>in line with the announcement The delivery is fast, product fully in line with the announcement, I highly recommeded, nice leather that will put to, unwanted necklace with pendebntifs crazy plastic</v>
      </c>
    </row>
    <row r="4623">
      <c r="A4623" s="1">
        <v>4.0</v>
      </c>
      <c r="B4623" s="1" t="s">
        <v>4569</v>
      </c>
      <c r="C4623" t="str">
        <f>IFERROR(__xludf.DUMMYFUNCTION("GOOGLETRANSLATE(B4623, ""fr"", ""en"")"),"Although Good flow to the breast milk and artificial, sizes M are too fast for my baby. As against it is struggling with form")</f>
        <v>Although Good flow to the breast milk and artificial, sizes M are too fast for my baby. As against it is struggling with form</v>
      </c>
    </row>
    <row r="4624">
      <c r="A4624" s="1">
        <v>4.0</v>
      </c>
      <c r="B4624" s="1" t="s">
        <v>4570</v>
      </c>
      <c r="C4624" t="str">
        <f>IFERROR(__xludf.DUMMYFUNCTION("GOOGLETRANSLATE(B4624, ""fr"", ""en"")"),"Really nice and cheaper than jewelry or store fossil gap of € 37 elegant Top class see in time I level reliability but really beautiful and original ... and € 40 cheaper at Amazon than in the fossil shop. Top delivered in two days and more")</f>
        <v>Really nice and cheaper than jewelry or store fossil gap of € 37 elegant Top class see in time I level reliability but really beautiful and original ... and € 40 cheaper at Amazon than in the fossil shop. Top delivered in two days and more</v>
      </c>
    </row>
    <row r="4625">
      <c r="A4625" s="1">
        <v>4.0</v>
      </c>
      <c r="B4625" s="1" t="s">
        <v>4571</v>
      </c>
      <c r="C4625" t="str">
        <f>IFERROR(__xludf.DUMMYFUNCTION("GOOGLETRANSLATE(B4625, ""fr"", ""en"")"),"Size Long Stretch and comfortable to take a size smaller.")</f>
        <v>Size Long Stretch and comfortable to take a size smaller.</v>
      </c>
    </row>
    <row r="4626">
      <c r="A4626" s="1">
        <v>5.0</v>
      </c>
      <c r="B4626" s="1" t="s">
        <v>4572</v>
      </c>
      <c r="C4626" t="str">
        <f>IFERROR(__xludf.DUMMYFUNCTION("GOOGLETRANSLATE(B4626, ""fr"", ""en"")"),"Convenient and comfortable to wear look nice, light and well-cut, warm and comfortable, very satisfied")</f>
        <v>Convenient and comfortable to wear look nice, light and well-cut, warm and comfortable, very satisfied</v>
      </c>
    </row>
    <row r="4627">
      <c r="A4627" s="1">
        <v>5.0</v>
      </c>
      <c r="B4627" s="1" t="s">
        <v>4573</v>
      </c>
      <c r="C4627" t="str">
        <f>IFERROR(__xludf.DUMMYFUNCTION("GOOGLETRANSLATE(B4627, ""fr"", ""en"")"),"Expensive but so pleasant fragrance and durable Use for linens as its smell is pleasant. Price too expensive to be used sparingly, is please I reserve linens.")</f>
        <v>Expensive but so pleasant fragrance and durable Use for linens as its smell is pleasant. Price too expensive to be used sparingly, is please I reserve linens.</v>
      </c>
    </row>
    <row r="4628">
      <c r="A4628" s="1">
        <v>5.0</v>
      </c>
      <c r="B4628" s="1" t="s">
        <v>4574</v>
      </c>
      <c r="C4628" t="str">
        <f>IFERROR(__xludf.DUMMYFUNCTION("GOOGLETRANSLATE(B4628, ""fr"", ""en"")"),"PRODUCT EXCELLENT Economic, it has an excellent value and deserves to be ordered in packs with toilet paper. Another advantage is that when you go shopping in the supermarket space such products is so extreme that here it comes, just store ... FINDING Whi"&amp;"le other towels of all or toilet paper are not suitable for washing glass or ice as fluff, this one is great, not plush and just with a little white vinegar helps make a window as new and effortlessly.")</f>
        <v>PRODUCT EXCELLENT Economic, it has an excellent value and deserves to be ordered in packs with toilet paper. Another advantage is that when you go shopping in the supermarket space such products is so extreme that here it comes, just store ... FINDING While other towels of all or toilet paper are not suitable for washing glass or ice as fluff, this one is great, not plush and just with a little white vinegar helps make a window as new and effortlessly.</v>
      </c>
    </row>
    <row r="4629">
      <c r="A4629" s="1">
        <v>5.0</v>
      </c>
      <c r="B4629" s="1" t="s">
        <v>4575</v>
      </c>
      <c r="C4629" t="str">
        <f>IFERROR(__xludf.DUMMYFUNCTION("GOOGLETRANSLATE(B4629, ""fr"", ""en"")"),"sneakers sneakers ideal, fun§ color I bought these shoes for my 18 year old son who puts out dressed in jeans or jogging.Il found too ""classes"" by color and style. size 42 complies .and sending was done quickly because I have received on 01/12 instead o"&amp;"f 03/12! Congratulations to the seller for its effectiveness.")</f>
        <v>sneakers sneakers ideal, fun§ color I bought these shoes for my 18 year old son who puts out dressed in jeans or jogging.Il found too "classes" by color and style. size 42 complies .and sending was done quickly because I have received on 01/12 instead of 03/12! Congratulations to the seller for its effectiveness.</v>
      </c>
    </row>
    <row r="4630">
      <c r="A4630" s="1">
        <v>5.0</v>
      </c>
      <c r="B4630" s="1" t="s">
        <v>4576</v>
      </c>
      <c r="C4630" t="str">
        <f>IFERROR(__xludf.DUMMYFUNCTION("GOOGLETRANSLATE(B4630, ""fr"", ""en"")"),"Gift Bought as end of year gift, its buyers are satisfied!")</f>
        <v>Gift Bought as end of year gift, its buyers are satisfied!</v>
      </c>
    </row>
    <row r="4631">
      <c r="A4631" s="1">
        <v>5.0</v>
      </c>
      <c r="B4631" s="1" t="s">
        <v>4577</v>
      </c>
      <c r="C4631" t="str">
        <f>IFERROR(__xludf.DUMMYFUNCTION("GOOGLETRANSLATE(B4631, ""fr"", ""en"")"),"Perfect! I buy Monday and Tuesday I received! Impeccable delivery! And the product is also well described, works really well on my Audio Technica AT2020, the cover is huge! it covers the microphone !! Superb purchase: D!")</f>
        <v>Perfect! I buy Monday and Tuesday I received! Impeccable delivery! And the product is also well described, works really well on my Audio Technica AT2020, the cover is huge! it covers the microphone !! Superb purchase: D!</v>
      </c>
    </row>
    <row r="4632">
      <c r="A4632" s="1">
        <v>5.0</v>
      </c>
      <c r="B4632" s="1" t="s">
        <v>4578</v>
      </c>
      <c r="C4632" t="str">
        <f>IFERROR(__xludf.DUMMYFUNCTION("GOOGLETRANSLATE(B4632, ""fr"", ""en"")"),"Satisfied Despite a delay in the scheduled delivery following a problem of transit carrier, I was surprised by the plastic packaging, fearing a vulnerability to its container. There was nothing of this bag is what I expected, good quality leather, quality"&amp;" workmanship, ease of implementation, well suited pockets and good storage Very good product, I recommend")</f>
        <v>Satisfied Despite a delay in the scheduled delivery following a problem of transit carrier, I was surprised by the plastic packaging, fearing a vulnerability to its container. There was nothing of this bag is what I expected, good quality leather, quality workmanship, ease of implementation, well suited pockets and good storage Very good product, I recommend</v>
      </c>
    </row>
    <row r="4633">
      <c r="A4633" s="1">
        <v>5.0</v>
      </c>
      <c r="B4633" s="1" t="s">
        <v>4579</v>
      </c>
      <c r="C4633" t="str">
        <f>IFERROR(__xludf.DUMMYFUNCTION("GOOGLETRANSLATE(B4633, ""fr"", ""en"")"),"MASSAGE PRO Very pleasant and efficient, just a little heavy but the result is there!")</f>
        <v>MASSAGE PRO Very pleasant and efficient, just a little heavy but the result is there!</v>
      </c>
    </row>
    <row r="4634">
      <c r="A4634" s="1">
        <v>5.0</v>
      </c>
      <c r="B4634" s="1" t="s">
        <v>4580</v>
      </c>
      <c r="C4634" t="str">
        <f>IFERROR(__xludf.DUMMYFUNCTION("GOOGLETRANSLATE(B4634, ""fr"", ""en"")"),"Satisfied This foot massager is consistent with the description on Amazon. It combines finger pressure, kneading, roll, scraping, airbag and a heating function, provides a complete massage to relieve foot fatigue. It has a protection against overheating a"&amp;"nd off automatically when the temperature over 85 degrees. It has 15 minute timer function. With remote control, you can select the mode or force. The inside cover is removable, it is easy to clean. The heating temperature is adjustable in 5 speed. It als"&amp;"o uses an advanced heating function to relieve muscle tension and promote blood circulation.")</f>
        <v>Satisfied This foot massager is consistent with the description on Amazon. It combines finger pressure, kneading, roll, scraping, airbag and a heating function, provides a complete massage to relieve foot fatigue. It has a protection against overheating and off automatically when the temperature over 85 degrees. It has 15 minute timer function. With remote control, you can select the mode or force. The inside cover is removable, it is easy to clean. The heating temperature is adjustable in 5 speed. It also uses an advanced heating function to relieve muscle tension and promote blood circulation.</v>
      </c>
    </row>
    <row r="4635">
      <c r="A4635" s="1">
        <v>5.0</v>
      </c>
      <c r="B4635" s="1" t="s">
        <v>4581</v>
      </c>
      <c r="C4635" t="str">
        <f>IFERROR(__xludf.DUMMYFUNCTION("GOOGLETRANSLATE(B4635, ""fr"", ""en"")"),"super I gave this watch to my 15 year old daughter, she is really happy she loves and I'm happy with my purchase")</f>
        <v>super I gave this watch to my 15 year old daughter, she is really happy she loves and I'm happy with my purchase</v>
      </c>
    </row>
    <row r="4636">
      <c r="A4636" s="1">
        <v>5.0</v>
      </c>
      <c r="B4636" s="1" t="s">
        <v>4582</v>
      </c>
      <c r="C4636" t="str">
        <f>IFERROR(__xludf.DUMMYFUNCTION("GOOGLETRANSLATE(B4636, ""fr"", ""en"")"),"impeccable I bought this necklace for a gift to a friend - she is delighted")</f>
        <v>impeccable I bought this necklace for a gift to a friend - she is delighted</v>
      </c>
    </row>
    <row r="4637">
      <c r="A4637" s="1">
        <v>5.0</v>
      </c>
      <c r="B4637" s="1" t="s">
        <v>4583</v>
      </c>
      <c r="C4637" t="str">
        <f>IFERROR(__xludf.DUMMYFUNCTION("GOOGLETRANSLATE(B4637, ""fr"", ""en"")"),"Good Very effective marker on the table black glass purchased from the same supplier")</f>
        <v>Good Very effective marker on the table black glass purchased from the same supplier</v>
      </c>
    </row>
    <row r="4638">
      <c r="A4638" s="1">
        <v>5.0</v>
      </c>
      <c r="B4638" s="1" t="s">
        <v>4584</v>
      </c>
      <c r="C4638" t="str">
        <f>IFERROR(__xludf.DUMMYFUNCTION("GOOGLETRANSLATE(B4638, ""fr"", ""en"")"),"Good price Basketball conform to its description, price reasonable quality all the seams are sewn and also trains and friendly the only problem that basketball does not happen quickly just to wait two to three weeks if not correct on the whole.")</f>
        <v>Good price Basketball conform to its description, price reasonable quality all the seams are sewn and also trains and friendly the only problem that basketball does not happen quickly just to wait two to three weeks if not correct on the whole.</v>
      </c>
    </row>
    <row r="4639">
      <c r="A4639" s="1">
        <v>5.0</v>
      </c>
      <c r="B4639" s="1" t="s">
        <v>4585</v>
      </c>
      <c r="C4639" t="str">
        <f>IFERROR(__xludf.DUMMYFUNCTION("GOOGLETRANSLATE(B4639, ""fr"", ""en"")"),"in the top !! cut adapted, perfect to hide some curves !! The material is nice, comfortable to wear and the color matches the order !!")</f>
        <v>in the top !! cut adapted, perfect to hide some curves !! The material is nice, comfortable to wear and the color matches the order !!</v>
      </c>
    </row>
    <row r="4640">
      <c r="A4640" s="1">
        <v>5.0</v>
      </c>
      <c r="B4640" s="1" t="s">
        <v>4586</v>
      </c>
      <c r="C4640" t="str">
        <f>IFERROR(__xludf.DUMMYFUNCTION("GOOGLETRANSLATE(B4640, ""fr"", ""en"")"),"Excellent / very good listener I practice the Home Studio with this headset as an amateur, and it is enough for what I produce. It is very comfortable for the ears, there is an excellent sound reproduction, there are practical accessories, and for the pri"&amp;"ce it's a bargain. I highly recommend this product.")</f>
        <v>Excellent / very good listener I practice the Home Studio with this headset as an amateur, and it is enough for what I produce. It is very comfortable for the ears, there is an excellent sound reproduction, there are practical accessories, and for the price it's a bargain. I highly recommend this product.</v>
      </c>
    </row>
    <row r="4641">
      <c r="A4641" s="1">
        <v>2.0</v>
      </c>
      <c r="B4641" s="1" t="s">
        <v>4587</v>
      </c>
      <c r="C4641" t="str">
        <f>IFERROR(__xludf.DUMMYFUNCTION("GOOGLETRANSLATE(B4641, ""fr"", ""en"")"),"Bad Not on there being any effect on me .... see on other people. Received quickly. I keep for weeks in my pocket, nothing has changed.")</f>
        <v>Bad Not on there being any effect on me .... see on other people. Received quickly. I keep for weeks in my pocket, nothing has changed.</v>
      </c>
    </row>
    <row r="4642">
      <c r="A4642" s="1">
        <v>1.0</v>
      </c>
      <c r="B4642" s="1" t="s">
        <v>4588</v>
      </c>
      <c r="C4642" t="str">
        <f>IFERROR(__xludf.DUMMYFUNCTION("GOOGLETRANSLATE(B4642, ""fr"", ""en"")"),"Not really good quality not really good quality")</f>
        <v>Not really good quality not really good quality</v>
      </c>
    </row>
    <row r="4643">
      <c r="A4643" s="1">
        <v>1.0</v>
      </c>
      <c r="B4643" s="1" t="s">
        <v>4589</v>
      </c>
      <c r="C4643" t="str">
        <f>IFERROR(__xludf.DUMMYFUNCTION("GOOGLETRANSLATE(B4643, ""fr"", ""en"")"),"Counterfeiting Cheap but in fact it is false. Shame on you to deceive customers. Just look for the quality s noticing. I refer you but there is deception on the mark")</f>
        <v>Counterfeiting Cheap but in fact it is false. Shame on you to deceive customers. Just look for the quality s noticing. I refer you but there is deception on the mark</v>
      </c>
    </row>
    <row r="4644">
      <c r="A4644" s="1">
        <v>3.0</v>
      </c>
      <c r="B4644" s="1" t="s">
        <v>4590</v>
      </c>
      <c r="C4644" t="str">
        <f>IFERROR(__xludf.DUMMYFUNCTION("GOOGLETRANSLATE(B4644, ""fr"", ""en"")"),"Excellent value Nothing to say about the quality of the food film downside: it arrived without the zip that allows the cut and this is very difficult to do without this little supplement to the edge of the box.")</f>
        <v>Excellent value Nothing to say about the quality of the food film downside: it arrived without the zip that allows the cut and this is very difficult to do without this little supplement to the edge of the box.</v>
      </c>
    </row>
    <row r="4645">
      <c r="A4645" s="1">
        <v>4.0</v>
      </c>
      <c r="B4645" s="1" t="s">
        <v>4591</v>
      </c>
      <c r="C4645" t="str">
        <f>IFERROR(__xludf.DUMMYFUNCTION("GOOGLETRANSLATE(B4645, ""fr"", ""en"")"),"good deal, considering the price! this is my 2nd pair in 4 years")</f>
        <v>good deal, considering the price! this is my 2nd pair in 4 years</v>
      </c>
    </row>
    <row r="4646">
      <c r="A4646" s="1">
        <v>4.0</v>
      </c>
      <c r="B4646" s="1" t="s">
        <v>4592</v>
      </c>
      <c r="C4646" t="str">
        <f>IFERROR(__xludf.DUMMYFUNCTION("GOOGLETRANSLATE(B4646, ""fr"", ""en"")"),"Great value for money! I was looking for a mic and I got the above. I am a music producer and I used to buy equipment for my pro recording studio. So I did not do too many illusions on this article. Good surprise the microphone is not bad though a metal c"&amp;"an and foot holds well. Attention this microphone requires 48V supply provided by sound pro cards.")</f>
        <v>Great value for money! I was looking for a mic and I got the above. I am a music producer and I used to buy equipment for my pro recording studio. So I did not do too many illusions on this article. Good surprise the microphone is not bad though a metal can and foot holds well. Attention this microphone requires 48V supply provided by sound pro cards.</v>
      </c>
    </row>
    <row r="4647">
      <c r="A4647" s="1">
        <v>4.0</v>
      </c>
      <c r="B4647" s="1" t="s">
        <v>4593</v>
      </c>
      <c r="C4647" t="str">
        <f>IFERROR(__xludf.DUMMYFUNCTION("GOOGLETRANSLATE(B4647, ""fr"", ""en"")"),"A little heavy. It was a gift, but the person is happy ,. Although a bit heavy, so tiring for a great walk.")</f>
        <v>A little heavy. It was a gift, but the person is happy ,. Although a bit heavy, so tiring for a great walk.</v>
      </c>
    </row>
    <row r="4648">
      <c r="A4648" s="1">
        <v>4.0</v>
      </c>
      <c r="B4648" s="1" t="s">
        <v>4594</v>
      </c>
      <c r="C4648" t="str">
        <f>IFERROR(__xludf.DUMMYFUNCTION("GOOGLETRANSLATE(B4648, ""fr"", ""en"")"),"A vintage zippo Zippo has reissued this version 1941. It is a little smaller and rounder than conventional models, a slight vintage look. The surfaces are brushed and sides mirror polished. Still the typical click to open, and ignition clockwork. The mark"&amp;" is engraved discretely on the front and refines the set (the etching is not seen on the picture used on the site). If you are looking for a cheap lighter, simple and retro, it's really nice. Delivered in a small cardboard box and an explanatory fichette "&amp;"on the differences with the current brand lighters. Otherwise, do not forget the essence in order to use it ...")</f>
        <v>A vintage zippo Zippo has reissued this version 1941. It is a little smaller and rounder than conventional models, a slight vintage look. The surfaces are brushed and sides mirror polished. Still the typical click to open, and ignition clockwork. The mark is engraved discretely on the front and refines the set (the etching is not seen on the picture used on the site). If you are looking for a cheap lighter, simple and retro, it's really nice. Delivered in a small cardboard box and an explanatory fichette on the differences with the current brand lighters. Otherwise, do not forget the essence in order to use it ...</v>
      </c>
    </row>
    <row r="4649">
      <c r="A4649" s="1">
        <v>5.0</v>
      </c>
      <c r="B4649" s="1" t="s">
        <v>4595</v>
      </c>
      <c r="C4649" t="str">
        <f>IFERROR(__xludf.DUMMYFUNCTION("GOOGLETRANSLATE(B4649, ""fr"", ""en"")"),"product well cut off product well and seems quality.")</f>
        <v>product well cut off product well and seems quality.</v>
      </c>
    </row>
    <row r="4650">
      <c r="A4650" s="1">
        <v>5.0</v>
      </c>
      <c r="B4650" s="1" t="s">
        <v>4596</v>
      </c>
      <c r="C4650" t="str">
        <f>IFERROR(__xludf.DUMMYFUNCTION("GOOGLETRANSLATE(B4650, ""fr"", ""en"")"),"Delighted J adore! ! ! !")</f>
        <v>Delighted J adore! ! ! !</v>
      </c>
    </row>
    <row r="4651">
      <c r="A4651" s="1">
        <v>5.0</v>
      </c>
      <c r="B4651" s="1" t="s">
        <v>4597</v>
      </c>
      <c r="C4651" t="str">
        <f>IFERROR(__xludf.DUMMYFUNCTION("GOOGLETRANSLATE(B4651, ""fr"", ""en"")"),"Tap Tap nice comfortable, a little tight but they will")</f>
        <v>Tap Tap nice comfortable, a little tight but they will</v>
      </c>
    </row>
    <row r="4652">
      <c r="A4652" s="1">
        <v>5.0</v>
      </c>
      <c r="B4652" s="1" t="s">
        <v>4598</v>
      </c>
      <c r="C4652" t="str">
        <f>IFERROR(__xludf.DUMMYFUNCTION("GOOGLETRANSLATE(B4652, ""fr"", ""en"")"),"very comfortable and light weight as described")</f>
        <v>very comfortable and light weight as described</v>
      </c>
    </row>
    <row r="4653">
      <c r="A4653" s="1">
        <v>5.0</v>
      </c>
      <c r="B4653" s="1" t="s">
        <v>4599</v>
      </c>
      <c r="C4653" t="str">
        <f>IFERROR(__xludf.DUMMYFUNCTION("GOOGLETRANSLATE(B4653, ""fr"", ""en"")"),"Not for the cozy My wife uses it for her back pain, It's been a crazy well even if it is at the limit of the pain!")</f>
        <v>Not for the cozy My wife uses it for her back pain, It's been a crazy well even if it is at the limit of the pain!</v>
      </c>
    </row>
    <row r="4654">
      <c r="A4654" s="1">
        <v>5.0</v>
      </c>
      <c r="B4654" s="1" t="s">
        <v>4600</v>
      </c>
      <c r="C4654" t="str">
        <f>IFERROR(__xludf.DUMMYFUNCTION("GOOGLETRANSLATE(B4654, ""fr"", ""en"")"),"Take the size above yours. Initially it was for sport but I quickly became disillusioned. He cuts a size below the desired size.")</f>
        <v>Take the size above yours. Initially it was for sport but I quickly became disillusioned. He cuts a size below the desired size.</v>
      </c>
    </row>
    <row r="4655">
      <c r="A4655" s="1">
        <v>5.0</v>
      </c>
      <c r="B4655" s="1" t="s">
        <v>4601</v>
      </c>
      <c r="C4655" t="str">
        <f>IFERROR(__xludf.DUMMYFUNCTION("GOOGLETRANSLATE(B4655, ""fr"", ""en"")"),"thrilled thrilled")</f>
        <v>thrilled thrilled</v>
      </c>
    </row>
    <row r="4656">
      <c r="A4656" s="1">
        <v>5.0</v>
      </c>
      <c r="B4656" s="1" t="s">
        <v>4602</v>
      </c>
      <c r="C4656" t="str">
        <f>IFERROR(__xludf.DUMMYFUNCTION("GOOGLETRANSLATE(B4656, ""fr"", ""en"")"),"The Rolls-Royce of gaming headphones I have had for 1 year the old version of this helmet which I was fairly pleased with the quality and sound. Here I was blown away by the quality of finish of the helmet and really different sound quality for gaming, we"&amp;" really have a company a company that significantly improves its products and takes into account the mistakes of the past to make you a GAMING headset excellent quality. Is what I would order again in Astro? Yes without hesitation eyes closed.")</f>
        <v>The Rolls-Royce of gaming headphones I have had for 1 year the old version of this helmet which I was fairly pleased with the quality and sound. Here I was blown away by the quality of finish of the helmet and really different sound quality for gaming, we really have a company a company that significantly improves its products and takes into account the mistakes of the past to make you a GAMING headset excellent quality. Is what I would order again in Astro? Yes without hesitation eyes closed.</v>
      </c>
    </row>
    <row r="4657">
      <c r="A4657" s="1">
        <v>5.0</v>
      </c>
      <c r="B4657" s="1" t="s">
        <v>4603</v>
      </c>
      <c r="C4657" t="str">
        <f>IFERROR(__xludf.DUMMYFUNCTION("GOOGLETRANSLATE(B4657, ""fr"", ""en"")"),"A true happiness Top, nothing to say ...")</f>
        <v>A true happiness Top, nothing to say ...</v>
      </c>
    </row>
    <row r="4658">
      <c r="A4658" s="1">
        <v>5.0</v>
      </c>
      <c r="B4658" s="1" t="s">
        <v>4604</v>
      </c>
      <c r="C4658" t="str">
        <f>IFERROR(__xludf.DUMMYFUNCTION("GOOGLETRANSLATE(B4658, ""fr"", ""en"")"),"Perfect Perfect for my course")</f>
        <v>Perfect Perfect for my course</v>
      </c>
    </row>
    <row r="4659">
      <c r="A4659" s="1">
        <v>5.0</v>
      </c>
      <c r="B4659" s="1" t="s">
        <v>4605</v>
      </c>
      <c r="C4659" t="str">
        <f>IFERROR(__xludf.DUMMYFUNCTION("GOOGLETRANSLATE(B4659, ""fr"", ""en"")"),"Good product easy subject to fit and of good quality. I recommend this product. I advise a small anti pop filter like on my picture taken for its optimal")</f>
        <v>Good product easy subject to fit and of good quality. I recommend this product. I advise a small anti pop filter like on my picture taken for its optimal</v>
      </c>
    </row>
    <row r="4660">
      <c r="A4660" s="1">
        <v>5.0</v>
      </c>
      <c r="B4660" s="1" t="s">
        <v>4606</v>
      </c>
      <c r="C4660" t="str">
        <f>IFERROR(__xludf.DUMMYFUNCTION("GOOGLETRANSLATE(B4660, ""fr"", ""en"")"),"Good items Brushes")</f>
        <v>Good items Brushes</v>
      </c>
    </row>
    <row r="4661">
      <c r="A4661" s="1">
        <v>5.0</v>
      </c>
      <c r="B4661" s="1" t="s">
        <v>4607</v>
      </c>
      <c r="C4661" t="str">
        <f>IFERROR(__xludf.DUMMYFUNCTION("GOOGLETRANSLATE(B4661, ""fr"", ""en"")"),"Fully in line with our expectations. Very efficient and daily practice. The door toast avoids burn with toast. Ergonomic design has found its way perfectly.")</f>
        <v>Fully in line with our expectations. Very efficient and daily practice. The door toast avoids burn with toast. Ergonomic design has found its way perfectly.</v>
      </c>
    </row>
    <row r="4662">
      <c r="A4662" s="1">
        <v>5.0</v>
      </c>
      <c r="B4662" s="1" t="s">
        <v>1236</v>
      </c>
      <c r="C4662" t="str">
        <f>IFERROR(__xludf.DUMMYFUNCTION("GOOGLETRANSLATE(B4662, ""fr"", ""en"")"),"very well very well")</f>
        <v>very well very well</v>
      </c>
    </row>
    <row r="4663">
      <c r="A4663" s="1">
        <v>5.0</v>
      </c>
      <c r="B4663" s="1" t="s">
        <v>4608</v>
      </c>
      <c r="C4663" t="str">
        <f>IFERROR(__xludf.DUMMYFUNCTION("GOOGLETRANSLATE(B4663, ""fr"", ""en"")"),"He does not move very well Really perfect size.")</f>
        <v>He does not move very well Really perfect size.</v>
      </c>
    </row>
    <row r="4664">
      <c r="A4664" s="1">
        <v>2.0</v>
      </c>
      <c r="B4664" s="1" t="s">
        <v>4609</v>
      </c>
      <c r="C4664" t="str">
        <f>IFERROR(__xludf.DUMMYFUNCTION("GOOGLETRANSLATE(B4664, ""fr"", ""en"")"),"It was worth the money, nothing more. I venture an opinion on these shoes because I took 4 pairs in a few months. So I think to have an informed opinion to share the experience. These sneakers are pretty, nice, comfortable (no exaggeration, but not conclu"&amp;"sive discomfort). By cons, and this is the big problem of this model is that the fabric tears SYSTEMATICALLY after a few weeks in the heel. All my pairs had the same concern ... Basically, it's the m ****. But it is also cheap. Therefore ...")</f>
        <v>It was worth the money, nothing more. I venture an opinion on these shoes because I took 4 pairs in a few months. So I think to have an informed opinion to share the experience. These sneakers are pretty, nice, comfortable (no exaggeration, but not conclusive discomfort). By cons, and this is the big problem of this model is that the fabric tears SYSTEMATICALLY after a few weeks in the heel. All my pairs had the same concern ... Basically, it's the m ****. But it is also cheap. Therefore ...</v>
      </c>
    </row>
    <row r="4665">
      <c r="A4665" s="1">
        <v>1.0</v>
      </c>
      <c r="B4665" s="1" t="s">
        <v>4610</v>
      </c>
      <c r="C4665" t="str">
        <f>IFERROR(__xludf.DUMMYFUNCTION("GOOGLETRANSLATE(B4665, ""fr"", ""en"")"),"Design nice but ... returned Product for synchronizing to a very recent TV bluetooth constantly logged out. Also contrary to what I had read the sound was far from being qualitative. And when it was connected to the maximum volume is very very low ... It "&amp;"starts to do a lot for the price ....")</f>
        <v>Design nice but ... returned Product for synchronizing to a very recent TV bluetooth constantly logged out. Also contrary to what I had read the sound was far from being qualitative. And when it was connected to the maximum volume is very very low ... It starts to do a lot for the price ....</v>
      </c>
    </row>
    <row r="4666">
      <c r="A4666" s="1">
        <v>3.0</v>
      </c>
      <c r="B4666" s="1" t="s">
        <v>4611</v>
      </c>
      <c r="C4666" t="str">
        <f>IFERROR(__xludf.DUMMYFUNCTION("GOOGLETRANSLATE(B4666, ""fr"", ""en"")"),"small size good shoe, from the heel a little surprising but we do so. by cons I suggest you take a view both size larger because small shoes. Also not good is good value for money.")</f>
        <v>small size good shoe, from the heel a little surprising but we do so. by cons I suggest you take a view both size larger because small shoes. Also not good is good value for money.</v>
      </c>
    </row>
    <row r="4667">
      <c r="A4667" s="1">
        <v>3.0</v>
      </c>
      <c r="B4667" s="1" t="s">
        <v>4612</v>
      </c>
      <c r="C4667" t="str">
        <f>IFERROR(__xludf.DUMMYFUNCTION("GOOGLETRANSLATE(B4667, ""fr"", ""en"")"),"Bad I thought there was a bottle brush and a bottle brush nipple but no, there is a bottle brush after that of them can also be used on the nipples but I have not tested yet")</f>
        <v>Bad I thought there was a bottle brush and a bottle brush nipple but no, there is a bottle brush after that of them can also be used on the nipples but I have not tested yet</v>
      </c>
    </row>
    <row r="4668">
      <c r="A4668" s="1">
        <v>4.0</v>
      </c>
      <c r="B4668" s="1" t="s">
        <v>4613</v>
      </c>
      <c r="C4668" t="str">
        <f>IFERROR(__xludf.DUMMYFUNCTION("GOOGLETRANSLATE(B4668, ""fr"", ""en"")"),"awesome shoes received timely, consistent with the description. A real pleasure to wear, at the same time I already knew and I remain faithful to the brand!")</f>
        <v>awesome shoes received timely, consistent with the description. A real pleasure to wear, at the same time I already knew and I remain faithful to the brand!</v>
      </c>
    </row>
    <row r="4669">
      <c r="A4669" s="1">
        <v>4.0</v>
      </c>
      <c r="B4669" s="1" t="s">
        <v>4614</v>
      </c>
      <c r="C4669" t="str">
        <f>IFERROR(__xludf.DUMMYFUNCTION("GOOGLETRANSLATE(B4669, ""fr"", ""en"")"),"Very Happy The kettle filled his role well. intuitive operation. I have just loved to stop the alarm that I find a bit strong.")</f>
        <v>Very Happy The kettle filled his role well. intuitive operation. I have just loved to stop the alarm that I find a bit strong.</v>
      </c>
    </row>
    <row r="4670">
      <c r="A4670" s="1">
        <v>4.0</v>
      </c>
      <c r="B4670" s="1" t="s">
        <v>4615</v>
      </c>
      <c r="C4670" t="str">
        <f>IFERROR(__xludf.DUMMYFUNCTION("GOOGLETRANSLATE(B4670, ""fr"", ""en"")"),"product without problem apparently resistant fast delivery no worries solid air")</f>
        <v>product without problem apparently resistant fast delivery no worries solid air</v>
      </c>
    </row>
    <row r="4671">
      <c r="A4671" s="1">
        <v>4.0</v>
      </c>
      <c r="B4671" s="1" t="s">
        <v>4616</v>
      </c>
      <c r="C4671" t="str">
        <f>IFERROR(__xludf.DUMMYFUNCTION("GOOGLETRANSLATE(B4671, ""fr"", ""en"")"),"satisfied but not better quality product already spent in machine and nothing move, plus autumn winter product, the hood is not bad")</f>
        <v>satisfied but not better quality product already spent in machine and nothing move, plus autumn winter product, the hood is not bad</v>
      </c>
    </row>
    <row r="4672">
      <c r="A4672" s="1">
        <v>5.0</v>
      </c>
      <c r="B4672" s="1" t="s">
        <v>4617</v>
      </c>
      <c r="C4672" t="str">
        <f>IFERROR(__xludf.DUMMYFUNCTION("GOOGLETRANSLATE(B4672, ""fr"", ""en"")"),"Beautiful bag and rigid bcp pockets. Actually, I am very satisfied and I recommend it to everyone. Shiny and smooth, it can store all important papers and wallet for 1 trip.")</f>
        <v>Beautiful bag and rigid bcp pockets. Actually, I am very satisfied and I recommend it to everyone. Shiny and smooth, it can store all important papers and wallet for 1 trip.</v>
      </c>
    </row>
    <row r="4673">
      <c r="A4673" s="1">
        <v>5.0</v>
      </c>
      <c r="B4673" s="1" t="s">
        <v>4618</v>
      </c>
      <c r="C4673" t="str">
        <f>IFERROR(__xludf.DUMMYFUNCTION("GOOGLETRANSLATE(B4673, ""fr"", ""en"")"),"brassiere perfect I do not put that much better than the ca bras chest is perfectly maintained and the matter is top")</f>
        <v>brassiere perfect I do not put that much better than the ca bras chest is perfectly maintained and the matter is top</v>
      </c>
    </row>
    <row r="4674">
      <c r="A4674" s="1">
        <v>5.0</v>
      </c>
      <c r="B4674" s="1" t="s">
        <v>4619</v>
      </c>
      <c r="C4674" t="str">
        <f>IFERROR(__xludf.DUMMYFUNCTION("GOOGLETRANSLATE(B4674, ""fr"", ""en"")"),"Beautiful design Pleasantly surprised by the design of this item .. it goes well in any interior ... n the essential oil distribution is very nice and several levels of intensity .. disseminating cutting automatically after the desired time and the lights"&amp;" are very relaxing .. No perfect in any room of the house to purify the air or just bring a pleasant smell ...")</f>
        <v>Beautiful design Pleasantly surprised by the design of this item .. it goes well in any interior ... n the essential oil distribution is very nice and several levels of intensity .. disseminating cutting automatically after the desired time and the lights are very relaxing .. No perfect in any room of the house to purify the air or just bring a pleasant smell ...</v>
      </c>
    </row>
    <row r="4675">
      <c r="A4675" s="1">
        <v>5.0</v>
      </c>
      <c r="B4675" s="1" t="s">
        <v>4620</v>
      </c>
      <c r="C4675" t="str">
        <f>IFERROR(__xludf.DUMMYFUNCTION("GOOGLETRANSLATE(B4675, ""fr"", ""en"")"),"Super hot Very comfortable, well warm winter and they hold up well to foot! Quality Level nothing to say, they are beautiful finishes top")</f>
        <v>Super hot Very comfortable, well warm winter and they hold up well to foot! Quality Level nothing to say, they are beautiful finishes top</v>
      </c>
    </row>
    <row r="4676">
      <c r="A4676" s="1">
        <v>5.0</v>
      </c>
      <c r="B4676" s="1" t="s">
        <v>4621</v>
      </c>
      <c r="C4676" t="str">
        <f>IFERROR(__xludf.DUMMYFUNCTION("GOOGLETRANSLATE(B4676, ""fr"", ""en"")"),"perfect THEN NOTHING TO SAY WELL C TRO")</f>
        <v>perfect THEN NOTHING TO SAY WELL C TRO</v>
      </c>
    </row>
    <row r="4677">
      <c r="A4677" s="1">
        <v>5.0</v>
      </c>
      <c r="B4677" s="1" t="s">
        <v>4622</v>
      </c>
      <c r="C4677" t="str">
        <f>IFERROR(__xludf.DUMMYFUNCTION("GOOGLETRANSLATE(B4677, ""fr"", ""en"")"),"Good quality I bought this for my son who will begin to paint great product we will test its rapidly")</f>
        <v>Good quality I bought this for my son who will begin to paint great product we will test its rapidly</v>
      </c>
    </row>
    <row r="4678">
      <c r="A4678" s="1">
        <v>5.0</v>
      </c>
      <c r="B4678" s="1" t="s">
        <v>4623</v>
      </c>
      <c r="C4678" t="str">
        <f>IFERROR(__xludf.DUMMYFUNCTION("GOOGLETRANSLATE(B4678, ""fr"", ""en"")"),"Bien was comfortable and sports guy")</f>
        <v>Bien was comfortable and sports guy</v>
      </c>
    </row>
    <row r="4679">
      <c r="A4679" s="1">
        <v>5.0</v>
      </c>
      <c r="B4679" s="1" t="s">
        <v>4624</v>
      </c>
      <c r="C4679" t="str">
        <f>IFERROR(__xludf.DUMMYFUNCTION("GOOGLETRANSLATE(B4679, ""fr"", ""en"")"),"Perfect for milk + flour They are used for a long time (2 children) and they are very resistant. The size 4 are ideal when we add in flour.")</f>
        <v>Perfect for milk + flour They are used for a long time (2 children) and they are very resistant. The size 4 are ideal when we add in flour.</v>
      </c>
    </row>
    <row r="4680">
      <c r="A4680" s="1">
        <v>5.0</v>
      </c>
      <c r="B4680" s="1" t="s">
        <v>4625</v>
      </c>
      <c r="C4680" t="str">
        <f>IFERROR(__xludf.DUMMYFUNCTION("GOOGLETRANSLATE(B4680, ""fr"", ""en"")"),"Very good article Impeccable! The bag goes with everything, convenient and clutter it matches my expectations. I recommend it.")</f>
        <v>Very good article Impeccable! The bag goes with everything, convenient and clutter it matches my expectations. I recommend it.</v>
      </c>
    </row>
    <row r="4681">
      <c r="A4681" s="1">
        <v>5.0</v>
      </c>
      <c r="B4681" s="1" t="s">
        <v>4626</v>
      </c>
      <c r="C4681" t="str">
        <f>IFERROR(__xludf.DUMMYFUNCTION("GOOGLETRANSLATE(B4681, ""fr"", ""en"")"),"Excellent intra After 1 week of testing these earphones I have adopted. After setting the sound through my notes and 10+ via the app sony I sound that suits me that I love and intra again proudly that good sound that I find on helmets great brand very fam"&amp;"ous. The battery keeps this promise with a holding of more than 6 hours without activating anything. No connection problem with the phone for eavesdropping. An excellent noise reduction and which was to improve with the updated 27 August. These intra mana"&amp;"ges to produce excellent sound with an impeccable ear held in a given excellent battery for intra (1 full day and more via the box). I will update my review if I find worries. Hopefully Sony will continue to update the product to address worries that ther"&amp;"e 'for some.")</f>
        <v>Excellent intra After 1 week of testing these earphones I have adopted. After setting the sound through my notes and 10+ via the app sony I sound that suits me that I love and intra again proudly that good sound that I find on helmets great brand very famous. The battery keeps this promise with a holding of more than 6 hours without activating anything. No connection problem with the phone for eavesdropping. An excellent noise reduction and which was to improve with the updated 27 August. These intra manages to produce excellent sound with an impeccable ear held in a given excellent battery for intra (1 full day and more via the box). I will update my review if I find worries. Hopefully Sony will continue to update the product to address worries that there 'for some.</v>
      </c>
    </row>
    <row r="4682">
      <c r="A4682" s="1">
        <v>5.0</v>
      </c>
      <c r="B4682" s="1" t="s">
        <v>4627</v>
      </c>
      <c r="C4682" t="str">
        <f>IFERROR(__xludf.DUMMYFUNCTION("GOOGLETRANSLATE(B4682, ""fr"", ""en"")"),"Satisfied! I am satisfied with the product. It is very beautiful and practical.")</f>
        <v>Satisfied! I am satisfied with the product. It is very beautiful and practical.</v>
      </c>
    </row>
    <row r="4683">
      <c r="A4683" s="1">
        <v>5.0</v>
      </c>
      <c r="B4683" s="1" t="s">
        <v>4628</v>
      </c>
      <c r="C4683" t="str">
        <f>IFERROR(__xludf.DUMMYFUNCTION("GOOGLETRANSLATE(B4683, ""fr"", ""en"")"),"Easy to learn, answers the need Comes with a small label roll. Compatible with D1 tapes sold by Unistar. Easy grip - my 6 year old daughter little label its business alone. At startup the ribbon hangs but it's just that we have not yet understood that the"&amp;" minimum length must exceed with a new ribbon (not jammed with a ribbon already installed).")</f>
        <v>Easy to learn, answers the need Comes with a small label roll. Compatible with D1 tapes sold by Unistar. Easy grip - my 6 year old daughter little label its business alone. At startup the ribbon hangs but it's just that we have not yet understood that the minimum length must exceed with a new ribbon (not jammed with a ribbon already installed).</v>
      </c>
    </row>
    <row r="4684">
      <c r="A4684" s="1">
        <v>5.0</v>
      </c>
      <c r="B4684" s="1" t="s">
        <v>4629</v>
      </c>
      <c r="C4684" t="str">
        <f>IFERROR(__xludf.DUMMYFUNCTION("GOOGLETRANSLATE(B4684, ""fr"", ""en"")"),"radio controlled and solar It perfectly matches my expectations both aesthetic and technical.")</f>
        <v>radio controlled and solar It perfectly matches my expectations both aesthetic and technical.</v>
      </c>
    </row>
    <row r="4685">
      <c r="A4685" s="1">
        <v>5.0</v>
      </c>
      <c r="B4685" s="1" t="s">
        <v>4630</v>
      </c>
      <c r="C4685" t="str">
        <f>IFERROR(__xludf.DUMMYFUNCTION("GOOGLETRANSLATE(B4685, ""fr"", ""en"")"),"The bracelet fits perfectly! It is good quality and is very easy to put through the tools provided with. I recommend!")</f>
        <v>The bracelet fits perfectly! It is good quality and is very easy to put through the tools provided with. I recommend!</v>
      </c>
    </row>
    <row r="4686">
      <c r="A4686" s="1">
        <v>5.0</v>
      </c>
      <c r="B4686" s="1" t="s">
        <v>4631</v>
      </c>
      <c r="C4686" t="str">
        <f>IFERROR(__xludf.DUMMYFUNCTION("GOOGLETRANSLATE(B4686, ""fr"", ""en"")"),"Trainers time of cherries Good shoes correspond to the specified size.")</f>
        <v>Trainers time of cherries Good shoes correspond to the specified size.</v>
      </c>
    </row>
    <row r="4687">
      <c r="A4687" s="1">
        <v>2.0</v>
      </c>
      <c r="B4687" s="1" t="s">
        <v>4632</v>
      </c>
      <c r="C4687" t="str">
        <f>IFERROR(__xludf.DUMMYFUNCTION("GOOGLETRANSLATE(B4687, ""fr"", ""en"")"),"Not worth more than its sale price Nice shows but consistent quality with the price of 27 €. When we see the starting price of € 133, we say anyway that buyers who have paid the price (if any) have done well to have. The buttons seem irrelevant for the fu"&amp;"nctions they control but operate when mm, it's just that there is no feeling of support. The strap is adjustable but the tool provided writhes because the metal rods to be dislocated are difficult to dislodge. The closure seems pretty light and fragile. N"&amp;"ow we must recognize that the watch is its effect in terms of visual and at this price there is nothing to say. But it is not worth more. I also add that the coating fades despite occasional use (see photo), knowing that I did that since late June.")</f>
        <v>Not worth more than its sale price Nice shows but consistent quality with the price of 27 €. When we see the starting price of € 133, we say anyway that buyers who have paid the price (if any) have done well to have. The buttons seem irrelevant for the functions they control but operate when mm, it's just that there is no feeling of support. The strap is adjustable but the tool provided writhes because the metal rods to be dislocated are difficult to dislodge. The closure seems pretty light and fragile. Now we must recognize that the watch is its effect in terms of visual and at this price there is nothing to say. But it is not worth more. I also add that the coating fades despite occasional use (see photo), knowing that I did that since late June.</v>
      </c>
    </row>
    <row r="4688">
      <c r="A4688" s="1">
        <v>1.0</v>
      </c>
      <c r="B4688" s="1" t="s">
        <v>4633</v>
      </c>
      <c r="C4688" t="str">
        <f>IFERROR(__xludf.DUMMYFUNCTION("GOOGLETRANSLATE(B4688, ""fr"", ""en"")"),"HP ink cartridge 62 pack big scam I just opened and put my color cartridge is empty, the second I open the reserve pack and empty too!")</f>
        <v>HP ink cartridge 62 pack big scam I just opened and put my color cartridge is empty, the second I open the reserve pack and empty too!</v>
      </c>
    </row>
    <row r="4689">
      <c r="A4689" s="1">
        <v>1.0</v>
      </c>
      <c r="B4689" s="1" t="s">
        <v>4634</v>
      </c>
      <c r="C4689" t="str">
        <f>IFERROR(__xludf.DUMMYFUNCTION("GOOGLETRANSLATE(B4689, ""fr"", ""en"")"),"Disappointed Disappointed in quality after shot after 1 month of use I realize that the initials next to converse badge s clears so I doubt the product originality")</f>
        <v>Disappointed Disappointed in quality after shot after 1 month of use I realize that the initials next to converse badge s clears so I doubt the product originality</v>
      </c>
    </row>
    <row r="4690">
      <c r="A4690" s="1">
        <v>3.0</v>
      </c>
      <c r="B4690" s="1" t="s">
        <v>4635</v>
      </c>
      <c r="C4690" t="str">
        <f>IFERROR(__xludf.DUMMYFUNCTION("GOOGLETRANSLATE(B4690, ""fr"", ""en"")"),"Done the job, nothing more to get to the point, I bought a product ""recommended by Amazon"" and this is blah no more. Ok it does the job, but my daughter had allergies ears and face ... because the helmet. It is better to put a little more and take a JBL"&amp;" T450 (or 460), the sound is very good, very comfortable, etc ...")</f>
        <v>Done the job, nothing more to get to the point, I bought a product "recommended by Amazon" and this is blah no more. Ok it does the job, but my daughter had allergies ears and face ... because the helmet. It is better to put a little more and take a JBL T450 (or 460), the sound is very good, very comfortable, etc ...</v>
      </c>
    </row>
    <row r="4691">
      <c r="A4691" s="1">
        <v>3.0</v>
      </c>
      <c r="B4691" s="1" t="s">
        <v>4636</v>
      </c>
      <c r="C4691" t="str">
        <f>IFERROR(__xludf.DUMMYFUNCTION("GOOGLETRANSLATE(B4691, ""fr"", ""en"")"),"Length ok but too low waist very decent quality, delivery within dice opinion. The length is good but these pants are poorly cut, it is a very low waist, too low.")</f>
        <v>Length ok but too low waist very decent quality, delivery within dice opinion. The length is good but these pants are poorly cut, it is a very low waist, too low.</v>
      </c>
    </row>
    <row r="4692">
      <c r="A4692" s="1">
        <v>4.0</v>
      </c>
      <c r="B4692" s="1" t="s">
        <v>4637</v>
      </c>
      <c r="C4692" t="str">
        <f>IFERROR(__xludf.DUMMYFUNCTION("GOOGLETRANSLATE(B4692, ""fr"", ""en"")"),"well well")</f>
        <v>well well</v>
      </c>
    </row>
    <row r="4693">
      <c r="A4693" s="1">
        <v>4.0</v>
      </c>
      <c r="B4693" s="1" t="s">
        <v>4638</v>
      </c>
      <c r="C4693" t="str">
        <f>IFERROR(__xludf.DUMMYFUNCTION("GOOGLETRANSLATE(B4693, ""fr"", ""en"")"),"satisfied with this collar is a collar that meets my expectations in matters of solidity. it is simple to put in addition to being beautiful. My son carries the past week and it has 4 months. I first had one also, and he made his teeth without difficultie"&amp;"s.")</f>
        <v>satisfied with this collar is a collar that meets my expectations in matters of solidity. it is simple to put in addition to being beautiful. My son carries the past week and it has 4 months. I first had one also, and he made his teeth without difficulties.</v>
      </c>
    </row>
    <row r="4694">
      <c r="A4694" s="1">
        <v>4.0</v>
      </c>
      <c r="B4694" s="1" t="s">
        <v>4639</v>
      </c>
      <c r="C4694" t="str">
        <f>IFERROR(__xludf.DUMMYFUNCTION("GOOGLETRANSLATE(B4694, ""fr"", ""en"")"),"Long but good ^^ long the heating but retains all the nutrients, Conforms to the description and photo, good quality, satisfied with my purchase,")</f>
        <v>Long but good ^^ long the heating but retains all the nutrients, Conforms to the description and photo, good quality, satisfied with my purchase,</v>
      </c>
    </row>
    <row r="4695">
      <c r="A4695" s="1">
        <v>4.0</v>
      </c>
      <c r="B4695" s="1" t="s">
        <v>4640</v>
      </c>
      <c r="C4695" t="str">
        <f>IFERROR(__xludf.DUMMYFUNCTION("GOOGLETRANSLATE(B4695, ""fr"", ""en"")"),"A basic This kettle is pretty basic. I bought it to install on my work place and fulfills its functions. However, it gives a very plastic feel, and it Generais me in the long run. It is very simple and very intuitive Usage requirements, the manual is almo"&amp;"st useless. The cord is long enough though as always I would have preferred it to be more.")</f>
        <v>A basic This kettle is pretty basic. I bought it to install on my work place and fulfills its functions. However, it gives a very plastic feel, and it Generais me in the long run. It is very simple and very intuitive Usage requirements, the manual is almost useless. The cord is long enough though as always I would have preferred it to be more.</v>
      </c>
    </row>
    <row r="4696">
      <c r="A4696" s="1">
        <v>5.0</v>
      </c>
      <c r="B4696" s="1" t="s">
        <v>4641</v>
      </c>
      <c r="C4696" t="str">
        <f>IFERROR(__xludf.DUMMYFUNCTION("GOOGLETRANSLATE(B4696, ""fr"", ""en"")"),"All cabbage !! I just love it!!! Generally I am not a fan of those big blue stones in the shape of heart, but here the heart is not too big and the koala is as above. So not too big !!! I'm happy with this necklace that I will offer to my goddaughter. The"&amp;" + in the box setting and the small cleaning cloth. It remains to see the quality with time ... I thoroughly recommend this product")</f>
        <v>All cabbage !! I just love it!!! Generally I am not a fan of those big blue stones in the shape of heart, but here the heart is not too big and the koala is as above. So not too big !!! I'm happy with this necklace that I will offer to my goddaughter. The + in the box setting and the small cleaning cloth. It remains to see the quality with time ... I thoroughly recommend this product</v>
      </c>
    </row>
    <row r="4697">
      <c r="A4697" s="1">
        <v>5.0</v>
      </c>
      <c r="B4697" s="1" t="s">
        <v>4642</v>
      </c>
      <c r="C4697" t="str">
        <f>IFERROR(__xludf.DUMMYFUNCTION("GOOGLETRANSLATE(B4697, ""fr"", ""en"")"),"pretty beautiful more beautiful than the picture")</f>
        <v>pretty beautiful more beautiful than the picture</v>
      </c>
    </row>
    <row r="4698">
      <c r="A4698" s="1">
        <v>5.0</v>
      </c>
      <c r="B4698" s="1" t="s">
        <v>4643</v>
      </c>
      <c r="C4698" t="str">
        <f>IFERROR(__xludf.DUMMYFUNCTION("GOOGLETRANSLATE(B4698, ""fr"", ""en"")"),"Refill Buy these refills for me and my children, for my children for school and for me to sew. The pen erases heat, so convenient for sewing to draw on the fabric, it fades to iron board. For my kids they love the fact that it fades with gum planned for t"&amp;"hese pens.")</f>
        <v>Refill Buy these refills for me and my children, for my children for school and for me to sew. The pen erases heat, so convenient for sewing to draw on the fabric, it fades to iron board. For my kids they love the fact that it fades with gum planned for these pens.</v>
      </c>
    </row>
    <row r="4699">
      <c r="A4699" s="1">
        <v>5.0</v>
      </c>
      <c r="B4699" s="1" t="s">
        <v>4644</v>
      </c>
      <c r="C4699" t="str">
        <f>IFERROR(__xludf.DUMMYFUNCTION("GOOGLETRANSLATE(B4699, ""fr"", ""en"")"),"An object become essential at home We use it almost daily and it saved me a few sessions with the chiropractor by relaxing the lower back muscles. It is a bit noisy, but not annoying even watching TV.")</f>
        <v>An object become essential at home We use it almost daily and it saved me a few sessions with the chiropractor by relaxing the lower back muscles. It is a bit noisy, but not annoying even watching TV.</v>
      </c>
    </row>
    <row r="4700">
      <c r="A4700" s="1">
        <v>5.0</v>
      </c>
      <c r="B4700" s="1" t="s">
        <v>4645</v>
      </c>
      <c r="C4700" t="str">
        <f>IFERROR(__xludf.DUMMYFUNCTION("GOOGLETRANSLATE(B4700, ""fr"", ""en"")"),"A pretty good quality headset with Pleasantly surprised by this helmet The helmet is very pleasant to use, it is light, the sound quality is very good. The Bluetooth connectivity allows to not have cable, and this is very convenient. I recommend.")</f>
        <v>A pretty good quality headset with Pleasantly surprised by this helmet The helmet is very pleasant to use, it is light, the sound quality is very good. The Bluetooth connectivity allows to not have cable, and this is very convenient. I recommend.</v>
      </c>
    </row>
    <row r="4701">
      <c r="A4701" s="1">
        <v>5.0</v>
      </c>
      <c r="B4701" s="1" t="s">
        <v>508</v>
      </c>
      <c r="C4701" t="str">
        <f>IFERROR(__xludf.DUMMYFUNCTION("GOOGLETRANSLATE(B4701, ""fr"", ""en"")"),"Very well very well")</f>
        <v>Very well very well</v>
      </c>
    </row>
    <row r="4702">
      <c r="A4702" s="1">
        <v>5.0</v>
      </c>
      <c r="B4702" s="1" t="s">
        <v>4646</v>
      </c>
      <c r="C4702" t="str">
        <f>IFERROR(__xludf.DUMMYFUNCTION("GOOGLETRANSLATE(B4702, ""fr"", ""en"")"),"Good for some actions. Avoid reflections to the microphone, it's not a cabin but the price is not the same!")</f>
        <v>Good for some actions. Avoid reflections to the microphone, it's not a cabin but the price is not the same!</v>
      </c>
    </row>
    <row r="4703">
      <c r="A4703" s="1">
        <v>5.0</v>
      </c>
      <c r="B4703" s="1" t="s">
        <v>4647</v>
      </c>
      <c r="C4703" t="str">
        <f>IFERROR(__xludf.DUMMYFUNCTION("GOOGLETRANSLATE(B4703, ""fr"", ""en"")"),"Superb fine quality rings for a modest price.")</f>
        <v>Superb fine quality rings for a modest price.</v>
      </c>
    </row>
    <row r="4704">
      <c r="A4704" s="1">
        <v>5.0</v>
      </c>
      <c r="B4704" s="1" t="s">
        <v>4648</v>
      </c>
      <c r="C4704" t="str">
        <f>IFERROR(__xludf.DUMMYFUNCTION("GOOGLETRANSLATE(B4704, ""fr"", ""en"")"),"No more pain for lumbar Happiness !!!! Heater easily in the microwave and distributes heat for a while. Better than the gel packs for my taste!")</f>
        <v>No more pain for lumbar Happiness !!!! Heater easily in the microwave and distributes heat for a while. Better than the gel packs for my taste!</v>
      </c>
    </row>
    <row r="4705">
      <c r="A4705" s="1">
        <v>5.0</v>
      </c>
      <c r="B4705" s="1" t="s">
        <v>4649</v>
      </c>
      <c r="C4705" t="str">
        <f>IFERROR(__xludf.DUMMYFUNCTION("GOOGLETRANSLATE(B4705, ""fr"", ""en"")"),"felt felt")</f>
        <v>felt felt</v>
      </c>
    </row>
    <row r="4706">
      <c r="A4706" s="1">
        <v>5.0</v>
      </c>
      <c r="B4706" s="1" t="s">
        <v>4650</v>
      </c>
      <c r="C4706" t="str">
        <f>IFERROR(__xludf.DUMMYFUNCTION("GOOGLETRANSLATE(B4706, ""fr"", ""en"")"),"Responds to my expectations even more with the thing to cut corners Superb laminator! I recommend +++++ 👍")</f>
        <v>Responds to my expectations even more with the thing to cut corners Superb laminator! I recommend +++++ 👍</v>
      </c>
    </row>
    <row r="4707">
      <c r="A4707" s="1">
        <v>5.0</v>
      </c>
      <c r="B4707" s="1" t="s">
        <v>4651</v>
      </c>
      <c r="C4707" t="str">
        <f>IFERROR(__xludf.DUMMYFUNCTION("GOOGLETRANSLATE(B4707, ""fr"", ""en"")"),"Now The bracelet is nice, it was a gift for a friend who has enjoyed. I love the tree of life in the middle. Very fast delivery as indicated.")</f>
        <v>Now The bracelet is nice, it was a gift for a friend who has enjoyed. I love the tree of life in the middle. Very fast delivery as indicated.</v>
      </c>
    </row>
    <row r="4708">
      <c r="A4708" s="1">
        <v>5.0</v>
      </c>
      <c r="B4708" s="1" t="s">
        <v>4652</v>
      </c>
      <c r="C4708" t="str">
        <f>IFERROR(__xludf.DUMMYFUNCTION("GOOGLETRANSLATE(B4708, ""fr"", ""en"")"),"Although child Bought to give to a child. The stones have the good air and varied, but quite small. The description specifies the dimensions of the box: 12 x 10 cm. What makes 12 compartments of approximately 3 x 3 cm. The variety of small stones used to "&amp;"start a collection for a child. So good product.")</f>
        <v>Although child Bought to give to a child. The stones have the good air and varied, but quite small. The description specifies the dimensions of the box: 12 x 10 cm. What makes 12 compartments of approximately 3 x 3 cm. The variety of small stones used to start a collection for a child. So good product.</v>
      </c>
    </row>
    <row r="4709">
      <c r="A4709" s="1">
        <v>5.0</v>
      </c>
      <c r="B4709" s="1" t="s">
        <v>4653</v>
      </c>
      <c r="C4709" t="str">
        <f>IFERROR(__xludf.DUMMYFUNCTION("GOOGLETRANSLATE(B4709, ""fr"", ""en"")"),"Finally tennis for wide feet finally adapted tennis with wide feet and superior size to 47 !!! Often we do not find suitable shoes to wide feet in the upper sizes to 47. Result compelled to order two sizes above which is also very difficult to find even o"&amp;"n the internet and almost impossible in specialized stores")</f>
        <v>Finally tennis for wide feet finally adapted tennis with wide feet and superior size to 47 !!! Often we do not find suitable shoes to wide feet in the upper sizes to 47. Result compelled to order two sizes above which is also very difficult to find even on the internet and almost impossible in specialized stores</v>
      </c>
    </row>
    <row r="4710">
      <c r="A4710" s="1">
        <v>5.0</v>
      </c>
      <c r="B4710" s="1" t="s">
        <v>4654</v>
      </c>
      <c r="C4710" t="str">
        <f>IFERROR(__xludf.DUMMYFUNCTION("GOOGLETRANSLATE(B4710, ""fr"", ""en"")"),"a classic - still effective the ultimate weapon near the litter of cats. no need to do to burn the paper of Armenia is already effective")</f>
        <v>a classic - still effective the ultimate weapon near the litter of cats. no need to do to burn the paper of Armenia is already effective</v>
      </c>
    </row>
    <row r="4711">
      <c r="A4711" s="1">
        <v>2.0</v>
      </c>
      <c r="B4711" s="1" t="s">
        <v>4655</v>
      </c>
      <c r="C4711" t="str">
        <f>IFERROR(__xludf.DUMMYFUNCTION("GOOGLETRANSLATE(B4711, ""fr"", ""en"")"),"blah too just in size, does not rise enough in the stomach.")</f>
        <v>blah too just in size, does not rise enough in the stomach.</v>
      </c>
    </row>
    <row r="4712">
      <c r="A4712" s="1">
        <v>1.0</v>
      </c>
      <c r="B4712" s="1" t="s">
        <v>4656</v>
      </c>
      <c r="C4712" t="str">
        <f>IFERROR(__xludf.DUMMYFUNCTION("GOOGLETRANSLATE(B4712, ""fr"", ""en"")"),"Shoulder Bag This is a bag too big and not too strong")</f>
        <v>Shoulder Bag This is a bag too big and not too strong</v>
      </c>
    </row>
    <row r="4713">
      <c r="A4713" s="1">
        <v>1.0</v>
      </c>
      <c r="B4713" s="1" t="s">
        <v>4657</v>
      </c>
      <c r="C4713" t="str">
        <f>IFERROR(__xludf.DUMMYFUNCTION("GOOGLETRANSLATE(B4713, ""fr"", ""en"")"),"C C disappointing as nice bag but not great quality belt you can not squeeze it and it goes down only tt c considering the price is not cheap")</f>
        <v>C C disappointing as nice bag but not great quality belt you can not squeeze it and it goes down only tt c considering the price is not cheap</v>
      </c>
    </row>
    <row r="4714">
      <c r="A4714" s="1">
        <v>3.0</v>
      </c>
      <c r="B4714" s="1" t="s">
        <v>4658</v>
      </c>
      <c r="C4714" t="str">
        <f>IFERROR(__xludf.DUMMYFUNCTION("GOOGLETRANSLATE(B4714, ""fr"", ""en"")"),"A little too masculine for me Finally, too heavy and masculine for my taste. I too small for this wrist strap. Too bad because this is exactly the type of closure I was looking for my watch load 2.")</f>
        <v>A little too masculine for me Finally, too heavy and masculine for my taste. I too small for this wrist strap. Too bad because this is exactly the type of closure I was looking for my watch load 2.</v>
      </c>
    </row>
    <row r="4715">
      <c r="A4715" s="1">
        <v>4.0</v>
      </c>
      <c r="B4715" s="1" t="s">
        <v>4659</v>
      </c>
      <c r="C4715" t="str">
        <f>IFERROR(__xludf.DUMMYFUNCTION("GOOGLETRANSLATE(B4715, ""fr"", ""en"")"),"Good quality product J bought this product because going on holiday and could no longer m sun exposure too, so I have bought this product that is very comfortable to wear.")</f>
        <v>Good quality product J bought this product because going on holiday and could no longer m sun exposure too, so I have bought this product that is very comfortable to wear.</v>
      </c>
    </row>
    <row r="4716">
      <c r="A4716" s="1">
        <v>4.0</v>
      </c>
      <c r="B4716" s="1" t="s">
        <v>4660</v>
      </c>
      <c r="C4716" t="str">
        <f>IFERROR(__xludf.DUMMYFUNCTION("GOOGLETRANSLATE(B4716, ""fr"", ""en"")"),"Quality worthy of Bose. Very good quality, be it sound, aesthetically, I almost any door throughout the day, sometimes I forget that it is there.")</f>
        <v>Quality worthy of Bose. Very good quality, be it sound, aesthetically, I almost any door throughout the day, sometimes I forget that it is there.</v>
      </c>
    </row>
    <row r="4717">
      <c r="A4717" s="1">
        <v>4.0</v>
      </c>
      <c r="B4717" s="1" t="s">
        <v>4661</v>
      </c>
      <c r="C4717" t="str">
        <f>IFERROR(__xludf.DUMMYFUNCTION("GOOGLETRANSLATE(B4717, ""fr"", ""en"")"),"Done the job but could do better Although a bit too massive for me (= heavy and bulky), it is pleasant to use. For cons, the interface could be greatly improved with optimized input modes: I liked that the last special characters are displayed first, inst"&amp;"ead of every time need to look for the 5th line, 3rd column :-(")</f>
        <v>Done the job but could do better Although a bit too massive for me (= heavy and bulky), it is pleasant to use. For cons, the interface could be greatly improved with optimized input modes: I liked that the last special characters are displayed first, instead of every time need to look for the 5th line, 3rd column :-(</v>
      </c>
    </row>
    <row r="4718">
      <c r="A4718" s="1">
        <v>4.0</v>
      </c>
      <c r="B4718" s="1" t="s">
        <v>4662</v>
      </c>
      <c r="C4718" t="str">
        <f>IFERROR(__xludf.DUMMYFUNCTION("GOOGLETRANSLATE(B4718, ""fr"", ""en"")"),"Although Joli lot of essential oils, well presented, and rather solid bottles filled goods at the reception. I do not like necessarily all odors (tea tree, for example), and some are less concentrated than others, it will be necessary to put a little more"&amp;" into the diffuser.")</f>
        <v>Although Joli lot of essential oils, well presented, and rather solid bottles filled goods at the reception. I do not like necessarily all odors (tea tree, for example), and some are less concentrated than others, it will be necessary to put a little more into the diffuser.</v>
      </c>
    </row>
    <row r="4719">
      <c r="A4719" s="1">
        <v>5.0</v>
      </c>
      <c r="B4719" s="1" t="s">
        <v>4663</v>
      </c>
      <c r="C4719" t="str">
        <f>IFERROR(__xludf.DUMMYFUNCTION("GOOGLETRANSLATE(B4719, ""fr"", ""en"")"),"Excellent quality / price Current use Very compact and cute")</f>
        <v>Excellent quality / price Current use Very compact and cute</v>
      </c>
    </row>
    <row r="4720">
      <c r="A4720" s="1">
        <v>5.0</v>
      </c>
      <c r="B4720" s="1" t="s">
        <v>4664</v>
      </c>
      <c r="C4720" t="str">
        <f>IFERROR(__xludf.DUMMYFUNCTION("GOOGLETRANSLATE(B4720, ""fr"", ""en"")"),"Excellent For a first experience, I found the perfect really I was skeptical but the quality is there (using galaxy wearable) and aesthetics is really good 😊")</f>
        <v>Excellent For a first experience, I found the perfect really I was skeptical but the quality is there (using galaxy wearable) and aesthetics is really good 😊</v>
      </c>
    </row>
    <row r="4721">
      <c r="A4721" s="1">
        <v>5.0</v>
      </c>
      <c r="B4721" s="1" t="s">
        <v>4665</v>
      </c>
      <c r="C4721" t="str">
        <f>IFERROR(__xludf.DUMMYFUNCTION("GOOGLETRANSLATE(B4721, ""fr"", ""en"")"),"Bluetooth headsets ideal for sports These Bluetooth headsets are of good quality. Supplied with their charging case, very convenient to prolong the battery life. These headphones are compatible Bluetooth 5.0. A noise reduction function is present. Also th"&amp;"ey are so tight perfectly resistant to perspiration. A microphone is present on these headphones. The autonomy of these headphones is very good. In short, after several days of testing these headphones are ideal for the sport. I highly recommend.")</f>
        <v>Bluetooth headsets ideal for sports These Bluetooth headsets are of good quality. Supplied with their charging case, very convenient to prolong the battery life. These headphones are compatible Bluetooth 5.0. A noise reduction function is present. Also they are so tight perfectly resistant to perspiration. A microphone is present on these headphones. The autonomy of these headphones is very good. In short, after several days of testing these headphones are ideal for the sport. I highly recommend.</v>
      </c>
    </row>
    <row r="4722">
      <c r="A4722" s="1">
        <v>5.0</v>
      </c>
      <c r="B4722" s="1" t="s">
        <v>4666</v>
      </c>
      <c r="C4722" t="str">
        <f>IFERROR(__xludf.DUMMYFUNCTION("GOOGLETRANSLATE(B4722, ""fr"", ""en"")"),"Timeless True to the brand")</f>
        <v>Timeless True to the brand</v>
      </c>
    </row>
    <row r="4723">
      <c r="A4723" s="1">
        <v>5.0</v>
      </c>
      <c r="B4723" s="1" t="s">
        <v>4667</v>
      </c>
      <c r="C4723" t="str">
        <f>IFERROR(__xludf.DUMMYFUNCTION("GOOGLETRANSLATE(B4723, ""fr"", ""en"")"),"Top Perfect! Unbeatable price ! A classic ! The product I received is authentic")</f>
        <v>Top Perfect! Unbeatable price ! A classic ! The product I received is authentic</v>
      </c>
    </row>
    <row r="4724">
      <c r="A4724" s="1">
        <v>5.0</v>
      </c>
      <c r="B4724" s="1" t="s">
        <v>4668</v>
      </c>
      <c r="C4724" t="str">
        <f>IFERROR(__xludf.DUMMYFUNCTION("GOOGLETRANSLATE(B4724, ""fr"", ""en"")"),"Beautiful item Beautiful earrings, elegant silver and pearl with gold edging. Delivered quickly. Super in this holiday season.")</f>
        <v>Beautiful item Beautiful earrings, elegant silver and pearl with gold edging. Delivered quickly. Super in this holiday season.</v>
      </c>
    </row>
    <row r="4725">
      <c r="A4725" s="1">
        <v>5.0</v>
      </c>
      <c r="B4725" s="1" t="s">
        <v>4669</v>
      </c>
      <c r="C4725" t="str">
        <f>IFERROR(__xludf.DUMMYFUNCTION("GOOGLETRANSLATE(B4725, ""fr"", ""en"")"),"Very satisfied Very nice pendant with the chain! Good quality A nice idea for small gift Price Done effect")</f>
        <v>Very satisfied Very nice pendant with the chain! Good quality A nice idea for small gift Price Done effect</v>
      </c>
    </row>
    <row r="4726">
      <c r="A4726" s="1">
        <v>5.0</v>
      </c>
      <c r="B4726" s="1" t="s">
        <v>4670</v>
      </c>
      <c r="C4726" t="str">
        <f>IFERROR(__xludf.DUMMYFUNCTION("GOOGLETRANSLATE(B4726, ""fr"", ""en"")"),"Stereo Headset: Gritin in Ear super metallic stereo headset just Whaooo !!! The TOP her it's like in a movie theater with sound - cinema !!! very good helmet that I recommend and I'll wait a little longer to try a few days and if I am still satisfied, I'l"&amp;"l buy another probably even two; And What Price !!! ha yes I forgot sent her little cute and cuddly black bag !!! very happy too !!! ha yes also sends perfect !!!")</f>
        <v>Stereo Headset: Gritin in Ear super metallic stereo headset just Whaooo !!! The TOP her it's like in a movie theater with sound - cinema !!! very good helmet that I recommend and I'll wait a little longer to try a few days and if I am still satisfied, I'll buy another probably even two; And What Price !!! ha yes I forgot sent her little cute and cuddly black bag !!! very happy too !!! ha yes also sends perfect !!!</v>
      </c>
    </row>
    <row r="4727">
      <c r="A4727" s="1">
        <v>5.0</v>
      </c>
      <c r="B4727" s="1" t="s">
        <v>2457</v>
      </c>
      <c r="C4727" t="str">
        <f>IFERROR(__xludf.DUMMYFUNCTION("GOOGLETRANSLATE(B4727, ""fr"", ""en"")"),"Ok Ok")</f>
        <v>Ok Ok</v>
      </c>
    </row>
    <row r="4728">
      <c r="A4728" s="1">
        <v>5.0</v>
      </c>
      <c r="B4728" s="1" t="s">
        <v>4671</v>
      </c>
      <c r="C4728" t="str">
        <f>IFERROR(__xludf.DUMMYFUNCTION("GOOGLETRANSLATE(B4728, ""fr"", ""en"")"),"Well it's going")</f>
        <v>Well it's going</v>
      </c>
    </row>
    <row r="4729">
      <c r="A4729" s="1">
        <v>5.0</v>
      </c>
      <c r="B4729" s="1" t="s">
        <v>4672</v>
      </c>
      <c r="C4729" t="str">
        <f>IFERROR(__xludf.DUMMYFUNCTION("GOOGLETRANSLATE(B4729, ""fr"", ""en"")"),"Safety shoes Good quality. Anti slip, safety shell. Great for work")</f>
        <v>Safety shoes Good quality. Anti slip, safety shell. Great for work</v>
      </c>
    </row>
    <row r="4730">
      <c r="A4730" s="1">
        <v>5.0</v>
      </c>
      <c r="B4730" s="1" t="s">
        <v>4673</v>
      </c>
      <c r="C4730" t="str">
        <f>IFERROR(__xludf.DUMMYFUNCTION("GOOGLETRANSLATE(B4730, ""fr"", ""en"")"),"Very good pair of comfortable boots")</f>
        <v>Very good pair of comfortable boots</v>
      </c>
    </row>
    <row r="4731">
      <c r="A4731" s="1">
        <v>5.0</v>
      </c>
      <c r="B4731" s="1" t="s">
        <v>4674</v>
      </c>
      <c r="C4731" t="str">
        <f>IFERROR(__xludf.DUMMYFUNCTION("GOOGLETRANSLATE(B4731, ""fr"", ""en"")"),"Okay I ordered 100E great size. I use it for sports, very nice.")</f>
        <v>Okay I ordered 100E great size. I use it for sports, very nice.</v>
      </c>
    </row>
    <row r="4732">
      <c r="A4732" s="1">
        <v>5.0</v>
      </c>
      <c r="B4732" s="1" t="s">
        <v>4675</v>
      </c>
      <c r="C4732" t="str">
        <f>IFERROR(__xludf.DUMMYFUNCTION("GOOGLETRANSLATE(B4732, ""fr"", ""en"")"),"What happiness! &lt;Div id = ""video-block-R1R3SJLI7IJVQY"" class = ""a-section-spacing-small in-spacing-top mini video-block""&gt; &lt;/ div&gt; &lt;input type = ""hidden"" name = """" value = ""https://images-eu.ssl-images-amazon.com/images/I/A1TcrunpjIS.mp4"" class ="&amp;" ""video-url""&gt; &lt;input type = ""hidden"" name = """" value = ""https: //images-eu.ssl-images-amazon.com/images/I/81triRza4XS.png ""class ="" video-slate-img-url ""&gt; &amp; nbsp; As mobile shopping, and so much walking throughout the day my feet hurt. I bought "&amp;"this foot massager for 4 days and I'm happy, especially my feet. The device is easy to use, just plug and choose the pressure level. 2 types of massage or by wheel or by pressure. There is also a mode that allows heat to soothe the feet. That happiness. A"&amp;" small complaint, we must get used to the masseur because at first it can hurt massaging strong matter of habit. Otherwise I am quite satisfied with this machine")</f>
        <v>What happiness! &lt;Div id = "video-block-R1R3SJLI7IJVQY" class = "a-section-spacing-small in-spacing-top mini video-block"&gt; &lt;/ div&gt; &lt;input type = "hidden" name = "" value = "https://images-eu.ssl-images-amazon.com/images/I/A1TcrunpjIS.mp4" class = "video-url"&gt; &lt;input type = "hidden" name = "" value = "https: //images-eu.ssl-images-amazon.com/images/I/81triRza4XS.png "class =" video-slate-img-url "&gt; &amp; nbsp; As mobile shopping, and so much walking throughout the day my feet hurt. I bought this foot massager for 4 days and I'm happy, especially my feet. The device is easy to use, just plug and choose the pressure level. 2 types of massage or by wheel or by pressure. There is also a mode that allows heat to soothe the feet. That happiness. A small complaint, we must get used to the masseur because at first it can hurt massaging strong matter of habit. Otherwise I am quite satisfied with this machine</v>
      </c>
    </row>
    <row r="4733">
      <c r="A4733" s="1">
        <v>5.0</v>
      </c>
      <c r="B4733" s="1" t="s">
        <v>4676</v>
      </c>
      <c r="C4733" t="str">
        <f>IFERROR(__xludf.DUMMYFUNCTION("GOOGLETRANSLATE(B4733, ""fr"", ""en"")"),"Beautiful evolution I just replaced my old printer brother after 10 years of loyal service it was time to change. I must say that I am also happy toujorus Brother, the big plus is the R / V functionality.")</f>
        <v>Beautiful evolution I just replaced my old printer brother after 10 years of loyal service it was time to change. I must say that I am also happy toujorus Brother, the big plus is the R / V functionality.</v>
      </c>
    </row>
    <row r="4734">
      <c r="A4734" s="1">
        <v>5.0</v>
      </c>
      <c r="B4734" s="1" t="s">
        <v>4677</v>
      </c>
      <c r="C4734" t="str">
        <f>IFERROR(__xludf.DUMMYFUNCTION("GOOGLETRANSLATE(B4734, ""fr"", ""en"")"),"I used effective once this product. It cleans well.")</f>
        <v>I used effective once this product. It cleans well.</v>
      </c>
    </row>
    <row r="4735">
      <c r="A4735" s="1">
        <v>2.0</v>
      </c>
      <c r="B4735" s="1" t="s">
        <v>4678</v>
      </c>
      <c r="C4735" t="str">
        <f>IFERROR(__xludf.DUMMYFUNCTION("GOOGLETRANSLATE(B4735, ""fr"", ""en"")"),"empties all possible speed to 400 pages. If we print 200, it's the end of the world. Soon independent tests on the ink cartridge manufacturer, as with diesel engines? Why did you always need to lie to sell a product?")</f>
        <v>empties all possible speed to 400 pages. If we print 200, it's the end of the world. Soon independent tests on the ink cartridge manufacturer, as with diesel engines? Why did you always need to lie to sell a product?</v>
      </c>
    </row>
    <row r="4736">
      <c r="A4736" s="1">
        <v>1.0</v>
      </c>
      <c r="B4736" s="1" t="s">
        <v>4679</v>
      </c>
      <c r="C4736" t="str">
        <f>IFERROR(__xludf.DUMMYFUNCTION("GOOGLETRANSLATE(B4736, ""fr"", ""en"")"),"Disappointed ... damaged product. I do not know how is it that the comments are as good, but I'm pretty disappointed with these headphones for my part. First, the right earpiece tends to sizzle. The product seems defective ... do I request a refund? Then "&amp;"praricité level is very average. The cable is very long. He takes everywhere, and almost happened to me at the knees when I'm up and I want my laptop in the hands for normal use. Also, the volume knob is not practical either. I thought it would buttons di"&amp;"rectly control the volume of the smartphone. However it is independent. I have to control the volume of the unit and the headphone volume ... positive note, the foam is very innovative and gives a great record of insulation and comfort! Too bad for all th"&amp;"ese negatives ... [EDIT] Well, finally, the listener shrivelling has finally let go. A day and a half of use.")</f>
        <v>Disappointed ... damaged product. I do not know how is it that the comments are as good, but I'm pretty disappointed with these headphones for my part. First, the right earpiece tends to sizzle. The product seems defective ... do I request a refund? Then praricité level is very average. The cable is very long. He takes everywhere, and almost happened to me at the knees when I'm up and I want my laptop in the hands for normal use. Also, the volume knob is not practical either. I thought it would buttons directly control the volume of the smartphone. However it is independent. I have to control the volume of the unit and the headphone volume ... positive note, the foam is very innovative and gives a great record of insulation and comfort! Too bad for all these negatives ... [EDIT] Well, finally, the listener shrivelling has finally let go. A day and a half of use.</v>
      </c>
    </row>
    <row r="4737">
      <c r="A4737" s="1">
        <v>3.0</v>
      </c>
      <c r="B4737" s="1" t="s">
        <v>4680</v>
      </c>
      <c r="C4737" t="str">
        <f>IFERROR(__xludf.DUMMYFUNCTION("GOOGLETRANSLATE(B4737, ""fr"", ""en"")"),"Comes off rather quickly on Mixed review period because at the time it adheres quite well but over time it will go through the box ""to replace"" here if it helps out very well and I still have at home")</f>
        <v>Comes off rather quickly on Mixed review period because at the time it adheres quite well but over time it will go through the box "to replace" here if it helps out very well and I still have at home</v>
      </c>
    </row>
    <row r="4738">
      <c r="A4738" s="1">
        <v>3.0</v>
      </c>
      <c r="B4738" s="1" t="s">
        <v>4681</v>
      </c>
      <c r="C4738" t="str">
        <f>IFERROR(__xludf.DUMMYFUNCTION("GOOGLETRANSLATE(B4738, ""fr"", ""en"")"),"stamp printing for labels To edit the stamps on the site of the station, but when printed stamps are not quite full")</f>
        <v>stamp printing for labels To edit the stamps on the site of the station, but when printed stamps are not quite full</v>
      </c>
    </row>
    <row r="4739">
      <c r="A4739" s="1">
        <v>4.0</v>
      </c>
      <c r="B4739" s="1" t="s">
        <v>4682</v>
      </c>
      <c r="C4739" t="str">
        <f>IFERROR(__xludf.DUMMYFUNCTION("GOOGLETRANSLATE(B4739, ""fr"", ""en"")"),"Of the 3 correct product packages, I received one that was pierced (2 holes in the bottom of the bag). He lacked still 100 grams. Otherwise other products do their weight, 514 grams (plastic bag dispenser and including)")</f>
        <v>Of the 3 correct product packages, I received one that was pierced (2 holes in the bottom of the bag). He lacked still 100 grams. Otherwise other products do their weight, 514 grams (plastic bag dispenser and including)</v>
      </c>
    </row>
    <row r="4740">
      <c r="A4740" s="1">
        <v>4.0</v>
      </c>
      <c r="B4740" s="1" t="s">
        <v>4683</v>
      </c>
      <c r="C4740" t="str">
        <f>IFERROR(__xludf.DUMMYFUNCTION("GOOGLETRANSLATE(B4740, ""fr"", ""en"")"),"Produced entirely correct That son of headphones without the UMI brand delivered in their box with a USB cable. For information, we tested them, with my daughter, we have iPhone and also the famous Earpods the Apple brand and ... POSITIVE FEATURES: - They"&amp;" are beautiful and the case received is ""chic"": very good impression at the reception. - The connection to the phone is made easily and quickly. Hardly the headphones out of their box, they are detected by the phone. To connect them, is simple: go to """&amp;"Settings"" then ""Bluetooth"" and select ""Wireless earphone W"". And it's done ... - To connect these headphones have to get out of the box and not just open it. - These headphones, unlike EarPods, can be used with all types of mobile phones, and not jus"&amp;"t with Apple. - Each headphones have several features not just one unlike EarPods. For example, 1-click on any headphones makes the music paused, click the new one is re-started. 2 quick successive clicks on the left ear can increase the sound, 3 quick su"&amp;"ccessive clicks on the same headset to decrease the volume. On the right earpiece, you will have the same opportunities but doing the opposite ... - The charging time of the case is about 60 minutes. - The establishment of headphones is without difficulti"&amp;"es and these rather tight fit but we found them a little less comfortable ""wearing"" the EarPods. - In the box you will find 3 bright spot. The middle one concerns the case and shows its load. The other 2 points of light (right and left) show the load of"&amp;" each of the two earphones. Practical and well thought out. - On your phone screen, top right, a ""headset"" symbol demonstrates the connection of headphones: it means that it works perfectly. Another symbol, a pipe, placed right next to the helmet, refle"&amp;"cts the charge level of the headphones. - You also have the charge level of the battery is displayed as a percentage on your phone screen (the information): ex. 100% ... And then there is accurate! - Even if you remove one single listener, the music conti"&amp;"nues to play in the earpiece remained in place. With EarPods, the music totally cut when removing even just only 1 single earphone. - The ""coverage"" of background noise is quite correct even if it is a little worse than Apple EarPods. But it is already "&amp;"very well ... - The charge of the case is as simple: just plug the supplied cable into it and connect the other end to a computer via USB. NEGATIVE POINTS: - Be careful to match the smaller sensors headphones to those present in the limp when you put them"&amp;" to the load. There is a magnet system but sometimes it falls ""no battery"" and then the load is not done due to poor contact. You just stay a little careful on this point. A bright dot (blue or red) on the headphones or the housing is a sign of a good f"&amp;"it between the sensors. - As regards the central charging indicator (of the housing), it is blue, the case is loaded between 30% and 100%, if it is red, the case is loaded at less than 30%. It is not more specific than that! So when it is red, it is advis"&amp;"able to switch to load ... Ditto for headphones, if the indicator light on the case is red, then they are in charge ... - The sound is good, clear and accurate but we found it ""less"" wraparound ""less"" cocoon ""with the Apple earphones -.. you will nee"&amp;"d to acquire a power outlet using a USB port if you want to recharge the housing sector over there in no bad ... tHE FINAL provided. headphones an entirely correct quality and do a good job the trouble is we do not have their price, so it is difficult to "&amp;"comment on. quality / price of this equipment. if they are worth around 50/60 €, then they are very competitive. if they are around the price of EarPods, so I orienterai my choice rather to Apple if I had to buy. we therefore lacks essential information t"&amp;"o be more precise on this point ...")</f>
        <v>Produced entirely correct That son of headphones without the UMI brand delivered in their box with a USB cable. For information, we tested them, with my daughter, we have iPhone and also the famous Earpods the Apple brand and ... POSITIVE FEATURES: - They are beautiful and the case received is "chic": very good impression at the reception. - The connection to the phone is made easily and quickly. Hardly the headphones out of their box, they are detected by the phone. To connect them, is simple: go to "Settings" then "Bluetooth" and select "Wireless earphone W". And it's done ... - To connect these headphones have to get out of the box and not just open it. - These headphones, unlike EarPods, can be used with all types of mobile phones, and not just with Apple. - Each headphones have several features not just one unlike EarPods. For example, 1-click on any headphones makes the music paused, click the new one is re-started. 2 quick successive clicks on the left ear can increase the sound, 3 quick successive clicks on the same headset to decrease the volume. On the right earpiece, you will have the same opportunities but doing the opposite ... - The charging time of the case is about 60 minutes. - The establishment of headphones is without difficulties and these rather tight fit but we found them a little less comfortable "wearing" the EarPods. - In the box you will find 3 bright spot. The middle one concerns the case and shows its load. The other 2 points of light (right and left) show the load of each of the two earphones. Practical and well thought out. - On your phone screen, top right, a "headset" symbol demonstrates the connection of headphones: it means that it works perfectly. Another symbol, a pipe, placed right next to the helmet, reflects the charge level of the headphones. - You also have the charge level of the battery is displayed as a percentage on your phone screen (the information): ex. 100% ... And then there is accurate! - Even if you remove one single listener, the music continues to play in the earpiece remained in place. With EarPods, the music totally cut when removing even just only 1 single earphone. - The "coverage" of background noise is quite correct even if it is a little worse than Apple EarPods. But it is already very well ... - The charge of the case is as simple: just plug the supplied cable into it and connect the other end to a computer via USB. NEGATIVE POINTS: - Be careful to match the smaller sensors headphones to those present in the limp when you put them to the load. There is a magnet system but sometimes it falls "no battery" and then the load is not done due to poor contact. You just stay a little careful on this point. A bright dot (blue or red) on the headphones or the housing is a sign of a good fit between the sensors. - As regards the central charging indicator (of the housing), it is blue, the case is loaded between 30% and 100%, if it is red, the case is loaded at less than 30%. It is not more specific than that! So when it is red, it is advisable to switch to load ... Ditto for headphones, if the indicator light on the case is red, then they are in charge ... - The sound is good, clear and accurate but we found it "less" wraparound "less" cocoon "with the Apple earphones -.. you will need to acquire a power outlet using a USB port if you want to recharge the housing sector over there in no bad ... tHE FINAL provided. headphones an entirely correct quality and do a good job the trouble is we do not have their price, so it is difficult to comment on. quality / price of this equipment. if they are worth around 50/60 €, then they are very competitive. if they are around the price of EarPods, so I orienterai my choice rather to Apple if I had to buy. we therefore lacks essential information to be more precise on this point ...</v>
      </c>
    </row>
    <row r="4741">
      <c r="A4741" s="1">
        <v>4.0</v>
      </c>
      <c r="B4741" s="1" t="s">
        <v>4684</v>
      </c>
      <c r="C4741" t="str">
        <f>IFERROR(__xludf.DUMMYFUNCTION("GOOGLETRANSLATE(B4741, ""fr"", ""en"")"),"Good quality / price Bought there is no little yet tested from every angle, but for everyday use I needed, is very decent for its price. Not the best comfort I could have (the contact on the ears is a little too far) and the hoop at an odd shape (not clos"&amp;"e enough to the skull for my taste) but easily connects to peripherals, once the helping hand made change songs, pause ... is intuitive and the sound is really not bad considering the price I expected much less.")</f>
        <v>Good quality / price Bought there is no little yet tested from every angle, but for everyday use I needed, is very decent for its price. Not the best comfort I could have (the contact on the ears is a little too far) and the hoop at an odd shape (not close enough to the skull for my taste) but easily connects to peripherals, once the helping hand made change songs, pause ... is intuitive and the sound is really not bad considering the price I expected much less.</v>
      </c>
    </row>
    <row r="4742">
      <c r="A4742" s="1">
        <v>4.0</v>
      </c>
      <c r="B4742" s="1" t="s">
        <v>4685</v>
      </c>
      <c r="C4742" t="str">
        <f>IFERROR(__xludf.DUMMYFUNCTION("GOOGLETRANSLATE(B4742, ""fr"", ""en"")"),"cat slippers I bought these shoes for my daughters when sleep at home. She loves cats. I hope you will like it and find it comfortable")</f>
        <v>cat slippers I bought these shoes for my daughters when sleep at home. She loves cats. I hope you will like it and find it comfortable</v>
      </c>
    </row>
    <row r="4743">
      <c r="A4743" s="1">
        <v>4.0</v>
      </c>
      <c r="B4743" s="1" t="s">
        <v>4686</v>
      </c>
      <c r="C4743" t="str">
        <f>IFERROR(__xludf.DUMMYFUNCTION("GOOGLETRANSLATE(B4743, ""fr"", ""en"")"),"Excellent As described, it works perfectly with the adapter comes with iPhone 8. I put four stars because of the fragility of the cable.")</f>
        <v>Excellent As described, it works perfectly with the adapter comes with iPhone 8. I put four stars because of the fragility of the cable.</v>
      </c>
    </row>
    <row r="4744">
      <c r="A4744" s="1">
        <v>5.0</v>
      </c>
      <c r="B4744" s="1" t="s">
        <v>4687</v>
      </c>
      <c r="C4744" t="str">
        <f>IFERROR(__xludf.DUMMYFUNCTION("GOOGLETRANSLATE(B4744, ""fr"", ""en"")"),"Discreet and nice I received the bracelet on time even if Amazon believes the late see lost .. It is personalized with my choices and this makes it even if it is not set.")</f>
        <v>Discreet and nice I received the bracelet on time even if Amazon believes the late see lost .. It is personalized with my choices and this makes it even if it is not set.</v>
      </c>
    </row>
    <row r="4745">
      <c r="A4745" s="1">
        <v>5.0</v>
      </c>
      <c r="B4745" s="1" t="s">
        <v>4688</v>
      </c>
      <c r="C4745" t="str">
        <f>IFERROR(__xludf.DUMMYFUNCTION("GOOGLETRANSLATE(B4745, ""fr"", ""en"")"),"Effective Very Happy")</f>
        <v>Effective Very Happy</v>
      </c>
    </row>
    <row r="4746">
      <c r="A4746" s="1">
        <v>5.0</v>
      </c>
      <c r="B4746" s="1" t="s">
        <v>4689</v>
      </c>
      <c r="C4746" t="str">
        <f>IFERROR(__xludf.DUMMYFUNCTION("GOOGLETRANSLATE(B4746, ""fr"", ""en"")"),"Genial Great. Convenient . Saves time n ideal temperature for baby 3 second. Great for warm as bottle and jar. Transmission to sterilize more super convenient with lots of space. I recommend")</f>
        <v>Genial Great. Convenient . Saves time n ideal temperature for baby 3 second. Great for warm as bottle and jar. Transmission to sterilize more super convenient with lots of space. I recommend</v>
      </c>
    </row>
    <row r="4747">
      <c r="A4747" s="1">
        <v>5.0</v>
      </c>
      <c r="B4747" s="1" t="s">
        <v>4690</v>
      </c>
      <c r="C4747" t="str">
        <f>IFERROR(__xludf.DUMMYFUNCTION("GOOGLETRANSLATE(B4747, ""fr"", ""en"")"),"Super Excellent teats")</f>
        <v>Super Excellent teats</v>
      </c>
    </row>
    <row r="4748">
      <c r="A4748" s="1">
        <v>5.0</v>
      </c>
      <c r="B4748" s="1" t="s">
        <v>4691</v>
      </c>
      <c r="C4748" t="str">
        <f>IFERROR(__xludf.DUMMYFUNCTION("GOOGLETRANSLATE(B4748, ""fr"", ""en"")"),"cheap and beautiful! I took my daughter for 42 makes of 41.5 and it's perfect. 42 euro for gazelles, as saying that it's a gift! she is very happy and shoes are very beautiful.")</f>
        <v>cheap and beautiful! I took my daughter for 42 makes of 41.5 and it's perfect. 42 euro for gazelles, as saying that it's a gift! she is very happy and shoes are very beautiful.</v>
      </c>
    </row>
    <row r="4749">
      <c r="A4749" s="1">
        <v>5.0</v>
      </c>
      <c r="B4749" s="1" t="s">
        <v>4692</v>
      </c>
      <c r="C4749" t="str">
        <f>IFERROR(__xludf.DUMMYFUNCTION("GOOGLETRANSLATE(B4749, ""fr"", ""en"")"),"CONVERSE WHITE T 37.5 Stunning! Never disappointed with this brand! the photo matches the model. Delivered on time. In the original box. I play 38, I followed the recommendations of buyers and I ordered a 1/2 size smaller. That's what it takes. I do not k"&amp;"now if the size 37 would have suited me (the 37.5 is slightly too large, although ...) but having tried the 37 CONVERSE in shops, he shod too small for me. I'm so glad of my purchase !")</f>
        <v>CONVERSE WHITE T 37.5 Stunning! Never disappointed with this brand! the photo matches the model. Delivered on time. In the original box. I play 38, I followed the recommendations of buyers and I ordered a 1/2 size smaller. That's what it takes. I do not know if the size 37 would have suited me (the 37.5 is slightly too large, although ...) but having tried the 37 CONVERSE in shops, he shod too small for me. I'm so glad of my purchase !</v>
      </c>
    </row>
    <row r="4750">
      <c r="A4750" s="1">
        <v>5.0</v>
      </c>
      <c r="B4750" s="1" t="s">
        <v>4693</v>
      </c>
      <c r="C4750" t="str">
        <f>IFERROR(__xludf.DUMMYFUNCTION("GOOGLETRANSLATE(B4750, ""fr"", ""en"")"),"No smell, beautiful color style looks good, no smell. The colors are beautiful and the style is generous. The fabric is elastic. Quick delivery. Five stars,")</f>
        <v>No smell, beautiful color style looks good, no smell. The colors are beautiful and the style is generous. The fabric is elastic. Quick delivery. Five stars,</v>
      </c>
    </row>
    <row r="4751">
      <c r="A4751" s="1">
        <v>5.0</v>
      </c>
      <c r="B4751" s="1" t="s">
        <v>4694</v>
      </c>
      <c r="C4751" t="str">
        <f>IFERROR(__xludf.DUMMYFUNCTION("GOOGLETRANSLATE(B4751, ""fr"", ""en"")"),"What's more item and delivery Meets description")</f>
        <v>What's more item and delivery Meets description</v>
      </c>
    </row>
    <row r="4752">
      <c r="A4752" s="1">
        <v>5.0</v>
      </c>
      <c r="B4752" s="1" t="s">
        <v>4695</v>
      </c>
      <c r="C4752" t="str">
        <f>IFERROR(__xludf.DUMMYFUNCTION("GOOGLETRANSLATE(B4752, ""fr"", ""en"")"),"Necklace and bracelet white gold Arriving late but its worth the wait. Now I hope that all will like my niece for her birthday")</f>
        <v>Necklace and bracelet white gold Arriving late but its worth the wait. Now I hope that all will like my niece for her birthday</v>
      </c>
    </row>
    <row r="4753">
      <c r="A4753" s="1">
        <v>5.0</v>
      </c>
      <c r="B4753" s="1" t="s">
        <v>4696</v>
      </c>
      <c r="C4753" t="str">
        <f>IFERROR(__xludf.DUMMYFUNCTION("GOOGLETRANSLATE(B4753, ""fr"", ""en"")"),"Nickel Impec already 5 or 6 washings and dryer, it does not shrink, does not damaged s brief good compared to some sweet discount to lose 2 sizes of washing")</f>
        <v>Nickel Impec already 5 or 6 washings and dryer, it does not shrink, does not damaged s brief good compared to some sweet discount to lose 2 sizes of washing</v>
      </c>
    </row>
    <row r="4754">
      <c r="A4754" s="1">
        <v>5.0</v>
      </c>
      <c r="B4754" s="1" t="s">
        <v>4697</v>
      </c>
      <c r="C4754" t="str">
        <f>IFERROR(__xludf.DUMMYFUNCTION("GOOGLETRANSLATE(B4754, ""fr"", ""en"")"),"Very delicate and tricky. I love this silver bracelet. First, the bracelet itself is really beautiful. I must say that this is the perfect jewelry accessory. It is smooth and comfortable to wear. Second, it was packed in a jewelry box with a separate velv"&amp;"et bag inside. The packaging is quite satisfactory. Finally, I am very happy with this purchase. Would highly recommend.")</f>
        <v>Very delicate and tricky. I love this silver bracelet. First, the bracelet itself is really beautiful. I must say that this is the perfect jewelry accessory. It is smooth and comfortable to wear. Second, it was packed in a jewelry box with a separate velvet bag inside. The packaging is quite satisfactory. Finally, I am very happy with this purchase. Would highly recommend.</v>
      </c>
    </row>
    <row r="4755">
      <c r="A4755" s="1">
        <v>5.0</v>
      </c>
      <c r="B4755" s="1" t="s">
        <v>4698</v>
      </c>
      <c r="C4755" t="str">
        <f>IFERROR(__xludf.DUMMYFUNCTION("GOOGLETRANSLATE(B4755, ""fr"", ""en"")"),"Superb set pendant and earrings Gift made myself for my birthday. The pendant and earrings are beautiful. I am not disappointed. The jewelry is sold with a small tissues to clean. Comes in a nice setting.")</f>
        <v>Superb set pendant and earrings Gift made myself for my birthday. The pendant and earrings are beautiful. I am not disappointed. The jewelry is sold with a small tissues to clean. Comes in a nice setting.</v>
      </c>
    </row>
    <row r="4756">
      <c r="A4756" s="1">
        <v>5.0</v>
      </c>
      <c r="B4756" s="1" t="s">
        <v>4699</v>
      </c>
      <c r="C4756" t="str">
        <f>IFERROR(__xludf.DUMMYFUNCTION("GOOGLETRANSLATE(B4756, ""fr"", ""en"")"),"Good times in perspective. My little girl who loves 2 years")</f>
        <v>Good times in perspective. My little girl who loves 2 years</v>
      </c>
    </row>
    <row r="4757">
      <c r="A4757" s="1">
        <v>5.0</v>
      </c>
      <c r="B4757" s="1" t="s">
        <v>4700</v>
      </c>
      <c r="C4757" t="str">
        <f>IFERROR(__xludf.DUMMYFUNCTION("GOOGLETRANSLATE(B4757, ""fr"", ""en"")"),"great shows this watch is quite effective the only criticism I would make it: it is not waterproof so no bathroom, no pool or beach")</f>
        <v>great shows this watch is quite effective the only criticism I would make it: it is not waterproof so no bathroom, no pool or beach</v>
      </c>
    </row>
    <row r="4758">
      <c r="A4758" s="1">
        <v>5.0</v>
      </c>
      <c r="B4758" s="1" t="s">
        <v>4701</v>
      </c>
      <c r="C4758" t="str">
        <f>IFERROR(__xludf.DUMMYFUNCTION("GOOGLETRANSLATE(B4758, ""fr"", ""en"")"),"handy and good quality A real pleasure: while my previous headphones were suffering from being carried in a bag, it hold the road: they fold themselves, find the necessary form. Otherwise, nothing to say about the sound, which is ample and quite ok, even "&amp;"for something as big beats and big basses.Tout fine for a product of this range. Nice finish, no wonder I often see people with the same model in the street ...")</f>
        <v>handy and good quality A real pleasure: while my previous headphones were suffering from being carried in a bag, it hold the road: they fold themselves, find the necessary form. Otherwise, nothing to say about the sound, which is ample and quite ok, even for something as big beats and big basses.Tout fine for a product of this range. Nice finish, no wonder I often see people with the same model in the street ...</v>
      </c>
    </row>
    <row r="4759">
      <c r="A4759" s="1">
        <v>2.0</v>
      </c>
      <c r="B4759" s="1" t="s">
        <v>4702</v>
      </c>
      <c r="C4759" t="str">
        <f>IFERROR(__xludf.DUMMYFUNCTION("GOOGLETRANSLATE(B4759, ""fr"", ""en"")"),"Not too ... I liked the same in white that fit me perfectly and I bought many times. I wanted to try black but black seems to me closer and suddenly less comfortable, or it is the leather which is less flexible. For style, they are not feminine at all. In"&amp;" short, a rather ugly effect. I have returned. I advise them white.")</f>
        <v>Not too ... I liked the same in white that fit me perfectly and I bought many times. I wanted to try black but black seems to me closer and suddenly less comfortable, or it is the leather which is less flexible. For style, they are not feminine at all. In short, a rather ugly effect. I have returned. I advise them white.</v>
      </c>
    </row>
    <row r="4760">
      <c r="A4760" s="1">
        <v>1.0</v>
      </c>
      <c r="B4760" s="1" t="s">
        <v>4703</v>
      </c>
      <c r="C4760" t="str">
        <f>IFERROR(__xludf.DUMMYFUNCTION("GOOGLETRANSLATE(B4760, ""fr"", ""en"")"),"Defective Small branches for holding the headphones arrived broken so I didn 't really have to try the product")</f>
        <v>Defective Small branches for holding the headphones arrived broken so I didn 't really have to try the product</v>
      </c>
    </row>
    <row r="4761">
      <c r="A4761" s="1">
        <v>1.0</v>
      </c>
      <c r="B4761" s="1" t="s">
        <v>4704</v>
      </c>
      <c r="C4761" t="str">
        <f>IFERROR(__xludf.DUMMYFUNCTION("GOOGLETRANSLATE(B4761, ""fr"", ""en"")"),"Sennheiser RS5000 Hello, tips are too large An ear pain appears when used too long 1 hour max Good quality Sound OK")</f>
        <v>Sennheiser RS5000 Hello, tips are too large An ear pain appears when used too long 1 hour max Good quality Sound OK</v>
      </c>
    </row>
    <row r="4762">
      <c r="A4762" s="1">
        <v>3.0</v>
      </c>
      <c r="B4762" s="1" t="s">
        <v>4705</v>
      </c>
      <c r="C4762" t="str">
        <f>IFERROR(__xludf.DUMMYFUNCTION("GOOGLETRANSLATE(B4762, ""fr"", ""en"")"),"shapely flush out the calves and thighs")</f>
        <v>shapely flush out the calves and thighs</v>
      </c>
    </row>
    <row r="4763">
      <c r="A4763" s="1">
        <v>3.0</v>
      </c>
      <c r="B4763" s="1" t="s">
        <v>4706</v>
      </c>
      <c r="C4763" t="str">
        <f>IFERROR(__xludf.DUMMYFUNCTION("GOOGLETRANSLATE(B4763, ""fr"", ""en"")"),"Although Fair")</f>
        <v>Although Fair</v>
      </c>
    </row>
    <row r="4764">
      <c r="A4764" s="1">
        <v>4.0</v>
      </c>
      <c r="B4764" s="1" t="s">
        <v>4707</v>
      </c>
      <c r="C4764" t="str">
        <f>IFERROR(__xludf.DUMMYFUNCTION("GOOGLETRANSLATE(B4764, ""fr"", ""en"")"),"Satisfactory but significant problem It is a beautiful set of tracksuit but size a little big, I ordered M to be certain, I L and normally it is still limited a little big.")</f>
        <v>Satisfactory but significant problem It is a beautiful set of tracksuit but size a little big, I ordered M to be certain, I L and normally it is still limited a little big.</v>
      </c>
    </row>
    <row r="4765">
      <c r="A4765" s="1">
        <v>4.0</v>
      </c>
      <c r="B4765" s="1" t="s">
        <v>4708</v>
      </c>
      <c r="C4765" t="str">
        <f>IFERROR(__xludf.DUMMYFUNCTION("GOOGLETRANSLATE(B4765, ""fr"", ""en"")"),"Goldman man Sweat It's a nice sweater to wear in mid-season, it corresponds to what I wanted. Color, size, are just (watch it large enough size,) I take M usually but S was enough. I washed it and he did not move, so good purchase.")</f>
        <v>Goldman man Sweat It's a nice sweater to wear in mid-season, it corresponds to what I wanted. Color, size, are just (watch it large enough size,) I take M usually but S was enough. I washed it and he did not move, so good purchase.</v>
      </c>
    </row>
    <row r="4766">
      <c r="A4766" s="1">
        <v>4.0</v>
      </c>
      <c r="B4766" s="1" t="s">
        <v>4709</v>
      </c>
      <c r="C4766" t="str">
        <f>IFERROR(__xludf.DUMMYFUNCTION("GOOGLETRANSLATE(B4766, ""fr"", ""en"")"),"Its balanced This circum-aural headset encompasses both ears. The helmet is comfortable (adjustable hoops) and the atria insulate well outside noise. The finish is superb but the buttons are small and difficult to distinguish the blind. The Bluetooth pair"&amp;"ing is traditional. The sound is really good, the bass a little less present on the JBL Live 400 more punchy but the sound is harmonious. Tested with several music (Coldplay Brigitte Datfpunk, Dire Straits), the sound is really good. Applying my JBL Headp"&amp;"hones equalizes the sound based on the type of music (Jazz, Vocal, Bass, ...). It also allows to choose its voice assistant (Google or Alexa) you can ""call"" by pressing the left ear. You can do research on the internet, hands in pockets or control your "&amp;"lights if you have set office in the respective applications. An orange charging cable is provided and a braided cable audio mas no textile bag as announced. A good helmet circum aural.")</f>
        <v>Its balanced This circum-aural headset encompasses both ears. The helmet is comfortable (adjustable hoops) and the atria insulate well outside noise. The finish is superb but the buttons are small and difficult to distinguish the blind. The Bluetooth pairing is traditional. The sound is really good, the bass a little less present on the JBL Live 400 more punchy but the sound is harmonious. Tested with several music (Coldplay Brigitte Datfpunk, Dire Straits), the sound is really good. Applying my JBL Headphones equalizes the sound based on the type of music (Jazz, Vocal, Bass, ...). It also allows to choose its voice assistant (Google or Alexa) you can "call" by pressing the left ear. You can do research on the internet, hands in pockets or control your lights if you have set office in the respective applications. An orange charging cable is provided and a braided cable audio mas no textile bag as announced. A good helmet circum aural.</v>
      </c>
    </row>
    <row r="4767">
      <c r="A4767" s="1">
        <v>4.0</v>
      </c>
      <c r="B4767" s="1" t="s">
        <v>4710</v>
      </c>
      <c r="C4767" t="str">
        <f>IFERROR(__xludf.DUMMYFUNCTION("GOOGLETRANSLATE(B4767, ""fr"", ""en"")"),"Compact and reliable Bought for my father who complained of being cold in the stomach the night in his EPHAD. Fills his role perfectly after him with a pretty big adjustment knob and progressive.")</f>
        <v>Compact and reliable Bought for my father who complained of being cold in the stomach the night in his EPHAD. Fills his role perfectly after him with a pretty big adjustment knob and progressive.</v>
      </c>
    </row>
    <row r="4768">
      <c r="A4768" s="1">
        <v>5.0</v>
      </c>
      <c r="B4768" s="1" t="s">
        <v>4711</v>
      </c>
      <c r="C4768" t="str">
        <f>IFERROR(__xludf.DUMMYFUNCTION("GOOGLETRANSLATE(B4768, ""fr"", ""en"")"),"Very useful Very useful")</f>
        <v>Very useful Very useful</v>
      </c>
    </row>
    <row r="4769">
      <c r="A4769" s="1">
        <v>5.0</v>
      </c>
      <c r="B4769" s="1" t="s">
        <v>4712</v>
      </c>
      <c r="C4769" t="str">
        <f>IFERROR(__xludf.DUMMYFUNCTION("GOOGLETRANSLATE(B4769, ""fr"", ""en"")"),"ticking silent is a watch that suits me quite sober, practical, strong, and quite my style, never late;")</f>
        <v>ticking silent is a watch that suits me quite sober, practical, strong, and quite my style, never late;</v>
      </c>
    </row>
    <row r="4770">
      <c r="A4770" s="1">
        <v>5.0</v>
      </c>
      <c r="B4770" s="1" t="s">
        <v>4713</v>
      </c>
      <c r="C4770" t="str">
        <f>IFERROR(__xludf.DUMMYFUNCTION("GOOGLETRANSLATE(B4770, ""fr"", ""en"")"),"Hyper comfortable It has a great maintenance to full support frame, very comfortable to wear and easy to adjust if necessary. I recommand it.")</f>
        <v>Hyper comfortable It has a great maintenance to full support frame, very comfortable to wear and easy to adjust if necessary. I recommand it.</v>
      </c>
    </row>
    <row r="4771">
      <c r="A4771" s="1">
        <v>5.0</v>
      </c>
      <c r="B4771" s="1" t="s">
        <v>4714</v>
      </c>
      <c r="C4771" t="str">
        <f>IFERROR(__xludf.DUMMYFUNCTION("GOOGLETRANSLATE(B4771, ""fr"", ""en"")"),"Catouche I am very satisfied with this product, it is consistent with the description and I recommend it very highly")</f>
        <v>Catouche I am very satisfied with this product, it is consistent with the description and I recommend it very highly</v>
      </c>
    </row>
    <row r="4772">
      <c r="A4772" s="1">
        <v>5.0</v>
      </c>
      <c r="B4772" s="1" t="s">
        <v>4715</v>
      </c>
      <c r="C4772" t="str">
        <f>IFERROR(__xludf.DUMMYFUNCTION("GOOGLETRANSLATE(B4772, ""fr"", ""en"")"),"Class and quality although this I took this brown bracelet for my boyfriend and he loves it. This one comes in a small black box, simple but very pretty and that can be reused to store the strap if needed. The strap is leather and very well finished and f"&amp;"lexible, I noticed that brought on the wrist of my boyfriend it gives a very elegant style and class, the color changes from black and stays sober enough to be in perfect accord different colors of shirts and sweaters. The bracelet is of excellent quality"&amp;", it's been a while that the door and she shows no signs of wear. I highly recommend this product. I think even a resume to offer Christmas.")</f>
        <v>Class and quality although this I took this brown bracelet for my boyfriend and he loves it. This one comes in a small black box, simple but very pretty and that can be reused to store the strap if needed. The strap is leather and very well finished and flexible, I noticed that brought on the wrist of my boyfriend it gives a very elegant style and class, the color changes from black and stays sober enough to be in perfect accord different colors of shirts and sweaters. The bracelet is of excellent quality, it's been a while that the door and she shows no signs of wear. I highly recommend this product. I think even a resume to offer Christmas.</v>
      </c>
    </row>
    <row r="4773">
      <c r="A4773" s="1">
        <v>5.0</v>
      </c>
      <c r="B4773" s="1" t="s">
        <v>4716</v>
      </c>
      <c r="C4773" t="str">
        <f>IFERROR(__xludf.DUMMYFUNCTION("GOOGLETRANSLATE(B4773, ""fr"", ""en"")"),"excellent product for septic tanks and any water any single person in the country, which has not blessed with letout sanitation, this product I tested and compared to other similar products is perfect. Whether for a septic system or septic tank, it remove"&amp;"s the risk of clogging and bad odors. This great product to use every six months is recommended, and this at a reasonable price. Claude72")</f>
        <v>excellent product for septic tanks and any water any single person in the country, which has not blessed with letout sanitation, this product I tested and compared to other similar products is perfect. Whether for a septic system or septic tank, it removes the risk of clogging and bad odors. This great product to use every six months is recommended, and this at a reasonable price. Claude72</v>
      </c>
    </row>
    <row r="4774">
      <c r="A4774" s="1">
        <v>5.0</v>
      </c>
      <c r="B4774" s="1" t="s">
        <v>4717</v>
      </c>
      <c r="C4774" t="str">
        <f>IFERROR(__xludf.DUMMYFUNCTION("GOOGLETRANSLATE(B4774, ""fr"", ""en"")"),"Comfortable Very comfortable easy maintenance consistent size ... is the picture ... I recommend.")</f>
        <v>Comfortable Very comfortable easy maintenance consistent size ... is the picture ... I recommend.</v>
      </c>
    </row>
    <row r="4775">
      <c r="A4775" s="1">
        <v>5.0</v>
      </c>
      <c r="B4775" s="1" t="s">
        <v>4718</v>
      </c>
      <c r="C4775" t="str">
        <f>IFERROR(__xludf.DUMMYFUNCTION("GOOGLETRANSLATE(B4775, ""fr"", ""en"")"),"Perfect small size but perfect just take a size larger than his. I do a good 39 and I took the 40 ca me will just")</f>
        <v>Perfect small size but perfect just take a size larger than his. I do a good 39 and I took the 40 ca me will just</v>
      </c>
    </row>
    <row r="4776">
      <c r="A4776" s="1">
        <v>5.0</v>
      </c>
      <c r="B4776" s="1" t="s">
        <v>4719</v>
      </c>
      <c r="C4776" t="str">
        <f>IFERROR(__xludf.DUMMYFUNCTION("GOOGLETRANSLATE(B4776, ""fr"", ""en"")"),"Perfect helmet is exactly what I wanted it answer my expectations. Delivery perfect as expected.")</f>
        <v>Perfect helmet is exactly what I wanted it answer my expectations. Delivery perfect as expected.</v>
      </c>
    </row>
    <row r="4777">
      <c r="A4777" s="1">
        <v>5.0</v>
      </c>
      <c r="B4777" s="1" t="s">
        <v>4720</v>
      </c>
      <c r="C4777" t="str">
        <f>IFERROR(__xludf.DUMMYFUNCTION("GOOGLETRANSLATE(B4777, ""fr"", ""en"")"),"Perfect Perfect for all types of impressions. My daughter is thrilled .. Perfect for photos of all its stars. thank you Amazon")</f>
        <v>Perfect Perfect for all types of impressions. My daughter is thrilled .. Perfect for photos of all its stars. thank you Amazon</v>
      </c>
    </row>
    <row r="4778">
      <c r="A4778" s="1">
        <v>5.0</v>
      </c>
      <c r="B4778" s="1" t="s">
        <v>4721</v>
      </c>
      <c r="C4778" t="str">
        <f>IFERROR(__xludf.DUMMYFUNCTION("GOOGLETRANSLATE(B4778, ""fr"", ""en"")"),"Ideal for learning to read Perfect")</f>
        <v>Ideal for learning to read Perfect</v>
      </c>
    </row>
    <row r="4779">
      <c r="A4779" s="1">
        <v>5.0</v>
      </c>
      <c r="B4779" s="1" t="s">
        <v>4722</v>
      </c>
      <c r="C4779" t="str">
        <f>IFERROR(__xludf.DUMMYFUNCTION("GOOGLETRANSLATE(B4779, ""fr"", ""en"")"),"Excellent value for money large capacity Practice")</f>
        <v>Excellent value for money large capacity Practice</v>
      </c>
    </row>
    <row r="4780">
      <c r="A4780" s="1">
        <v>5.0</v>
      </c>
      <c r="B4780" s="1" t="s">
        <v>4723</v>
      </c>
      <c r="C4780" t="str">
        <f>IFERROR(__xludf.DUMMYFUNCTION("GOOGLETRANSLATE(B4780, ""fr"", ""en"")"),"good product This bag is very suitable for my use, namely carrying a 10-inch tablet and headphones. 2 small pockets useful therein which are used to transport a cloth for the tablet. Very light but solid.")</f>
        <v>good product This bag is very suitable for my use, namely carrying a 10-inch tablet and headphones. 2 small pockets useful therein which are used to transport a cloth for the tablet. Very light but solid.</v>
      </c>
    </row>
    <row r="4781">
      <c r="A4781" s="1">
        <v>5.0</v>
      </c>
      <c r="B4781" s="1" t="s">
        <v>4724</v>
      </c>
      <c r="C4781" t="str">
        <f>IFERROR(__xludf.DUMMYFUNCTION("GOOGLETRANSLATE(B4781, ""fr"", ""en"")"),"Socks very good I use these socks for skiing and ski touring. They are warm and comfortable to wear. There are strips padded to protect the shin. And that is manufactured in Europe.")</f>
        <v>Socks very good I use these socks for skiing and ski touring. They are warm and comfortable to wear. There are strips padded to protect the shin. And that is manufactured in Europe.</v>
      </c>
    </row>
    <row r="4782">
      <c r="A4782" s="1">
        <v>5.0</v>
      </c>
      <c r="B4782" s="1" t="s">
        <v>4725</v>
      </c>
      <c r="C4782" t="str">
        <f>IFERROR(__xludf.DUMMYFUNCTION("GOOGLETRANSLATE(B4782, ""fr"", ""en"")"),"Offered pretty earrings to my daughter for her 11 years with the matching necklace. All enjoyed that. Good quality. The small box packaging is very nice. I recommend...")</f>
        <v>Offered pretty earrings to my daughter for her 11 years with the matching necklace. All enjoyed that. Good quality. The small box packaging is very nice. I recommend...</v>
      </c>
    </row>
    <row r="4783">
      <c r="A4783" s="1">
        <v>2.0</v>
      </c>
      <c r="B4783" s="1" t="s">
        <v>4726</v>
      </c>
      <c r="C4783" t="str">
        <f>IFERROR(__xludf.DUMMYFUNCTION("GOOGLETRANSLATE(B4783, ""fr"", ""en"")"),"brush too soft very soft brush, it seems not to clean and more personally I'm afraid the metal center abyss my bottles so the hair is too soft !!! cleans the nipple is not yours very well and when you clean it the body falls, more head spoils very quickly")</f>
        <v>brush too soft very soft brush, it seems not to clean and more personally I'm afraid the metal center abyss my bottles so the hair is too soft !!! cleans the nipple is not yours very well and when you clean it the body falls, more head spoils very quickly</v>
      </c>
    </row>
    <row r="4784">
      <c r="A4784" s="1">
        <v>1.0</v>
      </c>
      <c r="B4784" s="1" t="s">
        <v>4727</v>
      </c>
      <c r="C4784" t="str">
        <f>IFERROR(__xludf.DUMMYFUNCTION("GOOGLETRANSLATE(B4784, ""fr"", ""en"")"),"Poor quality large size, looks fake")</f>
        <v>Poor quality large size, looks fake</v>
      </c>
    </row>
    <row r="4785">
      <c r="A4785" s="1">
        <v>1.0</v>
      </c>
      <c r="B4785" s="1" t="s">
        <v>4728</v>
      </c>
      <c r="C4785" t="str">
        <f>IFERROR(__xludf.DUMMYFUNCTION("GOOGLETRANSLATE(B4785, ""fr"", ""en"")"),"H.S after 6 months of use the left earpiece emits more sound, return item at Samsung for repair, to follow ...")</f>
        <v>H.S after 6 months of use the left earpiece emits more sound, return item at Samsung for repair, to follow ...</v>
      </c>
    </row>
    <row r="4786">
      <c r="A4786" s="1">
        <v>3.0</v>
      </c>
      <c r="B4786" s="1" t="s">
        <v>4729</v>
      </c>
      <c r="C4786" t="str">
        <f>IFERROR(__xludf.DUMMYFUNCTION("GOOGLETRANSLATE(B4786, ""fr"", ""en"")"),"Well-I think it is not the same that we receive with laptops")</f>
        <v>Well-I think it is not the same that we receive with laptops</v>
      </c>
    </row>
    <row r="4787">
      <c r="A4787" s="1">
        <v>3.0</v>
      </c>
      <c r="B4787" s="1" t="s">
        <v>4730</v>
      </c>
      <c r="C4787" t="str">
        <f>IFERROR(__xludf.DUMMYFUNCTION("GOOGLETRANSLATE(B4787, ""fr"", ""en"")"),"First impressions Dodie -Tétine sensation + wide flat collar 0-6 months silicone speed 2 3.94e purchased by Amazon, delivered within 48 hours. It has two teats in the package. I get it now so that 3 stars because ""like"" the product is consistent with wh"&amp;"at I ordered, to do with use. On the advice of the saleswoman orchestra I bought the flow 1 and 2, flow 3 and 4 being really when we go to the very consistent.")</f>
        <v>First impressions Dodie -Tétine sensation + wide flat collar 0-6 months silicone speed 2 3.94e purchased by Amazon, delivered within 48 hours. It has two teats in the package. I get it now so that 3 stars because "like" the product is consistent with what I ordered, to do with use. On the advice of the saleswoman orchestra I bought the flow 1 and 2, flow 3 and 4 being really when we go to the very consistent.</v>
      </c>
    </row>
    <row r="4788">
      <c r="A4788" s="1">
        <v>4.0</v>
      </c>
      <c r="B4788" s="1" t="s">
        <v>4731</v>
      </c>
      <c r="C4788" t="str">
        <f>IFERROR(__xludf.DUMMYFUNCTION("GOOGLETRANSLATE(B4788, ""fr"", ""en"")"),"See with time Although no more")</f>
        <v>See with time Although no more</v>
      </c>
    </row>
    <row r="4789">
      <c r="A4789" s="1">
        <v>4.0</v>
      </c>
      <c r="B4789" s="1" t="s">
        <v>4732</v>
      </c>
      <c r="C4789" t="str">
        <f>IFERROR(__xludf.DUMMYFUNCTION("GOOGLETRANSLATE(B4789, ""fr"", ""en"")"),"Reading books alone I wanted more for my child to read that he could read these books alone are well suited.")</f>
        <v>Reading books alone I wanted more for my child to read that he could read these books alone are well suited.</v>
      </c>
    </row>
    <row r="4790">
      <c r="A4790" s="1">
        <v>4.0</v>
      </c>
      <c r="B4790" s="1" t="s">
        <v>4733</v>
      </c>
      <c r="C4790" t="str">
        <f>IFERROR(__xludf.DUMMYFUNCTION("GOOGLETRANSLATE(B4790, ""fr"", ""en"")"),"Unsurprisingly This paper known brand is effective .... sweet and packaging by 12 is economic. It is superior to no name that can be found in supermarkets")</f>
        <v>Unsurprisingly This paper known brand is effective .... sweet and packaging by 12 is economic. It is superior to no name that can be found in supermarkets</v>
      </c>
    </row>
    <row r="4791">
      <c r="A4791" s="1">
        <v>4.0</v>
      </c>
      <c r="B4791" s="1" t="s">
        <v>4734</v>
      </c>
      <c r="C4791" t="str">
        <f>IFERROR(__xludf.DUMMYFUNCTION("GOOGLETRANSLATE(B4791, ""fr"", ""en"")"),"Appreciable engine a bit noisy especially during the massage cervical 2x 2 balls, all the same size 1 power adapter + 1 car adapter 1 single program for sessions of 20 'with change of direction of rotation every 1' button ON / OFF, which also allows you t"&amp;"o turn on / off the balls, so the heating in the interrupt program 20 '. Long press to pause the program. 27 € for sale is top-flash I wonder what qu'apportent more or less Performers have 2x4 balls")</f>
        <v>Appreciable engine a bit noisy especially during the massage cervical 2x 2 balls, all the same size 1 power adapter + 1 car adapter 1 single program for sessions of 20 'with change of direction of rotation every 1' button ON / OFF, which also allows you to turn on / off the balls, so the heating in the interrupt program 20 '. Long press to pause the program. 27 € for sale is top-flash I wonder what qu'apportent more or less Performers have 2x4 balls</v>
      </c>
    </row>
    <row r="4792">
      <c r="A4792" s="1">
        <v>5.0</v>
      </c>
      <c r="B4792" s="1" t="s">
        <v>4735</v>
      </c>
      <c r="C4792" t="str">
        <f>IFERROR(__xludf.DUMMYFUNCTION("GOOGLETRANSLATE(B4792, ""fr"", ""en"")"),"Perfect Sneakers super light and comfortable to wear. Size corresponding to the controlled size. The style is nice. Good price for quality sneakers.")</f>
        <v>Perfect Sneakers super light and comfortable to wear. Size corresponding to the controlled size. The style is nice. Good price for quality sneakers.</v>
      </c>
    </row>
    <row r="4793">
      <c r="A4793" s="1">
        <v>5.0</v>
      </c>
      <c r="B4793" s="1" t="s">
        <v>4736</v>
      </c>
      <c r="C4793" t="str">
        <f>IFERROR(__xludf.DUMMYFUNCTION("GOOGLETRANSLATE(B4793, ""fr"", ""en"")"),"golden tip? Although I have many audio cables of all kinds, it is never enough, I do not understand. In short, I needed yet another stereo jack cable is one that I chose. Good cable of good quality, I hope to confirm in a year. For some reason that escape"&amp;"s me, the tips (the ""tip"") are golden, but not the rest of the jack ( ""ring"" and ground).")</f>
        <v>golden tip? Although I have many audio cables of all kinds, it is never enough, I do not understand. In short, I needed yet another stereo jack cable is one that I chose. Good cable of good quality, I hope to confirm in a year. For some reason that escapes me, the tips (the "tip") are golden, but not the rest of the jack ( "ring" and ground).</v>
      </c>
    </row>
    <row r="4794">
      <c r="A4794" s="1">
        <v>5.0</v>
      </c>
      <c r="B4794" s="1" t="s">
        <v>4737</v>
      </c>
      <c r="C4794" t="str">
        <f>IFERROR(__xludf.DUMMYFUNCTION("GOOGLETRANSLATE(B4794, ""fr"", ""en"")"),"Elegants and comfortable are my first Puma and I am very happy with the quality. Elegant and comfortable. The size is accurate")</f>
        <v>Elegants and comfortable are my first Puma and I am very happy with the quality. Elegant and comfortable. The size is accurate</v>
      </c>
    </row>
    <row r="4795">
      <c r="A4795" s="1">
        <v>5.0</v>
      </c>
      <c r="B4795" s="1" t="s">
        <v>4738</v>
      </c>
      <c r="C4795" t="str">
        <f>IFERROR(__xludf.DUMMYFUNCTION("GOOGLETRANSLATE(B4795, ""fr"", ""en"")"),"It is super awesome")</f>
        <v>It is super awesome</v>
      </c>
    </row>
    <row r="4796">
      <c r="A4796" s="1">
        <v>5.0</v>
      </c>
      <c r="B4796" s="1" t="s">
        <v>4739</v>
      </c>
      <c r="C4796" t="str">
        <f>IFERROR(__xludf.DUMMYFUNCTION("GOOGLETRANSLATE(B4796, ""fr"", ""en"")"),"man shoulder bag Order a pr aniv Impec, big enough without mastoque Lightweight, modern and Ravi")</f>
        <v>man shoulder bag Order a pr aniv Impec, big enough without mastoque Lightweight, modern and Ravi</v>
      </c>
    </row>
    <row r="4797">
      <c r="A4797" s="1">
        <v>5.0</v>
      </c>
      <c r="B4797" s="1" t="s">
        <v>4740</v>
      </c>
      <c r="C4797" t="str">
        <f>IFERROR(__xludf.DUMMYFUNCTION("GOOGLETRANSLATE(B4797, ""fr"", ""en"")"),"Great sound Excellent headphones, the sound is very good, and they are pleasant to wear")</f>
        <v>Great sound Excellent headphones, the sound is very good, and they are pleasant to wear</v>
      </c>
    </row>
    <row r="4798">
      <c r="A4798" s="1">
        <v>5.0</v>
      </c>
      <c r="B4798" s="1" t="s">
        <v>4741</v>
      </c>
      <c r="C4798" t="str">
        <f>IFERROR(__xludf.DUMMYFUNCTION("GOOGLETRANSLATE(B4798, ""fr"", ""en"")"),"elegant Pretty")</f>
        <v>elegant Pretty</v>
      </c>
    </row>
    <row r="4799">
      <c r="A4799" s="1">
        <v>5.0</v>
      </c>
      <c r="B4799" s="1" t="s">
        <v>4742</v>
      </c>
      <c r="C4799" t="str">
        <f>IFERROR(__xludf.DUMMYFUNCTION("GOOGLETRANSLATE(B4799, ""fr"", ""en"")"),"very beautiful satchel bag and practice; I take her everywhere with me, the colors are really nice and the clip on the front is also very convenient !! I put my papers my laptop my keys and a packet of tissues !!!")</f>
        <v>very beautiful satchel bag and practice; I take her everywhere with me, the colors are really nice and the clip on the front is also very convenient !! I put my papers my laptop my keys and a packet of tissues !!!</v>
      </c>
    </row>
    <row r="4800">
      <c r="A4800" s="1">
        <v>5.0</v>
      </c>
      <c r="B4800" s="1" t="s">
        <v>4743</v>
      </c>
      <c r="C4800" t="str">
        <f>IFERROR(__xludf.DUMMYFUNCTION("GOOGLETRANSLATE(B4800, ""fr"", ""en"")"),"Not bad for a watch feature Hybrid Aesthetically, the show is really well proportioned: it is not too thick unlike some connected watches. Technologically speaking, the Fossil Q application is pretty good for the hybrid and offers a lot of interesting fea"&amp;"tures to be set on all 3 shows the buttons from the following: - Journey time - Current date - Monitoring targets (several objectives configurable) - music management (increase / decrease the volume, pause or resume the song, skip to the next) - sounding "&amp;"the phone remotely - Take a picture - Second time zone - Stopwatch the other feature is the notification system is also very convenient: 12 possible configurable notifications (one for each hour on the dial). Example: I want when I get a call from such a "&amp;"person, my watch notifies me by putting needles on 12. In a notification, the watch vibrates enough to feel the handle. A notification may cover: - a call - a text message - a call to a particular person - sms to a specific person - an application (when a"&amp;"n application sends a notification to the phone, you have the notification on watch)")</f>
        <v>Not bad for a watch feature Hybrid Aesthetically, the show is really well proportioned: it is not too thick unlike some connected watches. Technologically speaking, the Fossil Q application is pretty good for the hybrid and offers a lot of interesting features to be set on all 3 shows the buttons from the following: - Journey time - Current date - Monitoring targets (several objectives configurable) - music management (increase / decrease the volume, pause or resume the song, skip to the next) - sounding the phone remotely - Take a picture - Second time zone - Stopwatch the other feature is the notification system is also very convenient: 12 possible configurable notifications (one for each hour on the dial). Example: I want when I get a call from such a person, my watch notifies me by putting needles on 12. In a notification, the watch vibrates enough to feel the handle. A notification may cover: - a call - a text message - a call to a particular person - sms to a specific person - an application (when an application sends a notification to the phone, you have the notification on watch)</v>
      </c>
    </row>
    <row r="4801">
      <c r="A4801" s="1">
        <v>5.0</v>
      </c>
      <c r="B4801" s="1" t="s">
        <v>4744</v>
      </c>
      <c r="C4801" t="str">
        <f>IFERROR(__xludf.DUMMYFUNCTION("GOOGLETRANSLATE(B4801, ""fr"", ""en"")"),"Quality / Price exceptional quality watch, resistant and comfortable to wear. Its ease of use is remarkable. I use it to bodybuilding for my rest time (stopwatch or timer) in a second everything is settled. Perfect, day and night, outside, inside or under"&amp;" the water, no worries")</f>
        <v>Quality / Price exceptional quality watch, resistant and comfortable to wear. Its ease of use is remarkable. I use it to bodybuilding for my rest time (stopwatch or timer) in a second everything is settled. Perfect, day and night, outside, inside or under the water, no worries</v>
      </c>
    </row>
    <row r="4802">
      <c r="A4802" s="1">
        <v>5.0</v>
      </c>
      <c r="B4802" s="1" t="s">
        <v>4745</v>
      </c>
      <c r="C4802" t="str">
        <f>IFERROR(__xludf.DUMMYFUNCTION("GOOGLETRANSLATE(B4802, ""fr"", ""en"")"),"Very good for its price Supple, light, pleasant brief we did not feel on the head, and the hoops are sufficiently sturdy to hold the helmet in place in the sports movements (cycling and running) although we hear the music even if it is not completely isol"&amp;"ated from the outside. In short a good buy for its price")</f>
        <v>Very good for its price Supple, light, pleasant brief we did not feel on the head, and the hoops are sufficiently sturdy to hold the helmet in place in the sports movements (cycling and running) although we hear the music even if it is not completely isolated from the outside. In short a good buy for its price</v>
      </c>
    </row>
    <row r="4803">
      <c r="A4803" s="1">
        <v>5.0</v>
      </c>
      <c r="B4803" s="1" t="s">
        <v>4746</v>
      </c>
      <c r="C4803" t="str">
        <f>IFERROR(__xludf.DUMMYFUNCTION("GOOGLETRANSLATE(B4803, ""fr"", ""en"")"),"Perfect use to navigate through the woods, forests this is just what I needed.")</f>
        <v>Perfect use to navigate through the woods, forests this is just what I needed.</v>
      </c>
    </row>
    <row r="4804">
      <c r="A4804" s="1">
        <v>5.0</v>
      </c>
      <c r="B4804" s="1" t="s">
        <v>4747</v>
      </c>
      <c r="C4804" t="str">
        <f>IFERROR(__xludf.DUMMYFUNCTION("GOOGLETRANSLATE(B4804, ""fr"", ""en"")"),"pretty good sweater sweater size perfectly well tien hot color is the same as the picture well aj resists washing machine")</f>
        <v>pretty good sweater sweater size perfectly well tien hot color is the same as the picture well aj resists washing machine</v>
      </c>
    </row>
    <row r="4805">
      <c r="A4805" s="1">
        <v>5.0</v>
      </c>
      <c r="B4805" s="1" t="s">
        <v>4748</v>
      </c>
      <c r="C4805" t="str">
        <f>IFERROR(__xludf.DUMMYFUNCTION("GOOGLETRANSLATE(B4805, ""fr"", ""en"")"),"Simple, quickly connects and quality Frankly, for the price, the sound is good and the headphones are not impressive at all. Some manipulation to learn to learn but like all headphones.")</f>
        <v>Simple, quickly connects and quality Frankly, for the price, the sound is good and the headphones are not impressive at all. Some manipulation to learn to learn but like all headphones.</v>
      </c>
    </row>
    <row r="4806">
      <c r="A4806" s="1">
        <v>5.0</v>
      </c>
      <c r="B4806" s="1" t="s">
        <v>4749</v>
      </c>
      <c r="C4806" t="str">
        <f>IFERROR(__xludf.DUMMYFUNCTION("GOOGLETRANSLATE(B4806, ""fr"", ""en"")"),"Good headphones ... After a few days of use, I found the report ""Quality / Price"" very good product. The headphones fit comfortably in the ears either walking or trotting. The sound of the headphones is good and during calls, the microphone is working p"&amp;"roperly. The case for recharge is of good quality although a little imposing. The complaints I could say to quibble it would be the manual that is only in English and Chinese and its headphones that lack some bass. Otherwise nothing wrong side delivery, A"&amp;"mazon at the top.")</f>
        <v>Good headphones ... After a few days of use, I found the report "Quality / Price" very good product. The headphones fit comfortably in the ears either walking or trotting. The sound of the headphones is good and during calls, the microphone is working properly. The case for recharge is of good quality although a little imposing. The complaints I could say to quibble it would be the manual that is only in English and Chinese and its headphones that lack some bass. Otherwise nothing wrong side delivery, Amazon at the top.</v>
      </c>
    </row>
    <row r="4807">
      <c r="A4807" s="1">
        <v>2.0</v>
      </c>
      <c r="B4807" s="1" t="s">
        <v>4750</v>
      </c>
      <c r="C4807" t="str">
        <f>IFERROR(__xludf.DUMMYFUNCTION("GOOGLETRANSLATE(B4807, ""fr"", ""en"")"),"disappointment I was disappointed by the appearance général.Je think this really ""plastic"". Also the pen does not fit in the mouth and thus falls all the time. It's a shame because it was an original product")</f>
        <v>disappointment I was disappointed by the appearance général.Je think this really "plastic". Also the pen does not fit in the mouth and thus falls all the time. It's a shame because it was an original product</v>
      </c>
    </row>
    <row r="4808">
      <c r="A4808" s="1">
        <v>1.0</v>
      </c>
      <c r="B4808" s="1" t="s">
        <v>4751</v>
      </c>
      <c r="C4808" t="str">
        <f>IFERROR(__xludf.DUMMYFUNCTION("GOOGLETRANSLATE(B4808, ""fr"", ""en"")"),"Charger death in qq months away Rubbish product, occasional use charger dropped just 1 year after purchase. We must return it directly to the manufacturer in the united kingdom as ... well no charger")</f>
        <v>Charger death in qq months away Rubbish product, occasional use charger dropped just 1 year after purchase. We must return it directly to the manufacturer in the united kingdom as ... well no charger</v>
      </c>
    </row>
    <row r="4809">
      <c r="A4809" s="1">
        <v>1.0</v>
      </c>
      <c r="B4809" s="1" t="s">
        <v>4752</v>
      </c>
      <c r="C4809" t="str">
        <f>IFERROR(__xludf.DUMMYFUNCTION("GOOGLETRANSLATE(B4809, ""fr"", ""en"")"),"Disappointed by the non noise reduction! I am very disappointed because this helmet does not feature active noise reduction. C is perhaps what explains its price but it was not stated in the presentation of the product. There is also evidence from the for"&amp;"ums that the noise reduction function is buggy on BOZE qc35. Jai returned product and will turn to SONY.")</f>
        <v>Disappointed by the non noise reduction! I am very disappointed because this helmet does not feature active noise reduction. C is perhaps what explains its price but it was not stated in the presentation of the product. There is also evidence from the forums that the noise reduction function is buggy on BOZE qc35. Jai returned product and will turn to SONY.</v>
      </c>
    </row>
    <row r="4810">
      <c r="A4810" s="1">
        <v>3.0</v>
      </c>
      <c r="B4810" s="1" t="s">
        <v>4753</v>
      </c>
      <c r="C4810" t="str">
        <f>IFERROR(__xludf.DUMMYFUNCTION("GOOGLETRANSLATE(B4810, ""fr"", ""en"")"),"Compact and efficient Pop Filter highly effective, unobtrusive and includes his worries microphone (AT 2020). The fastening system may seem low but like it takes the microphone.")</f>
        <v>Compact and efficient Pop Filter highly effective, unobtrusive and includes his worries microphone (AT 2020). The fastening system may seem low but like it takes the microphone.</v>
      </c>
    </row>
    <row r="4811">
      <c r="A4811" s="1">
        <v>4.0</v>
      </c>
      <c r="B4811" s="1" t="s">
        <v>4754</v>
      </c>
      <c r="C4811" t="str">
        <f>IFERROR(__xludf.DUMMYFUNCTION("GOOGLETRANSLATE(B4811, ""fr"", ""en"")"),"I recommend nickel products conform to the waiting")</f>
        <v>I recommend nickel products conform to the waiting</v>
      </c>
    </row>
    <row r="4812">
      <c r="A4812" s="1">
        <v>4.0</v>
      </c>
      <c r="B4812" s="1" t="s">
        <v>4755</v>
      </c>
      <c r="C4812" t="str">
        <f>IFERROR(__xludf.DUMMYFUNCTION("GOOGLETRANSLATE(B4812, ""fr"", ""en"")"),"Meets photo Not bad surprise.Le product matches the picture, both in form and color. And more, it is very warm and cozy.")</f>
        <v>Meets photo Not bad surprise.Le product matches the picture, both in form and color. And more, it is very warm and cozy.</v>
      </c>
    </row>
    <row r="4813">
      <c r="A4813" s="1">
        <v>4.0</v>
      </c>
      <c r="B4813" s="1" t="s">
        <v>4756</v>
      </c>
      <c r="C4813" t="str">
        <f>IFERROR(__xludf.DUMMYFUNCTION("GOOGLETRANSLATE(B4813, ""fr"", ""en"")"),"Superb renapur pot To renovate leather coat, pot is great!")</f>
        <v>Superb renapur pot To renovate leather coat, pot is great!</v>
      </c>
    </row>
    <row r="4814">
      <c r="A4814" s="1">
        <v>4.0</v>
      </c>
      <c r="B4814" s="1" t="s">
        <v>4757</v>
      </c>
      <c r="C4814" t="str">
        <f>IFERROR(__xludf.DUMMYFUNCTION("GOOGLETRANSLATE(B4814, ""fr"", ""en"")"),"Good value Not bad for the price")</f>
        <v>Good value Not bad for the price</v>
      </c>
    </row>
    <row r="4815">
      <c r="A4815" s="1">
        <v>5.0</v>
      </c>
      <c r="B4815" s="1" t="s">
        <v>4758</v>
      </c>
      <c r="C4815" t="str">
        <f>IFERROR(__xludf.DUMMYFUNCTION("GOOGLETRANSLATE(B4815, ""fr"", ""en"")"),"Good headphones Earphones received very quickly. Delivered in a pretty box. The earpiece is positioned securely on the ear even during sports. The design is discreet and the sound is good. I recommend.")</f>
        <v>Good headphones Earphones received very quickly. Delivered in a pretty box. The earpiece is positioned securely on the ear even during sports. The design is discreet and the sound is good. I recommend.</v>
      </c>
    </row>
    <row r="4816">
      <c r="A4816" s="1">
        <v>5.0</v>
      </c>
      <c r="B4816" s="1" t="s">
        <v>4759</v>
      </c>
      <c r="C4816" t="str">
        <f>IFERROR(__xludf.DUMMYFUNCTION("GOOGLETRANSLATE(B4816, ""fr"", ""en"")"),"Quality is Superb")</f>
        <v>Quality is Superb</v>
      </c>
    </row>
    <row r="4817">
      <c r="A4817" s="1">
        <v>5.0</v>
      </c>
      <c r="B4817" s="1" t="s">
        <v>4760</v>
      </c>
      <c r="C4817" t="str">
        <f>IFERROR(__xludf.DUMMYFUNCTION("GOOGLETRANSLATE(B4817, ""fr"", ""en"")"),"Perfect summer Puma, a safe bet, perfect for the pool and shared showers. Ideal for holidays and beach.")</f>
        <v>Perfect summer Puma, a safe bet, perfect for the pool and shared showers. Ideal for holidays and beach.</v>
      </c>
    </row>
    <row r="4818">
      <c r="A4818" s="1">
        <v>5.0</v>
      </c>
      <c r="B4818" s="1" t="s">
        <v>4761</v>
      </c>
      <c r="C4818" t="str">
        <f>IFERROR(__xludf.DUMMYFUNCTION("GOOGLETRANSLATE(B4818, ""fr"", ""en"")"),"Very well done job, a nice price !! Great price / quality ratio, makes the job, the quality seems to be the Meeting place, remains to be seen over time ..")</f>
        <v>Very well done job, a nice price !! Great price / quality ratio, makes the job, the quality seems to be the Meeting place, remains to be seen over time ..</v>
      </c>
    </row>
    <row r="4819">
      <c r="A4819" s="1">
        <v>5.0</v>
      </c>
      <c r="B4819" s="1" t="s">
        <v>4762</v>
      </c>
      <c r="C4819" t="str">
        <f>IFERROR(__xludf.DUMMYFUNCTION("GOOGLETRANSLATE(B4819, ""fr"", ""en"")"),"Great moment of Massage perspective I recommend this massage cushion. Bought twice and am just envious. Price interesting and good quality product.")</f>
        <v>Great moment of Massage perspective I recommend this massage cushion. Bought twice and am just envious. Price interesting and good quality product.</v>
      </c>
    </row>
    <row r="4820">
      <c r="A4820" s="1">
        <v>5.0</v>
      </c>
      <c r="B4820" s="1" t="s">
        <v>4763</v>
      </c>
      <c r="C4820" t="str">
        <f>IFERROR(__xludf.DUMMYFUNCTION("GOOGLETRANSLATE(B4820, ""fr"", ""en"")"),"Perfect Great headphones fit comfortably in the ear")</f>
        <v>Perfect Great headphones fit comfortably in the ear</v>
      </c>
    </row>
    <row r="4821">
      <c r="A4821" s="1">
        <v>5.0</v>
      </c>
      <c r="B4821" s="1" t="s">
        <v>4764</v>
      </c>
      <c r="C4821" t="str">
        <f>IFERROR(__xludf.DUMMYFUNCTION("GOOGLETRANSLATE(B4821, ""fr"", ""en"")"),"A purchase I love these yoga pants, it's really a high waist that is not twisted despite the fabric of underwear you wear. Perfect for working sizes are accurate, it is comfortable and the material is thick. I will definitely buy more.")</f>
        <v>A purchase I love these yoga pants, it's really a high waist that is not twisted despite the fabric of underwear you wear. Perfect for working sizes are accurate, it is comfortable and the material is thick. I will definitely buy more.</v>
      </c>
    </row>
    <row r="4822">
      <c r="A4822" s="1">
        <v>5.0</v>
      </c>
      <c r="B4822" s="1" t="s">
        <v>4765</v>
      </c>
      <c r="C4822" t="str">
        <f>IFERROR(__xludf.DUMMYFUNCTION("GOOGLETRANSLATE(B4822, ""fr"", ""en"")"),"Effective! The best existing product for this use. Enough resistant and damp to his job. To try it is to adopt it ! Essential !!!")</f>
        <v>Effective! The best existing product for this use. Enough resistant and damp to his job. To try it is to adopt it ! Essential !!!</v>
      </c>
    </row>
    <row r="4823">
      <c r="A4823" s="1">
        <v>5.0</v>
      </c>
      <c r="B4823" s="1" t="s">
        <v>4766</v>
      </c>
      <c r="C4823" t="str">
        <f>IFERROR(__xludf.DUMMYFUNCTION("GOOGLETRANSLATE(B4823, ""fr"", ""en"")"),"Small lamp atmosphere at the top &lt;div id = ""video-block-RGKM7DZKT5DDB"" class = ""a-section-spacing-small in-spacing-top mini video-block""&gt; &lt;/ div&gt; &lt;input type = ""hidden"" name = """" value = ""https://images-eu.ssl-images-amazon.com/images/I/91JAZNu48"&amp;"ES.mp4"" class = ""video-url""&gt; &lt;input type = ""hidden"" name = """" value = ""https://images-eu.ssl-images-amazon.com/images/I/81n2r7qwUNS.png"" class = ""video-slate-img-url""&gt; &amp; nbsp; nice little lamp, changing the color anything that touching. Good so"&amp;"und of the Bluetooth speaker, the alarm is great as well. Good value for money .")</f>
        <v>Small lamp atmosphere at the top &lt;div id = "video-block-RGKM7DZKT5DDB" class = "a-section-spacing-small in-spacing-top mini video-block"&gt; &lt;/ div&gt; &lt;input type = "hidden" name = "" value = "https://images-eu.ssl-images-amazon.com/images/I/91JAZNu48ES.mp4" class = "video-url"&gt; &lt;input type = "hidden" name = "" value = "https://images-eu.ssl-images-amazon.com/images/I/81n2r7qwUNS.png" class = "video-slate-img-url"&gt; &amp; nbsp; nice little lamp, changing the color anything that touching. Good sound of the Bluetooth speaker, the alarm is great as well. Good value for money .</v>
      </c>
    </row>
    <row r="4824">
      <c r="A4824" s="1">
        <v>5.0</v>
      </c>
      <c r="B4824" s="1" t="s">
        <v>4767</v>
      </c>
      <c r="C4824" t="str">
        <f>IFERROR(__xludf.DUMMYFUNCTION("GOOGLETRANSLATE(B4824, ""fr"", ""en"")"),"Perfect My son uses this type of pen, so it's much cheaper than store")</f>
        <v>Perfect My son uses this type of pen, so it's much cheaper than store</v>
      </c>
    </row>
    <row r="4825">
      <c r="A4825" s="1">
        <v>5.0</v>
      </c>
      <c r="B4825" s="1" t="s">
        <v>4768</v>
      </c>
      <c r="C4825" t="str">
        <f>IFERROR(__xludf.DUMMYFUNCTION("GOOGLETRANSLATE(B4825, ""fr"", ""en"")"),"Quality Good quality product received on time")</f>
        <v>Quality Good quality product received on time</v>
      </c>
    </row>
    <row r="4826">
      <c r="A4826" s="1">
        <v>5.0</v>
      </c>
      <c r="B4826" s="1" t="s">
        <v>4769</v>
      </c>
      <c r="C4826" t="str">
        <f>IFERROR(__xludf.DUMMYFUNCTION("GOOGLETRANSLATE(B4826, ""fr"", ""en"")"),"Good quality, good impression and very correct amount of printing. Good quality, good impression and very correct amount of printing. For a reasonable price and XXL XL cartridges you enable long lasting and good quality prints. I always use these cartridg"&amp;"es CANON brand, to a printer of the same make, personally and professionally on occasion. I am very pleased with these cartridges and comparing prices is easily saving twenty euros compared to the ""specialist toner and others."" HB")</f>
        <v>Good quality, good impression and very correct amount of printing. Good quality, good impression and very correct amount of printing. For a reasonable price and XXL XL cartridges you enable long lasting and good quality prints. I always use these cartridges CANON brand, to a printer of the same make, personally and professionally on occasion. I am very pleased with these cartridges and comparing prices is easily saving twenty euros compared to the "specialist toner and others." HB</v>
      </c>
    </row>
    <row r="4827">
      <c r="A4827" s="1">
        <v>5.0</v>
      </c>
      <c r="B4827" s="1" t="s">
        <v>4770</v>
      </c>
      <c r="C4827" t="str">
        <f>IFERROR(__xludf.DUMMYFUNCTION("GOOGLETRANSLATE(B4827, ""fr"", ""en"")"),"Beautiful Brush object of very good quality, varnished wood and shines shoes perfectly. The finish is very neat. I recommend.")</f>
        <v>Beautiful Brush object of very good quality, varnished wood and shines shoes perfectly. The finish is very neat. I recommend.</v>
      </c>
    </row>
    <row r="4828">
      <c r="A4828" s="1">
        <v>5.0</v>
      </c>
      <c r="B4828" s="1" t="s">
        <v>4771</v>
      </c>
      <c r="C4828" t="str">
        <f>IFERROR(__xludf.DUMMYFUNCTION("GOOGLETRANSLATE(B4828, ""fr"", ""en"")"),"very comfortable Daily")</f>
        <v>very comfortable Daily</v>
      </c>
    </row>
    <row r="4829">
      <c r="A4829" s="1">
        <v>5.0</v>
      </c>
      <c r="B4829" s="1" t="s">
        <v>4772</v>
      </c>
      <c r="C4829" t="str">
        <f>IFERROR(__xludf.DUMMYFUNCTION("GOOGLETRANSLATE(B4829, ""fr"", ""en"")"),"Perfect Asked in second, my son is happy.")</f>
        <v>Perfect Asked in second, my son is happy.</v>
      </c>
    </row>
    <row r="4830">
      <c r="A4830" s="1">
        <v>2.0</v>
      </c>
      <c r="B4830" s="1" t="s">
        <v>4773</v>
      </c>
      <c r="C4830" t="str">
        <f>IFERROR(__xludf.DUMMYFUNCTION("GOOGLETRANSLATE(B4830, ""fr"", ""en"")"),"disappointed a little disappointed, I'll have me wary of the length of the stem, very short, does not stir the bottom of the bottle, too bad for me I'll have to look better")</f>
        <v>disappointed a little disappointed, I'll have me wary of the length of the stem, very short, does not stir the bottom of the bottle, too bad for me I'll have to look better</v>
      </c>
    </row>
    <row r="4831">
      <c r="A4831" s="1">
        <v>1.0</v>
      </c>
      <c r="B4831" s="1" t="s">
        <v>4774</v>
      </c>
      <c r="C4831" t="str">
        <f>IFERROR(__xludf.DUMMYFUNCTION("GOOGLETRANSLATE(B4831, ""fr"", ""en"")"),"Too late Too late, the printer sometimes takes multiple sheets at the same time. Also in my first train, surrounded with plenty of wrinkles species in the paper, I still have four to go! Compared to the other papers I had so far, whether brand or same bra"&amp;"nd of hypermaché, with whom I have never had a problem and, for some, were a bit cheaper , this is the worst")</f>
        <v>Too late Too late, the printer sometimes takes multiple sheets at the same time. Also in my first train, surrounded with plenty of wrinkles species in the paper, I still have four to go! Compared to the other papers I had so far, whether brand or same brand of hypermaché, with whom I have never had a problem and, for some, were a bit cheaper , this is the worst</v>
      </c>
    </row>
    <row r="4832">
      <c r="A4832" s="1">
        <v>3.0</v>
      </c>
      <c r="B4832" s="1" t="s">
        <v>4775</v>
      </c>
      <c r="C4832" t="str">
        <f>IFERROR(__xludf.DUMMYFUNCTION("GOOGLETRANSLATE(B4832, ""fr"", ""en"")"),"necklace I offered to my mom for Christmas are seen price I was afraid to be not well down the opposite it is just a can too")</f>
        <v>necklace I offered to my mom for Christmas are seen price I was afraid to be not well down the opposite it is just a can too</v>
      </c>
    </row>
    <row r="4833">
      <c r="A4833" s="1">
        <v>3.0</v>
      </c>
      <c r="B4833" s="1" t="s">
        <v>4776</v>
      </c>
      <c r="C4833" t="str">
        <f>IFERROR(__xludf.DUMMYFUNCTION("GOOGLETRANSLATE(B4833, ""fr"", ""en"")"),"a small can the sweat is good and it may qualiter small compared to the other sweatshirt size S I")</f>
        <v>a small can the sweat is good and it may qualiter small compared to the other sweatshirt size S I</v>
      </c>
    </row>
    <row r="4834">
      <c r="A4834" s="1">
        <v>4.0</v>
      </c>
      <c r="B4834" s="1" t="s">
        <v>4777</v>
      </c>
      <c r="C4834" t="str">
        <f>IFERROR(__xludf.DUMMYFUNCTION("GOOGLETRANSLATE(B4834, ""fr"", ""en"")"),"Very good sound but not very comfortable This helmet is really very good in sound and bass with, in addition, the application to set the parameters according to our preferences. However, it is not very comfortable and I have never exceeded 1 hour of liste"&amp;"ning because it crushes my ears.")</f>
        <v>Very good sound but not very comfortable This helmet is really very good in sound and bass with, in addition, the application to set the parameters according to our preferences. However, it is not very comfortable and I have never exceeded 1 hour of listening because it crushes my ears.</v>
      </c>
    </row>
    <row r="4835">
      <c r="A4835" s="1">
        <v>4.0</v>
      </c>
      <c r="B4835" s="1" t="s">
        <v>4778</v>
      </c>
      <c r="C4835" t="str">
        <f>IFERROR(__xludf.DUMMYFUNCTION("GOOGLETRANSLATE(B4835, ""fr"", ""en"")"),"beautiful boots these boots are for professional use, they are very nice but a bit stiff to the point where they can hardly fit")</f>
        <v>beautiful boots these boots are for professional use, they are very nice but a bit stiff to the point where they can hardly fit</v>
      </c>
    </row>
    <row r="4836">
      <c r="A4836" s="1">
        <v>4.0</v>
      </c>
      <c r="B4836" s="1" t="s">
        <v>4779</v>
      </c>
      <c r="C4836" t="str">
        <f>IFERROR(__xludf.DUMMYFUNCTION("GOOGLETRANSLATE(B4836, ""fr"", ""en"")"),"they are a little stiff Beads hope that they will relax")</f>
        <v>they are a little stiff Beads hope that they will relax</v>
      </c>
    </row>
    <row r="4837">
      <c r="A4837" s="1">
        <v>4.0</v>
      </c>
      <c r="B4837" s="1" t="s">
        <v>4780</v>
      </c>
      <c r="C4837" t="str">
        <f>IFERROR(__xludf.DUMMYFUNCTION("GOOGLETRANSLATE(B4837, ""fr"", ""en"")"),"guaranteed heat !! m size, perfect size &amp; nbsp; even the sleeves for slightly larger arm. difficil to leave once put on!")</f>
        <v>guaranteed heat !! m size, perfect size &amp; nbsp; even the sleeves for slightly larger arm. difficil to leave once put on!</v>
      </c>
    </row>
    <row r="4838">
      <c r="A4838" s="1">
        <v>5.0</v>
      </c>
      <c r="B4838" s="1" t="s">
        <v>4781</v>
      </c>
      <c r="C4838" t="str">
        <f>IFERROR(__xludf.DUMMYFUNCTION("GOOGLETRANSLATE(B4838, ""fr"", ""en"")"),"Top! Super corresponds very well to my expectations .. Thanks Amazon I highly recommend for its price it's great! Simple, easy and effective")</f>
        <v>Top! Super corresponds very well to my expectations .. Thanks Amazon I highly recommend for its price it's great! Simple, easy and effective</v>
      </c>
    </row>
    <row r="4839">
      <c r="A4839" s="1">
        <v>5.0</v>
      </c>
      <c r="B4839" s="1" t="s">
        <v>4782</v>
      </c>
      <c r="C4839" t="str">
        <f>IFERROR(__xludf.DUMMYFUNCTION("GOOGLETRANSLATE(B4839, ""fr"", ""en"")"),"Basketball player Very value for money and great performance")</f>
        <v>Basketball player Very value for money and great performance</v>
      </c>
    </row>
    <row r="4840">
      <c r="A4840" s="1">
        <v>5.0</v>
      </c>
      <c r="B4840" s="1" t="s">
        <v>4783</v>
      </c>
      <c r="C4840" t="str">
        <f>IFERROR(__xludf.DUMMYFUNCTION("GOOGLETRANSLATE(B4840, ""fr"", ""en"")"),"Very good watch. I own this watch for over 6 months and I was very pessimistic when my purchases for bad comments I had seen was his but after about 6 months impecable, I really advice as it has a very nice design and a very complete dial.")</f>
        <v>Very good watch. I own this watch for over 6 months and I was very pessimistic when my purchases for bad comments I had seen was his but after about 6 months impecable, I really advice as it has a very nice design and a very complete dial.</v>
      </c>
    </row>
    <row r="4841">
      <c r="A4841" s="1">
        <v>5.0</v>
      </c>
      <c r="B4841" s="1" t="s">
        <v>4784</v>
      </c>
      <c r="C4841" t="str">
        <f>IFERROR(__xludf.DUMMYFUNCTION("GOOGLETRANSLATE(B4841, ""fr"", ""en"")"),"Perfect quality bra that perfectly maintains large breasts. I put the same when I do not do sports. So glad I have already bought 2 more! It perfectly size, neither too big nor too small")</f>
        <v>Perfect quality bra that perfectly maintains large breasts. I put the same when I do not do sports. So glad I have already bought 2 more! It perfectly size, neither too big nor too small</v>
      </c>
    </row>
    <row r="4842">
      <c r="A4842" s="1">
        <v>5.0</v>
      </c>
      <c r="B4842" s="1" t="s">
        <v>4785</v>
      </c>
      <c r="C4842" t="str">
        <f>IFERROR(__xludf.DUMMYFUNCTION("GOOGLETRANSLATE(B4842, ""fr"", ""en"")"),"Congratulations Good product. ok time.")</f>
        <v>Congratulations Good product. ok time.</v>
      </c>
    </row>
    <row r="4843">
      <c r="A4843" s="1">
        <v>5.0</v>
      </c>
      <c r="B4843" s="1" t="s">
        <v>4786</v>
      </c>
      <c r="C4843" t="str">
        <f>IFERROR(__xludf.DUMMYFUNCTION("GOOGLETRANSLATE(B4843, ""fr"", ""en"")"),"My foot Solid")</f>
        <v>My foot Solid</v>
      </c>
    </row>
    <row r="4844">
      <c r="A4844" s="1">
        <v>5.0</v>
      </c>
      <c r="B4844" s="1" t="s">
        <v>4787</v>
      </c>
      <c r="C4844" t="str">
        <f>IFERROR(__xludf.DUMMYFUNCTION("GOOGLETRANSLATE(B4844, ""fr"", ""en"")"),"Consistent with the description consistent with the description")</f>
        <v>Consistent with the description consistent with the description</v>
      </c>
    </row>
    <row r="4845">
      <c r="A4845" s="1">
        <v>5.0</v>
      </c>
      <c r="B4845" s="1" t="s">
        <v>4788</v>
      </c>
      <c r="C4845" t="str">
        <f>IFERROR(__xludf.DUMMYFUNCTION("GOOGLETRANSLATE(B4845, ""fr"", ""en"")"),"Super cute. Very pretty ; beautiful blue; my daughter loves it.")</f>
        <v>Super cute. Very pretty ; beautiful blue; my daughter loves it.</v>
      </c>
    </row>
    <row r="4846">
      <c r="A4846" s="1">
        <v>5.0</v>
      </c>
      <c r="B4846" s="1" t="s">
        <v>4789</v>
      </c>
      <c r="C4846" t="str">
        <f>IFERROR(__xludf.DUMMYFUNCTION("GOOGLETRANSLATE(B4846, ""fr"", ""en"")"),"Order Notice Very happy with my order, really realistic and good quality in relation to the description, small flat parcel was not closed but fortunately everything was in it.")</f>
        <v>Order Notice Very happy with my order, really realistic and good quality in relation to the description, small flat parcel was not closed but fortunately everything was in it.</v>
      </c>
    </row>
    <row r="4847">
      <c r="A4847" s="1">
        <v>5.0</v>
      </c>
      <c r="B4847" s="1" t="s">
        <v>4790</v>
      </c>
      <c r="C4847" t="str">
        <f>IFERROR(__xludf.DUMMYFUNCTION("GOOGLETRANSLATE(B4847, ""fr"", ""en"")"),"Parfais My son is delighted, great size, color as I wanted, sending the article was as quick report, the article is fine, I have nothing to say ...")</f>
        <v>Parfais My son is delighted, great size, color as I wanted, sending the article was as quick report, the article is fine, I have nothing to say ...</v>
      </c>
    </row>
    <row r="4848">
      <c r="A4848" s="1">
        <v>5.0</v>
      </c>
      <c r="B4848" s="1" t="s">
        <v>4791</v>
      </c>
      <c r="C4848" t="str">
        <f>IFERROR(__xludf.DUMMYFUNCTION("GOOGLETRANSLATE(B4848, ""fr"", ""en"")"),"Respect and comply birthday gift 80 years of a parent: very happy")</f>
        <v>Respect and comply birthday gift 80 years of a parent: very happy</v>
      </c>
    </row>
    <row r="4849">
      <c r="A4849" s="1">
        <v>5.0</v>
      </c>
      <c r="B4849" s="1" t="s">
        <v>4792</v>
      </c>
      <c r="C4849" t="str">
        <f>IFERROR(__xludf.DUMMYFUNCTION("GOOGLETRANSLATE(B4849, ""fr"", ""en"")"),"good product but after a year, the earbuds come off")</f>
        <v>good product but after a year, the earbuds come off</v>
      </c>
    </row>
    <row r="4850">
      <c r="A4850" s="1">
        <v>5.0</v>
      </c>
      <c r="B4850" s="1" t="s">
        <v>4793</v>
      </c>
      <c r="C4850" t="str">
        <f>IFERROR(__xludf.DUMMYFUNCTION("GOOGLETRANSLATE(B4850, ""fr"", ""en"")"),"Perfect Very nice shorts, nice cut, very comfortable to wear with the wide section at the waist, not too tight. I love st I advise. For 164 cm and 50 kg S is perfect.")</f>
        <v>Perfect Very nice shorts, nice cut, very comfortable to wear with the wide section at the waist, not too tight. I love st I advise. For 164 cm and 50 kg S is perfect.</v>
      </c>
    </row>
    <row r="4851">
      <c r="A4851" s="1">
        <v>5.0</v>
      </c>
      <c r="B4851" s="1" t="s">
        <v>4794</v>
      </c>
      <c r="C4851" t="str">
        <f>IFERROR(__xludf.DUMMYFUNCTION("GOOGLETRANSLATE(B4851, ""fr"", ""en"")"),"Perfect Perfect, good support, good quality, nice colors and sized perfectly, I took m usual size and spotless. I recommend.")</f>
        <v>Perfect Perfect, good support, good quality, nice colors and sized perfectly, I took m usual size and spotless. I recommend.</v>
      </c>
    </row>
    <row r="4852">
      <c r="A4852" s="1">
        <v>5.0</v>
      </c>
      <c r="B4852" s="1" t="s">
        <v>4795</v>
      </c>
      <c r="C4852" t="str">
        <f>IFERROR(__xludf.DUMMYFUNCTION("GOOGLETRANSLATE(B4852, ""fr"", ""en"")"),"Super Pretty comfortable, lightweight and comfortable. Good value for money.")</f>
        <v>Super Pretty comfortable, lightweight and comfortable. Good value for money.</v>
      </c>
    </row>
    <row r="4853">
      <c r="A4853" s="1">
        <v>2.0</v>
      </c>
      <c r="B4853" s="1" t="s">
        <v>4796</v>
      </c>
      <c r="C4853" t="str">
        <f>IFERROR(__xludf.DUMMYFUNCTION("GOOGLETRANSLATE(B4853, ""fr"", ""en"")"),"Blew a fuse Very good for 1 year and then rust and now she blew a fuse so hs ... I do not know which to take from now ...")</f>
        <v>Blew a fuse Very good for 1 year and then rust and now she blew a fuse so hs ... I do not know which to take from now ...</v>
      </c>
    </row>
    <row r="4854">
      <c r="A4854" s="1">
        <v>1.0</v>
      </c>
      <c r="B4854" s="1" t="s">
        <v>4797</v>
      </c>
      <c r="C4854" t="str">
        <f>IFERROR(__xludf.DUMMYFUNCTION("GOOGLETRANSLATE(B4854, ""fr"", ""en"")"),"defective watch second hand is delayed and blocked defective watch second hand is delayed and blocked")</f>
        <v>defective watch second hand is delayed and blocked defective watch second hand is delayed and blocked</v>
      </c>
    </row>
    <row r="4855">
      <c r="A4855" s="1">
        <v>1.0</v>
      </c>
      <c r="B4855" s="1" t="s">
        <v>4798</v>
      </c>
      <c r="C4855" t="str">
        <f>IFERROR(__xludf.DUMMYFUNCTION("GOOGLETRANSLATE(B4855, ""fr"", ""en"")"),"Comment on Article Item not conform to the description both the color and form. I do not recommend the next time.")</f>
        <v>Comment on Article Item not conform to the description both the color and form. I do not recommend the next time.</v>
      </c>
    </row>
    <row r="4856">
      <c r="A4856" s="1">
        <v>3.0</v>
      </c>
      <c r="B4856" s="1" t="s">
        <v>4799</v>
      </c>
      <c r="C4856" t="str">
        <f>IFERROR(__xludf.DUMMYFUNCTION("GOOGLETRANSLATE(B4856, ""fr"", ""en"")"),"Although Received a bit late but good product")</f>
        <v>Although Received a bit late but good product</v>
      </c>
    </row>
    <row r="4857">
      <c r="A4857" s="1">
        <v>3.0</v>
      </c>
      <c r="B4857" s="1" t="s">
        <v>4800</v>
      </c>
      <c r="C4857" t="str">
        <f>IFERROR(__xludf.DUMMYFUNCTION("GOOGLETRANSLATE(B4857, ""fr"", ""en"")"),"EXCELLENT PRODUCT BUT H.S AFTER 1 YEAR OF USE SUPER BOUILLOTTE WHICH WE CAN HAPPEN BUT STOPS HEAT AFTER 1 YEAR OF USE. WORST IT DOUBLE VOLUME .... I HAVE FEARS THAT SHE EXPLODED ..")</f>
        <v>EXCELLENT PRODUCT BUT H.S AFTER 1 YEAR OF USE SUPER BOUILLOTTE WHICH WE CAN HAPPEN BUT STOPS HEAT AFTER 1 YEAR OF USE. WORST IT DOUBLE VOLUME .... I HAVE FEARS THAT SHE EXPLODED ..</v>
      </c>
    </row>
    <row r="4858">
      <c r="A4858" s="1">
        <v>4.0</v>
      </c>
      <c r="B4858" s="1" t="s">
        <v>4801</v>
      </c>
      <c r="C4858" t="str">
        <f>IFERROR(__xludf.DUMMYFUNCTION("GOOGLETRANSLATE(B4858, ""fr"", ""en"")"),"RAS quality Eastpak, Eastpak is the quality I have always known: solid, well designed, and is known that it will last as long as we confine to the reasonable use and urban.")</f>
        <v>RAS quality Eastpak, Eastpak is the quality I have always known: solid, well designed, and is known that it will last as long as we confine to the reasonable use and urban.</v>
      </c>
    </row>
    <row r="4859">
      <c r="A4859" s="1">
        <v>4.0</v>
      </c>
      <c r="B4859" s="1" t="s">
        <v>4802</v>
      </c>
      <c r="C4859" t="str">
        <f>IFERROR(__xludf.DUMMYFUNCTION("GOOGLETRANSLATE(B4859, ""fr"", ""en"")"),"It toaster good camera a little out of the ordinary on simple point and effective. The power adjustment knob is made. The eject button associated therewith triggers easily without effort. The top loading is easy because the space is wide. The seizure by t"&amp;"he side rails (inside) is equally effective. The ejection at the end of the grill does not ""jump"" above the slices that the toaster (and that's good). I was not really convinced by the ""trick"" to ask it to warm bread or croissants. But in fact it's th"&amp;"e outright! It warms great croissants. It must even be careful not to overheat (graduating 2 is sufficient). I recommand it.")</f>
        <v>It toaster good camera a little out of the ordinary on simple point and effective. The power adjustment knob is made. The eject button associated therewith triggers easily without effort. The top loading is easy because the space is wide. The seizure by the side rails (inside) is equally effective. The ejection at the end of the grill does not "jump" above the slices that the toaster (and that's good). I was not really convinced by the "trick" to ask it to warm bread or croissants. But in fact it's the outright! It warms great croissants. It must even be careful not to overheat (graduating 2 is sufficient). I recommand it.</v>
      </c>
    </row>
    <row r="4860">
      <c r="A4860" s="1">
        <v>4.0</v>
      </c>
      <c r="B4860" s="1" t="s">
        <v>4803</v>
      </c>
      <c r="C4860" t="str">
        <f>IFERROR(__xludf.DUMMYFUNCTION("GOOGLETRANSLATE(B4860, ""fr"", ""en"")"),"Convinced Accuracy: Beginner When I received the chisel .... I was disappointed with the package I felt that he was already opened or used, but when I used the chisel, I n 'not believe how well it worked! I love it, really I am confident and very happy wi"&amp;"th my purchase.")</f>
        <v>Convinced Accuracy: Beginner When I received the chisel .... I was disappointed with the package I felt that he was already opened or used, but when I used the chisel, I n 'not believe how well it worked! I love it, really I am confident and very happy with my purchase.</v>
      </c>
    </row>
    <row r="4861">
      <c r="A4861" s="1">
        <v>4.0</v>
      </c>
      <c r="B4861" s="1" t="s">
        <v>4804</v>
      </c>
      <c r="C4861" t="str">
        <f>IFERROR(__xludf.DUMMYFUNCTION("GOOGLETRANSLATE(B4861, ""fr"", ""en"")"),"Well built and with a beautiful exterior finish I chose these boots because of their elegant appearance and ""Goodyear"" which is a guarantee of solidity. I knew the brand I have the classic model and the price was attractive. Due to the attractive price,"&amp;" we can not ask the sake of finishing can be seen on the outside of the shoe, continuing to less visible parts. Manufacturing is done in Bangladesh and the inner lining is fabric. The shape and size for me is respected. Of course, it will put them with a "&amp;"shoehorn and cover with a little beef foot oil to soften before waxing for the first time (with a natural shine, avoid silicone-based products. .. waterproof but which prevent the leather to breathe).")</f>
        <v>Well built and with a beautiful exterior finish I chose these boots because of their elegant appearance and "Goodyear" which is a guarantee of solidity. I knew the brand I have the classic model and the price was attractive. Due to the attractive price, we can not ask the sake of finishing can be seen on the outside of the shoe, continuing to less visible parts. Manufacturing is done in Bangladesh and the inner lining is fabric. The shape and size for me is respected. Of course, it will put them with a shoehorn and cover with a little beef foot oil to soften before waxing for the first time (with a natural shine, avoid silicone-based products. .. waterproof but which prevent the leather to breathe).</v>
      </c>
    </row>
    <row r="4862">
      <c r="A4862" s="1">
        <v>5.0</v>
      </c>
      <c r="B4862" s="1" t="s">
        <v>4805</v>
      </c>
      <c r="C4862" t="str">
        <f>IFERROR(__xludf.DUMMYFUNCTION("GOOGLETRANSLATE(B4862, ""fr"", ""en"")"),"Pretty perfect, easy to use!")</f>
        <v>Pretty perfect, easy to use!</v>
      </c>
    </row>
    <row r="4863">
      <c r="A4863" s="1">
        <v>5.0</v>
      </c>
      <c r="B4863" s="1" t="s">
        <v>4806</v>
      </c>
      <c r="C4863" t="str">
        <f>IFERROR(__xludf.DUMMYFUNCTION("GOOGLETRANSLATE(B4863, ""fr"", ""en"")"),"the lovely bracelet length makes much effect")</f>
        <v>the lovely bracelet length makes much effect</v>
      </c>
    </row>
    <row r="4864">
      <c r="A4864" s="1">
        <v>5.0</v>
      </c>
      <c r="B4864" s="1" t="s">
        <v>4807</v>
      </c>
      <c r="C4864" t="str">
        <f>IFERROR(__xludf.DUMMYFUNCTION("GOOGLETRANSLATE(B4864, ""fr"", ""en"")"),"Cable ideal to replace the one of origin sold with the amp for guitar purchased to replace a short cable and that the perfect")</f>
        <v>Cable ideal to replace the one of origin sold with the amp for guitar purchased to replace a short cable and that the perfect</v>
      </c>
    </row>
    <row r="4865">
      <c r="A4865" s="1">
        <v>5.0</v>
      </c>
      <c r="B4865" s="1" t="s">
        <v>4808</v>
      </c>
      <c r="C4865" t="str">
        <f>IFERROR(__xludf.DUMMYFUNCTION("GOOGLETRANSLATE(B4865, ""fr"", ""en"")"),"Merrell as usual I am fully satisfied with these shoes unparalleled comfort and very good quality easy to put")</f>
        <v>Merrell as usual I am fully satisfied with these shoes unparalleled comfort and very good quality easy to put</v>
      </c>
    </row>
    <row r="4866">
      <c r="A4866" s="1">
        <v>5.0</v>
      </c>
      <c r="B4866" s="1" t="s">
        <v>4809</v>
      </c>
      <c r="C4866" t="str">
        <f>IFERROR(__xludf.DUMMYFUNCTION("GOOGLETRANSLATE(B4866, ""fr"", ""en"")"),"Very Good Good practice")</f>
        <v>Very Good Good practice</v>
      </c>
    </row>
    <row r="4867">
      <c r="A4867" s="1">
        <v>5.0</v>
      </c>
      <c r="B4867" s="1" t="s">
        <v>4810</v>
      </c>
      <c r="C4867" t="str">
        <f>IFERROR(__xludf.DUMMYFUNCTION("GOOGLETRANSLATE(B4867, ""fr"", ""en"")"),"Top Very good 💪💪")</f>
        <v>Top Very good 💪💪</v>
      </c>
    </row>
    <row r="4868">
      <c r="A4868" s="1">
        <v>5.0</v>
      </c>
      <c r="B4868" s="1" t="s">
        <v>4811</v>
      </c>
      <c r="C4868" t="str">
        <f>IFERROR(__xludf.DUMMYFUNCTION("GOOGLETRANSLATE(B4868, ""fr"", ""en"")"),"The headphones perfect! Super headphones! This 3 days that I had yesterday and I was calling and I never was able to test the autonomy of the left earpiece yes I said though the left because after 3h30-4h the left earphone is extinguished therefore I said"&amp;" was crap the right earpiece will no longer work because the left and the main earphone but if! I could finish my call so 30min more and earphone law was always on my girlfriend always got along with the microphone headphones (also top celon it) in short "&amp;"awesome sound and perfect bass and actually present which is very pleasing to my ears! Earpiece Top in 3jour I received the box with 76% percent is currently 62% so just sincerely top PARFAIIIT! More than to test the battery to recharge my phone.")</f>
        <v>The headphones perfect! Super headphones! This 3 days that I had yesterday and I was calling and I never was able to test the autonomy of the left earpiece yes I said though the left because after 3h30-4h the left earphone is extinguished therefore I said was crap the right earpiece will no longer work because the left and the main earphone but if! I could finish my call so 30min more and earphone law was always on my girlfriend always got along with the microphone headphones (also top celon it) in short awesome sound and perfect bass and actually present which is very pleasing to my ears! Earpiece Top in 3jour I received the box with 76% percent is currently 62% so just sincerely top PARFAIIIT! More than to test the battery to recharge my phone.</v>
      </c>
    </row>
    <row r="4869">
      <c r="A4869" s="1">
        <v>5.0</v>
      </c>
      <c r="B4869" s="1" t="s">
        <v>4812</v>
      </c>
      <c r="C4869" t="str">
        <f>IFERROR(__xludf.DUMMYFUNCTION("GOOGLETRANSLATE(B4869, ""fr"", ""en"")"),"Perfect product conformity. Nothing wrong. State of the perfect product.")</f>
        <v>Perfect product conformity. Nothing wrong. State of the perfect product.</v>
      </c>
    </row>
    <row r="4870">
      <c r="A4870" s="1">
        <v>5.0</v>
      </c>
      <c r="B4870" s="1" t="s">
        <v>4813</v>
      </c>
      <c r="C4870" t="str">
        <f>IFERROR(__xludf.DUMMYFUNCTION("GOOGLETRANSLATE(B4870, ""fr"", ""en"")"),"The comfortable leggings arrived before the deadline. I put it to walking. It is very well 😊")</f>
        <v>The comfortable leggings arrived before the deadline. I put it to walking. It is very well 😊</v>
      </c>
    </row>
    <row r="4871">
      <c r="A4871" s="1">
        <v>5.0</v>
      </c>
      <c r="B4871" s="1" t="s">
        <v>4814</v>
      </c>
      <c r="C4871" t="str">
        <f>IFERROR(__xludf.DUMMYFUNCTION("GOOGLETRANSLATE(B4871, ""fr"", ""en"")"),"Meets the expectations of my daughter This is my daughter's birthday gift to his girlfriend We recommend")</f>
        <v>Meets the expectations of my daughter This is my daughter's birthday gift to his girlfriend We recommend</v>
      </c>
    </row>
    <row r="4872">
      <c r="A4872" s="1">
        <v>5.0</v>
      </c>
      <c r="B4872" s="1" t="s">
        <v>4815</v>
      </c>
      <c r="C4872" t="str">
        <f>IFERROR(__xludf.DUMMYFUNCTION("GOOGLETRANSLATE(B4872, ""fr"", ""en"")"),"Top All necessary together in a kit. My stay in maternity was not stressful because everything was")</f>
        <v>Top All necessary together in a kit. My stay in maternity was not stressful because everything was</v>
      </c>
    </row>
    <row r="4873">
      <c r="A4873" s="1">
        <v>5.0</v>
      </c>
      <c r="B4873" s="1" t="s">
        <v>4816</v>
      </c>
      <c r="C4873" t="str">
        <f>IFERROR(__xludf.DUMMYFUNCTION("GOOGLETRANSLATE(B4873, ""fr"", ""en"")"),"Very satisfactory Very good sound autonomy is good")</f>
        <v>Very satisfactory Very good sound autonomy is good</v>
      </c>
    </row>
    <row r="4874">
      <c r="A4874" s="1">
        <v>5.0</v>
      </c>
      <c r="B4874" s="1" t="s">
        <v>4817</v>
      </c>
      <c r="C4874" t="str">
        <f>IFERROR(__xludf.DUMMYFUNCTION("GOOGLETRANSLATE(B4874, ""fr"", ""en"")"),"Beautiful black Ideal for kitchen work and walking. It should take 1 or 2 sizes above its usual size. I play 44, I bought the 45-46 model.")</f>
        <v>Beautiful black Ideal for kitchen work and walking. It should take 1 or 2 sizes above its usual size. I play 44, I bought the 45-46 model.</v>
      </c>
    </row>
    <row r="4875">
      <c r="A4875" s="1">
        <v>5.0</v>
      </c>
      <c r="B4875" s="1" t="s">
        <v>4818</v>
      </c>
      <c r="C4875" t="str">
        <f>IFERROR(__xludf.DUMMYFUNCTION("GOOGLETRANSLATE(B4875, ""fr"", ""en"")"),"Top Legging end, to do yoga is top. This is not a great quality, but for the price, it does the job 👍 I recommend a chance")</f>
        <v>Top Legging end, to do yoga is top. This is not a great quality, but for the price, it does the job 👍 I recommend a chance</v>
      </c>
    </row>
    <row r="4876">
      <c r="A4876" s="1">
        <v>5.0</v>
      </c>
      <c r="B4876" s="1" t="s">
        <v>4819</v>
      </c>
      <c r="C4876" t="str">
        <f>IFERROR(__xludf.DUMMYFUNCTION("GOOGLETRANSLATE(B4876, ""fr"", ""en"")"),"comfortable top line with my expectations, it is the second that I buy. S / M for 38/40. fluid, light, original and casual top very nice and goes everywhere.")</f>
        <v>comfortable top line with my expectations, it is the second that I buy. S / M for 38/40. fluid, light, original and casual top very nice and goes everywhere.</v>
      </c>
    </row>
    <row r="4877">
      <c r="A4877" s="1">
        <v>2.0</v>
      </c>
      <c r="B4877" s="1" t="s">
        <v>4820</v>
      </c>
      <c r="C4877" t="str">
        <f>IFERROR(__xludf.DUMMYFUNCTION("GOOGLETRANSLATE(B4877, ""fr"", ""en"")"),"Size nonconforming I chose size S who proves too. This is a good M .. So it is I who will put it. When the quality has been sufficiently described aesthetic ... nice but not produce very good quality.")</f>
        <v>Size nonconforming I chose size S who proves too. This is a good M .. So it is I who will put it. When the quality has been sufficiently described aesthetic ... nice but not produce very good quality.</v>
      </c>
    </row>
    <row r="4878">
      <c r="A4878" s="1">
        <v>1.0</v>
      </c>
      <c r="B4878" s="1" t="s">
        <v>4821</v>
      </c>
      <c r="C4878" t="str">
        <f>IFERROR(__xludf.DUMMYFUNCTION("GOOGLETRANSLATE(B4878, ""fr"", ""en"")"),"VERY DISAPOINTED !!!! 👎👎👎👎👎👎👎👎J'ai ordered a size 37.5 and as I received what I guess is a 38, but we can not understand because the trader to ""CANCELED"" shoe size European !!! and even a 38 shoe size would be TOO much! I find that to be a great"&amp;" lack of respect for clients clear the size !!! I will not even spend the money for the return, I will sell the shoes to my colleagues.")</f>
        <v>VERY DISAPOINTED !!!! 👎👎👎👎👎👎👎👎J'ai ordered a size 37.5 and as I received what I guess is a 38, but we can not understand because the trader to "CANCELED" shoe size European !!! and even a 38 shoe size would be TOO much! I find that to be a great lack of respect for clients clear the size !!! I will not even spend the money for the return, I will sell the shoes to my colleagues.</v>
      </c>
    </row>
    <row r="4879">
      <c r="A4879" s="1">
        <v>1.0</v>
      </c>
      <c r="B4879" s="1" t="s">
        <v>4822</v>
      </c>
      <c r="C4879" t="str">
        <f>IFERROR(__xludf.DUMMYFUNCTION("GOOGLETRANSLATE(B4879, ""fr"", ""en"")"),"Chain too small just right for a baby not for a Woman Too small for a woman just good for baby")</f>
        <v>Chain too small just right for a baby not for a Woman Too small for a woman just good for baby</v>
      </c>
    </row>
    <row r="4880">
      <c r="A4880" s="1">
        <v>3.0</v>
      </c>
      <c r="B4880" s="1" t="s">
        <v>4823</v>
      </c>
      <c r="C4880" t="str">
        <f>IFERROR(__xludf.DUMMYFUNCTION("GOOGLETRANSLATE(B4880, ""fr"", ""en"")"),"Too right on top Too bad my kick will not fit in it :(")</f>
        <v>Too right on top Too bad my kick will not fit in it :(</v>
      </c>
    </row>
    <row r="4881">
      <c r="A4881" s="1">
        <v>4.0</v>
      </c>
      <c r="B4881" s="1" t="s">
        <v>4824</v>
      </c>
      <c r="C4881" t="str">
        <f>IFERROR(__xludf.DUMMYFUNCTION("GOOGLETRANSLATE(B4881, ""fr"", ""en"")"),"too beautiful too said my daughter very well the product meets the expectations of my daughter !!!")</f>
        <v>too beautiful too said my daughter very well the product meets the expectations of my daughter !!!</v>
      </c>
    </row>
    <row r="4882">
      <c r="A4882" s="1">
        <v>4.0</v>
      </c>
      <c r="B4882" s="1" t="s">
        <v>4825</v>
      </c>
      <c r="C4882" t="str">
        <f>IFERROR(__xludf.DUMMYFUNCTION("GOOGLETRANSLATE(B4882, ""fr"", ""en"")"),"Functional support, but random stability. I bought this mic support for micro Bird UM1. The media tends to fall under the weight of the microphone, once positioned over worries.")</f>
        <v>Functional support, but random stability. I bought this mic support for micro Bird UM1. The media tends to fall under the weight of the microphone, once positioned over worries.</v>
      </c>
    </row>
    <row r="4883">
      <c r="A4883" s="1">
        <v>4.0</v>
      </c>
      <c r="B4883" s="1" t="s">
        <v>4826</v>
      </c>
      <c r="C4883" t="str">
        <f>IFERROR(__xludf.DUMMYFUNCTION("GOOGLETRANSLATE(B4883, ""fr"", ""en"")"),"A little big carve rather big but nice with dark blue color on the back")</f>
        <v>A little big carve rather big but nice with dark blue color on the back</v>
      </c>
    </row>
    <row r="4884">
      <c r="A4884" s="1">
        <v>4.0</v>
      </c>
      <c r="B4884" s="1" t="s">
        <v>4827</v>
      </c>
      <c r="C4884" t="str">
        <f>IFERROR(__xludf.DUMMYFUNCTION("GOOGLETRANSLATE(B4884, ""fr"", ""en"")"),"Book pk Great Coloring Book.")</f>
        <v>Book pk Great Coloring Book.</v>
      </c>
    </row>
    <row r="4885">
      <c r="A4885" s="1">
        <v>4.0</v>
      </c>
      <c r="B4885" s="1" t="s">
        <v>4828</v>
      </c>
      <c r="C4885" t="str">
        <f>IFERROR(__xludf.DUMMYFUNCTION("GOOGLETRANSLATE(B4885, ""fr"", ""en"")"),"Cool! They are so pretty! By cons really predict size and more. super fast delivery!")</f>
        <v>Cool! They are so pretty! By cons really predict size and more. super fast delivery!</v>
      </c>
    </row>
    <row r="4886">
      <c r="A4886" s="1">
        <v>5.0</v>
      </c>
      <c r="B4886" s="1" t="s">
        <v>4829</v>
      </c>
      <c r="C4886" t="str">
        <f>IFERROR(__xludf.DUMMYFUNCTION("GOOGLETRANSLATE(B4886, ""fr"", ""en"")"),"price quality. ring open SHEGRACE 925 Sterline, pattern Tree of Life () is the name I give him. green branch to the end of the foliage. for the price it really classy. I really love it, and can advise.")</f>
        <v>price quality. ring open SHEGRACE 925 Sterline, pattern Tree of Life () is the name I give him. green branch to the end of the foliage. for the price it really classy. I really love it, and can advise.</v>
      </c>
    </row>
    <row r="4887">
      <c r="A4887" s="1">
        <v>5.0</v>
      </c>
      <c r="B4887" s="1" t="s">
        <v>4830</v>
      </c>
      <c r="C4887" t="str">
        <f>IFERROR(__xludf.DUMMYFUNCTION("GOOGLETRANSLATE(B4887, ""fr"", ""en"")"),"great product This product has helped to eliminate the long inlaid work in my car purchased second-hand. I had to go twice but the result is excellent. Fast delivery, no complaints.")</f>
        <v>great product This product has helped to eliminate the long inlaid work in my car purchased second-hand. I had to go twice but the result is excellent. Fast delivery, no complaints.</v>
      </c>
    </row>
    <row r="4888">
      <c r="A4888" s="1">
        <v>5.0</v>
      </c>
      <c r="B4888" s="1" t="s">
        <v>4831</v>
      </c>
      <c r="C4888" t="str">
        <f>IFERROR(__xludf.DUMMYFUNCTION("GOOGLETRANSLATE(B4888, ""fr"", ""en"")"),"Do the taf The cartridges were received quickly and seriously packed. The finish of the cartridge is serious, it exudes seriously. On first use, a message announces that this is not an official HP cartridge. Aside from that, it works fine for a much lower"&amp;" price. I am satisfied and recommend it.")</f>
        <v>Do the taf The cartridges were received quickly and seriously packed. The finish of the cartridge is serious, it exudes seriously. On first use, a message announces that this is not an official HP cartridge. Aside from that, it works fine for a much lower price. I am satisfied and recommend it.</v>
      </c>
    </row>
    <row r="4889">
      <c r="A4889" s="1">
        <v>5.0</v>
      </c>
      <c r="B4889" s="1" t="s">
        <v>4832</v>
      </c>
      <c r="C4889" t="str">
        <f>IFERROR(__xludf.DUMMYFUNCTION("GOOGLETRANSLATE(B4889, ""fr"", ""en"")"),"Great I love them! Paid 23.95 with the delivery, the color is top, they are comfortable and well sized. The node a small effect.")</f>
        <v>Great I love them! Paid 23.95 with the delivery, the color is top, they are comfortable and well sized. The node a small effect.</v>
      </c>
    </row>
    <row r="4890">
      <c r="A4890" s="1">
        <v>5.0</v>
      </c>
      <c r="B4890" s="1" t="s">
        <v>4833</v>
      </c>
      <c r="C4890" t="str">
        <f>IFERROR(__xludf.DUMMYFUNCTION("GOOGLETRANSLATE(B4890, ""fr"", ""en"")"),"quality I did not know what to give for a friend's birthday. So bluetooth headphones seem fine. The quality is very good, the quality of listening is waiting for you. I highly recommend it.")</f>
        <v>quality I did not know what to give for a friend's birthday. So bluetooth headphones seem fine. The quality is very good, the quality of listening is waiting for you. I highly recommend it.</v>
      </c>
    </row>
    <row r="4891">
      <c r="A4891" s="1">
        <v>5.0</v>
      </c>
      <c r="B4891" s="1" t="s">
        <v>4834</v>
      </c>
      <c r="C4891" t="str">
        <f>IFERROR(__xludf.DUMMYFUNCTION("GOOGLETRANSLATE(B4891, ""fr"", ""en"")"),"We have fun ! Consistent with the description. Easy to use. Instructions in English. It is used either Bluetooth or just to have the sound of the voice")</f>
        <v>We have fun ! Consistent with the description. Easy to use. Instructions in English. It is used either Bluetooth or just to have the sound of the voice</v>
      </c>
    </row>
    <row r="4892">
      <c r="A4892" s="1">
        <v>5.0</v>
      </c>
      <c r="B4892" s="1" t="s">
        <v>4835</v>
      </c>
      <c r="C4892" t="str">
        <f>IFERROR(__xludf.DUMMYFUNCTION("GOOGLETRANSLATE(B4892, ""fr"", ""en"")"),"Just right nor too small nor too big. But just for the wallet and some trinkets. Holds easily in a coat pocket.")</f>
        <v>Just right nor too small nor too big. But just for the wallet and some trinkets. Holds easily in a coat pocket.</v>
      </c>
    </row>
    <row r="4893">
      <c r="A4893" s="1">
        <v>5.0</v>
      </c>
      <c r="B4893" s="1" t="s">
        <v>4836</v>
      </c>
      <c r="C4893" t="str">
        <f>IFERROR(__xludf.DUMMYFUNCTION("GOOGLETRANSLATE(B4893, ""fr"", ""en"")"),"Good Good practice 4 min c is therefore very convenient Great for quick bottle. Parcontre very hot to the left the microwave.")</f>
        <v>Good Good practice 4 min c is therefore very convenient Great for quick bottle. Parcontre very hot to the left the microwave.</v>
      </c>
    </row>
    <row r="4894">
      <c r="A4894" s="1">
        <v>5.0</v>
      </c>
      <c r="B4894" s="1" t="s">
        <v>4837</v>
      </c>
      <c r="C4894" t="str">
        <f>IFERROR(__xludf.DUMMYFUNCTION("GOOGLETRANSLATE(B4894, ""fr"", ""en"")"),"Good product for Terminales who need to make sketches at LAC ... Product adapted for geography sketches for IBC !! Good luck to everyone")</f>
        <v>Good product for Terminales who need to make sketches at LAC ... Product adapted for geography sketches for IBC !! Good luck to everyone</v>
      </c>
    </row>
    <row r="4895">
      <c r="A4895" s="1">
        <v>5.0</v>
      </c>
      <c r="B4895" s="1" t="s">
        <v>4838</v>
      </c>
      <c r="C4895" t="str">
        <f>IFERROR(__xludf.DUMMYFUNCTION("GOOGLETRANSLATE(B4895, ""fr"", ""en"")"),"Bluetooth headphones perfect Lightweight and comfortable, they are very easy to use and great durability. With their load box small they carry everywhere. They fulfill all their promises and I do not get enough. To adopt without hesitation.")</f>
        <v>Bluetooth headphones perfect Lightweight and comfortable, they are very easy to use and great durability. With their load box small they carry everywhere. They fulfill all their promises and I do not get enough. To adopt without hesitation.</v>
      </c>
    </row>
    <row r="4896">
      <c r="A4896" s="1">
        <v>5.0</v>
      </c>
      <c r="B4896" s="1" t="s">
        <v>4839</v>
      </c>
      <c r="C4896" t="str">
        <f>IFERROR(__xludf.DUMMYFUNCTION("GOOGLETRANSLATE(B4896, ""fr"", ""en"")"),"beautiful basketball basketball comfortable single good quality as the picture")</f>
        <v>beautiful basketball basketball comfortable single good quality as the picture</v>
      </c>
    </row>
    <row r="4897">
      <c r="A4897" s="1">
        <v>5.0</v>
      </c>
      <c r="B4897" s="1" t="s">
        <v>4840</v>
      </c>
      <c r="C4897" t="str">
        <f>IFERROR(__xludf.DUMMYFUNCTION("GOOGLETRANSLATE(B4897, ""fr"", ""en"")"),"IN THE TOP !! I do not regret this purchase. Super comfortable, nice finish and consistent with the picture. I'll probably buy me white pair and my mom also wants after testing mine. :) I highly recommend especially for sunny days.")</f>
        <v>IN THE TOP !! I do not regret this purchase. Super comfortable, nice finish and consistent with the picture. I'll probably buy me white pair and my mom also wants after testing mine. :) I highly recommend especially for sunny days.</v>
      </c>
    </row>
    <row r="4898">
      <c r="A4898" s="1">
        <v>5.0</v>
      </c>
      <c r="B4898" s="1" t="s">
        <v>4841</v>
      </c>
      <c r="C4898" t="str">
        <f>IFERROR(__xludf.DUMMYFUNCTION("GOOGLETRANSLATE(B4898, ""fr"", ""en"")"),"Although Recommended")</f>
        <v>Although Recommended</v>
      </c>
    </row>
    <row r="4899">
      <c r="A4899" s="1">
        <v>5.0</v>
      </c>
      <c r="B4899" s="1" t="s">
        <v>4842</v>
      </c>
      <c r="C4899" t="str">
        <f>IFERROR(__xludf.DUMMYFUNCTION("GOOGLETRANSLATE(B4899, ""fr"", ""en"")"),"Good Nibbler Great product complies with very good value description.")</f>
        <v>Good Nibbler Great product complies with very good value description.</v>
      </c>
    </row>
    <row r="4900">
      <c r="A4900" s="1">
        <v>5.0</v>
      </c>
      <c r="B4900" s="1" t="s">
        <v>4843</v>
      </c>
      <c r="C4900" t="str">
        <f>IFERROR(__xludf.DUMMYFUNCTION("GOOGLETRANSLATE(B4900, ""fr"", ""en"")"),"Good foot had to replace my Running shoes, I found this pair that had me ok. I like the proposed color well, I chose dark gray with some blue but not too much that remains discreet, not too showy as I wanted. At the inside foot is in place and well mainta"&amp;"ined, very comfortable and made for use both in the way with a good performance but also on the road with good cushioning. Good footwear of choice")</f>
        <v>Good foot had to replace my Running shoes, I found this pair that had me ok. I like the proposed color well, I chose dark gray with some blue but not too much that remains discreet, not too showy as I wanted. At the inside foot is in place and well maintained, very comfortable and made for use both in the way with a good performance but also on the road with good cushioning. Good footwear of choice</v>
      </c>
    </row>
    <row r="4901">
      <c r="A4901" s="1">
        <v>2.0</v>
      </c>
      <c r="B4901" s="1" t="s">
        <v>4844</v>
      </c>
      <c r="C4901" t="str">
        <f>IFERROR(__xludf.DUMMYFUNCTION("GOOGLETRANSLATE(B4901, ""fr"", ""en"")"),"Quail Quail Quail Quail")</f>
        <v>Quail Quail Quail Quail</v>
      </c>
    </row>
    <row r="4902">
      <c r="A4902" s="1">
        <v>1.0</v>
      </c>
      <c r="B4902" s="1" t="s">
        <v>4845</v>
      </c>
      <c r="C4902" t="str">
        <f>IFERROR(__xludf.DUMMYFUNCTION("GOOGLETRANSLATE(B4902, ""fr"", ""en"")"),"imposing bag that rubs Really disappointed with this purchase imposing bag and more it loses it color and leather color that rubbed off on my dressed again I do not manage to remove stains I do not recommend Thanks 😅")</f>
        <v>imposing bag that rubs Really disappointed with this purchase imposing bag and more it loses it color and leather color that rubbed off on my dressed again I do not manage to remove stains I do not recommend Thanks 😅</v>
      </c>
    </row>
    <row r="4903">
      <c r="A4903" s="1">
        <v>3.0</v>
      </c>
      <c r="B4903" s="1" t="s">
        <v>4846</v>
      </c>
      <c r="C4903" t="str">
        <f>IFERROR(__xludf.DUMMYFUNCTION("GOOGLETRANSLATE(B4903, ""fr"", ""en"")"),"Unusable average debit note for me, I bought them because I saw speed slow but got average speed. Finally I opted for the medela calmed and it works wonderfully.")</f>
        <v>Unusable average debit note for me, I bought them because I saw speed slow but got average speed. Finally I opted for the medela calmed and it works wonderfully.</v>
      </c>
    </row>
    <row r="4904">
      <c r="A4904" s="1">
        <v>3.0</v>
      </c>
      <c r="B4904" s="1" t="s">
        <v>4847</v>
      </c>
      <c r="C4904" t="str">
        <f>IFERROR(__xludf.DUMMYFUNCTION("GOOGLETRANSLATE(B4904, ""fr"", ""en"")"),"Teen satisfied My 12 year old son is very happy to store its transportation card, canteen, his keys, his mobile.")</f>
        <v>Teen satisfied My 12 year old son is very happy to store its transportation card, canteen, his keys, his mobile.</v>
      </c>
    </row>
    <row r="4905">
      <c r="A4905" s="1">
        <v>4.0</v>
      </c>
      <c r="B4905" s="1" t="s">
        <v>4848</v>
      </c>
      <c r="C4905" t="str">
        <f>IFERROR(__xludf.DUMMYFUNCTION("GOOGLETRANSLATE(B4905, ""fr"", ""en"")"),"Meets Super pictures")</f>
        <v>Meets Super pictures</v>
      </c>
    </row>
    <row r="4906">
      <c r="A4906" s="1">
        <v>4.0</v>
      </c>
      <c r="B4906" s="1" t="s">
        <v>4849</v>
      </c>
      <c r="C4906" t="str">
        <f>IFERROR(__xludf.DUMMYFUNCTION("GOOGLETRANSLATE(B4906, ""fr"", ""en"")"),"Effective when you meet certain rules, and remember: it is an insecticide! NOT for babies under 2 years This is an insecticide, so it is a product that is not safe at all. Yes, the mosquitoes is super painful and it regularly prevents us from sleeping wel"&amp;"l, but keep in mind that this is a product that TEU insects, so it can not be good for us either ... Not recommended strongly for babies, never below 2 years !! Here are the warnings on the Amazon page that speaks volumes: This article is subject to speci"&amp;"fic warnings and safety information Very toxic to aquatic life with long-term effects May be fatal if swallowed and enters respiratory tract Use biocides safely. I used several taken with liquids (such as Catch, Five on Five), Raid has the advantage of no"&amp;"t feeling and be relatively efficient, which is not the case with other, unfortunately. Warning, there are scented refills in Raid, make no mistake product. I advise you to connect 30 minutes before going to bed and as soon as night falls and you have the"&amp;" lights on in your house. It was at that moment that they return home. Never connect a multi-plug socket, but only in a wall outlet vertically to verify that it remains liquid before connecting and disconnecting the day (this model has no system where you"&amp;" can choose letting the light 8, 12 or 24, the Raid purchased Monoprix have by cons). Do not cover with a cloth, away from curtains, sheets, etc. I can not stand to sleep with windows closed, especially when it's hot, so I early evening branch and I sleep"&amp;" with the window open, door closed. And it works !")</f>
        <v>Effective when you meet certain rules, and remember: it is an insecticide! NOT for babies under 2 years This is an insecticide, so it is a product that is not safe at all. Yes, the mosquitoes is super painful and it regularly prevents us from sleeping well, but keep in mind that this is a product that TEU insects, so it can not be good for us either ... Not recommended strongly for babies, never below 2 years !! Here are the warnings on the Amazon page that speaks volumes: This article is subject to specific warnings and safety information Very toxic to aquatic life with long-term effects May be fatal if swallowed and enters respiratory tract Use biocides safely. I used several taken with liquids (such as Catch, Five on Five), Raid has the advantage of not feeling and be relatively efficient, which is not the case with other, unfortunately. Warning, there are scented refills in Raid, make no mistake product. I advise you to connect 30 minutes before going to bed and as soon as night falls and you have the lights on in your house. It was at that moment that they return home. Never connect a multi-plug socket, but only in a wall outlet vertically to verify that it remains liquid before connecting and disconnecting the day (this model has no system where you can choose letting the light 8, 12 or 24, the Raid purchased Monoprix have by cons). Do not cover with a cloth, away from curtains, sheets, etc. I can not stand to sleep with windows closed, especially when it's hot, so I early evening branch and I sleep with the window open, door closed. And it works !</v>
      </c>
    </row>
    <row r="4907">
      <c r="A4907" s="1">
        <v>4.0</v>
      </c>
      <c r="B4907" s="1" t="s">
        <v>4850</v>
      </c>
      <c r="C4907" t="str">
        <f>IFERROR(__xludf.DUMMYFUNCTION("GOOGLETRANSLATE(B4907, ""fr"", ""en"")"),"very soft and warm practice model for the present time work")</f>
        <v>very soft and warm practice model for the present time work</v>
      </c>
    </row>
    <row r="4908">
      <c r="A4908" s="1">
        <v>4.0</v>
      </c>
      <c r="B4908" s="1" t="s">
        <v>4851</v>
      </c>
      <c r="C4908" t="str">
        <f>IFERROR(__xludf.DUMMYFUNCTION("GOOGLETRANSLATE(B4908, ""fr"", ""en"")"),"Good value for money The watch is not luxurious, it is not worth much but properly accomplished its mission: display the time. It very handy and convenient. Quick start and no need for a third person to help carry it. If you can not you buy a luxury watch"&amp;" or if you find the minimum with a watch I advise you.")</f>
        <v>Good value for money The watch is not luxurious, it is not worth much but properly accomplished its mission: display the time. It very handy and convenient. Quick start and no need for a third person to help carry it. If you can not you buy a luxury watch or if you find the minimum with a watch I advise you.</v>
      </c>
    </row>
    <row r="4909">
      <c r="A4909" s="1">
        <v>5.0</v>
      </c>
      <c r="B4909" s="1" t="s">
        <v>4852</v>
      </c>
      <c r="C4909" t="str">
        <f>IFERROR(__xludf.DUMMYFUNCTION("GOOGLETRANSLATE(B4909, ""fr"", ""en"")"),"Perfect satisfied with our purchase Good value for the use that is made (listening to music or movie)")</f>
        <v>Perfect satisfied with our purchase Good value for the use that is made (listening to music or movie)</v>
      </c>
    </row>
    <row r="4910">
      <c r="A4910" s="1">
        <v>5.0</v>
      </c>
      <c r="B4910" s="1" t="s">
        <v>4853</v>
      </c>
      <c r="C4910" t="str">
        <f>IFERROR(__xludf.DUMMYFUNCTION("GOOGLETRANSLATE(B4910, ""fr"", ""en"")"),"Very good product very good quality product and robust content to this purchase")</f>
        <v>Very good product very good quality product and robust content to this purchase</v>
      </c>
    </row>
    <row r="4911">
      <c r="A4911" s="1">
        <v>5.0</v>
      </c>
      <c r="B4911" s="1" t="s">
        <v>4854</v>
      </c>
      <c r="C4911" t="str">
        <f>IFERROR(__xludf.DUMMYFUNCTION("GOOGLETRANSLATE(B4911, ""fr"", ""en"")"),"Great headphones! Super Bluetooth headphones, They have a good performance in the ears and do not stand out much, so they are fairly discreet! Easy to use thanks to the touch (just learn the manipulation for the various touch functions) Battery headphones"&amp;" takes a relatively long time, as well as that of the base, with 3500 mAh that will even recharge a phone or anything else . I recommend these headphones!")</f>
        <v>Great headphones! Super Bluetooth headphones, They have a good performance in the ears and do not stand out much, so they are fairly discreet! Easy to use thanks to the touch (just learn the manipulation for the various touch functions) Battery headphones takes a relatively long time, as well as that of the base, with 3500 mAh that will even recharge a phone or anything else . I recommend these headphones!</v>
      </c>
    </row>
    <row r="4912">
      <c r="A4912" s="1">
        <v>5.0</v>
      </c>
      <c r="B4912" s="1" t="s">
        <v>4855</v>
      </c>
      <c r="C4912" t="str">
        <f>IFERROR(__xludf.DUMMYFUNCTION("GOOGLETRANSLATE(B4912, ""fr"", ""en"")"),"surprised very nice man shows. the quality is by appointment. is not low-end malgres price.")</f>
        <v>surprised very nice man shows. the quality is by appointment. is not low-end malgres price.</v>
      </c>
    </row>
    <row r="4913">
      <c r="A4913" s="1">
        <v>5.0</v>
      </c>
      <c r="B4913" s="1" t="s">
        <v>4856</v>
      </c>
      <c r="C4913" t="str">
        <f>IFERROR(__xludf.DUMMYFUNCTION("GOOGLETRANSLATE(B4913, ""fr"", ""en"")"),"Bracelet natural stones 7 chakra bracelets Very bau, the stones are of good quality, I like the bear")</f>
        <v>Bracelet natural stones 7 chakra bracelets Very bau, the stones are of good quality, I like the bear</v>
      </c>
    </row>
    <row r="4914">
      <c r="A4914" s="1">
        <v>5.0</v>
      </c>
      <c r="B4914" s="1" t="s">
        <v>4857</v>
      </c>
      <c r="C4914" t="str">
        <f>IFERROR(__xludf.DUMMYFUNCTION("GOOGLETRANSLATE(B4914, ""fr"", ""en"")"),"Useful good product and well designed. comfortable shoulder strap adjustment")</f>
        <v>Useful good product and well designed. comfortable shoulder strap adjustment</v>
      </c>
    </row>
    <row r="4915">
      <c r="A4915" s="1">
        <v>5.0</v>
      </c>
      <c r="B4915" s="1" t="s">
        <v>4858</v>
      </c>
      <c r="C4915" t="str">
        <f>IFERROR(__xludf.DUMMYFUNCTION("GOOGLETRANSLATE(B4915, ""fr"", ""en"")"),"Converse superb product according to the description. The Chuck Taylor original and timeless as we love them. Attention to size, large size Converse. I am a 43 at Nike but I took a 41.5 for this model after several trials in store.")</f>
        <v>Converse superb product according to the description. The Chuck Taylor original and timeless as we love them. Attention to size, large size Converse. I am a 43 at Nike but I took a 41.5 for this model after several trials in store.</v>
      </c>
    </row>
    <row r="4916">
      <c r="A4916" s="1">
        <v>5.0</v>
      </c>
      <c r="B4916" s="1" t="s">
        <v>4859</v>
      </c>
      <c r="C4916" t="str">
        <f>IFERROR(__xludf.DUMMYFUNCTION("GOOGLETRANSLATE(B4916, ""fr"", ""en"")"),"luxury watch very flat and very nice style and good value")</f>
        <v>luxury watch very flat and very nice style and good value</v>
      </c>
    </row>
    <row r="4917">
      <c r="A4917" s="1">
        <v>5.0</v>
      </c>
      <c r="B4917" s="1" t="s">
        <v>4860</v>
      </c>
      <c r="C4917" t="str">
        <f>IFERROR(__xludf.DUMMYFUNCTION("GOOGLETRANSLATE(B4917, ""fr"", ""en"")"),"Perfect Good product price / quality, convenient, I recommend.")</f>
        <v>Perfect Good product price / quality, convenient, I recommend.</v>
      </c>
    </row>
    <row r="4918">
      <c r="A4918" s="1">
        <v>5.0</v>
      </c>
      <c r="B4918" s="1" t="s">
        <v>4861</v>
      </c>
      <c r="C4918" t="str">
        <f>IFERROR(__xludf.DUMMYFUNCTION("GOOGLETRANSLATE(B4918, ""fr"", ""en"")"),"Very good product, I recommend. Very good product, I recommend. The converse sneakers are reliable, perfect for leisure activities, walks, etc ....")</f>
        <v>Very good product, I recommend. Very good product, I recommend. The converse sneakers are reliable, perfect for leisure activities, walks, etc ....</v>
      </c>
    </row>
    <row r="4919">
      <c r="A4919" s="1">
        <v>5.0</v>
      </c>
      <c r="B4919" s="1" t="s">
        <v>4862</v>
      </c>
      <c r="C4919" t="str">
        <f>IFERROR(__xludf.DUMMYFUNCTION("GOOGLETRANSLATE(B4919, ""fr"", ""en"")"),"Very good bra / bra, very good quality! Very good product very comfortable, well maintained, high quality! This is not the first time I buy this product that is a quality / price very interesting.")</f>
        <v>Very good bra / bra, very good quality! Very good product very comfortable, well maintained, high quality! This is not the first time I buy this product that is a quality / price very interesting.</v>
      </c>
    </row>
    <row r="4920">
      <c r="A4920" s="1">
        <v>5.0</v>
      </c>
      <c r="B4920" s="1" t="s">
        <v>4863</v>
      </c>
      <c r="C4920" t="str">
        <f>IFERROR(__xludf.DUMMYFUNCTION("GOOGLETRANSLATE(B4920, ""fr"", ""en"")"),"Very good quality Stone is a hair smaller than the picture but I do not mind because the bracelet is fine. Magnificent bracelet and end strong. The stone to a bluish reflection that makes it even more desirable. People do not necessarily see it as it is d"&amp;"iscreet. I am very satisfied because this is what I wanted.")</f>
        <v>Very good quality Stone is a hair smaller than the picture but I do not mind because the bracelet is fine. Magnificent bracelet and end strong. The stone to a bluish reflection that makes it even more desirable. People do not necessarily see it as it is discreet. I am very satisfied because this is what I wanted.</v>
      </c>
    </row>
    <row r="4921">
      <c r="A4921" s="1">
        <v>5.0</v>
      </c>
      <c r="B4921" s="1" t="s">
        <v>4864</v>
      </c>
      <c r="C4921" t="str">
        <f>IFERROR(__xludf.DUMMYFUNCTION("GOOGLETRANSLATE(B4921, ""fr"", ""en"")"),"Pretty Very pretty. It makes a beautiful effect. Quick and neat delivery. Hearsay I recommend this article")</f>
        <v>Pretty Very pretty. It makes a beautiful effect. Quick and neat delivery. Hearsay I recommend this article</v>
      </c>
    </row>
    <row r="4922">
      <c r="A4922" s="1">
        <v>5.0</v>
      </c>
      <c r="B4922" s="1" t="s">
        <v>4865</v>
      </c>
      <c r="C4922" t="str">
        <f>IFERROR(__xludf.DUMMYFUNCTION("GOOGLETRANSLATE(B4922, ""fr"", ""en"")"),"Of Pretty stoppers")</f>
        <v>Of Pretty stoppers</v>
      </c>
    </row>
    <row r="4923">
      <c r="A4923" s="1">
        <v>5.0</v>
      </c>
      <c r="B4923" s="1" t="s">
        <v>4866</v>
      </c>
      <c r="C4923" t="str">
        <f>IFERROR(__xludf.DUMMYFUNCTION("GOOGLETRANSLATE(B4923, ""fr"", ""en"")"),"pretty cool and well")</f>
        <v>pretty cool and well</v>
      </c>
    </row>
    <row r="4924">
      <c r="A4924" s="1">
        <v>5.0</v>
      </c>
      <c r="B4924" s="1" t="s">
        <v>4867</v>
      </c>
      <c r="C4924" t="str">
        <f>IFERROR(__xludf.DUMMYFUNCTION("GOOGLETRANSLATE(B4924, ""fr"", ""en"")"),"Super mixer bottle We had trouble properly mix the milk thickened with our baby, with this mixer that has become a game of enfàt. Hyper fast farewell lumps after only 4-5 seconds in the bottle. The stem is difficult to remove we clean carefully without th"&amp;"e oter To avoid breaking it. Entertaining but works well.")</f>
        <v>Super mixer bottle We had trouble properly mix the milk thickened with our baby, with this mixer that has become a game of enfàt. Hyper fast farewell lumps after only 4-5 seconds in the bottle. The stem is difficult to remove we clean carefully without the oter To avoid breaking it. Entertaining but works well.</v>
      </c>
    </row>
    <row r="4925">
      <c r="A4925" s="1">
        <v>2.0</v>
      </c>
      <c r="B4925" s="1" t="s">
        <v>4868</v>
      </c>
      <c r="C4925" t="str">
        <f>IFERROR(__xludf.DUMMYFUNCTION("GOOGLETRANSLATE(B4925, ""fr"", ""en"")"),"Not suitable for sport I recommend for sport.")</f>
        <v>Not suitable for sport I recommend for sport.</v>
      </c>
    </row>
    <row r="4926">
      <c r="A4926" s="1">
        <v>1.0</v>
      </c>
      <c r="B4926" s="1" t="s">
        <v>4869</v>
      </c>
      <c r="C4926" t="str">
        <f>IFERROR(__xludf.DUMMYFUNCTION("GOOGLETRANSLATE(B4926, ""fr"", ""en"")"),"very average size M = S manufacturing quality close to the horrible synthetic nullity and not wear agrébale I do not recommend")</f>
        <v>very average size M = S manufacturing quality close to the horrible synthetic nullity and not wear agrébale I do not recommend</v>
      </c>
    </row>
    <row r="4927">
      <c r="A4927" s="1">
        <v>1.0</v>
      </c>
      <c r="B4927" s="1" t="s">
        <v>4870</v>
      </c>
      <c r="C4927" t="str">
        <f>IFERROR(__xludf.DUMMYFUNCTION("GOOGLETRANSLATE(B4927, ""fr"", ""en"")"),"Earrings stems earrings are all twisted impossible to put them. very disappointed")</f>
        <v>Earrings stems earrings are all twisted impossible to put them. very disappointed</v>
      </c>
    </row>
    <row r="4928">
      <c r="A4928" s="1">
        <v>3.0</v>
      </c>
      <c r="B4928" s="1" t="s">
        <v>4871</v>
      </c>
      <c r="C4928" t="str">
        <f>IFERROR(__xludf.DUMMYFUNCTION("GOOGLETRANSLATE(B4928, ""fr"", ""en"")"),"yes but pretty cup, can be a little small size, parcontre leather quality is very fine I thought I had something thicker and the flow is much less say than expected, blander")</f>
        <v>yes but pretty cup, can be a little small size, parcontre leather quality is very fine I thought I had something thicker and the flow is much less say than expected, blander</v>
      </c>
    </row>
    <row r="4929">
      <c r="A4929" s="1">
        <v>3.0</v>
      </c>
      <c r="B4929" s="1" t="s">
        <v>4872</v>
      </c>
      <c r="C4929" t="str">
        <f>IFERROR(__xludf.DUMMYFUNCTION("GOOGLETRANSLATE(B4929, ""fr"", ""en"")"),"handkerchiefs handkerchief second choice these ""recycled"" Presto! Handkerchiefs thicknesses 4, Lot 42 Cases are actually recycled papers composed and not of old handkerchiefs. this recycled part explains the color that is not white immaculate. to be gen"&amp;"tle enough to touch the face, these handkerchiefs will use also not only recycled paper. ultimately, in terms of quality and softness is very average. to blow your nose regularly when your nose runs galore, I advise against you. but if you are not cozy an"&amp;"d eco responsibility is important to you ....")</f>
        <v>handkerchiefs handkerchief second choice these "recycled" Presto! Handkerchiefs thicknesses 4, Lot 42 Cases are actually recycled papers composed and not of old handkerchiefs. this recycled part explains the color that is not white immaculate. to be gentle enough to touch the face, these handkerchiefs will use also not only recycled paper. ultimately, in terms of quality and softness is very average. to blow your nose regularly when your nose runs galore, I advise against you. but if you are not cozy and eco responsibility is important to you ....</v>
      </c>
    </row>
    <row r="4930">
      <c r="A4930" s="1">
        <v>4.0</v>
      </c>
      <c r="B4930" s="1" t="s">
        <v>4873</v>
      </c>
      <c r="C4930" t="str">
        <f>IFERROR(__xludf.DUMMYFUNCTION("GOOGLETRANSLATE(B4930, ""fr"", ""en"")"),"Cartridge 570 xl Received on time. I'm just starting to use them. See for longevity, but they have more container than the old.")</f>
        <v>Cartridge 570 xl Received on time. I'm just starting to use them. See for longevity, but they have more container than the old.</v>
      </c>
    </row>
    <row r="4931">
      <c r="A4931" s="1">
        <v>4.0</v>
      </c>
      <c r="B4931" s="1" t="s">
        <v>4874</v>
      </c>
      <c r="C4931" t="str">
        <f>IFERROR(__xludf.DUMMYFUNCTION("GOOGLETRANSLATE(B4931, ""fr"", ""en"")"),"size without much surprise to the size, rather pretty and comfortable.")</f>
        <v>size without much surprise to the size, rather pretty and comfortable.</v>
      </c>
    </row>
    <row r="4932">
      <c r="A4932" s="1">
        <v>4.0</v>
      </c>
      <c r="B4932" s="1" t="s">
        <v>4875</v>
      </c>
      <c r="C4932" t="str">
        <f>IFERROR(__xludf.DUMMYFUNCTION("GOOGLETRANSLATE(B4932, ""fr"", ""en"")"),"bag handy chest to go out because this bag is very convenient for me and it has a free hand. See one is reassured")</f>
        <v>bag handy chest to go out because this bag is very convenient for me and it has a free hand. See one is reassured</v>
      </c>
    </row>
    <row r="4933">
      <c r="A4933" s="1">
        <v>4.0</v>
      </c>
      <c r="B4933" s="1" t="s">
        <v>4876</v>
      </c>
      <c r="C4933" t="str">
        <f>IFERROR(__xludf.DUMMYFUNCTION("GOOGLETRANSLATE(B4933, ""fr"", ""en"")"),"Loses minutes a time at once and not constantly I bought in to put the week at work Very nice, bright and see the bracelet may be too fragile to lose stripes minutes time once and not continuously The dial is not tiree")</f>
        <v>Loses minutes a time at once and not constantly I bought in to put the week at work Very nice, bright and see the bracelet may be too fragile to lose stripes minutes time once and not continuously The dial is not tiree</v>
      </c>
    </row>
    <row r="4934">
      <c r="A4934" s="1">
        <v>5.0</v>
      </c>
      <c r="B4934" s="1" t="s">
        <v>1261</v>
      </c>
      <c r="C4934" t="str">
        <f>IFERROR(__xludf.DUMMYFUNCTION("GOOGLETRANSLATE(B4934, ""fr"", ""en"")"),"good good")</f>
        <v>good good</v>
      </c>
    </row>
    <row r="4935">
      <c r="A4935" s="1">
        <v>5.0</v>
      </c>
      <c r="B4935" s="1" t="s">
        <v>4877</v>
      </c>
      <c r="C4935" t="str">
        <f>IFERROR(__xludf.DUMMYFUNCTION("GOOGLETRANSLATE(B4935, ""fr"", ""en"")"),"Very good sports shorts 2 The shorts that make up this lot, one black and one white, are perfect. Purchased in size M, they are well adjusted to a big girl 160 cm.")</f>
        <v>Very good sports shorts 2 The shorts that make up this lot, one black and one white, are perfect. Purchased in size M, they are well adjusted to a big girl 160 cm.</v>
      </c>
    </row>
    <row r="4936">
      <c r="A4936" s="1">
        <v>5.0</v>
      </c>
      <c r="B4936" s="1" t="s">
        <v>4878</v>
      </c>
      <c r="C4936" t="str">
        <f>IFERROR(__xludf.DUMMYFUNCTION("GOOGLETRANSLATE(B4936, ""fr"", ""en"")"),"Stabilo woody I bought the small package to test because I am a teacher and I was looking for a product to use on my laminated posters, it's done! The pencils are easy to use on glass, on laminated paper, easy to erase; residue-free, I am delighted. The r"&amp;"ods have the appearance of crayons, but I have not yet tested the design on paper with ..... to see! I think buy by following a larger package with more colors.")</f>
        <v>Stabilo woody I bought the small package to test because I am a teacher and I was looking for a product to use on my laminated posters, it's done! The pencils are easy to use on glass, on laminated paper, easy to erase; residue-free, I am delighted. The rods have the appearance of crayons, but I have not yet tested the design on paper with ..... to see! I think buy by following a larger package with more colors.</v>
      </c>
    </row>
    <row r="4937">
      <c r="A4937" s="1">
        <v>5.0</v>
      </c>
      <c r="B4937" s="1" t="s">
        <v>4879</v>
      </c>
      <c r="C4937" t="str">
        <f>IFERROR(__xludf.DUMMYFUNCTION("GOOGLETRANSLATE(B4937, ""fr"", ""en"")"),"Value perfect price Used with bananas Amazon Basics cards, it's perfect. The cable is of good quality, is suitable for installation in an individual.")</f>
        <v>Value perfect price Used with bananas Amazon Basics cards, it's perfect. The cable is of good quality, is suitable for installation in an individual.</v>
      </c>
    </row>
    <row r="4938">
      <c r="A4938" s="1">
        <v>5.0</v>
      </c>
      <c r="B4938" s="1" t="s">
        <v>4880</v>
      </c>
      <c r="C4938" t="str">
        <f>IFERROR(__xludf.DUMMYFUNCTION("GOOGLETRANSLATE(B4938, ""fr"", ""en"")"),"Perfect ! We were looking for this article and many THIS article! We are delighted! The boxes are completely independent and the side opening allows to pour the powder into bottles without putting off! We recommend !")</f>
        <v>Perfect ! We were looking for this article and many THIS article! We are delighted! The boxes are completely independent and the side opening allows to pour the powder into bottles without putting off! We recommend !</v>
      </c>
    </row>
    <row r="4939">
      <c r="A4939" s="1">
        <v>5.0</v>
      </c>
      <c r="B4939" s="1" t="s">
        <v>4881</v>
      </c>
      <c r="C4939" t="str">
        <f>IFERROR(__xludf.DUMMYFUNCTION("GOOGLETRANSLATE(B4939, ""fr"", ""en"")"),"Good Garbage bags Handy Bag Bags Garbage popular recommend")</f>
        <v>Good Garbage bags Handy Bag Bags Garbage popular recommend</v>
      </c>
    </row>
    <row r="4940">
      <c r="A4940" s="1">
        <v>5.0</v>
      </c>
      <c r="B4940" s="1" t="s">
        <v>4882</v>
      </c>
      <c r="C4940" t="str">
        <f>IFERROR(__xludf.DUMMYFUNCTION("GOOGLETRANSLATE(B4940, ""fr"", ""en"")"),"well My son was used from the beginning to the teats and it suits him perfectly, the bottle-feeding transition was thus made without difficulty.")</f>
        <v>well My son was used from the beginning to the teats and it suits him perfectly, the bottle-feeding transition was thus made without difficulty.</v>
      </c>
    </row>
    <row r="4941">
      <c r="A4941" s="1">
        <v>5.0</v>
      </c>
      <c r="B4941" s="1" t="s">
        <v>4883</v>
      </c>
      <c r="C4941" t="str">
        <f>IFERROR(__xludf.DUMMYFUNCTION("GOOGLETRANSLATE(B4941, ""fr"", ""en"")"),"top ! nothing to say, top quality, good color, wingtips what! the best brand that exists in fluorescent !! I just love it")</f>
        <v>top ! nothing to say, top quality, good color, wingtips what! the best brand that exists in fluorescent !! I just love it</v>
      </c>
    </row>
    <row r="4942">
      <c r="A4942" s="1">
        <v>5.0</v>
      </c>
      <c r="B4942" s="1" t="s">
        <v>4884</v>
      </c>
      <c r="C4942" t="str">
        <f>IFERROR(__xludf.DUMMYFUNCTION("GOOGLETRANSLATE(B4942, ""fr"", ""en"")"),"The package is very beautiful fast. It is a very nice and convenient to use. I love it and I'll recacheter for my girlfriend.")</f>
        <v>The package is very beautiful fast. It is a very nice and convenient to use. I love it and I'll recacheter for my girlfriend.</v>
      </c>
    </row>
    <row r="4943">
      <c r="A4943" s="1">
        <v>5.0</v>
      </c>
      <c r="B4943" s="1" t="s">
        <v>4885</v>
      </c>
      <c r="C4943" t="str">
        <f>IFERROR(__xludf.DUMMYFUNCTION("GOOGLETRANSLATE(B4943, ""fr"", ""en"")"),"Expectations Met I received the masseur in good condition, and the delivery time was met. The masseur works as described. I have used for years a Hitachi Magic Wand Massager that must be plugged. I found the new masseur Paloqueth equally good for low vibr"&amp;"ation and better regarding the change of the modes. I find it great wireless.")</f>
        <v>Expectations Met I received the masseur in good condition, and the delivery time was met. The masseur works as described. I have used for years a Hitachi Magic Wand Massager that must be plugged. I found the new masseur Paloqueth equally good for low vibration and better regarding the change of the modes. I find it great wireless.</v>
      </c>
    </row>
    <row r="4944">
      <c r="A4944" s="1">
        <v>5.0</v>
      </c>
      <c r="B4944" s="1" t="s">
        <v>4886</v>
      </c>
      <c r="C4944" t="str">
        <f>IFERROR(__xludf.DUMMYFUNCTION("GOOGLETRANSLATE(B4944, ""fr"", ""en"")"),"excellent excellent explanations in English only damage tees good product luckily tutorial on internet")</f>
        <v>excellent excellent explanations in English only damage tees good product luckily tutorial on internet</v>
      </c>
    </row>
    <row r="4945">
      <c r="A4945" s="1">
        <v>5.0</v>
      </c>
      <c r="B4945" s="1" t="s">
        <v>4887</v>
      </c>
      <c r="C4945" t="str">
        <f>IFERROR(__xludf.DUMMYFUNCTION("GOOGLETRANSLATE(B4945, ""fr"", ""en"")"),"Although Impeccable to dry bottles. 4 Thanks Max")</f>
        <v>Although Impeccable to dry bottles. 4 Thanks Max</v>
      </c>
    </row>
    <row r="4946">
      <c r="A4946" s="1">
        <v>5.0</v>
      </c>
      <c r="B4946" s="1" t="s">
        <v>4888</v>
      </c>
      <c r="C4946" t="str">
        <f>IFERROR(__xludf.DUMMYFUNCTION("GOOGLETRANSLATE(B4946, ""fr"", ""en"")"),"Delighted size very well. Very pretty.")</f>
        <v>Delighted size very well. Very pretty.</v>
      </c>
    </row>
    <row r="4947">
      <c r="A4947" s="1">
        <v>5.0</v>
      </c>
      <c r="B4947" s="1" t="s">
        <v>4889</v>
      </c>
      <c r="C4947" t="str">
        <f>IFERROR(__xludf.DUMMYFUNCTION("GOOGLETRANSLATE(B4947, ""fr"", ""en"")"),"Beautiful great price quality ratio")</f>
        <v>Beautiful great price quality ratio</v>
      </c>
    </row>
    <row r="4948">
      <c r="A4948" s="1">
        <v>5.0</v>
      </c>
      <c r="B4948" s="1" t="s">
        <v>4890</v>
      </c>
      <c r="C4948" t="str">
        <f>IFERROR(__xludf.DUMMYFUNCTION("GOOGLETRANSLATE(B4948, ""fr"", ""en"")"),"short well-cut and comfortable. Short used to turn on a dance skirt. Very well cut and comfortable. Excellent value. I recommend this article.")</f>
        <v>short well-cut and comfortable. Short used to turn on a dance skirt. Very well cut and comfortable. Excellent value. I recommend this article.</v>
      </c>
    </row>
    <row r="4949">
      <c r="A4949" s="1">
        <v>2.0</v>
      </c>
      <c r="B4949" s="1" t="s">
        <v>4891</v>
      </c>
      <c r="C4949" t="str">
        <f>IFERROR(__xludf.DUMMYFUNCTION("GOOGLETRANSLATE(B4949, ""fr"", ""en"")"),"No marking I have not yet installed but I can say that the two strands in the copy received, are identical, unmarked to distinguish, unlike the description. This is not very serious but it is not serious.")</f>
        <v>No marking I have not yet installed but I can say that the two strands in the copy received, are identical, unmarked to distinguish, unlike the description. This is not very serious but it is not serious.</v>
      </c>
    </row>
    <row r="4950">
      <c r="A4950" s="1">
        <v>1.0</v>
      </c>
      <c r="B4950" s="1" t="s">
        <v>4892</v>
      </c>
      <c r="C4950" t="str">
        <f>IFERROR(__xludf.DUMMYFUNCTION("GOOGLETRANSLATE(B4950, ""fr"", ""en"")"),"too bcp Size Hello Bought for my daughter who puts 35 bcp and are too big for her I could put while I make 39 .... very disappointed that this wrong size while the quality is you")</f>
        <v>too bcp Size Hello Bought for my daughter who puts 35 bcp and are too big for her I could put while I make 39 .... very disappointed that this wrong size while the quality is you</v>
      </c>
    </row>
    <row r="4951">
      <c r="A4951" s="1">
        <v>1.0</v>
      </c>
      <c r="B4951" s="1" t="s">
        <v>4893</v>
      </c>
      <c r="C4951" t="str">
        <f>IFERROR(__xludf.DUMMYFUNCTION("GOOGLETRANSLATE(B4951, ""fr"", ""en"")"),"Ring Big Scam Any color on one side is gone, while supposedly this is money I regret this purchase and would like a refund Received this morning")</f>
        <v>Ring Big Scam Any color on one side is gone, while supposedly this is money I regret this purchase and would like a refund Received this morning</v>
      </c>
    </row>
    <row r="4952">
      <c r="A4952" s="1">
        <v>3.0</v>
      </c>
      <c r="B4952" s="1" t="s">
        <v>4894</v>
      </c>
      <c r="C4952" t="str">
        <f>IFERROR(__xludf.DUMMYFUNCTION("GOOGLETRANSLATE(B4952, ""fr"", ""en"")"),"Blah blah Pretty shoe design super, super fast delivery. The worry is about the size the shoe size are small eg 43 = 42 home. The finish're not at the rendezvous hull was apparent in the shoe, which unfortunately fesais to bleed even with large sock. Chec"&amp;"ks From well inside the shoe if there is indeed a protection after, a colleague of the same and that's niquel for him, not me u luck here.")</f>
        <v>Blah blah Pretty shoe design super, super fast delivery. The worry is about the size the shoe size are small eg 43 = 42 home. The finish're not at the rendezvous hull was apparent in the shoe, which unfortunately fesais to bleed even with large sock. Checks From well inside the shoe if there is indeed a protection after, a colleague of the same and that's niquel for him, not me u luck here.</v>
      </c>
    </row>
    <row r="4953">
      <c r="A4953" s="1">
        <v>3.0</v>
      </c>
      <c r="B4953" s="1" t="s">
        <v>4895</v>
      </c>
      <c r="C4953" t="str">
        <f>IFERROR(__xludf.DUMMYFUNCTION("GOOGLETRANSLATE(B4953, ""fr"", ""en"")"),"beautiful leather bags Beautiful and practical bag. I was expecting a poor imitation leather but the result is pretty good. I do not find particularly attractive by the logo against but the pockets are well designed and zippers appear solid. I like the wa"&amp;"y he carries slung and the main pocket that closes with a magnet. Edit: I wear it for a few days but already showing signs of wear. Either the leather was not adequately treated or it is too thin and thus cheap.")</f>
        <v>beautiful leather bags Beautiful and practical bag. I was expecting a poor imitation leather but the result is pretty good. I do not find particularly attractive by the logo against but the pockets are well designed and zippers appear solid. I like the way he carries slung and the main pocket that closes with a magnet. Edit: I wear it for a few days but already showing signs of wear. Either the leather was not adequately treated or it is too thin and thus cheap.</v>
      </c>
    </row>
    <row r="4954">
      <c r="A4954" s="1">
        <v>4.0</v>
      </c>
      <c r="B4954" s="1" t="s">
        <v>4896</v>
      </c>
      <c r="C4954" t="str">
        <f>IFERROR(__xludf.DUMMYFUNCTION("GOOGLETRANSLATE(B4954, ""fr"", ""en"")"),"Very good bottle warmer Very fast and very easy to use. One button for on / off, the dosing for the amount of water and it can be used at home and in the car. It heats up quickly. I recommand it !")</f>
        <v>Very good bottle warmer Very fast and very easy to use. One button for on / off, the dosing for the amount of water and it can be used at home and in the car. It heats up quickly. I recommand it !</v>
      </c>
    </row>
    <row r="4955">
      <c r="A4955" s="1">
        <v>4.0</v>
      </c>
      <c r="B4955" s="1" t="s">
        <v>4897</v>
      </c>
      <c r="C4955" t="str">
        <f>IFERROR(__xludf.DUMMYFUNCTION("GOOGLETRANSLATE(B4955, ""fr"", ""en"")"),"Delivery sooner than expected Very hot but I recommend two sizes provide a more")</f>
        <v>Delivery sooner than expected Very hot but I recommend two sizes provide a more</v>
      </c>
    </row>
    <row r="4956">
      <c r="A4956" s="1">
        <v>4.0</v>
      </c>
      <c r="B4956" s="1" t="s">
        <v>4898</v>
      </c>
      <c r="C4956" t="str">
        <f>IFERROR(__xludf.DUMMYFUNCTION("GOOGLETRANSLATE(B4956, ""fr"", ""en"")"),"Size small The shoe is very comfortable but unfortunately too small. Take a size bigger")</f>
        <v>Size small The shoe is very comfortable but unfortunately too small. Take a size bigger</v>
      </c>
    </row>
    <row r="4957">
      <c r="A4957" s="1">
        <v>4.0</v>
      </c>
      <c r="B4957" s="1" t="s">
        <v>4899</v>
      </c>
      <c r="C4957" t="str">
        <f>IFERROR(__xludf.DUMMYFUNCTION("GOOGLETRANSLATE(B4957, ""fr"", ""en"")"),"Super nickel product for a gift to my wife")</f>
        <v>Super nickel product for a gift to my wife</v>
      </c>
    </row>
    <row r="4958">
      <c r="A4958" s="1">
        <v>5.0</v>
      </c>
      <c r="B4958" s="1" t="s">
        <v>4900</v>
      </c>
      <c r="C4958" t="str">
        <f>IFERROR(__xludf.DUMMYFUNCTION("GOOGLETRANSLATE(B4958, ""fr"", ""en"")"),"Kettle tendency This product corresponds exactly to my request")</f>
        <v>Kettle tendency This product corresponds exactly to my request</v>
      </c>
    </row>
    <row r="4959">
      <c r="A4959" s="1">
        <v>5.0</v>
      </c>
      <c r="B4959" s="1" t="s">
        <v>4901</v>
      </c>
      <c r="C4959" t="str">
        <f>IFERROR(__xludf.DUMMYFUNCTION("GOOGLETRANSLATE(B4959, ""fr"", ""en"")"),"Okay I advise Beautiful I had already ordered but not the same but very beautiful and there are plastic wire if in case it breaks I recommend")</f>
        <v>Okay I advise Beautiful I had already ordered but not the same but very beautiful and there are plastic wire if in case it breaks I recommend</v>
      </c>
    </row>
    <row r="4960">
      <c r="A4960" s="1">
        <v>5.0</v>
      </c>
      <c r="B4960" s="1" t="s">
        <v>4902</v>
      </c>
      <c r="C4960" t="str">
        <f>IFERROR(__xludf.DUMMYFUNCTION("GOOGLETRANSLATE(B4960, ""fr"", ""en"")"),"Supports super Very happy with this product! Maintains good chest and easy to put on")</f>
        <v>Supports super Very happy with this product! Maintains good chest and easy to put on</v>
      </c>
    </row>
    <row r="4961">
      <c r="A4961" s="1">
        <v>5.0</v>
      </c>
      <c r="B4961" s="1" t="s">
        <v>4903</v>
      </c>
      <c r="C4961" t="str">
        <f>IFERROR(__xludf.DUMMYFUNCTION("GOOGLETRANSLATE(B4961, ""fr"", ""en"")"),"Nice, comfortable and adjustable article, good sound I ordered this headset for 7 years of my daughter, the great have been, in black and orange versions. The sound quality is very good, comfortable helmet. And very convenient to use Bluetooth or wired de"&amp;"pending on the device they use. The hard case is very convenient to carry an mp3 player and more for example. beautiful presentation")</f>
        <v>Nice, comfortable and adjustable article, good sound I ordered this headset for 7 years of my daughter, the great have been, in black and orange versions. The sound quality is very good, comfortable helmet. And very convenient to use Bluetooth or wired depending on the device they use. The hard case is very convenient to carry an mp3 player and more for example. beautiful presentation</v>
      </c>
    </row>
    <row r="4962">
      <c r="A4962" s="1">
        <v>5.0</v>
      </c>
      <c r="B4962" s="1" t="s">
        <v>4904</v>
      </c>
      <c r="C4962" t="str">
        <f>IFERROR(__xludf.DUMMYFUNCTION("GOOGLETRANSLATE(B4962, ""fr"", ""en"")"),"A big thank you thank you .... Nothing to say my girlfriend is very happy for his request ..I recommend super comfortable")</f>
        <v>A big thank you thank you .... Nothing to say my girlfriend is very happy for his request ..I recommend super comfortable</v>
      </c>
    </row>
    <row r="4963">
      <c r="A4963" s="1">
        <v>5.0</v>
      </c>
      <c r="B4963" s="1" t="s">
        <v>4905</v>
      </c>
      <c r="C4963" t="str">
        <f>IFERROR(__xludf.DUMMYFUNCTION("GOOGLETRANSLATE(B4963, ""fr"", ""en"")"),"Perfect and convenient tripod for my microphone Bird, good stability, good quality. Very happy with this purchase, very good value for money.")</f>
        <v>Perfect and convenient tripod for my microphone Bird, good stability, good quality. Very happy with this purchase, very good value for money.</v>
      </c>
    </row>
    <row r="4964">
      <c r="A4964" s="1">
        <v>5.0</v>
      </c>
      <c r="B4964" s="1" t="s">
        <v>4906</v>
      </c>
      <c r="C4964" t="str">
        <f>IFERROR(__xludf.DUMMYFUNCTION("GOOGLETRANSLATE(B4964, ""fr"", ""en"")"),"as expected I am very satisfied with this product, very beautiful model and size is as expected I recommend to all")</f>
        <v>as expected I am very satisfied with this product, very beautiful model and size is as expected I recommend to all</v>
      </c>
    </row>
    <row r="4965">
      <c r="A4965" s="1">
        <v>5.0</v>
      </c>
      <c r="B4965" s="1" t="s">
        <v>4907</v>
      </c>
      <c r="C4965" t="str">
        <f>IFERROR(__xludf.DUMMYFUNCTION("GOOGLETRANSLATE(B4965, ""fr"", ""en"")"),"Consistent with the description Perfect happy with my purchase")</f>
        <v>Consistent with the description Perfect happy with my purchase</v>
      </c>
    </row>
    <row r="4966">
      <c r="A4966" s="1">
        <v>5.0</v>
      </c>
      <c r="B4966" s="1" t="s">
        <v>4908</v>
      </c>
      <c r="C4966" t="str">
        <f>IFERROR(__xludf.DUMMYFUNCTION("GOOGLETRANSLATE(B4966, ""fr"", ""en"")"),"Casio Met my expectations")</f>
        <v>Casio Met my expectations</v>
      </c>
    </row>
    <row r="4967">
      <c r="A4967" s="1">
        <v>5.0</v>
      </c>
      <c r="B4967" s="1" t="s">
        <v>4909</v>
      </c>
      <c r="C4967" t="str">
        <f>IFERROR(__xludf.DUMMYFUNCTION("GOOGLETRANSLATE(B4967, ""fr"", ""en"")"),"Super vest Article is consistent with the picture, the color is nice and warm jacket, my husband always on the back !!")</f>
        <v>Super vest Article is consistent with the picture, the color is nice and warm jacket, my husband always on the back !!</v>
      </c>
    </row>
    <row r="4968">
      <c r="A4968" s="1">
        <v>5.0</v>
      </c>
      <c r="B4968" s="1" t="s">
        <v>4910</v>
      </c>
      <c r="C4968" t="str">
        <f>IFERROR(__xludf.DUMMYFUNCTION("GOOGLETRANSLATE(B4968, ""fr"", ""en"")"),"Dry bottle perfect! Excellent value. Dry bottle completely fulfills its function. The seller is very professional and kind.")</f>
        <v>Dry bottle perfect! Excellent value. Dry bottle completely fulfills its function. The seller is very professional and kind.</v>
      </c>
    </row>
    <row r="4969">
      <c r="A4969" s="1">
        <v>5.0</v>
      </c>
      <c r="B4969" s="1" t="s">
        <v>4911</v>
      </c>
      <c r="C4969" t="str">
        <f>IFERROR(__xludf.DUMMYFUNCTION("GOOGLETRANSLATE(B4969, ""fr"", ""en"")"),"Perfect but beware the perfect size but attention to the size, more accustomed to xl, I took the L here on the advice of other reviews and it's perfect")</f>
        <v>Perfect but beware the perfect size but attention to the size, more accustomed to xl, I took the L here on the advice of other reviews and it's perfect</v>
      </c>
    </row>
    <row r="4970">
      <c r="A4970" s="1">
        <v>5.0</v>
      </c>
      <c r="B4970" s="1" t="s">
        <v>4912</v>
      </c>
      <c r="C4970" t="str">
        <f>IFERROR(__xludf.DUMMYFUNCTION("GOOGLETRANSLATE(B4970, ""fr"", ""en"")"),"Not bad thank you! Happy enough")</f>
        <v>Not bad thank you! Happy enough</v>
      </c>
    </row>
    <row r="4971">
      <c r="A4971" s="1">
        <v>5.0</v>
      </c>
      <c r="B4971" s="1" t="s">
        <v>4913</v>
      </c>
      <c r="C4971" t="str">
        <f>IFERROR(__xludf.DUMMYFUNCTION("GOOGLETRANSLATE(B4971, ""fr"", ""en"")"),"Perfect This is the fifth pair in this model. The size is perfect and the model always shoes as well.")</f>
        <v>Perfect This is the fifth pair in this model. The size is perfect and the model always shoes as well.</v>
      </c>
    </row>
    <row r="4972">
      <c r="A4972" s="1">
        <v>5.0</v>
      </c>
      <c r="B4972" s="1" t="s">
        <v>4914</v>
      </c>
      <c r="C4972" t="str">
        <f>IFERROR(__xludf.DUMMYFUNCTION("GOOGLETRANSLATE(B4972, ""fr"", ""en"")"),"glamorise the perfect bras are a reliable brand; I buy them for my mom and she's extremely happy every time; maintenance and quality present. Too bad they are too expensive")</f>
        <v>glamorise the perfect bras are a reliable brand; I buy them for my mom and she's extremely happy every time; maintenance and quality present. Too bad they are too expensive</v>
      </c>
    </row>
    <row r="4973">
      <c r="A4973" s="1">
        <v>2.0</v>
      </c>
      <c r="B4973" s="1" t="s">
        <v>4915</v>
      </c>
      <c r="C4973" t="str">
        <f>IFERROR(__xludf.DUMMYFUNCTION("GOOGLETRANSLATE(B4973, ""fr"", ""en"")"),"Pruned too small! Size very very small. Yet accustomed to kickers, I took 35 my daughter wearing shoes size 34. The soles do not even fit in the shoe. Purchased 36 is STILL too small ... They carve at least 1 1/2 size too small. Purchased new in 37 (or 2 "&amp;"sizes above) in the hope that this time it suits !!!")</f>
        <v>Pruned too small! Size very very small. Yet accustomed to kickers, I took 35 my daughter wearing shoes size 34. The soles do not even fit in the shoe. Purchased 36 is STILL too small ... They carve at least 1 1/2 size too small. Purchased new in 37 (or 2 sizes above) in the hope that this time it suits !!!</v>
      </c>
    </row>
    <row r="4974">
      <c r="A4974" s="1">
        <v>1.0</v>
      </c>
      <c r="B4974" s="1" t="s">
        <v>4916</v>
      </c>
      <c r="C4974" t="str">
        <f>IFERROR(__xludf.DUMMYFUNCTION("GOOGLETRANSLATE(B4974, ""fr"", ""en"")"),"Tough Too small even taking one size bigger. I would contact the seller to make an exchange but could not find how to 😕")</f>
        <v>Tough Too small even taking one size bigger. I would contact the seller to make an exchange but could not find how to 😕</v>
      </c>
    </row>
    <row r="4975">
      <c r="A4975" s="1">
        <v>1.0</v>
      </c>
      <c r="B4975" s="1" t="s">
        <v>4917</v>
      </c>
      <c r="C4975" t="str">
        <f>IFERROR(__xludf.DUMMYFUNCTION("GOOGLETRANSLATE(B4975, ""fr"", ""en"")"),"It did not work very long This diffuser is truly lovely light level nothing to say the effect is really great but then it stops working after a few months I'm pretty disappointed it is not strong enough shame because j 'loved")</f>
        <v>It did not work very long This diffuser is truly lovely light level nothing to say the effect is really great but then it stops working after a few months I'm pretty disappointed it is not strong enough shame because j 'loved</v>
      </c>
    </row>
    <row r="4976">
      <c r="A4976" s="1">
        <v>3.0</v>
      </c>
      <c r="B4976" s="1" t="s">
        <v>4918</v>
      </c>
      <c r="C4976" t="str">
        <f>IFERROR(__xludf.DUMMYFUNCTION("GOOGLETRANSLATE(B4976, ""fr"", ""en"")"),"No soles This is not the first time I buy Bensimon, by against this is the first time that there is no soles? Is this normal?")</f>
        <v>No soles This is not the first time I buy Bensimon, by against this is the first time that there is no soles? Is this normal?</v>
      </c>
    </row>
    <row r="4977">
      <c r="A4977" s="1">
        <v>4.0</v>
      </c>
      <c r="B4977" s="1" t="s">
        <v>4919</v>
      </c>
      <c r="C4977" t="str">
        <f>IFERROR(__xludf.DUMMYFUNCTION("GOOGLETRANSLATE(B4977, ""fr"", ""en"")"),"Good they arrived in due time pretty comfortable e is well inside I have removed one star because for me the Hansse to hold the foot or there is a sign puma and a little too tight yet jn not have a strong foot apartment but all his I recommend")</f>
        <v>Good they arrived in due time pretty comfortable e is well inside I have removed one star because for me the Hansse to hold the foot or there is a sign puma and a little too tight yet jn not have a strong foot apartment but all his I recommend</v>
      </c>
    </row>
    <row r="4978">
      <c r="A4978" s="1">
        <v>4.0</v>
      </c>
      <c r="B4978" s="1" t="s">
        <v>4920</v>
      </c>
      <c r="C4978" t="str">
        <f>IFERROR(__xludf.DUMMYFUNCTION("GOOGLETRANSLATE(B4978, ""fr"", ""en"")"),"See time I quickly tested the kettle especially to make sure it works well so I can not put 5 stars for now. I simply removed one star because I still doubt the promise about 6 hours keep warm. However, to have bought a professional kitchen knife of the s"&amp;"ame brand for my mother (who is satisfied) I know Aicok make good products at reasonable prices. I also love the kettle and thermos system simultaneously! 👌 he was thinking ☝️")</f>
        <v>See time I quickly tested the kettle especially to make sure it works well so I can not put 5 stars for now. I simply removed one star because I still doubt the promise about 6 hours keep warm. However, to have bought a professional kitchen knife of the same brand for my mother (who is satisfied) I know Aicok make good products at reasonable prices. I also love the kettle and thermos system simultaneously! 👌 he was thinking ☝️</v>
      </c>
    </row>
    <row r="4979">
      <c r="A4979" s="1">
        <v>4.0</v>
      </c>
      <c r="B4979" s="1" t="s">
        <v>4921</v>
      </c>
      <c r="C4979" t="str">
        <f>IFERROR(__xludf.DUMMYFUNCTION("GOOGLETRANSLATE(B4979, ""fr"", ""en"")"),"Beautiful but disappointed by the beautiful color but the color is very ""fake""")</f>
        <v>Beautiful but disappointed by the beautiful color but the color is very "fake"</v>
      </c>
    </row>
    <row r="4980">
      <c r="A4980" s="1">
        <v>4.0</v>
      </c>
      <c r="B4980" s="1" t="s">
        <v>4922</v>
      </c>
      <c r="C4980" t="str">
        <f>IFERROR(__xludf.DUMMYFUNCTION("GOOGLETRANSLATE(B4980, ""fr"", ""en"")"),"Put the water in the tank is not practical. The pouring of water in the reservoir is difficult opening is narrow.")</f>
        <v>Put the water in the tank is not practical. The pouring of water in the reservoir is difficult opening is narrow.</v>
      </c>
    </row>
    <row r="4981">
      <c r="A4981" s="1">
        <v>5.0</v>
      </c>
      <c r="B4981" s="1" t="s">
        <v>4923</v>
      </c>
      <c r="C4981" t="str">
        <f>IFERROR(__xludf.DUMMYFUNCTION("GOOGLETRANSLATE(B4981, ""fr"", ""en"")"),"Perfect ! Here is a product that has more to prove ... Always as effective, it avoids surprises ... Use following detergents that we have to do.")</f>
        <v>Perfect ! Here is a product that has more to prove ... Always as effective, it avoids surprises ... Use following detergents that we have to do.</v>
      </c>
    </row>
    <row r="4982">
      <c r="A4982" s="1">
        <v>5.0</v>
      </c>
      <c r="B4982" s="1" t="s">
        <v>4924</v>
      </c>
      <c r="C4982" t="str">
        <f>IFERROR(__xludf.DUMMYFUNCTION("GOOGLETRANSLATE(B4982, ""fr"", ""en"")"),"Remains to try thank you Parcel received no say delivery to top")</f>
        <v>Remains to try thank you Parcel received no say delivery to top</v>
      </c>
    </row>
    <row r="4983">
      <c r="A4983" s="1">
        <v>5.0</v>
      </c>
      <c r="B4983" s="1" t="s">
        <v>4925</v>
      </c>
      <c r="C4983" t="str">
        <f>IFERROR(__xludf.DUMMYFUNCTION("GOOGLETRANSLATE(B4983, ""fr"", ""en"")"),"Watch the top The watch itself is gorgeous, my be a good weight and the face is so clear. My son had some difficulties with the closure at first, what I also found it difficult, but after a few tries, he can do it easily now. He loves it and it looks like"&amp;" an expensive watch has succeeded.")</f>
        <v>Watch the top The watch itself is gorgeous, my be a good weight and the face is so clear. My son had some difficulties with the closure at first, what I also found it difficult, but after a few tries, he can do it easily now. He loves it and it looks like an expensive watch has succeeded.</v>
      </c>
    </row>
    <row r="4984">
      <c r="A4984" s="1">
        <v>5.0</v>
      </c>
      <c r="B4984" s="1" t="s">
        <v>4926</v>
      </c>
      <c r="C4984" t="str">
        <f>IFERROR(__xludf.DUMMYFUNCTION("GOOGLETRANSLATE(B4984, ""fr"", ""en"")"),"pretty robust kit perfect to go with the backpack :) assorted kit is a good size, the zipper and the fabric seem strong, the gift recipient is thrilled :)")</f>
        <v>pretty robust kit perfect to go with the backpack :) assorted kit is a good size, the zipper and the fabric seem strong, the gift recipient is thrilled :)</v>
      </c>
    </row>
    <row r="4985">
      <c r="A4985" s="1">
        <v>5.0</v>
      </c>
      <c r="B4985" s="1" t="s">
        <v>4927</v>
      </c>
      <c r="C4985" t="str">
        <f>IFERROR(__xludf.DUMMYFUNCTION("GOOGLETRANSLATE(B4985, ""fr"", ""en"")"),"Good paint bebz paint that cleans very well with a cloth and eau.aucun problem to clean surfaces. For fabrics, you have to go to the washing machine because only goes not only to water. The colors are beautiful. No problem.")</f>
        <v>Good paint bebz paint that cleans very well with a cloth and eau.aucun problem to clean surfaces. For fabrics, you have to go to the washing machine because only goes not only to water. The colors are beautiful. No problem.</v>
      </c>
    </row>
    <row r="4986">
      <c r="A4986" s="1">
        <v>5.0</v>
      </c>
      <c r="B4986" s="1" t="s">
        <v>4928</v>
      </c>
      <c r="C4986" t="str">
        <f>IFERROR(__xludf.DUMMYFUNCTION("GOOGLETRANSLATE(B4986, ""fr"", ""en"")"),"Perfect Lingerie very satisfied, thank you Amazon")</f>
        <v>Perfect Lingerie very satisfied, thank you Amazon</v>
      </c>
    </row>
    <row r="4987">
      <c r="A4987" s="1">
        <v>5.0</v>
      </c>
      <c r="B4987" s="1" t="s">
        <v>4929</v>
      </c>
      <c r="C4987" t="str">
        <f>IFERROR(__xludf.DUMMYFUNCTION("GOOGLETRANSLATE(B4987, ""fr"", ""en"")"),"comfortable shoes are super is super comfortable and good quality. The soles are really slip size listed is in my foot. I recommend these shoes for anyone wanting a warm winter !!!")</f>
        <v>comfortable shoes are super is super comfortable and good quality. The soles are really slip size listed is in my foot. I recommend these shoes for anyone wanting a warm winter !!!</v>
      </c>
    </row>
    <row r="4988">
      <c r="A4988" s="1">
        <v>5.0</v>
      </c>
      <c r="B4988" s="1" t="s">
        <v>4930</v>
      </c>
      <c r="C4988" t="str">
        <f>IFERROR(__xludf.DUMMYFUNCTION("GOOGLETRANSLATE(B4988, ""fr"", ""en"")"),"Very nice small fine jewelry well drawn is doing very well with all the style, chain and thicker than I thought very well and the clasp looks durable. beautiful setting")</f>
        <v>Very nice small fine jewelry well drawn is doing very well with all the style, chain and thicker than I thought very well and the clasp looks durable. beautiful setting</v>
      </c>
    </row>
    <row r="4989">
      <c r="A4989" s="1">
        <v>5.0</v>
      </c>
      <c r="B4989" s="1" t="s">
        <v>4931</v>
      </c>
      <c r="C4989" t="str">
        <f>IFERROR(__xludf.DUMMYFUNCTION("GOOGLETRANSLATE(B4989, ""fr"", ""en"")"),"very well never disappointed by Advent")</f>
        <v>very well never disappointed by Advent</v>
      </c>
    </row>
    <row r="4990">
      <c r="A4990" s="1">
        <v>5.0</v>
      </c>
      <c r="B4990" s="1" t="s">
        <v>4932</v>
      </c>
      <c r="C4990" t="str">
        <f>IFERROR(__xludf.DUMMYFUNCTION("GOOGLETRANSLATE(B4990, ""fr"", ""en"")"),"trash bag corret Bags Lot of trash a worthwhile purchase to preserve the cleanliness of home. A lot of bags have at home")</f>
        <v>trash bag corret Bags Lot of trash a worthwhile purchase to preserve the cleanliness of home. A lot of bags have at home</v>
      </c>
    </row>
    <row r="4991">
      <c r="A4991" s="1">
        <v>5.0</v>
      </c>
      <c r="B4991" s="1" t="s">
        <v>4933</v>
      </c>
      <c r="C4991" t="str">
        <f>IFERROR(__xludf.DUMMYFUNCTION("GOOGLETRANSLATE(B4991, ""fr"", ""en"")"),"Minerva OTAN46 Trace symbol tactic 😁")</f>
        <v>Minerva OTAN46 Trace symbol tactic 😁</v>
      </c>
    </row>
    <row r="4992">
      <c r="A4992" s="1">
        <v>5.0</v>
      </c>
      <c r="B4992" s="1" t="s">
        <v>4934</v>
      </c>
      <c r="C4992" t="str">
        <f>IFERROR(__xludf.DUMMYFUNCTION("GOOGLETRANSLATE(B4992, ""fr"", ""en"")"),"Perfect Excellent leather man bag. Very nice product, nice finish and very practical thanks to the different pockets. A buy without hesitation.")</f>
        <v>Perfect Excellent leather man bag. Very nice product, nice finish and very practical thanks to the different pockets. A buy without hesitation.</v>
      </c>
    </row>
    <row r="4993">
      <c r="A4993" s="1">
        <v>5.0</v>
      </c>
      <c r="B4993" s="1" t="s">
        <v>4935</v>
      </c>
      <c r="C4993" t="str">
        <f>IFERROR(__xludf.DUMMYFUNCTION("GOOGLETRANSLATE(B4993, ""fr"", ""en"")"),"You forget to wear shoes secu I put every day, really the top for awesome work")</f>
        <v>You forget to wear shoes secu I put every day, really the top for awesome work</v>
      </c>
    </row>
    <row r="4994">
      <c r="A4994" s="1">
        <v>5.0</v>
      </c>
      <c r="B4994" s="1" t="s">
        <v>4936</v>
      </c>
      <c r="C4994" t="str">
        <f>IFERROR(__xludf.DUMMYFUNCTION("GOOGLETRANSLATE(B4994, ""fr"", ""en"")"),"Perfect ! Really great! Good quality, consistent with the description, I am satisfied.")</f>
        <v>Perfect ! Really great! Good quality, consistent with the description, I am satisfied.</v>
      </c>
    </row>
    <row r="4995">
      <c r="A4995" s="1">
        <v>5.0</v>
      </c>
      <c r="B4995" s="1" t="s">
        <v>4937</v>
      </c>
      <c r="C4995" t="str">
        <f>IFERROR(__xludf.DUMMYFUNCTION("GOOGLETRANSLATE(B4995, ""fr"", ""en"")"),"Superb top sneaker size matter ditto beautiful pair of basketball")</f>
        <v>Superb top sneaker size matter ditto beautiful pair of basketball</v>
      </c>
    </row>
    <row r="4996">
      <c r="A4996" s="1">
        <v>2.0</v>
      </c>
      <c r="B4996" s="1" t="s">
        <v>4938</v>
      </c>
      <c r="C4996" t="str">
        <f>IFERROR(__xludf.DUMMYFUNCTION("GOOGLETRANSLATE(B4996, ""fr"", ""en"")"),"Where are the nimbus? I put nimbus since they exist and I run 60 km / week. Until the 18, all was well. Their design has been completely revised to 19: disaster. The 20, a bit better; on the 21, I did not have the feeling of wearing nimbus. Certainly, the"&amp;" sole is thicker but it is also more ""stiff"" and the footwear really narrow. Shoe They also smaller than previous (I play 39 and I'm at the end of 40, soon I will take them 42!) .And so they do not weigh heavier than before, despite the increase the thi"&amp;"ckness of the sole, they were stripped of much of the foam around the foot made them so comfortable. In short, disappointed, disappointed, disappointed!")</f>
        <v>Where are the nimbus? I put nimbus since they exist and I run 60 km / week. Until the 18, all was well. Their design has been completely revised to 19: disaster. The 20, a bit better; on the 21, I did not have the feeling of wearing nimbus. Certainly, the sole is thicker but it is also more "stiff" and the footwear really narrow. Shoe They also smaller than previous (I play 39 and I'm at the end of 40, soon I will take them 42!) .And so they do not weigh heavier than before, despite the increase the thickness of the sole, they were stripped of much of the foam around the foot made them so comfortable. In short, disappointed, disappointed, disappointed!</v>
      </c>
    </row>
    <row r="4997">
      <c r="A4997" s="1">
        <v>1.0</v>
      </c>
      <c r="B4997" s="1" t="s">
        <v>4939</v>
      </c>
      <c r="C4997" t="str">
        <f>IFERROR(__xludf.DUMMYFUNCTION("GOOGLETRANSLATE(B4997, ""fr"", ""en"")"),"Lost my order. I received the amazon empty cardboard. No in bracelets.")</f>
        <v>Lost my order. I received the amazon empty cardboard. No in bracelets.</v>
      </c>
    </row>
    <row r="4998">
      <c r="A4998" s="1">
        <v>3.0</v>
      </c>
      <c r="B4998" s="1" t="s">
        <v>4940</v>
      </c>
      <c r="C4998" t="str">
        <f>IFERROR(__xludf.DUMMYFUNCTION("GOOGLETRANSLATE(B4998, ""fr"", ""en"")"),"Cartridges HP 302 black and CMY Pack HP original cartridges that work very well with my printer. Delivery and packaging are impeccable as usual. The downside big for me is that I feel that the cartridges are half filled. The cartridges do not last in time"&amp;" concluded. It's a shame to have the sensation to make a deal without it in an ...")</f>
        <v>Cartridges HP 302 black and CMY Pack HP original cartridges that work very well with my printer. Delivery and packaging are impeccable as usual. The downside big for me is that I feel that the cartridges are half filled. The cartridges do not last in time concluded. It's a shame to have the sensation to make a deal without it in an ...</v>
      </c>
    </row>
    <row r="4999">
      <c r="A4999" s="1">
        <v>3.0</v>
      </c>
      <c r="B4999" s="1" t="s">
        <v>4941</v>
      </c>
      <c r="C4999" t="str">
        <f>IFERROR(__xludf.DUMMYFUNCTION("GOOGLETRANSLATE(B4999, ""fr"", ""en"")"),"Chausson Chausson pleasant gymnastics gym to wear but not very resistant")</f>
        <v>Chausson Chausson pleasant gymnastics gym to wear but not very resistant</v>
      </c>
    </row>
    <row r="5000">
      <c r="A5000" s="1">
        <v>4.0</v>
      </c>
      <c r="B5000" s="1" t="s">
        <v>4942</v>
      </c>
      <c r="C5000" t="str">
        <f>IFERROR(__xludf.DUMMYFUNCTION("GOOGLETRANSLATE(B5000, ""fr"", ""en"")"),"Shelf for any use product purchased in flash sales, and I recommend. By cons to consider that I find a little folding problématique- press hard enough and bend at the same time can be difficult, I use wooden chopsticks to spare my nails. But if not ideal "&amp;"for all positions, by cons attention to the loss of balance. And plateau impractical mouse")</f>
        <v>Shelf for any use product purchased in flash sales, and I recommend. By cons to consider that I find a little folding problématique- press hard enough and bend at the same time can be difficult, I use wooden chopsticks to spare my nails. But if not ideal for all positions, by cons attention to the loss of balance. And plateau impractical mouse</v>
      </c>
    </row>
    <row r="5001">
      <c r="A5001" s="1">
        <v>4.0</v>
      </c>
      <c r="B5001" s="1" t="s">
        <v>4943</v>
      </c>
      <c r="C5001" t="str">
        <f>IFERROR(__xludf.DUMMYFUNCTION("GOOGLETRANSLATE(B5001, ""fr"", ""en"")"),"A true show offroad A watch that fears neither water nor shocks. With its white needles, time is easy to read even in poor lighting conditions (a button backlight is scheduled the same total black). I love her look! Only flat, multi-lingual instructions: "&amp;"arm yourself a good pair of glasses (lower case) and a lot of patience to incorporate all the features! For my part, I stopped to set the time, it'll be like that.")</f>
        <v>A true show offroad A watch that fears neither water nor shocks. With its white needles, time is easy to read even in poor lighting conditions (a button backlight is scheduled the same total black). I love her look! Only flat, multi-lingual instructions: arm yourself a good pair of glasses (lower case) and a lot of patience to incorporate all the features! For my part, I stopped to set the time, it'll be like that.</v>
      </c>
    </row>
    <row r="5002">
      <c r="A5002" s="1">
        <v>4.0</v>
      </c>
      <c r="B5002" s="1" t="s">
        <v>4637</v>
      </c>
      <c r="C5002" t="str">
        <f>IFERROR(__xludf.DUMMYFUNCTION("GOOGLETRANSLATE(B5002, ""fr"", ""en"")"),"well well")</f>
        <v>well well</v>
      </c>
    </row>
    <row r="5003">
      <c r="A5003" s="1">
        <v>4.0</v>
      </c>
      <c r="B5003" s="1" t="s">
        <v>4944</v>
      </c>
      <c r="C5003" t="str">
        <f>IFERROR(__xludf.DUMMYFUNCTION("GOOGLETRANSLATE(B5003, ""fr"", ""en"")"),"Satisfied I am satisfied with the diffuser it really looks like the picture. The manual is not French but nothing much to understand!")</f>
        <v>Satisfied I am satisfied with the diffuser it really looks like the picture. The manual is not French but nothing much to understand!</v>
      </c>
    </row>
    <row r="5004">
      <c r="A5004" s="1">
        <v>5.0</v>
      </c>
      <c r="B5004" s="1" t="s">
        <v>4945</v>
      </c>
      <c r="C5004" t="str">
        <f>IFERROR(__xludf.DUMMYFUNCTION("GOOGLETRANSLATE(B5004, ""fr"", ""en"")"),"Well lets super brew machine and suddenly put less product in a clean cloth. It's great I love")</f>
        <v>Well lets super brew machine and suddenly put less product in a clean cloth. It's great I love</v>
      </c>
    </row>
    <row r="5005">
      <c r="A5005" s="1">
        <v>5.0</v>
      </c>
      <c r="B5005" s="1" t="s">
        <v>4946</v>
      </c>
      <c r="C5005" t="str">
        <f>IFERROR(__xludf.DUMMYFUNCTION("GOOGLETRANSLATE(B5005, ""fr"", ""en"")"),"Convinced! Perfect! Once connected, the thermostat rule thanks to a small remote control. The cover is soft. Wash at 30 possible!")</f>
        <v>Convinced! Perfect! Once connected, the thermostat rule thanks to a small remote control. The cover is soft. Wash at 30 possible!</v>
      </c>
    </row>
    <row r="5006">
      <c r="A5006" s="1">
        <v>5.0</v>
      </c>
      <c r="B5006" s="1" t="s">
        <v>4947</v>
      </c>
      <c r="C5006" t="str">
        <f>IFERROR(__xludf.DUMMYFUNCTION("GOOGLETRANSLATE(B5006, ""fr"", ""en"")"),"Product line with expectations in line with expectations. Ok thank you Great for durability, and easy to install on the phone with explanations in support")</f>
        <v>Product line with expectations in line with expectations. Ok thank you Great for durability, and easy to install on the phone with explanations in support</v>
      </c>
    </row>
    <row r="5007">
      <c r="A5007" s="1">
        <v>5.0</v>
      </c>
      <c r="B5007" s="1" t="s">
        <v>4948</v>
      </c>
      <c r="C5007" t="str">
        <f>IFERROR(__xludf.DUMMYFUNCTION("GOOGLETRANSLATE(B5007, ""fr"", ""en"")"),"perfect after 6 months of daily use the watch is quite to my expectations. It is resistant light, and despite several shocks still like new. The various functionality works very well and I travel a lot and time schedules are practical. The only weak point"&amp;" that will manage time zone is in manual, car ca have been the top! coli and the box arrived perfectly at home and on time as usual with Amazon! I recommend it if you looked for a product of this style.")</f>
        <v>perfect after 6 months of daily use the watch is quite to my expectations. It is resistant light, and despite several shocks still like new. The various functionality works very well and I travel a lot and time schedules are practical. The only weak point that will manage time zone is in manual, car ca have been the top! coli and the box arrived perfectly at home and on time as usual with Amazon! I recommend it if you looked for a product of this style.</v>
      </c>
    </row>
    <row r="5008">
      <c r="A5008" s="1">
        <v>5.0</v>
      </c>
      <c r="B5008" s="1" t="s">
        <v>4949</v>
      </c>
      <c r="C5008" t="str">
        <f>IFERROR(__xludf.DUMMYFUNCTION("GOOGLETRANSLATE(B5008, ""fr"", ""en"")"),"Very good and fast shipment Collier received very quickly and very good quality. My daughter is 6 months and the size is perfect")</f>
        <v>Very good and fast shipment Collier received very quickly and very good quality. My daughter is 6 months and the size is perfect</v>
      </c>
    </row>
    <row r="5009">
      <c r="A5009" s="1">
        <v>5.0</v>
      </c>
      <c r="B5009" s="1" t="s">
        <v>4950</v>
      </c>
      <c r="C5009" t="str">
        <f>IFERROR(__xludf.DUMMYFUNCTION("GOOGLETRANSLATE(B5009, ""fr"", ""en"")"),"Top Product delivered quickly and nice")</f>
        <v>Top Product delivered quickly and nice</v>
      </c>
    </row>
    <row r="5010">
      <c r="A5010" s="1">
        <v>5.0</v>
      </c>
      <c r="B5010" s="1" t="s">
        <v>4951</v>
      </c>
      <c r="C5010" t="str">
        <f>IFERROR(__xludf.DUMMYFUNCTION("GOOGLETRANSLATE(B5010, ""fr"", ""en"")"),"Super bottle warmer! To warm breast milk and water to prepare the bottle for milk powder, I wanted a quick bottle warmer and I am very happy! The fact that it heats with a little water, with the amount of information on the side (for glass bottles and pla"&amp;"stic ones) and integrated metering, I find it great! By cons, there is the indication that amounts to 2 120 ml and 240 ml ... And if the preparation is not hot enough, it must wait until the bottle warmer to cool slightly (1 to 2 minutes so slightly longe"&amp;"r) before you can use it to finalize the heating ... Finally, the design is too simple for my taste but good for the price, I just fine!")</f>
        <v>Super bottle warmer! To warm breast milk and water to prepare the bottle for milk powder, I wanted a quick bottle warmer and I am very happy! The fact that it heats with a little water, with the amount of information on the side (for glass bottles and plastic ones) and integrated metering, I find it great! By cons, there is the indication that amounts to 2 120 ml and 240 ml ... And if the preparation is not hot enough, it must wait until the bottle warmer to cool slightly (1 to 2 minutes so slightly longer) before you can use it to finalize the heating ... Finally, the design is too simple for my taste but good for the price, I just fine!</v>
      </c>
    </row>
    <row r="5011">
      <c r="A5011" s="1">
        <v>5.0</v>
      </c>
      <c r="B5011" s="1" t="s">
        <v>4952</v>
      </c>
      <c r="C5011" t="str">
        <f>IFERROR(__xludf.DUMMYFUNCTION("GOOGLETRANSLATE(B5011, ""fr"", ""en"")"),"Design &amp; amp; Performance Upon opening the box, immediately we notice the beautiful design. Everything is white with just a few LEDs to receive information, it is very elegant! The sound from the headphones 2 is excellent. They have good bass good present"&amp;", it is rare in wireless headphones. Headphones good fit in the ear, different sizes are supplied in the box. After 2 hours of sport, no listener is dropped or slipped! This is ideal for those who are tired of wire that ride everywhere :) during the exerc"&amp;"ises. The whole is washed with water so no worries hygiene side. The buttons on each earpiece are very convenient because you can pick up a call, adjust volume, switch songs, etc. For information, the buttons are tactile and must press hard enough to oper"&amp;"ate. All features have been detected directly on my Android phone after the bluetooth connection. The storage case used charger is magnetized, it allows to position the headphones instantly. It is very small and fits in any pocket! In summary, these are v"&amp;"ery nice and efficient headphones. I left them more :).")</f>
        <v>Design &amp; amp; Performance Upon opening the box, immediately we notice the beautiful design. Everything is white with just a few LEDs to receive information, it is very elegant! The sound from the headphones 2 is excellent. They have good bass good present, it is rare in wireless headphones. Headphones good fit in the ear, different sizes are supplied in the box. After 2 hours of sport, no listener is dropped or slipped! This is ideal for those who are tired of wire that ride everywhere :) during the exercises. The whole is washed with water so no worries hygiene side. The buttons on each earpiece are very convenient because you can pick up a call, adjust volume, switch songs, etc. For information, the buttons are tactile and must press hard enough to operate. All features have been detected directly on my Android phone after the bluetooth connection. The storage case used charger is magnetized, it allows to position the headphones instantly. It is very small and fits in any pocket! In summary, these are very nice and efficient headphones. I left them more :).</v>
      </c>
    </row>
    <row r="5012">
      <c r="A5012" s="1">
        <v>5.0</v>
      </c>
      <c r="B5012" s="1" t="s">
        <v>4953</v>
      </c>
      <c r="C5012" t="str">
        <f>IFERROR(__xludf.DUMMYFUNCTION("GOOGLETRANSLATE(B5012, ""fr"", ""en"")"),"Small and convenient Pretty convenient and aesthetically by its small size Does not take too much space on my work plan corresponds to my expectations")</f>
        <v>Small and convenient Pretty convenient and aesthetically by its small size Does not take too much space on my work plan corresponds to my expectations</v>
      </c>
    </row>
    <row r="5013">
      <c r="A5013" s="1">
        <v>5.0</v>
      </c>
      <c r="B5013" s="1" t="s">
        <v>4954</v>
      </c>
      <c r="C5013" t="str">
        <f>IFERROR(__xludf.DUMMYFUNCTION("GOOGLETRANSLATE(B5013, ""fr"", ""en"")"),"Although it is a perfect tissue neither too thick nor too thin. Super comfortable to wear. Already washed and it has not moved I n the board")</f>
        <v>Although it is a perfect tissue neither too thick nor too thin. Super comfortable to wear. Already washed and it has not moved I n the board</v>
      </c>
    </row>
    <row r="5014">
      <c r="A5014" s="1">
        <v>5.0</v>
      </c>
      <c r="B5014" s="1" t="s">
        <v>4955</v>
      </c>
      <c r="C5014" t="str">
        <f>IFERROR(__xludf.DUMMYFUNCTION("GOOGLETRANSLATE(B5014, ""fr"", ""en"")"),"Always what it takes on Amazon C is a purchase I made for my very very very happy son")</f>
        <v>Always what it takes on Amazon C is a purchase I made for my very very very happy son</v>
      </c>
    </row>
    <row r="5015">
      <c r="A5015" s="1">
        <v>5.0</v>
      </c>
      <c r="B5015" s="1" t="s">
        <v>4956</v>
      </c>
      <c r="C5015" t="str">
        <f>IFERROR(__xludf.DUMMYFUNCTION("GOOGLETRANSLATE(B5015, ""fr"", ""en"")"),"Recommend Very well and very comfortable Recommended for a birthday or Christmas Not much to ra played ter")</f>
        <v>Recommend Very well and very comfortable Recommended for a birthday or Christmas Not much to ra played ter</v>
      </c>
    </row>
    <row r="5016">
      <c r="A5016" s="1">
        <v>5.0</v>
      </c>
      <c r="B5016" s="1" t="s">
        <v>4957</v>
      </c>
      <c r="C5016" t="str">
        <f>IFERROR(__xludf.DUMMYFUNCTION("GOOGLETRANSLATE(B5016, ""fr"", ""en"")"),"Best for everyday super Frankly, I love their style and more convenient to run it with me and the room and frankly they do not move. I am very happy over there do absolutely no wrong during insertion into the ear. I highly recommend they leave me.")</f>
        <v>Best for everyday super Frankly, I love their style and more convenient to run it with me and the room and frankly they do not move. I am very happy over there do absolutely no wrong during insertion into the ear. I highly recommend they leave me.</v>
      </c>
    </row>
    <row r="5017">
      <c r="A5017" s="1">
        <v>5.0</v>
      </c>
      <c r="B5017" s="1" t="s">
        <v>4958</v>
      </c>
      <c r="C5017" t="str">
        <f>IFERROR(__xludf.DUMMYFUNCTION("GOOGLETRANSLATE(B5017, ""fr"", ""en"")"),"Satisfied As always, Amazon on top for delivery in 24 hours! Congratulations! I am satisfied with this product, very good quality / price ratio")</f>
        <v>Satisfied As always, Amazon on top for delivery in 24 hours! Congratulations! I am satisfied with this product, very good quality / price ratio</v>
      </c>
    </row>
    <row r="5018">
      <c r="A5018" s="1">
        <v>5.0</v>
      </c>
      <c r="B5018" s="1" t="s">
        <v>4959</v>
      </c>
      <c r="C5018" t="str">
        <f>IFERROR(__xludf.DUMMYFUNCTION("GOOGLETRANSLATE(B5018, ""fr"", ""en"")"),"Great product Quite resemblance to the picture no problem to emphasize works great little wait for the water heater stops automatically")</f>
        <v>Great product Quite resemblance to the picture no problem to emphasize works great little wait for the water heater stops automatically</v>
      </c>
    </row>
    <row r="5019">
      <c r="A5019" s="1">
        <v>2.0</v>
      </c>
      <c r="B5019" s="1" t="s">
        <v>4960</v>
      </c>
      <c r="C5019" t="str">
        <f>IFERROR(__xludf.DUMMYFUNCTION("GOOGLETRANSLATE(B5019, ""fr"", ""en"")"),"Cartridge Magenta almost EMPTY I bought the lot 364XL (black + magenta + cyan + yellow) 6 April 2018. In April 2019, I installed the black. On May 7, 2019 I installed the other 3. In the space of a month and a half, printing becomes poor. I check levels. "&amp;"They are correct. I did a diagnostic: the magenta is EMPTY yet the ink is guaranteed until December 3, 2019. AMAZON paid me back against a return of the item. I'm surprised the cartridge ink capacity cartridges magenta yet &amp; amp; ink are authentic.")</f>
        <v>Cartridge Magenta almost EMPTY I bought the lot 364XL (black + magenta + cyan + yellow) 6 April 2018. In April 2019, I installed the black. On May 7, 2019 I installed the other 3. In the space of a month and a half, printing becomes poor. I check levels. They are correct. I did a diagnostic: the magenta is EMPTY yet the ink is guaranteed until December 3, 2019. AMAZON paid me back against a return of the item. I'm surprised the cartridge ink capacity cartridges magenta yet &amp; amp; ink are authentic.</v>
      </c>
    </row>
    <row r="5020">
      <c r="A5020" s="1">
        <v>1.0</v>
      </c>
      <c r="B5020" s="1" t="s">
        <v>4961</v>
      </c>
      <c r="C5020" t="str">
        <f>IFERROR(__xludf.DUMMYFUNCTION("GOOGLETRANSLATE(B5020, ""fr"", ""en"")"),"Main pocket poorly designed. The zippered main compartment does not close all the way because of the shape of the bag. What makes it less accessible compared to the other 2. In addition, it is not very pretty. I returned.")</f>
        <v>Main pocket poorly designed. The zippered main compartment does not close all the way because of the shape of the bag. What makes it less accessible compared to the other 2. In addition, it is not very pretty. I returned.</v>
      </c>
    </row>
    <row r="5021">
      <c r="A5021" s="1">
        <v>1.0</v>
      </c>
      <c r="B5021" s="1" t="s">
        <v>4962</v>
      </c>
      <c r="C5021" t="str">
        <f>IFERROR(__xludf.DUMMYFUNCTION("GOOGLETRANSLATE(B5021, ""fr"", ""en"")"),"Sports repasseront Sympas, lightweight and comfortable to wear, but they are by no means sports socks. It's not complicated, I pierces a pair to each output running, and I'm still a beginner, so not really fierce. At this rate, lot 6 will make me less tha"&amp;"n a week.")</f>
        <v>Sports repasseront Sympas, lightweight and comfortable to wear, but they are by no means sports socks. It's not complicated, I pierces a pair to each output running, and I'm still a beginner, so not really fierce. At this rate, lot 6 will make me less than a week.</v>
      </c>
    </row>
    <row r="5022">
      <c r="A5022" s="1">
        <v>3.0</v>
      </c>
      <c r="B5022" s="1" t="s">
        <v>4963</v>
      </c>
      <c r="C5022" t="str">
        <f>IFERROR(__xludf.DUMMYFUNCTION("GOOGLETRANSLATE(B5022, ""fr"", ""en"")"),"Mixed A little disappointing ... nothing wrong comfort level but I use them questioning on a treadmill and after 15 days the sole began to decompose. It's so cheap poor quality")</f>
        <v>Mixed A little disappointing ... nothing wrong comfort level but I use them questioning on a treadmill and after 15 days the sole began to decompose. It's so cheap poor quality</v>
      </c>
    </row>
    <row r="5023">
      <c r="A5023" s="1">
        <v>3.0</v>
      </c>
      <c r="B5023" s="1" t="s">
        <v>4964</v>
      </c>
      <c r="C5023" t="str">
        <f>IFERROR(__xludf.DUMMYFUNCTION("GOOGLETRANSLATE(B5023, ""fr"", ""en"")"),"Earpiece means Product does not connete with iPhone 11")</f>
        <v>Earpiece means Product does not connete with iPhone 11</v>
      </c>
    </row>
    <row r="5024">
      <c r="A5024" s="1">
        <v>4.0</v>
      </c>
      <c r="B5024" s="1" t="s">
        <v>4965</v>
      </c>
      <c r="C5024" t="str">
        <f>IFERROR(__xludf.DUMMYFUNCTION("GOOGLETRANSLATE(B5024, ""fr"", ""en"")"),"Good buy sweater is good only problem came in time the color does not match the photo the sweater is gray clear and dark gray")</f>
        <v>Good buy sweater is good only problem came in time the color does not match the photo the sweater is gray clear and dark gray</v>
      </c>
    </row>
    <row r="5025">
      <c r="A5025" s="1">
        <v>4.0</v>
      </c>
      <c r="B5025" s="1" t="s">
        <v>4966</v>
      </c>
      <c r="C5025" t="str">
        <f>IFERROR(__xludf.DUMMYFUNCTION("GOOGLETRANSLATE(B5025, ""fr"", ""en"")"),"Nothing Special Low white Converse classic. The logo on the heel disappears after 5-6mois, especially when driving. The heel also wears down quickly, the inner fabric that protects the ""hard rubber"" heel in tatters after 6-7mois, which quickly becomes u"&amp;"npleasant when walking. I do not know if it's the act of driving a car with Converse or if the quality of workmanship that causes it.")</f>
        <v>Nothing Special Low white Converse classic. The logo on the heel disappears after 5-6mois, especially when driving. The heel also wears down quickly, the inner fabric that protects the "hard rubber" heel in tatters after 6-7mois, which quickly becomes unpleasant when walking. I do not know if it's the act of driving a car with Converse or if the quality of workmanship that causes it.</v>
      </c>
    </row>
    <row r="5026">
      <c r="A5026" s="1">
        <v>4.0</v>
      </c>
      <c r="B5026" s="1" t="s">
        <v>4967</v>
      </c>
      <c r="C5026" t="str">
        <f>IFERROR(__xludf.DUMMYFUNCTION("GOOGLETRANSLATE(B5026, ""fr"", ""en"")"),"Perfect perfect take a size larger than his size")</f>
        <v>Perfect perfect take a size larger than his size</v>
      </c>
    </row>
    <row r="5027">
      <c r="A5027" s="1">
        <v>4.0</v>
      </c>
      <c r="B5027" s="1" t="s">
        <v>4968</v>
      </c>
      <c r="C5027" t="str">
        <f>IFERROR(__xludf.DUMMYFUNCTION("GOOGLETRANSLATE(B5027, ""fr"", ""en"")"),"Value Replaces the same model (made almost 3 years) in which the band is almost cut off.")</f>
        <v>Value Replaces the same model (made almost 3 years) in which the band is almost cut off.</v>
      </c>
    </row>
    <row r="5028">
      <c r="A5028" s="1">
        <v>4.0</v>
      </c>
      <c r="B5028" s="1" t="s">
        <v>4969</v>
      </c>
      <c r="C5028" t="str">
        <f>IFERROR(__xludf.DUMMYFUNCTION("GOOGLETRANSLATE(B5028, ""fr"", ""en"")"),"Good price Quality OK price")</f>
        <v>Good price Quality OK price</v>
      </c>
    </row>
    <row r="5029">
      <c r="A5029" s="1">
        <v>5.0</v>
      </c>
      <c r="B5029" s="1" t="s">
        <v>4970</v>
      </c>
      <c r="C5029" t="str">
        <f>IFERROR(__xludf.DUMMYFUNCTION("GOOGLETRANSLATE(B5029, ""fr"", ""en"")"),"A couple with a DAC or external sound card! This headset is simply amazing. I was looking for excellence in terms of audio quality, not just as a gamer musician (I play electric guitar) and this helmet is just perfect. In game: I couple with a cardboard i"&amp;"ts SoundblasterX G6 which not only powers the headphones, but amplifies and pushes the limits of sound levels skyrocketing. I tried helmets, and I can tell you a musician or gamer, if you are looking for audio excellence is here. Beware though, it is a he"&amp;"lmet that has a level of acute supported for bass a little neglected. In music: through the adapter provided I can plug my guitar amp, which allows me to play even at night. The sound is clear and quite authentic Overall: The headset is extremely comforta"&amp;"ble, I can keep it on the head all day, sometimes I even forget I have it on his head and wondering where he panic well could happen. The sound quality is magical, provided you have the equipment to power. A large 10/10!")</f>
        <v>A couple with a DAC or external sound card! This headset is simply amazing. I was looking for excellence in terms of audio quality, not just as a gamer musician (I play electric guitar) and this helmet is just perfect. In game: I couple with a cardboard its SoundblasterX G6 which not only powers the headphones, but amplifies and pushes the limits of sound levels skyrocketing. I tried helmets, and I can tell you a musician or gamer, if you are looking for audio excellence is here. Beware though, it is a helmet that has a level of acute supported for bass a little neglected. In music: through the adapter provided I can plug my guitar amp, which allows me to play even at night. The sound is clear and quite authentic Overall: The headset is extremely comfortable, I can keep it on the head all day, sometimes I even forget I have it on his head and wondering where he panic well could happen. The sound quality is magical, provided you have the equipment to power. A large 10/10!</v>
      </c>
    </row>
    <row r="5030">
      <c r="A5030" s="1">
        <v>5.0</v>
      </c>
      <c r="B5030" s="1" t="s">
        <v>4971</v>
      </c>
      <c r="C5030" t="str">
        <f>IFERROR(__xludf.DUMMYFUNCTION("GOOGLETRANSLATE(B5030, ""fr"", ""en"")"),"Perfect perfect tongue scraper")</f>
        <v>Perfect perfect tongue scraper</v>
      </c>
    </row>
    <row r="5031">
      <c r="A5031" s="1">
        <v>5.0</v>
      </c>
      <c r="B5031" s="1" t="s">
        <v>4972</v>
      </c>
      <c r="C5031" t="str">
        <f>IFERROR(__xludf.DUMMYFUNCTION("GOOGLETRANSLATE(B5031, ""fr"", ""en"")"),"bra line with my expectations for a size 3 XL, chest around does not exceed 130 cm, otherwise it may be too tight, so uncomfortable.")</f>
        <v>bra line with my expectations for a size 3 XL, chest around does not exceed 130 cm, otherwise it may be too tight, so uncomfortable.</v>
      </c>
    </row>
    <row r="5032">
      <c r="A5032" s="1">
        <v>5.0</v>
      </c>
      <c r="B5032" s="1" t="s">
        <v>4973</v>
      </c>
      <c r="C5032" t="str">
        <f>IFERROR(__xludf.DUMMYFUNCTION("GOOGLETRANSLATE(B5032, ""fr"", ""en"")"),"Top! My daughter and I had a had touted. I ordered it to try. I am glad! Great first use!")</f>
        <v>Top! My daughter and I had a had touted. I ordered it to try. I am glad! Great first use!</v>
      </c>
    </row>
    <row r="5033">
      <c r="A5033" s="1">
        <v>5.0</v>
      </c>
      <c r="B5033" s="1" t="s">
        <v>4974</v>
      </c>
      <c r="C5033" t="str">
        <f>IFERROR(__xludf.DUMMYFUNCTION("GOOGLETRANSLATE(B5033, ""fr"", ""en"")"),"Good for the price I am pleasantly surprised by the size of this machine that ultimately is not too difficult to store. It is light (when empty) and therefore easily transportable. It works very well. Only complaints: - once the temperature reached, it is"&amp;" burning so do not touch hot metal parts sips. - during the rise in temperature, due to the noise (against, after reaching the desired temperature, it is completely silent). For the price, I am happy with my purchase. Note that I ordered on Amazon.de (Ger"&amp;"many) for 7 euros less despite the postage.")</f>
        <v>Good for the price I am pleasantly surprised by the size of this machine that ultimately is not too difficult to store. It is light (when empty) and therefore easily transportable. It works very well. Only complaints: - once the temperature reached, it is burning so do not touch hot metal parts sips. - during the rise in temperature, due to the noise (against, after reaching the desired temperature, it is completely silent). For the price, I am happy with my purchase. Note that I ordered on Amazon.de (Germany) for 7 euros less despite the postage.</v>
      </c>
    </row>
    <row r="5034">
      <c r="A5034" s="1">
        <v>5.0</v>
      </c>
      <c r="B5034" s="1" t="s">
        <v>4975</v>
      </c>
      <c r="C5034" t="str">
        <f>IFERROR(__xludf.DUMMYFUNCTION("GOOGLETRANSLATE(B5034, ""fr"", ""en"")"),"French Winter footwear Excellent shoe top quality leather with a thick and beautiful. I recommend it to those who want shoes that will last very long. I am very pleased that it is made in France.")</f>
        <v>French Winter footwear Excellent shoe top quality leather with a thick and beautiful. I recommend it to those who want shoes that will last very long. I am very pleased that it is made in France.</v>
      </c>
    </row>
    <row r="5035">
      <c r="A5035" s="1">
        <v>5.0</v>
      </c>
      <c r="B5035" s="1" t="s">
        <v>4976</v>
      </c>
      <c r="C5035" t="str">
        <f>IFERROR(__xludf.DUMMYFUNCTION("GOOGLETRANSLATE(B5035, ""fr"", ""en"")"),"So cute! These shoes are attracting a lot of attention !! I bought the 37 EU, they go perfectly. There is a room for my toes, I would like a lot of extra space. I like to wear thick socks.")</f>
        <v>So cute! These shoes are attracting a lot of attention !! I bought the 37 EU, they go perfectly. There is a room for my toes, I would like a lot of extra space. I like to wear thick socks.</v>
      </c>
    </row>
    <row r="5036">
      <c r="A5036" s="1">
        <v>5.0</v>
      </c>
      <c r="B5036" s="1" t="s">
        <v>4977</v>
      </c>
      <c r="C5036" t="str">
        <f>IFERROR(__xludf.DUMMYFUNCTION("GOOGLETRANSLATE(B5036, ""fr"", ""en"")"),"Puma good quality product, exactly the size and time for receiving and fast enough")</f>
        <v>Puma good quality product, exactly the size and time for receiving and fast enough</v>
      </c>
    </row>
    <row r="5037">
      <c r="A5037" s="1">
        <v>5.0</v>
      </c>
      <c r="B5037" s="1" t="s">
        <v>4137</v>
      </c>
      <c r="C5037" t="str">
        <f>IFERROR(__xludf.DUMMYFUNCTION("GOOGLETRANSLATE(B5037, ""fr"", ""en"")"),"Excellent Excellent")</f>
        <v>Excellent Excellent</v>
      </c>
    </row>
    <row r="5038">
      <c r="A5038" s="1">
        <v>5.0</v>
      </c>
      <c r="B5038" s="1" t="s">
        <v>4978</v>
      </c>
      <c r="C5038" t="str">
        <f>IFERROR(__xludf.DUMMYFUNCTION("GOOGLETRANSLATE(B5038, ""fr"", ""en"")"),"Excellent Excellent bottle nothing to say")</f>
        <v>Excellent Excellent bottle nothing to say</v>
      </c>
    </row>
    <row r="5039">
      <c r="A5039" s="1">
        <v>5.0</v>
      </c>
      <c r="B5039" s="1" t="s">
        <v>4979</v>
      </c>
      <c r="C5039" t="str">
        <f>IFERROR(__xludf.DUMMYFUNCTION("GOOGLETRANSLATE(B5039, ""fr"", ""en"")"),"The Freshman girls in the Received time. Perfect size. Keeping up to my expectations. Nothing to say. In pkus it's sexy.")</f>
        <v>The Freshman girls in the Received time. Perfect size. Keeping up to my expectations. Nothing to say. In pkus it's sexy.</v>
      </c>
    </row>
    <row r="5040">
      <c r="A5040" s="1">
        <v>5.0</v>
      </c>
      <c r="B5040" s="1" t="s">
        <v>4980</v>
      </c>
      <c r="C5040" t="str">
        <f>IFERROR(__xludf.DUMMYFUNCTION("GOOGLETRANSLATE(B5040, ""fr"", ""en"")"),"Super clothes I'm really surprised by the quality and beauty of this dress at a great price! It suits me to perfection, the fabric is very soft, fluid and will be perfect for hot weather, the elastic greenhouse does not too well and then hold the bust. Co"&amp;"nfirms the description as well as the image I highly recommend you not miss anything.")</f>
        <v>Super clothes I'm really surprised by the quality and beauty of this dress at a great price! It suits me to perfection, the fabric is very soft, fluid and will be perfect for hot weather, the elastic greenhouse does not too well and then hold the bust. Confirms the description as well as the image I highly recommend you not miss anything.</v>
      </c>
    </row>
    <row r="5041">
      <c r="A5041" s="1">
        <v>5.0</v>
      </c>
      <c r="B5041" s="1" t="s">
        <v>4981</v>
      </c>
      <c r="C5041" t="str">
        <f>IFERROR(__xludf.DUMMYFUNCTION("GOOGLETRANSLATE(B5041, ""fr"", ""en"")"),"not the nike but remains supberbe product complies with good quality control perfectly great product size to recommend")</f>
        <v>not the nike but remains supberbe product complies with good quality control perfectly great product size to recommend</v>
      </c>
    </row>
    <row r="5042">
      <c r="A5042" s="1">
        <v>5.0</v>
      </c>
      <c r="B5042" s="1" t="s">
        <v>4982</v>
      </c>
      <c r="C5042" t="str">
        <f>IFERROR(__xludf.DUMMYFUNCTION("GOOGLETRANSLATE(B5042, ""fr"", ""en"")"),"VERY COMFORTABLE. I've received, it's very comfortable and my son feels comfortable in it. This is Nike, very safe quality.")</f>
        <v>VERY COMFORTABLE. I've received, it's very comfortable and my son feels comfortable in it. This is Nike, very safe quality.</v>
      </c>
    </row>
    <row r="5043">
      <c r="A5043" s="1">
        <v>5.0</v>
      </c>
      <c r="B5043" s="1" t="s">
        <v>4983</v>
      </c>
      <c r="C5043" t="str">
        <f>IFERROR(__xludf.DUMMYFUNCTION("GOOGLETRANSLATE(B5043, ""fr"", ""en"")"),"Good value For the price, this pointer fills quite function. The installation of the ""computer is quick (the pointer is recognized by the computer and a driver installs itself the first time in 1 to 2 minutes). On the laser function, nothing to say, it i"&amp;"s a laser pointer red light, far-reaching. the scroll function works well for scrolling through pages of a powerPoint presentation but also (and this was not the case with my different pointer) to scroll through the pages of a document . word or pDF I use"&amp;" it as part of teaching and I have no problem to reach: from the end of a long room of 15 meters, it can scroll through my presentation.")</f>
        <v>Good value For the price, this pointer fills quite function. The installation of the "computer is quick (the pointer is recognized by the computer and a driver installs itself the first time in 1 to 2 minutes). On the laser function, nothing to say, it is a laser pointer red light, far-reaching. the scroll function works well for scrolling through pages of a powerPoint presentation but also (and this was not the case with my different pointer) to scroll through the pages of a document . word or pDF I use it as part of teaching and I have no problem to reach: from the end of a long room of 15 meters, it can scroll through my presentation.</v>
      </c>
    </row>
    <row r="5044">
      <c r="A5044" s="1">
        <v>2.0</v>
      </c>
      <c r="B5044" s="1" t="s">
        <v>4984</v>
      </c>
      <c r="C5044" t="str">
        <f>IFERROR(__xludf.DUMMYFUNCTION("GOOGLETRANSLATE(B5044, ""fr"", ""en"")"),".For those with poorly cut belly di must not belt, comfortable fabric I bought out of curiosity to further refine my legs. To walk the course impractical ... I gates 38m and 177cm L I ordered (I was afraid that it will be too tight seen the comments ...) "&amp;"I put very easily (no need to acrobatics like others ...) pants very close to the body as it should. Of flats ... no adjustment belt, I feel and shaping pants will fall! Very unpleasant for you to run ... Reassured he holds very course thighs :) worse it'"&amp;"s wrong to cut, excess tissue and ca hangs between the legs and in front ... Very annoying I often runs and it's not that big are not is poorly cut ..Domage! Fabric comfortable and well you sweat. Very happy for It! I guards ... I need a shirt to the thig"&amp;"hs and suspenders ...;) I recommend for cycling ...")</f>
        <v>.For those with poorly cut belly di must not belt, comfortable fabric I bought out of curiosity to further refine my legs. To walk the course impractical ... I gates 38m and 177cm L I ordered (I was afraid that it will be too tight seen the comments ...) I put very easily (no need to acrobatics like others ...) pants very close to the body as it should. Of flats ... no adjustment belt, I feel and shaping pants will fall! Very unpleasant for you to run ... Reassured he holds very course thighs :) worse it's wrong to cut, excess tissue and ca hangs between the legs and in front ... Very annoying I often runs and it's not that big are not is poorly cut ..Domage! Fabric comfortable and well you sweat. Very happy for It! I guards ... I need a shirt to the thighs and suspenders ...;) I recommend for cycling ...</v>
      </c>
    </row>
    <row r="5045">
      <c r="A5045" s="1">
        <v>1.0</v>
      </c>
      <c r="B5045" s="1" t="s">
        <v>4985</v>
      </c>
      <c r="C5045" t="str">
        <f>IFERROR(__xludf.DUMMYFUNCTION("GOOGLETRANSLATE(B5045, ""fr"", ""en"")"),"Inadequate unsuitable for my Epson printer 235. The hole where the ink comes out is not positioned in the right place to which the printer should pick the ink. The hole is on the opposite side. Unusable.")</f>
        <v>Inadequate unsuitable for my Epson printer 235. The hole where the ink comes out is not positioned in the right place to which the printer should pick the ink. The hole is on the opposite side. Unusable.</v>
      </c>
    </row>
    <row r="5046">
      <c r="A5046" s="1">
        <v>1.0</v>
      </c>
      <c r="B5046" s="1" t="s">
        <v>4986</v>
      </c>
      <c r="C5046" t="str">
        <f>IFERROR(__xludf.DUMMYFUNCTION("GOOGLETRANSLATE(B5046, ""fr"", ""en"")"),"Unusable There is no hole in the teat !!!!!!!!! Big manufacturing defect. They are unusable. This must be a forgery because usually these dummies are nickel store")</f>
        <v>Unusable There is no hole in the teat !!!!!!!!! Big manufacturing defect. They are unusable. This must be a forgery because usually these dummies are nickel store</v>
      </c>
    </row>
    <row r="5047">
      <c r="A5047" s="1">
        <v>3.0</v>
      </c>
      <c r="B5047" s="1" t="s">
        <v>4987</v>
      </c>
      <c r="C5047" t="str">
        <f>IFERROR(__xludf.DUMMYFUNCTION("GOOGLETRANSLATE(B5047, ""fr"", ""en"")"),"Great but frankly stinks is it super size me perfectly frankly nothing to say ... Apart from that stinks but it reeks of soup! I received it already smelled the soup and I feel it getting any better with time is frankly damage")</f>
        <v>Great but frankly stinks is it super size me perfectly frankly nothing to say ... Apart from that stinks but it reeks of soup! I received it already smelled the soup and I feel it getting any better with time is frankly damage</v>
      </c>
    </row>
    <row r="5048">
      <c r="A5048" s="1">
        <v>3.0</v>
      </c>
      <c r="B5048" s="1" t="s">
        <v>4988</v>
      </c>
      <c r="C5048" t="str">
        <f>IFERROR(__xludf.DUMMYFUNCTION("GOOGLETRANSLATE(B5048, ""fr"", ""en"")"),"... A little disappointed by the bracelet with the balls. One son is defeated and no way to reattach it. I ended the coupe but still nice nonetheless.")</f>
        <v>... A little disappointed by the bracelet with the balls. One son is defeated and no way to reattach it. I ended the coupe but still nice nonetheless.</v>
      </c>
    </row>
    <row r="5049">
      <c r="A5049" s="1">
        <v>4.0</v>
      </c>
      <c r="B5049" s="1" t="s">
        <v>4989</v>
      </c>
      <c r="C5049" t="str">
        <f>IFERROR(__xludf.DUMMYFUNCTION("GOOGLETRANSLATE(B5049, ""fr"", ""en"")"),"Helmet without Okay good wireless sound, no super cut")</f>
        <v>Helmet without Okay good wireless sound, no super cut</v>
      </c>
    </row>
    <row r="5050">
      <c r="A5050" s="1">
        <v>4.0</v>
      </c>
      <c r="B5050" s="1" t="s">
        <v>4990</v>
      </c>
      <c r="C5050" t="str">
        <f>IFERROR(__xludf.DUMMYFUNCTION("GOOGLETRANSLATE(B5050, ""fr"", ""en"")"),"very good product eco Very good alternative to plastic pen that dry very fast and easy to use as possible use of white and blackboard (chalk). To erase with a little water")</f>
        <v>very good product eco Very good alternative to plastic pen that dry very fast and easy to use as possible use of white and blackboard (chalk). To erase with a little water</v>
      </c>
    </row>
    <row r="5051">
      <c r="A5051" s="1">
        <v>4.0</v>
      </c>
      <c r="B5051" s="1" t="s">
        <v>4991</v>
      </c>
      <c r="C5051" t="str">
        <f>IFERROR(__xludf.DUMMYFUNCTION("GOOGLETRANSLATE(B5051, ""fr"", ""en"")"),"Very handy after a few uses, I can say that it is a robust product that ensures the essential functions required for monitoring of sporting activities including racing. The battery life is good, no complaints about that. Just a caveat for the summary per "&amp;"kilometer that does not appear except perhaps by connecting to the Internet. The synthesis of information remains sufficient. A good guide that I recommend.")</f>
        <v>Very handy after a few uses, I can say that it is a robust product that ensures the essential functions required for monitoring of sporting activities including racing. The battery life is good, no complaints about that. Just a caveat for the summary per kilometer that does not appear except perhaps by connecting to the Internet. The synthesis of information remains sufficient. A good guide that I recommend.</v>
      </c>
    </row>
    <row r="5052">
      <c r="A5052" s="1">
        <v>4.0</v>
      </c>
      <c r="B5052" s="1" t="s">
        <v>4992</v>
      </c>
      <c r="C5052" t="str">
        <f>IFERROR(__xludf.DUMMYFUNCTION("GOOGLETRANSLATE(B5052, ""fr"", ""en"")"),"ok Good holster case for storing the gray-card. It fulfills its function. See over time the strength, but does not look more fragile than another ...")</f>
        <v>ok Good holster case for storing the gray-card. It fulfills its function. See over time the strength, but does not look more fragile than another ...</v>
      </c>
    </row>
    <row r="5053">
      <c r="A5053" s="1">
        <v>5.0</v>
      </c>
      <c r="B5053" s="1" t="s">
        <v>4993</v>
      </c>
      <c r="C5053" t="str">
        <f>IFERROR(__xludf.DUMMYFUNCTION("GOOGLETRANSLATE(B5053, ""fr"", ""en"")"),"bag man Very happy with this purchase to my husband very good quality chic I recommend this product without problem appears solid")</f>
        <v>bag man Very happy with this purchase to my husband very good quality chic I recommend this product without problem appears solid</v>
      </c>
    </row>
    <row r="5054">
      <c r="A5054" s="1">
        <v>5.0</v>
      </c>
      <c r="B5054" s="1" t="s">
        <v>4994</v>
      </c>
      <c r="C5054" t="str">
        <f>IFERROR(__xludf.DUMMYFUNCTION("GOOGLETRANSLATE(B5054, ""fr"", ""en"")"),"Robust quality socks !!! Do not get damaged as some ... Commissioned again to have in advance !!! Great.")</f>
        <v>Robust quality socks !!! Do not get damaged as some ... Commissioned again to have in advance !!! Great.</v>
      </c>
    </row>
    <row r="5055">
      <c r="A5055" s="1">
        <v>5.0</v>
      </c>
      <c r="B5055" s="1" t="s">
        <v>4995</v>
      </c>
      <c r="C5055" t="str">
        <f>IFERROR(__xludf.DUMMYFUNCTION("GOOGLETRANSLATE(B5055, ""fr"", ""en"")"),"Good bag as in the photo. This is 3 weeks since I use it and so far nothing to report. Everything is fine. It is solid.")</f>
        <v>Good bag as in the photo. This is 3 weeks since I use it and so far nothing to report. Everything is fine. It is solid.</v>
      </c>
    </row>
    <row r="5056">
      <c r="A5056" s="1">
        <v>5.0</v>
      </c>
      <c r="B5056" s="1" t="s">
        <v>4996</v>
      </c>
      <c r="C5056" t="str">
        <f>IFERROR(__xludf.DUMMYFUNCTION("GOOGLETRANSLATE(B5056, ""fr"", ""en"")"),"Excellent Ordered for my two frills, they are happy and do not want to leave my sweater")</f>
        <v>Excellent Ordered for my two frills, they are happy and do not want to leave my sweater</v>
      </c>
    </row>
    <row r="5057">
      <c r="A5057" s="1">
        <v>5.0</v>
      </c>
      <c r="B5057" s="1" t="s">
        <v>4997</v>
      </c>
      <c r="C5057" t="str">
        <f>IFERROR(__xludf.DUMMYFUNCTION("GOOGLETRANSLATE(B5057, ""fr"", ""en"")"),"Delighted girl my daughter was really happy I sneakers super RECOMMENDED products beautiful color products for Product 10/10")</f>
        <v>Delighted girl my daughter was really happy I sneakers super RECOMMENDED products beautiful color products for Product 10/10</v>
      </c>
    </row>
    <row r="5058">
      <c r="A5058" s="1">
        <v>5.0</v>
      </c>
      <c r="B5058" s="1" t="s">
        <v>4998</v>
      </c>
      <c r="C5058" t="str">
        <f>IFERROR(__xludf.DUMMYFUNCTION("GOOGLETRANSLATE(B5058, ""fr"", ""en"")"),"Okay Fast delivery, setting up simple, robust foot. Also the look is nice and the foot does not take much space. I recommend")</f>
        <v>Okay Fast delivery, setting up simple, robust foot. Also the look is nice and the foot does not take much space. I recommend</v>
      </c>
    </row>
    <row r="5059">
      <c r="A5059" s="1">
        <v>5.0</v>
      </c>
      <c r="B5059" s="1" t="s">
        <v>4999</v>
      </c>
      <c r="C5059" t="str">
        <f>IFERROR(__xludf.DUMMYFUNCTION("GOOGLETRANSLATE(B5059, ""fr"", ""en"")"),"Quality headphones Earphones quality and comfortable to use")</f>
        <v>Quality headphones Earphones quality and comfortable to use</v>
      </c>
    </row>
    <row r="5060">
      <c r="A5060" s="1">
        <v>5.0</v>
      </c>
      <c r="B5060" s="1" t="s">
        <v>5000</v>
      </c>
      <c r="C5060" t="str">
        <f>IFERROR(__xludf.DUMMYFUNCTION("GOOGLETRANSLATE(B5060, ""fr"", ""en"")"),"Good value for money I 've bought for TV work and I am very happy with this headset. The design is simple and microphone quality.")</f>
        <v>Good value for money I 've bought for TV work and I am very happy with this headset. The design is simple and microphone quality.</v>
      </c>
    </row>
    <row r="5061">
      <c r="A5061" s="1">
        <v>5.0</v>
      </c>
      <c r="B5061" s="1" t="s">
        <v>5001</v>
      </c>
      <c r="C5061" t="str">
        <f>IFERROR(__xludf.DUMMYFUNCTION("GOOGLETRANSLATE(B5061, ""fr"", ""en"")"),"Excellent value for money a purchase I would not hesitate to renew if the need is! The socks are of good quality, comfortable, lightweight, and especially the size is perfect. In short, I highly recommend!")</f>
        <v>Excellent value for money a purchase I would not hesitate to renew if the need is! The socks are of good quality, comfortable, lightweight, and especially the size is perfect. In short, I highly recommend!</v>
      </c>
    </row>
    <row r="5062">
      <c r="A5062" s="1">
        <v>5.0</v>
      </c>
      <c r="B5062" s="1" t="s">
        <v>5002</v>
      </c>
      <c r="C5062" t="str">
        <f>IFERROR(__xludf.DUMMYFUNCTION("GOOGLETRANSLATE(B5062, ""fr"", ""en"")"),"Shoes line with my expectations Perfect! Shoes official, I looked forward even though they came very quickly. Meets the Converse brand, it's beautiful, it's solid, it's timeless and it goes with everything. 10 euros less (including postage) than in my usu"&amp;"al store.")</f>
        <v>Shoes line with my expectations Perfect! Shoes official, I looked forward even though they came very quickly. Meets the Converse brand, it's beautiful, it's solid, it's timeless and it goes with everything. 10 euros less (including postage) than in my usual store.</v>
      </c>
    </row>
    <row r="5063">
      <c r="A5063" s="1">
        <v>5.0</v>
      </c>
      <c r="B5063" s="1" t="s">
        <v>5003</v>
      </c>
      <c r="C5063" t="str">
        <f>IFERROR(__xludf.DUMMYFUNCTION("GOOGLETRANSLATE(B5063, ""fr"", ""en"")"),"basketball on top! I love I hope that in time I will not be disappointed !!")</f>
        <v>basketball on top! I love I hope that in time I will not be disappointed !!</v>
      </c>
    </row>
    <row r="5064">
      <c r="A5064" s="1">
        <v>5.0</v>
      </c>
      <c r="B5064" s="1" t="s">
        <v>5004</v>
      </c>
      <c r="C5064" t="str">
        <f>IFERROR(__xludf.DUMMYFUNCTION("GOOGLETRANSLATE(B5064, ""fr"", ""en"")"),"Great product Walking")</f>
        <v>Great product Walking</v>
      </c>
    </row>
    <row r="5065">
      <c r="A5065" s="1">
        <v>5.0</v>
      </c>
      <c r="B5065" s="1" t="s">
        <v>5005</v>
      </c>
      <c r="C5065" t="str">
        <f>IFERROR(__xludf.DUMMYFUNCTION("GOOGLETRANSLATE(B5065, ""fr"", ""en"")"),"Perfect Pacifier perfectly suitable for a newborn, my son with regurgitation. We passed the bottle MAM pacifiers with these speed 1 and it has virtually no more regurgitation.")</f>
        <v>Perfect Pacifier perfectly suitable for a newborn, my son with regurgitation. We passed the bottle MAM pacifiers with these speed 1 and it has virtually no more regurgitation.</v>
      </c>
    </row>
    <row r="5066">
      <c r="A5066" s="1">
        <v>5.0</v>
      </c>
      <c r="B5066" s="1" t="s">
        <v>5006</v>
      </c>
      <c r="C5066" t="str">
        <f>IFERROR(__xludf.DUMMYFUNCTION("GOOGLETRANSLATE(B5066, ""fr"", ""en"")"),"Recommends Level value, I have no complaints. Really perfect and it fits perfectly in my wallet.")</f>
        <v>Recommends Level value, I have no complaints. Really perfect and it fits perfectly in my wallet.</v>
      </c>
    </row>
    <row r="5067">
      <c r="A5067" s="1">
        <v>5.0</v>
      </c>
      <c r="B5067" s="1" t="s">
        <v>5007</v>
      </c>
      <c r="C5067" t="str">
        <f>IFERROR(__xludf.DUMMYFUNCTION("GOOGLETRANSLATE(B5067, ""fr"", ""en"")"),"A little small, not much to put Of")</f>
        <v>A little small, not much to put Of</v>
      </c>
    </row>
    <row r="5068">
      <c r="A5068" s="1">
        <v>2.0</v>
      </c>
      <c r="B5068" s="1" t="s">
        <v>5008</v>
      </c>
      <c r="C5068" t="str">
        <f>IFERROR(__xludf.DUMMYFUNCTION("GOOGLETRANSLATE(B5068, ""fr"", ""en"")"),"Price quality. fast receipt by cons for the price it has solid air. Fortunately it is not expensive")</f>
        <v>Price quality. fast receipt by cons for the price it has solid air. Fortunately it is not expensive</v>
      </c>
    </row>
    <row r="5069">
      <c r="A5069" s="1">
        <v>1.0</v>
      </c>
      <c r="B5069" s="1" t="s">
        <v>5009</v>
      </c>
      <c r="C5069" t="str">
        <f>IFERROR(__xludf.DUMMYFUNCTION("GOOGLETRANSLATE(B5069, ""fr"", ""en"")"),"Very nice but too small not to put this s / throat I'll give it because I put the shells stuffed in the trash without trying")</f>
        <v>Very nice but too small not to put this s / throat I'll give it because I put the shells stuffed in the trash without trying</v>
      </c>
    </row>
    <row r="5070">
      <c r="A5070" s="1">
        <v>1.0</v>
      </c>
      <c r="B5070" s="1" t="s">
        <v>5010</v>
      </c>
      <c r="C5070" t="str">
        <f>IFERROR(__xludf.DUMMYFUNCTION("GOOGLETRANSLATE(B5070, ""fr"", ""en"")"),"Sweat too small not match the expected size. My daughter was disappointed we always take in this size usually. Best regards")</f>
        <v>Sweat too small not match the expected size. My daughter was disappointed we always take in this size usually. Best regards</v>
      </c>
    </row>
    <row r="5071">
      <c r="A5071" s="1">
        <v>3.0</v>
      </c>
      <c r="B5071" s="1" t="s">
        <v>5011</v>
      </c>
      <c r="C5071" t="str">
        <f>IFERROR(__xludf.DUMMYFUNCTION("GOOGLETRANSLATE(B5071, ""fr"", ""en"")"),"Dial The dial too is really great for a feminine wrist, I thought smaller. And the drawstring does not take very well.")</f>
        <v>Dial The dial too is really great for a feminine wrist, I thought smaller. And the drawstring does not take very well.</v>
      </c>
    </row>
    <row r="5072">
      <c r="A5072" s="1">
        <v>4.0</v>
      </c>
      <c r="B5072" s="1" t="s">
        <v>5012</v>
      </c>
      <c r="C5072" t="str">
        <f>IFERROR(__xludf.DUMMYFUNCTION("GOOGLETRANSLATE(B5072, ""fr"", ""en"")"),"perfect leg length to a size of 1.63 m The quality of the mesh is to check with wear ...")</f>
        <v>perfect leg length to a size of 1.63 m The quality of the mesh is to check with wear ...</v>
      </c>
    </row>
    <row r="5073">
      <c r="A5073" s="1">
        <v>4.0</v>
      </c>
      <c r="B5073" s="1" t="s">
        <v>5013</v>
      </c>
      <c r="C5073" t="str">
        <f>IFERROR(__xludf.DUMMYFUNCTION("GOOGLETRANSLATE(B5073, ""fr"", ""en"")"),"Agenda retro copper kettle kettle Beautiful retro, a little mass (1.7 L) ... A model 1.2 L have been wise.")</f>
        <v>Agenda retro copper kettle kettle Beautiful retro, a little mass (1.7 L) ... A model 1.2 L have been wise.</v>
      </c>
    </row>
    <row r="5074">
      <c r="A5074" s="1">
        <v>4.0</v>
      </c>
      <c r="B5074" s="1" t="s">
        <v>5014</v>
      </c>
      <c r="C5074" t="str">
        <f>IFERROR(__xludf.DUMMYFUNCTION("GOOGLETRANSLATE(B5074, ""fr"", ""en"")"),"Better now agree to end feet Pretty sneakers, but are more suitable for narrow feet")</f>
        <v>Better now agree to end feet Pretty sneakers, but are more suitable for narrow feet</v>
      </c>
    </row>
    <row r="5075">
      <c r="A5075" s="1">
        <v>4.0</v>
      </c>
      <c r="B5075" s="1" t="s">
        <v>5015</v>
      </c>
      <c r="C5075" t="str">
        <f>IFERROR(__xludf.DUMMYFUNCTION("GOOGLETRANSLATE(B5075, ""fr"", ""en"")"),"One regret Superb very comfortable chair and lifting armrests are popular for storing (saving space). By cons I deplore the lack of security because there is no lock Ro- slacks when it sits or we get up (I misread the description when I made my choice). O"&amp;"therwise, very nice article.")</f>
        <v>One regret Superb very comfortable chair and lifting armrests are popular for storing (saving space). By cons I deplore the lack of security because there is no lock Ro- slacks when it sits or we get up (I misread the description when I made my choice). Otherwise, very nice article.</v>
      </c>
    </row>
    <row r="5076">
      <c r="A5076" s="1">
        <v>5.0</v>
      </c>
      <c r="B5076" s="1" t="s">
        <v>5016</v>
      </c>
      <c r="C5076" t="str">
        <f>IFERROR(__xludf.DUMMYFUNCTION("GOOGLETRANSLATE(B5076, ""fr"", ""en"")"),"Okay Convenient, lightweight, good composure, no metallic aftertaste. For now everything is ok now remains to see how it aged")</f>
        <v>Okay Convenient, lightweight, good composure, no metallic aftertaste. For now everything is ok now remains to see how it aged</v>
      </c>
    </row>
    <row r="5077">
      <c r="A5077" s="1">
        <v>5.0</v>
      </c>
      <c r="B5077" s="1" t="s">
        <v>5017</v>
      </c>
      <c r="C5077" t="str">
        <f>IFERROR(__xludf.DUMMYFUNCTION("GOOGLETRANSLATE(B5077, ""fr"", ""en"")"),"Perfect I started with Advent, it gave me 2 Mam infant and he did not want the others. So I stayed in this brand, it has 18 months and does not want others (tried: he throws the bottle and does not drink).")</f>
        <v>Perfect I started with Advent, it gave me 2 Mam infant and he did not want the others. So I stayed in this brand, it has 18 months and does not want others (tried: he throws the bottle and does not drink).</v>
      </c>
    </row>
    <row r="5078">
      <c r="A5078" s="1">
        <v>5.0</v>
      </c>
      <c r="B5078" s="1" t="s">
        <v>5018</v>
      </c>
      <c r="C5078" t="str">
        <f>IFERROR(__xludf.DUMMYFUNCTION("GOOGLETRANSLATE(B5078, ""fr"", ""en"")"),"HP Office Jet Pro 8725 I employed this because they are Original HP cartridges my printer recognized them from suite.Et also for the quality of the ink for photographs")</f>
        <v>HP Office Jet Pro 8725 I employed this because they are Original HP cartridges my printer recognized them from suite.Et also for the quality of the ink for photographs</v>
      </c>
    </row>
    <row r="5079">
      <c r="A5079" s="1">
        <v>5.0</v>
      </c>
      <c r="B5079" s="1" t="s">
        <v>5019</v>
      </c>
      <c r="C5079" t="str">
        <f>IFERROR(__xludf.DUMMYFUNCTION("GOOGLETRANSLATE(B5079, ""fr"", ""en"")"),"Nickel Used to clean my belt my vehicle because many tasks above. Rather skeptical at first but in the end the result is there. I will certainly still clean in order to have made Exccellent. In the end, very happy with the product.")</f>
        <v>Nickel Used to clean my belt my vehicle because many tasks above. Rather skeptical at first but in the end the result is there. I will certainly still clean in order to have made Exccellent. In the end, very happy with the product.</v>
      </c>
    </row>
    <row r="5080">
      <c r="A5080" s="1">
        <v>5.0</v>
      </c>
      <c r="B5080" s="1" t="s">
        <v>5020</v>
      </c>
      <c r="C5080" t="str">
        <f>IFERROR(__xludf.DUMMYFUNCTION("GOOGLETRANSLATE(B5080, ""fr"", ""en"")"),"Ideal for In travel easily in a suitcase and I can take my breakfast in my room at the hotel. I am very happy!")</f>
        <v>Ideal for In travel easily in a suitcase and I can take my breakfast in my room at the hotel. I am very happy!</v>
      </c>
    </row>
    <row r="5081">
      <c r="A5081" s="1">
        <v>5.0</v>
      </c>
      <c r="B5081" s="1" t="s">
        <v>5021</v>
      </c>
      <c r="C5081" t="str">
        <f>IFERROR(__xludf.DUMMYFUNCTION("GOOGLETRANSLATE(B5081, ""fr"", ""en"")"),"Lot 4X1,25 liters of detergents to correct price Detergent Super Cross Bora fair price. It was never enough detergent so quickly share it with a family. This lot is pretty good because it leaves a good clean scent and is more economical in price washing. "&amp;"So good value")</f>
        <v>Lot 4X1,25 liters of detergents to correct price Detergent Super Cross Bora fair price. It was never enough detergent so quickly share it with a family. This lot is pretty good because it leaves a good clean scent and is more economical in price washing. So good value</v>
      </c>
    </row>
    <row r="5082">
      <c r="A5082" s="1">
        <v>5.0</v>
      </c>
      <c r="B5082" s="1" t="s">
        <v>5022</v>
      </c>
      <c r="C5082" t="str">
        <f>IFERROR(__xludf.DUMMYFUNCTION("GOOGLETRANSLATE(B5082, ""fr"", ""en"")"),"Good product Product comfome the description")</f>
        <v>Good product Product comfome the description</v>
      </c>
    </row>
    <row r="5083">
      <c r="A5083" s="1">
        <v>5.0</v>
      </c>
      <c r="B5083" s="1" t="s">
        <v>5023</v>
      </c>
      <c r="C5083" t="str">
        <f>IFERROR(__xludf.DUMMYFUNCTION("GOOGLETRANSLATE(B5083, ""fr"", ""en"")"),"Very happy ! I'm happy I got the lay 1 day after I placed my order, in great condition. No fault on the pair of shoe and shoe size is perfect. Value no complaints!")</f>
        <v>Very happy ! I'm happy I got the lay 1 day after I placed my order, in great condition. No fault on the pair of shoe and shoe size is perfect. Value no complaints!</v>
      </c>
    </row>
    <row r="5084">
      <c r="A5084" s="1">
        <v>5.0</v>
      </c>
      <c r="B5084" s="1" t="s">
        <v>5024</v>
      </c>
      <c r="C5084" t="str">
        <f>IFERROR(__xludf.DUMMYFUNCTION("GOOGLETRANSLATE(B5084, ""fr"", ""en"")"),"Superb briefcase I was nervous when reading reviews that it lacks an object in the suitcase but it is not. Malette nice that my daughter will be able to slip into his bag during these nature outings. Thank you")</f>
        <v>Superb briefcase I was nervous when reading reviews that it lacks an object in the suitcase but it is not. Malette nice that my daughter will be able to slip into his bag during these nature outings. Thank you</v>
      </c>
    </row>
    <row r="5085">
      <c r="A5085" s="1">
        <v>5.0</v>
      </c>
      <c r="B5085" s="1" t="s">
        <v>5025</v>
      </c>
      <c r="C5085" t="str">
        <f>IFERROR(__xludf.DUMMYFUNCTION("GOOGLETRANSLATE(B5085, ""fr"", ""en"")"),"Too small No utilisé.mais beautiful boots, beautiful finishes Shoe ,,, but small, I do a 41 to take a 42 to be comfortable too small ..... and luckily there was 43 that c is just.")</f>
        <v>Too small No utilisé.mais beautiful boots, beautiful finishes Shoe ,,, but small, I do a 41 to take a 42 to be comfortable too small ..... and luckily there was 43 that c is just.</v>
      </c>
    </row>
    <row r="5086">
      <c r="A5086" s="1">
        <v>5.0</v>
      </c>
      <c r="B5086" s="1" t="s">
        <v>5026</v>
      </c>
      <c r="C5086" t="str">
        <f>IFERROR(__xludf.DUMMYFUNCTION("GOOGLETRANSLATE(B5086, ""fr"", ""en"")"),"Leather Renovation Kit RENAPUR Nothing to say, everything is in the kit (cleaner, Baume and sponges) I bought this kit in view of all the positive comments left I treated my jacket and motorcycle Leather Pants 10 years age (maintained with water and dishw"&amp;"ashing liquid) + Boots They rejuvenated 10 years with very little product, so I recommend")</f>
        <v>Leather Renovation Kit RENAPUR Nothing to say, everything is in the kit (cleaner, Baume and sponges) I bought this kit in view of all the positive comments left I treated my jacket and motorcycle Leather Pants 10 years age (maintained with water and dishwashing liquid) + Boots They rejuvenated 10 years with very little product, so I recommend</v>
      </c>
    </row>
    <row r="5087">
      <c r="A5087" s="1">
        <v>5.0</v>
      </c>
      <c r="B5087" s="1" t="s">
        <v>5027</v>
      </c>
      <c r="C5087" t="str">
        <f>IFERROR(__xludf.DUMMYFUNCTION("GOOGLETRANSLATE(B5087, ""fr"", ""en"")"),"Tap Adidas provide a small width size up")</f>
        <v>Tap Adidas provide a small width size up</v>
      </c>
    </row>
    <row r="5088">
      <c r="A5088" s="1">
        <v>5.0</v>
      </c>
      <c r="B5088" s="1" t="s">
        <v>5028</v>
      </c>
      <c r="C5088" t="str">
        <f>IFERROR(__xludf.DUMMYFUNCTION("GOOGLETRANSLATE(B5088, ""fr"", ""en"")"),"You had need for your kitchen &lt;div id = ""video-block-R1HU9RSFD8D9B7"" class = ""a-section-spacing-small-spacing has-top video mini-block""&gt; &lt;/ div&gt; &lt;input type = ""hidden"" name = """" value = ""https://images-eu.ssl-images-amazon.com/images/I/C1IjoAk+ZS"&amp;".mp4"" class = ""video-url""&gt; &lt;input type = "" hidden ""name ="" ""value ="" https://images-eu.ssl-images-amazon.com/images/I/91jrWba9OfS.png ""class ="" video-slate-img-url ""&gt; &amp; nbsp; Very good product which will allow you to boil water very quickly, ve"&amp;"ry healthy compared to the microwave way. What I liked what can choose heat depending on what you want to make black tea green tea or coffee. And there is an option to keep warm water and that's really great. I really like the design too as you will see o"&amp;"n my video. The glass wall of the kettle is relatively cool and secure. Very good product to have in your kitchen.")</f>
        <v>You had need for your kitchen &lt;div id = "video-block-R1HU9RSFD8D9B7" class = "a-section-spacing-small-spacing has-top video mini-block"&gt; &lt;/ div&gt; &lt;input type = "hidden" name = "" value = "https://images-eu.ssl-images-amazon.com/images/I/C1IjoAk+ZS.mp4" class = "video-url"&gt; &lt;input type = " hidden "name =" "value =" https://images-eu.ssl-images-amazon.com/images/I/91jrWba9OfS.png "class =" video-slate-img-url "&gt; &amp; nbsp; Very good product which will allow you to boil water very quickly, very healthy compared to the microwave way. What I liked what can choose heat depending on what you want to make black tea green tea or coffee. And there is an option to keep warm water and that's really great. I really like the design too as you will see on my video. The glass wall of the kettle is relatively cool and secure. Very good product to have in your kitchen.</v>
      </c>
    </row>
    <row r="5089">
      <c r="A5089" s="1">
        <v>5.0</v>
      </c>
      <c r="B5089" s="1" t="s">
        <v>5029</v>
      </c>
      <c r="C5089" t="str">
        <f>IFERROR(__xludf.DUMMYFUNCTION("GOOGLETRANSLATE(B5089, ""fr"", ""en"")"),"Beautiful but big as expected, they cut big. I play 44 basketball and there I took 43 and I'm very comfortable in it. Limit one 42 could suffice. I can not comment on the quality of shoes because I did not put them to walk. At first glance, the quality lo"&amp;"oks good ... To see in a few days ...")</f>
        <v>Beautiful but big as expected, they cut big. I play 44 basketball and there I took 43 and I'm very comfortable in it. Limit one 42 could suffice. I can not comment on the quality of shoes because I did not put them to walk. At first glance, the quality looks good ... To see in a few days ...</v>
      </c>
    </row>
    <row r="5090">
      <c r="A5090" s="1">
        <v>5.0</v>
      </c>
      <c r="B5090" s="1" t="s">
        <v>5030</v>
      </c>
      <c r="C5090" t="str">
        <f>IFERROR(__xludf.DUMMYFUNCTION("GOOGLETRANSLATE(B5090, ""fr"", ""en"")"),"Top Very good product. I highly recommend.")</f>
        <v>Top Very good product. I highly recommend.</v>
      </c>
    </row>
    <row r="5091">
      <c r="A5091" s="1">
        <v>5.0</v>
      </c>
      <c r="B5091" s="1" t="s">
        <v>5031</v>
      </c>
      <c r="C5091" t="str">
        <f>IFERROR(__xludf.DUMMYFUNCTION("GOOGLETRANSLATE(B5091, ""fr"", ""en"")"),"Very good very good very effective")</f>
        <v>Very good very good very effective</v>
      </c>
    </row>
    <row r="5092">
      <c r="A5092" s="1">
        <v>2.0</v>
      </c>
      <c r="B5092" s="1" t="s">
        <v>5032</v>
      </c>
      <c r="C5092" t="str">
        <f>IFERROR(__xludf.DUMMYFUNCTION("GOOGLETRANSLATE(B5092, ""fr"", ""en"")"),"Yeah The shoe did his job. It is very solid. Protects all anything. However, it is quite heavy, but mostly of a legendary discomfort. After a day of work, I monstrously feet hurt. And ankle. Maybe with time this will improve ...")</f>
        <v>Yeah The shoe did his job. It is very solid. Protects all anything. However, it is quite heavy, but mostly of a legendary discomfort. After a day of work, I monstrously feet hurt. And ankle. Maybe with time this will improve ...</v>
      </c>
    </row>
    <row r="5093">
      <c r="A5093" s="1">
        <v>1.0</v>
      </c>
      <c r="B5093" s="1" t="s">
        <v>5033</v>
      </c>
      <c r="C5093" t="str">
        <f>IFERROR(__xludf.DUMMYFUNCTION("GOOGLETRANSLATE(B5093, ""fr"", ""en"")"),"Attention size too big! disappointed by the size of my normal size XL that I ordered and received, L would have sufficed.")</f>
        <v>Attention size too big! disappointed by the size of my normal size XL that I ordered and received, L would have sufficed.</v>
      </c>
    </row>
    <row r="5094">
      <c r="A5094" s="1">
        <v>3.0</v>
      </c>
      <c r="B5094" s="1" t="s">
        <v>5034</v>
      </c>
      <c r="C5094" t="str">
        <f>IFERROR(__xludf.DUMMYFUNCTION("GOOGLETRANSLATE(B5094, ""fr"", ""en"")"),"Pretty but fragile Bracelets are nice, but the black is very fragile, I've scratched 2 times in 1 day")</f>
        <v>Pretty but fragile Bracelets are nice, but the black is very fragile, I've scratched 2 times in 1 day</v>
      </c>
    </row>
    <row r="5095">
      <c r="A5095" s="1">
        <v>3.0</v>
      </c>
      <c r="B5095" s="1" t="s">
        <v>5035</v>
      </c>
      <c r="C5095" t="str">
        <f>IFERROR(__xludf.DUMMYFUNCTION("GOOGLETRANSLATE(B5095, ""fr"", ""en"")"),"Good quality but not practical The product is of good quality, and brings an interesting continuation for a large cup size. Disappointment, closing the hook back alone! I return ... shame !!!")</f>
        <v>Good quality but not practical The product is of good quality, and brings an interesting continuation for a large cup size. Disappointment, closing the hook back alone! I return ... shame !!!</v>
      </c>
    </row>
    <row r="5096">
      <c r="A5096" s="1">
        <v>4.0</v>
      </c>
      <c r="B5096" s="1" t="s">
        <v>5036</v>
      </c>
      <c r="C5096" t="str">
        <f>IFERROR(__xludf.DUMMYFUNCTION("GOOGLETRANSLATE(B5096, ""fr"", ""en"")"),"Elegant watch Very nice watch whether for male or female. It is elegant and weighs nothing. The mesh bracelet is very pretty and does not move.")</f>
        <v>Elegant watch Very nice watch whether for male or female. It is elegant and weighs nothing. The mesh bracelet is very pretty and does not move.</v>
      </c>
    </row>
    <row r="5097">
      <c r="A5097" s="1">
        <v>4.0</v>
      </c>
      <c r="B5097" s="1" t="s">
        <v>5037</v>
      </c>
      <c r="C5097" t="str">
        <f>IFERROR(__xludf.DUMMYFUNCTION("GOOGLETRANSLATE(B5097, ""fr"", ""en"")"),"Okay Belle safety shoes but deserves more because insole gives sore feet.")</f>
        <v>Okay Belle safety shoes but deserves more because insole gives sore feet.</v>
      </c>
    </row>
    <row r="5098">
      <c r="A5098" s="1">
        <v>4.0</v>
      </c>
      <c r="B5098" s="1" t="s">
        <v>5038</v>
      </c>
      <c r="C5098" t="str">
        <f>IFERROR(__xludf.DUMMYFUNCTION("GOOGLETRANSLATE(B5098, ""fr"", ""en"")"),"Small useful bag! The bag is really small but practical. I bought it to go faster by taking the minimum. There is little to put a great portfolio but")</f>
        <v>Small useful bag! The bag is really small but practical. I bought it to go faster by taking the minimum. There is little to put a great portfolio but</v>
      </c>
    </row>
    <row r="5099">
      <c r="A5099" s="1">
        <v>4.0</v>
      </c>
      <c r="B5099" s="1" t="s">
        <v>5039</v>
      </c>
      <c r="C5099" t="str">
        <f>IFERROR(__xludf.DUMMYFUNCTION("GOOGLETRANSLATE(B5099, ""fr"", ""en"")"),"Good quality bracelet bought for my ZeTime. Glad this bracelet because of good quality and competitive prices! The only negative would be the tracks that loop leaves on my wrist (see photo) this is due to the shape of the loop I think ...")</f>
        <v>Good quality bracelet bought for my ZeTime. Glad this bracelet because of good quality and competitive prices! The only negative would be the tracks that loop leaves on my wrist (see photo) this is due to the shape of the loop I think ...</v>
      </c>
    </row>
    <row r="5100">
      <c r="A5100" s="1">
        <v>5.0</v>
      </c>
      <c r="B5100" s="1" t="s">
        <v>4137</v>
      </c>
      <c r="C5100" t="str">
        <f>IFERROR(__xludf.DUMMYFUNCTION("GOOGLETRANSLATE(B5100, ""fr"", ""en"")"),"Excellent Excellent")</f>
        <v>Excellent Excellent</v>
      </c>
    </row>
    <row r="5101">
      <c r="A5101" s="1">
        <v>5.0</v>
      </c>
      <c r="B5101" s="1" t="s">
        <v>5040</v>
      </c>
      <c r="C5101" t="str">
        <f>IFERROR(__xludf.DUMMYFUNCTION("GOOGLETRANSLATE(B5101, ""fr"", ""en"")"),"Good headphones! I previously used a helmet that I had paid 20th. I decided to change the range and try a more expensive headphones. I did not do in comparison with other helmets of the same price but this one suits me perfectly. The sound quality but mos"&amp;"t importantly it is very comfortable to wear! Comfort that I had not with the 20th at which ached after a while. I am satisfied with my purchase.")</f>
        <v>Good headphones! I previously used a helmet that I had paid 20th. I decided to change the range and try a more expensive headphones. I did not do in comparison with other helmets of the same price but this one suits me perfectly. The sound quality but most importantly it is very comfortable to wear! Comfort that I had not with the 20th at which ached after a while. I am satisfied with my purchase.</v>
      </c>
    </row>
    <row r="5102">
      <c r="A5102" s="1">
        <v>5.0</v>
      </c>
      <c r="B5102" s="1" t="s">
        <v>5041</v>
      </c>
      <c r="C5102" t="str">
        <f>IFERROR(__xludf.DUMMYFUNCTION("GOOGLETRANSLATE(B5102, ""fr"", ""en"")"),"Excellent value for money Very good for sleeping on the side, I used to listen to the rain fell asleep, they are great because I did not feel when I turn in bed and in addition it is very well insulated from noise exteriors. So perfect for me. The sound i"&amp;"s adequate and bass too. I recommeded for those looking earphones to fall asleep.")</f>
        <v>Excellent value for money Very good for sleeping on the side, I used to listen to the rain fell asleep, they are great because I did not feel when I turn in bed and in addition it is very well insulated from noise exteriors. So perfect for me. The sound is adequate and bass too. I recommeded for those looking earphones to fall asleep.</v>
      </c>
    </row>
    <row r="5103">
      <c r="A5103" s="1">
        <v>5.0</v>
      </c>
      <c r="B5103" s="1" t="s">
        <v>5042</v>
      </c>
      <c r="C5103" t="str">
        <f>IFERROR(__xludf.DUMMYFUNCTION("GOOGLETRANSLATE(B5103, ""fr"", ""en"")"),"I advise Excellent product identical to those sold in specialized stores but the 5 liters for the price of one.")</f>
        <v>I advise Excellent product identical to those sold in specialized stores but the 5 liters for the price of one.</v>
      </c>
    </row>
    <row r="5104">
      <c r="A5104" s="1">
        <v>5.0</v>
      </c>
      <c r="B5104" s="1" t="s">
        <v>5043</v>
      </c>
      <c r="C5104" t="str">
        <f>IFERROR(__xludf.DUMMYFUNCTION("GOOGLETRANSLATE(B5104, ""fr"", ""en"")"),"Strength Yesterday fall of two glass bottles, they are intact!")</f>
        <v>Strength Yesterday fall of two glass bottles, they are intact!</v>
      </c>
    </row>
    <row r="5105">
      <c r="A5105" s="1">
        <v>5.0</v>
      </c>
      <c r="B5105" s="1" t="s">
        <v>5044</v>
      </c>
      <c r="C5105" t="str">
        <f>IFERROR(__xludf.DUMMYFUNCTION("GOOGLETRANSLATE(B5105, ""fr"", ""en"")"),"fast, multi-temperature a little more complex than expected, noisy The coffee is fast and quickly extinguished after reaching temperature. Two things: 1) it made a shrill noise when it starts up and reaches temperature. 2) It is not always clear if it has"&amp;" launched the program or not (it is necessary that the bottom button, white, or on, not just the blue table). I have not yet managed to start a program out of the 85 ° or 100 ° C available. On the other hand, I have not opened the manual ... Used thorough"&amp;"ly for two weeks, presumably a solid Machine")</f>
        <v>fast, multi-temperature a little more complex than expected, noisy The coffee is fast and quickly extinguished after reaching temperature. Two things: 1) it made a shrill noise when it starts up and reaches temperature. 2) It is not always clear if it has launched the program or not (it is necessary that the bottom button, white, or on, not just the blue table). I have not yet managed to start a program out of the 85 ° or 100 ° C available. On the other hand, I have not opened the manual ... Used thoroughly for two weeks, presumably a solid Machine</v>
      </c>
    </row>
    <row r="5106">
      <c r="A5106" s="1">
        <v>5.0</v>
      </c>
      <c r="B5106" s="1" t="s">
        <v>5045</v>
      </c>
      <c r="C5106" t="str">
        <f>IFERROR(__xludf.DUMMYFUNCTION("GOOGLETRANSLATE(B5106, ""fr"", ""en"")"),"Excellent Very Good equipment ergonomic quality")</f>
        <v>Excellent Very Good equipment ergonomic quality</v>
      </c>
    </row>
    <row r="5107">
      <c r="A5107" s="1">
        <v>5.0</v>
      </c>
      <c r="B5107" s="1" t="s">
        <v>5046</v>
      </c>
      <c r="C5107" t="str">
        <f>IFERROR(__xludf.DUMMYFUNCTION("GOOGLETRANSLATE(B5107, ""fr"", ""en"")"),"great product very well")</f>
        <v>great product very well</v>
      </c>
    </row>
    <row r="5108">
      <c r="A5108" s="1">
        <v>5.0</v>
      </c>
      <c r="B5108" s="1" t="s">
        <v>5047</v>
      </c>
      <c r="C5108" t="str">
        <f>IFERROR(__xludf.DUMMYFUNCTION("GOOGLETRANSLATE(B5108, ""fr"", ""en"")"),"pants + swaet took the pink super nice velous EsQUIsE very soft material carried by a man in uniform interior can only loved the")</f>
        <v>pants + swaet took the pink super nice velous EsQUIsE very soft material carried by a man in uniform interior can only loved the</v>
      </c>
    </row>
    <row r="5109">
      <c r="A5109" s="1">
        <v>5.0</v>
      </c>
      <c r="B5109" s="1" t="s">
        <v>5048</v>
      </c>
      <c r="C5109" t="str">
        <f>IFERROR(__xludf.DUMMYFUNCTION("GOOGLETRANSLATE(B5109, ""fr"", ""en"")"),"Jewelry super pretty in a pretty box")</f>
        <v>Jewelry super pretty in a pretty box</v>
      </c>
    </row>
    <row r="5110">
      <c r="A5110" s="1">
        <v>5.0</v>
      </c>
      <c r="B5110" s="1" t="s">
        <v>5049</v>
      </c>
      <c r="C5110" t="str">
        <f>IFERROR(__xludf.DUMMYFUNCTION("GOOGLETRANSLATE(B5110, ""fr"", ""en"")"),"Condenser Microphone The microphone plugs into the PC and can record on a computer or other recorder. With this microphone singing speaking is recorded in a group discussion. The drum machine is connected via the sound card of the PC, so no worries at thi"&amp;"s, because the quality is very present. It is not obliged to spend hundreds of euros for a supposedly higher quality, while this one is super quality. So you will have a morality of its reference, which does not disappoint without being ruined. I highly r"&amp;"ecommend because the quality is present in 100%.")</f>
        <v>Condenser Microphone The microphone plugs into the PC and can record on a computer or other recorder. With this microphone singing speaking is recorded in a group discussion. The drum machine is connected via the sound card of the PC, so no worries at this, because the quality is very present. It is not obliged to spend hundreds of euros for a supposedly higher quality, while this one is super quality. So you will have a morality of its reference, which does not disappoint without being ruined. I highly recommend because the quality is present in 100%.</v>
      </c>
    </row>
    <row r="5111">
      <c r="A5111" s="1">
        <v>5.0</v>
      </c>
      <c r="B5111" s="1" t="s">
        <v>5050</v>
      </c>
      <c r="C5111" t="str">
        <f>IFERROR(__xludf.DUMMYFUNCTION("GOOGLETRANSLATE(B5111, ""fr"", ""en"")"),"Dress shoes - there's no better value. Very nice dress shoes bought for my son's education. Very good quality for a great price")</f>
        <v>Dress shoes - there's no better value. Very nice dress shoes bought for my son's education. Very good quality for a great price</v>
      </c>
    </row>
    <row r="5112">
      <c r="A5112" s="1">
        <v>5.0</v>
      </c>
      <c r="B5112" s="1" t="s">
        <v>5051</v>
      </c>
      <c r="C5112" t="str">
        <f>IFERROR(__xludf.DUMMYFUNCTION("GOOGLETRANSLATE(B5112, ""fr"", ""en"")"),"Very handy handy for baby! Not always easy to clean but love baby")</f>
        <v>Very handy handy for baby! Not always easy to clean but love baby</v>
      </c>
    </row>
    <row r="5113">
      <c r="A5113" s="1">
        <v>5.0</v>
      </c>
      <c r="B5113" s="1" t="s">
        <v>5052</v>
      </c>
      <c r="C5113" t="str">
        <f>IFERROR(__xludf.DUMMYFUNCTION("GOOGLETRANSLATE(B5113, ""fr"", ""en"")"),"Nothing to say great shoes Super shoes. Buy Now for my husband who is delighted. He always wears the size and located well.")</f>
        <v>Nothing to say great shoes Super shoes. Buy Now for my husband who is delighted. He always wears the size and located well.</v>
      </c>
    </row>
    <row r="5114">
      <c r="A5114" s="1">
        <v>5.0</v>
      </c>
      <c r="B5114" s="1" t="s">
        <v>5053</v>
      </c>
      <c r="C5114" t="str">
        <f>IFERROR(__xludf.DUMMYFUNCTION("GOOGLETRANSLATE(B5114, ""fr"", ""en"")"),"Good Very nice I have offered the person is happy")</f>
        <v>Good Very nice I have offered the person is happy</v>
      </c>
    </row>
    <row r="5115">
      <c r="A5115" s="1">
        <v>2.0</v>
      </c>
      <c r="B5115" s="1" t="s">
        <v>5054</v>
      </c>
      <c r="C5115" t="str">
        <f>IFERROR(__xludf.DUMMYFUNCTION("GOOGLETRANSLATE(B5115, ""fr"", ""en"")"),"Support bra bra for comfort no worries as to maintain the chest is to see if like me you have a heavy chest.")</f>
        <v>Support bra bra for comfort no worries as to maintain the chest is to see if like me you have a heavy chest.</v>
      </c>
    </row>
    <row r="5116">
      <c r="A5116" s="1">
        <v>1.0</v>
      </c>
      <c r="B5116" s="1" t="s">
        <v>5055</v>
      </c>
      <c r="C5116" t="str">
        <f>IFERROR(__xludf.DUMMYFUNCTION("GOOGLETRANSLATE(B5116, ""fr"", ""en"")"),"Defective product which ink does not come out. Tired of HP which provides the ability to print than 3 pages. After aligning and cleaning More Dear ink scribble No?")</f>
        <v>Defective product which ink does not come out. Tired of HP which provides the ability to print than 3 pages. After aligning and cleaning More Dear ink scribble No?</v>
      </c>
    </row>
    <row r="5117">
      <c r="A5117" s="1">
        <v>1.0</v>
      </c>
      <c r="B5117" s="1" t="s">
        <v>5056</v>
      </c>
      <c r="C5117" t="str">
        <f>IFERROR(__xludf.DUMMYFUNCTION("GOOGLETRANSLATE(B5117, ""fr"", ""en"")"),"size really very poetit because after everything changed for an excuse not to rectify are bad times there are mainly bad times made attentions before ordering because it really very small size make the size larger because after to exchange it the cross an"&amp;"d banners to change it are null")</f>
        <v>size really very poetit because after everything changed for an excuse not to rectify are bad times there are mainly bad times made attentions before ordering because it really very small size make the size larger because after to exchange it the cross and banners to change it are null</v>
      </c>
    </row>
    <row r="5118">
      <c r="A5118" s="1">
        <v>3.0</v>
      </c>
      <c r="B5118" s="1" t="s">
        <v>5057</v>
      </c>
      <c r="C5118" t="str">
        <f>IFERROR(__xludf.DUMMYFUNCTION("GOOGLETRANSLATE(B5118, ""fr"", ""en"")"),"Nike pullover sweater is like the picture, but really small size is an L realiter a million is mainly the sleeves the size is smaller")</f>
        <v>Nike pullover sweater is like the picture, but really small size is an L realiter a million is mainly the sleeves the size is smaller</v>
      </c>
    </row>
    <row r="5119">
      <c r="A5119" s="1">
        <v>3.0</v>
      </c>
      <c r="B5119" s="1" t="s">
        <v>5058</v>
      </c>
      <c r="C5119" t="str">
        <f>IFERROR(__xludf.DUMMYFUNCTION("GOOGLETRANSLATE(B5119, ""fr"", ""en"")"),"Although My 7 year old daughter loves")</f>
        <v>Although My 7 year old daughter loves</v>
      </c>
    </row>
    <row r="5120">
      <c r="A5120" s="1">
        <v>4.0</v>
      </c>
      <c r="B5120" s="1" t="s">
        <v>5059</v>
      </c>
      <c r="C5120" t="str">
        <f>IFERROR(__xludf.DUMMYFUNCTION("GOOGLETRANSLATE(B5120, ""fr"", ""en"")"),"Serious and fast for Christmas decoration. Works very well. I 've even recommended.")</f>
        <v>Serious and fast for Christmas decoration. Works very well. I 've even recommended.</v>
      </c>
    </row>
    <row r="5121">
      <c r="A5121" s="1">
        <v>4.0</v>
      </c>
      <c r="B5121" s="1" t="s">
        <v>5060</v>
      </c>
      <c r="C5121" t="str">
        <f>IFERROR(__xludf.DUMMYFUNCTION("GOOGLETRANSLATE(B5121, ""fr"", ""en"")"),"great alarm at the top not ideal disappointed")</f>
        <v>great alarm at the top not ideal disappointed</v>
      </c>
    </row>
    <row r="5122">
      <c r="A5122" s="1">
        <v>4.0</v>
      </c>
      <c r="B5122" s="1" t="s">
        <v>5061</v>
      </c>
      <c r="C5122" t="str">
        <f>IFERROR(__xludf.DUMMYFUNCTION("GOOGLETRANSLATE(B5122, ""fr"", ""en"")"),"Almost perfect This sweatshirt is warm and soft, I'm a size 38 I took the M is perfect, the only complaint I can make is that it is too long (well, at least for a small 1,60m) it's not very pretty but it does the job, given the value for money I am happy "&amp;"with this purchase.")</f>
        <v>Almost perfect This sweatshirt is warm and soft, I'm a size 38 I took the M is perfect, the only complaint I can make is that it is too long (well, at least for a small 1,60m) it's not very pretty but it does the job, given the value for money I am happy with this purchase.</v>
      </c>
    </row>
    <row r="5123">
      <c r="A5123" s="1">
        <v>4.0</v>
      </c>
      <c r="B5123" s="1" t="s">
        <v>5062</v>
      </c>
      <c r="C5123" t="str">
        <f>IFERROR(__xludf.DUMMYFUNCTION("GOOGLETRANSLATE(B5123, ""fr"", ""en"")"),"Good micro microphone that remains correct, if you are in a quiet room, outdoor wind or background noise becomes parasite. grip will soon broken, the plastic is thin and the slightest shock the break.")</f>
        <v>Good micro microphone that remains correct, if you are in a quiet room, outdoor wind or background noise becomes parasite. grip will soon broken, the plastic is thin and the slightest shock the break.</v>
      </c>
    </row>
    <row r="5124">
      <c r="A5124" s="1">
        <v>5.0</v>
      </c>
      <c r="B5124" s="1" t="s">
        <v>5063</v>
      </c>
      <c r="C5124" t="str">
        <f>IFERROR(__xludf.DUMMYFUNCTION("GOOGLETRANSLATE(B5124, ""fr"", ""en"")"),"Perfect Excellent value for money, fast shipping.")</f>
        <v>Perfect Excellent value for money, fast shipping.</v>
      </c>
    </row>
    <row r="5125">
      <c r="A5125" s="1">
        <v>5.0</v>
      </c>
      <c r="B5125" s="1" t="s">
        <v>5064</v>
      </c>
      <c r="C5125" t="str">
        <f>IFERROR(__xludf.DUMMYFUNCTION("GOOGLETRANSLATE(B5125, ""fr"", ""en"")"),"Article well cared packs Perfect several attachments with 3 different sizes. ......... nice article in a pretty box Fast Shipping No, payment problem .... have fun cheaply")</f>
        <v>Article well cared packs Perfect several attachments with 3 different sizes. ......... nice article in a pretty box Fast Shipping No, payment problem .... have fun cheaply</v>
      </c>
    </row>
    <row r="5126">
      <c r="A5126" s="1">
        <v>5.0</v>
      </c>
      <c r="B5126" s="1" t="s">
        <v>5065</v>
      </c>
      <c r="C5126" t="str">
        <f>IFERROR(__xludf.DUMMYFUNCTION("GOOGLETRANSLATE(B5126, ""fr"", ""en"")"),"beautiful tiara that metal tiara pretty is fine and really bright. I have it bought for my niece 10 years and the adore.Elle plays with her sisters to disguise and it holds very well over the head with small combs. I am very happy for this purchase.")</f>
        <v>beautiful tiara that metal tiara pretty is fine and really bright. I have it bought for my niece 10 years and the adore.Elle plays with her sisters to disguise and it holds very well over the head with small combs. I am very happy for this purchase.</v>
      </c>
    </row>
    <row r="5127">
      <c r="A5127" s="1">
        <v>5.0</v>
      </c>
      <c r="B5127" s="1" t="s">
        <v>5066</v>
      </c>
      <c r="C5127" t="str">
        <f>IFERROR(__xludf.DUMMYFUNCTION("GOOGLETRANSLATE(B5127, ""fr"", ""en"")"),"Quite good product consistent with the description. These tablet good washing dishes. I pay them here cheaper than in my usual supermarket.")</f>
        <v>Quite good product consistent with the description. These tablet good washing dishes. I pay them here cheaper than in my usual supermarket.</v>
      </c>
    </row>
    <row r="5128">
      <c r="A5128" s="1">
        <v>5.0</v>
      </c>
      <c r="B5128" s="1" t="s">
        <v>5067</v>
      </c>
      <c r="C5128" t="str">
        <f>IFERROR(__xludf.DUMMYFUNCTION("GOOGLETRANSLATE(B5128, ""fr"", ""en"")"),"Quick to install Super practical n is not much better than patient fasteners with adhesives corners")</f>
        <v>Quick to install Super practical n is not much better than patient fasteners with adhesives corners</v>
      </c>
    </row>
    <row r="5129">
      <c r="A5129" s="1">
        <v>5.0</v>
      </c>
      <c r="B5129" s="1" t="s">
        <v>5068</v>
      </c>
      <c r="C5129" t="str">
        <f>IFERROR(__xludf.DUMMYFUNCTION("GOOGLETRANSLATE(B5129, ""fr"", ""en"")"),"tiger balm consistent product.")</f>
        <v>tiger balm consistent product.</v>
      </c>
    </row>
    <row r="5130">
      <c r="A5130" s="1">
        <v>5.0</v>
      </c>
      <c r="B5130" s="1" t="s">
        <v>5069</v>
      </c>
      <c r="C5130" t="str">
        <f>IFERROR(__xludf.DUMMYFUNCTION("GOOGLETRANSLATE(B5130, ""fr"", ""en"")"),"Delighted !! Compliant product. I am very happy for the price. I had a million I measure 1m70 and put a 42 normal size and perfectly!")</f>
        <v>Delighted !! Compliant product. I am very happy for the price. I had a million I measure 1m70 and put a 42 normal size and perfectly!</v>
      </c>
    </row>
    <row r="5131">
      <c r="A5131" s="1">
        <v>5.0</v>
      </c>
      <c r="B5131" s="1" t="s">
        <v>5070</v>
      </c>
      <c r="C5131" t="str">
        <f>IFERROR(__xludf.DUMMYFUNCTION("GOOGLETRANSLATE(B5131, ""fr"", ""en"")"),"Something of Something oufffffff sick. Wow Bose pushes the NR more.")</f>
        <v>Something of Something oufffffff sick. Wow Bose pushes the NR more.</v>
      </c>
    </row>
    <row r="5132">
      <c r="A5132" s="1">
        <v>5.0</v>
      </c>
      <c r="B5132" s="1" t="s">
        <v>5071</v>
      </c>
      <c r="C5132" t="str">
        <f>IFERROR(__xludf.DUMMYFUNCTION("GOOGLETRANSLATE(B5132, ""fr"", ""en"")"),"I recommend 100% !!! Great, I've since 1 year and I used 4 hours per week they are still top. I wear 39-40 and took a size L .... a little big (little to be expanded over time). I recommend 100% !!!")</f>
        <v>I recommend 100% !!! Great, I've since 1 year and I used 4 hours per week they are still top. I wear 39-40 and took a size L .... a little big (little to be expanded over time). I recommend 100% !!!</v>
      </c>
    </row>
    <row r="5133">
      <c r="A5133" s="1">
        <v>5.0</v>
      </c>
      <c r="B5133" s="1" t="s">
        <v>5072</v>
      </c>
      <c r="C5133" t="str">
        <f>IFERROR(__xludf.DUMMYFUNCTION("GOOGLETRANSLATE(B5133, ""fr"", ""en"")"),"nothing to say this is the second pair that I order for my son, and still nothing was said, the sole holds up, it did not take off, top born holes have more great product")</f>
        <v>nothing to say this is the second pair that I order for my son, and still nothing was said, the sole holds up, it did not take off, top born holes have more great product</v>
      </c>
    </row>
    <row r="5134">
      <c r="A5134" s="1">
        <v>5.0</v>
      </c>
      <c r="B5134" s="1" t="s">
        <v>5073</v>
      </c>
      <c r="C5134" t="str">
        <f>IFERROR(__xludf.DUMMYFUNCTION("GOOGLETRANSLATE(B5134, ""fr"", ""en"")"),"Very very good quality / price ratio. The cartridges work well with the printer Epson XP-305. This one recognizes the cartridge as not being brand epson but allows the use. It has been several times that I control and I never had any problems.")</f>
        <v>Very very good quality / price ratio. The cartridges work well with the printer Epson XP-305. This one recognizes the cartridge as not being brand epson but allows the use. It has been several times that I control and I never had any problems.</v>
      </c>
    </row>
    <row r="5135">
      <c r="A5135" s="1">
        <v>5.0</v>
      </c>
      <c r="B5135" s="1" t="s">
        <v>5074</v>
      </c>
      <c r="C5135" t="str">
        <f>IFERROR(__xludf.DUMMYFUNCTION("GOOGLETRANSLATE(B5135, ""fr"", ""en"")"),"Good product, I recommend. Product in accordance with the description, good quality, I have nothing to say I am very satisfied and I recommend it.")</f>
        <v>Good product, I recommend. Product in accordance with the description, good quality, I have nothing to say I am very satisfied and I recommend it.</v>
      </c>
    </row>
    <row r="5136">
      <c r="A5136" s="1">
        <v>5.0</v>
      </c>
      <c r="B5136" s="1" t="s">
        <v>5075</v>
      </c>
      <c r="C5136" t="str">
        <f>IFERROR(__xludf.DUMMYFUNCTION("GOOGLETRANSLATE(B5136, ""fr"", ""en"")"),"great article I am delighted great article I am delighted")</f>
        <v>great article I am delighted great article I am delighted</v>
      </c>
    </row>
    <row r="5137">
      <c r="A5137" s="1">
        <v>5.0</v>
      </c>
      <c r="B5137" s="1" t="s">
        <v>5076</v>
      </c>
      <c r="C5137" t="str">
        <f>IFERROR(__xludf.DUMMYFUNCTION("GOOGLETRANSLATE(B5137, ""fr"", ""en"")"),"Very nice recommends these small baskets, packed well, not really great and very comfortable! I recommend them!")</f>
        <v>Very nice recommends these small baskets, packed well, not really great and very comfortable! I recommend them!</v>
      </c>
    </row>
    <row r="5138">
      <c r="A5138" s="1">
        <v>5.0</v>
      </c>
      <c r="B5138" s="1" t="s">
        <v>5077</v>
      </c>
      <c r="C5138" t="str">
        <f>IFERROR(__xludf.DUMMYFUNCTION("GOOGLETRANSLATE(B5138, ""fr"", ""en"")"),"That's pretty gray initially I wanted one with the visor in the back like the characters in the series on the suburbs. But I have found that one, who despite his visor to the front is not so bad.")</f>
        <v>That's pretty gray initially I wanted one with the visor in the back like the characters in the series on the suburbs. But I have found that one, who despite his visor to the front is not so bad.</v>
      </c>
    </row>
    <row r="5139">
      <c r="A5139" s="1">
        <v>2.0</v>
      </c>
      <c r="B5139" s="1" t="s">
        <v>5078</v>
      </c>
      <c r="C5139" t="str">
        <f>IFERROR(__xludf.DUMMYFUNCTION("GOOGLETRANSLATE(B5139, ""fr"", ""en"")"),"1 Set of 2 missing? I have received only! Apart from that I like but I paid for 2 jackets.")</f>
        <v>1 Set of 2 missing? I have received only! Apart from that I like but I paid for 2 jackets.</v>
      </c>
    </row>
    <row r="5140">
      <c r="A5140" s="1">
        <v>1.0</v>
      </c>
      <c r="B5140" s="1" t="s">
        <v>5079</v>
      </c>
      <c r="C5140" t="str">
        <f>IFERROR(__xludf.DUMMYFUNCTION("GOOGLETRANSLATE(B5140, ""fr"", ""en"")"),"Expensive for mediocrity .. Essential oils of poor quality .. Having already certified organic oils I saw the difference no comparison ... expensive for mediocrity")</f>
        <v>Expensive for mediocrity .. Essential oils of poor quality .. Having already certified organic oils I saw the difference no comparison ... expensive for mediocrity</v>
      </c>
    </row>
    <row r="5141">
      <c r="A5141" s="1">
        <v>1.0</v>
      </c>
      <c r="B5141" s="1" t="s">
        <v>5080</v>
      </c>
      <c r="C5141" t="str">
        <f>IFERROR(__xludf.DUMMYFUNCTION("GOOGLETRANSLATE(B5141, ""fr"", ""en"")"),"Does not work! .. Beautiful presentation, consistent with the description, everything is there except the main = it does not work! .. or my mixing deck or on my two PC or on my HIFI bad ripped that way with copy Vintage microphone that are not even tested"&amp;" before shipping Junk again ..")</f>
        <v>Does not work! .. Beautiful presentation, consistent with the description, everything is there except the main = it does not work! .. or my mixing deck or on my two PC or on my HIFI bad ripped that way with copy Vintage microphone that are not even tested before shipping Junk again ..</v>
      </c>
    </row>
    <row r="5142">
      <c r="A5142" s="1">
        <v>3.0</v>
      </c>
      <c r="B5142" s="1" t="s">
        <v>5081</v>
      </c>
      <c r="C5142" t="str">
        <f>IFERROR(__xludf.DUMMYFUNCTION("GOOGLETRANSLATE(B5142, ""fr"", ""en"")"),"The size is larger Subject identical size but not just")</f>
        <v>The size is larger Subject identical size but not just</v>
      </c>
    </row>
    <row r="5143">
      <c r="A5143" s="1">
        <v>4.0</v>
      </c>
      <c r="B5143" s="1" t="s">
        <v>1261</v>
      </c>
      <c r="C5143" t="str">
        <f>IFERROR(__xludf.DUMMYFUNCTION("GOOGLETRANSLATE(B5143, ""fr"", ""en"")"),"good good")</f>
        <v>good good</v>
      </c>
    </row>
    <row r="5144">
      <c r="A5144" s="1">
        <v>4.0</v>
      </c>
      <c r="B5144" s="1" t="s">
        <v>5082</v>
      </c>
      <c r="C5144" t="str">
        <f>IFERROR(__xludf.DUMMYFUNCTION("GOOGLETRANSLATE(B5144, ""fr"", ""en"")"),"The picture does not lie! Great article! I thought it would be slightly different once received (it really seemed perfect in the photo) then what a surprise by opening the package to see the accuracy of the photo! Do not forget to lubricate (normal is the"&amp;" leather) and all will be well!")</f>
        <v>The picture does not lie! Great article! I thought it would be slightly different once received (it really seemed perfect in the photo) then what a surprise by opening the package to see the accuracy of the photo! Do not forget to lubricate (normal is the leather) and all will be well!</v>
      </c>
    </row>
    <row r="5145">
      <c r="A5145" s="1">
        <v>4.0</v>
      </c>
      <c r="B5145" s="1" t="s">
        <v>5083</v>
      </c>
      <c r="C5145" t="str">
        <f>IFERROR(__xludf.DUMMYFUNCTION("GOOGLETRANSLATE(B5145, ""fr"", ""en"")"),"good product very comfortable .... beautiful, wearable and super adjustable ... should not have the Hulk wrists against ... otherwise I advise")</f>
        <v>good product very comfortable .... beautiful, wearable and super adjustable ... should not have the Hulk wrists against ... otherwise I advise</v>
      </c>
    </row>
    <row r="5146">
      <c r="A5146" s="1">
        <v>4.0</v>
      </c>
      <c r="B5146" s="1" t="s">
        <v>5084</v>
      </c>
      <c r="C5146" t="str">
        <f>IFERROR(__xludf.DUMMYFUNCTION("GOOGLETRANSLATE(B5146, ""fr"", ""en"")"),"They are classic timeless, classic and refined it gives me the little style casual / relaxed that I was looking for. good quality for money")</f>
        <v>They are classic timeless, classic and refined it gives me the little style casual / relaxed that I was looking for. good quality for money</v>
      </c>
    </row>
    <row r="5147">
      <c r="A5147" s="1">
        <v>5.0</v>
      </c>
      <c r="B5147" s="1" t="s">
        <v>5085</v>
      </c>
      <c r="C5147" t="str">
        <f>IFERROR(__xludf.DUMMYFUNCTION("GOOGLETRANSLATE(B5147, ""fr"", ""en"")"),"Nickel for our camera to our melted cord We lost our Tefal fondue. This works perfectly")</f>
        <v>Nickel for our camera to our melted cord We lost our Tefal fondue. This works perfectly</v>
      </c>
    </row>
    <row r="5148">
      <c r="A5148" s="1">
        <v>5.0</v>
      </c>
      <c r="B5148" s="1" t="s">
        <v>5086</v>
      </c>
      <c r="C5148" t="str">
        <f>IFERROR(__xludf.DUMMYFUNCTION("GOOGLETRANSLATE(B5148, ""fr"", ""en"")"),"Reduces noise but do not completely block reduces much external noise, not 100% though ... not as much as other models of the same brand :(")</f>
        <v>Reduces noise but do not completely block reduces much external noise, not 100% though ... not as much as other models of the same brand :(</v>
      </c>
    </row>
    <row r="5149">
      <c r="A5149" s="1">
        <v>5.0</v>
      </c>
      <c r="B5149" s="1" t="s">
        <v>5087</v>
      </c>
      <c r="C5149" t="str">
        <f>IFERROR(__xludf.DUMMYFUNCTION("GOOGLETRANSLATE(B5149, ""fr"", ""en"")"),"Very good printer My old printer dropped me after only 3 years of moderate use. I decided to switch brands and happened at Brother. I do not regret it !! The printer is a bit imposing by its size but the quality is at the appointment. Configuration and co"&amp;"mmissioning are easy. The functions are multiple, well tailored. The build quality is evident. The print quality is very good. The scanner is fast and easy to use. When scans were several choices for the file format and destination. There is a connection "&amp;"that is established automatically with my PC and I scan is found in a directory of the PC to the format I chose. It can scan a document to multiple sheets very quickly thanks to the charger. I have had no problems with the touch screen that works fine on "&amp;"my machine. All functions of this printer are well studied. There is a manual supplied with the printer, but the use of functions is so well designed and easy that I did not need to read it. The configuration for a network connection is made easily and th"&amp;"e first try. The large capacity paper feeder is interesting. The machine goes into hibernation after the time that I chose and if I launch a print from my PC printer starts walking alone and is operational very quickly. This is a very good machine, I hope"&amp;" the quality will be at the rendezvous. The supplier looks serious; it was quickly delivered in good packaging and precise instructions. I received an invoice without my request. (She's 2 year warranty).")</f>
        <v>Very good printer My old printer dropped me after only 3 years of moderate use. I decided to switch brands and happened at Brother. I do not regret it !! The printer is a bit imposing by its size but the quality is at the appointment. Configuration and commissioning are easy. The functions are multiple, well tailored. The build quality is evident. The print quality is very good. The scanner is fast and easy to use. When scans were several choices for the file format and destination. There is a connection that is established automatically with my PC and I scan is found in a directory of the PC to the format I chose. It can scan a document to multiple sheets very quickly thanks to the charger. I have had no problems with the touch screen that works fine on my machine. All functions of this printer are well studied. There is a manual supplied with the printer, but the use of functions is so well designed and easy that I did not need to read it. The configuration for a network connection is made easily and the first try. The large capacity paper feeder is interesting. The machine goes into hibernation after the time that I chose and if I launch a print from my PC printer starts walking alone and is operational very quickly. This is a very good machine, I hope the quality will be at the rendezvous. The supplier looks serious; it was quickly delivered in good packaging and precise instructions. I received an invoice without my request. (She's 2 year warranty).</v>
      </c>
    </row>
    <row r="5150">
      <c r="A5150" s="1">
        <v>5.0</v>
      </c>
      <c r="B5150" s="1" t="s">
        <v>5088</v>
      </c>
      <c r="C5150" t="str">
        <f>IFERROR(__xludf.DUMMYFUNCTION("GOOGLETRANSLATE(B5150, ""fr"", ""en"")"),"Very handy with tip sponge to clean to clean some containers and for the sink")</f>
        <v>Very handy with tip sponge to clean to clean some containers and for the sink</v>
      </c>
    </row>
    <row r="5151">
      <c r="A5151" s="1">
        <v>5.0</v>
      </c>
      <c r="B5151" s="1" t="s">
        <v>5089</v>
      </c>
      <c r="C5151" t="str">
        <f>IFERROR(__xludf.DUMMYFUNCTION("GOOGLETRANSLATE(B5151, ""fr"", ""en"")"),"Cartridge gun Cartridge xl black is the same as that found in stores but much cheaper. I, who prints a lot is very advantageous financially. In addition it is much more cost effective than the gun will not when you compare the price and the number of prin"&amp;"ted sheets.")</f>
        <v>Cartridge gun Cartridge xl black is the same as that found in stores but much cheaper. I, who prints a lot is very advantageous financially. In addition it is much more cost effective than the gun will not when you compare the price and the number of printed sheets.</v>
      </c>
    </row>
    <row r="5152">
      <c r="A5152" s="1">
        <v>5.0</v>
      </c>
      <c r="B5152" s="1" t="s">
        <v>5090</v>
      </c>
      <c r="C5152" t="str">
        <f>IFERROR(__xludf.DUMMYFUNCTION("GOOGLETRANSLATE(B5152, ""fr"", ""en"")"),"Good product and product conformity missed deadline")</f>
        <v>Good product and product conformity missed deadline</v>
      </c>
    </row>
    <row r="5153">
      <c r="A5153" s="1">
        <v>5.0</v>
      </c>
      <c r="B5153" s="1" t="s">
        <v>5091</v>
      </c>
      <c r="C5153" t="str">
        <f>IFERROR(__xludf.DUMMYFUNCTION("GOOGLETRANSLATE(B5153, ""fr"", ""en"")"),"Bluetooth Headsets that are forgotten earphones come with a house transport, USB cable (no charger), 6 bits replacement rubbers, a box of storage / recharge 3000 mA and instructions. 2 headphones are paired, but it is possible to connect each ear on a dif"&amp;"ferent smartphone. They simply put them in the box for pairing again. They are very light, fit well in the ear. Reducing background noise is quite effective. It will take several minutes to familiarize yourself with the controls: a quick press of the left"&amp;" earpiece to set play / pause, long press left to lower the sound, press and right to increase the volume etc ... You can also get on a call by quickly pressing each ear simultaneously. But that's up to you :)")</f>
        <v>Bluetooth Headsets that are forgotten earphones come with a house transport, USB cable (no charger), 6 bits replacement rubbers, a box of storage / recharge 3000 mA and instructions. 2 headphones are paired, but it is possible to connect each ear on a different smartphone. They simply put them in the box for pairing again. They are very light, fit well in the ear. Reducing background noise is quite effective. It will take several minutes to familiarize yourself with the controls: a quick press of the left earpiece to set play / pause, long press left to lower the sound, press and right to increase the volume etc ... You can also get on a call by quickly pressing each ear simultaneously. But that's up to you :)</v>
      </c>
    </row>
    <row r="5154">
      <c r="A5154" s="1">
        <v>5.0</v>
      </c>
      <c r="B5154" s="1" t="s">
        <v>5092</v>
      </c>
      <c r="C5154" t="str">
        <f>IFERROR(__xludf.DUMMYFUNCTION("GOOGLETRANSLATE(B5154, ""fr"", ""en"")"),"Super Okay thank you")</f>
        <v>Super Okay thank you</v>
      </c>
    </row>
    <row r="5155">
      <c r="A5155" s="1">
        <v>5.0</v>
      </c>
      <c r="B5155" s="1" t="s">
        <v>5093</v>
      </c>
      <c r="C5155" t="str">
        <f>IFERROR(__xludf.DUMMYFUNCTION("GOOGLETRANSLATE(B5155, ""fr"", ""en"")"),"Perfect This is a wireless microphone that can be chargé.Il can set the sound, echo, bass and lots of other small chose.Les light are the rhythm of the song up and the sound is very net!")</f>
        <v>Perfect This is a wireless microphone that can be chargé.Il can set the sound, echo, bass and lots of other small chose.Les light are the rhythm of the song up and the sound is very net!</v>
      </c>
    </row>
    <row r="5156">
      <c r="A5156" s="1">
        <v>5.0</v>
      </c>
      <c r="B5156" s="1" t="s">
        <v>5094</v>
      </c>
      <c r="C5156" t="str">
        <f>IFERROR(__xludf.DUMMYFUNCTION("GOOGLETRANSLATE(B5156, ""fr"", ""en"")"),"Micro Pro Excellent micro very good. It really breaks out with material like this. Perfect. very helpful and great buy")</f>
        <v>Micro Pro Excellent micro very good. It really breaks out with material like this. Perfect. very helpful and great buy</v>
      </c>
    </row>
    <row r="5157">
      <c r="A5157" s="1">
        <v>5.0</v>
      </c>
      <c r="B5157" s="1" t="s">
        <v>5095</v>
      </c>
      <c r="C5157" t="str">
        <f>IFERROR(__xludf.DUMMYFUNCTION("GOOGLETRANSLATE(B5157, ""fr"", ""en"")"),"Spike lavender Organic essential oils. I used to relieve insect bites including mosquitoes. It has healing and calming. Very good value for money")</f>
        <v>Spike lavender Organic essential oils. I used to relieve insect bites including mosquitoes. It has healing and calming. Very good value for money</v>
      </c>
    </row>
    <row r="5158">
      <c r="A5158" s="1">
        <v>5.0</v>
      </c>
      <c r="B5158" s="1" t="s">
        <v>5096</v>
      </c>
      <c r="C5158" t="str">
        <f>IFERROR(__xludf.DUMMYFUNCTION("GOOGLETRANSLATE(B5158, ""fr"", ""en"")"),"Masseur Massager very well that mass well Arms neck and thighs.")</f>
        <v>Masseur Massager very well that mass well Arms neck and thighs.</v>
      </c>
    </row>
    <row r="5159">
      <c r="A5159" s="1">
        <v>5.0</v>
      </c>
      <c r="B5159" s="1" t="s">
        <v>5097</v>
      </c>
      <c r="C5159" t="str">
        <f>IFERROR(__xludf.DUMMYFUNCTION("GOOGLETRANSLATE(B5159, ""fr"", ""en"")"),"take a size above the usual. Wash cold wash: super great product, comfortable and léger§re, wash in cold problem without machine. I recommend this product")</f>
        <v>take a size above the usual. Wash cold wash: super great product, comfortable and léger§re, wash in cold problem without machine. I recommend this product</v>
      </c>
    </row>
    <row r="5160">
      <c r="A5160" s="1">
        <v>5.0</v>
      </c>
      <c r="B5160" s="1" t="s">
        <v>5098</v>
      </c>
      <c r="C5160" t="str">
        <f>IFERROR(__xludf.DUMMYFUNCTION("GOOGLETRANSLATE(B5160, ""fr"", ""en"")"),"Not perfect disappointed with my purchase, comfortable, nice to worn, good size, I love this tunic 2")</f>
        <v>Not perfect disappointed with my purchase, comfortable, nice to worn, good size, I love this tunic 2</v>
      </c>
    </row>
    <row r="5161">
      <c r="A5161" s="1">
        <v>5.0</v>
      </c>
      <c r="B5161" s="1" t="s">
        <v>5099</v>
      </c>
      <c r="C5161" t="str">
        <f>IFERROR(__xludf.DUMMYFUNCTION("GOOGLETRANSLATE(B5161, ""fr"", ""en"")"),"Perfect I offered the tea to my companion that since used every day. It is solid, correct and powerful finish. The water heats quickly and as soon as it has temperature, the blue light goes off. The temperature is adjustable in increments of 5 °")</f>
        <v>Perfect I offered the tea to my companion that since used every day. It is solid, correct and powerful finish. The water heats quickly and as soon as it has temperature, the blue light goes off. The temperature is adjustable in increments of 5 °</v>
      </c>
    </row>
    <row r="5162">
      <c r="A5162" s="1">
        <v>2.0</v>
      </c>
      <c r="B5162" s="1" t="s">
        <v>5100</v>
      </c>
      <c r="C5162" t="str">
        <f>IFERROR(__xludf.DUMMYFUNCTION("GOOGLETRANSLATE(B5162, ""fr"", ""en"")"),"Too little too small while the picture we see a mature size, rather it is for a child. Disappointed !!!")</f>
        <v>Too little too small while the picture we see a mature size, rather it is for a child. Disappointed !!!</v>
      </c>
    </row>
    <row r="5163">
      <c r="A5163" s="1">
        <v>1.0</v>
      </c>
      <c r="B5163" s="1" t="s">
        <v>5101</v>
      </c>
      <c r="C5163" t="str">
        <f>IFERROR(__xludf.DUMMYFUNCTION("GOOGLETRANSLATE(B5163, ""fr"", ""en"")"),"Poor laces have dropped from first use ... On both shoes!")</f>
        <v>Poor laces have dropped from first use ... On both shoes!</v>
      </c>
    </row>
    <row r="5164">
      <c r="A5164" s="1">
        <v>3.0</v>
      </c>
      <c r="B5164" s="1" t="s">
        <v>5102</v>
      </c>
      <c r="C5164" t="str">
        <f>IFERROR(__xludf.DUMMYFUNCTION("GOOGLETRANSLATE(B5164, ""fr"", ""en"")"),"Ras quality in line with the price")</f>
        <v>Ras quality in line with the price</v>
      </c>
    </row>
    <row r="5165">
      <c r="A5165" s="1">
        <v>3.0</v>
      </c>
      <c r="B5165" s="1" t="s">
        <v>5103</v>
      </c>
      <c r="C5165" t="str">
        <f>IFERROR(__xludf.DUMMYFUNCTION("GOOGLETRANSLATE(B5165, ""fr"", ""en"")"),"The whales are hurtful bra is well cut but to run, hurt the whale, I had to remove them.")</f>
        <v>The whales are hurtful bra is well cut but to run, hurt the whale, I had to remove them.</v>
      </c>
    </row>
    <row r="5166">
      <c r="A5166" s="1">
        <v>4.0</v>
      </c>
      <c r="B5166" s="1" t="s">
        <v>5104</v>
      </c>
      <c r="C5166" t="str">
        <f>IFERROR(__xludf.DUMMYFUNCTION("GOOGLETRANSLATE(B5166, ""fr"", ""en"")"),"Perfect Quite adapted to the dustbin of the same brand. There are beefy, well fit in the trash and closed with a drawstring.")</f>
        <v>Perfect Quite adapted to the dustbin of the same brand. There are beefy, well fit in the trash and closed with a drawstring.</v>
      </c>
    </row>
    <row r="5167">
      <c r="A5167" s="1">
        <v>4.0</v>
      </c>
      <c r="B5167" s="1" t="s">
        <v>5105</v>
      </c>
      <c r="C5167" t="str">
        <f>IFERROR(__xludf.DUMMYFUNCTION("GOOGLETRANSLATE(B5167, ""fr"", ""en"")"),"I recommend Basketball light and lovely")</f>
        <v>I recommend Basketball light and lovely</v>
      </c>
    </row>
    <row r="5168">
      <c r="A5168" s="1">
        <v>4.0</v>
      </c>
      <c r="B5168" s="1" t="s">
        <v>5106</v>
      </c>
      <c r="C5168" t="str">
        <f>IFERROR(__xludf.DUMMYFUNCTION("GOOGLETRANSLATE(B5168, ""fr"", ""en"")"),"Very good product good quality product in terms of price, very good sound especially in Dolby Atmos.")</f>
        <v>Very good product good quality product in terms of price, very good sound especially in Dolby Atmos.</v>
      </c>
    </row>
    <row r="5169">
      <c r="A5169" s="1">
        <v>4.0</v>
      </c>
      <c r="B5169" s="1" t="s">
        <v>5107</v>
      </c>
      <c r="C5169" t="str">
        <f>IFERROR(__xludf.DUMMYFUNCTION("GOOGLETRANSLATE(B5169, ""fr"", ""en"")"),"Very happy, but ... Product is satisfactory and resistant. By cons I bought it 2 months ago lot 2 rolls 50l was € 5.70 free shipping. I would recommend 1 lot, I had to give up because the price is 32 € + pass about 3 € port !! It's anything !! I hope that"&amp;" the price will return to normal.")</f>
        <v>Very happy, but ... Product is satisfactory and resistant. By cons I bought it 2 months ago lot 2 rolls 50l was € 5.70 free shipping. I would recommend 1 lot, I had to give up because the price is 32 € + pass about 3 € port !! It's anything !! I hope that the price will return to normal.</v>
      </c>
    </row>
    <row r="5170">
      <c r="A5170" s="1">
        <v>4.0</v>
      </c>
      <c r="B5170" s="1" t="s">
        <v>5108</v>
      </c>
      <c r="C5170" t="str">
        <f>IFERROR(__xludf.DUMMYFUNCTION("GOOGLETRANSLATE(B5170, ""fr"", ""en"")"),"Shoe a little small but Shoe Pretty small, the 40 most corresponds to a 39 to 39.5")</f>
        <v>Shoe a little small but Shoe Pretty small, the 40 most corresponds to a 39 to 39.5</v>
      </c>
    </row>
    <row r="5171">
      <c r="A5171" s="1">
        <v>5.0</v>
      </c>
      <c r="B5171" s="1" t="s">
        <v>5109</v>
      </c>
      <c r="C5171" t="str">
        <f>IFERROR(__xludf.DUMMYFUNCTION("GOOGLETRANSLATE(B5171, ""fr"", ""en"")"),"Top Excellent basketball secu")</f>
        <v>Top Excellent basketball secu</v>
      </c>
    </row>
    <row r="5172">
      <c r="A5172" s="1">
        <v>5.0</v>
      </c>
      <c r="B5172" s="1" t="s">
        <v>5110</v>
      </c>
      <c r="C5172" t="str">
        <f>IFERROR(__xludf.DUMMYFUNCTION("GOOGLETRANSLATE(B5172, ""fr"", ""en"")"),"Bel practical object Beautiful kettle with a spout handy. We are very pleased with this purchase.")</f>
        <v>Bel practical object Beautiful kettle with a spout handy. We are very pleased with this purchase.</v>
      </c>
    </row>
    <row r="5173">
      <c r="A5173" s="1">
        <v>5.0</v>
      </c>
      <c r="B5173" s="1" t="s">
        <v>5111</v>
      </c>
      <c r="C5173" t="str">
        <f>IFERROR(__xludf.DUMMYFUNCTION("GOOGLETRANSLATE(B5173, ""fr"", ""en"")"),"Excellent sound Lightweight, works perfectly. Very satisfied.")</f>
        <v>Excellent sound Lightweight, works perfectly. Very satisfied.</v>
      </c>
    </row>
    <row r="5174">
      <c r="A5174" s="1">
        <v>5.0</v>
      </c>
      <c r="B5174" s="1" t="s">
        <v>5112</v>
      </c>
      <c r="C5174" t="str">
        <f>IFERROR(__xludf.DUMMYFUNCTION("GOOGLETRANSLATE(B5174, ""fr"", ""en"")"),"Watch high quality Beautiful shows very masculine, its accuracy is amazing no second ahead or be delayed which is rare in an automatic watch ... except the great brand. I recommend this watch has toue men who want a reliable watch that will last many year"&amp;"s.")</f>
        <v>Watch high quality Beautiful shows very masculine, its accuracy is amazing no second ahead or be delayed which is rare in an automatic watch ... except the great brand. I recommend this watch has toue men who want a reliable watch that will last many years.</v>
      </c>
    </row>
    <row r="5175">
      <c r="A5175" s="1">
        <v>5.0</v>
      </c>
      <c r="B5175" s="1" t="s">
        <v>5113</v>
      </c>
      <c r="C5175" t="str">
        <f>IFERROR(__xludf.DUMMYFUNCTION("GOOGLETRANSLATE(B5175, ""fr"", ""en"")"),"very good product. Perfect thank you. thank you")</f>
        <v>very good product. Perfect thank you. thank you</v>
      </c>
    </row>
    <row r="5176">
      <c r="A5176" s="1">
        <v>5.0</v>
      </c>
      <c r="B5176" s="1" t="s">
        <v>5114</v>
      </c>
      <c r="C5176" t="str">
        <f>IFERROR(__xludf.DUMMYFUNCTION("GOOGLETRANSLATE(B5176, ""fr"", ""en"")"),"Great !!!! The helmet is super nice, easy to bend, quickly received! Comfortable to wear and the sound is wonderful. For the price this is a very good compromise")</f>
        <v>Great !!!! The helmet is super nice, easy to bend, quickly received! Comfortable to wear and the sound is wonderful. For the price this is a very good compromise</v>
      </c>
    </row>
    <row r="5177">
      <c r="A5177" s="1">
        <v>5.0</v>
      </c>
      <c r="B5177" s="1" t="s">
        <v>5115</v>
      </c>
      <c r="C5177" t="str">
        <f>IFERROR(__xludf.DUMMYFUNCTION("GOOGLETRANSLATE(B5177, ""fr"", ""en"")"),"Effective! Brush basic but effective (including against cat hair!) The small brush for diamond is also practical; Clear the cache holds the now in place.")</f>
        <v>Effective! Brush basic but effective (including against cat hair!) The small brush for diamond is also practical; Clear the cache holds the now in place.</v>
      </c>
    </row>
    <row r="5178">
      <c r="A5178" s="1">
        <v>5.0</v>
      </c>
      <c r="B5178" s="1" t="s">
        <v>5116</v>
      </c>
      <c r="C5178" t="str">
        <f>IFERROR(__xludf.DUMMYFUNCTION("GOOGLETRANSLATE(B5178, ""fr"", ""en"")"),"good design Converse pumps, at least that's like. The touch that made a little knock but I know nothing at all. They end up finely enough, beware for wide feet that could end in bulbs. Given the comments; I opted for a half size bigger and I'm fine hair c"&amp;"ell. For that price, I believe that these are not fakes but rather an entry.")</f>
        <v>good design Converse pumps, at least that's like. The touch that made a little knock but I know nothing at all. They end up finely enough, beware for wide feet that could end in bulbs. Given the comments; I opted for a half size bigger and I'm fine hair cell. For that price, I believe that these are not fakes but rather an entry.</v>
      </c>
    </row>
    <row r="5179">
      <c r="A5179" s="1">
        <v>5.0</v>
      </c>
      <c r="B5179" s="1" t="s">
        <v>5117</v>
      </c>
      <c r="C5179" t="str">
        <f>IFERROR(__xludf.DUMMYFUNCTION("GOOGLETRANSLATE(B5179, ""fr"", ""en"")"),"Okay Perfect. Meet the design and image. Good quality.")</f>
        <v>Okay Perfect. Meet the design and image. Good quality.</v>
      </c>
    </row>
    <row r="5180">
      <c r="A5180" s="1">
        <v>5.0</v>
      </c>
      <c r="B5180" s="1" t="s">
        <v>5118</v>
      </c>
      <c r="C5180" t="str">
        <f>IFERROR(__xludf.DUMMYFUNCTION("GOOGLETRANSLATE(B5180, ""fr"", ""en"")"),"nice duo bracelets beautiful bracelets beautiful effect packaging +++ only downside delivery a bit long")</f>
        <v>nice duo bracelets beautiful bracelets beautiful effect packaging +++ only downside delivery a bit long</v>
      </c>
    </row>
    <row r="5181">
      <c r="A5181" s="1">
        <v>5.0</v>
      </c>
      <c r="B5181" s="1" t="s">
        <v>5119</v>
      </c>
      <c r="C5181" t="str">
        <f>IFERROR(__xludf.DUMMYFUNCTION("GOOGLETRANSLATE(B5181, ""fr"", ""en"")"),"Super clay Port is huge. I have to mask month. Clay is perfect, soft, good quality. I recommend.")</f>
        <v>Super clay Port is huge. I have to mask month. Clay is perfect, soft, good quality. I recommend.</v>
      </c>
    </row>
    <row r="5182">
      <c r="A5182" s="1">
        <v>5.0</v>
      </c>
      <c r="B5182" s="1" t="s">
        <v>5120</v>
      </c>
      <c r="C5182" t="str">
        <f>IFERROR(__xludf.DUMMYFUNCTION("GOOGLETRANSLATE(B5182, ""fr"", ""en"")"),"I recommend Ideal for learning to read.")</f>
        <v>I recommend Ideal for learning to read.</v>
      </c>
    </row>
    <row r="5183">
      <c r="A5183" s="1">
        <v>5.0</v>
      </c>
      <c r="B5183" s="1" t="s">
        <v>5121</v>
      </c>
      <c r="C5183" t="str">
        <f>IFERROR(__xludf.DUMMYFUNCTION("GOOGLETRANSLATE(B5183, ""fr"", ""en"")"),"Very nice design good value")</f>
        <v>Very nice design good value</v>
      </c>
    </row>
    <row r="5184">
      <c r="A5184" s="1">
        <v>5.0</v>
      </c>
      <c r="B5184" s="1" t="s">
        <v>5122</v>
      </c>
      <c r="C5184" t="str">
        <f>IFERROR(__xludf.DUMMYFUNCTION("GOOGLETRANSLATE(B5184, ""fr"", ""en"")"),"Indispensable Indispensable for electromenager I love it, I will pass me more")</f>
        <v>Indispensable Indispensable for electromenager I love it, I will pass me more</v>
      </c>
    </row>
    <row r="5185">
      <c r="A5185" s="1">
        <v>5.0</v>
      </c>
      <c r="B5185" s="1" t="s">
        <v>5123</v>
      </c>
      <c r="C5185" t="str">
        <f>IFERROR(__xludf.DUMMYFUNCTION("GOOGLETRANSLATE(B5185, ""fr"", ""en"")"),"Very good value for money ! Well carved Super sweat closure! It is cut and rather good.")</f>
        <v>Very good value for money ! Well carved Super sweat closure! It is cut and rather good.</v>
      </c>
    </row>
    <row r="5186">
      <c r="A5186" s="1">
        <v>2.0</v>
      </c>
      <c r="B5186" s="1" t="s">
        <v>5124</v>
      </c>
      <c r="C5186" t="str">
        <f>IFERROR(__xludf.DUMMYFUNCTION("GOOGLETRANSLATE(B5186, ""fr"", ""en"")"),"I'm not fallen on good sound quality ok zero Longevity (regarding what was delivered) After one week thing has dépiécé. I hope that others have not been there")</f>
        <v>I'm not fallen on good sound quality ok zero Longevity (regarding what was delivered) After one week thing has dépiécé. I hope that others have not been there</v>
      </c>
    </row>
    <row r="5187">
      <c r="A5187" s="1">
        <v>1.0</v>
      </c>
      <c r="B5187" s="1" t="s">
        <v>5125</v>
      </c>
      <c r="C5187" t="str">
        <f>IFERROR(__xludf.DUMMYFUNCTION("GOOGLETRANSLATE(B5187, ""fr"", ""en"")"),"doesnt all does not work any, even the 3 set does not work for everything. It normally pay me for this product.")</f>
        <v>doesnt all does not work any, even the 3 set does not work for everything. It normally pay me for this product.</v>
      </c>
    </row>
    <row r="5188">
      <c r="A5188" s="1">
        <v>1.0</v>
      </c>
      <c r="B5188" s="1" t="s">
        <v>5126</v>
      </c>
      <c r="C5188" t="str">
        <f>IFERROR(__xludf.DUMMYFUNCTION("GOOGLETRANSLATE(B5188, ""fr"", ""en"")"),"For a good massage, nothing beats a Physio! This meant massage device causes a total discomfort and hurt the spine! This is not an isolated case, other products of the same kind performing the same disaster!")</f>
        <v>For a good massage, nothing beats a Physio! This meant massage device causes a total discomfort and hurt the spine! This is not an isolated case, other products of the same kind performing the same disaster!</v>
      </c>
    </row>
    <row r="5189">
      <c r="A5189" s="1">
        <v>3.0</v>
      </c>
      <c r="B5189" s="1" t="s">
        <v>5127</v>
      </c>
      <c r="C5189" t="str">
        <f>IFERROR(__xludf.DUMMYFUNCTION("GOOGLETRANSLATE(B5189, ""fr"", ""en"")"),"Good Content produced with my purchase but I'm a little disappointed because I usually store my watches in their boxes but this one arrived damaged unfortunately ...")</f>
        <v>Good Content produced with my purchase but I'm a little disappointed because I usually store my watches in their boxes but this one arrived damaged unfortunately ...</v>
      </c>
    </row>
    <row r="5190">
      <c r="A5190" s="1">
        <v>3.0</v>
      </c>
      <c r="B5190" s="1" t="s">
        <v>5128</v>
      </c>
      <c r="C5190" t="str">
        <f>IFERROR(__xludf.DUMMYFUNCTION("GOOGLETRANSLATE(B5190, ""fr"", ""en"")"),"Good but expensive product I used generic cartridges products much cheaper but Canon makes through updates drivers that the printer does not work correctly with generic cartridges. I'm forced to buy Canon cartridges that are good technically but expensive"&amp;", which is not very satisfactory.")</f>
        <v>Good but expensive product I used generic cartridges products much cheaper but Canon makes through updates drivers that the printer does not work correctly with generic cartridges. I'm forced to buy Canon cartridges that are good technically but expensive, which is not very satisfactory.</v>
      </c>
    </row>
    <row r="5191">
      <c r="A5191" s="1">
        <v>4.0</v>
      </c>
      <c r="B5191" s="1" t="s">
        <v>5129</v>
      </c>
      <c r="C5191" t="str">
        <f>IFERROR(__xludf.DUMMYFUNCTION("GOOGLETRANSLATE(B5191, ""fr"", ""en"")"),"chaissure walking shoe for small hikes on flat ground and not stony.")</f>
        <v>chaissure walking shoe for small hikes on flat ground and not stony.</v>
      </c>
    </row>
    <row r="5192">
      <c r="A5192" s="1">
        <v>4.0</v>
      </c>
      <c r="B5192" s="1" t="s">
        <v>5130</v>
      </c>
      <c r="C5192" t="str">
        <f>IFERROR(__xludf.DUMMYFUNCTION("GOOGLETRANSLATE(B5192, ""fr"", ""en"")"),"Timeless, light and unobtrusive Its price is unbeatable. It is robust and relatively easy to adjust. His tone is light enough to attract attention, no more, but the light is insufficient to effectively read the time in darkness. The exchange of the necess"&amp;"ary strap occasionally just a little trump cost. A good companion, however, for the highest quality listed.")</f>
        <v>Timeless, light and unobtrusive Its price is unbeatable. It is robust and relatively easy to adjust. His tone is light enough to attract attention, no more, but the light is insufficient to effectively read the time in darkness. The exchange of the necessary strap occasionally just a little trump cost. A good companion, however, for the highest quality listed.</v>
      </c>
    </row>
    <row r="5193">
      <c r="A5193" s="1">
        <v>4.0</v>
      </c>
      <c r="B5193" s="1" t="s">
        <v>5131</v>
      </c>
      <c r="C5193" t="str">
        <f>IFERROR(__xludf.DUMMYFUNCTION("GOOGLETRANSLATE(B5193, ""fr"", ""en"")"),"Very Good Very good case for storing the gray card. A space for the insurance portion is also included. I use it for my motorcycle papers are still in my jacket and the case is not damaged either.")</f>
        <v>Very Good Very good case for storing the gray card. A space for the insurance portion is also included. I use it for my motorcycle papers are still in my jacket and the case is not damaged either.</v>
      </c>
    </row>
    <row r="5194">
      <c r="A5194" s="1">
        <v>4.0</v>
      </c>
      <c r="B5194" s="1" t="s">
        <v>5132</v>
      </c>
      <c r="C5194" t="str">
        <f>IFERROR(__xludf.DUMMYFUNCTION("GOOGLETRANSLATE(B5194, ""fr"", ""en"")"),"CONVERSE CHUCK TAYLOR Parcel received quickly. Item as described. As highlighted some comments, take a size smaller because product sizes a bit bigger.")</f>
        <v>CONVERSE CHUCK TAYLOR Parcel received quickly. Item as described. As highlighted some comments, take a size smaller because product sizes a bit bigger.</v>
      </c>
    </row>
    <row r="5195">
      <c r="A5195" s="1">
        <v>5.0</v>
      </c>
      <c r="B5195" s="1" t="s">
        <v>5133</v>
      </c>
      <c r="C5195" t="str">
        <f>IFERROR(__xludf.DUMMYFUNCTION("GOOGLETRANSLATE(B5195, ""fr"", ""en"")"),"In the top! Great shoes !! The bubble and the material makes them super comfortable and the style is nice. My teen love it!")</f>
        <v>In the top! Great shoes !! The bubble and the material makes them super comfortable and the style is nice. My teen love it!</v>
      </c>
    </row>
    <row r="5196">
      <c r="A5196" s="1">
        <v>5.0</v>
      </c>
      <c r="B5196" s="1" t="s">
        <v>5134</v>
      </c>
      <c r="C5196" t="str">
        <f>IFERROR(__xludf.DUMMYFUNCTION("GOOGLETRANSLATE(B5196, ""fr"", ""en"")"),"My girlfriend is satisfied my girlfriend received the E. coli seems all this be smoothly")</f>
        <v>My girlfriend is satisfied my girlfriend received the E. coli seems all this be smoothly</v>
      </c>
    </row>
    <row r="5197">
      <c r="A5197" s="1">
        <v>5.0</v>
      </c>
      <c r="B5197" s="1" t="s">
        <v>5135</v>
      </c>
      <c r="C5197" t="str">
        <f>IFERROR(__xludf.DUMMYFUNCTION("GOOGLETRANSLATE(B5197, ""fr"", ""en"")"),"Excellent Very good product! The booklets added to the agenda to speak so great! Size is also very good!")</f>
        <v>Excellent Very good product! The booklets added to the agenda to speak so great! Size is also very good!</v>
      </c>
    </row>
    <row r="5198">
      <c r="A5198" s="1">
        <v>5.0</v>
      </c>
      <c r="B5198" s="1" t="s">
        <v>5136</v>
      </c>
      <c r="C5198" t="str">
        <f>IFERROR(__xludf.DUMMYFUNCTION("GOOGLETRANSLATE(B5198, ""fr"", ""en"")"),"The dream can not regret the purchase of this product. Wonderful, I find my happiness. This cushion is my new best friend.")</f>
        <v>The dream can not regret the purchase of this product. Wonderful, I find my happiness. This cushion is my new best friend.</v>
      </c>
    </row>
    <row r="5199">
      <c r="A5199" s="1">
        <v>5.0</v>
      </c>
      <c r="B5199" s="1" t="s">
        <v>5137</v>
      </c>
      <c r="C5199" t="str">
        <f>IFERROR(__xludf.DUMMYFUNCTION("GOOGLETRANSLATE(B5199, ""fr"", ""en"")"),"Nothing to say good product complies with Article order")</f>
        <v>Nothing to say good product complies with Article order</v>
      </c>
    </row>
    <row r="5200">
      <c r="A5200" s="1">
        <v>5.0</v>
      </c>
      <c r="B5200" s="1" t="s">
        <v>5138</v>
      </c>
      <c r="C5200" t="str">
        <f>IFERROR(__xludf.DUMMYFUNCTION("GOOGLETRANSLATE(B5200, ""fr"", ""en"")"),"Good shoes I got these shoes primarily for their beautiful blue color! I do not do sports with but being sensitive feet I like to have comfortable shoes to walk every day. I did some walks with my dog ​​in the field and they are just so comfortable! A rea"&amp;"l pleasure to feel good in his feet. I put on the 42 and I took size 42, and nothing to say the size is perfect quality seems very correct and I enjoyed the spikes in the soles that will find all their usefulness slip on wet or muddy ground.")</f>
        <v>Good shoes I got these shoes primarily for their beautiful blue color! I do not do sports with but being sensitive feet I like to have comfortable shoes to walk every day. I did some walks with my dog ​​in the field and they are just so comfortable! A real pleasure to feel good in his feet. I put on the 42 and I took size 42, and nothing to say the size is perfect quality seems very correct and I enjoyed the spikes in the soles that will find all their usefulness slip on wet or muddy ground.</v>
      </c>
    </row>
    <row r="5201">
      <c r="A5201" s="1">
        <v>5.0</v>
      </c>
      <c r="B5201" s="1" t="s">
        <v>5139</v>
      </c>
      <c r="C5201" t="str">
        <f>IFERROR(__xludf.DUMMYFUNCTION("GOOGLETRANSLATE(B5201, ""fr"", ""en"")"),"TOP My husband loves")</f>
        <v>TOP My husband loves</v>
      </c>
    </row>
    <row r="5202">
      <c r="A5202" s="1">
        <v>5.0</v>
      </c>
      <c r="B5202" s="1" t="s">
        <v>5140</v>
      </c>
      <c r="C5202" t="str">
        <f>IFERROR(__xludf.DUMMYFUNCTION("GOOGLETRANSLATE(B5202, ""fr"", ""en"")"),"supere supere")</f>
        <v>supere supere</v>
      </c>
    </row>
    <row r="5203">
      <c r="A5203" s="1">
        <v>5.0</v>
      </c>
      <c r="B5203" s="1" t="s">
        <v>5141</v>
      </c>
      <c r="C5203" t="str">
        <f>IFERROR(__xludf.DUMMYFUNCTION("GOOGLETRANSLATE(B5203, ""fr"", ""en"")"),"pretty beautiful model conforms to the photo")</f>
        <v>pretty beautiful model conforms to the photo</v>
      </c>
    </row>
    <row r="5204">
      <c r="A5204" s="1">
        <v>5.0</v>
      </c>
      <c r="B5204" s="1" t="s">
        <v>5142</v>
      </c>
      <c r="C5204" t="str">
        <f>IFERROR(__xludf.DUMMYFUNCTION("GOOGLETRANSLATE(B5204, ""fr"", ""en"")"),"Nothing wrong Great product and delivery flawless. The choice of temperature and very water is heated very quickly. A good choice")</f>
        <v>Nothing wrong Great product and delivery flawless. The choice of temperature and very water is heated very quickly. A good choice</v>
      </c>
    </row>
    <row r="5205">
      <c r="A5205" s="1">
        <v>5.0</v>
      </c>
      <c r="B5205" s="1" t="s">
        <v>5143</v>
      </c>
      <c r="C5205" t="str">
        <f>IFERROR(__xludf.DUMMYFUNCTION("GOOGLETRANSLATE(B5205, ""fr"", ""en"")"),"Achter good product for my Papoune he too kiffée them. They are good. He carries since few months apart puma that fades with time 😜. Question solidity nothing to say. I advice you")</f>
        <v>Achter good product for my Papoune he too kiffée them. They are good. He carries since few months apart puma that fades with time 😜. Question solidity nothing to say. I advice you</v>
      </c>
    </row>
    <row r="5206">
      <c r="A5206" s="1">
        <v>5.0</v>
      </c>
      <c r="B5206" s="1" t="s">
        <v>5144</v>
      </c>
      <c r="C5206" t="str">
        <f>IFERROR(__xludf.DUMMYFUNCTION("GOOGLETRANSLATE(B5206, ""fr"", ""en"")"),"Very good quallité The product fits my expectations. Beautiful writing on slates. I really recommend it. 100% satisfied. okay")</f>
        <v>Very good quallité The product fits my expectations. Beautiful writing on slates. I really recommend it. 100% satisfied. okay</v>
      </c>
    </row>
    <row r="5207">
      <c r="A5207" s="1">
        <v>5.0</v>
      </c>
      <c r="B5207" s="1" t="s">
        <v>5145</v>
      </c>
      <c r="C5207" t="str">
        <f>IFERROR(__xludf.DUMMYFUNCTION("GOOGLETRANSLATE(B5207, ""fr"", ""en"")"),"resting for yeuw excellent product and less expensive than the pharmacist")</f>
        <v>resting for yeuw excellent product and less expensive than the pharmacist</v>
      </c>
    </row>
    <row r="5208">
      <c r="A5208" s="1">
        <v>5.0</v>
      </c>
      <c r="B5208" s="1" t="s">
        <v>5146</v>
      </c>
      <c r="C5208" t="str">
        <f>IFERROR(__xludf.DUMMYFUNCTION("GOOGLETRANSLATE(B5208, ""fr"", ""en"")"),"Glad Just perfect !!")</f>
        <v>Glad Just perfect !!</v>
      </c>
    </row>
    <row r="5209">
      <c r="A5209" s="1">
        <v>5.0</v>
      </c>
      <c r="B5209" s="1" t="s">
        <v>5147</v>
      </c>
      <c r="C5209" t="str">
        <f>IFERROR(__xludf.DUMMYFUNCTION("GOOGLETRANSLATE(B5209, ""fr"", ""en"")"),"Useful and fun I bought this pen for Father's Day, there gadgets and there are mini ultra practical tools, this small pen does both. A handy gadget that will troubleshoot!")</f>
        <v>Useful and fun I bought this pen for Father's Day, there gadgets and there are mini ultra practical tools, this small pen does both. A handy gadget that will troubleshoot!</v>
      </c>
    </row>
    <row r="5210">
      <c r="A5210" s="1">
        <v>2.0</v>
      </c>
      <c r="B5210" s="1" t="s">
        <v>5148</v>
      </c>
      <c r="C5210" t="str">
        <f>IFERROR(__xludf.DUMMYFUNCTION("GOOGLETRANSLATE(B5210, ""fr"", ""en"")"),"Disappointed Meets the picture but poor quality is very quickly damage abyss because original form")</f>
        <v>Disappointed Meets the picture but poor quality is very quickly damage abyss because original form</v>
      </c>
    </row>
    <row r="5211">
      <c r="A5211" s="1">
        <v>1.0</v>
      </c>
      <c r="B5211" s="1" t="s">
        <v>5149</v>
      </c>
      <c r="C5211" t="str">
        <f>IFERROR(__xludf.DUMMYFUNCTION("GOOGLETRANSLATE(B5211, ""fr"", ""en"")"),"It does not work does not work !! do not buy")</f>
        <v>It does not work does not work !! do not buy</v>
      </c>
    </row>
    <row r="5212">
      <c r="A5212" s="1">
        <v>1.0</v>
      </c>
      <c r="B5212" s="1" t="s">
        <v>5150</v>
      </c>
      <c r="C5212" t="str">
        <f>IFERROR(__xludf.DUMMYFUNCTION("GOOGLETRANSLATE(B5212, ""fr"", ""en"")"),"Pourri This is not true even a pesky months now pfff")</f>
        <v>Pourri This is not true even a pesky months now pfff</v>
      </c>
    </row>
    <row r="5213">
      <c r="A5213" s="1">
        <v>3.0</v>
      </c>
      <c r="B5213" s="1" t="s">
        <v>5151</v>
      </c>
      <c r="C5213" t="str">
        <f>IFERROR(__xludf.DUMMYFUNCTION("GOOGLETRANSLATE(B5213, ""fr"", ""en"")"),"inaccurate color. The announced khaki color is not correct: but not brown khaki. So I return these sneakers and I ordered another article.")</f>
        <v>inaccurate color. The announced khaki color is not correct: but not brown khaki. So I return these sneakers and I ordered another article.</v>
      </c>
    </row>
    <row r="5214">
      <c r="A5214" s="1">
        <v>3.0</v>
      </c>
      <c r="B5214" s="1" t="s">
        <v>5152</v>
      </c>
      <c r="C5214" t="str">
        <f>IFERROR(__xludf.DUMMYFUNCTION("GOOGLETRANSLATE(B5214, ""fr"", ""en"")"),"Excellent Very comfortable !!")</f>
        <v>Excellent Very comfortable !!</v>
      </c>
    </row>
    <row r="5215">
      <c r="A5215" s="1">
        <v>4.0</v>
      </c>
      <c r="B5215" s="1" t="s">
        <v>5153</v>
      </c>
      <c r="C5215" t="str">
        <f>IFERROR(__xludf.DUMMYFUNCTION("GOOGLETRANSLATE(B5215, ""fr"", ""en"")"),"No regrets Bought for loops into a more sober style single discrete Pretty, pretty good value")</f>
        <v>No regrets Bought for loops into a more sober style single discrete Pretty, pretty good value</v>
      </c>
    </row>
    <row r="5216">
      <c r="A5216" s="1">
        <v>4.0</v>
      </c>
      <c r="B5216" s="1" t="s">
        <v>5154</v>
      </c>
      <c r="C5216" t="str">
        <f>IFERROR(__xludf.DUMMYFUNCTION("GOOGLETRANSLATE(B5216, ""fr"", ""en"")"),"Beautiful lot😊 beautiful lot. The trend among teens, pants, tracksuits etc. . . That's socks without stems, things I can not stand pas😬 because they feel we have clothes too short and winter have discovered ankles is very so so (long live 😷rhumes!) Wit"&amp;"h this lot everyone is happy, covered without too 😊 ... to see and wear wash after wash")</f>
        <v>Beautiful lot😊 beautiful lot. The trend among teens, pants, tracksuits etc. . . That's socks without stems, things I can not stand pas😬 because they feel we have clothes too short and winter have discovered ankles is very so so (long live 😷rhumes!) With this lot everyone is happy, covered without too 😊 ... to see and wear wash after wash</v>
      </c>
    </row>
    <row r="5217">
      <c r="A5217" s="1">
        <v>4.0</v>
      </c>
      <c r="B5217" s="1" t="s">
        <v>5155</v>
      </c>
      <c r="C5217" t="str">
        <f>IFERROR(__xludf.DUMMYFUNCTION("GOOGLETRANSLATE(B5217, ""fr"", ""en"")"),"Top quality Super")</f>
        <v>Top quality Super</v>
      </c>
    </row>
    <row r="5218">
      <c r="A5218" s="1">
        <v>4.0</v>
      </c>
      <c r="B5218" s="1" t="s">
        <v>5156</v>
      </c>
      <c r="C5218" t="str">
        <f>IFERROR(__xludf.DUMMYFUNCTION("GOOGLETRANSLATE(B5218, ""fr"", ""en"")"),"funny loops To fill the advent calendar!")</f>
        <v>funny loops To fill the advent calendar!</v>
      </c>
    </row>
    <row r="5219">
      <c r="A5219" s="1">
        <v>5.0</v>
      </c>
      <c r="B5219" s="1" t="s">
        <v>5157</v>
      </c>
      <c r="C5219" t="str">
        <f>IFERROR(__xludf.DUMMYFUNCTION("GOOGLETRANSLATE(B5219, ""fr"", ""en"")"),"pouch laminator pouch laminator line with what I expected. Robust and easy to use. It's been several times that I control and I like them a lot. I recommend. On time delivery.")</f>
        <v>pouch laminator pouch laminator line with what I expected. Robust and easy to use. It's been several times that I control and I like them a lot. I recommend. On time delivery.</v>
      </c>
    </row>
    <row r="5220">
      <c r="A5220" s="1">
        <v>5.0</v>
      </c>
      <c r="B5220" s="1" t="s">
        <v>5158</v>
      </c>
      <c r="C5220" t="str">
        <f>IFERROR(__xludf.DUMMYFUNCTION("GOOGLETRANSLATE(B5220, ""fr"", ""en"")"),"Excellent quality Excellent quality and timely delivery")</f>
        <v>Excellent quality Excellent quality and timely delivery</v>
      </c>
    </row>
    <row r="5221">
      <c r="A5221" s="1">
        <v>5.0</v>
      </c>
      <c r="B5221" s="1" t="s">
        <v>5159</v>
      </c>
      <c r="C5221" t="str">
        <f>IFERROR(__xludf.DUMMYFUNCTION("GOOGLETRANSLATE(B5221, ""fr"", ""en"")"),"One of the best headphones I've had at this rate the noise reduction is a great pleasure working in a openspace is the best way to stay isolated and to stay focused on his work. the bass is neither too low nor too strong, the acute are of enjoyment, and t"&amp;"he depth is serious feel.")</f>
        <v>One of the best headphones I've had at this rate the noise reduction is a great pleasure working in a openspace is the best way to stay isolated and to stay focused on his work. the bass is neither too low nor too strong, the acute are of enjoyment, and the depth is serious feel.</v>
      </c>
    </row>
    <row r="5222">
      <c r="A5222" s="1">
        <v>5.0</v>
      </c>
      <c r="B5222" s="1" t="s">
        <v>5160</v>
      </c>
      <c r="C5222" t="str">
        <f>IFERROR(__xludf.DUMMYFUNCTION("GOOGLETRANSLATE(B5222, ""fr"", ""en"")"),"G-Shock Very good product.")</f>
        <v>G-Shock Very good product.</v>
      </c>
    </row>
    <row r="5223">
      <c r="A5223" s="1">
        <v>5.0</v>
      </c>
      <c r="B5223" s="1" t="s">
        <v>5161</v>
      </c>
      <c r="C5223" t="str">
        <f>IFERROR(__xludf.DUMMYFUNCTION("GOOGLETRANSLATE(B5223, ""fr"", ""en"")"),"Very comfortable. For every day they are super stylish and cool. Comfortable! As in the boot.")</f>
        <v>Very comfortable. For every day they are super stylish and cool. Comfortable! As in the boot.</v>
      </c>
    </row>
    <row r="5224">
      <c r="A5224" s="1">
        <v>5.0</v>
      </c>
      <c r="B5224" s="1" t="s">
        <v>5162</v>
      </c>
      <c r="C5224" t="str">
        <f>IFERROR(__xludf.DUMMYFUNCTION("GOOGLETRANSLATE(B5224, ""fr"", ""en"")"),"Take Good value. You will not find better elsewhere in addition to sending fast. I recommend")</f>
        <v>Take Good value. You will not find better elsewhere in addition to sending fast. I recommend</v>
      </c>
    </row>
    <row r="5225">
      <c r="A5225" s="1">
        <v>5.0</v>
      </c>
      <c r="B5225" s="1" t="s">
        <v>5163</v>
      </c>
      <c r="C5225" t="str">
        <f>IFERROR(__xludf.DUMMYFUNCTION("GOOGLETRANSLATE(B5225, ""fr"", ""en"")"),"corresponds exactly to the description given as a gift and appreciated")</f>
        <v>corresponds exactly to the description given as a gift and appreciated</v>
      </c>
    </row>
    <row r="5226">
      <c r="A5226" s="1">
        <v>5.0</v>
      </c>
      <c r="B5226" s="1" t="s">
        <v>5164</v>
      </c>
      <c r="C5226" t="str">
        <f>IFERROR(__xludf.DUMMYFUNCTION("GOOGLETRANSLATE(B5226, ""fr"", ""en"")"),"Satisfied 😍 I am very pleased with these headphones, they are light and well fit in the ears. The volume can be set strong enough and do not lose quality. The bass is very present but this can be resolved in the music applications! I recommend")</f>
        <v>Satisfied 😍 I am very pleased with these headphones, they are light and well fit in the ears. The volume can be set strong enough and do not lose quality. The bass is very present but this can be resolved in the music applications! I recommend</v>
      </c>
    </row>
    <row r="5227">
      <c r="A5227" s="1">
        <v>5.0</v>
      </c>
      <c r="B5227" s="1" t="s">
        <v>5165</v>
      </c>
      <c r="C5227" t="str">
        <f>IFERROR(__xludf.DUMMYFUNCTION("GOOGLETRANSLATE(B5227, ""fr"", ""en"")"),"Good product I love pens and testing anything out nice product - Writing A flexible tend to drool a little late in the cartridge")</f>
        <v>Good product I love pens and testing anything out nice product - Writing A flexible tend to drool a little late in the cartridge</v>
      </c>
    </row>
    <row r="5228">
      <c r="A5228" s="1">
        <v>5.0</v>
      </c>
      <c r="B5228" s="1" t="s">
        <v>5166</v>
      </c>
      <c r="C5228" t="str">
        <f>IFERROR(__xludf.DUMMYFUNCTION("GOOGLETRANSLATE(B5228, ""fr"", ""en"")"),"Love I tried it before, then I evaluated. The general feeling is similar to a microphone and the integration of sound. The sound is stereo, but it is not so strong that it's right next door, this is a self artifact. I usually like to sing and play at the "&amp;"microphone maison.Ce is really good in texture and has many functions to study slowly.")</f>
        <v>Love I tried it before, then I evaluated. The general feeling is similar to a microphone and the integration of sound. The sound is stereo, but it is not so strong that it's right next door, this is a self artifact. I usually like to sing and play at the microphone maison.Ce is really good in texture and has many functions to study slowly.</v>
      </c>
    </row>
    <row r="5229">
      <c r="A5229" s="1">
        <v>5.0</v>
      </c>
      <c r="B5229" s="1" t="s">
        <v>5167</v>
      </c>
      <c r="C5229" t="str">
        <f>IFERROR(__xludf.DUMMYFUNCTION("GOOGLETRANSLATE(B5229, ""fr"", ""en"")"),"Perfect Very convenient, bends in any direction, allowing even a small office not to be dazzled by light. The different shades of light hot / cold are lovely and coupled with different intensities, they can meet all needs: ambient light, lively for precis"&amp;"ion work ...")</f>
        <v>Perfect Very convenient, bends in any direction, allowing even a small office not to be dazzled by light. The different shades of light hot / cold are lovely and coupled with different intensities, they can meet all needs: ambient light, lively for precision work ...</v>
      </c>
    </row>
    <row r="5230">
      <c r="A5230" s="1">
        <v>5.0</v>
      </c>
      <c r="B5230" s="1" t="s">
        <v>5168</v>
      </c>
      <c r="C5230" t="str">
        <f>IFERROR(__xludf.DUMMYFUNCTION("GOOGLETRANSLATE(B5230, ""fr"", ""en"")"),"Flip flop'top Font job")</f>
        <v>Flip flop'top Font job</v>
      </c>
    </row>
    <row r="5231">
      <c r="A5231" s="1">
        <v>5.0</v>
      </c>
      <c r="B5231" s="1" t="s">
        <v>5169</v>
      </c>
      <c r="C5231" t="str">
        <f>IFERROR(__xludf.DUMMYFUNCTION("GOOGLETRANSLATE(B5231, ""fr"", ""en"")"),"Top and economic This product suits me very well, it washes well leaves no trasse and in addition is economical thanks to its foam pump.")</f>
        <v>Top and economic This product suits me very well, it washes well leaves no trasse and in addition is economical thanks to its foam pump.</v>
      </c>
    </row>
    <row r="5232">
      <c r="A5232" s="1">
        <v>5.0</v>
      </c>
      <c r="B5232" s="1" t="s">
        <v>5170</v>
      </c>
      <c r="C5232" t="str">
        <f>IFERROR(__xludf.DUMMYFUNCTION("GOOGLETRANSLATE(B5232, ""fr"", ""en"")"),"Impeccable I bought this sweater for my husband, 3D rendering is very nice, the shape is perfect, he cuts it right, choose your exact size. the material is very comfortable to wear.")</f>
        <v>Impeccable I bought this sweater for my husband, 3D rendering is very nice, the shape is perfect, he cuts it right, choose your exact size. the material is very comfortable to wear.</v>
      </c>
    </row>
    <row r="5233">
      <c r="A5233" s="1">
        <v>5.0</v>
      </c>
      <c r="B5233" s="1" t="s">
        <v>5171</v>
      </c>
      <c r="C5233" t="str">
        <f>IFERROR(__xludf.DUMMYFUNCTION("GOOGLETRANSLATE(B5233, ""fr"", ""en"")"),"***** Meets waiting")</f>
        <v>***** Meets waiting</v>
      </c>
    </row>
    <row r="5234">
      <c r="A5234" s="1">
        <v>2.0</v>
      </c>
      <c r="B5234" s="1" t="s">
        <v>5172</v>
      </c>
      <c r="C5234" t="str">
        <f>IFERROR(__xludf.DUMMYFUNCTION("GOOGLETRANSLATE(B5234, ""fr"", ""en"")"),"although there was just one little problem the stop is too small and if you force the rod bends, luckily he's otherwise happy plastic tips Article")</f>
        <v>although there was just one little problem the stop is too small and if you force the rod bends, luckily he's otherwise happy plastic tips Article</v>
      </c>
    </row>
    <row r="5235">
      <c r="A5235" s="1">
        <v>1.0</v>
      </c>
      <c r="B5235" s="1" t="s">
        <v>5173</v>
      </c>
      <c r="C5235" t="str">
        <f>IFERROR(__xludf.DUMMYFUNCTION("GOOGLETRANSLATE(B5235, ""fr"", ""en"")"),"Very disappointed I own the natural AVENT bottle, so I expect that this brush is designed for them! I am very disappointed, the handle is not ergonomic short and in addition it is not in special sizes for bottle wide neck while AVENT Breasts are wide neck"&amp;" so I do not quite understand. I bought a bottle brush before home Nuby special wide neck that was perfect except that it is more. So I researched what I could buy and I turned to the bottle brush brand. Well I should not have!")</f>
        <v>Very disappointed I own the natural AVENT bottle, so I expect that this brush is designed for them! I am very disappointed, the handle is not ergonomic short and in addition it is not in special sizes for bottle wide neck while AVENT Breasts are wide neck so I do not quite understand. I bought a bottle brush before home Nuby special wide neck that was perfect except that it is more. So I researched what I could buy and I turned to the bottle brush brand. Well I should not have!</v>
      </c>
    </row>
    <row r="5236">
      <c r="A5236" s="1">
        <v>1.0</v>
      </c>
      <c r="B5236" s="1" t="s">
        <v>5174</v>
      </c>
      <c r="C5236" t="str">
        <f>IFERROR(__xludf.DUMMYFUNCTION("GOOGLETRANSLATE(B5236, ""fr"", ""en"")"),"Earring Very nice but too fragile")</f>
        <v>Earring Very nice but too fragile</v>
      </c>
    </row>
    <row r="5237">
      <c r="A5237" s="1">
        <v>3.0</v>
      </c>
      <c r="B5237" s="1" t="s">
        <v>5175</v>
      </c>
      <c r="C5237" t="str">
        <f>IFERROR(__xludf.DUMMYFUNCTION("GOOGLETRANSLATE(B5237, ""fr"", ""en"")"),"Good but ... These bottles are very pretty and baby loves watching the drawings there above. The only problem is that in the product description states that pacifiers are size 3 (which is why I chose these bottles) bottles and packaging also indicates a s"&amp;"ize 3 except that the nipples mounted on the 2 bottles sizes are 2 !! So I have to recommend teats.")</f>
        <v>Good but ... These bottles are very pretty and baby loves watching the drawings there above. The only problem is that in the product description states that pacifiers are size 3 (which is why I chose these bottles) bottles and packaging also indicates a size 3 except that the nipples mounted on the 2 bottles sizes are 2 !! So I have to recommend teats.</v>
      </c>
    </row>
    <row r="5238">
      <c r="A5238" s="1">
        <v>4.0</v>
      </c>
      <c r="B5238" s="1" t="s">
        <v>5176</v>
      </c>
      <c r="C5238" t="str">
        <f>IFERROR(__xludf.DUMMYFUNCTION("GOOGLETRANSLATE(B5238, ""fr"", ""en"")"),"Good article delivered quickly Beautiful sweatshirt, caught in size L for my 16 year old daughter as she prefers to wear a little loose just right. So very happy !! Very soft material. The delivery earlier than expected, nickel for her birthday !!")</f>
        <v>Good article delivered quickly Beautiful sweatshirt, caught in size L for my 16 year old daughter as she prefers to wear a little loose just right. So very happy !! Very soft material. The delivery earlier than expected, nickel for her birthday !!</v>
      </c>
    </row>
    <row r="5239">
      <c r="A5239" s="1">
        <v>4.0</v>
      </c>
      <c r="B5239" s="1" t="s">
        <v>5177</v>
      </c>
      <c r="C5239" t="str">
        <f>IFERROR(__xludf.DUMMYFUNCTION("GOOGLETRANSLATE(B5239, ""fr"", ""en"")"),"Perfect Very comfortable thank you")</f>
        <v>Perfect Very comfortable thank you</v>
      </c>
    </row>
    <row r="5240">
      <c r="A5240" s="1">
        <v>4.0</v>
      </c>
      <c r="B5240" s="1" t="s">
        <v>5178</v>
      </c>
      <c r="C5240" t="str">
        <f>IFERROR(__xludf.DUMMYFUNCTION("GOOGLETRANSLATE(B5240, ""fr"", ""en"")"),"Size a bit small and discreet Nice. Size a bit small Very comfortable")</f>
        <v>Size a bit small and discreet Nice. Size a bit small Very comfortable</v>
      </c>
    </row>
    <row r="5241">
      <c r="A5241" s="1">
        <v>4.0</v>
      </c>
      <c r="B5241" s="1" t="s">
        <v>5179</v>
      </c>
      <c r="C5241" t="str">
        <f>IFERROR(__xludf.DUMMYFUNCTION("GOOGLETRANSLATE(B5241, ""fr"", ""en"")"),"Very beautiful earrings, and very good quality. for their finesse and brilliance.")</f>
        <v>Very beautiful earrings, and very good quality. for their finesse and brilliance.</v>
      </c>
    </row>
    <row r="5242">
      <c r="A5242" s="1">
        <v>5.0</v>
      </c>
      <c r="B5242" s="1" t="s">
        <v>5180</v>
      </c>
      <c r="C5242" t="str">
        <f>IFERROR(__xludf.DUMMYFUNCTION("GOOGLETRANSLATE(B5242, ""fr"", ""en"")"),"Trash bag 240 L Excellent product that may seem expensive given the number of units. It is perfectly solid and tight and that is exactly what we are looking for waste in town.")</f>
        <v>Trash bag 240 L Excellent product that may seem expensive given the number of units. It is perfectly solid and tight and that is exactly what we are looking for waste in town.</v>
      </c>
    </row>
    <row r="5243">
      <c r="A5243" s="1">
        <v>5.0</v>
      </c>
      <c r="B5243" s="1" t="s">
        <v>5181</v>
      </c>
      <c r="C5243" t="str">
        <f>IFERROR(__xludf.DUMMYFUNCTION("GOOGLETRANSLATE(B5243, ""fr"", ""en"")"),"Good pants The pants are soft light and personally I find it super nice, size is perfect for my man (he took L), it is very at ease in and the style is the one he sought. The pockets in the back pockets are false, but it still gives the style. The pants a"&amp;"rrived earlier than expected and consistent with the photos, it is good for the price, I do not regret the purchase.")</f>
        <v>Good pants The pants are soft light and personally I find it super nice, size is perfect for my man (he took L), it is very at ease in and the style is the one he sought. The pockets in the back pockets are false, but it still gives the style. The pants arrived earlier than expected and consistent with the photos, it is good for the price, I do not regret the purchase.</v>
      </c>
    </row>
    <row r="5244">
      <c r="A5244" s="1">
        <v>5.0</v>
      </c>
      <c r="B5244" s="1" t="s">
        <v>5182</v>
      </c>
      <c r="C5244" t="str">
        <f>IFERROR(__xludf.DUMMYFUNCTION("GOOGLETRANSLATE(B5244, ""fr"", ""en"")"),"Reproduces the sensation of breastfeeding for baby immediately Adopted by my daughter was 1 and a half months in parallel to breastfeeding. Are easy to clean because quite broad.")</f>
        <v>Reproduces the sensation of breastfeeding for baby immediately Adopted by my daughter was 1 and a half months in parallel to breastfeeding. Are easy to clean because quite broad.</v>
      </c>
    </row>
    <row r="5245">
      <c r="A5245" s="1">
        <v>5.0</v>
      </c>
      <c r="B5245" s="1" t="s">
        <v>5183</v>
      </c>
      <c r="C5245" t="str">
        <f>IFERROR(__xludf.DUMMYFUNCTION("GOOGLETRANSLATE(B5245, ""fr"", ""en"")"),"Not bad Good")</f>
        <v>Not bad Good</v>
      </c>
    </row>
    <row r="5246">
      <c r="A5246" s="1">
        <v>5.0</v>
      </c>
      <c r="B5246" s="1" t="s">
        <v>5184</v>
      </c>
      <c r="C5246" t="str">
        <f>IFERROR(__xludf.DUMMYFUNCTION("GOOGLETRANSLATE(B5246, ""fr"", ""en"")"),"I will pass me more since I have it, I use it a lot in different parts of the house. I use different essential oils depending on what I want like atmosphere (Zen, mosquito repellent and currently flies an anti mixture). It is easy to use, a program to 5 h"&amp;"ours. its different lighting scenes add a zen (in addition to the wooded design) especially at night.")</f>
        <v>I will pass me more since I have it, I use it a lot in different parts of the house. I use different essential oils depending on what I want like atmosphere (Zen, mosquito repellent and currently flies an anti mixture). It is easy to use, a program to 5 hours. its different lighting scenes add a zen (in addition to the wooded design) especially at night.</v>
      </c>
    </row>
    <row r="5247">
      <c r="A5247" s="1">
        <v>5.0</v>
      </c>
      <c r="B5247" s="1" t="s">
        <v>5185</v>
      </c>
      <c r="C5247" t="str">
        <f>IFERROR(__xludf.DUMMYFUNCTION("GOOGLETRANSLATE(B5247, ""fr"", ""en"")"),"ECONOMIC VERY !!!! it is true that it may seem paradoxical when comparing prices. But, I use these cartridges since early 2015 and this is their average usage: - black = a small year - cyan (blue) = at least 13 months (but I do a lot of printing using blu"&amp;"e) - the magenta (red) = between 15 and 18 months - the yellow (yellow) = 15 months. I take care of an association and I print mail regularly and flyers (about 8000 / year). So it's like the super market to be compared on a similar basis and despite their"&amp;" prices, they are much more economical than the seemingly cheaper cartridges!")</f>
        <v>ECONOMIC VERY !!!! it is true that it may seem paradoxical when comparing prices. But, I use these cartridges since early 2015 and this is their average usage: - black = a small year - cyan (blue) = at least 13 months (but I do a lot of printing using blue) - the magenta (red) = between 15 and 18 months - the yellow (yellow) = 15 months. I take care of an association and I print mail regularly and flyers (about 8000 / year). So it's like the super market to be compared on a similar basis and despite their prices, they are much more economical than the seemingly cheaper cartridges!</v>
      </c>
    </row>
    <row r="5248">
      <c r="A5248" s="1">
        <v>5.0</v>
      </c>
      <c r="B5248" s="1" t="s">
        <v>5186</v>
      </c>
      <c r="C5248" t="str">
        <f>IFERROR(__xludf.DUMMYFUNCTION("GOOGLETRANSLATE(B5248, ""fr"", ""en"")"),"Design simple and discreet. These headphones are great, have good solid look to have a nice design and a very good build quality. The sound is very good. They keep well in the ears, because not too big. very rewarding presentation, price gun. Really good "&amp;"job for the price !!")</f>
        <v>Design simple and discreet. These headphones are great, have good solid look to have a nice design and a very good build quality. The sound is very good. They keep well in the ears, because not too big. very rewarding presentation, price gun. Really good job for the price !!</v>
      </c>
    </row>
    <row r="5249">
      <c r="A5249" s="1">
        <v>5.0</v>
      </c>
      <c r="B5249" s="1" t="s">
        <v>5187</v>
      </c>
      <c r="C5249" t="str">
        <f>IFERROR(__xludf.DUMMYFUNCTION("GOOGLETRANSLATE(B5249, ""fr"", ""en"")"),"Very Pretty Nothing to say. Perfect !")</f>
        <v>Very Pretty Nothing to say. Perfect !</v>
      </c>
    </row>
    <row r="5250">
      <c r="A5250" s="1">
        <v>5.0</v>
      </c>
      <c r="B5250" s="1" t="s">
        <v>5188</v>
      </c>
      <c r="C5250" t="str">
        <f>IFERROR(__xludf.DUMMYFUNCTION("GOOGLETRANSLATE(B5250, ""fr"", ""en"")"),"To top bottles for my daughter it easy and easy to use but transported by cons must use bottled water if the tap limestone clean it often")</f>
        <v>To top bottles for my daughter it easy and easy to use but transported by cons must use bottled water if the tap limestone clean it often</v>
      </c>
    </row>
    <row r="5251">
      <c r="A5251" s="1">
        <v>5.0</v>
      </c>
      <c r="B5251" s="1" t="s">
        <v>5189</v>
      </c>
      <c r="C5251" t="str">
        <f>IFERROR(__xludf.DUMMYFUNCTION("GOOGLETRANSLATE(B5251, ""fr"", ""en"")"),"Only good quality teats accepted by my daughter. And convenient cleaning because everything comes apart.")</f>
        <v>Only good quality teats accepted by my daughter. And convenient cleaning because everything comes apart.</v>
      </c>
    </row>
    <row r="5252">
      <c r="A5252" s="1">
        <v>5.0</v>
      </c>
      <c r="B5252" s="1" t="s">
        <v>5190</v>
      </c>
      <c r="C5252" t="str">
        <f>IFERROR(__xludf.DUMMYFUNCTION("GOOGLETRANSLATE(B5252, ""fr"", ""en"")"),"apect nice to see in the use")</f>
        <v>apect nice to see in the use</v>
      </c>
    </row>
    <row r="5253">
      <c r="A5253" s="1">
        <v>5.0</v>
      </c>
      <c r="B5253" s="1" t="s">
        <v>5191</v>
      </c>
      <c r="C5253" t="str">
        <f>IFERROR(__xludf.DUMMYFUNCTION("GOOGLETRANSLATE(B5253, ""fr"", ""en"")"),"Perfect Very nice jacket that looks good")</f>
        <v>Perfect Very nice jacket that looks good</v>
      </c>
    </row>
    <row r="5254">
      <c r="A5254" s="1">
        <v>5.0</v>
      </c>
      <c r="B5254" s="1" t="s">
        <v>5192</v>
      </c>
      <c r="C5254" t="str">
        <f>IFERROR(__xludf.DUMMYFUNCTION("GOOGLETRANSLATE(B5254, ""fr"", ""en"")"),"Ink cartridge for printer cartridges well received in due time. Installation performed without problems. Very good performance and satisfactory product that I recommend. Thank you for everything!!")</f>
        <v>Ink cartridge for printer cartridges well received in due time. Installation performed without problems. Very good performance and satisfactory product that I recommend. Thank you for everything!!</v>
      </c>
    </row>
    <row r="5255">
      <c r="A5255" s="1">
        <v>5.0</v>
      </c>
      <c r="B5255" s="1" t="s">
        <v>5193</v>
      </c>
      <c r="C5255" t="str">
        <f>IFERROR(__xludf.DUMMYFUNCTION("GOOGLETRANSLATE(B5255, ""fr"", ""en"")"),"Great product I use this product for relaxed me and to fight against pain in shoulder blades.")</f>
        <v>Great product I use this product for relaxed me and to fight against pain in shoulder blades.</v>
      </c>
    </row>
    <row r="5256">
      <c r="A5256" s="1">
        <v>5.0</v>
      </c>
      <c r="B5256" s="1" t="s">
        <v>5194</v>
      </c>
      <c r="C5256" t="str">
        <f>IFERROR(__xludf.DUMMYFUNCTION("GOOGLETRANSLATE(B5256, ""fr"", ""en"")"),"Awakening light Philips This awakening is a classic. When my first dropped after several years, I have not found the same model but it and in the end I am very satisfied and design is better. The alarm function can be done with an integrated music Zen (eg"&amp;" waves or birdsong) or radio. Personally, I prefer birdsong coupled to the light which simulates the blade. I've noticed since I used the alarm is much easier with the dawn simulation. When the birdsong gets going, I'm wide awake and smoothly. The day sta"&amp;"rts easier. I recommend it to people who have difficult awakenings, it is better for our internal clock! The snooze function is also interesting because it allows to leave a night light for 30 minutes so the eyes become accustomed gradually to the light t"&amp;"hat declines and makes falling asleep more easily.")</f>
        <v>Awakening light Philips This awakening is a classic. When my first dropped after several years, I have not found the same model but it and in the end I am very satisfied and design is better. The alarm function can be done with an integrated music Zen (eg waves or birdsong) or radio. Personally, I prefer birdsong coupled to the light which simulates the blade. I've noticed since I used the alarm is much easier with the dawn simulation. When the birdsong gets going, I'm wide awake and smoothly. The day starts easier. I recommend it to people who have difficult awakenings, it is better for our internal clock! The snooze function is also interesting because it allows to leave a night light for 30 minutes so the eyes become accustomed gradually to the light that declines and makes falling asleep more easily.</v>
      </c>
    </row>
    <row r="5257">
      <c r="A5257" s="1">
        <v>2.0</v>
      </c>
      <c r="B5257" s="1" t="s">
        <v>5195</v>
      </c>
      <c r="C5257" t="str">
        <f>IFERROR(__xludf.DUMMYFUNCTION("GOOGLETRANSLATE(B5257, ""fr"", ""en"")"),"very strong smell of lemongrass Warning ca feels very strong lemongrass")</f>
        <v>very strong smell of lemongrass Warning ca feels very strong lemongrass</v>
      </c>
    </row>
    <row r="5258">
      <c r="A5258" s="1">
        <v>1.0</v>
      </c>
      <c r="B5258" s="1" t="s">
        <v>5196</v>
      </c>
      <c r="C5258" t="str">
        <f>IFERROR(__xludf.DUMMYFUNCTION("GOOGLETRANSLATE(B5258, ""fr"", ""en"")"),"NOT WORK Article seemed ok and functional but it did not worked with any keyboards with which I tested. Lost money, not recommended at all.")</f>
        <v>NOT WORK Article seemed ok and functional but it did not worked with any keyboards with which I tested. Lost money, not recommended at all.</v>
      </c>
    </row>
    <row r="5259">
      <c r="A5259" s="1">
        <v>3.0</v>
      </c>
      <c r="B5259" s="1" t="s">
        <v>5197</v>
      </c>
      <c r="C5259" t="str">
        <f>IFERROR(__xludf.DUMMYFUNCTION("GOOGLETRANSLATE(B5259, ""fr"", ""en"")"),"While relaxing, unconvincing smell I'm not a big fan of the smell. He barely mask the odor neutral (and I do not like) in an environmentally friendly detergent. I wanted to play but I abandon ethics. I find the smell quite disappointing. There it says a g"&amp;"ood softening action. There is room for improvement in terms of ecological products for the machine. The product is very liquid compared to others. It says 31 doses .. but it is clear that there will be less.")</f>
        <v>While relaxing, unconvincing smell I'm not a big fan of the smell. He barely mask the odor neutral (and I do not like) in an environmentally friendly detergent. I wanted to play but I abandon ethics. I find the smell quite disappointing. There it says a good softening action. There is room for improvement in terms of ecological products for the machine. The product is very liquid compared to others. It says 31 doses .. but it is clear that there will be less.</v>
      </c>
    </row>
    <row r="5260">
      <c r="A5260" s="1">
        <v>3.0</v>
      </c>
      <c r="B5260" s="1" t="s">
        <v>5198</v>
      </c>
      <c r="C5260" t="str">
        <f>IFERROR(__xludf.DUMMYFUNCTION("GOOGLETRANSLATE(B5260, ""fr"", ""en"")"),"Same as on the photo, they are exactly the same as the photo. Moderately comfortable fabric rather harsh and straight. White fabric very messy and very difficult cleaning")</f>
        <v>Same as on the photo, they are exactly the same as the photo. Moderately comfortable fabric rather harsh and straight. White fabric very messy and very difficult cleaning</v>
      </c>
    </row>
    <row r="5261">
      <c r="A5261" s="1">
        <v>4.0</v>
      </c>
      <c r="B5261" s="1" t="s">
        <v>5199</v>
      </c>
      <c r="C5261" t="str">
        <f>IFERROR(__xludf.DUMMYFUNCTION("GOOGLETRANSLATE(B5261, ""fr"", ""en"")"),"Necklace Pretty Necklace to offer")</f>
        <v>Necklace Pretty Necklace to offer</v>
      </c>
    </row>
    <row r="5262">
      <c r="A5262" s="1">
        <v>4.0</v>
      </c>
      <c r="B5262" s="1" t="s">
        <v>5200</v>
      </c>
      <c r="C5262" t="str">
        <f>IFERROR(__xludf.DUMMYFUNCTION("GOOGLETRANSLATE(B5262, ""fr"", ""en"")"),"size small size too small")</f>
        <v>size small size too small</v>
      </c>
    </row>
    <row r="5263">
      <c r="A5263" s="1">
        <v>4.0</v>
      </c>
      <c r="B5263" s="1" t="s">
        <v>5201</v>
      </c>
      <c r="C5263" t="str">
        <f>IFERROR(__xludf.DUMMYFUNCTION("GOOGLETRANSLATE(B5263, ""fr"", ""en"")"),"Clean and fresh all the time these wet toilet paper, are super practical and very hygienic. It refreshes and feels clean. The top is to associate with the dry toilet paper. The smell could have been more fresh or floral it very much but I would think it's"&amp;" to avoid irritation. I recommend anyway top every day.")</f>
        <v>Clean and fresh all the time these wet toilet paper, are super practical and very hygienic. It refreshes and feels clean. The top is to associate with the dry toilet paper. The smell could have been more fresh or floral it very much but I would think it's to avoid irritation. I recommend anyway top every day.</v>
      </c>
    </row>
    <row r="5264">
      <c r="A5264" s="1">
        <v>4.0</v>
      </c>
      <c r="B5264" s="1" t="s">
        <v>2457</v>
      </c>
      <c r="C5264" t="str">
        <f>IFERROR(__xludf.DUMMYFUNCTION("GOOGLETRANSLATE(B5264, ""fr"", ""en"")"),"Ok Ok")</f>
        <v>Ok Ok</v>
      </c>
    </row>
    <row r="5265">
      <c r="A5265" s="1">
        <v>5.0</v>
      </c>
      <c r="B5265" s="1" t="s">
        <v>5202</v>
      </c>
      <c r="C5265" t="str">
        <f>IFERROR(__xludf.DUMMYFUNCTION("GOOGLETRANSLATE(B5265, ""fr"", ""en"")"),"Ras Cheap and works well")</f>
        <v>Ras Cheap and works well</v>
      </c>
    </row>
    <row r="5266">
      <c r="A5266" s="1">
        <v>5.0</v>
      </c>
      <c r="B5266" s="1" t="s">
        <v>5203</v>
      </c>
      <c r="C5266" t="str">
        <f>IFERROR(__xludf.DUMMYFUNCTION("GOOGLETRANSLATE(B5266, ""fr"", ""en"")"),"perfect for transition breastfeeding Flow is very good because the M flows too quickly. s baby smothered. S is perfect and now I m used with these céreales Evening giving a helping chisel for purchase of other dummies for wide it does not worth it!")</f>
        <v>perfect for transition breastfeeding Flow is very good because the M flows too quickly. s baby smothered. S is perfect and now I m used with these céreales Evening giving a helping chisel for purchase of other dummies for wide it does not worth it!</v>
      </c>
    </row>
    <row r="5267">
      <c r="A5267" s="1">
        <v>5.0</v>
      </c>
      <c r="B5267" s="1" t="s">
        <v>5204</v>
      </c>
      <c r="C5267" t="str">
        <f>IFERROR(__xludf.DUMMYFUNCTION("GOOGLETRANSLATE(B5267, ""fr"", ""en"")"),"Drainer Drainer bottle handy bottle for the baby safe. Each of my bottles accessories mam dodies find there its place!")</f>
        <v>Drainer Drainer bottle handy bottle for the baby safe. Each of my bottles accessories mam dodies find there its place!</v>
      </c>
    </row>
    <row r="5268">
      <c r="A5268" s="1">
        <v>5.0</v>
      </c>
      <c r="B5268" s="1" t="s">
        <v>5205</v>
      </c>
      <c r="C5268" t="str">
        <f>IFERROR(__xludf.DUMMYFUNCTION("GOOGLETRANSLATE(B5268, ""fr"", ""en"")"),"I love them with multiple colors below those pencil marks are perfectly righteous. The mixtures are easily, the colors are very bright and the pigmentation is excellent. I can only advise you. I joined a coloring only do it with pencils.")</f>
        <v>I love them with multiple colors below those pencil marks are perfectly righteous. The mixtures are easily, the colors are very bright and the pigmentation is excellent. I can only advise you. I joined a coloring only do it with pencils.</v>
      </c>
    </row>
    <row r="5269">
      <c r="A5269" s="1">
        <v>5.0</v>
      </c>
      <c r="B5269" s="1" t="s">
        <v>5206</v>
      </c>
      <c r="C5269" t="str">
        <f>IFERROR(__xludf.DUMMYFUNCTION("GOOGLETRANSLATE(B5269, ""fr"", ""en"")"),"Beautiful She really great yes really")</f>
        <v>Beautiful She really great yes really</v>
      </c>
    </row>
    <row r="5270">
      <c r="A5270" s="1">
        <v>5.0</v>
      </c>
      <c r="B5270" s="1" t="s">
        <v>5207</v>
      </c>
      <c r="C5270" t="str">
        <f>IFERROR(__xludf.DUMMYFUNCTION("GOOGLETRANSLATE(B5270, ""fr"", ""en"")"),"Great value compared to supermarkets Super value for money over the money on Amazon and much cheaper than supermarket cartridges are easy to change and economic hyper")</f>
        <v>Great value compared to supermarkets Super value for money over the money on Amazon and much cheaper than supermarket cartridges are easy to change and economic hyper</v>
      </c>
    </row>
    <row r="5271">
      <c r="A5271" s="1">
        <v>5.0</v>
      </c>
      <c r="B5271" s="1" t="s">
        <v>5208</v>
      </c>
      <c r="C5271" t="str">
        <f>IFERROR(__xludf.DUMMYFUNCTION("GOOGLETRANSLATE(B5271, ""fr"", ""en"")"),"Pens to be recommended by a friend, I broke down and they never leaves my hands. Super slide, pleasant colors! As often with Paper Mate no one misstep is hard quality.")</f>
        <v>Pens to be recommended by a friend, I broke down and they never leaves my hands. Super slide, pleasant colors! As often with Paper Mate no one misstep is hard quality.</v>
      </c>
    </row>
    <row r="5272">
      <c r="A5272" s="1">
        <v>5.0</v>
      </c>
      <c r="B5272" s="1" t="s">
        <v>5209</v>
      </c>
      <c r="C5272" t="str">
        <f>IFERROR(__xludf.DUMMYFUNCTION("GOOGLETRANSLATE(B5272, ""fr"", ""en"")"),"Very Pretty satisafait warm socks and comfortable. To recommend.")</f>
        <v>Very Pretty satisafait warm socks and comfortable. To recommend.</v>
      </c>
    </row>
    <row r="5273">
      <c r="A5273" s="1">
        <v>5.0</v>
      </c>
      <c r="B5273" s="1" t="s">
        <v>5210</v>
      </c>
      <c r="C5273" t="str">
        <f>IFERROR(__xludf.DUMMYFUNCTION("GOOGLETRANSLATE(B5273, ""fr"", ""en"")"),"Very good quality Excellent quality")</f>
        <v>Very good quality Excellent quality</v>
      </c>
    </row>
    <row r="5274">
      <c r="A5274" s="1">
        <v>5.0</v>
      </c>
      <c r="B5274" s="1" t="s">
        <v>5211</v>
      </c>
      <c r="C5274" t="str">
        <f>IFERROR(__xludf.DUMMYFUNCTION("GOOGLETRANSLATE(B5274, ""fr"", ""en"")"),"Good quality and comfortable with time we will see but the shoes look good. The color matches the photos on the site. I find comfortable (though a bit less than the Adidas Superstar).")</f>
        <v>Good quality and comfortable with time we will see but the shoes look good. The color matches the photos on the site. I find comfortable (though a bit less than the Adidas Superstar).</v>
      </c>
    </row>
    <row r="5275">
      <c r="A5275" s="1">
        <v>5.0</v>
      </c>
      <c r="B5275" s="1" t="s">
        <v>5212</v>
      </c>
      <c r="C5275" t="str">
        <f>IFERROR(__xludf.DUMMYFUNCTION("GOOGLETRANSLATE(B5275, ""fr"", ""en"")"),"Casio Watch GSHOCK very nice and not heavy on the wrist, relatively easy to solve with the help of the manual, beautiful solid article.")</f>
        <v>Casio Watch GSHOCK very nice and not heavy on the wrist, relatively easy to solve with the help of the manual, beautiful solid article.</v>
      </c>
    </row>
    <row r="5276">
      <c r="A5276" s="1">
        <v>5.0</v>
      </c>
      <c r="B5276" s="1" t="s">
        <v>5213</v>
      </c>
      <c r="C5276" t="str">
        <f>IFERROR(__xludf.DUMMYFUNCTION("GOOGLETRANSLATE(B5276, ""fr"", ""en"")"),"ok Headphones Teen delighted with his gift. Lightweight headset with good sound.")</f>
        <v>ok Headphones Teen delighted with his gift. Lightweight headset with good sound.</v>
      </c>
    </row>
    <row r="5277">
      <c r="A5277" s="1">
        <v>5.0</v>
      </c>
      <c r="B5277" s="1" t="s">
        <v>5214</v>
      </c>
      <c r="C5277" t="str">
        <f>IFERROR(__xludf.DUMMYFUNCTION("GOOGLETRANSLATE(B5277, ""fr"", ""en"")"),"Flawless for water heaters a 1/2 day! Nothing to say, I put the 13h hot water in the afternoon and it was still warm at 3am the next day. Super convenient if you go long or take the train. I use water from the thermos bottle directly and add cold water if"&amp;" the temperature is high. My son does not like at all the cold milk and heat the bottle takes time, it is ideal if you have a baby that requires immediate milk. Got to heat water for it to take long. I have not tested for warming baby food for my baby hav"&amp;"e not yet old enough to take.")</f>
        <v>Flawless for water heaters a 1/2 day! Nothing to say, I put the 13h hot water in the afternoon and it was still warm at 3am the next day. Super convenient if you go long or take the train. I use water from the thermos bottle directly and add cold water if the temperature is high. My son does not like at all the cold milk and heat the bottle takes time, it is ideal if you have a baby that requires immediate milk. Got to heat water for it to take long. I have not tested for warming baby food for my baby have not yet old enough to take.</v>
      </c>
    </row>
    <row r="5278">
      <c r="A5278" s="1">
        <v>5.0</v>
      </c>
      <c r="B5278" s="1" t="s">
        <v>5215</v>
      </c>
      <c r="C5278" t="str">
        <f>IFERROR(__xludf.DUMMYFUNCTION("GOOGLETRANSLATE(B5278, ""fr"", ""en"")"),"Especially Teapot for tea and herbal tea, easy to use very good product")</f>
        <v>Especially Teapot for tea and herbal tea, easy to use very good product</v>
      </c>
    </row>
    <row r="5279">
      <c r="A5279" s="1">
        <v>5.0</v>
      </c>
      <c r="B5279" s="1" t="s">
        <v>5216</v>
      </c>
      <c r="C5279" t="str">
        <f>IFERROR(__xludf.DUMMYFUNCTION("GOOGLETRANSLATE(B5279, ""fr"", ""en"")"),"Excellent purchase Kettle compact as aesthetic as practical, good capacity (neither too large nor too small), easy to complete (opening pusher lid) with quite visible water level. It heats quickly, certainly making some noise, but all the pitchers are mor"&amp;"e or less noisy (got worse) and at least one is sure that the water is being boiled!")</f>
        <v>Excellent purchase Kettle compact as aesthetic as practical, good capacity (neither too large nor too small), easy to complete (opening pusher lid) with quite visible water level. It heats quickly, certainly making some noise, but all the pitchers are more or less noisy (got worse) and at least one is sure that the water is being boiled!</v>
      </c>
    </row>
    <row r="5280">
      <c r="A5280" s="1">
        <v>5.0</v>
      </c>
      <c r="B5280" s="1" t="s">
        <v>5217</v>
      </c>
      <c r="C5280" t="str">
        <f>IFERROR(__xludf.DUMMYFUNCTION("GOOGLETRANSLATE(B5280, ""fr"", ""en"")"),"Although Received Saturday I wore it a day for now, it is wide you can put a sweater underneath me that puts the 48 coat, I took in XXL to be sure, and I was not disappointed.")</f>
        <v>Although Received Saturday I wore it a day for now, it is wide you can put a sweater underneath me that puts the 48 coat, I took in XXL to be sure, and I was not disappointed.</v>
      </c>
    </row>
    <row r="5281">
      <c r="A5281" s="1">
        <v>2.0</v>
      </c>
      <c r="B5281" s="1" t="s">
        <v>5218</v>
      </c>
      <c r="C5281" t="str">
        <f>IFERROR(__xludf.DUMMYFUNCTION("GOOGLETRANSLATE(B5281, ""fr"", ""en"")"),"Size large, take a size smaller than the usual size of the shoes I usually 43. With 42 is ok but the size or half size above are not suitable.")</f>
        <v>Size large, take a size smaller than the usual size of the shoes I usually 43. With 42 is ok but the size or half size above are not suitable.</v>
      </c>
    </row>
    <row r="5282">
      <c r="A5282" s="1">
        <v>1.0</v>
      </c>
      <c r="B5282" s="1" t="s">
        <v>5219</v>
      </c>
      <c r="C5282" t="str">
        <f>IFERROR(__xludf.DUMMYFUNCTION("GOOGLETRANSLATE(B5282, ""fr"", ""en"")"),"Poor quality poor quality, sweat too late very poor can not make returns")</f>
        <v>Poor quality poor quality, sweat too late very poor can not make returns</v>
      </c>
    </row>
    <row r="5283">
      <c r="A5283" s="1">
        <v>1.0</v>
      </c>
      <c r="B5283" s="1" t="s">
        <v>5220</v>
      </c>
      <c r="C5283" t="str">
        <f>IFERROR(__xludf.DUMMYFUNCTION("GOOGLETRANSLATE(B5283, ""fr"", ""en"")"),"No Do not match the advertised product, odor of gas oil,")</f>
        <v>No Do not match the advertised product, odor of gas oil,</v>
      </c>
    </row>
    <row r="5284">
      <c r="A5284" s="1">
        <v>3.0</v>
      </c>
      <c r="B5284" s="1" t="s">
        <v>5221</v>
      </c>
      <c r="C5284" t="str">
        <f>IFERROR(__xludf.DUMMYFUNCTION("GOOGLETRANSLATE(B5284, ""fr"", ""en"")"),"Feels strong plastic: / Nickel to smoke :), by the plastique-- feels strong against")</f>
        <v>Feels strong plastic: / Nickel to smoke :), by the plastique-- feels strong against</v>
      </c>
    </row>
    <row r="5285">
      <c r="A5285" s="1">
        <v>3.0</v>
      </c>
      <c r="B5285" s="1" t="s">
        <v>5222</v>
      </c>
      <c r="C5285" t="str">
        <f>IFERROR(__xludf.DUMMYFUNCTION("GOOGLETRANSLATE(B5285, ""fr"", ""en"")"),"pretty beautiful loop")</f>
        <v>pretty beautiful loop</v>
      </c>
    </row>
    <row r="5286">
      <c r="A5286" s="1">
        <v>4.0</v>
      </c>
      <c r="B5286" s="1" t="s">
        <v>5223</v>
      </c>
      <c r="C5286" t="str">
        <f>IFERROR(__xludf.DUMMYFUNCTION("GOOGLETRANSLATE(B5286, ""fr"", ""en"")"),"Wipes useful to use several times I know very well the wipes Discoloration Stop, I have used for years. I re-used elsewhere until they have absorbed too much color, also for environmental reasons. They work wonderfully, allow to wash the black with color,"&amp;" for example. I advise you to compare the prices of different batches of this product because a big box economy size is well priced as little boxes like this. A report that I also test the purple boxes, so-called 'intensive', but I was not able to re-use "&amp;"as wipes red boxes, so no interest, especially as wipes red boxes do the job perfectly.")</f>
        <v>Wipes useful to use several times I know very well the wipes Discoloration Stop, I have used for years. I re-used elsewhere until they have absorbed too much color, also for environmental reasons. They work wonderfully, allow to wash the black with color, for example. I advise you to compare the prices of different batches of this product because a big box economy size is well priced as little boxes like this. A report that I also test the purple boxes, so-called 'intensive', but I was not able to re-use as wipes red boxes, so no interest, especially as wipes red boxes do the job perfectly.</v>
      </c>
    </row>
    <row r="5287">
      <c r="A5287" s="1">
        <v>4.0</v>
      </c>
      <c r="B5287" s="1" t="s">
        <v>5224</v>
      </c>
      <c r="C5287" t="str">
        <f>IFERROR(__xludf.DUMMYFUNCTION("GOOGLETRANSLATE(B5287, ""fr"", ""en"")"),"Nickel for external recording with a smartphone handy tool for even interviews outside beginner. It works for recording audio video capture but just video without audio. I use a Samsung Galaxy S6 and it works nickel. Only one friend tried with her Huawei "&amp;"and it did not ....: /")</f>
        <v>Nickel for external recording with a smartphone handy tool for even interviews outside beginner. It works for recording audio video capture but just video without audio. I use a Samsung Galaxy S6 and it works nickel. Only one friend tried with her Huawei and it did not ....: /</v>
      </c>
    </row>
    <row r="5288">
      <c r="A5288" s="1">
        <v>4.0</v>
      </c>
      <c r="B5288" s="1" t="s">
        <v>1547</v>
      </c>
      <c r="C5288" t="str">
        <f>IFERROR(__xludf.DUMMYFUNCTION("GOOGLETRANSLATE(B5288, ""fr"", ""en"")"),"Ras Ras")</f>
        <v>Ras Ras</v>
      </c>
    </row>
    <row r="5289">
      <c r="A5289" s="1">
        <v>4.0</v>
      </c>
      <c r="B5289" s="1" t="s">
        <v>5225</v>
      </c>
      <c r="C5289" t="str">
        <f>IFERROR(__xludf.DUMMYFUNCTION("GOOGLETRANSLATE(B5289, ""fr"", ""en"")"),"Okay Good size, comfortable.")</f>
        <v>Okay Good size, comfortable.</v>
      </c>
    </row>
    <row r="5290">
      <c r="A5290" s="1">
        <v>5.0</v>
      </c>
      <c r="B5290" s="1" t="s">
        <v>5226</v>
      </c>
      <c r="C5290" t="str">
        <f>IFERROR(__xludf.DUMMYFUNCTION("GOOGLETRANSLATE(B5290, ""fr"", ""en"")"),"Coat I do not regret this purchase. Coat perfect for fall, it is bent. I love the material, it makes me think of a polar, it is very good inside. The hood is filled. At length it is quite what it does.")</f>
        <v>Coat I do not regret this purchase. Coat perfect for fall, it is bent. I love the material, it makes me think of a polar, it is very good inside. The hood is filled. At length it is quite what it does.</v>
      </c>
    </row>
    <row r="5291">
      <c r="A5291" s="1">
        <v>5.0</v>
      </c>
      <c r="B5291" s="1" t="s">
        <v>5227</v>
      </c>
      <c r="C5291" t="str">
        <f>IFERROR(__xludf.DUMMYFUNCTION("GOOGLETRANSLATE(B5291, ""fr"", ""en"")"),"Bensimon Good product, not surprisingly, Bensimon quality and finish. I highly recommend.")</f>
        <v>Bensimon Good product, not surprisingly, Bensimon quality and finish. I highly recommend.</v>
      </c>
    </row>
    <row r="5292">
      <c r="A5292" s="1">
        <v>5.0</v>
      </c>
      <c r="B5292" s="1" t="s">
        <v>5228</v>
      </c>
      <c r="C5292" t="str">
        <f>IFERROR(__xludf.DUMMYFUNCTION("GOOGLETRANSLATE(B5292, ""fr"", ""en"")"),"very nice I am happy with this purchase, the pendulum is exactly like the picture, good working very, very pretty. for small and even large")</f>
        <v>very nice I am happy with this purchase, the pendulum is exactly like the picture, good working very, very pretty. for small and even large</v>
      </c>
    </row>
    <row r="5293">
      <c r="A5293" s="1">
        <v>5.0</v>
      </c>
      <c r="B5293" s="1" t="s">
        <v>5229</v>
      </c>
      <c r="C5293" t="str">
        <f>IFERROR(__xludf.DUMMYFUNCTION("GOOGLETRANSLATE(B5293, ""fr"", ""en"")"),"Very pretty curls! Purchased for a birthday, they are really as beautiful as the pictures! (I took them in purple). They are sent in a small round box with a small top knot (very nice to offer!) With plastic clips to the back of the loop. (No metal fasten"&amp;"ers, at least in my case). They have a lot more ... And as soon as I can, I take for myself, I think ^^ Note: I only buy brand Fashmond far (there is the choice thankfully) because it seems that their jewelry contain a priori tin because silver jewelry pu"&amp;"rchased in conventional jewelry stores give me terrible allergies me make ears bleed! : - / Here, no worries for now! :-) (I bought 3 different pairs of Fashmond mark for me, for now!) The shipment was super fast, and well protected! I recommend, especial"&amp;"ly given the price! (12.99 euros for my purchase!)")</f>
        <v>Very pretty curls! Purchased for a birthday, they are really as beautiful as the pictures! (I took them in purple). They are sent in a small round box with a small top knot (very nice to offer!) With plastic clips to the back of the loop. (No metal fasteners, at least in my case). They have a lot more ... And as soon as I can, I take for myself, I think ^^ Note: I only buy brand Fashmond far (there is the choice thankfully) because it seems that their jewelry contain a priori tin because silver jewelry purchased in conventional jewelry stores give me terrible allergies me make ears bleed! : - / Here, no worries for now! :-) (I bought 3 different pairs of Fashmond mark for me, for now!) The shipment was super fast, and well protected! I recommend, especially given the price! (12.99 euros for my purchase!)</v>
      </c>
    </row>
    <row r="5294">
      <c r="A5294" s="1">
        <v>5.0</v>
      </c>
      <c r="B5294" s="1" t="s">
        <v>5230</v>
      </c>
      <c r="C5294" t="str">
        <f>IFERROR(__xludf.DUMMYFUNCTION("GOOGLETRANSLATE(B5294, ""fr"", ""en"")"),"Perfect Very good")</f>
        <v>Perfect Very good</v>
      </c>
    </row>
    <row r="5295">
      <c r="A5295" s="1">
        <v>5.0</v>
      </c>
      <c r="B5295" s="1" t="s">
        <v>5231</v>
      </c>
      <c r="C5295" t="str">
        <f>IFERROR(__xludf.DUMMYFUNCTION("GOOGLETRANSLATE(B5295, ""fr"", ""en"")"),"Superb track pants pants thank you Amazon Superb brand Adidas tracksuit beautiful beautiful rugged material cut I highly recommend it to all sportsmen like me thank you Amazon")</f>
        <v>Superb track pants pants thank you Amazon Superb brand Adidas tracksuit beautiful beautiful rugged material cut I highly recommend it to all sportsmen like me thank you Amazon</v>
      </c>
    </row>
    <row r="5296">
      <c r="A5296" s="1">
        <v>5.0</v>
      </c>
      <c r="B5296" s="1" t="s">
        <v>5232</v>
      </c>
      <c r="C5296" t="str">
        <f>IFERROR(__xludf.DUMMYFUNCTION("GOOGLETRANSLATE(B5296, ""fr"", ""en"")"),"pretty Sympas")</f>
        <v>pretty Sympas</v>
      </c>
    </row>
    <row r="5297">
      <c r="A5297" s="1">
        <v>5.0</v>
      </c>
      <c r="B5297" s="1" t="s">
        <v>5233</v>
      </c>
      <c r="C5297" t="str">
        <f>IFERROR(__xludf.DUMMYFUNCTION("GOOGLETRANSLATE(B5297, ""fr"", ""en"")"),"Perfect condition Perfect condition")</f>
        <v>Perfect condition Perfect condition</v>
      </c>
    </row>
    <row r="5298">
      <c r="A5298" s="1">
        <v>5.0</v>
      </c>
      <c r="B5298" s="1" t="s">
        <v>5234</v>
      </c>
      <c r="C5298" t="str">
        <f>IFERROR(__xludf.DUMMYFUNCTION("GOOGLETRANSLATE(B5298, ""fr"", ""en"")"),"Great sound tv Super headphones I recommend for TV I have another of the same brand that always works and that my mother uses. Cassue quality on all levels")</f>
        <v>Great sound tv Super headphones I recommend for TV I have another of the same brand that always works and that my mother uses. Cassue quality on all levels</v>
      </c>
    </row>
    <row r="5299">
      <c r="A5299" s="1">
        <v>5.0</v>
      </c>
      <c r="B5299" s="1" t="s">
        <v>5235</v>
      </c>
      <c r="C5299" t="str">
        <f>IFERROR(__xludf.DUMMYFUNCTION("GOOGLETRANSLATE(B5299, ""fr"", ""en"")"),"Very good very good product. Comply with the order ..")</f>
        <v>Very good very good product. Comply with the order ..</v>
      </c>
    </row>
    <row r="5300">
      <c r="A5300" s="1">
        <v>5.0</v>
      </c>
      <c r="B5300" s="1" t="s">
        <v>5236</v>
      </c>
      <c r="C5300" t="str">
        <f>IFERROR(__xludf.DUMMYFUNCTION("GOOGLETRANSLATE(B5300, ""fr"", ""en"")"),"CLEANING EFFICIENT Tested for over 2 years. I'm cleaning my 2 dishwasher every 6 months and I admit the efficacy of this product. The tank is really clean and no residues. Also, my dishwasher is assenit and remains shiny some time. I recommend this produc"&amp;"t is really effective.")</f>
        <v>CLEANING EFFICIENT Tested for over 2 years. I'm cleaning my 2 dishwasher every 6 months and I admit the efficacy of this product. The tank is really clean and no residues. Also, my dishwasher is assenit and remains shiny some time. I recommend this product is really effective.</v>
      </c>
    </row>
    <row r="5301">
      <c r="A5301" s="1">
        <v>5.0</v>
      </c>
      <c r="B5301" s="1" t="s">
        <v>5237</v>
      </c>
      <c r="C5301" t="str">
        <f>IFERROR(__xludf.DUMMYFUNCTION("GOOGLETRANSLATE(B5301, ""fr"", ""en"")"),"Good quality Excellent quality / price ratio for all. Warning: this product requires 48v phantom power to function properly.")</f>
        <v>Good quality Excellent quality / price ratio for all. Warning: this product requires 48v phantom power to function properly.</v>
      </c>
    </row>
    <row r="5302">
      <c r="A5302" s="1">
        <v>5.0</v>
      </c>
      <c r="B5302" s="1" t="s">
        <v>5238</v>
      </c>
      <c r="C5302" t="str">
        <f>IFERROR(__xludf.DUMMYFUNCTION("GOOGLETRANSLATE(B5302, ""fr"", ""en"")"),"perfect for my very good use product that matches my expectations. Just a little difficulty putting on the hard foam that is located inside the cover anti wind Thanks")</f>
        <v>perfect for my very good use product that matches my expectations. Just a little difficulty putting on the hard foam that is located inside the cover anti wind Thanks</v>
      </c>
    </row>
    <row r="5303">
      <c r="A5303" s="1">
        <v>5.0</v>
      </c>
      <c r="B5303" s="1" t="s">
        <v>5239</v>
      </c>
      <c r="C5303" t="str">
        <f>IFERROR(__xludf.DUMMYFUNCTION("GOOGLETRANSLATE(B5303, ""fr"", ""en"")"),"impeccable Okay, good countenance, not bruillante pretty, I recommend.")</f>
        <v>impeccable Okay, good countenance, not bruillante pretty, I recommend.</v>
      </c>
    </row>
    <row r="5304">
      <c r="A5304" s="1">
        <v>5.0</v>
      </c>
      <c r="B5304" s="1" t="s">
        <v>5240</v>
      </c>
      <c r="C5304" t="str">
        <f>IFERROR(__xludf.DUMMYFUNCTION("GOOGLETRANSLATE(B5304, ""fr"", ""en"")"),"The famous brand Rubson absorber effective Parcel arrived well in time, no case for absorbing I recommend it for the rooms, bathroom, kitchen cool sensation")</f>
        <v>The famous brand Rubson absorber effective Parcel arrived well in time, no case for absorbing I recommend it for the rooms, bathroom, kitchen cool sensation</v>
      </c>
    </row>
    <row r="5305">
      <c r="A5305" s="1">
        <v>2.0</v>
      </c>
      <c r="B5305" s="1" t="s">
        <v>5241</v>
      </c>
      <c r="C5305" t="str">
        <f>IFERROR(__xludf.DUMMYFUNCTION("GOOGLETRANSLATE(B5305, ""fr"", ""en"")"),"Very ECU ECU Although, I think the stilo was old. Accustomed to buy this very respectable brand lá he walked very little, dry very quickly. The first step has become expensive.")</f>
        <v>Very ECU ECU Although, I think the stilo was old. Accustomed to buy this very respectable brand lá he walked very little, dry very quickly. The first step has become expensive.</v>
      </c>
    </row>
    <row r="5306">
      <c r="A5306" s="1">
        <v>1.0</v>
      </c>
      <c r="B5306" s="1" t="s">
        <v>5242</v>
      </c>
      <c r="C5306" t="str">
        <f>IFERROR(__xludf.DUMMYFUNCTION("GOOGLETRANSLATE(B5306, ""fr"", ""en"")"),"Scam Alert !! Do not buy this product, I do not know if it is a pale imitation of the real paper of Armenia or it changed the recipe but obviously this is a poor quality product: paper is yellow and not red like the old but mostly it keeps turning itself "&amp;"off making its unbearable use. To avoid !!!")</f>
        <v>Scam Alert !! Do not buy this product, I do not know if it is a pale imitation of the real paper of Armenia or it changed the recipe but obviously this is a poor quality product: paper is yellow and not red like the old but mostly it keeps turning itself off making its unbearable use. To avoid !!!</v>
      </c>
    </row>
    <row r="5307">
      <c r="A5307" s="1">
        <v>1.0</v>
      </c>
      <c r="B5307" s="1" t="s">
        <v>5243</v>
      </c>
      <c r="C5307" t="str">
        <f>IFERROR(__xludf.DUMMYFUNCTION("GOOGLETRANSLATE(B5307, ""fr"", ""en"")"),"Definition of the word ""new"" How can I take seriously a mark when the model I receive is obviously not new (see photo): - signs of wear of the case, especially on the battery cover. - pin to open the battery cover damaged, probably by using a screwdrive"&amp;"r. The +: + Compact, lightweight. + Screen with proper contrast. The -: - Finishes a little ""cheap"" - Repair Level / recyclability: 0")</f>
        <v>Definition of the word "new" How can I take seriously a mark when the model I receive is obviously not new (see photo): - signs of wear of the case, especially on the battery cover. - pin to open the battery cover damaged, probably by using a screwdriver. The +: + Compact, lightweight. + Screen with proper contrast. The -: - Finishes a little "cheap" - Repair Level / recyclability: 0</v>
      </c>
    </row>
    <row r="5308">
      <c r="A5308" s="1">
        <v>3.0</v>
      </c>
      <c r="B5308" s="1" t="s">
        <v>5244</v>
      </c>
      <c r="C5308" t="str">
        <f>IFERROR(__xludf.DUMMYFUNCTION("GOOGLETRANSLATE(B5308, ""fr"", ""en"")"),"comfortable this jogging is soft and warm. Fairly wide with a cord tight trousers which is convenient to adjust")</f>
        <v>comfortable this jogging is soft and warm. Fairly wide with a cord tight trousers which is convenient to adjust</v>
      </c>
    </row>
    <row r="5309">
      <c r="A5309" s="1">
        <v>4.0</v>
      </c>
      <c r="B5309" s="1" t="s">
        <v>5245</v>
      </c>
      <c r="C5309" t="str">
        <f>IFERROR(__xludf.DUMMYFUNCTION("GOOGLETRANSLATE(B5309, ""fr"", ""en"")"),"Complies control Watch compliant. My son is delighted but he forgets it all the time. Recommended for value for money. Delighted")</f>
        <v>Complies control Watch compliant. My son is delighted but he forgets it all the time. Recommended for value for money. Delighted</v>
      </c>
    </row>
    <row r="5310">
      <c r="A5310" s="1">
        <v>4.0</v>
      </c>
      <c r="B5310" s="1" t="s">
        <v>5246</v>
      </c>
      <c r="C5310" t="str">
        <f>IFERROR(__xludf.DUMMYFUNCTION("GOOGLETRANSLATE(B5310, ""fr"", ""en"")"),"Good quality Lightweight flexible focus size a little big to take a size smaller")</f>
        <v>Good quality Lightweight flexible focus size a little big to take a size smaller</v>
      </c>
    </row>
    <row r="5311">
      <c r="A5311" s="1">
        <v>4.0</v>
      </c>
      <c r="B5311" s="1" t="s">
        <v>5247</v>
      </c>
      <c r="C5311" t="str">
        <f>IFERROR(__xludf.DUMMYFUNCTION("GOOGLETRANSLATE(B5311, ""fr"", ""en"")"),"Beautiful jewelry gift")</f>
        <v>Beautiful jewelry gift</v>
      </c>
    </row>
    <row r="5312">
      <c r="A5312" s="1">
        <v>4.0</v>
      </c>
      <c r="B5312" s="1" t="s">
        <v>5248</v>
      </c>
      <c r="C5312" t="str">
        <f>IFERROR(__xludf.DUMMYFUNCTION("GOOGLETRANSLATE(B5312, ""fr"", ""en"")"),"soft, non-greasy oil Excellent oil, corresponds exactly to my expectations. Arrived at the agreed date")</f>
        <v>soft, non-greasy oil Excellent oil, corresponds exactly to my expectations. Arrived at the agreed date</v>
      </c>
    </row>
    <row r="5313">
      <c r="A5313" s="1">
        <v>4.0</v>
      </c>
      <c r="B5313" s="1" t="s">
        <v>5249</v>
      </c>
      <c r="C5313" t="str">
        <f>IFERROR(__xludf.DUMMYFUNCTION("GOOGLETRANSLATE(B5313, ""fr"", ""en"")"),"A4 paper commonly used for current use is perfect.")</f>
        <v>A4 paper commonly used for current use is perfect.</v>
      </c>
    </row>
    <row r="5314">
      <c r="A5314" s="1">
        <v>5.0</v>
      </c>
      <c r="B5314" s="1" t="s">
        <v>5250</v>
      </c>
      <c r="C5314" t="str">
        <f>IFERROR(__xludf.DUMMYFUNCTION("GOOGLETRANSLATE(B5314, ""fr"", ""en"")"),"Excellent Product! Marshall signed a very good product! Reliable, robust in design very advantageous. The technical quality is present Great Helmet")</f>
        <v>Excellent Product! Marshall signed a very good product! Reliable, robust in design very advantageous. The technical quality is present Great Helmet</v>
      </c>
    </row>
    <row r="5315">
      <c r="A5315" s="1">
        <v>5.0</v>
      </c>
      <c r="B5315" s="1" t="s">
        <v>5251</v>
      </c>
      <c r="C5315" t="str">
        <f>IFERROR(__xludf.DUMMYFUNCTION("GOOGLETRANSLATE(B5315, ""fr"", ""en"")"),"Okay Excellent pens to write. The different colors are seen well when writing (for other brands, yellow is barely seen). Good life.")</f>
        <v>Okay Excellent pens to write. The different colors are seen well when writing (for other brands, yellow is barely seen). Good life.</v>
      </c>
    </row>
    <row r="5316">
      <c r="A5316" s="1">
        <v>5.0</v>
      </c>
      <c r="B5316" s="1" t="s">
        <v>5252</v>
      </c>
      <c r="C5316" t="str">
        <f>IFERROR(__xludf.DUMMYFUNCTION("GOOGLETRANSLATE(B5316, ""fr"", ""en"")"),"Insulated Bag meals We bought this product for its size. Very large volume, we can put 3 more bottles of milk in the dispenser. It performs very well its function isotherm (too well). When we just want to keep water bottles at room temperature they are to"&amp;"o cold, so let us open ... I think this bag is more suitable for keeping cool meals. Overall great value for money")</f>
        <v>Insulated Bag meals We bought this product for its size. Very large volume, we can put 3 more bottles of milk in the dispenser. It performs very well its function isotherm (too well). When we just want to keep water bottles at room temperature they are too cold, so let us open ... I think this bag is more suitable for keeping cool meals. Overall great value for money</v>
      </c>
    </row>
    <row r="5317">
      <c r="A5317" s="1">
        <v>5.0</v>
      </c>
      <c r="B5317" s="1" t="s">
        <v>5253</v>
      </c>
      <c r="C5317" t="str">
        <f>IFERROR(__xludf.DUMMYFUNCTION("GOOGLETRANSLATE(B5317, ""fr"", ""en"")"),"Headphones To listen to music")</f>
        <v>Headphones To listen to music</v>
      </c>
    </row>
    <row r="5318">
      <c r="A5318" s="1">
        <v>5.0</v>
      </c>
      <c r="B5318" s="1" t="s">
        <v>5254</v>
      </c>
      <c r="C5318" t="str">
        <f>IFERROR(__xludf.DUMMYFUNCTION("GOOGLETRANSLATE(B5318, ""fr"", ""en"")"),"very good tea, pretty enough temperature is very easily adjusted in steps of 5 degrees, the kettle keeps the last temperature programming and maintains the latter 2h")</f>
        <v>very good tea, pretty enough temperature is very easily adjusted in steps of 5 degrees, the kettle keeps the last temperature programming and maintains the latter 2h</v>
      </c>
    </row>
    <row r="5319">
      <c r="A5319" s="1">
        <v>5.0</v>
      </c>
      <c r="B5319" s="1" t="s">
        <v>5255</v>
      </c>
      <c r="C5319" t="str">
        <f>IFERROR(__xludf.DUMMYFUNCTION("GOOGLETRANSLATE(B5319, ""fr"", ""en"")"),"pleasant relaxation tool I was very surprised goods made of this. I currently have sciatica and this clearly helps relieve pain. Of course this is not a miracle cure, but after a good day's work, it's nice to relax with Shiatsu massage at home. Product re"&amp;"commended!")</f>
        <v>pleasant relaxation tool I was very surprised goods made of this. I currently have sciatica and this clearly helps relieve pain. Of course this is not a miracle cure, but after a good day's work, it's nice to relax with Shiatsu massage at home. Product recommended!</v>
      </c>
    </row>
    <row r="5320">
      <c r="A5320" s="1">
        <v>5.0</v>
      </c>
      <c r="B5320" s="1" t="s">
        <v>5256</v>
      </c>
      <c r="C5320" t="str">
        <f>IFERROR(__xludf.DUMMYFUNCTION("GOOGLETRANSLATE(B5320, ""fr"", ""en"")"),"softener great product, pleasant smell and good flexibility of the machine, high efficiency, perfect for people like me who are looking for products not tested on animals")</f>
        <v>softener great product, pleasant smell and good flexibility of the machine, high efficiency, perfect for people like me who are looking for products not tested on animals</v>
      </c>
    </row>
    <row r="5321">
      <c r="A5321" s="1">
        <v>5.0</v>
      </c>
      <c r="B5321" s="1" t="s">
        <v>5257</v>
      </c>
      <c r="C5321" t="str">
        <f>IFERROR(__xludf.DUMMYFUNCTION("GOOGLETRANSLATE(B5321, ""fr"", ""en"")"),"very good very good very comfortable sneakers product")</f>
        <v>very good very good very comfortable sneakers product</v>
      </c>
    </row>
    <row r="5322">
      <c r="A5322" s="1">
        <v>5.0</v>
      </c>
      <c r="B5322" s="1" t="s">
        <v>5258</v>
      </c>
      <c r="C5322" t="str">
        <f>IFERROR(__xludf.DUMMYFUNCTION("GOOGLETRANSLATE(B5322, ""fr"", ""en"")"),"Bag thank Okay, pretty and practical")</f>
        <v>Bag thank Okay, pretty and practical</v>
      </c>
    </row>
    <row r="5323">
      <c r="A5323" s="1">
        <v>5.0</v>
      </c>
      <c r="B5323" s="1" t="s">
        <v>5259</v>
      </c>
      <c r="C5323" t="str">
        <f>IFERROR(__xludf.DUMMYFUNCTION("GOOGLETRANSLATE(B5323, ""fr"", ""en"")"),"Easy to use karaoke. My daughter is happy. She bursts.")</f>
        <v>Easy to use karaoke. My daughter is happy. She bursts.</v>
      </c>
    </row>
    <row r="5324">
      <c r="A5324" s="1">
        <v>5.0</v>
      </c>
      <c r="B5324" s="1" t="s">
        <v>5260</v>
      </c>
      <c r="C5324" t="str">
        <f>IFERROR(__xludf.DUMMYFUNCTION("GOOGLETRANSLATE(B5324, ""fr"", ""en"")"),"Small discreet bags that greatly reduce odors and moisture After putting in the sun, the reception, 4-pack, I put them in several locations (toilets, bathroom, and kitchen). In the kitchen I found a marked decrease in the damp smell that persisted despite"&amp;" regular aeration. These small bags seem, for one, do their job because I live in a very old house .. every month, do not forget to seemingly put 1 or 2 hours in the sun.")</f>
        <v>Small discreet bags that greatly reduce odors and moisture After putting in the sun, the reception, 4-pack, I put them in several locations (toilets, bathroom, and kitchen). In the kitchen I found a marked decrease in the damp smell that persisted despite regular aeration. These small bags seem, for one, do their job because I live in a very old house .. every month, do not forget to seemingly put 1 or 2 hours in the sun.</v>
      </c>
    </row>
    <row r="5325">
      <c r="A5325" s="1">
        <v>5.0</v>
      </c>
      <c r="B5325" s="1" t="s">
        <v>5261</v>
      </c>
      <c r="C5325" t="str">
        <f>IFERROR(__xludf.DUMMYFUNCTION("GOOGLETRANSLATE(B5325, ""fr"", ""en"")"),"I love slippers")</f>
        <v>I love slippers</v>
      </c>
    </row>
    <row r="5326">
      <c r="A5326" s="1">
        <v>5.0</v>
      </c>
      <c r="B5326" s="1" t="s">
        <v>5262</v>
      </c>
      <c r="C5326" t="str">
        <f>IFERROR(__xludf.DUMMYFUNCTION("GOOGLETRANSLATE(B5326, ""fr"", ""en"")"),"Excellent Excellent product. Our bed is the perfect hideaway. Each room is heated separately that which is good I recommend.")</f>
        <v>Excellent Excellent product. Our bed is the perfect hideaway. Each room is heated separately that which is good I recommend.</v>
      </c>
    </row>
    <row r="5327">
      <c r="A5327" s="1">
        <v>5.0</v>
      </c>
      <c r="B5327" s="1" t="s">
        <v>5263</v>
      </c>
      <c r="C5327" t="str">
        <f>IFERROR(__xludf.DUMMYFUNCTION("GOOGLETRANSLATE(B5327, ""fr"", ""en"")"),"Good brand. Good bottle.")</f>
        <v>Good brand. Good bottle.</v>
      </c>
    </row>
    <row r="5328">
      <c r="A5328" s="1">
        <v>5.0</v>
      </c>
      <c r="B5328" s="1" t="s">
        <v>5264</v>
      </c>
      <c r="C5328" t="str">
        <f>IFERROR(__xludf.DUMMYFUNCTION("GOOGLETRANSLATE(B5328, ""fr"", ""en"")"),"useful fastening products Everyone knows the product. Perfect for fixing without damage to a furnished small light objects. Leaves no trace.")</f>
        <v>useful fastening products Everyone knows the product. Perfect for fixing without damage to a furnished small light objects. Leaves no trace.</v>
      </c>
    </row>
    <row r="5329">
      <c r="A5329" s="1">
        <v>2.0</v>
      </c>
      <c r="B5329" s="1" t="s">
        <v>5265</v>
      </c>
      <c r="C5329" t="str">
        <f>IFERROR(__xludf.DUMMYFUNCTION("GOOGLETRANSLATE(B5329, ""fr"", ""en"")"),"Caution large size! Order item in size 40. Received too big. I had to exchange it for 38. While my size for all my other shoe is size 40")</f>
        <v>Caution large size! Order item in size 40. Received too big. I had to exchange it for 38. While my size for all my other shoe is size 40</v>
      </c>
    </row>
    <row r="5330">
      <c r="A5330" s="1">
        <v>1.0</v>
      </c>
      <c r="B5330" s="1" t="s">
        <v>5266</v>
      </c>
      <c r="C5330" t="str">
        <f>IFERROR(__xludf.DUMMYFUNCTION("GOOGLETRANSLATE(B5330, ""fr"", ""en"")"),"cartridges do not work on epson I have ordered these cartridges for Epson inks and they are not recognized by imprimante.Ne not buy these unusable cartridges")</f>
        <v>cartridges do not work on epson I have ordered these cartridges for Epson inks and they are not recognized by imprimante.Ne not buy these unusable cartridges</v>
      </c>
    </row>
    <row r="5331">
      <c r="A5331" s="1">
        <v>3.0</v>
      </c>
      <c r="B5331" s="1" t="s">
        <v>5267</v>
      </c>
      <c r="C5331" t="str">
        <f>IFERROR(__xludf.DUMMYFUNCTION("GOOGLETRANSLATE(B5331, ""fr"", ""en"")"),"Not bad for the price. Ideal for a first helmet or occasional use headphones nice, but sorry the sound is not equivalent to a Bose headphones (to respond to a comment from another user). The sound is decent for the price. The quality of materials is good."&amp;" The helmet is lightweight and can be folded. It is simple to use. Being able to connect via Bluetooth and Jack is a good point. Autonomy is another pleasant surprise. However, I regret the absence sound adjustment: low level, acute ... the features are q"&amp;"uite limited.")</f>
        <v>Not bad for the price. Ideal for a first helmet or occasional use headphones nice, but sorry the sound is not equivalent to a Bose headphones (to respond to a comment from another user). The sound is decent for the price. The quality of materials is good. The helmet is lightweight and can be folded. It is simple to use. Being able to connect via Bluetooth and Jack is a good point. Autonomy is another pleasant surprise. However, I regret the absence sound adjustment: low level, acute ... the features are quite limited.</v>
      </c>
    </row>
    <row r="5332">
      <c r="A5332" s="1">
        <v>3.0</v>
      </c>
      <c r="B5332" s="1" t="s">
        <v>5268</v>
      </c>
      <c r="C5332" t="str">
        <f>IFERROR(__xludf.DUMMYFUNCTION("GOOGLETRANSLATE(B5332, ""fr"", ""en"")"),"False surround Even if the quality is acceptable it is not up I expected considering my comments mostly positive. I have not been impressed not immersion that is more an effect of its rotating a real space cinematic sound. Before returning I wanted to com"&amp;"pare it with the Sony MDR-HW700DS that seemed to offer the same price a genuine Dolby 5.1 and there ... I was stuck! I tested the same movie on two helmets and there's no picture! The Sony totally immersed me in the mood with a powerful clarity in the tre"&amp;"ble and bass with Dolby TRUE. A tip: do not get carried away too quickly on a model but COMPARE! more it costs nothing ;-)")</f>
        <v>False surround Even if the quality is acceptable it is not up I expected considering my comments mostly positive. I have not been impressed not immersion that is more an effect of its rotating a real space cinematic sound. Before returning I wanted to compare it with the Sony MDR-HW700DS that seemed to offer the same price a genuine Dolby 5.1 and there ... I was stuck! I tested the same movie on two helmets and there's no picture! The Sony totally immersed me in the mood with a powerful clarity in the treble and bass with Dolby TRUE. A tip: do not get carried away too quickly on a model but COMPARE! more it costs nothing ;-)</v>
      </c>
    </row>
    <row r="5333">
      <c r="A5333" s="1">
        <v>4.0</v>
      </c>
      <c r="B5333" s="1" t="s">
        <v>5269</v>
      </c>
      <c r="C5333" t="str">
        <f>IFERROR(__xludf.DUMMYFUNCTION("GOOGLETRANSLATE(B5333, ""fr"", ""en"")"),"although most lightweight and easy to put on. convenient to the pool or walking in the sand easy to clean. color changes throughout. least: slips a bit when the foot is wet. a small heating of the skin is felt if we walk a long distance.")</f>
        <v>although most lightweight and easy to put on. convenient to the pool or walking in the sand easy to clean. color changes throughout. least: slips a bit when the foot is wet. a small heating of the skin is felt if we walk a long distance.</v>
      </c>
    </row>
    <row r="5334">
      <c r="A5334" s="1">
        <v>4.0</v>
      </c>
      <c r="B5334" s="1" t="s">
        <v>5270</v>
      </c>
      <c r="C5334" t="str">
        <f>IFERROR(__xludf.DUMMYFUNCTION("GOOGLETRANSLATE(B5334, ""fr"", ""en"")"),"Top You are very happy with this bag is very convenient external interior storage are well studied and its design is nice passes everywhere")</f>
        <v>Top You are very happy with this bag is very convenient external interior storage are well studied and its design is nice passes everywhere</v>
      </c>
    </row>
    <row r="5335">
      <c r="A5335" s="1">
        <v>4.0</v>
      </c>
      <c r="B5335" s="1" t="s">
        <v>5271</v>
      </c>
      <c r="C5335" t="str">
        <f>IFERROR(__xludf.DUMMYFUNCTION("GOOGLETRANSLATE(B5335, ""fr"", ""en"")"),"consistent good product damage he arrived with 1 day late")</f>
        <v>consistent good product damage he arrived with 1 day late</v>
      </c>
    </row>
    <row r="5336">
      <c r="A5336" s="1">
        <v>4.0</v>
      </c>
      <c r="B5336" s="1" t="s">
        <v>5272</v>
      </c>
      <c r="C5336" t="str">
        <f>IFERROR(__xludf.DUMMYFUNCTION("GOOGLETRANSLATE(B5336, ""fr"", ""en"")"),"earrings little small ears a little")</f>
        <v>earrings little small ears a little</v>
      </c>
    </row>
    <row r="5337">
      <c r="A5337" s="1">
        <v>5.0</v>
      </c>
      <c r="B5337" s="1" t="s">
        <v>5273</v>
      </c>
      <c r="C5337" t="str">
        <f>IFERROR(__xludf.DUMMYFUNCTION("GOOGLETRANSLATE(B5337, ""fr"", ""en"")"),"Price Pretty bottle !! not used because baby has not arrived. But I do not doubt their quality 😊")</f>
        <v>Price Pretty bottle !! not used because baby has not arrived. But I do not doubt their quality 😊</v>
      </c>
    </row>
    <row r="5338">
      <c r="A5338" s="1">
        <v>5.0</v>
      </c>
      <c r="B5338" s="1" t="s">
        <v>5274</v>
      </c>
      <c r="C5338" t="str">
        <f>IFERROR(__xludf.DUMMYFUNCTION("GOOGLETRANSLATE(B5338, ""fr"", ""en"")"),"Bracelet solid to replace my watchband plastic broken, it is more solid and beautiful leather .I recommend it.")</f>
        <v>Bracelet solid to replace my watchband plastic broken, it is more solid and beautiful leather .I recommend it.</v>
      </c>
    </row>
    <row r="5339">
      <c r="A5339" s="1">
        <v>5.0</v>
      </c>
      <c r="B5339" s="1" t="s">
        <v>5275</v>
      </c>
      <c r="C5339" t="str">
        <f>IFERROR(__xludf.DUMMYFUNCTION("GOOGLETRANSLATE(B5339, ""fr"", ""en"")"),"sweater color mustard yellow ocher color pretty good quality to good size perfect size I recommend fast delivery")</f>
        <v>sweater color mustard yellow ocher color pretty good quality to good size perfect size I recommend fast delivery</v>
      </c>
    </row>
    <row r="5340">
      <c r="A5340" s="1">
        <v>5.0</v>
      </c>
      <c r="B5340" s="1" t="s">
        <v>5276</v>
      </c>
      <c r="C5340" t="str">
        <f>IFERROR(__xludf.DUMMYFUNCTION("GOOGLETRANSLATE(B5340, ""fr"", ""en"")"),"Perfect! the size is correct and the ""bursts"" of paintings on the sides go with everything! I put very often and they did not move even at the level of the sole.")</f>
        <v>Perfect! the size is correct and the "bursts" of paintings on the sides go with everything! I put very often and they did not move even at the level of the sole.</v>
      </c>
    </row>
    <row r="5341">
      <c r="A5341" s="1">
        <v>5.0</v>
      </c>
      <c r="B5341" s="1" t="s">
        <v>5277</v>
      </c>
      <c r="C5341" t="str">
        <f>IFERROR(__xludf.DUMMYFUNCTION("GOOGLETRANSLATE(B5341, ""fr"", ""en"")"),"Article bra satisfying, well suited to my needs, good performance and good support. I needed after an operation and I am very happy.")</f>
        <v>Article bra satisfying, well suited to my needs, good performance and good support. I needed after an operation and I am very happy.</v>
      </c>
    </row>
    <row r="5342">
      <c r="A5342" s="1">
        <v>5.0</v>
      </c>
      <c r="B5342" s="1" t="s">
        <v>5278</v>
      </c>
      <c r="C5342" t="str">
        <f>IFERROR(__xludf.DUMMYFUNCTION("GOOGLETRANSLATE(B5342, ""fr"", ""en"")"),"Paper towels very thick and absorbent.")</f>
        <v>Paper towels very thick and absorbent.</v>
      </c>
    </row>
    <row r="5343">
      <c r="A5343" s="1">
        <v>5.0</v>
      </c>
      <c r="B5343" s="1" t="s">
        <v>5279</v>
      </c>
      <c r="C5343" t="str">
        <f>IFERROR(__xludf.DUMMYFUNCTION("GOOGLETRANSLATE(B5343, ""fr"", ""en"")"),"Very nice dress, nice finish and perfect size That compliments for this dress which is exactly what I expected, both in look and quality. Go there with confidence!")</f>
        <v>Very nice dress, nice finish and perfect size That compliments for this dress which is exactly what I expected, both in look and quality. Go there with confidence!</v>
      </c>
    </row>
    <row r="5344">
      <c r="A5344" s="1">
        <v>5.0</v>
      </c>
      <c r="B5344" s="1" t="s">
        <v>5280</v>
      </c>
      <c r="C5344" t="str">
        <f>IFERROR(__xludf.DUMMYFUNCTION("GOOGLETRANSLATE(B5344, ""fr"", ""en"")"),"Very nice indeed! On a dress for a wedding! Magnificent!")</f>
        <v>Very nice indeed! On a dress for a wedding! Magnificent!</v>
      </c>
    </row>
    <row r="5345">
      <c r="A5345" s="1">
        <v>5.0</v>
      </c>
      <c r="B5345" s="1" t="s">
        <v>5281</v>
      </c>
      <c r="C5345" t="str">
        <f>IFERROR(__xludf.DUMMYFUNCTION("GOOGLETRANSLATE(B5345, ""fr"", ""en"")"),"Guaranteed Success Of happened. I just love it. I know this is of very good quality. I ordered a variety to please those around me. Success guaranteed. You do not know. C to perfume your car. You put on a vital oil pellets. You set the diffuser on the air"&amp;" vents and it smells good and it's beautiful.")</f>
        <v>Guaranteed Success Of happened. I just love it. I know this is of very good quality. I ordered a variety to please those around me. Success guaranteed. You do not know. C to perfume your car. You put on a vital oil pellets. You set the diffuser on the air vents and it smells good and it's beautiful.</v>
      </c>
    </row>
    <row r="5346">
      <c r="A5346" s="1">
        <v>5.0</v>
      </c>
      <c r="B5346" s="1" t="s">
        <v>5282</v>
      </c>
      <c r="C5346" t="str">
        <f>IFERROR(__xludf.DUMMYFUNCTION("GOOGLETRANSLATE(B5346, ""fr"", ""en"")"),"Super bottle but cheaper elsewhere! The bottles are very nice. They will be easy to clean since fully removable. Not tried, because baby is not there yet. Microwave sterilization of the entire range mam avoids investing in a sterilizer, thus saving space "&amp;"and especially ability to sterilize bottles on the go (which has no microwave today?). One can find various parts of the bottle type parts (teats, rings ...) without having to buy this one completely. Damage, however, that the price is so high on Amazon! "&amp;"I am very disappointed, I compared with my pharmacy and they are cheaper pharmacy! I think the same complete range of bottle instead on Amazon. In conclusion, I recommend mam baby bottles but not necessarily the price amazon!")</f>
        <v>Super bottle but cheaper elsewhere! The bottles are very nice. They will be easy to clean since fully removable. Not tried, because baby is not there yet. Microwave sterilization of the entire range mam avoids investing in a sterilizer, thus saving space and especially ability to sterilize bottles on the go (which has no microwave today?). One can find various parts of the bottle type parts (teats, rings ...) without having to buy this one completely. Damage, however, that the price is so high on Amazon! I am very disappointed, I compared with my pharmacy and they are cheaper pharmacy! I think the same complete range of bottle instead on Amazon. In conclusion, I recommend mam baby bottles but not necessarily the price amazon!</v>
      </c>
    </row>
    <row r="5347">
      <c r="A5347" s="1">
        <v>5.0</v>
      </c>
      <c r="B5347" s="1" t="s">
        <v>5283</v>
      </c>
      <c r="C5347" t="str">
        <f>IFERROR(__xludf.DUMMYFUNCTION("GOOGLETRANSLATE(B5347, ""fr"", ""en"")"),"perfect quick time and product conformity")</f>
        <v>perfect quick time and product conformity</v>
      </c>
    </row>
    <row r="5348">
      <c r="A5348" s="1">
        <v>5.0</v>
      </c>
      <c r="B5348" s="1" t="s">
        <v>5284</v>
      </c>
      <c r="C5348" t="str">
        <f>IFERROR(__xludf.DUMMYFUNCTION("GOOGLETRANSLATE(B5348, ""fr"", ""en"")"),"Boots compliant product compliant, long delivery")</f>
        <v>Boots compliant product compliant, long delivery</v>
      </c>
    </row>
    <row r="5349">
      <c r="A5349" s="1">
        <v>5.0</v>
      </c>
      <c r="B5349" s="1" t="s">
        <v>5285</v>
      </c>
      <c r="C5349" t="str">
        <f>IFERROR(__xludf.DUMMYFUNCTION("GOOGLETRANSLATE(B5349, ""fr"", ""en"")"),"Very good and very Zen. This is the first time I use and buys this kind of device. It is really effective in a part of normal measurements. But I tried it in my dining room in mezzanine and just after a squeegee. Well it did the job in 5 hours. I like the"&amp;" look and the colors are very zen. He was very effective in treating colds in turning it on with eucalyptus just an hour before bedtime my child. Buy by oils against my pharmacy. They purchased lot on amazon are not terrible I feel that they feel all the "&amp;"same ....")</f>
        <v>Very good and very Zen. This is the first time I use and buys this kind of device. It is really effective in a part of normal measurements. But I tried it in my dining room in mezzanine and just after a squeegee. Well it did the job in 5 hours. I like the look and the colors are very zen. He was very effective in treating colds in turning it on with eucalyptus just an hour before bedtime my child. Buy by oils against my pharmacy. They purchased lot on amazon are not terrible I feel that they feel all the same ....</v>
      </c>
    </row>
    <row r="5350">
      <c r="A5350" s="1">
        <v>5.0</v>
      </c>
      <c r="B5350" s="1" t="s">
        <v>5286</v>
      </c>
      <c r="C5350" t="str">
        <f>IFERROR(__xludf.DUMMYFUNCTION("GOOGLETRANSLATE(B5350, ""fr"", ""en"")"),"It gives shape to the body Very good")</f>
        <v>It gives shape to the body Very good</v>
      </c>
    </row>
    <row r="5351">
      <c r="A5351" s="1">
        <v>5.0</v>
      </c>
      <c r="B5351" s="1" t="s">
        <v>224</v>
      </c>
      <c r="C5351" t="str">
        <f>IFERROR(__xludf.DUMMYFUNCTION("GOOGLETRANSLATE(B5351, ""fr"", ""en"")"),"perfect perfect")</f>
        <v>perfect perfect</v>
      </c>
    </row>
    <row r="5352">
      <c r="A5352" s="1">
        <v>2.0</v>
      </c>
      <c r="B5352" s="1" t="s">
        <v>5287</v>
      </c>
      <c r="C5352" t="str">
        <f>IFERROR(__xludf.DUMMYFUNCTION("GOOGLETRANSLATE(B5352, ""fr"", ""en"")"),"Quality at first sight top, but not durable. I bracelet since not even a year and is now worn out. In addition, a loop to hold the strap when attached was torn. In short, put in a little more money.")</f>
        <v>Quality at first sight top, but not durable. I bracelet since not even a year and is now worn out. In addition, a loop to hold the strap when attached was torn. In short, put in a little more money.</v>
      </c>
    </row>
    <row r="5353">
      <c r="A5353" s="1">
        <v>1.0</v>
      </c>
      <c r="B5353" s="1" t="s">
        <v>5288</v>
      </c>
      <c r="C5353" t="str">
        <f>IFERROR(__xludf.DUMMYFUNCTION("GOOGLETRANSLATE(B5353, ""fr"", ""en"")"),"Pluot made for women received in due time on that rarely disappointed .. but surprise .. it was a man's watch that I wanted and there .. .. .. for a woman to me too just strap .. and shows only 3 cm in diameter .. a little silly on my wrist ..")</f>
        <v>Pluot made for women received in due time on that rarely disappointed .. but surprise .. it was a man's watch that I wanted and there .. .. .. for a woman to me too just strap .. and shows only 3 cm in diameter .. a little silly on my wrist ..</v>
      </c>
    </row>
    <row r="5354">
      <c r="A5354" s="1">
        <v>1.0</v>
      </c>
      <c r="B5354" s="1" t="s">
        <v>5289</v>
      </c>
      <c r="C5354" t="str">
        <f>IFERROR(__xludf.DUMMYFUNCTION("GOOGLETRANSLATE(B5354, ""fr"", ""en"")"),"Disappointed One of the webs is broken at the first use. I am disappointed even if the bracelet is very beautiful.")</f>
        <v>Disappointed One of the webs is broken at the first use. I am disappointed even if the bracelet is very beautiful.</v>
      </c>
    </row>
    <row r="5355">
      <c r="A5355" s="1">
        <v>3.0</v>
      </c>
      <c r="B5355" s="1" t="s">
        <v>5290</v>
      </c>
      <c r="C5355" t="str">
        <f>IFERROR(__xludf.DUMMYFUNCTION("GOOGLETRANSLATE(B5355, ""fr"", ""en"")"),"Very basic very basic headset for the price Not at all comfortable with a cable that borders all the time")</f>
        <v>Very basic very basic headset for the price Not at all comfortable with a cable that borders all the time</v>
      </c>
    </row>
    <row r="5356">
      <c r="A5356" s="1">
        <v>3.0</v>
      </c>
      <c r="B5356" s="1" t="s">
        <v>5291</v>
      </c>
      <c r="C5356" t="str">
        <f>IFERROR(__xludf.DUMMYFUNCTION("GOOGLETRANSLATE(B5356, ""fr"", ""en"")"),"good quality printing but trimmed Photo Prints are good quality however the paper is precut either side which lost one or two centimeters of pictures so this is more of 10x15 cm. I still recommend this product if this detail does not mind.")</f>
        <v>good quality printing but trimmed Photo Prints are good quality however the paper is precut either side which lost one or two centimeters of pictures so this is more of 10x15 cm. I still recommend this product if this detail does not mind.</v>
      </c>
    </row>
    <row r="5357">
      <c r="A5357" s="1">
        <v>4.0</v>
      </c>
      <c r="B5357" s="1" t="s">
        <v>5292</v>
      </c>
      <c r="C5357" t="str">
        <f>IFERROR(__xludf.DUMMYFUNCTION("GOOGLETRANSLATE(B5357, ""fr"", ""en"")"),"Interesting book Offret to a little girl who adores.")</f>
        <v>Interesting book Offret to a little girl who adores.</v>
      </c>
    </row>
    <row r="5358">
      <c r="A5358" s="1">
        <v>4.0</v>
      </c>
      <c r="B5358" s="1" t="s">
        <v>5293</v>
      </c>
      <c r="C5358" t="str">
        <f>IFERROR(__xludf.DUMMYFUNCTION("GOOGLETRANSLATE(B5358, ""fr"", ""en"")"),"Light therapy Not enough back, but light and beautiful")</f>
        <v>Light therapy Not enough back, but light and beautiful</v>
      </c>
    </row>
    <row r="5359">
      <c r="A5359" s="1">
        <v>4.0</v>
      </c>
      <c r="B5359" s="1" t="s">
        <v>5294</v>
      </c>
      <c r="C5359" t="str">
        <f>IFERROR(__xludf.DUMMYFUNCTION("GOOGLETRANSLATE(B5359, ""fr"", ""en"")"),"The North Face Drew Peak Hoody Man sweater size perfectly. it is suitable as expected. afterwards he is ""simple"", I meant by that is not excessively hot ...")</f>
        <v>The North Face Drew Peak Hoody Man sweater size perfectly. it is suitable as expected. afterwards he is "simple", I meant by that is not excessively hot ...</v>
      </c>
    </row>
    <row r="5360">
      <c r="A5360" s="1">
        <v>4.0</v>
      </c>
      <c r="B5360" s="1" t="s">
        <v>5295</v>
      </c>
      <c r="C5360" t="str">
        <f>IFERROR(__xludf.DUMMYFUNCTION("GOOGLETRANSLATE(B5360, ""fr"", ""en"")"),"Tested and approved by my twins! My babies really appreciate the fact that the nipple or flat head. However, the rate was a bit faster so we bought 2 teats flow and this nickel is suitable. A big plus also on the shape of the bottle, easy to grip toddlers"&amp;".")</f>
        <v>Tested and approved by my twins! My babies really appreciate the fact that the nipple or flat head. However, the rate was a bit faster so we bought 2 teats flow and this nickel is suitable. A big plus also on the shape of the bottle, easy to grip toddlers.</v>
      </c>
    </row>
    <row r="5361">
      <c r="A5361" s="1">
        <v>5.0</v>
      </c>
      <c r="B5361" s="1" t="s">
        <v>5296</v>
      </c>
      <c r="C5361" t="str">
        <f>IFERROR(__xludf.DUMMYFUNCTION("GOOGLETRANSLATE(B5361, ""fr"", ""en"")"),"The best disney for me a great picture and sound perfect music mix everything with a Disney touch and you get this wonderful animated drawing. It remains the most profitable film disney today despite the success of the Snow Queen and others :)")</f>
        <v>The best disney for me a great picture and sound perfect music mix everything with a Disney touch and you get this wonderful animated drawing. It remains the most profitable film disney today despite the success of the Snow Queen and others :)</v>
      </c>
    </row>
    <row r="5362">
      <c r="A5362" s="1">
        <v>5.0</v>
      </c>
      <c r="B5362" s="1" t="s">
        <v>5297</v>
      </c>
      <c r="C5362" t="str">
        <f>IFERROR(__xludf.DUMMYFUNCTION("GOOGLETRANSLATE(B5362, ""fr"", ""en"")"),"RAS What about the rubbish bags, pack of 2.")</f>
        <v>RAS What about the rubbish bags, pack of 2.</v>
      </c>
    </row>
    <row r="5363">
      <c r="A5363" s="1">
        <v>5.0</v>
      </c>
      <c r="B5363" s="1" t="s">
        <v>5298</v>
      </c>
      <c r="C5363" t="str">
        <f>IFERROR(__xludf.DUMMYFUNCTION("GOOGLETRANSLATE(B5363, ""fr"", ""en"")"),"Ease of use I wanted a precise balance in the food reintroduction framework for my son to whom I owe administered dose of 1mg daily an allergen. I received the product in 2 days.")</f>
        <v>Ease of use I wanted a precise balance in the food reintroduction framework for my son to whom I owe administered dose of 1mg daily an allergen. I received the product in 2 days.</v>
      </c>
    </row>
    <row r="5364">
      <c r="A5364" s="1">
        <v>5.0</v>
      </c>
      <c r="B5364" s="1" t="s">
        <v>5299</v>
      </c>
      <c r="C5364" t="str">
        <f>IFERROR(__xludf.DUMMYFUNCTION("GOOGLETRANSLATE(B5364, ""fr"", ""en"")"),"Top Really top for dance and for everyday life. I bought several")</f>
        <v>Top Really top for dance and for everyday life. I bought several</v>
      </c>
    </row>
    <row r="5365">
      <c r="A5365" s="1">
        <v>5.0</v>
      </c>
      <c r="B5365" s="1" t="s">
        <v>5300</v>
      </c>
      <c r="C5365" t="str">
        <f>IFERROR(__xludf.DUMMYFUNCTION("GOOGLETRANSLATE(B5365, ""fr"", ""en"")"),"perfect good product meets my expectations. takes up little space. easy to use. adapts well to our bottles. Module potty handy even with bottles because it allows not to burn (steam is hot !!)")</f>
        <v>perfect good product meets my expectations. takes up little space. easy to use. adapts well to our bottles. Module potty handy even with bottles because it allows not to burn (steam is hot !!)</v>
      </c>
    </row>
    <row r="5366">
      <c r="A5366" s="1">
        <v>5.0</v>
      </c>
      <c r="B5366" s="1" t="s">
        <v>5301</v>
      </c>
      <c r="C5366" t="str">
        <f>IFERROR(__xludf.DUMMYFUNCTION("GOOGLETRANSLATE(B5366, ""fr"", ""en"")"),"Perfect I bought this lamp daylight to turn at breakfast time in the winter when it's still dark. The light is pleasant and enjoyable to help wake up. To recommend without hesitation.")</f>
        <v>Perfect I bought this lamp daylight to turn at breakfast time in the winter when it's still dark. The light is pleasant and enjoyable to help wake up. To recommend without hesitation.</v>
      </c>
    </row>
    <row r="5367">
      <c r="A5367" s="1">
        <v>5.0</v>
      </c>
      <c r="B5367" s="1" t="s">
        <v>5302</v>
      </c>
      <c r="C5367" t="str">
        <f>IFERROR(__xludf.DUMMYFUNCTION("GOOGLETRANSLATE(B5367, ""fr"", ""en"")"),"Superb Superb ♥ ️")</f>
        <v>Superb Superb ♥ ️</v>
      </c>
    </row>
    <row r="5368">
      <c r="A5368" s="1">
        <v>5.0</v>
      </c>
      <c r="B5368" s="1" t="s">
        <v>5303</v>
      </c>
      <c r="C5368" t="str">
        <f>IFERROR(__xludf.DUMMYFUNCTION("GOOGLETRANSLATE(B5368, ""fr"", ""en"")"),"Perfect for perfect block to prevent charms tournes :) Perfect compatibility")</f>
        <v>Perfect for perfect block to prevent charms tournes :) Perfect compatibility</v>
      </c>
    </row>
    <row r="5369">
      <c r="A5369" s="1">
        <v>5.0</v>
      </c>
      <c r="B5369" s="1" t="s">
        <v>5304</v>
      </c>
      <c r="C5369" t="str">
        <f>IFERROR(__xludf.DUMMYFUNCTION("GOOGLETRANSLATE(B5369, ""fr"", ""en"")"),"Good bouillore Complies my wishes")</f>
        <v>Good bouillore Complies my wishes</v>
      </c>
    </row>
    <row r="5370">
      <c r="A5370" s="1">
        <v>5.0</v>
      </c>
      <c r="B5370" s="1" t="s">
        <v>5305</v>
      </c>
      <c r="C5370" t="str">
        <f>IFERROR(__xludf.DUMMYFUNCTION("GOOGLETRANSLATE(B5370, ""fr"", ""en"")"),"Massage very effective cervical My pain disappeared after first use. I highly recommend.")</f>
        <v>Massage very effective cervical My pain disappeared after first use. I highly recommend.</v>
      </c>
    </row>
    <row r="5371">
      <c r="A5371" s="1">
        <v>5.0</v>
      </c>
      <c r="B5371" s="1" t="s">
        <v>5306</v>
      </c>
      <c r="C5371" t="str">
        <f>IFERROR(__xludf.DUMMYFUNCTION("GOOGLETRANSLATE(B5371, ""fr"", ""en"")"),"Very Good Product This set is great, I received a few days in advance, there is a good oil to diversity. I highly recommend this product, the cabinet is of good quality and the price is very affordable. I am very satisfied :)")</f>
        <v>Very Good Product This set is great, I received a few days in advance, there is a good oil to diversity. I highly recommend this product, the cabinet is of good quality and the price is very affordable. I am very satisfied :)</v>
      </c>
    </row>
    <row r="5372">
      <c r="A5372" s="1">
        <v>5.0</v>
      </c>
      <c r="B5372" s="1" t="s">
        <v>5307</v>
      </c>
      <c r="C5372" t="str">
        <f>IFERROR(__xludf.DUMMYFUNCTION("GOOGLETRANSLATE(B5372, ""fr"", ""en"")"),"RAS product according to the quality of product description in relation to the price")</f>
        <v>RAS product according to the quality of product description in relation to the price</v>
      </c>
    </row>
    <row r="5373">
      <c r="A5373" s="1">
        <v>5.0</v>
      </c>
      <c r="B5373" s="1" t="s">
        <v>5308</v>
      </c>
      <c r="C5373" t="str">
        <f>IFERROR(__xludf.DUMMYFUNCTION("GOOGLETRANSLATE(B5373, ""fr"", ""en"")"),"Really satisfied! Loads very quickly, from 50% to 100% in 10-20 min and charges completely in 60 minutes for a battery life of about 4 hours listening. The case does not discharge quickly the contrary, very good sound audio, with excellent smartphone and "&amp;"my ipad, very fluid, easy connection, if you hesitate, go for it! Easy to use, Excellent product.")</f>
        <v>Really satisfied! Loads very quickly, from 50% to 100% in 10-20 min and charges completely in 60 minutes for a battery life of about 4 hours listening. The case does not discharge quickly the contrary, very good sound audio, with excellent smartphone and my ipad, very fluid, easy connection, if you hesitate, go for it! Easy to use, Excellent product.</v>
      </c>
    </row>
    <row r="5374">
      <c r="A5374" s="1">
        <v>5.0</v>
      </c>
      <c r="B5374" s="1" t="s">
        <v>5309</v>
      </c>
      <c r="C5374" t="str">
        <f>IFERROR(__xludf.DUMMYFUNCTION("GOOGLETRANSLATE(B5374, ""fr"", ""en"")"),"Chic Simple and understated pretty, this shows I regularly carries the only small problem is the dial a little too big in my opinion other beautiful model and nice finish")</f>
        <v>Chic Simple and understated pretty, this shows I regularly carries the only small problem is the dial a little too big in my opinion other beautiful model and nice finish</v>
      </c>
    </row>
    <row r="5375">
      <c r="A5375" s="1">
        <v>5.0</v>
      </c>
      <c r="B5375" s="1" t="s">
        <v>5310</v>
      </c>
      <c r="C5375" t="str">
        <f>IFERROR(__xludf.DUMMYFUNCTION("GOOGLETRANSLATE(B5375, ""fr"", ""en"")"),"Sublime strap Bought for my grandmother, I love it. This little bracelet is adorable! Adjustable to all wrist sizes. The small symbol in silver and rhinestone is beautiful! Very well presented in a small box and pouch. I just love it! 😍😍😍")</f>
        <v>Sublime strap Bought for my grandmother, I love it. This little bracelet is adorable! Adjustable to all wrist sizes. The small symbol in silver and rhinestone is beautiful! Very well presented in a small box and pouch. I just love it! 😍😍😍</v>
      </c>
    </row>
    <row r="5376">
      <c r="A5376" s="1">
        <v>2.0</v>
      </c>
      <c r="B5376" s="1" t="s">
        <v>5311</v>
      </c>
      <c r="C5376" t="str">
        <f>IFERROR(__xludf.DUMMYFUNCTION("GOOGLETRANSLATE(B5376, ""fr"", ""en"")"),"A low-end hood Very disappointed no manual in French !! Of aluminum of low-end knock !! Traces of plant that leave no! Even with special products! The cam has absolutely flee!")</f>
        <v>A low-end hood Very disappointed no manual in French !! Of aluminum of low-end knock !! Traces of plant that leave no! Even with special products! The cam has absolutely flee!</v>
      </c>
    </row>
    <row r="5377">
      <c r="A5377" s="1">
        <v>1.0</v>
      </c>
      <c r="B5377" s="1" t="s">
        <v>5312</v>
      </c>
      <c r="C5377" t="str">
        <f>IFERROR(__xludf.DUMMYFUNCTION("GOOGLETRANSLATE(B5377, ""fr"", ""en"")"),"To avoid Poor")</f>
        <v>To avoid Poor</v>
      </c>
    </row>
    <row r="5378">
      <c r="A5378" s="1">
        <v>1.0</v>
      </c>
      <c r="B5378" s="1" t="s">
        <v>5313</v>
      </c>
      <c r="C5378" t="str">
        <f>IFERROR(__xludf.DUMMYFUNCTION("GOOGLETRANSLATE(B5378, ""fr"", ""en"")"),"I buy this unacceptable level in November calculator for my daughter and this Monday, February 4 the calculator was not working! A black screen is displayed when you turned on the calculator. I do not know if it's because the seller but I highly recommend"&amp;" !!")</f>
        <v>I buy this unacceptable level in November calculator for my daughter and this Monday, February 4 the calculator was not working! A black screen is displayed when you turned on the calculator. I do not know if it's because the seller but I highly recommend !!</v>
      </c>
    </row>
    <row r="5379">
      <c r="A5379" s="1">
        <v>3.0</v>
      </c>
      <c r="B5379" s="1" t="s">
        <v>5314</v>
      </c>
      <c r="C5379" t="str">
        <f>IFERROR(__xludf.DUMMYFUNCTION("GOOGLETRANSLATE(B5379, ""fr"", ""en"")"),"means frowned dimensions, but practical too")</f>
        <v>means frowned dimensions, but practical too</v>
      </c>
    </row>
    <row r="5380">
      <c r="A5380" s="1">
        <v>3.0</v>
      </c>
      <c r="B5380" s="1" t="s">
        <v>5315</v>
      </c>
      <c r="C5380" t="str">
        <f>IFERROR(__xludf.DUMMYFUNCTION("GOOGLETRANSLATE(B5380, ""fr"", ""en"")"),"Good value product complies with the description easy to install, to see over time with use. I'm afraid he does not age very well !!")</f>
        <v>Good value product complies with the description easy to install, to see over time with use. I'm afraid he does not age very well !!</v>
      </c>
    </row>
    <row r="5381">
      <c r="A5381" s="1">
        <v>4.0</v>
      </c>
      <c r="B5381" s="1" t="s">
        <v>5316</v>
      </c>
      <c r="C5381" t="str">
        <f>IFERROR(__xludf.DUMMYFUNCTION("GOOGLETRANSLATE(B5381, ""fr"", ""en"")"),"Super tough and very handy. I think all who bought must think like me! The price is excessive.")</f>
        <v>Super tough and very handy. I think all who bought must think like me! The price is excessive.</v>
      </c>
    </row>
    <row r="5382">
      <c r="A5382" s="1">
        <v>4.0</v>
      </c>
      <c r="B5382" s="1" t="s">
        <v>1261</v>
      </c>
      <c r="C5382" t="str">
        <f>IFERROR(__xludf.DUMMYFUNCTION("GOOGLETRANSLATE(B5382, ""fr"", ""en"")"),"good good")</f>
        <v>good good</v>
      </c>
    </row>
    <row r="5383">
      <c r="A5383" s="1">
        <v>4.0</v>
      </c>
      <c r="B5383" s="1" t="s">
        <v>5317</v>
      </c>
      <c r="C5383" t="str">
        <f>IFERROR(__xludf.DUMMYFUNCTION("GOOGLETRANSLATE(B5383, ""fr"", ""en"")"),"Not bad This milk dispenser is not bad. Very tight, takes up little space but we must turn it in all directions to the full dose is well versed in the bottle.")</f>
        <v>Not bad This milk dispenser is not bad. Very tight, takes up little space but we must turn it in all directions to the full dose is well versed in the bottle.</v>
      </c>
    </row>
    <row r="5384">
      <c r="A5384" s="1">
        <v>4.0</v>
      </c>
      <c r="B5384" s="1" t="s">
        <v>5318</v>
      </c>
      <c r="C5384" t="str">
        <f>IFERROR(__xludf.DUMMYFUNCTION("GOOGLETRANSLATE(B5384, ""fr"", ""en"")"),"magnets I do not know if it's effective but they are pleasant to handle because very soft to the touch they are in my pockets for my purchase A vopir if this serves to reduce pain")</f>
        <v>magnets I do not know if it's effective but they are pleasant to handle because very soft to the touch they are in my pockets for my purchase A vopir if this serves to reduce pain</v>
      </c>
    </row>
    <row r="5385">
      <c r="A5385" s="1">
        <v>5.0</v>
      </c>
      <c r="B5385" s="1" t="s">
        <v>5319</v>
      </c>
      <c r="C5385" t="str">
        <f>IFERROR(__xludf.DUMMYFUNCTION("GOOGLETRANSLATE(B5385, ""fr"", ""en"")"),"Manifique Exceptional quality for a small price Very nice loop Ear Perfect finish with protective box")</f>
        <v>Manifique Exceptional quality for a small price Very nice loop Ear Perfect finish with protective box</v>
      </c>
    </row>
    <row r="5386">
      <c r="A5386" s="1">
        <v>5.0</v>
      </c>
      <c r="B5386" s="1" t="s">
        <v>5320</v>
      </c>
      <c r="C5386" t="str">
        <f>IFERROR(__xludf.DUMMYFUNCTION("GOOGLETRANSLATE(B5386, ""fr"", ""en"")"),"Tommee Tippee always on top and just enough surprise because I thought I would receive a single handle but there are two, one color orange and the other so ideal green for girl or boy")</f>
        <v>Tommee Tippee always on top and just enough surprise because I thought I would receive a single handle but there are two, one color orange and the other so ideal green for girl or boy</v>
      </c>
    </row>
    <row r="5387">
      <c r="A5387" s="1">
        <v>5.0</v>
      </c>
      <c r="B5387" s="1" t="s">
        <v>5321</v>
      </c>
      <c r="C5387" t="str">
        <f>IFERROR(__xludf.DUMMYFUNCTION("GOOGLETRANSLATE(B5387, ""fr"", ""en"")"),"Satisfied Very good product conforms to the happy description of this purchase, I recommend this bed socks.")</f>
        <v>Satisfied Very good product conforms to the happy description of this purchase, I recommend this bed socks.</v>
      </c>
    </row>
    <row r="5388">
      <c r="A5388" s="1">
        <v>5.0</v>
      </c>
      <c r="B5388" s="1" t="s">
        <v>5322</v>
      </c>
      <c r="C5388" t="str">
        <f>IFERROR(__xludf.DUMMYFUNCTION("GOOGLETRANSLATE(B5388, ""fr"", ""en"")"),"lightweight shoes, although regulates t ° c Purchased for daily use for the winter, I plunge through Amazon coupon. enough light shoes. Beware if you strongly attack by the heel in the beginning it is quite narrow. The size is good hair cell.")</f>
        <v>lightweight shoes, although regulates t ° c Purchased for daily use for the winter, I plunge through Amazon coupon. enough light shoes. Beware if you strongly attack by the heel in the beginning it is quite narrow. The size is good hair cell.</v>
      </c>
    </row>
    <row r="5389">
      <c r="A5389" s="1">
        <v>5.0</v>
      </c>
      <c r="B5389" s="1" t="s">
        <v>5323</v>
      </c>
      <c r="C5389" t="str">
        <f>IFERROR(__xludf.DUMMYFUNCTION("GOOGLETRANSLATE(B5389, ""fr"", ""en"")"),"Impeccable Impeccable.")</f>
        <v>Impeccable Impeccable.</v>
      </c>
    </row>
    <row r="5390">
      <c r="A5390" s="1">
        <v>5.0</v>
      </c>
      <c r="B5390" s="1" t="s">
        <v>5324</v>
      </c>
      <c r="C5390" t="str">
        <f>IFERROR(__xludf.DUMMYFUNCTION("GOOGLETRANSLATE(B5390, ""fr"", ""en"")"),"Karaoke Superb works very well")</f>
        <v>Karaoke Superb works very well</v>
      </c>
    </row>
    <row r="5391">
      <c r="A5391" s="1">
        <v>5.0</v>
      </c>
      <c r="B5391" s="1" t="s">
        <v>5325</v>
      </c>
      <c r="C5391" t="str">
        <f>IFERROR(__xludf.DUMMYFUNCTION("GOOGLETRANSLATE(B5391, ""fr"", ""en"")"),"My favorite foil For me it is the best aluminum foil is not too hungry and does not tear at the slightest handling.")</f>
        <v>My favorite foil For me it is the best aluminum foil is not too hungry and does not tear at the slightest handling.</v>
      </c>
    </row>
    <row r="5392">
      <c r="A5392" s="1">
        <v>5.0</v>
      </c>
      <c r="B5392" s="1" t="s">
        <v>5326</v>
      </c>
      <c r="C5392" t="str">
        <f>IFERROR(__xludf.DUMMYFUNCTION("GOOGLETRANSLATE(B5392, ""fr"", ""en"")"),"Little but strong! Arrived with a day in advance as usual, just unacceptable lol. 😁 Cheap, solid and compact. It is unclear on Amazon photos, but there are three interior compartments and an outside pocket without zip, handy for quickly drawing his phone"&amp;" or fags! At the rear there is also a ""&amp; nbsp; &amp; nbsp hole,"" to have a headphone cable, short is perfect! I thought the strap and plastic carabiners were somewhat limited in case of theft / tear but it is relatively strong after testing!")</f>
        <v>Little but strong! Arrived with a day in advance as usual, just unacceptable lol. 😁 Cheap, solid and compact. It is unclear on Amazon photos, but there are three interior compartments and an outside pocket without zip, handy for quickly drawing his phone or fags! At the rear there is also a "&amp; nbsp; &amp; nbsp hole," to have a headphone cable, short is perfect! I thought the strap and plastic carabiners were somewhat limited in case of theft / tear but it is relatively strong after testing!</v>
      </c>
    </row>
    <row r="5393">
      <c r="A5393" s="1">
        <v>5.0</v>
      </c>
      <c r="B5393" s="1" t="s">
        <v>5327</v>
      </c>
      <c r="C5393" t="str">
        <f>IFERROR(__xludf.DUMMYFUNCTION("GOOGLETRANSLATE(B5393, ""fr"", ""en"")"),"very satisfied very satisfied with this product. I used from the 3rd month of pregnancy to the end. I spent this oil on the chest, stomach, hips morning and evening and thighs in the morning only. I have no stretch marks. I have given birth a week ago and"&amp;" I still put it because I love the texture. I therefore recommend this product to all pregnant women.")</f>
        <v>very satisfied very satisfied with this product. I used from the 3rd month of pregnancy to the end. I spent this oil on the chest, stomach, hips morning and evening and thighs in the morning only. I have no stretch marks. I have given birth a week ago and I still put it because I love the texture. I therefore recommend this product to all pregnant women.</v>
      </c>
    </row>
    <row r="5394">
      <c r="A5394" s="1">
        <v>5.0</v>
      </c>
      <c r="B5394" s="1" t="s">
        <v>5328</v>
      </c>
      <c r="C5394" t="str">
        <f>IFERROR(__xludf.DUMMYFUNCTION("GOOGLETRANSLATE(B5394, ""fr"", ""en"")"),"Insulation on top I have an iPhone 6 and I buy these headphones and it works fine, no visible faults or problems use. Presents a solid wiring and a robust order volume.")</f>
        <v>Insulation on top I have an iPhone 6 and I buy these headphones and it works fine, no visible faults or problems use. Presents a solid wiring and a robust order volume.</v>
      </c>
    </row>
    <row r="5395">
      <c r="A5395" s="1">
        <v>5.0</v>
      </c>
      <c r="B5395" s="1" t="s">
        <v>5329</v>
      </c>
      <c r="C5395" t="str">
        <f>IFERROR(__xludf.DUMMYFUNCTION("GOOGLETRANSLATE(B5395, ""fr"", ""en"")"),"Superb Super item that makes the effect. My daughter is thrilled")</f>
        <v>Superb Super item that makes the effect. My daughter is thrilled</v>
      </c>
    </row>
    <row r="5396">
      <c r="A5396" s="1">
        <v>5.0</v>
      </c>
      <c r="B5396" s="1" t="s">
        <v>5330</v>
      </c>
      <c r="C5396" t="str">
        <f>IFERROR(__xludf.DUMMYFUNCTION("GOOGLETRANSLATE(B5396, ""fr"", ""en"")"),"Quality and delivery OK. Quality and delivery OK. RAS. I'm very happy.")</f>
        <v>Quality and delivery OK. Quality and delivery OK. RAS. I'm very happy.</v>
      </c>
    </row>
    <row r="5397">
      <c r="A5397" s="1">
        <v>5.0</v>
      </c>
      <c r="B5397" s="1" t="s">
        <v>5331</v>
      </c>
      <c r="C5397" t="str">
        <f>IFERROR(__xludf.DUMMYFUNCTION("GOOGLETRANSLATE(B5397, ""fr"", ""en"")"),"What pretty colors! farewell aggressive neon: highlighters pastels are just as effective, and so much more enjoyable to watch. I love them. Easy to beautify the course with. Not so on the fountain pen by cons.")</f>
        <v>What pretty colors! farewell aggressive neon: highlighters pastels are just as effective, and so much more enjoyable to watch. I love them. Easy to beautify the course with. Not so on the fountain pen by cons.</v>
      </c>
    </row>
    <row r="5398">
      <c r="A5398" s="1">
        <v>5.0</v>
      </c>
      <c r="B5398" s="1" t="s">
        <v>5332</v>
      </c>
      <c r="C5398" t="str">
        <f>IFERROR(__xludf.DUMMYFUNCTION("GOOGLETRANSLATE(B5398, ""fr"", ""en"")"),"Good quality for the price, the sound quality is good. Starting and automatic login. The battery lasts a long time and the box can be used as an external battery case for SOS")</f>
        <v>Good quality for the price, the sound quality is good. Starting and automatic login. The battery lasts a long time and the box can be used as an external battery case for SOS</v>
      </c>
    </row>
    <row r="5399">
      <c r="A5399" s="1">
        <v>5.0</v>
      </c>
      <c r="B5399" s="1" t="s">
        <v>5333</v>
      </c>
      <c r="C5399" t="str">
        <f>IFERROR(__xludf.DUMMYFUNCTION("GOOGLETRANSLATE(B5399, ""fr"", ""en"")"),"I love it I love it")</f>
        <v>I love it I love it</v>
      </c>
    </row>
    <row r="5400">
      <c r="A5400" s="1">
        <v>2.0</v>
      </c>
      <c r="B5400" s="1" t="s">
        <v>5334</v>
      </c>
      <c r="C5400" t="str">
        <f>IFERROR(__xludf.DUMMYFUNCTION("GOOGLETRANSLATE(B5400, ""fr"", ""en"")"),"small size these shoes size really small, I have the habit of kickers and I have never had any problems waist level I have a hard time believing are real kickers, and in addition to have affected 2 minutes I had black fingers I imagine what it must give o"&amp;"n the feet.")</f>
        <v>small size these shoes size really small, I have the habit of kickers and I have never had any problems waist level I have a hard time believing are real kickers, and in addition to have affected 2 minutes I had black fingers I imagine what it must give on the feet.</v>
      </c>
    </row>
    <row r="5401">
      <c r="A5401" s="1">
        <v>1.0</v>
      </c>
      <c r="B5401" s="1" t="s">
        <v>5335</v>
      </c>
      <c r="C5401" t="str">
        <f>IFERROR(__xludf.DUMMYFUNCTION("GOOGLETRANSLATE(B5401, ""fr"", ""en"")"),"Down after a year !! First it is a side that was not working, then the two. The bed is heated hs after a year! It's not serious...")</f>
        <v>Down after a year !! First it is a side that was not working, then the two. The bed is heated hs after a year! It's not serious...</v>
      </c>
    </row>
    <row r="5402">
      <c r="A5402" s="1">
        <v>1.0</v>
      </c>
      <c r="B5402" s="1" t="s">
        <v>5336</v>
      </c>
      <c r="C5402" t="str">
        <f>IFERROR(__xludf.DUMMYFUNCTION("GOOGLETRANSLATE(B5402, ""fr"", ""en"")"),"Does not work on XP442 purchase unnecessary Silver unnecessarily spent and unnecessary pollution as well. It does not work. View the photo. Black is not printed compared to printing with a black ink cartridge of the brand. Yet I had checked that there wer"&amp;"e many comments from other satisfied customers to the same model as me. XP 442. wonder if this is a real comment, because on mine it does not work at all.")</f>
        <v>Does not work on XP442 purchase unnecessary Silver unnecessarily spent and unnecessary pollution as well. It does not work. View the photo. Black is not printed compared to printing with a black ink cartridge of the brand. Yet I had checked that there were many comments from other satisfied customers to the same model as me. XP 442. wonder if this is a real comment, because on mine it does not work at all.</v>
      </c>
    </row>
    <row r="5403">
      <c r="A5403" s="1">
        <v>3.0</v>
      </c>
      <c r="B5403" s="1" t="s">
        <v>5337</v>
      </c>
      <c r="C5403" t="str">
        <f>IFERROR(__xludf.DUMMYFUNCTION("GOOGLETRANSLATE(B5403, ""fr"", ""en"")"),"Wrong color Met my expectations, except color. I ordered I received NUDE PINK. Well, it does not prevent its use but I like to get what I ordered.")</f>
        <v>Wrong color Met my expectations, except color. I ordered I received NUDE PINK. Well, it does not prevent its use but I like to get what I ordered.</v>
      </c>
    </row>
    <row r="5404">
      <c r="A5404" s="1">
        <v>4.0</v>
      </c>
      <c r="B5404" s="1" t="s">
        <v>5338</v>
      </c>
      <c r="C5404" t="str">
        <f>IFERROR(__xludf.DUMMYFUNCTION("GOOGLETRANSLATE(B5404, ""fr"", ""en"")"),"TOP but ... very nice kettle, easy to clean with white vinegar! however sometimes difficult to open the cover !!")</f>
        <v>TOP but ... very nice kettle, easy to clean with white vinegar! however sometimes difficult to open the cover !!</v>
      </c>
    </row>
    <row r="5405">
      <c r="A5405" s="1">
        <v>4.0</v>
      </c>
      <c r="B5405" s="1" t="s">
        <v>5339</v>
      </c>
      <c r="C5405" t="str">
        <f>IFERROR(__xludf.DUMMYFUNCTION("GOOGLETRANSLATE(B5405, ""fr"", ""en"")"),"Pants Pants solid work, this is my second little small a Size")</f>
        <v>Pants Pants solid work, this is my second little small a Size</v>
      </c>
    </row>
    <row r="5406">
      <c r="A5406" s="1">
        <v>4.0</v>
      </c>
      <c r="B5406" s="1" t="s">
        <v>5340</v>
      </c>
      <c r="C5406" t="str">
        <f>IFERROR(__xludf.DUMMYFUNCTION("GOOGLETRANSLATE(B5406, ""fr"", ""en"")"),"My experience PREMYO Very satisfied with my purchase for the maintenance of my Timberland light colored and nubuck. The size is good and easy shot to transport necessary. The product itself is well finished and effective result! I recommend !")</f>
        <v>My experience PREMYO Very satisfied with my purchase for the maintenance of my Timberland light colored and nubuck. The size is good and easy shot to transport necessary. The product itself is well finished and effective result! I recommend !</v>
      </c>
    </row>
    <row r="5407">
      <c r="A5407" s="1">
        <v>4.0</v>
      </c>
      <c r="B5407" s="1" t="s">
        <v>5341</v>
      </c>
      <c r="C5407" t="str">
        <f>IFERROR(__xludf.DUMMYFUNCTION("GOOGLETRANSLATE(B5407, ""fr"", ""en"")"),"Size good, good effect, but lacks a bit of elasticity This sweatshirt size correctly, but it does not surprisingly not elastane in its composition, so it is not for sport, it would interfere movements. It contains cotton and polyester. It is rather late, "&amp;"it's not a sweatshirt for the winter. It fulfills its function, its cut is classic, it goes everywhere. The hood is handy in case of gale, cold, or rain.")</f>
        <v>Size good, good effect, but lacks a bit of elasticity This sweatshirt size correctly, but it does not surprisingly not elastane in its composition, so it is not for sport, it would interfere movements. It contains cotton and polyester. It is rather late, it's not a sweatshirt for the winter. It fulfills its function, its cut is classic, it goes everywhere. The hood is handy in case of gale, cold, or rain.</v>
      </c>
    </row>
    <row r="5408">
      <c r="A5408" s="1">
        <v>5.0</v>
      </c>
      <c r="B5408" s="1" t="s">
        <v>5342</v>
      </c>
      <c r="C5408" t="str">
        <f>IFERROR(__xludf.DUMMYFUNCTION("GOOGLETRANSLATE(B5408, ""fr"", ""en"")"),"Exellent product! Perfectly matches my expectations!")</f>
        <v>Exellent product! Perfectly matches my expectations!</v>
      </c>
    </row>
    <row r="5409">
      <c r="A5409" s="1">
        <v>5.0</v>
      </c>
      <c r="B5409" s="1" t="s">
        <v>5343</v>
      </c>
      <c r="C5409" t="str">
        <f>IFERROR(__xludf.DUMMYFUNCTION("GOOGLETRANSLATE(B5409, ""fr"", ""en"")"),"Very nice Pretty black leather bag. Very nice and very sober. She feels genuine leather and what a pleasant smell !!! Comes with a long super class portfolio. There is a pocket in the front and back of the case. Over one inside. In short, you have everyth"&amp;"ing you need to store all your paperwork and cards.")</f>
        <v>Very nice Pretty black leather bag. Very nice and very sober. She feels genuine leather and what a pleasant smell !!! Comes with a long super class portfolio. There is a pocket in the front and back of the case. Over one inside. In short, you have everything you need to store all your paperwork and cards.</v>
      </c>
    </row>
    <row r="5410">
      <c r="A5410" s="1">
        <v>5.0</v>
      </c>
      <c r="B5410" s="1" t="s">
        <v>5344</v>
      </c>
      <c r="C5410" t="str">
        <f>IFERROR(__xludf.DUMMYFUNCTION("GOOGLETRANSLATE(B5410, ""fr"", ""en"")"),"At the top All it took for the girl As the lamp is very pretty and wonderfully filled office Very fast delivery.")</f>
        <v>At the top All it took for the girl As the lamp is very pretty and wonderfully filled office Very fast delivery.</v>
      </c>
    </row>
    <row r="5411">
      <c r="A5411" s="1">
        <v>5.0</v>
      </c>
      <c r="B5411" s="1" t="s">
        <v>5345</v>
      </c>
      <c r="C5411" t="str">
        <f>IFERROR(__xludf.DUMMYFUNCTION("GOOGLETRANSLATE(B5411, ""fr"", ""en"")"),"Lovely Pretty leegging")</f>
        <v>Lovely Pretty leegging</v>
      </c>
    </row>
    <row r="5412">
      <c r="A5412" s="1">
        <v>5.0</v>
      </c>
      <c r="B5412" s="1" t="s">
        <v>5346</v>
      </c>
      <c r="C5412" t="str">
        <f>IFERROR(__xludf.DUMMYFUNCTION("GOOGLETRANSLATE(B5412, ""fr"", ""en"")"),"Original product ... has a basic right price Original product, sold and shipped by Amazon. This is a Basic. Glad I found this price (-60 €)")</f>
        <v>Original product ... has a basic right price Original product, sold and shipped by Amazon. This is a Basic. Glad I found this price (-60 €)</v>
      </c>
    </row>
    <row r="5413">
      <c r="A5413" s="1">
        <v>5.0</v>
      </c>
      <c r="B5413" s="1" t="s">
        <v>5347</v>
      </c>
      <c r="C5413" t="str">
        <f>IFERROR(__xludf.DUMMYFUNCTION("GOOGLETRANSLATE(B5413, ""fr"", ""en"")"),"Excellent value for money This is exactly what I wanted. This diffuser is pretty decoration, very quiet there is no noise, small and convenient. The play of light is sublime and relaxing with little mist comes out! I love and I recommend")</f>
        <v>Excellent value for money This is exactly what I wanted. This diffuser is pretty decoration, very quiet there is no noise, small and convenient. The play of light is sublime and relaxing with little mist comes out! I love and I recommend</v>
      </c>
    </row>
    <row r="5414">
      <c r="A5414" s="1">
        <v>5.0</v>
      </c>
      <c r="B5414" s="1" t="s">
        <v>5348</v>
      </c>
      <c r="C5414" t="str">
        <f>IFERROR(__xludf.DUMMYFUNCTION("GOOGLETRANSLATE(B5414, ""fr"", ""en"")"),"Occasional casual shoes for friends and guests. It's better than leaving people in socks. Can be used several times but not as strong as real slippers.")</f>
        <v>Occasional casual shoes for friends and guests. It's better than leaving people in socks. Can be used several times but not as strong as real slippers.</v>
      </c>
    </row>
    <row r="5415">
      <c r="A5415" s="1">
        <v>5.0</v>
      </c>
      <c r="B5415" s="1" t="s">
        <v>5349</v>
      </c>
      <c r="C5415" t="str">
        <f>IFERROR(__xludf.DUMMYFUNCTION("GOOGLETRANSLATE(B5415, ""fr"", ""en"")"),"Suitable I play 39, they are pleasing to worn, not too high and does not slip.")</f>
        <v>Suitable I play 39, they are pleasing to worn, not too high and does not slip.</v>
      </c>
    </row>
    <row r="5416">
      <c r="A5416" s="1">
        <v>5.0</v>
      </c>
      <c r="B5416" s="1" t="s">
        <v>5350</v>
      </c>
      <c r="C5416" t="str">
        <f>IFERROR(__xludf.DUMMYFUNCTION("GOOGLETRANSLATE(B5416, ""fr"", ""en"")"),"Good product Beau micro easy installation, however, in addition to an external sound card the result is not great.")</f>
        <v>Good product Beau micro easy installation, however, in addition to an external sound card the result is not great.</v>
      </c>
    </row>
    <row r="5417">
      <c r="A5417" s="1">
        <v>5.0</v>
      </c>
      <c r="B5417" s="1" t="s">
        <v>5351</v>
      </c>
      <c r="C5417" t="str">
        <f>IFERROR(__xludf.DUMMYFUNCTION("GOOGLETRANSLATE(B5417, ""fr"", ""en"")"),"Great product! A very complete kit headphones, pleasant to use. I was afraid they do not take well but in the end they do not move a once installed, and are very discreet. Also, the sound is very pleasant, and the microphone is effective for calls. The st"&amp;"and displays the remaining battery level and allows to have always charged headphones. Finally, little more, the charging base can also serve as external battery to charge the phone. Very satisfied with my purchase. I recommend !")</f>
        <v>Great product! A very complete kit headphones, pleasant to use. I was afraid they do not take well but in the end they do not move a once installed, and are very discreet. Also, the sound is very pleasant, and the microphone is effective for calls. The stand displays the remaining battery level and allows to have always charged headphones. Finally, little more, the charging base can also serve as external battery to charge the phone. Very satisfied with my purchase. I recommend !</v>
      </c>
    </row>
    <row r="5418">
      <c r="A5418" s="1">
        <v>5.0</v>
      </c>
      <c r="B5418" s="1" t="s">
        <v>5352</v>
      </c>
      <c r="C5418" t="str">
        <f>IFERROR(__xludf.DUMMYFUNCTION("GOOGLETRANSLATE(B5418, ""fr"", ""en"")"),"Good value corresponds to the requested use .I have placed in my dining room which is very wet and after two days we see the patch absorb .I do not know how long it will last? .the pad is nature, next, I take a fragrant .The looks nice and blends into the"&amp;" decor.")</f>
        <v>Good value corresponds to the requested use .I have placed in my dining room which is very wet and after two days we see the patch absorb .I do not know how long it will last? .the pad is nature, next, I take a fragrant .The looks nice and blends into the decor.</v>
      </c>
    </row>
    <row r="5419">
      <c r="A5419" s="1">
        <v>5.0</v>
      </c>
      <c r="B5419" s="1" t="s">
        <v>5353</v>
      </c>
      <c r="C5419" t="str">
        <f>IFERROR(__xludf.DUMMYFUNCTION("GOOGLETRANSLATE(B5419, ""fr"", ""en"")"),"Finery I bought this dress for my daughter who wanted it the superb located")</f>
        <v>Finery I bought this dress for my daughter who wanted it the superb located</v>
      </c>
    </row>
    <row r="5420">
      <c r="A5420" s="1">
        <v>5.0</v>
      </c>
      <c r="B5420" s="1" t="s">
        <v>5354</v>
      </c>
      <c r="C5420" t="str">
        <f>IFERROR(__xludf.DUMMYFUNCTION("GOOGLETRANSLATE(B5420, ""fr"", ""en"")"),"Really convenient practice to have everything at your fingertips during the holidays.")</f>
        <v>Really convenient practice to have everything at your fingertips during the holidays.</v>
      </c>
    </row>
    <row r="5421">
      <c r="A5421" s="1">
        <v>5.0</v>
      </c>
      <c r="B5421" s="1" t="s">
        <v>5355</v>
      </c>
      <c r="C5421" t="str">
        <f>IFERROR(__xludf.DUMMYFUNCTION("GOOGLETRANSLATE(B5421, ""fr"", ""en"")"),"TREE OF LIFE This is a very nice and fine pendant. I have chosen from all those you propose, and I think in order another (?)")</f>
        <v>TREE OF LIFE This is a very nice and fine pendant. I have chosen from all those you propose, and I think in order another (?)</v>
      </c>
    </row>
    <row r="5422">
      <c r="A5422" s="1">
        <v>5.0</v>
      </c>
      <c r="B5422" s="1" t="s">
        <v>5356</v>
      </c>
      <c r="C5422" t="str">
        <f>IFERROR(__xludf.DUMMYFUNCTION("GOOGLETRANSLATE(B5422, ""fr"", ""en"")"),"rolls well goes well with the machine")</f>
        <v>rolls well goes well with the machine</v>
      </c>
    </row>
    <row r="5423">
      <c r="A5423" s="1">
        <v>2.0</v>
      </c>
      <c r="B5423" s="1" t="s">
        <v>5357</v>
      </c>
      <c r="C5423" t="str">
        <f>IFERROR(__xludf.DUMMYFUNCTION("GOOGLETRANSLATE(B5423, ""fr"", ""en"")"),"Headphones ""classic"" ...? It's more like mini speakers of that would have after a helmet. 2 STARS compared to the expectations I had of a Bone conduction headphones. I would have put 4 see 5 stars if it was designated as a helmet ""extra-ear"". The posi"&amp;"tion of speaker of the headset leaves the possibility of listening to the sounds and ambient noise outside. I do not know if all the bone conduction headphones running on the same principle, because it allows to hear without even the ears, just the propon"&amp;"ents in the ear quoted on hand or even placed on the table more than 30 cm of ears. Unless the manufacturer is that the bone conduction vibration classic sound waves emitted through the plastic structure that covers the speakers I suppose be inside. Disap"&amp;"pointed compared to what I expected from the description of the item but we could say that they are more or less conventional headphones, different from the point of view of design and aesthetics of conventional headphones. Once on the ears is the sound o"&amp;"f classic quality, depending on the ""headphones"" position at ear level, or outside of the ears and not-ear, just like the images of article. Images are also consistent with headphones featured on the site. Walk like Bluetooth headsets that are found els"&amp;"ewhere in the market: Pairing, hands-free GSM (mobile phone), pick, telephone conversation, hang up, listen to stereo music from the mobile phone music player, etc. No transmission of sound through the bones of the skull obvious because even the head away"&amp;" from the mean roughly the same quality and volume.")</f>
        <v>Headphones "classic" ...? It's more like mini speakers of that would have after a helmet. 2 STARS compared to the expectations I had of a Bone conduction headphones. I would have put 4 see 5 stars if it was designated as a helmet "extra-ear". The position of speaker of the headset leaves the possibility of listening to the sounds and ambient noise outside. I do not know if all the bone conduction headphones running on the same principle, because it allows to hear without even the ears, just the proponents in the ear quoted on hand or even placed on the table more than 30 cm of ears. Unless the manufacturer is that the bone conduction vibration classic sound waves emitted through the plastic structure that covers the speakers I suppose be inside. Disappointed compared to what I expected from the description of the item but we could say that they are more or less conventional headphones, different from the point of view of design and aesthetics of conventional headphones. Once on the ears is the sound of classic quality, depending on the "headphones" position at ear level, or outside of the ears and not-ear, just like the images of article. Images are also consistent with headphones featured on the site. Walk like Bluetooth headsets that are found elsewhere in the market: Pairing, hands-free GSM (mobile phone), pick, telephone conversation, hang up, listen to stereo music from the mobile phone music player, etc. No transmission of sound through the bones of the skull obvious because even the head away from the mean roughly the same quality and volume.</v>
      </c>
    </row>
    <row r="5424">
      <c r="A5424" s="1">
        <v>1.0</v>
      </c>
      <c r="B5424" s="1" t="s">
        <v>5358</v>
      </c>
      <c r="C5424" t="str">
        <f>IFERROR(__xludf.DUMMYFUNCTION("GOOGLETRANSLATE(B5424, ""fr"", ""en"")"),"Pretty but not possible to make a run returned Shoes pain left plantar vault I expect to see the price soon Asics quantum knit 2 360 to order")</f>
        <v>Pretty but not possible to make a run returned Shoes pain left plantar vault I expect to see the price soon Asics quantum knit 2 360 to order</v>
      </c>
    </row>
    <row r="5425">
      <c r="A5425" s="1">
        <v>3.0</v>
      </c>
      <c r="B5425" s="1" t="s">
        <v>5359</v>
      </c>
      <c r="C5425" t="str">
        <f>IFERROR(__xludf.DUMMYFUNCTION("GOOGLETRANSLATE(B5425, ""fr"", ""en"")"),"Mixed Hello, I bought these headphones based on the reviews people. Personally, I find it very beautiful, light despite its size, and rather well done. Fingerprints are inevitable counterattacks. The small storage bag is useless, impractical. Level operat"&amp;"ion, I had the same concerns that a lot of people, I inadvertent stalls of blutetooth millisecond to sometimes more than one second (I have not tried sniffing). I do not know why but it is not livable, so I will return. Otherwise, I personally found the s"&amp;"ound too serious. I like the bass, but the rock is a little distorted.")</f>
        <v>Mixed Hello, I bought these headphones based on the reviews people. Personally, I find it very beautiful, light despite its size, and rather well done. Fingerprints are inevitable counterattacks. The small storage bag is useless, impractical. Level operation, I had the same concerns that a lot of people, I inadvertent stalls of blutetooth millisecond to sometimes more than one second (I have not tried sniffing). I do not know why but it is not livable, so I will return. Otherwise, I personally found the sound too serious. I like the bass, but the rock is a little distorted.</v>
      </c>
    </row>
    <row r="5426">
      <c r="A5426" s="1">
        <v>3.0</v>
      </c>
      <c r="B5426" s="1" t="s">
        <v>5360</v>
      </c>
      <c r="C5426" t="str">
        <f>IFERROR(__xludf.DUMMYFUNCTION("GOOGLETRANSLATE(B5426, ""fr"", ""en"")"),"Mine The mine is too short so very short to draw really must be put upright pencil. Although very transiently for very small but as soon as the child grows up a bit because we must change too small mine ....")</f>
        <v>Mine The mine is too short so very short to draw really must be put upright pencil. Although very transiently for very small but as soon as the child grows up a bit because we must change too small mine ....</v>
      </c>
    </row>
    <row r="5427">
      <c r="A5427" s="1">
        <v>4.0</v>
      </c>
      <c r="B5427" s="1" t="s">
        <v>5361</v>
      </c>
      <c r="C5427" t="str">
        <f>IFERROR(__xludf.DUMMYFUNCTION("GOOGLETRANSLATE(B5427, ""fr"", ""en"")"),"Works well after a year, Kettle elegant quality design that works well. The only downside: the temperature control is not as precise as I shall desire. Indeed, the temperature is higher than the selected one. The display stops at the desired temperature, "&amp;"but the actual temperature is different (visible if you turn off and on again the kettle). By stopping the kettle just before the desired temperature is obtained néanmoin a satisfactory result.")</f>
        <v>Works well after a year, Kettle elegant quality design that works well. The only downside: the temperature control is not as precise as I shall desire. Indeed, the temperature is higher than the selected one. The display stops at the desired temperature, but the actual temperature is different (visible if you turn off and on again the kettle). By stopping the kettle just before the desired temperature is obtained néanmoin a satisfactory result.</v>
      </c>
    </row>
    <row r="5428">
      <c r="A5428" s="1">
        <v>4.0</v>
      </c>
      <c r="B5428" s="1" t="s">
        <v>5362</v>
      </c>
      <c r="C5428" t="str">
        <f>IFERROR(__xludf.DUMMYFUNCTION("GOOGLETRANSLATE(B5428, ""fr"", ""en"")"),"Price Very good bag")</f>
        <v>Price Very good bag</v>
      </c>
    </row>
    <row r="5429">
      <c r="A5429" s="1">
        <v>4.0</v>
      </c>
      <c r="B5429" s="1" t="s">
        <v>5363</v>
      </c>
      <c r="C5429" t="str">
        <f>IFERROR(__xludf.DUMMYFUNCTION("GOOGLETRANSLATE(B5429, ""fr"", ""en"")"),"Pretty silver chain chain, fine, not too long. I wear it for 2 days, I hope what does not darken over time and what will not break. For cons, I thought what would fall down (have not measured)")</f>
        <v>Pretty silver chain chain, fine, not too long. I wear it for 2 days, I hope what does not darken over time and what will not break. For cons, I thought what would fall down (have not measured)</v>
      </c>
    </row>
    <row r="5430">
      <c r="A5430" s="1">
        <v>4.0</v>
      </c>
      <c r="B5430" s="1" t="s">
        <v>5364</v>
      </c>
      <c r="C5430" t="str">
        <f>IFERROR(__xludf.DUMMYFUNCTION("GOOGLETRANSLATE(B5430, ""fr"", ""en"")"),"Very good headphones! ⚠️ review after use ⚠️ I needed wireless headphones and my choice fell on these headphones. ➡️ Pros: - Very beautiful and discrete earphones - The price that is clearly advantageous to the market. - very good audio quality. - fasteni"&amp;"ng system at the top - The fact that the headphones is magnetized making a necklace when you have no ear - The quality and strength - storage pouch (small box) - Spare Parts for ➡️ headphones negative: - the scope of the bluetooth seems to me a light coat"&amp;". But it really is to be fussy. I recommend them without any hesitation. Coordialement, Anne PS: If this comment helpful to you 🙏😊⤵️")</f>
        <v>Very good headphones! ⚠️ review after use ⚠️ I needed wireless headphones and my choice fell on these headphones. ➡️ Pros: - Very beautiful and discrete earphones - The price that is clearly advantageous to the market. - very good audio quality. - fastening system at the top - The fact that the headphones is magnetized making a necklace when you have no ear - The quality and strength - storage pouch (small box) - Spare Parts for ➡️ headphones negative: - the scope of the bluetooth seems to me a light coat. But it really is to be fussy. I recommend them without any hesitation. Coordialement, Anne PS: If this comment helpful to you 🙏😊⤵️</v>
      </c>
    </row>
    <row r="5431">
      <c r="A5431" s="1">
        <v>5.0</v>
      </c>
      <c r="B5431" s="1" t="s">
        <v>5365</v>
      </c>
      <c r="C5431" t="str">
        <f>IFERROR(__xludf.DUMMYFUNCTION("GOOGLETRANSLATE(B5431, ""fr"", ""en"")"),"💎 Good surprise 💎 ☑ They are very simple but very nice, although more real than in pictures. ☑ No particular allergy. ☑ Good value. 5 stars without hesitation")</f>
        <v>💎 Good surprise 💎 ☑ They are very simple but very nice, although more real than in pictures. ☑ No particular allergy. ☑ Good value. 5 stars without hesitation</v>
      </c>
    </row>
    <row r="5432">
      <c r="A5432" s="1">
        <v>5.0</v>
      </c>
      <c r="B5432" s="1" t="s">
        <v>5366</v>
      </c>
      <c r="C5432" t="str">
        <f>IFERROR(__xludf.DUMMYFUNCTION("GOOGLETRANSLATE(B5432, ""fr"", ""en"")"),"Perfect ! It really is a great gift idea for birth. The glass is not harmful to health, unlike plastic. Further, these bottles are of good quality, with a catch in friendly hands. Cleaning is very simple, and a bottle brush comes with. The nipples are fin"&amp;"e too. There are low speed for newborns and medium speed for a little thicker milk. I recommend !")</f>
        <v>Perfect ! It really is a great gift idea for birth. The glass is not harmful to health, unlike plastic. Further, these bottles are of good quality, with a catch in friendly hands. Cleaning is very simple, and a bottle brush comes with. The nipples are fine too. There are low speed for newborns and medium speed for a little thicker milk. I recommend !</v>
      </c>
    </row>
    <row r="5433">
      <c r="A5433" s="1">
        <v>5.0</v>
      </c>
      <c r="B5433" s="1" t="s">
        <v>5367</v>
      </c>
      <c r="C5433" t="str">
        <f>IFERROR(__xludf.DUMMYFUNCTION("GOOGLETRANSLATE(B5433, ""fr"", ""en"")"),"Hot enough for all winter! A good product for winter! I tried as soon as I received it! very hot, my neck and shoulders a good value, and delivery is fast! in the top!!!")</f>
        <v>Hot enough for all winter! A good product for winter! I tried as soon as I received it! very hot, my neck and shoulders a good value, and delivery is fast! in the top!!!</v>
      </c>
    </row>
    <row r="5434">
      <c r="A5434" s="1">
        <v>5.0</v>
      </c>
      <c r="B5434" s="1" t="s">
        <v>5368</v>
      </c>
      <c r="C5434" t="str">
        <f>IFERROR(__xludf.DUMMYFUNCTION("GOOGLETRANSLATE(B5434, ""fr"", ""en"")"),"Very good system but ... We started feeding our daughter to the hospital with bottles of great simplicity 3 speed (bottle and disposable sterile nipple). We chose AVENT products because they have the reputation of being the best in the physiological and q"&amp;"ualitative level. Which just proves. As against a manual for the use of pacifiers would be welcome. Indeed, to manage speeds (teats 1, 2, 3 or 4), the air, the sense ... you have to have an engineering degree. Or a user manual, but there is none. It is al"&amp;"so a pity we can not choose the speed of the nipple by buying the bottle (sold with a nipple 1). The teat 1 has never been used in our case.")</f>
        <v>Very good system but ... We started feeding our daughter to the hospital with bottles of great simplicity 3 speed (bottle and disposable sterile nipple). We chose AVENT products because they have the reputation of being the best in the physiological and qualitative level. Which just proves. As against a manual for the use of pacifiers would be welcome. Indeed, to manage speeds (teats 1, 2, 3 or 4), the air, the sense ... you have to have an engineering degree. Or a user manual, but there is none. It is also a pity we can not choose the speed of the nipple by buying the bottle (sold with a nipple 1). The teat 1 has never been used in our case.</v>
      </c>
    </row>
    <row r="5435">
      <c r="A5435" s="1">
        <v>5.0</v>
      </c>
      <c r="B5435" s="1" t="s">
        <v>5369</v>
      </c>
      <c r="C5435" t="str">
        <f>IFERROR(__xludf.DUMMYFUNCTION("GOOGLETRANSLATE(B5435, ""fr"", ""en"")"),"Teat bottle very well for Philips Avent Philips brand and good quality Nothing wrong")</f>
        <v>Teat bottle very well for Philips Avent Philips brand and good quality Nothing wrong</v>
      </c>
    </row>
    <row r="5436">
      <c r="A5436" s="1">
        <v>5.0</v>
      </c>
      <c r="B5436" s="1" t="s">
        <v>5370</v>
      </c>
      <c r="C5436" t="str">
        <f>IFERROR(__xludf.DUMMYFUNCTION("GOOGLETRANSLATE(B5436, ""fr"", ""en"")"),"Super J adore bcp")</f>
        <v>Super J adore bcp</v>
      </c>
    </row>
    <row r="5437">
      <c r="A5437" s="1">
        <v>5.0</v>
      </c>
      <c r="B5437" s="1" t="s">
        <v>5371</v>
      </c>
      <c r="C5437" t="str">
        <f>IFERROR(__xludf.DUMMYFUNCTION("GOOGLETRANSLATE(B5437, ""fr"", ""en"")"),"It is perfect come as I expected, no problem and I have taken my usual foot size")</f>
        <v>It is perfect come as I expected, no problem and I have taken my usual foot size</v>
      </c>
    </row>
    <row r="5438">
      <c r="A5438" s="1">
        <v>5.0</v>
      </c>
      <c r="B5438" s="1" t="s">
        <v>5372</v>
      </c>
      <c r="C5438" t="str">
        <f>IFERROR(__xludf.DUMMYFUNCTION("GOOGLETRANSLATE(B5438, ""fr"", ""en"")"),"Top basketball Superb stylish and quality")</f>
        <v>Top basketball Superb stylish and quality</v>
      </c>
    </row>
    <row r="5439">
      <c r="A5439" s="1">
        <v>5.0</v>
      </c>
      <c r="B5439" s="1" t="s">
        <v>5373</v>
      </c>
      <c r="C5439" t="str">
        <f>IFERROR(__xludf.DUMMYFUNCTION("GOOGLETRANSLATE(B5439, ""fr"", ""en"")"),"While the lightweight comfortable very surprised really happy very light product I used to do my jogging c is perfect is not even feel it in our ears any embarrassment I reconnande")</f>
        <v>While the lightweight comfortable very surprised really happy very light product I used to do my jogging c is perfect is not even feel it in our ears any embarrassment I reconnande</v>
      </c>
    </row>
    <row r="5440">
      <c r="A5440" s="1">
        <v>5.0</v>
      </c>
      <c r="B5440" s="1" t="s">
        <v>5374</v>
      </c>
      <c r="C5440" t="str">
        <f>IFERROR(__xludf.DUMMYFUNCTION("GOOGLETRANSLATE(B5440, ""fr"", ""en"")"),"Ok Lets proper dilution of the paint to prevent fouling of the aero But it is expensive when you have a high use")</f>
        <v>Ok Lets proper dilution of the paint to prevent fouling of the aero But it is expensive when you have a high use</v>
      </c>
    </row>
    <row r="5441">
      <c r="A5441" s="1">
        <v>5.0</v>
      </c>
      <c r="B5441" s="1" t="s">
        <v>5375</v>
      </c>
      <c r="C5441" t="str">
        <f>IFERROR(__xludf.DUMMYFUNCTION("GOOGLETRANSLATE(B5441, ""fr"", ""en"")"),"clever effective! My little loved, he discovered new tastes without risk to put a big piece to the mouth, everything compotise under pressure and oral suction. I recommend.")</f>
        <v>clever effective! My little loved, he discovered new tastes without risk to put a big piece to the mouth, everything compotise under pressure and oral suction. I recommend.</v>
      </c>
    </row>
    <row r="5442">
      <c r="A5442" s="1">
        <v>5.0</v>
      </c>
      <c r="B5442" s="1" t="s">
        <v>5376</v>
      </c>
      <c r="C5442" t="str">
        <f>IFERROR(__xludf.DUMMYFUNCTION("GOOGLETRANSLATE(B5442, ""fr"", ""en"")"),"Very beautiful finery My granddaughter is very happy and she never left :) Very nice indeed. Good Value!")</f>
        <v>Very beautiful finery My granddaughter is very happy and she never left :) Very nice indeed. Good Value!</v>
      </c>
    </row>
    <row r="5443">
      <c r="A5443" s="1">
        <v>5.0</v>
      </c>
      <c r="B5443" s="1" t="s">
        <v>5377</v>
      </c>
      <c r="C5443" t="str">
        <f>IFERROR(__xludf.DUMMYFUNCTION("GOOGLETRANSLATE(B5443, ""fr"", ""en"")"),"Impeccable Pleasant to reach")</f>
        <v>Impeccable Pleasant to reach</v>
      </c>
    </row>
    <row r="5444">
      <c r="A5444" s="1">
        <v>5.0</v>
      </c>
      <c r="B5444" s="1" t="s">
        <v>5378</v>
      </c>
      <c r="C5444" t="str">
        <f>IFERROR(__xludf.DUMMYFUNCTION("GOOGLETRANSLATE(B5444, ""fr"", ""en"")"),"Size and practical pockets This bag is very practical, it can be used either as a backpack or as a chest bag. We can hang right or left. It has multiple pockets to store a lot of things, taking much less space than a conventional bag.")</f>
        <v>Size and practical pockets This bag is very practical, it can be used either as a backpack or as a chest bag. We can hang right or left. It has multiple pockets to store a lot of things, taking much less space than a conventional bag.</v>
      </c>
    </row>
    <row r="5445">
      <c r="A5445" s="1">
        <v>5.0</v>
      </c>
      <c r="B5445" s="1" t="s">
        <v>5379</v>
      </c>
      <c r="C5445" t="str">
        <f>IFERROR(__xludf.DUMMYFUNCTION("GOOGLETRANSLATE(B5445, ""fr"", ""en"")"),"Great product Food Delivery on time, nice delivery. Product in good condition, almost all of my makeup goes (I do not think have much makeup) careful anyway to depth. One note: it would be nice not to lose space and add a drawer below the stairs to the to"&amp;"p. Very satisfied! I recommend")</f>
        <v>Great product Food Delivery on time, nice delivery. Product in good condition, almost all of my makeup goes (I do not think have much makeup) careful anyway to depth. One note: it would be nice not to lose space and add a drawer below the stairs to the top. Very satisfied! I recommend</v>
      </c>
    </row>
    <row r="5446">
      <c r="A5446" s="1">
        <v>2.0</v>
      </c>
      <c r="B5446" s="1" t="s">
        <v>5380</v>
      </c>
      <c r="C5446" t="str">
        <f>IFERROR(__xludf.DUMMYFUNCTION("GOOGLETRANSLATE(B5446, ""fr"", ""en"")"),"These lightweight converse in paintings are very light and although it respect the look ""Converse"", they lack outfit. &lt;A data-hook = ""product-link-linked"" class = ""link-to-normal"" href = ""/ Converse Chuck Taylor All Star Hi-Mono-Trainers-mode-mixed"&amp;"-adult-Black- Black-Mono-40-EU / dp / B0000AFT8E / ref = ie = UTF8 cm_cr_arp_d_rvw_txt ""&gt; Converse Chuck Taylor All Star Hi Mono Trainer Unisex fashion - Black (Black Mono), 40 EU &lt;/a&gt;")</f>
        <v>These lightweight converse in paintings are very light and although it respect the look "Converse", they lack outfit. &lt;A data-hook = "product-link-linked" class = "link-to-normal" href = "/ Converse Chuck Taylor All Star Hi-Mono-Trainers-mode-mixed-adult-Black- Black-Mono-40-EU / dp / B0000AFT8E / ref = ie = UTF8 cm_cr_arp_d_rvw_txt "&gt; Converse Chuck Taylor All Star Hi Mono Trainer Unisex fashion - Black (Black Mono), 40 EU &lt;/a&gt;</v>
      </c>
    </row>
    <row r="5447">
      <c r="A5447" s="1">
        <v>1.0</v>
      </c>
      <c r="B5447" s="1" t="s">
        <v>5381</v>
      </c>
      <c r="C5447" t="str">
        <f>IFERROR(__xludf.DUMMYFUNCTION("GOOGLETRANSLATE(B5447, ""fr"", ""en"")"),"Small quality Hardly worn, ever slept with and the chain has broken very disappointed far too expensive for the low quality")</f>
        <v>Small quality Hardly worn, ever slept with and the chain has broken very disappointed far too expensive for the low quality</v>
      </c>
    </row>
    <row r="5448">
      <c r="A5448" s="1">
        <v>1.0</v>
      </c>
      <c r="B5448" s="1" t="s">
        <v>5382</v>
      </c>
      <c r="C5448" t="str">
        <f>IFERROR(__xludf.DUMMYFUNCTION("GOOGLETRANSLATE(B5448, ""fr"", ""en"")"),"lapis lazuli? I have a doubt, disappointed")</f>
        <v>lapis lazuli? I have a doubt, disappointed</v>
      </c>
    </row>
    <row r="5449">
      <c r="A5449" s="1">
        <v>3.0</v>
      </c>
      <c r="B5449" s="1" t="s">
        <v>5383</v>
      </c>
      <c r="C5449" t="str">
        <f>IFERROR(__xludf.DUMMYFUNCTION("GOOGLETRANSLATE(B5449, ""fr"", ""en"")"),"Not essential but decent Detergents and other softeners are already mostly fragrant. This product seems a bit superfluous compared to my personal habits. But anyway the scent is not too strong, I dosed however minimally. The softener does the job properly"&amp;" otherwise. Durable but not essential.")</f>
        <v>Not essential but decent Detergents and other softeners are already mostly fragrant. This product seems a bit superfluous compared to my personal habits. But anyway the scent is not too strong, I dosed however minimally. The softener does the job properly otherwise. Durable but not essential.</v>
      </c>
    </row>
    <row r="5450">
      <c r="A5450" s="1">
        <v>3.0</v>
      </c>
      <c r="B5450" s="1" t="s">
        <v>5384</v>
      </c>
      <c r="C5450" t="str">
        <f>IFERROR(__xludf.DUMMYFUNCTION("GOOGLETRANSLATE(B5450, ""fr"", ""en"")"),"Hello heel problem, no problem at first, but now 1 month, behind the heel began to make balls, as if bits of inside stood. Unable to bear since. It's really bad. It's weird because I have another pair and it has never done that.")</f>
        <v>Hello heel problem, no problem at first, but now 1 month, behind the heel began to make balls, as if bits of inside stood. Unable to bear since. It's really bad. It's weird because I have another pair and it has never done that.</v>
      </c>
    </row>
    <row r="5451">
      <c r="A5451" s="1">
        <v>4.0</v>
      </c>
      <c r="B5451" s="1" t="s">
        <v>5385</v>
      </c>
      <c r="C5451" t="str">
        <f>IFERROR(__xludf.DUMMYFUNCTION("GOOGLETRANSLATE(B5451, ""fr"", ""en"")"),"Nice but not very comfortable .. Product bought my son who is 12. Very nice colors but a bit special material that is not too much more to it. They also take him hot and he has the foot end, they are a little wide. He will wait for the fall put them.")</f>
        <v>Nice but not very comfortable .. Product bought my son who is 12. Very nice colors but a bit special material that is not too much more to it. They also take him hot and he has the foot end, they are a little wide. He will wait for the fall put them.</v>
      </c>
    </row>
    <row r="5452">
      <c r="A5452" s="1">
        <v>4.0</v>
      </c>
      <c r="B5452" s="1" t="s">
        <v>5386</v>
      </c>
      <c r="C5452" t="str">
        <f>IFERROR(__xludf.DUMMYFUNCTION("GOOGLETRANSLATE(B5452, ""fr"", ""en"")"),"Affordable and well finished ... Effective? ... From a price ""super affordable"" This seems windscreen properly finished. I own my unhappiest ment ""Rycotte"" would have been a good comparison. Fits with some difficulties on couples of my ZOOM H-5 and be"&amp;"cause of the strength of its elastic holds. I expect to have received my H-1n to try it and decide if I ordered a second on the field.")</f>
        <v>Affordable and well finished ... Effective? ... From a price "super affordable" This seems windscreen properly finished. I own my unhappiest ment "Rycotte" would have been a good comparison. Fits with some difficulties on couples of my ZOOM H-5 and because of the strength of its elastic holds. I expect to have received my H-1n to try it and decide if I ordered a second on the field.</v>
      </c>
    </row>
    <row r="5453">
      <c r="A5453" s="1">
        <v>4.0</v>
      </c>
      <c r="B5453" s="1" t="s">
        <v>5387</v>
      </c>
      <c r="C5453" t="str">
        <f>IFERROR(__xludf.DUMMYFUNCTION("GOOGLETRANSLATE(B5453, ""fr"", ""en"")"),"perfect to start a bit stiff heel level and two or three days later apple turnover")</f>
        <v>perfect to start a bit stiff heel level and two or three days later apple turnover</v>
      </c>
    </row>
    <row r="5454">
      <c r="A5454" s="1">
        <v>4.0</v>
      </c>
      <c r="B5454" s="1" t="s">
        <v>5388</v>
      </c>
      <c r="C5454" t="str">
        <f>IFERROR(__xludf.DUMMYFUNCTION("GOOGLETRANSLATE(B5454, ""fr"", ""en"")"),"Sterilizer very good machine and simple to use, fast and good quality, good product Philips I would be a baby again")</f>
        <v>Sterilizer very good machine and simple to use, fast and good quality, good product Philips I would be a baby again</v>
      </c>
    </row>
    <row r="5455">
      <c r="A5455" s="1">
        <v>5.0</v>
      </c>
      <c r="B5455" s="1" t="s">
        <v>5389</v>
      </c>
      <c r="C5455" t="str">
        <f>IFERROR(__xludf.DUMMYFUNCTION("GOOGLETRANSLATE(B5455, ""fr"", ""en"")"),"Relaxing and convenient remote control! Machine quite cumbersome but so relaxing! After a few weeks of use, I'm totally happy and satisfied. Installed under the desk I work while massaging the feet (meeting of 15 min / day). It relaxes the body, that's wh"&amp;"y I recommend this purchase!")</f>
        <v>Relaxing and convenient remote control! Machine quite cumbersome but so relaxing! After a few weeks of use, I'm totally happy and satisfied. Installed under the desk I work while massaging the feet (meeting of 15 min / day). It relaxes the body, that's why I recommend this purchase!</v>
      </c>
    </row>
    <row r="5456">
      <c r="A5456" s="1">
        <v>5.0</v>
      </c>
      <c r="B5456" s="1" t="s">
        <v>5390</v>
      </c>
      <c r="C5456" t="str">
        <f>IFERROR(__xludf.DUMMYFUNCTION("GOOGLETRANSLATE(B5456, ""fr"", ""en"")"),"While all the music really super good his charge time indicated on load If the housing quickly I recommend +++")</f>
        <v>While all the music really super good his charge time indicated on load If the housing quickly I recommend +++</v>
      </c>
    </row>
    <row r="5457">
      <c r="A5457" s="1">
        <v>5.0</v>
      </c>
      <c r="B5457" s="1" t="s">
        <v>5391</v>
      </c>
      <c r="C5457" t="str">
        <f>IFERROR(__xludf.DUMMYFUNCTION("GOOGLETRANSLATE(B5457, ""fr"", ""en"")"),"Basketball fila I took a size bigger because they Shoe small. Delighted with this purchase. I recommend")</f>
        <v>Basketball fila I took a size bigger because they Shoe small. Delighted with this purchase. I recommend</v>
      </c>
    </row>
    <row r="5458">
      <c r="A5458" s="1">
        <v>5.0</v>
      </c>
      <c r="B5458" s="1" t="s">
        <v>5392</v>
      </c>
      <c r="C5458" t="str">
        <f>IFERROR(__xludf.DUMMYFUNCTION("GOOGLETRANSLATE(B5458, ""fr"", ""en"")"),"Top! Excellent bottle warmer. We leave the famous Bib'-espresso which put 15 to 18 minutes to heat a bibi 330 ml water bath, while the latter, only 4 short minutes and bim! It's ready. Without regret, we highly recommend ;-)")</f>
        <v>Top! Excellent bottle warmer. We leave the famous Bib'-espresso which put 15 to 18 minutes to heat a bibi 330 ml water bath, while the latter, only 4 short minutes and bim! It's ready. Without regret, we highly recommend ;-)</v>
      </c>
    </row>
    <row r="5459">
      <c r="A5459" s="1">
        <v>5.0</v>
      </c>
      <c r="B5459" s="1" t="s">
        <v>5393</v>
      </c>
      <c r="C5459" t="str">
        <f>IFERROR(__xludf.DUMMYFUNCTION("GOOGLETRANSLATE(B5459, ""fr"", ""en"")"),"Super Sterilizer")</f>
        <v>Super Sterilizer</v>
      </c>
    </row>
    <row r="5460">
      <c r="A5460" s="1">
        <v>5.0</v>
      </c>
      <c r="B5460" s="1" t="s">
        <v>5394</v>
      </c>
      <c r="C5460" t="str">
        <f>IFERROR(__xludf.DUMMYFUNCTION("GOOGLETRANSLATE(B5460, ""fr"", ""en"")"),"Deep quality J had back problems this mattress help my fitness 8 months after it is like new and always efficient yesteryear.")</f>
        <v>Deep quality J had back problems this mattress help my fitness 8 months after it is like new and always efficient yesteryear.</v>
      </c>
    </row>
    <row r="5461">
      <c r="A5461" s="1">
        <v>5.0</v>
      </c>
      <c r="B5461" s="1" t="s">
        <v>5395</v>
      </c>
      <c r="C5461" t="str">
        <f>IFERROR(__xludf.DUMMYFUNCTION("GOOGLETRANSLATE(B5461, ""fr"", ""en"")"),"Essential oil diffuser Gift appreciated.")</f>
        <v>Essential oil diffuser Gift appreciated.</v>
      </c>
    </row>
    <row r="5462">
      <c r="A5462" s="1">
        <v>5.0</v>
      </c>
      <c r="B5462" s="1" t="s">
        <v>5396</v>
      </c>
      <c r="C5462" t="str">
        <f>IFERROR(__xludf.DUMMYFUNCTION("GOOGLETRANSLATE(B5462, ""fr"", ""en"")"),"Super practical Perfect")</f>
        <v>Super practical Perfect</v>
      </c>
    </row>
    <row r="5463">
      <c r="A5463" s="1">
        <v>5.0</v>
      </c>
      <c r="B5463" s="1" t="s">
        <v>5397</v>
      </c>
      <c r="C5463" t="str">
        <f>IFERROR(__xludf.DUMMYFUNCTION("GOOGLETRANSLATE(B5463, ""fr"", ""en"")"),"Excellent! Very practical and refined, was not at all the feeling of having a banana. Bring all traveling.")</f>
        <v>Excellent! Very practical and refined, was not at all the feeling of having a banana. Bring all traveling.</v>
      </c>
    </row>
    <row r="5464">
      <c r="A5464" s="1">
        <v>5.0</v>
      </c>
      <c r="B5464" s="1" t="s">
        <v>5398</v>
      </c>
      <c r="C5464" t="str">
        <f>IFERROR(__xludf.DUMMYFUNCTION("GOOGLETRANSLATE(B5464, ""fr"", ""en"")"),"Top !! Very good shorts good quality !!!")</f>
        <v>Top !! Very good shorts good quality !!!</v>
      </c>
    </row>
    <row r="5465">
      <c r="A5465" s="1">
        <v>5.0</v>
      </c>
      <c r="B5465" s="1" t="s">
        <v>5399</v>
      </c>
      <c r="C5465" t="str">
        <f>IFERROR(__xludf.DUMMYFUNCTION("GOOGLETRANSLATE(B5465, ""fr"", ""en"")"),"baby story short learning cleanliness and fun story to encourage app cleanliness. Another plus, the pages are laminated to prevent tearing the baby. In the top!")</f>
        <v>baby story short learning cleanliness and fun story to encourage app cleanliness. Another plus, the pages are laminated to prevent tearing the baby. In the top!</v>
      </c>
    </row>
    <row r="5466">
      <c r="A5466" s="1">
        <v>5.0</v>
      </c>
      <c r="B5466" s="1" t="s">
        <v>508</v>
      </c>
      <c r="C5466" t="str">
        <f>IFERROR(__xludf.DUMMYFUNCTION("GOOGLETRANSLATE(B5466, ""fr"", ""en"")"),"Very well very well")</f>
        <v>Very well very well</v>
      </c>
    </row>
    <row r="5467">
      <c r="A5467" s="1">
        <v>5.0</v>
      </c>
      <c r="B5467" s="1" t="s">
        <v>5400</v>
      </c>
      <c r="C5467" t="str">
        <f>IFERROR(__xludf.DUMMYFUNCTION("GOOGLETRANSLATE(B5467, ""fr"", ""en"")"),"Very good value for a simple watch with basic functions during outdoor activities, it's perfect.")</f>
        <v>Very good value for a simple watch with basic functions during outdoor activities, it's perfect.</v>
      </c>
    </row>
    <row r="5468">
      <c r="A5468" s="1">
        <v>5.0</v>
      </c>
      <c r="B5468" s="1" t="s">
        <v>5401</v>
      </c>
      <c r="C5468" t="str">
        <f>IFERROR(__xludf.DUMMYFUNCTION("GOOGLETRANSLATE(B5468, ""fr"", ""en"")"),"This is perfect It's perfect, impeccable delivery and product conformity.")</f>
        <v>This is perfect It's perfect, impeccable delivery and product conformity.</v>
      </c>
    </row>
    <row r="5469">
      <c r="A5469" s="1">
        <v>5.0</v>
      </c>
      <c r="B5469" s="1" t="s">
        <v>5402</v>
      </c>
      <c r="C5469" t="str">
        <f>IFERROR(__xludf.DUMMYFUNCTION("GOOGLETRANSLATE(B5469, ""fr"", ""en"")"),"I recommend a very sound equilibré with good bass and treble good. Bought for public transportation, these headphones work well and are comfortable to wear.")</f>
        <v>I recommend a very sound equilibré with good bass and treble good. Bought for public transportation, these headphones work well and are comfortable to wear.</v>
      </c>
    </row>
    <row r="5470">
      <c r="A5470" s="1">
        <v>5.0</v>
      </c>
      <c r="B5470" s="1" t="s">
        <v>5403</v>
      </c>
      <c r="C5470" t="str">
        <f>IFERROR(__xludf.DUMMYFUNCTION("GOOGLETRANSLATE(B5470, ""fr"", ""en"")"),"great for Bravo very nice price to wear summer")</f>
        <v>great for Bravo very nice price to wear summer</v>
      </c>
    </row>
    <row r="5471">
      <c r="A5471" s="1">
        <v>2.0</v>
      </c>
      <c r="B5471" s="1" t="s">
        <v>5404</v>
      </c>
      <c r="C5471" t="str">
        <f>IFERROR(__xludf.DUMMYFUNCTION("GOOGLETRANSLATE(B5471, ""fr"", ""en"")"),"Poor sound I used this headset primarily for telephone (customer calls) and the sound is fine, but nothing. I tried to use it for music or series / movies and bluetooth that's awful! Use the cable improves the sound a bit, but nothing extra. After 2/3 wee"&amp;"ks ets become unusable, I had to complain of my interlocutors on the quality of the microphone ...")</f>
        <v>Poor sound I used this headset primarily for telephone (customer calls) and the sound is fine, but nothing. I tried to use it for music or series / movies and bluetooth that's awful! Use the cable improves the sound a bit, but nothing extra. After 2/3 weeks ets become unusable, I had to complain of my interlocutors on the quality of the microphone ...</v>
      </c>
    </row>
    <row r="5472">
      <c r="A5472" s="1">
        <v>1.0</v>
      </c>
      <c r="B5472" s="1" t="s">
        <v>5405</v>
      </c>
      <c r="C5472" t="str">
        <f>IFERROR(__xludf.DUMMYFUNCTION("GOOGLETRANSLATE(B5472, ""fr"", ""en"")"),"Products no présonne Very disappointed I recommend to order on Amazon")</f>
        <v>Products no présonne Very disappointed I recommend to order on Amazon</v>
      </c>
    </row>
    <row r="5473">
      <c r="A5473" s="1">
        <v>1.0</v>
      </c>
      <c r="B5473" s="1" t="s">
        <v>5406</v>
      </c>
      <c r="C5473" t="str">
        <f>IFERROR(__xludf.DUMMYFUNCTION("GOOGLETRANSLATE(B5473, ""fr"", ""en"")"),"Very disappointed Delivered 2 sizes above, finishing not tip top white paint marks on the shoe. Do not really like the picture. Only positive points pretty fast refund.")</f>
        <v>Very disappointed Delivered 2 sizes above, finishing not tip top white paint marks on the shoe. Do not really like the picture. Only positive points pretty fast refund.</v>
      </c>
    </row>
    <row r="5474">
      <c r="A5474" s="1">
        <v>3.0</v>
      </c>
      <c r="B5474" s="1" t="s">
        <v>5407</v>
      </c>
      <c r="C5474" t="str">
        <f>IFERROR(__xludf.DUMMYFUNCTION("GOOGLETRANSLATE(B5474, ""fr"", ""en"")"),"Bad not a big fan product purchased to mix powdered milk (thickened) in the bottle for my daughter. Two points I really disturbed: - First, the mixer shaft is too small and does not go to the bottom of the bottle - secondly, the mixer is powerful and is t"&amp;"herefore mounted foam milk, not great for the meal my butt sprouts. So useful product but not necessarily for milk for your baby.")</f>
        <v>Bad not a big fan product purchased to mix powdered milk (thickened) in the bottle for my daughter. Two points I really disturbed: - First, the mixer shaft is too small and does not go to the bottom of the bottle - secondly, the mixer is powerful and is therefore mounted foam milk, not great for the meal my butt sprouts. So useful product but not necessarily for milk for your baby.</v>
      </c>
    </row>
    <row r="5475">
      <c r="A5475" s="1">
        <v>4.0</v>
      </c>
      <c r="B5475" s="1" t="s">
        <v>5408</v>
      </c>
      <c r="C5475" t="str">
        <f>IFERROR(__xludf.DUMMYFUNCTION("GOOGLETRANSLATE(B5475, ""fr"", ""en"")"),"Frixion pen for school kids")</f>
        <v>Frixion pen for school kids</v>
      </c>
    </row>
    <row r="5476">
      <c r="A5476" s="1">
        <v>4.0</v>
      </c>
      <c r="B5476" s="1" t="s">
        <v>5409</v>
      </c>
      <c r="C5476" t="str">
        <f>IFERROR(__xludf.DUMMYFUNCTION("GOOGLETRANSLATE(B5476, ""fr"", ""en"")"),"As précéente that lasted me 8 years. No problem my assent product meets the most total. I had the same kettle Justine previously, after 8 years of loyal service.")</f>
        <v>As précéente that lasted me 8 years. No problem my assent product meets the most total. I had the same kettle Justine previously, after 8 years of loyal service.</v>
      </c>
    </row>
    <row r="5477">
      <c r="A5477" s="1">
        <v>4.0</v>
      </c>
      <c r="B5477" s="1" t="s">
        <v>5410</v>
      </c>
      <c r="C5477" t="str">
        <f>IFERROR(__xludf.DUMMYFUNCTION("GOOGLETRANSLATE(B5477, ""fr"", ""en"")"),"shows Lige The watch is beautiful and matches the Amazon description, the bracelet is nice, only flaw the watch is thick and somewhat heavy, it's a beautiful watch for men.")</f>
        <v>shows Lige The watch is beautiful and matches the Amazon description, the bracelet is nice, only flaw the watch is thick and somewhat heavy, it's a beautiful watch for men.</v>
      </c>
    </row>
    <row r="5478">
      <c r="A5478" s="1">
        <v>4.0</v>
      </c>
      <c r="B5478" s="1" t="s">
        <v>5411</v>
      </c>
      <c r="C5478" t="str">
        <f>IFERROR(__xludf.DUMMYFUNCTION("GOOGLETRANSLATE(B5478, ""fr"", ""en"")"),"Too small is too small 38")</f>
        <v>Too small is too small 38</v>
      </c>
    </row>
    <row r="5479">
      <c r="A5479" s="1">
        <v>4.0</v>
      </c>
      <c r="B5479" s="1" t="s">
        <v>5412</v>
      </c>
      <c r="C5479" t="str">
        <f>IFERROR(__xludf.DUMMYFUNCTION("GOOGLETRANSLATE(B5479, ""fr"", ""en"")"),"Quality The product arrived on the scheduled day, superb quality beautiful product the only concern it there's a little red spot 🤷🏽♀️ My despite that she is beautiful")</f>
        <v>Quality The product arrived on the scheduled day, superb quality beautiful product the only concern it there's a little red spot 🤷🏽♀️ My despite that she is beautiful</v>
      </c>
    </row>
    <row r="5480">
      <c r="A5480" s="1">
        <v>5.0</v>
      </c>
      <c r="B5480" s="1" t="s">
        <v>5413</v>
      </c>
      <c r="C5480" t="str">
        <f>IFERROR(__xludf.DUMMYFUNCTION("GOOGLETRANSLATE(B5480, ""fr"", ""en"")"),"Jewelry Trep happy")</f>
        <v>Jewelry Trep happy</v>
      </c>
    </row>
    <row r="5481">
      <c r="A5481" s="1">
        <v>5.0</v>
      </c>
      <c r="B5481" s="1" t="s">
        <v>5414</v>
      </c>
      <c r="C5481" t="str">
        <f>IFERROR(__xludf.DUMMYFUNCTION("GOOGLETRANSLATE(B5481, ""fr"", ""en"")"),"Satisfied ... but disrupted a little disappointed with the new formula affecting the burning of paper Why change this magnificent formula ????")</f>
        <v>Satisfied ... but disrupted a little disappointed with the new formula affecting the burning of paper Why change this magnificent formula ????</v>
      </c>
    </row>
    <row r="5482">
      <c r="A5482" s="1">
        <v>5.0</v>
      </c>
      <c r="B5482" s="1" t="s">
        <v>5415</v>
      </c>
      <c r="C5482" t="str">
        <f>IFERROR(__xludf.DUMMYFUNCTION("GOOGLETRANSLATE(B5482, ""fr"", ""en"")"),"I love completely satisfied to see over time works ~ 10h / day continuously with changing light")</f>
        <v>I love completely satisfied to see over time works ~ 10h / day continuously with changing light</v>
      </c>
    </row>
    <row r="5483">
      <c r="A5483" s="1">
        <v>5.0</v>
      </c>
      <c r="B5483" s="1" t="s">
        <v>5416</v>
      </c>
      <c r="C5483" t="str">
        <f>IFERROR(__xludf.DUMMYFUNCTION("GOOGLETRANSLATE(B5483, ""fr"", ""en"")"),"Good Good quality")</f>
        <v>Good Good quality</v>
      </c>
    </row>
    <row r="5484">
      <c r="A5484" s="1">
        <v>5.0</v>
      </c>
      <c r="B5484" s="1" t="s">
        <v>5417</v>
      </c>
      <c r="C5484" t="str">
        <f>IFERROR(__xludf.DUMMYFUNCTION("GOOGLETRANSLATE(B5484, ""fr"", ""en"")"),"Very good quality Very good balance between the high range and midrange. A standard cell for a terrible efficiency recommend +++")</f>
        <v>Very good quality Very good balance between the high range and midrange. A standard cell for a terrible efficiency recommend +++</v>
      </c>
    </row>
    <row r="5485">
      <c r="A5485" s="1">
        <v>5.0</v>
      </c>
      <c r="B5485" s="1" t="s">
        <v>5418</v>
      </c>
      <c r="C5485" t="str">
        <f>IFERROR(__xludf.DUMMYFUNCTION("GOOGLETRANSLATE(B5485, ""fr"", ""en"")"),"Confidence Too bad if you have to pay a little more, but use a brand product brings peace notable.Le product in question is perfectly suited for use as I expect.")</f>
        <v>Confidence Too bad if you have to pay a little more, but use a brand product brings peace notable.Le product in question is perfectly suited for use as I expect.</v>
      </c>
    </row>
    <row r="5486">
      <c r="A5486" s="1">
        <v>5.0</v>
      </c>
      <c r="B5486" s="1" t="s">
        <v>5419</v>
      </c>
      <c r="C5486" t="str">
        <f>IFERROR(__xludf.DUMMYFUNCTION("GOOGLETRANSLATE(B5486, ""fr"", ""en"")"),"Perfect Pleased with my purchase, excellent quality. I used me for my paper ticket. Do not drool, dries quickly")</f>
        <v>Perfect Pleased with my purchase, excellent quality. I used me for my paper ticket. Do not drool, dries quickly</v>
      </c>
    </row>
    <row r="5487">
      <c r="A5487" s="1">
        <v>5.0</v>
      </c>
      <c r="B5487" s="1" t="s">
        <v>5420</v>
      </c>
      <c r="C5487" t="str">
        <f>IFERROR(__xludf.DUMMYFUNCTION("GOOGLETRANSLATE(B5487, ""fr"", ""en"")"),"Watch comfortable to wear and look I was looking for a watch not too expensive and out of the ordinary. So I ordered this model that I find rather beautiful. The apparent mechanism is a nice effect. No batteries to wear. Simply recharge it by hand. The wa"&amp;"tch comes with a very handy tool to shorten the bracelet and adapt perfectly to your wrist. In conclusion, a good buy!")</f>
        <v>Watch comfortable to wear and look I was looking for a watch not too expensive and out of the ordinary. So I ordered this model that I find rather beautiful. The apparent mechanism is a nice effect. No batteries to wear. Simply recharge it by hand. The watch comes with a very handy tool to shorten the bracelet and adapt perfectly to your wrist. In conclusion, a good buy!</v>
      </c>
    </row>
    <row r="5488">
      <c r="A5488" s="1">
        <v>5.0</v>
      </c>
      <c r="B5488" s="1" t="s">
        <v>5421</v>
      </c>
      <c r="C5488" t="str">
        <f>IFERROR(__xludf.DUMMYFUNCTION("GOOGLETRANSLATE(B5488, ""fr"", ""en"")"),"the best ! Solar always on the hour for the time setting is radio controlled. All stainless steel, elegant and solid nonetheless.")</f>
        <v>the best ! Solar always on the hour for the time setting is radio controlled. All stainless steel, elegant and solid nonetheless.</v>
      </c>
    </row>
    <row r="5489">
      <c r="A5489" s="1">
        <v>5.0</v>
      </c>
      <c r="B5489" s="1" t="s">
        <v>5422</v>
      </c>
      <c r="C5489" t="str">
        <f>IFERROR(__xludf.DUMMYFUNCTION("GOOGLETRANSLATE(B5489, ""fr"", ""en"")"),"Sneakers puma sneakers Beautiful")</f>
        <v>Sneakers puma sneakers Beautiful</v>
      </c>
    </row>
    <row r="5490">
      <c r="A5490" s="1">
        <v>5.0</v>
      </c>
      <c r="B5490" s="1" t="s">
        <v>5423</v>
      </c>
      <c r="C5490" t="str">
        <f>IFERROR(__xludf.DUMMYFUNCTION("GOOGLETRANSLATE(B5490, ""fr"", ""en"")"),"Satisfied Fast delivery, it will take me a step back to assess the effects of this oil.")</f>
        <v>Satisfied Fast delivery, it will take me a step back to assess the effects of this oil.</v>
      </c>
    </row>
    <row r="5491">
      <c r="A5491" s="1">
        <v>5.0</v>
      </c>
      <c r="B5491" s="1" t="s">
        <v>5424</v>
      </c>
      <c r="C5491" t="str">
        <f>IFERROR(__xludf.DUMMYFUNCTION("GOOGLETRANSLATE(B5491, ""fr"", ""en"")"),"These good headphones-ear headphones have good sound quality. They also provide good insulation from outside noise. Ergonomic, lightweight and easy to wear, they are comfortable to use and especially for the sport as a tight fit.")</f>
        <v>These good headphones-ear headphones have good sound quality. They also provide good insulation from outside noise. Ergonomic, lightweight and easy to wear, they are comfortable to use and especially for the sport as a tight fit.</v>
      </c>
    </row>
    <row r="5492">
      <c r="A5492" s="1">
        <v>5.0</v>
      </c>
      <c r="B5492" s="1" t="s">
        <v>5425</v>
      </c>
      <c r="C5492" t="str">
        <f>IFERROR(__xludf.DUMMYFUNCTION("GOOGLETRANSLATE(B5492, ""fr"", ""en"")"),"although the little son who wished was delighted")</f>
        <v>although the little son who wished was delighted</v>
      </c>
    </row>
    <row r="5493">
      <c r="A5493" s="1">
        <v>5.0</v>
      </c>
      <c r="B5493" s="1" t="s">
        <v>1261</v>
      </c>
      <c r="C5493" t="str">
        <f>IFERROR(__xludf.DUMMYFUNCTION("GOOGLETRANSLATE(B5493, ""fr"", ""en"")"),"good good")</f>
        <v>good good</v>
      </c>
    </row>
    <row r="5494">
      <c r="A5494" s="1">
        <v>5.0</v>
      </c>
      <c r="B5494" s="1" t="s">
        <v>5426</v>
      </c>
      <c r="C5494" t="str">
        <f>IFERROR(__xludf.DUMMYFUNCTION("GOOGLETRANSLATE(B5494, ""fr"", ""en"")"),"Quality shoes of quality shoes that can be worn with a town or a casual outfit. The quality is there, you will not be disappointed")</f>
        <v>Quality shoes of quality shoes that can be worn with a town or a casual outfit. The quality is there, you will not be disappointed</v>
      </c>
    </row>
    <row r="5495">
      <c r="A5495" s="1">
        <v>2.0</v>
      </c>
      <c r="B5495" s="1" t="s">
        <v>5427</v>
      </c>
      <c r="C5495" t="str">
        <f>IFERROR(__xludf.DUMMYFUNCTION("GOOGLETRANSLATE(B5495, ""fr"", ""en"")"),"Light but not that hard time. Light but not the quality of its poor. After a few days left earpiece function less well. Comes with a box for storing handy headphones")</f>
        <v>Light but not that hard time. Light but not the quality of its poor. After a few days left earpiece function less well. Comes with a box for storing handy headphones</v>
      </c>
    </row>
    <row r="5496">
      <c r="A5496" s="1">
        <v>1.0</v>
      </c>
      <c r="B5496" s="1" t="s">
        <v>5428</v>
      </c>
      <c r="C5496" t="str">
        <f>IFERROR(__xludf.DUMMYFUNCTION("GOOGLETRANSLATE(B5496, ""fr"", ""en"")"),"disappointed you have to be glued to the microphone to voice enough. quite disappointed.")</f>
        <v>disappointed you have to be glued to the microphone to voice enough. quite disappointed.</v>
      </c>
    </row>
    <row r="5497">
      <c r="A5497" s="1">
        <v>3.0</v>
      </c>
      <c r="B5497" s="1" t="s">
        <v>5429</v>
      </c>
      <c r="C5497" t="str">
        <f>IFERROR(__xludf.DUMMYFUNCTION("GOOGLETRANSLATE(B5497, ""fr"", ""en"")"),"Cover Heater heating medium")</f>
        <v>Cover Heater heating medium</v>
      </c>
    </row>
    <row r="5498">
      <c r="A5498" s="1">
        <v>3.0</v>
      </c>
      <c r="B5498" s="1" t="s">
        <v>5430</v>
      </c>
      <c r="C5498" t="str">
        <f>IFERROR(__xludf.DUMMYFUNCTION("GOOGLETRANSLATE(B5498, ""fr"", ""en"")"),"Bracelet Bracelet medium 2 Peter dull and one with a hole but bought flash sale cheap so it should not be too demanding")</f>
        <v>Bracelet Bracelet medium 2 Peter dull and one with a hole but bought flash sale cheap so it should not be too demanding</v>
      </c>
    </row>
    <row r="5499">
      <c r="A5499" s="1">
        <v>4.0</v>
      </c>
      <c r="B5499" s="1" t="s">
        <v>5431</v>
      </c>
      <c r="C5499" t="str">
        <f>IFERROR(__xludf.DUMMYFUNCTION("GOOGLETRANSLATE(B5499, ""fr"", ""en"")"),"soft comfortable shoes and light")</f>
        <v>soft comfortable shoes and light</v>
      </c>
    </row>
    <row r="5500">
      <c r="A5500" s="1">
        <v>4.0</v>
      </c>
      <c r="B5500" s="1" t="s">
        <v>5432</v>
      </c>
      <c r="C5500" t="str">
        <f>IFERROR(__xludf.DUMMYFUNCTION("GOOGLETRANSLATE(B5500, ""fr"", ""en"")"),"RAS Nothing to say quite consistent with the description")</f>
        <v>RAS Nothing to say quite consistent with the description</v>
      </c>
    </row>
    <row r="5501">
      <c r="A5501" s="1">
        <v>4.0</v>
      </c>
      <c r="B5501" s="1" t="s">
        <v>5433</v>
      </c>
      <c r="C5501" t="str">
        <f>IFERROR(__xludf.DUMMYFUNCTION("GOOGLETRANSLATE(B5501, ""fr"", ""en"")"),"Powerful and pretty Goodies: very fast, offers the graduation for 1, 2 or 3 cups which is convenient, shows the temperature, easy to clean with its large cover, very nice design. Cons: programming not available Temperature")</f>
        <v>Powerful and pretty Goodies: very fast, offers the graduation for 1, 2 or 3 cups which is convenient, shows the temperature, easy to clean with its large cover, very nice design. Cons: programming not available Temperature</v>
      </c>
    </row>
    <row r="5502">
      <c r="A5502" s="1">
        <v>4.0</v>
      </c>
      <c r="B5502" s="1" t="s">
        <v>5434</v>
      </c>
      <c r="C5502" t="str">
        <f>IFERROR(__xludf.DUMMYFUNCTION("GOOGLETRANSLATE(B5502, ""fr"", ""en"")"),"Good but .. well but quickly relaxes")</f>
        <v>Good but .. well but quickly relaxes</v>
      </c>
    </row>
    <row r="5503">
      <c r="A5503" s="1">
        <v>5.0</v>
      </c>
      <c r="B5503" s="1" t="s">
        <v>5435</v>
      </c>
      <c r="C5503" t="str">
        <f>IFERROR(__xludf.DUMMYFUNCTION("GOOGLETRANSLATE(B5503, ""fr"", ""en"")"),"End and quality Beautiful packaging, good quality")</f>
        <v>End and quality Beautiful packaging, good quality</v>
      </c>
    </row>
    <row r="5504">
      <c r="A5504" s="1">
        <v>5.0</v>
      </c>
      <c r="B5504" s="1" t="s">
        <v>5436</v>
      </c>
      <c r="C5504" t="str">
        <f>IFERROR(__xludf.DUMMYFUNCTION("GOOGLETRANSLATE(B5504, ""fr"", ""en"")"),". Nice gift")</f>
        <v>. Nice gift</v>
      </c>
    </row>
    <row r="5505">
      <c r="A5505" s="1">
        <v>5.0</v>
      </c>
      <c r="B5505" s="1" t="s">
        <v>5437</v>
      </c>
      <c r="C5505" t="str">
        <f>IFERROR(__xludf.DUMMYFUNCTION("GOOGLETRANSLATE(B5505, ""fr"", ""en"")"),"Okay Complies, nice fabric Pleasant level heat when doing fees")</f>
        <v>Okay Complies, nice fabric Pleasant level heat when doing fees</v>
      </c>
    </row>
    <row r="5506">
      <c r="A5506" s="1">
        <v>5.0</v>
      </c>
      <c r="B5506" s="1" t="s">
        <v>5438</v>
      </c>
      <c r="C5506" t="str">
        <f>IFERROR(__xludf.DUMMYFUNCTION("GOOGLETRANSLATE(B5506, ""fr"", ""en"")"),"metering milk box Mam The +: It can fit in each compartment up to 6 doses of milk + 5 grain dose by packing a bit (by tapping the box on the worktop). When poured the dose is not likely to put off because the hole is positioned at the edge of the lid. Eac"&amp;"h dose has its valve and the compartments are separated. Supports fine passing in the dishwasher. The -: You do not choose the color of the box when you order ...")</f>
        <v>metering milk box Mam The +: It can fit in each compartment up to 6 doses of milk + 5 grain dose by packing a bit (by tapping the box on the worktop). When poured the dose is not likely to put off because the hole is positioned at the edge of the lid. Each dose has its valve and the compartments are separated. Supports fine passing in the dishwasher. The -: You do not choose the color of the box when you order ...</v>
      </c>
    </row>
    <row r="5507">
      <c r="A5507" s="1">
        <v>5.0</v>
      </c>
      <c r="B5507" s="1" t="s">
        <v>5439</v>
      </c>
      <c r="C5507" t="str">
        <f>IFERROR(__xludf.DUMMYFUNCTION("GOOGLETRANSLATE(B5507, ""fr"", ""en"")"),"Quality cheapest price compared supermarkets")</f>
        <v>Quality cheapest price compared supermarkets</v>
      </c>
    </row>
    <row r="5508">
      <c r="A5508" s="1">
        <v>5.0</v>
      </c>
      <c r="B5508" s="1" t="s">
        <v>5440</v>
      </c>
      <c r="C5508" t="str">
        <f>IFERROR(__xludf.DUMMYFUNCTION("GOOGLETRANSLATE(B5508, ""fr"", ""en"")"),"Good value Pretty bracelet.")</f>
        <v>Good value Pretty bracelet.</v>
      </c>
    </row>
    <row r="5509">
      <c r="A5509" s="1">
        <v>5.0</v>
      </c>
      <c r="B5509" s="1" t="s">
        <v>5441</v>
      </c>
      <c r="C5509" t="str">
        <f>IFERROR(__xludf.DUMMYFUNCTION("GOOGLETRANSLATE(B5509, ""fr"", ""en"")"),"Super Lovely coffee at any point of view, great coffee, and very easy to use, I highly recommend this product")</f>
        <v>Super Lovely coffee at any point of view, great coffee, and very easy to use, I highly recommend this product</v>
      </c>
    </row>
    <row r="5510">
      <c r="A5510" s="1">
        <v>5.0</v>
      </c>
      <c r="B5510" s="1" t="s">
        <v>5442</v>
      </c>
      <c r="C5510" t="str">
        <f>IFERROR(__xludf.DUMMYFUNCTION("GOOGLETRANSLATE(B5510, ""fr"", ""en"")"),"Lovely Pretty sports pants. The material is nice and serves too. The size holds well and provides good support. Level regulating perspiration that's okay. The look is nice with its blue geometric patterns. Very good article. The M size correctly for a 38.")</f>
        <v>Lovely Pretty sports pants. The material is nice and serves too. The size holds well and provides good support. Level regulating perspiration that's okay. The look is nice with its blue geometric patterns. Very good article. The M size correctly for a 38.</v>
      </c>
    </row>
    <row r="5511">
      <c r="A5511" s="1">
        <v>5.0</v>
      </c>
      <c r="B5511" s="1" t="s">
        <v>5443</v>
      </c>
      <c r="C5511" t="str">
        <f>IFERROR(__xludf.DUMMYFUNCTION("GOOGLETRANSLATE(B5511, ""fr"", ""en"")"),"His magical Hello I ve buy his ear to me and I have only had time to test my son hast embarked. The headphones are easy to take to word it well and do not hurt and discreet asse. He sees a good sound lege and to wear. Personally I adore but I think I watc"&amp;"hed over my ears. C is a product that I would recommend to all ages.")</f>
        <v>His magical Hello I ve buy his ear to me and I have only had time to test my son hast embarked. The headphones are easy to take to word it well and do not hurt and discreet asse. He sees a good sound lege and to wear. Personally I adore but I think I watched over my ears. C is a product that I would recommend to all ages.</v>
      </c>
    </row>
    <row r="5512">
      <c r="A5512" s="1">
        <v>5.0</v>
      </c>
      <c r="B5512" s="1" t="s">
        <v>5444</v>
      </c>
      <c r="C5512" t="str">
        <f>IFERROR(__xludf.DUMMYFUNCTION("GOOGLETRANSLATE(B5512, ""fr"", ""en"")"),"Amazing at this price. I was looking for headphones to follow up on my AKG who had held me 4 years. Skeptical about new (Xiami etc.) I let myself be tempted by this pair. I totally recommended. There are light, the sound is very good! I really appreciate "&amp;"the scope of the low. I would post to their life, but they look good qualities! :)")</f>
        <v>Amazing at this price. I was looking for headphones to follow up on my AKG who had held me 4 years. Skeptical about new (Xiami etc.) I let myself be tempted by this pair. I totally recommended. There are light, the sound is very good! I really appreciate the scope of the low. I would post to their life, but they look good qualities! :)</v>
      </c>
    </row>
    <row r="5513">
      <c r="A5513" s="1">
        <v>5.0</v>
      </c>
      <c r="B5513" s="1" t="s">
        <v>5445</v>
      </c>
      <c r="C5513" t="str">
        <f>IFERROR(__xludf.DUMMYFUNCTION("GOOGLETRANSLATE(B5513, ""fr"", ""en"")"),"Very comfortable very satisfied with the more so with the Amazon product prices. Very comfortable, good foot support, not bad to walk (just watch out they are a little wider.)")</f>
        <v>Very comfortable very satisfied with the more so with the Amazon product prices. Very comfortable, good foot support, not bad to walk (just watch out they are a little wider.)</v>
      </c>
    </row>
    <row r="5514">
      <c r="A5514" s="1">
        <v>5.0</v>
      </c>
      <c r="B5514" s="1" t="s">
        <v>5446</v>
      </c>
      <c r="C5514" t="str">
        <f>IFERROR(__xludf.DUMMYFUNCTION("GOOGLETRANSLATE(B5514, ""fr"", ""en"")"),"Essential oil diffuser design I bought for use in our bedroom or living room for atmosphere ""Zen"" and enjoy the benefits of essential oils. The design is nice, I like the colors change. It is super easy to use and to clean. Very good quality product. I "&amp;"recommend..")</f>
        <v>Essential oil diffuser design I bought for use in our bedroom or living room for atmosphere "Zen" and enjoy the benefits of essential oils. The design is nice, I like the colors change. It is super easy to use and to clean. Very good quality product. I recommend..</v>
      </c>
    </row>
    <row r="5515">
      <c r="A5515" s="1">
        <v>5.0</v>
      </c>
      <c r="B5515" s="1" t="s">
        <v>5447</v>
      </c>
      <c r="C5515" t="str">
        <f>IFERROR(__xludf.DUMMYFUNCTION("GOOGLETRANSLATE(B5515, ""fr"", ""en"")"),"Super They are really pretty, very good, quite comfortable, size is just parfait.Je recommends produit.j'aime lot")</f>
        <v>Super They are really pretty, very good, quite comfortable, size is just parfait.Je recommends produit.j'aime lot</v>
      </c>
    </row>
    <row r="5516">
      <c r="A5516" s="1">
        <v>5.0</v>
      </c>
      <c r="B5516" s="1" t="s">
        <v>5448</v>
      </c>
      <c r="C5516" t="str">
        <f>IFERROR(__xludf.DUMMYFUNCTION("GOOGLETRANSLATE(B5516, ""fr"", ""en"")"),"For the price it is perfect Nickel")</f>
        <v>For the price it is perfect Nickel</v>
      </c>
    </row>
    <row r="5517">
      <c r="A5517" s="1">
        <v>5.0</v>
      </c>
      <c r="B5517" s="1" t="s">
        <v>5449</v>
      </c>
      <c r="C5517" t="str">
        <f>IFERROR(__xludf.DUMMYFUNCTION("GOOGLETRANSLATE(B5517, ""fr"", ""en"")"),"Cool Well")</f>
        <v>Cool Well</v>
      </c>
    </row>
    <row r="5518">
      <c r="A5518" s="1">
        <v>2.0</v>
      </c>
      <c r="B5518" s="1" t="s">
        <v>5450</v>
      </c>
      <c r="C5518" t="str">
        <f>IFERROR(__xludf.DUMMYFUNCTION("GOOGLETRANSLATE(B5518, ""fr"", ""en"")"),"Disappointing I purchased this product for use in the sofa and from time to time in bed Being 1.85m, for the sofa, the table is actually quite low, and it becomes annoying after a few minutes ... Even my wife was disappointed for sofa use. Also very disap"&amp;"pointed with the mouse support, which is really small and does not allow great movement ... On a bed the product is a little better, however, with a duvet is quickly finds very cramped with it all. The quality of materials seems to go. But that does not m"&amp;"ake up the product's general impression does not find what we really research this product: real comfort.")</f>
        <v>Disappointing I purchased this product for use in the sofa and from time to time in bed Being 1.85m, for the sofa, the table is actually quite low, and it becomes annoying after a few minutes ... Even my wife was disappointed for sofa use. Also very disappointed with the mouse support, which is really small and does not allow great movement ... On a bed the product is a little better, however, with a duvet is quickly finds very cramped with it all. The quality of materials seems to go. But that does not make up the product's general impression does not find what we really research this product: real comfort.</v>
      </c>
    </row>
    <row r="5519">
      <c r="A5519" s="1">
        <v>1.0</v>
      </c>
      <c r="B5519" s="1" t="s">
        <v>5451</v>
      </c>
      <c r="C5519" t="str">
        <f>IFERROR(__xludf.DUMMYFUNCTION("GOOGLETRANSLATE(B5519, ""fr"", ""en"")"),"DOES NOT LAST LONG Here 1 year and 1 month since I bought this toaster ķ, who just give up the ghost after multiple cuts breaker. In addition, the grid that supports the bread for the descent / ascent is very fragile and twists easily, because only held o"&amp;"n 1 side. Are very disappointed with this toaster which externally gave a feeling of solidity. So back to the Grill electric oven for 2 min, which is proven for generations.")</f>
        <v>DOES NOT LAST LONG Here 1 year and 1 month since I bought this toaster ķ, who just give up the ghost after multiple cuts breaker. In addition, the grid that supports the bread for the descent / ascent is very fragile and twists easily, because only held on 1 side. Are very disappointed with this toaster which externally gave a feeling of solidity. So back to the Grill electric oven for 2 min, which is proven for generations.</v>
      </c>
    </row>
    <row r="5520">
      <c r="A5520" s="1">
        <v>1.0</v>
      </c>
      <c r="B5520" s="1" t="s">
        <v>5452</v>
      </c>
      <c r="C5520" t="str">
        <f>IFERROR(__xludf.DUMMYFUNCTION("GOOGLETRANSLATE(B5520, ""fr"", ""en"")"),"Lighting lighting .We Default sees only the bottom left.")</f>
        <v>Lighting lighting .We Default sees only the bottom left.</v>
      </c>
    </row>
    <row r="5521">
      <c r="A5521" s="1">
        <v>3.0</v>
      </c>
      <c r="B5521" s="1" t="s">
        <v>5453</v>
      </c>
      <c r="C5521" t="str">
        <f>IFERROR(__xludf.DUMMYFUNCTION("GOOGLETRANSLATE(B5521, ""fr"", ""en"")"),"Quality! I use this device to the TV, the sound quality is not bad but not worth a real helmet, the surrounding sounds disturb listening. The biggest criticism I have for this unit, it is the weight of the earpiece. After a moment of great pain appear lev"&amp;"els ears, it becomes unbearable. Or maybe is it the pressure of the two branches of the earpiece .And, even changing of ends.")</f>
        <v>Quality! I use this device to the TV, the sound quality is not bad but not worth a real helmet, the surrounding sounds disturb listening. The biggest criticism I have for this unit, it is the weight of the earpiece. After a moment of great pain appear levels ears, it becomes unbearable. Or maybe is it the pressure of the two branches of the earpiece .And, even changing of ends.</v>
      </c>
    </row>
    <row r="5522">
      <c r="A5522" s="1">
        <v>3.0</v>
      </c>
      <c r="B5522" s="1" t="s">
        <v>5454</v>
      </c>
      <c r="C5522" t="str">
        <f>IFERROR(__xludf.DUMMYFUNCTION("GOOGLETRANSLATE(B5522, ""fr"", ""en"")"),"It had its effect but do not expect a high quality. Gave my niece, she is very happy because it shines! By cons it is not massive money, considering the price is normal. Jewelry I recommend just to please a very young lady.")</f>
        <v>It had its effect but do not expect a high quality. Gave my niece, she is very happy because it shines! By cons it is not massive money, considering the price is normal. Jewelry I recommend just to please a very young lady.</v>
      </c>
    </row>
    <row r="5523">
      <c r="A5523" s="1">
        <v>4.0</v>
      </c>
      <c r="B5523" s="1" t="s">
        <v>5455</v>
      </c>
      <c r="C5523" t="str">
        <f>IFERROR(__xludf.DUMMYFUNCTION("GOOGLETRANSLATE(B5523, ""fr"", ""en"")"),"Although Pound appreciated by my 5 year old boy, but he does not single bed, some answers might be a little more developed.")</f>
        <v>Although Pound appreciated by my 5 year old boy, but he does not single bed, some answers might be a little more developed.</v>
      </c>
    </row>
    <row r="5524">
      <c r="A5524" s="1">
        <v>4.0</v>
      </c>
      <c r="B5524" s="1" t="s">
        <v>5456</v>
      </c>
      <c r="C5524" t="str">
        <f>IFERROR(__xludf.DUMMYFUNCTION("GOOGLETRANSLATE(B5524, ""fr"", ""en"")"),"Good product but fled to less than 2 years BUT Very good product after a year and a half he began to flee, the lower level of the handle (just probably seal silicone that is seen to inside the kettle). Too bad for a renowned quality product. I'll try to m"&amp;"ake me apply the guarantee is 3 years ... but will they be as serious as the product service side? ...")</f>
        <v>Good product but fled to less than 2 years BUT Very good product after a year and a half he began to flee, the lower level of the handle (just probably seal silicone that is seen to inside the kettle). Too bad for a renowned quality product. I'll try to make me apply the guarantee is 3 years ... but will they be as serious as the product service side? ...</v>
      </c>
    </row>
    <row r="5525">
      <c r="A5525" s="1">
        <v>4.0</v>
      </c>
      <c r="B5525" s="1" t="s">
        <v>5457</v>
      </c>
      <c r="C5525" t="str">
        <f>IFERROR(__xludf.DUMMYFUNCTION("GOOGLETRANSLATE(B5525, ""fr"", ""en"")"),"Cheap Casio watch ... functional and aesthetic. The needles are visible. It lacks lighting for 5 stars. Difficult to find as good or better for the price.")</f>
        <v>Cheap Casio watch ... functional and aesthetic. The needles are visible. It lacks lighting for 5 stars. Difficult to find as good or better for the price.</v>
      </c>
    </row>
    <row r="5526">
      <c r="A5526" s="1">
        <v>4.0</v>
      </c>
      <c r="B5526" s="1" t="s">
        <v>5458</v>
      </c>
      <c r="C5526" t="str">
        <f>IFERROR(__xludf.DUMMYFUNCTION("GOOGLETRANSLATE(B5526, ""fr"", ""en"")"),"money money money Why the crap cartridges are emptied so quickly and are so expensive ??? yet more land pollution. Disposable plastic again and again. And we keep telling us that the planet is invaded plastic. Well, if not, they work very well.")</f>
        <v>money money money Why the crap cartridges are emptied so quickly and are so expensive ??? yet more land pollution. Disposable plastic again and again. And we keep telling us that the planet is invaded plastic. Well, if not, they work very well.</v>
      </c>
    </row>
    <row r="5527">
      <c r="A5527" s="1">
        <v>5.0</v>
      </c>
      <c r="B5527" s="1" t="s">
        <v>4840</v>
      </c>
      <c r="C5527" t="str">
        <f>IFERROR(__xludf.DUMMYFUNCTION("GOOGLETRANSLATE(B5527, ""fr"", ""en"")"),"IN THE TOP !! I do not regret this purchase. Super comfortable, nice finish and consistent with the picture. I'll probably buy me white pair and my mom also wants after testing mine. :) I highly recommend especially for sunny days.")</f>
        <v>IN THE TOP !! I do not regret this purchase. Super comfortable, nice finish and consistent with the picture. I'll probably buy me white pair and my mom also wants after testing mine. :) I highly recommend especially for sunny days.</v>
      </c>
    </row>
    <row r="5528">
      <c r="A5528" s="1">
        <v>5.0</v>
      </c>
      <c r="B5528" s="1" t="s">
        <v>5459</v>
      </c>
      <c r="C5528" t="str">
        <f>IFERROR(__xludf.DUMMYFUNCTION("GOOGLETRANSLATE(B5528, ""fr"", ""en"")"),"Meets this description. Meets this description. I just love it.")</f>
        <v>Meets this description. Meets this description. I just love it.</v>
      </c>
    </row>
    <row r="5529">
      <c r="A5529" s="1">
        <v>5.0</v>
      </c>
      <c r="B5529" s="1" t="s">
        <v>5460</v>
      </c>
      <c r="C5529" t="str">
        <f>IFERROR(__xludf.DUMMYFUNCTION("GOOGLETRANSLATE(B5529, ""fr"", ""en"")"),"Meets Good factory. To advice")</f>
        <v>Meets Good factory. To advice</v>
      </c>
    </row>
    <row r="5530">
      <c r="A5530" s="1">
        <v>5.0</v>
      </c>
      <c r="B5530" s="1" t="s">
        <v>5461</v>
      </c>
      <c r="C5530" t="str">
        <f>IFERROR(__xludf.DUMMYFUNCTION("GOOGLETRANSLATE(B5530, ""fr"", ""en"")"),"Good quality I m perfect use it to talk about discord at one frenzied m section along very well does its job")</f>
        <v>Good quality I m perfect use it to talk about discord at one frenzied m section along very well does its job</v>
      </c>
    </row>
    <row r="5531">
      <c r="A5531" s="1">
        <v>5.0</v>
      </c>
      <c r="B5531" s="1" t="s">
        <v>5462</v>
      </c>
      <c r="C5531" t="str">
        <f>IFERROR(__xludf.DUMMYFUNCTION("GOOGLETRANSLATE(B5531, ""fr"", ""en"")"),"been received in time nothing was perfect report")</f>
        <v>been received in time nothing was perfect report</v>
      </c>
    </row>
    <row r="5532">
      <c r="A5532" s="1">
        <v>5.0</v>
      </c>
      <c r="B5532" s="1" t="s">
        <v>5463</v>
      </c>
      <c r="C5532" t="str">
        <f>IFERROR(__xludf.DUMMYFUNCTION("GOOGLETRANSLATE(B5532, ""fr"", ""en"")"),"I recommend Received today Caught size 44 since there was more there size 42 in the color I wanted and although I am delighted because it make me a casual sweater dress sexy and both my weight is 1m65 for 64kg so you can not see my little beads 😁")</f>
        <v>I recommend Received today Caught size 44 since there was more there size 42 in the color I wanted and although I am delighted because it make me a casual sweater dress sexy and both my weight is 1m65 for 64kg so you can not see my little beads 😁</v>
      </c>
    </row>
    <row r="5533">
      <c r="A5533" s="1">
        <v>5.0</v>
      </c>
      <c r="B5533" s="1" t="s">
        <v>5464</v>
      </c>
      <c r="C5533" t="str">
        <f>IFERROR(__xludf.DUMMYFUNCTION("GOOGLETRANSLATE(B5533, ""fr"", ""en"")"),"I recommend Ras")</f>
        <v>I recommend Ras</v>
      </c>
    </row>
    <row r="5534">
      <c r="A5534" s="1">
        <v>5.0</v>
      </c>
      <c r="B5534" s="1" t="s">
        <v>5465</v>
      </c>
      <c r="C5534" t="str">
        <f>IFERROR(__xludf.DUMMYFUNCTION("GOOGLETRANSLATE(B5534, ""fr"", ""en"")"),"Impeccable thank you! Hello, good not easy to comment on the ink cartridges but however I really advice, quality is very good, and regarding the XL there anyway to some long-term economy. Thank you. Cordially.")</f>
        <v>Impeccable thank you! Hello, good not easy to comment on the ink cartridges but however I really advice, quality is very good, and regarding the XL there anyway to some long-term economy. Thank you. Cordially.</v>
      </c>
    </row>
    <row r="5535">
      <c r="A5535" s="1">
        <v>5.0</v>
      </c>
      <c r="B5535" s="1" t="s">
        <v>5466</v>
      </c>
      <c r="C5535" t="str">
        <f>IFERROR(__xludf.DUMMYFUNCTION("GOOGLETRANSLATE(B5535, ""fr"", ""en"")"),"Top nice gift idea suitcase handy")</f>
        <v>Top nice gift idea suitcase handy</v>
      </c>
    </row>
    <row r="5536">
      <c r="A5536" s="1">
        <v>5.0</v>
      </c>
      <c r="B5536" s="1" t="s">
        <v>5467</v>
      </c>
      <c r="C5536" t="str">
        <f>IFERROR(__xludf.DUMMYFUNCTION("GOOGLETRANSLATE(B5536, ""fr"", ""en"")"),"Good, really good")</f>
        <v>Good, really good</v>
      </c>
    </row>
    <row r="5537">
      <c r="A5537" s="1">
        <v>5.0</v>
      </c>
      <c r="B5537" s="1" t="s">
        <v>5468</v>
      </c>
      <c r="C5537" t="str">
        <f>IFERROR(__xludf.DUMMYFUNCTION("GOOGLETRANSLATE(B5537, ""fr"", ""en"")"),"great job precise great job specific")</f>
        <v>great job precise great job specific</v>
      </c>
    </row>
    <row r="5538">
      <c r="A5538" s="1">
        <v>5.0</v>
      </c>
      <c r="B5538" s="1" t="s">
        <v>5469</v>
      </c>
      <c r="C5538" t="str">
        <f>IFERROR(__xludf.DUMMYFUNCTION("GOOGLETRANSLATE(B5538, ""fr"", ""en"")"),"Price varies but good quality product Very good quality product! I took the tablets and they really stick very well I have no complaints. Do pay attention to the prices of these items vary a lot, I would advise to wait and take them when they are about 2 "&amp;"250 and 4 500.")</f>
        <v>Price varies but good quality product Very good quality product! I took the tablets and they really stick very well I have no complaints. Do pay attention to the prices of these items vary a lot, I would advise to wait and take them when they are about 2 250 and 4 500.</v>
      </c>
    </row>
    <row r="5539">
      <c r="A5539" s="1">
        <v>5.0</v>
      </c>
      <c r="B5539" s="1" t="s">
        <v>5470</v>
      </c>
      <c r="C5539" t="str">
        <f>IFERROR(__xludf.DUMMYFUNCTION("GOOGLETRANSLATE(B5539, ""fr"", ""en"")"),"Very good approach I chose this book to read aloud to my daughters 7 and 9 years. We have just finished after months of reading. This is a very good approach from Greek mythology for beginners ... Children are required in breath, which seems incredible .."&amp;". And what a pleasure to share such moments with her children!")</f>
        <v>Very good approach I chose this book to read aloud to my daughters 7 and 9 years. We have just finished after months of reading. This is a very good approach from Greek mythology for beginners ... Children are required in breath, which seems incredible ... And what a pleasure to share such moments with her children!</v>
      </c>
    </row>
    <row r="5540">
      <c r="A5540" s="1">
        <v>5.0</v>
      </c>
      <c r="B5540" s="1" t="s">
        <v>5471</v>
      </c>
      <c r="C5540" t="str">
        <f>IFERROR(__xludf.DUMMYFUNCTION("GOOGLETRANSLATE(B5540, ""fr"", ""en"")"),"Super top model from New Balance size very comfortable property purchased to provide the person was thrilled ... I recommend this model ..")</f>
        <v>Super top model from New Balance size very comfortable property purchased to provide the person was thrilled ... I recommend this model ..</v>
      </c>
    </row>
    <row r="5541">
      <c r="A5541" s="1">
        <v>5.0</v>
      </c>
      <c r="B5541" s="1" t="s">
        <v>5472</v>
      </c>
      <c r="C5541" t="str">
        <f>IFERROR(__xludf.DUMMYFUNCTION("GOOGLETRANSLATE(B5541, ""fr"", ""en"")"),"Perfect Very nice watch, received a week after placing the order. The order complies with pictures, as beautiful as a Rolex Submariner. In addition, highly accurate time. PS: for the startup, go to a horlogier.")</f>
        <v>Perfect Very nice watch, received a week after placing the order. The order complies with pictures, as beautiful as a Rolex Submariner. In addition, highly accurate time. PS: for the startup, go to a horlogier.</v>
      </c>
    </row>
    <row r="5542">
      <c r="A5542" s="1">
        <v>2.0</v>
      </c>
      <c r="B5542" s="1" t="s">
        <v>5473</v>
      </c>
      <c r="C5542" t="str">
        <f>IFERROR(__xludf.DUMMYFUNCTION("GOOGLETRANSLATE(B5542, ""fr"", ""en"")"),"some disappointments insufficient instructions and more in English and German, does not explain how to change the battery which will force him to go to a watchmaker what will be expensive (and may be more expensive than the watch) of as long as the batter"&amp;"y life is given for only 1 year and a half, if not pretty and elegant for materials ""made in China"", and no fluorescence needles to a vision in the dark")</f>
        <v>some disappointments insufficient instructions and more in English and German, does not explain how to change the battery which will force him to go to a watchmaker what will be expensive (and may be more expensive than the watch) of as long as the battery life is given for only 1 year and a half, if not pretty and elegant for materials "made in China", and no fluorescence needles to a vision in the dark</v>
      </c>
    </row>
    <row r="5543">
      <c r="A5543" s="1">
        <v>1.0</v>
      </c>
      <c r="B5543" s="1" t="s">
        <v>5474</v>
      </c>
      <c r="C5543" t="str">
        <f>IFERROR(__xludf.DUMMYFUNCTION("GOOGLETRANSLATE(B5543, ""fr"", ""en"")"),"low-end product blunt product as our European sizes. Fabric quality very cheap. I do not recommend at all.")</f>
        <v>low-end product blunt product as our European sizes. Fabric quality very cheap. I do not recommend at all.</v>
      </c>
    </row>
    <row r="5544">
      <c r="A5544" s="1">
        <v>1.0</v>
      </c>
      <c r="B5544" s="1" t="s">
        <v>5475</v>
      </c>
      <c r="C5544" t="str">
        <f>IFERROR(__xludf.DUMMYFUNCTION("GOOGLETRANSLATE(B5544, ""fr"", ""en"")"),"incomplete and poor condition I ordered this for my daughter, I put one star because the packages received there with a dozen hooks unusable and incomplete (missing the balls and spring).")</f>
        <v>incomplete and poor condition I ordered this for my daughter, I put one star because the packages received there with a dozen hooks unusable and incomplete (missing the balls and spring).</v>
      </c>
    </row>
    <row r="5545">
      <c r="A5545" s="1">
        <v>3.0</v>
      </c>
      <c r="B5545" s="1" t="s">
        <v>5476</v>
      </c>
      <c r="C5545" t="str">
        <f>IFERROR(__xludf.DUMMYFUNCTION("GOOGLETRANSLATE(B5545, ""fr"", ""en"")"),"one size too the shoe is too large relative to the size advertised to be careful to take a lower size has usually")</f>
        <v>one size too the shoe is too large relative to the size advertised to be careful to take a lower size has usually</v>
      </c>
    </row>
    <row r="5546">
      <c r="A5546" s="1">
        <v>3.0</v>
      </c>
      <c r="B5546" s="1" t="s">
        <v>5477</v>
      </c>
      <c r="C5546" t="str">
        <f>IFERROR(__xludf.DUMMYFUNCTION("GOOGLETRANSLATE(B5546, ""fr"", ""en"")"),"beautiful watch I absolutely need a manual in French, thank you")</f>
        <v>beautiful watch I absolutely need a manual in French, thank you</v>
      </c>
    </row>
    <row r="5547">
      <c r="A5547" s="1">
        <v>4.0</v>
      </c>
      <c r="B5547" s="1" t="s">
        <v>5478</v>
      </c>
      <c r="C5547" t="str">
        <f>IFERROR(__xludf.DUMMYFUNCTION("GOOGLETRANSLATE(B5547, ""fr"", ""en"")"),"Toaster effective and I like elegant sleek design and class. The chrome buttons give a contemporary style in the toaster. The ease of use, 3 buttons + 1 for the intensity of the toasting. One can watch how the bread is toasted very short process. It accep"&amp;"ts large slices There is a zipper to get the crumbs. Impeccable.")</f>
        <v>Toaster effective and I like elegant sleek design and class. The chrome buttons give a contemporary style in the toaster. The ease of use, 3 buttons + 1 for the intensity of the toasting. One can watch how the bread is toasted very short process. It accepts large slices There is a zipper to get the crumbs. Impeccable.</v>
      </c>
    </row>
    <row r="5548">
      <c r="A5548" s="1">
        <v>4.0</v>
      </c>
      <c r="B5548" s="1" t="s">
        <v>5479</v>
      </c>
      <c r="C5548" t="str">
        <f>IFERROR(__xludf.DUMMYFUNCTION("GOOGLETRANSLATE(B5548, ""fr"", ""en"")"),"Evaluation I really love this product")</f>
        <v>Evaluation I really love this product</v>
      </c>
    </row>
    <row r="5549">
      <c r="A5549" s="1">
        <v>4.0</v>
      </c>
      <c r="B5549" s="1" t="s">
        <v>5480</v>
      </c>
      <c r="C5549" t="str">
        <f>IFERROR(__xludf.DUMMYFUNCTION("GOOGLETRANSLATE(B5549, ""fr"", ""en"")"),"A girly touch Lovely safety footwear It changes a little for us women who dream of femininity even at Work pink button for ""girly"" 😊 I took a size above and it's perfect These are very comfortable and little heavy")</f>
        <v>A girly touch Lovely safety footwear It changes a little for us women who dream of femininity even at Work pink button for "girly" 😊 I took a size above and it's perfect These are very comfortable and little heavy</v>
      </c>
    </row>
    <row r="5550">
      <c r="A5550" s="1">
        <v>4.0</v>
      </c>
      <c r="B5550" s="1" t="s">
        <v>5481</v>
      </c>
      <c r="C5550" t="str">
        <f>IFERROR(__xludf.DUMMYFUNCTION("GOOGLETRANSLATE(B5550, ""fr"", ""en"")"),"Carrying case made a little small: keys, phone, wallet, but not much more. But does its job properly.")</f>
        <v>Carrying case made a little small: keys, phone, wallet, but not much more. But does its job properly.</v>
      </c>
    </row>
    <row r="5551">
      <c r="A5551" s="1">
        <v>5.0</v>
      </c>
      <c r="B5551" s="1" t="s">
        <v>5482</v>
      </c>
      <c r="C5551" t="str">
        <f>IFERROR(__xludf.DUMMYFUNCTION("GOOGLETRANSLATE(B5551, ""fr"", ""en"")"),"Beautiful design for a nice gift")</f>
        <v>Beautiful design for a nice gift</v>
      </c>
    </row>
    <row r="5552">
      <c r="A5552" s="1">
        <v>5.0</v>
      </c>
      <c r="B5552" s="1" t="s">
        <v>5483</v>
      </c>
      <c r="C5552" t="str">
        <f>IFERROR(__xludf.DUMMYFUNCTION("GOOGLETRANSLATE(B5552, ""fr"", ""en"")"),"it rolls all right, delivery, size and comfortable to wear.")</f>
        <v>it rolls all right, delivery, size and comfortable to wear.</v>
      </c>
    </row>
    <row r="5553">
      <c r="A5553" s="1">
        <v>5.0</v>
      </c>
      <c r="B5553" s="1" t="s">
        <v>5484</v>
      </c>
      <c r="C5553" t="str">
        <f>IFERROR(__xludf.DUMMYFUNCTION("GOOGLETRANSLATE(B5553, ""fr"", ""en"")"),"arrive on time perfect")</f>
        <v>arrive on time perfect</v>
      </c>
    </row>
    <row r="5554">
      <c r="A5554" s="1">
        <v>5.0</v>
      </c>
      <c r="B5554" s="1" t="s">
        <v>5485</v>
      </c>
      <c r="C5554" t="str">
        <f>IFERROR(__xludf.DUMMYFUNCTION("GOOGLETRANSLATE(B5554, ""fr"", ""en"")"),"Reading very affordable for young teenagers I find this enjoyable book to read and look at. Each topic is well detailed, the picture is very nice also, enough to ""attract"" the teenager to the book and flip through its time. Boys do not necessarily show "&amp;"that they pose some questions, and if you leave this book ""drag"" near his room, there's a safe bet he'll steal it for taking the time to see if anything can the interest. This book is a good transition for the child passes from primary school to college"&amp;", ""passage"" between two worlds! (With fewer concerns ...) Good Read")</f>
        <v>Reading very affordable for young teenagers I find this enjoyable book to read and look at. Each topic is well detailed, the picture is very nice also, enough to "attract" the teenager to the book and flip through its time. Boys do not necessarily show that they pose some questions, and if you leave this book "drag" near his room, there's a safe bet he'll steal it for taking the time to see if anything can the interest. This book is a good transition for the child passes from primary school to college, "passage" between two worlds! (With fewer concerns ...) Good Read</v>
      </c>
    </row>
    <row r="5555">
      <c r="A5555" s="1">
        <v>5.0</v>
      </c>
      <c r="B5555" s="1" t="s">
        <v>5486</v>
      </c>
      <c r="C5555" t="str">
        <f>IFERROR(__xludf.DUMMYFUNCTION("GOOGLETRANSLATE(B5555, ""fr"", ""en"")"),"Watch Watch Men Quartz very elegant No problem Individual is really great thank you")</f>
        <v>Watch Watch Men Quartz very elegant No problem Individual is really great thank you</v>
      </c>
    </row>
    <row r="5556">
      <c r="A5556" s="1">
        <v>5.0</v>
      </c>
      <c r="B5556" s="1" t="s">
        <v>5487</v>
      </c>
      <c r="C5556" t="str">
        <f>IFERROR(__xludf.DUMMYFUNCTION("GOOGLETRANSLATE(B5556, ""fr"", ""en"")"),"Super Used by my teen to Fortnite. He spends PC Switch .... It is super happy. The diodes do too ""kiffer"" it seems .... The microphone works well, and he said he is comfortable on the ears. In short it is best ;-)")</f>
        <v>Super Used by my teen to Fortnite. He spends PC Switch .... It is super happy. The diodes do too "kiffer" it seems .... The microphone works well, and he said he is comfortable on the ears. In short it is best ;-)</v>
      </c>
    </row>
    <row r="5557">
      <c r="A5557" s="1">
        <v>5.0</v>
      </c>
      <c r="B5557" s="1" t="s">
        <v>5488</v>
      </c>
      <c r="C5557" t="str">
        <f>IFERROR(__xludf.DUMMYFUNCTION("GOOGLETRANSLATE(B5557, ""fr"", ""en"")"),"Original and funny Satisfied with the purchase of this very original shirt that made laugh a lot. No doubt the effect will be successful in our party dressed Christmas. The trompe l'oeil is done well, the colors are consistent, the material is soft and co"&amp;"mfortable. However be aware that rather large size. I bought in S, but rather loose fit is equivalent to L ... So it is better to my husband that my little jig.")</f>
        <v>Original and funny Satisfied with the purchase of this very original shirt that made laugh a lot. No doubt the effect will be successful in our party dressed Christmas. The trompe l'oeil is done well, the colors are consistent, the material is soft and comfortable. However be aware that rather large size. I bought in S, but rather loose fit is equivalent to L ... So it is better to my husband that my little jig.</v>
      </c>
    </row>
    <row r="5558">
      <c r="A5558" s="1">
        <v>5.0</v>
      </c>
      <c r="B5558" s="1" t="s">
        <v>5489</v>
      </c>
      <c r="C5558" t="str">
        <f>IFERROR(__xludf.DUMMYFUNCTION("GOOGLETRANSLATE(B5558, ""fr"", ""en"")"),"Top it works very well, the price is right compared to its quality.")</f>
        <v>Top it works very well, the price is right compared to its quality.</v>
      </c>
    </row>
    <row r="5559">
      <c r="A5559" s="1">
        <v>5.0</v>
      </c>
      <c r="B5559" s="1" t="s">
        <v>5490</v>
      </c>
      <c r="C5559" t="str">
        <f>IFERROR(__xludf.DUMMYFUNCTION("GOOGLETRANSLATE(B5559, ""fr"", ""en"")"),"Nice product with a superb turn black leather neck. I offered as such and enjoyed it very much. The product does not change after several months.")</f>
        <v>Nice product with a superb turn black leather neck. I offered as such and enjoyed it very much. The product does not change after several months.</v>
      </c>
    </row>
    <row r="5560">
      <c r="A5560" s="1">
        <v>5.0</v>
      </c>
      <c r="B5560" s="1" t="s">
        <v>508</v>
      </c>
      <c r="C5560" t="str">
        <f>IFERROR(__xludf.DUMMYFUNCTION("GOOGLETRANSLATE(B5560, ""fr"", ""en"")"),"Very well very well")</f>
        <v>Very well very well</v>
      </c>
    </row>
    <row r="5561">
      <c r="A5561" s="1">
        <v>5.0</v>
      </c>
      <c r="B5561" s="1" t="s">
        <v>5491</v>
      </c>
      <c r="C5561" t="str">
        <f>IFERROR(__xludf.DUMMYFUNCTION("GOOGLETRANSLATE(B5561, ""fr"", ""en"")"),"Very good cable I'm happy with my purchase, the + and - cables are separated by hand, contrary to what I read in some reviews, we take the necessary length without undoing the coil by pulling the center, it I just seem to be of good quality and my speaker"&amp;"s roar of pleasure.")</f>
        <v>Very good cable I'm happy with my purchase, the + and - cables are separated by hand, contrary to what I read in some reviews, we take the necessary length without undoing the coil by pulling the center, it I just seem to be of good quality and my speakers roar of pleasure.</v>
      </c>
    </row>
    <row r="5562">
      <c r="A5562" s="1">
        <v>5.0</v>
      </c>
      <c r="B5562" s="1" t="s">
        <v>5492</v>
      </c>
      <c r="C5562" t="str">
        <f>IFERROR(__xludf.DUMMYFUNCTION("GOOGLETRANSLATE(B5562, ""fr"", ""en"")"),"Comfortable regular Marche")</f>
        <v>Comfortable regular Marche</v>
      </c>
    </row>
    <row r="5563">
      <c r="A5563" s="1">
        <v>5.0</v>
      </c>
      <c r="B5563" s="1" t="s">
        <v>5493</v>
      </c>
      <c r="C5563" t="str">
        <f>IFERROR(__xludf.DUMMYFUNCTION("GOOGLETRANSLATE(B5563, ""fr"", ""en"")"),"Good product No surprises. Soft material and beautiful finishes. However, attention to order a size smaller because it's big shoes. Shipping and packing: everything ok.")</f>
        <v>Good product No surprises. Soft material and beautiful finishes. However, attention to order a size smaller because it's big shoes. Shipping and packing: everything ok.</v>
      </c>
    </row>
    <row r="5564">
      <c r="A5564" s="1">
        <v>5.0</v>
      </c>
      <c r="B5564" s="1" t="s">
        <v>5494</v>
      </c>
      <c r="C5564" t="str">
        <f>IFERROR(__xludf.DUMMYFUNCTION("GOOGLETRANSLATE(B5564, ""fr"", ""en"")"),"Helmet Nothing to say")</f>
        <v>Helmet Nothing to say</v>
      </c>
    </row>
    <row r="5565">
      <c r="A5565" s="1">
        <v>5.0</v>
      </c>
      <c r="B5565" s="1" t="s">
        <v>5495</v>
      </c>
      <c r="C5565" t="str">
        <f>IFERROR(__xludf.DUMMYFUNCTION("GOOGLETRANSLATE(B5565, ""fr"", ""en"")"),"Very nice shoes! Size a bit small! Very nice product! Size a bit small .. advocates a size extra!")</f>
        <v>Very nice shoes! Size a bit small! Very nice product! Size a bit small .. advocates a size extra!</v>
      </c>
    </row>
    <row r="5566">
      <c r="A5566" s="1">
        <v>2.0</v>
      </c>
      <c r="B5566" s="1" t="s">
        <v>5496</v>
      </c>
      <c r="C5566" t="str">
        <f>IFERROR(__xludf.DUMMYFUNCTION("GOOGLETRANSLATE(B5566, ""fr"", ""en"")"),"69 Cole Cuckoo too")</f>
        <v>69 Cole Cuckoo too</v>
      </c>
    </row>
    <row r="5567">
      <c r="A5567" s="1">
        <v>1.0</v>
      </c>
      <c r="B5567" s="1" t="s">
        <v>5497</v>
      </c>
      <c r="C5567" t="str">
        <f>IFERROR(__xludf.DUMMYFUNCTION("GOOGLETRANSLATE(B5567, ""fr"", ""en"")"),"Hello fake timberland in buying this product I think buying real timberland, looking closer I can only note that the counterfeit 😖 the logo is not the same heel has no seam I fear actually have put it is not normal for a quote like yours tolerate such ac"&amp;"ts. I ask you refund cdt I can not take pictures")</f>
        <v>Hello fake timberland in buying this product I think buying real timberland, looking closer I can only note that the counterfeit 😖 the logo is not the same heel has no seam I fear actually have put it is not normal for a quote like yours tolerate such acts. I ask you refund cdt I can not take pictures</v>
      </c>
    </row>
    <row r="5568">
      <c r="A5568" s="1">
        <v>1.0</v>
      </c>
      <c r="B5568" s="1" t="s">
        <v>5498</v>
      </c>
      <c r="C5568" t="str">
        <f>IFERROR(__xludf.DUMMYFUNCTION("GOOGLETRANSLATE(B5568, ""fr"", ""en"")"),"odor filter door had an unpleasant odor (smell) and the second I order the same I think that we must demand this seller to check")</f>
        <v>odor filter door had an unpleasant odor (smell) and the second I order the same I think that we must demand this seller to check</v>
      </c>
    </row>
    <row r="5569">
      <c r="A5569" s="1">
        <v>3.0</v>
      </c>
      <c r="B5569" s="1" t="s">
        <v>3772</v>
      </c>
      <c r="C5569" t="str">
        <f>IFERROR(__xludf.DUMMYFUNCTION("GOOGLETRANSLATE(B5569, ""fr"", ""en"")"),"Super Great")</f>
        <v>Super Great</v>
      </c>
    </row>
    <row r="5570">
      <c r="A5570" s="1">
        <v>4.0</v>
      </c>
      <c r="B5570" s="1" t="s">
        <v>5499</v>
      </c>
      <c r="C5570" t="str">
        <f>IFERROR(__xludf.DUMMYFUNCTION("GOOGLETRANSLATE(B5570, ""fr"", ""en"")"),"Great shoes! These comfortable shoes so comfortable that it feels better to walk with. The rubber sole does not moans, it absorbs all the small road shocks and is struggling to leave the way home. They can be machine is a plus, especially as ordered in wh"&amp;"ite. They are expensive, and thus get dirty very quickly. Small flat, the size of the laces. My wife has small hands found that longer laces were not a luxury.")</f>
        <v>Great shoes! These comfortable shoes so comfortable that it feels better to walk with. The rubber sole does not moans, it absorbs all the small road shocks and is struggling to leave the way home. They can be machine is a plus, especially as ordered in white. They are expensive, and thus get dirty very quickly. Small flat, the size of the laces. My wife has small hands found that longer laces were not a luxury.</v>
      </c>
    </row>
    <row r="5571">
      <c r="A5571" s="1">
        <v>4.0</v>
      </c>
      <c r="B5571" s="1" t="s">
        <v>5500</v>
      </c>
      <c r="C5571" t="str">
        <f>IFERROR(__xludf.DUMMYFUNCTION("GOOGLETRANSLATE(B5571, ""fr"", ""en"")"),"For the price, there is no reason to complain! I bought a watch and put it on my wrist in order to tell the time! Who would have thought? ... This is basically a watch back automatically ... However it must go once a day, for even by wearing it all day au"&amp;"tomation is not quite to the point! ...")</f>
        <v>For the price, there is no reason to complain! I bought a watch and put it on my wrist in order to tell the time! Who would have thought? ... This is basically a watch back automatically ... However it must go once a day, for even by wearing it all day automation is not quite to the point! ...</v>
      </c>
    </row>
    <row r="5572">
      <c r="A5572" s="1">
        <v>4.0</v>
      </c>
      <c r="B5572" s="1" t="s">
        <v>5501</v>
      </c>
      <c r="C5572" t="str">
        <f>IFERROR(__xludf.DUMMYFUNCTION("GOOGLETRANSLATE(B5572, ""fr"", ""en"")"),"My son loves the class c is very very happy for this purchase for my son")</f>
        <v>My son loves the class c is very very happy for this purchase for my son</v>
      </c>
    </row>
    <row r="5573">
      <c r="A5573" s="1">
        <v>4.0</v>
      </c>
      <c r="B5573" s="1" t="s">
        <v>5502</v>
      </c>
      <c r="C5573" t="str">
        <f>IFERROR(__xludf.DUMMYFUNCTION("GOOGLETRANSLATE(B5573, ""fr"", ""en"")"),"Sorter Sorter Exacompta Exacompta good. Has very practical flaps for additional storage and elastic that prevent documents from falling.")</f>
        <v>Sorter Sorter Exacompta Exacompta good. Has very practical flaps for additional storage and elastic that prevent documents from falling.</v>
      </c>
    </row>
    <row r="5574">
      <c r="A5574" s="1">
        <v>5.0</v>
      </c>
      <c r="B5574" s="1" t="s">
        <v>5503</v>
      </c>
      <c r="C5574" t="str">
        <f>IFERROR(__xludf.DUMMYFUNCTION("GOOGLETRANSLATE(B5574, ""fr"", ""en"")"),"This high quality product is of high quality. The smell is marked as necessary without becoming heady. I use this essential oil diffusion in my room (12m²) and in addition to providing a fragrant note, it relaxes me. So while it is true that the amount of"&amp;" money may seem a bit more expensive than average, product quality fully justifies the small price difference. This is a product that I recommend and I will not hesitate to look me soon on other products from this manufacturer.")</f>
        <v>This high quality product is of high quality. The smell is marked as necessary without becoming heady. I use this essential oil diffusion in my room (12m²) and in addition to providing a fragrant note, it relaxes me. So while it is true that the amount of money may seem a bit more expensive than average, product quality fully justifies the small price difference. This is a product that I recommend and I will not hesitate to look me soon on other products from this manufacturer.</v>
      </c>
    </row>
    <row r="5575">
      <c r="A5575" s="1">
        <v>5.0</v>
      </c>
      <c r="B5575" s="1" t="s">
        <v>5504</v>
      </c>
      <c r="C5575" t="str">
        <f>IFERROR(__xludf.DUMMYFUNCTION("GOOGLETRANSLATE(B5575, ""fr"", ""en"")"),"Its excellent staff Very good sound")</f>
        <v>Its excellent staff Very good sound</v>
      </c>
    </row>
    <row r="5576">
      <c r="A5576" s="1">
        <v>5.0</v>
      </c>
      <c r="B5576" s="1" t="s">
        <v>1288</v>
      </c>
      <c r="C5576" t="str">
        <f>IFERROR(__xludf.DUMMYFUNCTION("GOOGLETRANSLATE(B5576, ""fr"", ""en"")"),"perfect perfect")</f>
        <v>perfect perfect</v>
      </c>
    </row>
    <row r="5577">
      <c r="A5577" s="1">
        <v>5.0</v>
      </c>
      <c r="B5577" s="1" t="s">
        <v>5505</v>
      </c>
      <c r="C5577" t="str">
        <f>IFERROR(__xludf.DUMMYFUNCTION("GOOGLETRANSLATE(B5577, ""fr"", ""en"")"),"super guess")</f>
        <v>super guess</v>
      </c>
    </row>
    <row r="5578">
      <c r="A5578" s="1">
        <v>5.0</v>
      </c>
      <c r="B5578" s="1" t="s">
        <v>5506</v>
      </c>
      <c r="C5578" t="str">
        <f>IFERROR(__xludf.DUMMYFUNCTION("GOOGLETRANSLATE(B5578, ""fr"", ""en"")"),"Good product to have fun at any age! Ultra-fast delivery! Received the day after the order. Simple to use, it can be used on. Equipment of good quality. The sound is adjustable and the echo mode is very nice.")</f>
        <v>Good product to have fun at any age! Ultra-fast delivery! Received the day after the order. Simple to use, it can be used on. Equipment of good quality. The sound is adjustable and the echo mode is very nice.</v>
      </c>
    </row>
    <row r="5579">
      <c r="A5579" s="1">
        <v>5.0</v>
      </c>
      <c r="B5579" s="1" t="s">
        <v>5507</v>
      </c>
      <c r="C5579" t="str">
        <f>IFERROR(__xludf.DUMMYFUNCTION("GOOGLETRANSLATE(B5579, ""fr"", ""en"")"),"Wasted Generic product received in a small card which are placed 10 XL cartridges (2 * 4noir and 3COLORS). Each cartridge is individually packed. The installation is identical to original cartridges. The cartridges are slightly translucent, you can see th"&amp;"e real level of the latter. After 1 or 2 prints, the print quality is identical. It remains to see over time if the quality does not degrade or if the nozzle does not dry or does not clog. Another plus would be to propose a small procedure to remove the H"&amp;"P message each time opens a window to say that the cartridges are not genuine ...")</f>
        <v>Wasted Generic product received in a small card which are placed 10 XL cartridges (2 * 4noir and 3COLORS). Each cartridge is individually packed. The installation is identical to original cartridges. The cartridges are slightly translucent, you can see the real level of the latter. After 1 or 2 prints, the print quality is identical. It remains to see over time if the quality does not degrade or if the nozzle does not dry or does not clog. Another plus would be to propose a small procedure to remove the HP message each time opens a window to say that the cartridges are not genuine ...</v>
      </c>
    </row>
    <row r="5580">
      <c r="A5580" s="1">
        <v>5.0</v>
      </c>
      <c r="B5580" s="1" t="s">
        <v>5508</v>
      </c>
      <c r="C5580" t="str">
        <f>IFERROR(__xludf.DUMMYFUNCTION("GOOGLETRANSLATE(B5580, ""fr"", ""en"")"),"Watch very satisfied consistent with the description picture. The bracelet is adjustable. Very nice watch chosen by my daughter of 14 who is thrilled to wear. Special feature: no second hand. Parcels received with a day + than initially expected but still"&amp;" well managed by Amazon, which had warned of this delay.")</f>
        <v>Watch very satisfied consistent with the description picture. The bracelet is adjustable. Very nice watch chosen by my daughter of 14 who is thrilled to wear. Special feature: no second hand. Parcels received with a day + than initially expected but still well managed by Amazon, which had warned of this delay.</v>
      </c>
    </row>
    <row r="5581">
      <c r="A5581" s="1">
        <v>5.0</v>
      </c>
      <c r="B5581" s="1" t="s">
        <v>5509</v>
      </c>
      <c r="C5581" t="str">
        <f>IFERROR(__xludf.DUMMYFUNCTION("GOOGLETRANSLATE(B5581, ""fr"", ""en"")"),"Beautiful jewelry, fine and smart I love this type of jewelery, the bracelet is thin and the sign also infinite. J hesitate to even buy the necklace that goes with")</f>
        <v>Beautiful jewelry, fine and smart I love this type of jewelery, the bracelet is thin and the sign also infinite. J hesitate to even buy the necklace that goes with</v>
      </c>
    </row>
    <row r="5582">
      <c r="A5582" s="1">
        <v>5.0</v>
      </c>
      <c r="B5582" s="1" t="s">
        <v>5510</v>
      </c>
      <c r="C5582" t="str">
        <f>IFERROR(__xludf.DUMMYFUNCTION("GOOGLETRANSLATE(B5582, ""fr"", ""en"")"),"Practice proper functioning of use, easy pairing, quite comfortable even wore long the sound is okay but not exceptional and the radio is convenient and battery takes almost two days with normal usage a good value")</f>
        <v>Practice proper functioning of use, easy pairing, quite comfortable even wore long the sound is okay but not exceptional and the radio is convenient and battery takes almost two days with normal usage a good value</v>
      </c>
    </row>
    <row r="5583">
      <c r="A5583" s="1">
        <v>5.0</v>
      </c>
      <c r="B5583" s="1" t="s">
        <v>5511</v>
      </c>
      <c r="C5583" t="str">
        <f>IFERROR(__xludf.DUMMYFUNCTION("GOOGLETRANSLATE(B5583, ""fr"", ""en"")"),"Okay Good quality, beautiful box packaging, works very well. No regrets about buying if not I would have preferred one with cherry stones (less comfortable but the heat lasts longer).")</f>
        <v>Okay Good quality, beautiful box packaging, works very well. No regrets about buying if not I would have preferred one with cherry stones (less comfortable but the heat lasts longer).</v>
      </c>
    </row>
    <row r="5584">
      <c r="A5584" s="1">
        <v>5.0</v>
      </c>
      <c r="B5584" s="1" t="s">
        <v>5512</v>
      </c>
      <c r="C5584" t="str">
        <f>IFERROR(__xludf.DUMMYFUNCTION("GOOGLETRANSLATE(B5584, ""fr"", ""en"")"),"Very satisfied For 10 years I have fibromyalgia and pain were my cup of morning coffee and my tea cup at bedtime. So I try this gel and I found that as a measurement applications it relieves some pain ... I like the smell and texture but I admit that the "&amp;"color is a bit repulsive. The important thing is efficiency. thank you KIND")</f>
        <v>Very satisfied For 10 years I have fibromyalgia and pain were my cup of morning coffee and my tea cup at bedtime. So I try this gel and I found that as a measurement applications it relieves some pain ... I like the smell and texture but I admit that the color is a bit repulsive. The important thing is efficiency. thank you KIND</v>
      </c>
    </row>
    <row r="5585">
      <c r="A5585" s="1">
        <v>5.0</v>
      </c>
      <c r="B5585" s="1" t="s">
        <v>5513</v>
      </c>
      <c r="C5585" t="str">
        <f>IFERROR(__xludf.DUMMYFUNCTION("GOOGLETRANSLATE(B5585, ""fr"", ""en"")"),"Very beautiful colors .. Fine fluorescent Stabilo: a beautiful bag useful for drawing, graphics or primary school .A beautiful palette of colors!")</f>
        <v>Very beautiful colors .. Fine fluorescent Stabilo: a beautiful bag useful for drawing, graphics or primary school .A beautiful palette of colors!</v>
      </c>
    </row>
    <row r="5586">
      <c r="A5586" s="1">
        <v>5.0</v>
      </c>
      <c r="B5586" s="1" t="s">
        <v>5514</v>
      </c>
      <c r="C5586" t="str">
        <f>IFERROR(__xludf.DUMMYFUNCTION("GOOGLETRANSLATE(B5586, ""fr"", ""en"")"),"I recommend Article proper solid and does not pill in the shoes Delivered to the end of one month Otherwise I'll recommend another batch")</f>
        <v>I recommend Article proper solid and does not pill in the shoes Delivered to the end of one month Otherwise I'll recommend another batch</v>
      </c>
    </row>
    <row r="5587">
      <c r="A5587" s="1">
        <v>5.0</v>
      </c>
      <c r="B5587" s="1" t="s">
        <v>5515</v>
      </c>
      <c r="C5587" t="str">
        <f>IFERROR(__xludf.DUMMYFUNCTION("GOOGLETRANSLATE(B5587, ""fr"", ""en"")"),"Great ! Plaid very comfortable, that still works after many uses. I recommend !")</f>
        <v>Great ! Plaid very comfortable, that still works after many uses. I recommend !</v>
      </c>
    </row>
    <row r="5588">
      <c r="A5588" s="1">
        <v>5.0</v>
      </c>
      <c r="B5588" s="1" t="s">
        <v>5516</v>
      </c>
      <c r="C5588" t="str">
        <f>IFERROR(__xludf.DUMMYFUNCTION("GOOGLETRANSLATE(B5588, ""fr"", ""en"")"),"Very nice watch This watch is beautiful, it is legible and adapts very well to the wrist despite its significant size.")</f>
        <v>Very nice watch This watch is beautiful, it is legible and adapts very well to the wrist despite its significant size.</v>
      </c>
    </row>
    <row r="5589">
      <c r="A5589" s="1">
        <v>2.0</v>
      </c>
      <c r="B5589" s="1" t="s">
        <v>5517</v>
      </c>
      <c r="C5589" t="str">
        <f>IFERROR(__xludf.DUMMYFUNCTION("GOOGLETRANSLATE(B5589, ""fr"", ""en"")"),"The garment misleading picture does not match what's displayed on the site. The image is misleading even for the price, one could not expect better. Very disappointed with this purchase that I regret, especially for a Christmas gift.")</f>
        <v>The garment misleading picture does not match what's displayed on the site. The image is misleading even for the price, one could not expect better. Very disappointed with this purchase that I regret, especially for a Christmas gift.</v>
      </c>
    </row>
    <row r="5590">
      <c r="A5590" s="1">
        <v>1.0</v>
      </c>
      <c r="B5590" s="1" t="s">
        <v>5518</v>
      </c>
      <c r="C5590" t="str">
        <f>IFERROR(__xludf.DUMMYFUNCTION("GOOGLETRANSLATE(B5590, ""fr"", ""en"")"),"Disappointed Not good quality fabric is too light")</f>
        <v>Disappointed Not good quality fabric is too light</v>
      </c>
    </row>
    <row r="5591">
      <c r="A5591" s="1">
        <v>3.0</v>
      </c>
      <c r="B5591" s="1" t="s">
        <v>5519</v>
      </c>
      <c r="C5591" t="str">
        <f>IFERROR(__xludf.DUMMYFUNCTION("GOOGLETRANSLATE(B5591, ""fr"", ""en"")"),"Not bad Small bag just essentially folds phone portfolio remains very little room for the key but quality bag.")</f>
        <v>Not bad Small bag just essentially folds phone portfolio remains very little room for the key but quality bag.</v>
      </c>
    </row>
    <row r="5592">
      <c r="A5592" s="1">
        <v>3.0</v>
      </c>
      <c r="B5592" s="1" t="s">
        <v>5520</v>
      </c>
      <c r="C5592" t="str">
        <f>IFERROR(__xludf.DUMMYFUNCTION("GOOGLETRANSLATE(B5592, ""fr"", ""en"")"),"Although much for milk. But of course not enough for milk + cérales. This requires a natural pacifier has variable output that I finally found it !!")</f>
        <v>Although much for milk. But of course not enough for milk + cérales. This requires a natural pacifier has variable output that I finally found it !!</v>
      </c>
    </row>
    <row r="5593">
      <c r="A5593" s="1">
        <v>4.0</v>
      </c>
      <c r="B5593" s="1" t="s">
        <v>5521</v>
      </c>
      <c r="C5593" t="str">
        <f>IFERROR(__xludf.DUMMYFUNCTION("GOOGLETRANSLATE(B5593, ""fr"", ""en"")"),"The perfect watch Despite having small wrists, this watch is perfect for me. Comes in original box, perfect protection. Radio controlled it starts on time every night. Small problem: Alarms / audible beeps more. Otherwise no complaints, the design is soft"&amp;", without extravagance. She is perfect")</f>
        <v>The perfect watch Despite having small wrists, this watch is perfect for me. Comes in original box, perfect protection. Radio controlled it starts on time every night. Small problem: Alarms / audible beeps more. Otherwise no complaints, the design is soft, without extravagance. She is perfect</v>
      </c>
    </row>
    <row r="5594">
      <c r="A5594" s="1">
        <v>4.0</v>
      </c>
      <c r="B5594" s="1" t="s">
        <v>644</v>
      </c>
      <c r="C5594" t="str">
        <f>IFERROR(__xludf.DUMMYFUNCTION("GOOGLETRANSLATE(B5594, ""fr"", ""en"")"),"Although Compliant")</f>
        <v>Although Compliant</v>
      </c>
    </row>
    <row r="5595">
      <c r="A5595" s="1">
        <v>4.0</v>
      </c>
      <c r="B5595" s="1" t="s">
        <v>5522</v>
      </c>
      <c r="C5595" t="str">
        <f>IFERROR(__xludf.DUMMYFUNCTION("GOOGLETRANSLATE(B5595, ""fr"", ""en"")"),"Satisfied I was a little afraid of the quality for the price, but I'm satisfied. Quick delivery")</f>
        <v>Satisfied I was a little afraid of the quality for the price, but I'm satisfied. Quick delivery</v>
      </c>
    </row>
    <row r="5596">
      <c r="A5596" s="1">
        <v>4.0</v>
      </c>
      <c r="B5596" s="1" t="s">
        <v>5523</v>
      </c>
      <c r="C5596" t="str">
        <f>IFERROR(__xludf.DUMMYFUNCTION("GOOGLETRANSLATE(B5596, ""fr"", ""en"")"),"Good product Excellent product 👍 however bad the helmet is not adjustable. For sound, lack some bass if no complaints. The made to hear our environment during sports sessions especially biking and running is ideal less danger.")</f>
        <v>Good product Excellent product 👍 however bad the helmet is not adjustable. For sound, lack some bass if no complaints. The made to hear our environment during sports sessions especially biking and running is ideal less danger.</v>
      </c>
    </row>
    <row r="5597">
      <c r="A5597" s="1">
        <v>5.0</v>
      </c>
      <c r="B5597" s="1" t="s">
        <v>5524</v>
      </c>
      <c r="C5597" t="str">
        <f>IFERROR(__xludf.DUMMYFUNCTION("GOOGLETRANSLATE(B5597, ""fr"", ""en"")"),"I recommend Very good")</f>
        <v>I recommend Very good</v>
      </c>
    </row>
    <row r="5598">
      <c r="A5598" s="1">
        <v>5.0</v>
      </c>
      <c r="B5598" s="1" t="s">
        <v>5525</v>
      </c>
      <c r="C5598" t="str">
        <f>IFERROR(__xludf.DUMMYFUNCTION("GOOGLETRANSLATE(B5598, ""fr"", ""en"")"),"Great for the thick soups My daughter failing to take his soup in the bottle either with the ""speed 4"" or with variable flow teats, we bought these lollipops. They were perfect for thick liquids. The only soups that did not happen: soup with pasta.")</f>
        <v>Great for the thick soups My daughter failing to take his soup in the bottle either with the "speed 4" or with variable flow teats, we bought these lollipops. They were perfect for thick liquids. The only soups that did not happen: soup with pasta.</v>
      </c>
    </row>
    <row r="5599">
      <c r="A5599" s="1">
        <v>5.0</v>
      </c>
      <c r="B5599" s="1" t="s">
        <v>5526</v>
      </c>
      <c r="C5599" t="str">
        <f>IFERROR(__xludf.DUMMYFUNCTION("GOOGLETRANSLATE(B5599, ""fr"", ""en"")"),"Sport shoes high quality product")</f>
        <v>Sport shoes high quality product</v>
      </c>
    </row>
    <row r="5600">
      <c r="A5600" s="1">
        <v>5.0</v>
      </c>
      <c r="B5600" s="1" t="s">
        <v>5527</v>
      </c>
      <c r="C5600" t="str">
        <f>IFERROR(__xludf.DUMMYFUNCTION("GOOGLETRANSLATE(B5600, ""fr"", ""en"")"),"HP cartridge 302 IDENTICAL TO THE PHOTO. PROBLEM NO DELIVERY")</f>
        <v>HP cartridge 302 IDENTICAL TO THE PHOTO. PROBLEM NO DELIVERY</v>
      </c>
    </row>
    <row r="5601">
      <c r="A5601" s="1">
        <v>5.0</v>
      </c>
      <c r="B5601" s="1" t="s">
        <v>5528</v>
      </c>
      <c r="C5601" t="str">
        <f>IFERROR(__xludf.DUMMYFUNCTION("GOOGLETRANSLATE(B5601, ""fr"", ""en"")"),"Very nice shoes and quality Stunning shoes. Even more beautiful than I imagined and very strong. My son is delighted because more are very comfortable. I recommend this purchase 100%. Also very small price")</f>
        <v>Very nice shoes and quality Stunning shoes. Even more beautiful than I imagined and very strong. My son is delighted because more are very comfortable. I recommend this purchase 100%. Also very small price</v>
      </c>
    </row>
    <row r="5602">
      <c r="A5602" s="1">
        <v>5.0</v>
      </c>
      <c r="B5602" s="1" t="s">
        <v>5529</v>
      </c>
      <c r="C5602" t="str">
        <f>IFERROR(__xludf.DUMMYFUNCTION("GOOGLETRANSLATE(B5602, ""fr"", ""en"")"),"Top Top despite some worries.")</f>
        <v>Top Top despite some worries.</v>
      </c>
    </row>
    <row r="5603">
      <c r="A5603" s="1">
        <v>5.0</v>
      </c>
      <c r="B5603" s="1" t="s">
        <v>5530</v>
      </c>
      <c r="C5603" t="str">
        <f>IFERROR(__xludf.DUMMYFUNCTION("GOOGLETRANSLATE(B5603, ""fr"", ""en"")"),"The battery can be charged quickly They are easy to connect with Bluetooth, they are very small, very light and have no weight. Very comfortable and very good sound quality. The battery is very durable and can be charged quickly. I think they are very use"&amp;"ful.")</f>
        <v>The battery can be charged quickly They are easy to connect with Bluetooth, they are very small, very light and have no weight. Very comfortable and very good sound quality. The battery is very durable and can be charged quickly. I think they are very useful.</v>
      </c>
    </row>
    <row r="5604">
      <c r="A5604" s="1">
        <v>5.0</v>
      </c>
      <c r="B5604" s="1" t="s">
        <v>5531</v>
      </c>
      <c r="C5604" t="str">
        <f>IFERROR(__xludf.DUMMYFUNCTION("GOOGLETRANSLATE(B5604, ""fr"", ""en"")"),"beautiful shows what works most feasible longtent")</f>
        <v>beautiful shows what works most feasible longtent</v>
      </c>
    </row>
    <row r="5605">
      <c r="A5605" s="1">
        <v>5.0</v>
      </c>
      <c r="B5605" s="1" t="s">
        <v>5532</v>
      </c>
      <c r="C5605" t="str">
        <f>IFERROR(__xludf.DUMMYFUNCTION("GOOGLETRANSLATE(B5605, ""fr"", ""en"")"),"Very good product great product. I've used the forum to brush m in the belly and breasts and protect me stretch marks. A priori, it has had its effect. Note however this is therefore a fatty oil. Use the evening on pajamas rather than the day with clothes"&amp;" because it can stain")</f>
        <v>Very good product great product. I've used the forum to brush m in the belly and breasts and protect me stretch marks. A priori, it has had its effect. Note however this is therefore a fatty oil. Use the evening on pajamas rather than the day with clothes because it can stain</v>
      </c>
    </row>
    <row r="5606">
      <c r="A5606" s="1">
        <v>5.0</v>
      </c>
      <c r="B5606" s="1" t="s">
        <v>5533</v>
      </c>
      <c r="C5606" t="str">
        <f>IFERROR(__xludf.DUMMYFUNCTION("GOOGLETRANSLATE(B5606, ""fr"", ""en"")"),"Very good quality of headsets, good load. Very good Bluetooth headset. I was afraid but they are well suited for small ears from my daughter who has dessuite adopt. The sound quality is very good. One could use desuite they arrived loaded and since they a"&amp;"re thus 2d use non-stop and still charging the battery is good and well resistant. The sound is very clear, very practical fact of touching the ear for different commands. Really very happy with my purchase price is very correct for the product quality.")</f>
        <v>Very good quality of headsets, good load. Very good Bluetooth headset. I was afraid but they are well suited for small ears from my daughter who has dessuite adopt. The sound quality is very good. One could use desuite they arrived loaded and since they are thus 2d use non-stop and still charging the battery is good and well resistant. The sound is very clear, very practical fact of touching the ear for different commands. Really very happy with my purchase price is very correct for the product quality.</v>
      </c>
    </row>
    <row r="5607">
      <c r="A5607" s="1">
        <v>5.0</v>
      </c>
      <c r="B5607" s="1" t="s">
        <v>5534</v>
      </c>
      <c r="C5607" t="str">
        <f>IFERROR(__xludf.DUMMYFUNCTION("GOOGLETRANSLATE(B5607, ""fr"", ""en"")"),"perfect is quite to my attentes.je'm floor and these shoes make pleasant sensations under pieds.je recommend this product without hesitation! take its usual size")</f>
        <v>perfect is quite to my attentes.je'm floor and these shoes make pleasant sensations under pieds.je recommend this product without hesitation! take its usual size</v>
      </c>
    </row>
    <row r="5608">
      <c r="A5608" s="1">
        <v>5.0</v>
      </c>
      <c r="B5608" s="1" t="s">
        <v>5535</v>
      </c>
      <c r="C5608" t="str">
        <f>IFERROR(__xludf.DUMMYFUNCTION("GOOGLETRANSLATE(B5608, ""fr"", ""en"")"),"Laundry less expensive that in supermarkets Good value")</f>
        <v>Laundry less expensive that in supermarkets Good value</v>
      </c>
    </row>
    <row r="5609">
      <c r="A5609" s="1">
        <v>5.0</v>
      </c>
      <c r="B5609" s="1" t="s">
        <v>5536</v>
      </c>
      <c r="C5609" t="str">
        <f>IFERROR(__xludf.DUMMYFUNCTION("GOOGLETRANSLATE(B5609, ""fr"", ""en"")"),"Not disappointed ads Very cute beads. I feel good when I wear it. This is a real gem summer.")</f>
        <v>Not disappointed ads Very cute beads. I feel good when I wear it. This is a real gem summer.</v>
      </c>
    </row>
    <row r="5610">
      <c r="A5610" s="1">
        <v>5.0</v>
      </c>
      <c r="B5610" s="1" t="s">
        <v>5537</v>
      </c>
      <c r="C5610" t="str">
        <f>IFERROR(__xludf.DUMMYFUNCTION("GOOGLETRANSLATE(B5610, ""fr"", ""en"")"),"Well its good sound quality. I have multiple listeners at home and the people are quite well designed. They are solid without being imposing. Bluetooth is immédiagement recognition. The case fits easily in the pocket.")</f>
        <v>Well its good sound quality. I have multiple listeners at home and the people are quite well designed. They are solid without being imposing. Bluetooth is immédiagement recognition. The case fits easily in the pocket.</v>
      </c>
    </row>
    <row r="5611">
      <c r="A5611" s="1">
        <v>5.0</v>
      </c>
      <c r="B5611" s="1" t="s">
        <v>5538</v>
      </c>
      <c r="C5611" t="str">
        <f>IFERROR(__xludf.DUMMYFUNCTION("GOOGLETRANSLATE(B5611, ""fr"", ""en"")"),"good article nice !! my husband is delighted leather and many pockets")</f>
        <v>good article nice !! my husband is delighted leather and many pockets</v>
      </c>
    </row>
    <row r="5612">
      <c r="A5612" s="1">
        <v>2.0</v>
      </c>
      <c r="B5612" s="1" t="s">
        <v>5539</v>
      </c>
      <c r="C5612" t="str">
        <f>IFERROR(__xludf.DUMMYFUNCTION("GOOGLETRANSLATE(B5612, ""fr"", ""en"")"),"Waffle ocassion I think I was delivering a no opportunities waffle nice even if the price was low. Please prevent customers because the decison deserve. For me I will next Darty. For he my not going to last long.")</f>
        <v>Waffle ocassion I think I was delivering a no opportunities waffle nice even if the price was low. Please prevent customers because the decison deserve. For me I will next Darty. For he my not going to last long.</v>
      </c>
    </row>
    <row r="5613">
      <c r="A5613" s="1">
        <v>1.0</v>
      </c>
      <c r="B5613" s="1" t="s">
        <v>5540</v>
      </c>
      <c r="C5613" t="str">
        <f>IFERROR(__xludf.DUMMYFUNCTION("GOOGLETRANSLATE(B5613, ""fr"", ""en"")"),"Horrible article very very poor quality. For the price this is a horror He returned to the sender")</f>
        <v>Horrible article very very poor quality. For the price this is a horror He returned to the sender</v>
      </c>
    </row>
    <row r="5614">
      <c r="A5614" s="1">
        <v>1.0</v>
      </c>
      <c r="B5614" s="1" t="s">
        <v>5541</v>
      </c>
      <c r="C5614" t="str">
        <f>IFERROR(__xludf.DUMMYFUNCTION("GOOGLETRANSLATE(B5614, ""fr"", ""en"")"),"The cartridges are compatible but the problem is that the printer does not recognize so well half the time I am obl cartridges are compatible but the problem is that the printer does not recognize so well half the time I am forced to restart the printer f"&amp;"or it to work despite the empty cartridges attention span post this product is not recommended thank you")</f>
        <v>The cartridges are compatible but the problem is that the printer does not recognize so well half the time I am obl cartridges are compatible but the problem is that the printer does not recognize so well half the time I am forced to restart the printer for it to work despite the empty cartridges attention span post this product is not recommended thank you</v>
      </c>
    </row>
    <row r="5615">
      <c r="A5615" s="1">
        <v>3.0</v>
      </c>
      <c r="B5615" s="1" t="s">
        <v>5542</v>
      </c>
      <c r="C5615" t="str">
        <f>IFERROR(__xludf.DUMMYFUNCTION("GOOGLETRANSLATE(B5615, ""fr"", ""en"")"),"no laces I was surprised not to find laces; That'll teach me to reviews; in fact there is a spring to keep the foot. Too bad, I had almost the same with laces; I keep still")</f>
        <v>no laces I was surprised not to find laces; That'll teach me to reviews; in fact there is a spring to keep the foot. Too bad, I had almost the same with laces; I keep still</v>
      </c>
    </row>
    <row r="5616">
      <c r="A5616" s="1">
        <v>3.0</v>
      </c>
      <c r="B5616" s="1" t="s">
        <v>5543</v>
      </c>
      <c r="C5616" t="str">
        <f>IFERROR(__xludf.DUMMYFUNCTION("GOOGLETRANSLATE(B5616, ""fr"", ""en"")"),"Good headphones but Given the good reviews for this headset, I did not hesitate long in my choice. The value for money is good considering the price of some headphones but unfortunately I have not managed to pair up my receiver on the TV while my previous"&amp;" headset I had not had a problem. So I use it when I'm running to listen to music with my iPhone Pairing is done immediately, the sound is not bad but not great. As against it insulates very well from outside noise. So anyway satisfied with my purchase ev"&amp;"en if the utility DuCasque to change.")</f>
        <v>Good headphones but Given the good reviews for this headset, I did not hesitate long in my choice. The value for money is good considering the price of some headphones but unfortunately I have not managed to pair up my receiver on the TV while my previous headset I had not had a problem. So I use it when I'm running to listen to music with my iPhone Pairing is done immediately, the sound is not bad but not great. As against it insulates very well from outside noise. So anyway satisfied with my purchase even if the utility DuCasque to change.</v>
      </c>
    </row>
    <row r="5617">
      <c r="A5617" s="1">
        <v>4.0</v>
      </c>
      <c r="B5617" s="1" t="s">
        <v>5544</v>
      </c>
      <c r="C5617" t="str">
        <f>IFERROR(__xludf.DUMMYFUNCTION("GOOGLETRANSLATE(B5617, ""fr"", ""en"")"),"Bracelet lovely bracelet, practice the 4 rings of tethers for small wrists")</f>
        <v>Bracelet lovely bracelet, practice the 4 rings of tethers for small wrists</v>
      </c>
    </row>
    <row r="5618">
      <c r="A5618" s="1">
        <v>4.0</v>
      </c>
      <c r="B5618" s="1" t="s">
        <v>5545</v>
      </c>
      <c r="C5618" t="str">
        <f>IFERROR(__xludf.DUMMYFUNCTION("GOOGLETRANSLATE(B5618, ""fr"", ""en"")"),"Good product compliant with the description. Delivery ok.")</f>
        <v>Good product compliant with the description. Delivery ok.</v>
      </c>
    </row>
    <row r="5619">
      <c r="A5619" s="1">
        <v>4.0</v>
      </c>
      <c r="B5619" s="1" t="s">
        <v>5546</v>
      </c>
      <c r="C5619" t="str">
        <f>IFERROR(__xludf.DUMMYFUNCTION("GOOGLETRANSLATE(B5619, ""fr"", ""en"")"),"shows quick careful packaging shipments this watch matches compared to its beefy good practice designation qualitee waterproof has recommended")</f>
        <v>shows quick careful packaging shipments this watch matches compared to its beefy good practice designation qualitee waterproof has recommended</v>
      </c>
    </row>
    <row r="5620">
      <c r="A5620" s="1">
        <v>4.0</v>
      </c>
      <c r="B5620" s="1" t="s">
        <v>5547</v>
      </c>
      <c r="C5620" t="str">
        <f>IFERROR(__xludf.DUMMYFUNCTION("GOOGLETRANSLATE(B5620, ""fr"", ""en"")"),"This pleasure Very handy .A the air costaud.bon quite easy comfortable use")</f>
        <v>This pleasure Very handy .A the air costaud.bon quite easy comfortable use</v>
      </c>
    </row>
    <row r="5621">
      <c r="A5621" s="1">
        <v>5.0</v>
      </c>
      <c r="B5621" s="1" t="s">
        <v>5548</v>
      </c>
      <c r="C5621" t="str">
        <f>IFERROR(__xludf.DUMMYFUNCTION("GOOGLETRANSLATE(B5621, ""fr"", ""en"")"),"Easy branchement.Directement into the headphone jack. At night in bed to not disturb her partner or his partner, the sound does not go out of his écouteurs.Le is very correct .To switch the sound cutting the home theater and the headset is active without "&amp;"charge is enough déranger.Sa long for an evening in front of the screen (3 hours minimum) .on the returns on its base a day 2. Good which has nothing to do is the delivery service that literally rocked the package over the portal of high 2.20m! While I wa"&amp;"s there. In short amazon is not responsible for the irresponsibility of such delivery. No. This is a good article that I can recommend.")</f>
        <v>Easy branchement.Directement into the headphone jack. At night in bed to not disturb her partner or his partner, the sound does not go out of his écouteurs.Le is very correct .To switch the sound cutting the home theater and the headset is active without charge is enough déranger.Sa long for an evening in front of the screen (3 hours minimum) .on the returns on its base a day 2. Good which has nothing to do is the delivery service that literally rocked the package over the portal of high 2.20m! While I was there. In short amazon is not responsible for the irresponsibility of such delivery. No. This is a good article that I can recommend.</v>
      </c>
    </row>
    <row r="5622">
      <c r="A5622" s="1">
        <v>5.0</v>
      </c>
      <c r="B5622" s="1" t="s">
        <v>5549</v>
      </c>
      <c r="C5622" t="str">
        <f>IFERROR(__xludf.DUMMYFUNCTION("GOOGLETRANSLATE(B5622, ""fr"", ""en"")"),"Great! This collection is really nice and well suited to a 5 year old in great section starting reading. There is a little preparation to book early read is very useful. Do not hesitate...")</f>
        <v>Great! This collection is really nice and well suited to a 5 year old in great section starting reading. There is a little preparation to book early read is very useful. Do not hesitate...</v>
      </c>
    </row>
    <row r="5623">
      <c r="A5623" s="1">
        <v>5.0</v>
      </c>
      <c r="B5623" s="1" t="s">
        <v>5550</v>
      </c>
      <c r="C5623" t="str">
        <f>IFERROR(__xludf.DUMMYFUNCTION("GOOGLETRANSLATE(B5623, ""fr"", ""en"")"),"Satisfied &lt;div id = ""video-block-RWWR6WH25LVOO"" class = ""a-section-spacing-small in-spacing-top mini video-block""&gt; &lt;/ div&gt; &lt;input type = ""hidden"" name = """" value = ""https://images-eu.ssl-images-amazon.com/images/I/A1eRpy1-H8S.mp4"" class = ""vide"&amp;"o-url""&gt; &lt;input type = ""hidden"" name = """" value = ""https://images-eu.ssl-images-amazon.com/images/I/91423u9L+3S.png"" class = ""video-slate-img-url""&gt; &amp; nbsp; I never thought that boiling water is beautiful. Easy to clean, put a little vinegar to loo"&amp;"sen the limestone. The kettle is glass, be careful when you bring it or move, even when boiling water when the temperature rises, the glass becomes hotter. It has a screen to see the temperature of the water, as can we even choose the degree of temperatur"&amp;"e, heat preservation, and time to boil water is also very fast, all aspects are very satisfied.")</f>
        <v>Satisfied &lt;div id = "video-block-RWWR6WH25LVOO" class = "a-section-spacing-small in-spacing-top mini video-block"&gt; &lt;/ div&gt; &lt;input type = "hidden" name = "" value = "https://images-eu.ssl-images-amazon.com/images/I/A1eRpy1-H8S.mp4" class = "video-url"&gt; &lt;input type = "hidden" name = "" value = "https://images-eu.ssl-images-amazon.com/images/I/91423u9L+3S.png" class = "video-slate-img-url"&gt; &amp; nbsp; I never thought that boiling water is beautiful. Easy to clean, put a little vinegar to loosen the limestone. The kettle is glass, be careful when you bring it or move, even when boiling water when the temperature rises, the glass becomes hotter. It has a screen to see the temperature of the water, as can we even choose the degree of temperature, heat preservation, and time to boil water is also very fast, all aspects are very satisfied.</v>
      </c>
    </row>
    <row r="5624">
      <c r="A5624" s="1">
        <v>5.0</v>
      </c>
      <c r="B5624" s="1" t="s">
        <v>5551</v>
      </c>
      <c r="C5624" t="str">
        <f>IFERROR(__xludf.DUMMYFUNCTION("GOOGLETRANSLATE(B5624, ""fr"", ""en"")"),"Perfect basic to have in her closet, good quality adapts to any outfit I have at least 4 pairs in different colors")</f>
        <v>Perfect basic to have in her closet, good quality adapts to any outfit I have at least 4 pairs in different colors</v>
      </c>
    </row>
    <row r="5625">
      <c r="A5625" s="1">
        <v>5.0</v>
      </c>
      <c r="B5625" s="1" t="s">
        <v>4637</v>
      </c>
      <c r="C5625" t="str">
        <f>IFERROR(__xludf.DUMMYFUNCTION("GOOGLETRANSLATE(B5625, ""fr"", ""en"")"),"well well")</f>
        <v>well well</v>
      </c>
    </row>
    <row r="5626">
      <c r="A5626" s="1">
        <v>5.0</v>
      </c>
      <c r="B5626" s="1" t="s">
        <v>5552</v>
      </c>
      <c r="C5626" t="str">
        <f>IFERROR(__xludf.DUMMYFUNCTION("GOOGLETRANSLATE(B5626, ""fr"", ""en"")"),"High quality ink The length of the cartridge is variable ....")</f>
        <v>High quality ink The length of the cartridge is variable ....</v>
      </c>
    </row>
    <row r="5627">
      <c r="A5627" s="1">
        <v>5.0</v>
      </c>
      <c r="B5627" s="1" t="s">
        <v>5553</v>
      </c>
      <c r="C5627" t="str">
        <f>IFERROR(__xludf.DUMMYFUNCTION("GOOGLETRANSLATE(B5627, ""fr"", ""en"")"),"Awesome ! Excellent product! Inexpensive and produces a very fine indeed! Ideal for a gift when you're not sure of the tastes of the person!")</f>
        <v>Awesome ! Excellent product! Inexpensive and produces a very fine indeed! Ideal for a gift when you're not sure of the tastes of the person!</v>
      </c>
    </row>
    <row r="5628">
      <c r="A5628" s="1">
        <v>5.0</v>
      </c>
      <c r="B5628" s="1" t="s">
        <v>5554</v>
      </c>
      <c r="C5628" t="str">
        <f>IFERROR(__xludf.DUMMYFUNCTION("GOOGLETRANSLATE(B5628, ""fr"", ""en"")"),"Very satisfied, no complaints! Excellent product.")</f>
        <v>Very satisfied, no complaints! Excellent product.</v>
      </c>
    </row>
    <row r="5629">
      <c r="A5629" s="1">
        <v>5.0</v>
      </c>
      <c r="B5629" s="1" t="s">
        <v>5555</v>
      </c>
      <c r="C5629" t="str">
        <f>IFERROR(__xludf.DUMMYFUNCTION("GOOGLETRANSLATE(B5629, ""fr"", ""en"")"),"Satisfied Quality Cable, very happy with my purchase, no complaints. For the price, there is no better for me.")</f>
        <v>Satisfied Quality Cable, very happy with my purchase, no complaints. For the price, there is no better for me.</v>
      </c>
    </row>
    <row r="5630">
      <c r="A5630" s="1">
        <v>5.0</v>
      </c>
      <c r="B5630" s="1" t="s">
        <v>5556</v>
      </c>
      <c r="C5630" t="str">
        <f>IFERROR(__xludf.DUMMYFUNCTION("GOOGLETRANSLATE(B5630, ""fr"", ""en"")"),"Awesome My ideal companion since their installation, I am no longer bothered by the laces that are settled during my workout and when I have to leave in two two very practical")</f>
        <v>Awesome My ideal companion since their installation, I am no longer bothered by the laces that are settled during my workout and when I have to leave in two two very practical</v>
      </c>
    </row>
    <row r="5631">
      <c r="A5631" s="1">
        <v>5.0</v>
      </c>
      <c r="B5631" s="1" t="s">
        <v>5557</v>
      </c>
      <c r="C5631" t="str">
        <f>IFERROR(__xludf.DUMMYFUNCTION("GOOGLETRANSLATE(B5631, ""fr"", ""en"")"),"Basketball A little too small")</f>
        <v>Basketball A little too small</v>
      </c>
    </row>
    <row r="5632">
      <c r="A5632" s="1">
        <v>5.0</v>
      </c>
      <c r="B5632" s="1" t="s">
        <v>5558</v>
      </c>
      <c r="C5632" t="str">
        <f>IFERROR(__xludf.DUMMYFUNCTION("GOOGLETRANSLATE(B5632, ""fr"", ""en"")"),"perfect perfect")</f>
        <v>perfect perfect</v>
      </c>
    </row>
    <row r="5633">
      <c r="A5633" s="1">
        <v>5.0</v>
      </c>
      <c r="B5633" s="1" t="s">
        <v>5559</v>
      </c>
      <c r="C5633" t="str">
        <f>IFERROR(__xludf.DUMMYFUNCTION("GOOGLETRANSLATE(B5633, ""fr"", ""en"")"),"Magnificent The shoe is very beautiful but a bit small. So I intend to share and reorder 20/20 on beauty")</f>
        <v>Magnificent The shoe is very beautiful but a bit small. So I intend to share and reorder 20/20 on beauty</v>
      </c>
    </row>
    <row r="5634">
      <c r="A5634" s="1">
        <v>5.0</v>
      </c>
      <c r="B5634" s="1" t="s">
        <v>5560</v>
      </c>
      <c r="C5634" t="str">
        <f>IFERROR(__xludf.DUMMYFUNCTION("GOOGLETRANSLATE(B5634, ""fr"", ""en"")"),"Clean ! I just love it ! Since I have not a huge wrist, I was looking for a nice watch and not too big, I found it!")</f>
        <v>Clean ! I just love it ! Since I have not a huge wrist, I was looking for a nice watch and not too big, I found it!</v>
      </c>
    </row>
    <row r="5635">
      <c r="A5635" s="1">
        <v>5.0</v>
      </c>
      <c r="B5635" s="1" t="s">
        <v>5561</v>
      </c>
      <c r="C5635" t="str">
        <f>IFERROR(__xludf.DUMMYFUNCTION("GOOGLETRANSLATE(B5635, ""fr"", ""en"")"),"retro dress Hello I just received the retro dresses. Super happy, waist dress perfectly. I have it is to order my witnesses of my marriage which is about 50 years I ve also ordered the skirt to give volume to the skirt. Excited to be there.")</f>
        <v>retro dress Hello I just received the retro dresses. Super happy, waist dress perfectly. I have it is to order my witnesses of my marriage which is about 50 years I ve also ordered the skirt to give volume to the skirt. Excited to be there.</v>
      </c>
    </row>
    <row r="5636">
      <c r="A5636" s="1">
        <v>5.0</v>
      </c>
      <c r="B5636" s="1" t="s">
        <v>5562</v>
      </c>
      <c r="C5636" t="str">
        <f>IFERROR(__xludf.DUMMYFUNCTION("GOOGLETRANSLATE(B5636, ""fr"", ""en"")"),"great product This double brush is very convenient since it is used both for baby bottles and teats. The ranks brush pacifier is well thought out and hygienic.")</f>
        <v>great product This double brush is very convenient since it is used both for baby bottles and teats. The ranks brush pacifier is well thought out and hygienic.</v>
      </c>
    </row>
    <row r="5637">
      <c r="A5637" s="1">
        <v>2.0</v>
      </c>
      <c r="B5637" s="1" t="s">
        <v>5563</v>
      </c>
      <c r="C5637" t="str">
        <f>IFERROR(__xludf.DUMMYFUNCTION("GOOGLETRANSLATE(B5637, ""fr"", ""en"")"),"Watch impractical article that looks very cheap. The bracelet is made of 2 layers bracelet so it is not very practical and beautiful to wear")</f>
        <v>Watch impractical article that looks very cheap. The bracelet is made of 2 layers bracelet so it is not very practical and beautiful to wear</v>
      </c>
    </row>
    <row r="5638">
      <c r="A5638" s="1">
        <v>1.0</v>
      </c>
      <c r="B5638" s="1" t="s">
        <v>5564</v>
      </c>
      <c r="C5638" t="str">
        <f>IFERROR(__xludf.DUMMYFUNCTION("GOOGLETRANSLATE(B5638, ""fr"", ""en"")"),"Poor unfortunately I return to my comment ... The quality is very poor after having taken less than 3 days is the result. POOR! I do not recommend, it is a pity they are quite nice ... (photo support) a seam that has dropped and the other is doing the sam"&amp;"e.")</f>
        <v>Poor unfortunately I return to my comment ... The quality is very poor after having taken less than 3 days is the result. POOR! I do not recommend, it is a pity they are quite nice ... (photo support) a seam that has dropped and the other is doing the same.</v>
      </c>
    </row>
    <row r="5639">
      <c r="A5639" s="1">
        <v>1.0</v>
      </c>
      <c r="B5639" s="1" t="s">
        <v>5565</v>
      </c>
      <c r="C5639" t="str">
        <f>IFERROR(__xludf.DUMMYFUNCTION("GOOGLETRANSLATE(B5639, ""fr"", ""en"")"),"enders Ensan blue or Scam? This product is nothing worse I bought 15l provided for the port. when I wanted to use in the chemical toilet in my camper I realized that it was colored water no more no less and no effect on the Contents and force of achetté o"&amp;"n my holiday place of real product that was thicker him and to destroy fecal materials and paper. in short a ripoff. do not order more on this site pm")</f>
        <v>enders Ensan blue or Scam? This product is nothing worse I bought 15l provided for the port. when I wanted to use in the chemical toilet in my camper I realized that it was colored water no more no less and no effect on the Contents and force of achetté on my holiday place of real product that was thicker him and to destroy fecal materials and paper. in short a ripoff. do not order more on this site pm</v>
      </c>
    </row>
    <row r="5640">
      <c r="A5640" s="1">
        <v>3.0</v>
      </c>
      <c r="B5640" s="1" t="s">
        <v>5566</v>
      </c>
      <c r="C5640" t="str">
        <f>IFERROR(__xludf.DUMMYFUNCTION("GOOGLETRANSLATE(B5640, ""fr"", ""en"")"),"Well, but see time for strength Received in a very small box rather when compared to the box of micro and suspension received. Obviously at this price you will not have a very professional packaging and the bare minimum in it. The beast consists of two ra"&amp;"ther thin metal arms. It does transpire against by not much cheap and looks solid saw like that. Fixing is by means of a quick clamp, plastic him. It will go frankly and tighten to do more than that moves during rotation of the arm. Remember to put a piec"&amp;"e of cardboard ""very thick"" between the office and the screws if you do not want to damage it because it is metal while the upper part has a soft plastic that protects the desktop. (See photo) The arm does not make noise in movement, a good place for th"&amp;"e price! The springs are discreet as long as you do not touch them. By cons ... Remember to tighten the screws of the arms at the base and elbow, otherwise the microphone will break the mouth. For my part, I support this arm a charge of +/- counting suspe"&amp;"nsion 1Kg + microphone. The famous set screw on the elbow, seems clearly not intended to hold a weight of this type so it will tighten like a madman praying not to break it. For now, it holds! The arm can be left in rotating fashion through its axis which"&amp;" is positioned in the vice, but you can also lock it with a screw. In short, a product for the price clearly does its job and is able to tightly hold strong pro microphone with his suspension. I expected by cons to see how long it will take before going o"&amp;"n a professional arm.")</f>
        <v>Well, but see time for strength Received in a very small box rather when compared to the box of micro and suspension received. Obviously at this price you will not have a very professional packaging and the bare minimum in it. The beast consists of two rather thin metal arms. It does transpire against by not much cheap and looks solid saw like that. Fixing is by means of a quick clamp, plastic him. It will go frankly and tighten to do more than that moves during rotation of the arm. Remember to put a piece of cardboard "very thick" between the office and the screws if you do not want to damage it because it is metal while the upper part has a soft plastic that protects the desktop. (See photo) The arm does not make noise in movement, a good place for the price! The springs are discreet as long as you do not touch them. By cons ... Remember to tighten the screws of the arms at the base and elbow, otherwise the microphone will break the mouth. For my part, I support this arm a charge of +/- counting suspension 1Kg + microphone. The famous set screw on the elbow, seems clearly not intended to hold a weight of this type so it will tighten like a madman praying not to break it. For now, it holds! The arm can be left in rotating fashion through its axis which is positioned in the vice, but you can also lock it with a screw. In short, a product for the price clearly does its job and is able to tightly hold strong pro microphone with his suspension. I expected by cons to see how long it will take before going on a professional arm.</v>
      </c>
    </row>
    <row r="5641">
      <c r="A5641" s="1">
        <v>4.0</v>
      </c>
      <c r="B5641" s="1" t="s">
        <v>5567</v>
      </c>
      <c r="C5641" t="str">
        <f>IFERROR(__xludf.DUMMYFUNCTION("GOOGLETRANSLATE(B5641, ""fr"", ""en"")"),"good pullover sweater but I find very beautiful, but I find not even score LEIF NELSON with model photo even at 19.27 BTW I wonder where is the difference in price doubled, especially as the label LEIF NELSON the pocket is removed in the first wash? then "&amp;"pay double for the product faster I prefer expect this")</f>
        <v>good pullover sweater but I find very beautiful, but I find not even score LEIF NELSON with model photo even at 19.27 BTW I wonder where is the difference in price doubled, especially as the label LEIF NELSON the pocket is removed in the first wash? then pay double for the product faster I prefer expect this</v>
      </c>
    </row>
    <row r="5642">
      <c r="A5642" s="1">
        <v>4.0</v>
      </c>
      <c r="B5642" s="1" t="s">
        <v>5568</v>
      </c>
      <c r="C5642" t="str">
        <f>IFERROR(__xludf.DUMMYFUNCTION("GOOGLETRANSLATE(B5642, ""fr"", ""en"")"),"COMFORTABLE VERY GOOD PRODUCT; ALREADY MADE MANY MARKETS NO PROBLEM - COMFORTABLE")</f>
        <v>COMFORTABLE VERY GOOD PRODUCT; ALREADY MADE MANY MARKETS NO PROBLEM - COMFORTABLE</v>
      </c>
    </row>
    <row r="5643">
      <c r="A5643" s="1">
        <v>4.0</v>
      </c>
      <c r="B5643" s="1" t="s">
        <v>5569</v>
      </c>
      <c r="C5643" t="str">
        <f>IFERROR(__xludf.DUMMYFUNCTION("GOOGLETRANSLATE(B5643, ""fr"", ""en"")"),"Globe This product meets my expectations, receive the package, as always the world, one eye-catching design, and impeccable condition. I think just having a doubt about the size but for those one who will order in the future, your relative size is the sam"&amp;"e with the order size, no problem, here and little more even if we would like more to promote Sticker Globe brand, I recommend hi to everyone")</f>
        <v>Globe This product meets my expectations, receive the package, as always the world, one eye-catching design, and impeccable condition. I think just having a doubt about the size but for those one who will order in the future, your relative size is the same with the order size, no problem, here and little more even if we would like more to promote Sticker Globe brand, I recommend hi to everyone</v>
      </c>
    </row>
    <row r="5644">
      <c r="A5644" s="1">
        <v>4.0</v>
      </c>
      <c r="B5644" s="1" t="s">
        <v>5570</v>
      </c>
      <c r="C5644" t="str">
        <f>IFERROR(__xludf.DUMMYFUNCTION("GOOGLETRANSLATE(B5644, ""fr"", ""en"")"),"Sound quality Sound quality is at the rendezvous, although I do not pretend to have a music expert hearing. The bass is very present, which is not a surprise (it's in the product name) = to have in mind in choosing this helmet. Wearing comfortable. Loss o"&amp;"f a star for the presence of a single button on the remote control; the proposed application for Android Phone by Sony did not convince me to use (on a Galaxy S7, using Poweramp as reading software)")</f>
        <v>Sound quality Sound quality is at the rendezvous, although I do not pretend to have a music expert hearing. The bass is very present, which is not a surprise (it's in the product name) = to have in mind in choosing this helmet. Wearing comfortable. Loss of a star for the presence of a single button on the remote control; the proposed application for Android Phone by Sony did not convince me to use (on a Galaxy S7, using Poweramp as reading software)</v>
      </c>
    </row>
    <row r="5645">
      <c r="A5645" s="1">
        <v>4.0</v>
      </c>
      <c r="B5645" s="1" t="s">
        <v>5571</v>
      </c>
      <c r="C5645" t="str">
        <f>IFERROR(__xludf.DUMMYFUNCTION("GOOGLETRANSLATE(B5645, ""fr"", ""en"")"),"Very satisfied pleasant warmth I am a happy sleeper Very nice under the bed sheet (I have a foldable bz), better than a sleeping pill the enveloping warmth. Heater fast enough, relax tense muscles. Small side aphrodisiac. The heat comes when you are lying"&amp;" in hand without being on the sheet we feel it less. Essential automatic shutdown after three hours.")</f>
        <v>Very satisfied pleasant warmth I am a happy sleeper Very nice under the bed sheet (I have a foldable bz), better than a sleeping pill the enveloping warmth. Heater fast enough, relax tense muscles. Small side aphrodisiac. The heat comes when you are lying in hand without being on the sheet we feel it less. Essential automatic shutdown after three hours.</v>
      </c>
    </row>
    <row r="5646">
      <c r="A5646" s="1">
        <v>5.0</v>
      </c>
      <c r="B5646" s="1" t="s">
        <v>5572</v>
      </c>
      <c r="C5646" t="str">
        <f>IFERROR(__xludf.DUMMYFUNCTION("GOOGLETRANSLATE(B5646, ""fr"", ""en"")"),"Indispensable Awesome !! Bcp cheaper than on site vans, received very quickly is a basic always have in your shoe closet. I have washed several times in the machine, it does not move too much. I recommend !")</f>
        <v>Indispensable Awesome !! Bcp cheaper than on site vans, received very quickly is a basic always have in your shoe closet. I have washed several times in the machine, it does not move too much. I recommend !</v>
      </c>
    </row>
    <row r="5647">
      <c r="A5647" s="1">
        <v>5.0</v>
      </c>
      <c r="B5647" s="1" t="s">
        <v>5573</v>
      </c>
      <c r="C5647" t="str">
        <f>IFERROR(__xludf.DUMMYFUNCTION("GOOGLETRANSLATE(B5647, ""fr"", ""en"")"),"nothing ❤️❤️❤️")</f>
        <v>nothing ❤️❤️❤️</v>
      </c>
    </row>
    <row r="5648">
      <c r="A5648" s="1">
        <v>5.0</v>
      </c>
      <c r="B5648" s="1" t="s">
        <v>5574</v>
      </c>
      <c r="C5648" t="str">
        <f>IFERROR(__xludf.DUMMYFUNCTION("GOOGLETRANSLATE(B5648, ""fr"", ""en"")"),"Very good pair satisfied")</f>
        <v>Very good pair satisfied</v>
      </c>
    </row>
    <row r="5649">
      <c r="A5649" s="1">
        <v>5.0</v>
      </c>
      <c r="B5649" s="1" t="s">
        <v>5575</v>
      </c>
      <c r="C5649" t="str">
        <f>IFERROR(__xludf.DUMMYFUNCTION("GOOGLETRANSLATE(B5649, ""fr"", ""en"")"),"Vintage and Modern This is what I needed, it is lightweight, flexible and offers lots of storage without being too large, a good choice for me I do not regret.")</f>
        <v>Vintage and Modern This is what I needed, it is lightweight, flexible and offers lots of storage without being too large, a good choice for me I do not regret.</v>
      </c>
    </row>
    <row r="5650">
      <c r="A5650" s="1">
        <v>5.0</v>
      </c>
      <c r="B5650" s="1" t="s">
        <v>5576</v>
      </c>
      <c r="C5650" t="str">
        <f>IFERROR(__xludf.DUMMYFUNCTION("GOOGLETRANSLATE(B5650, ""fr"", ""en"")"),"Good buy Product in accordance with the description. Effective.")</f>
        <v>Good buy Product in accordance with the description. Effective.</v>
      </c>
    </row>
    <row r="5651">
      <c r="A5651" s="1">
        <v>5.0</v>
      </c>
      <c r="B5651" s="1" t="s">
        <v>5577</v>
      </c>
      <c r="C5651" t="str">
        <f>IFERROR(__xludf.DUMMYFUNCTION("GOOGLETRANSLATE(B5651, ""fr"", ""en"")"),"comfortable I put M normally and I ordered this sweater size S. It is the right size for me. comfortable and the color is great material. I really like.")</f>
        <v>comfortable I put M normally and I ordered this sweater size S. It is the right size for me. comfortable and the color is great material. I really like.</v>
      </c>
    </row>
    <row r="5652">
      <c r="A5652" s="1">
        <v>5.0</v>
      </c>
      <c r="B5652" s="1" t="s">
        <v>5578</v>
      </c>
      <c r="C5652" t="str">
        <f>IFERROR(__xludf.DUMMYFUNCTION("GOOGLETRANSLATE(B5652, ""fr"", ""en"")"),"Impeccable Although packed, delivered quickly ... Nothing to say. Compact and lightweight. Pity She's just splash-proof and not completely submersible as identical models in black PVC and the other steel everything.")</f>
        <v>Impeccable Although packed, delivered quickly ... Nothing to say. Compact and lightweight. Pity She's just splash-proof and not completely submersible as identical models in black PVC and the other steel everything.</v>
      </c>
    </row>
    <row r="5653">
      <c r="A5653" s="1">
        <v>5.0</v>
      </c>
      <c r="B5653" s="1" t="s">
        <v>5579</v>
      </c>
      <c r="C5653" t="str">
        <f>IFERROR(__xludf.DUMMYFUNCTION("GOOGLETRANSLATE(B5653, ""fr"", ""en"")"),"Very happy very happy, I used regularly to make reiki treatment. Easy to use. Received quickly.")</f>
        <v>Very happy very happy, I used regularly to make reiki treatment. Easy to use. Received quickly.</v>
      </c>
    </row>
    <row r="5654">
      <c r="A5654" s="1">
        <v>5.0</v>
      </c>
      <c r="B5654" s="1" t="s">
        <v>5580</v>
      </c>
      <c r="C5654" t="str">
        <f>IFERROR(__xludf.DUMMYFUNCTION("GOOGLETRANSLATE(B5654, ""fr"", ""en"")"),"very pleasant to wear and easy to use headphones connected to my as carefree and connected to my desktop computer via a USB Bluetooth key. No problem of pairings. Device convenient and cheap")</f>
        <v>very pleasant to wear and easy to use headphones connected to my as carefree and connected to my desktop computer via a USB Bluetooth key. No problem of pairings. Device convenient and cheap</v>
      </c>
    </row>
    <row r="5655">
      <c r="A5655" s="1">
        <v>5.0</v>
      </c>
      <c r="B5655" s="1" t="s">
        <v>5581</v>
      </c>
      <c r="C5655" t="str">
        <f>IFERROR(__xludf.DUMMYFUNCTION("GOOGLETRANSLATE(B5655, ""fr"", ""en"")"),"Very pleasant!! Working every day from a computer, I needed something to ease my back muscles and neck. So I opted for this cushion and I am very happy. Very practical because you just have to plug it into an outlet to make it work, just to position at th"&amp;"e desired location, press ON and voila :) It relaxes the muscles really well (especially the neck, the feel is really nice). It is rather small and emits a little strong, so I'm using it at home but also at work, not a problem at all for others! I feel th"&amp;"at I will not leave it;) the must: be used by heating massage function (for the winter it should be awesome)")</f>
        <v>Very pleasant!! Working every day from a computer, I needed something to ease my back muscles and neck. So I opted for this cushion and I am very happy. Very practical because you just have to plug it into an outlet to make it work, just to position at the desired location, press ON and voila :) It relaxes the muscles really well (especially the neck, the feel is really nice). It is rather small and emits a little strong, so I'm using it at home but also at work, not a problem at all for others! I feel that I will not leave it;) the must: be used by heating massage function (for the winter it should be awesome)</v>
      </c>
    </row>
    <row r="5656">
      <c r="A5656" s="1">
        <v>5.0</v>
      </c>
      <c r="B5656" s="1" t="s">
        <v>5582</v>
      </c>
      <c r="C5656" t="str">
        <f>IFERROR(__xludf.DUMMYFUNCTION("GOOGLETRANSLATE(B5656, ""fr"", ""en"")"),"Tested and approved, I recommend! Hello, Like everyone, we must centralize our food waste to transfer to municipal collectors. Having tested many products for years to find the one that suits me, I give you my opinion: Highlights; - It is really durable a"&amp;"nd waterproof, tired of taking out the trash that leaves fuiter liquid :) - It is convenient for those sliding handles, pulling over and everything comes;) - There is really not much at all - &amp; gt; 0.37 cents a bag;) Cons: - For a bin height 50l, the bag "&amp;"is not going to the bottom, so empty the early;) Finally, I take the last 5 years, I have tested else more to compare and I always take back that one. Not perfect but surely effective well;)")</f>
        <v>Tested and approved, I recommend! Hello, Like everyone, we must centralize our food waste to transfer to municipal collectors. Having tested many products for years to find the one that suits me, I give you my opinion: Highlights; - It is really durable and waterproof, tired of taking out the trash that leaves fuiter liquid :) - It is convenient for those sliding handles, pulling over and everything comes;) - There is really not much at all - &amp; gt; 0.37 cents a bag;) Cons: - For a bin height 50l, the bag is not going to the bottom, so empty the early;) Finally, I take the last 5 years, I have tested else more to compare and I always take back that one. Not perfect but surely effective well;)</v>
      </c>
    </row>
    <row r="5657">
      <c r="A5657" s="1">
        <v>5.0</v>
      </c>
      <c r="B5657" s="1" t="s">
        <v>5583</v>
      </c>
      <c r="C5657" t="str">
        <f>IFERROR(__xludf.DUMMYFUNCTION("GOOGLETRANSLATE(B5657, ""fr"", ""en"")"),"Perfect !!!!!!! Very nice watch that appealed course and still happy for the price in any case significantly cheaper than jewelry, but the quality is and that's fine. I recommend")</f>
        <v>Perfect !!!!!!! Very nice watch that appealed course and still happy for the price in any case significantly cheaper than jewelry, but the quality is and that's fine. I recommend</v>
      </c>
    </row>
    <row r="5658">
      <c r="A5658" s="1">
        <v>5.0</v>
      </c>
      <c r="B5658" s="1" t="s">
        <v>5584</v>
      </c>
      <c r="C5658" t="str">
        <f>IFERROR(__xludf.DUMMYFUNCTION("GOOGLETRANSLATE(B5658, ""fr"", ""en"")"),"fast delivery the famous classic paper Armeni, it smells too good at home !!! better now than incense. fast delivery what pleases")</f>
        <v>fast delivery the famous classic paper Armeni, it smells too good at home !!! better now than incense. fast delivery what pleases</v>
      </c>
    </row>
    <row r="5659">
      <c r="A5659" s="1">
        <v>5.0</v>
      </c>
      <c r="B5659" s="1" t="s">
        <v>5585</v>
      </c>
      <c r="C5659" t="str">
        <f>IFERROR(__xludf.DUMMYFUNCTION("GOOGLETRANSLATE(B5659, ""fr"", ""en"")"),"Canon CLI-551 C-M-Y-BK Multipack - 4 Pack This article is consistent with the description, it's therefore a great value canon. I recommend for quality as compatible are questionable. Only downside the price.")</f>
        <v>Canon CLI-551 C-M-Y-BK Multipack - 4 Pack This article is consistent with the description, it's therefore a great value canon. I recommend for quality as compatible are questionable. Only downside the price.</v>
      </c>
    </row>
    <row r="5660">
      <c r="A5660" s="1">
        <v>5.0</v>
      </c>
      <c r="B5660" s="1" t="s">
        <v>5586</v>
      </c>
      <c r="C5660" t="str">
        <f>IFERROR(__xludf.DUMMYFUNCTION("GOOGLETRANSLATE(B5660, ""fr"", ""en"")"),"Good quality very nice helmet, strong, with a good sound.")</f>
        <v>Good quality very nice helmet, strong, with a good sound.</v>
      </c>
    </row>
    <row r="5661">
      <c r="A5661" s="1">
        <v>2.0</v>
      </c>
      <c r="B5661" s="1" t="s">
        <v>5587</v>
      </c>
      <c r="C5661" t="str">
        <f>IFERROR(__xludf.DUMMYFUNCTION("GOOGLETRANSLATE(B5661, ""fr"", ""en"")"),"Poor value quality sole prix.La has quickly peeled off the front of the vinyl chaussure.Le very badly aged.")</f>
        <v>Poor value quality sole prix.La has quickly peeled off the front of the vinyl chaussure.Le very badly aged.</v>
      </c>
    </row>
    <row r="5662">
      <c r="A5662" s="1">
        <v>1.0</v>
      </c>
      <c r="B5662" s="1" t="s">
        <v>5588</v>
      </c>
      <c r="C5662" t="str">
        <f>IFERROR(__xludf.DUMMYFUNCTION("GOOGLETRANSLATE(B5662, ""fr"", ""en"")"),"Huge disappointment frankly disappointed. The device is out after only 3 months of use (not infuses more). I contacted the brand of service that directs me to a repairman who is not even on me to change the room. From the comments on the web, this is a ve"&amp;"ry common failure. I recommend this product.")</f>
        <v>Huge disappointment frankly disappointed. The device is out after only 3 months of use (not infuses more). I contacted the brand of service that directs me to a repairman who is not even on me to change the room. From the comments on the web, this is a very common failure. I recommend this product.</v>
      </c>
    </row>
    <row r="5663">
      <c r="A5663" s="1">
        <v>3.0</v>
      </c>
      <c r="B5663" s="1" t="s">
        <v>5589</v>
      </c>
      <c r="C5663" t="str">
        <f>IFERROR(__xludf.DUMMYFUNCTION("GOOGLETRANSLATE(B5663, ""fr"", ""en"")"),"Good product size a bit small. Cord hood fine. A tendency to pill quickly. Very nice aesthetically. The black bars are a bit plastic and are not very flexible and I'm afraid they deteriorate over the washes. Tien however rather warm and is gentle enough i"&amp;"nside.")</f>
        <v>Good product size a bit small. Cord hood fine. A tendency to pill quickly. Very nice aesthetically. The black bars are a bit plastic and are not very flexible and I'm afraid they deteriorate over the washes. Tien however rather warm and is gentle enough inside.</v>
      </c>
    </row>
    <row r="5664">
      <c r="A5664" s="1">
        <v>3.0</v>
      </c>
      <c r="B5664" s="1" t="s">
        <v>5590</v>
      </c>
      <c r="C5664" t="str">
        <f>IFERROR(__xludf.DUMMYFUNCTION("GOOGLETRANSLATE(B5664, ""fr"", ""en"")"),"Teats 3 holes and not four ... I know long Avent nipples, because I'm used it for my 2 children in relay of breastfeeding without any problem. So I recommend these teats, however I was looking to buy large flow teats (4 holes) and those delivered have onl"&amp;"y 3 short .... this is not what I wanted ..")</f>
        <v>Teats 3 holes and not four ... I know long Avent nipples, because I'm used it for my 2 children in relay of breastfeeding without any problem. So I recommend these teats, however I was looking to buy large flow teats (4 holes) and those delivered have only 3 short .... this is not what I wanted ..</v>
      </c>
    </row>
    <row r="5665">
      <c r="A5665" s="1">
        <v>4.0</v>
      </c>
      <c r="B5665" s="1" t="s">
        <v>5591</v>
      </c>
      <c r="C5665" t="str">
        <f>IFERROR(__xludf.DUMMYFUNCTION("GOOGLETRANSLATE(B5665, ""fr"", ""en"")"),"cor has my research right, the description is quite Serves both hot and cold ... I highly recommend to those like me who works at night")</f>
        <v>cor has my research right, the description is quite Serves both hot and cold ... I highly recommend to those like me who works at night</v>
      </c>
    </row>
    <row r="5666">
      <c r="A5666" s="1">
        <v>4.0</v>
      </c>
      <c r="B5666" s="1" t="s">
        <v>5592</v>
      </c>
      <c r="C5666" t="str">
        <f>IFERROR(__xludf.DUMMYFUNCTION("GOOGLETRANSLATE(B5666, ""fr"", ""en"")"),"I recommend I was surprised by the beautiful colors of the felt and the effect it made on paper cartoning black. For cons, the blue felt quickly lost it color and silver emerged. Otherwise, nothing to say.")</f>
        <v>I recommend I was surprised by the beautiful colors of the felt and the effect it made on paper cartoning black. For cons, the blue felt quickly lost it color and silver emerged. Otherwise, nothing to say.</v>
      </c>
    </row>
    <row r="5667">
      <c r="A5667" s="1">
        <v>4.0</v>
      </c>
      <c r="B5667" s="1" t="s">
        <v>5593</v>
      </c>
      <c r="C5667" t="str">
        <f>IFERROR(__xludf.DUMMYFUNCTION("GOOGLETRANSLATE(B5667, ""fr"", ""en"")"),"Decoupe contour fit poorly Ras")</f>
        <v>Decoupe contour fit poorly Ras</v>
      </c>
    </row>
    <row r="5668">
      <c r="A5668" s="1">
        <v>4.0</v>
      </c>
      <c r="B5668" s="1" t="s">
        <v>5594</v>
      </c>
      <c r="C5668" t="str">
        <f>IFERROR(__xludf.DUMMYFUNCTION("GOOGLETRANSLATE(B5668, ""fr"", ""en"")"),"Ideal for students very useful bag, light, I do not know if it is against raincoat? Otherwise quality Eastpak bag")</f>
        <v>Ideal for students very useful bag, light, I do not know if it is against raincoat? Otherwise quality Eastpak bag</v>
      </c>
    </row>
    <row r="5669">
      <c r="A5669" s="1">
        <v>5.0</v>
      </c>
      <c r="B5669" s="1" t="s">
        <v>5595</v>
      </c>
      <c r="C5669" t="str">
        <f>IFERROR(__xludf.DUMMYFUNCTION("GOOGLETRANSLATE(B5669, ""fr"", ""en"")"),"Jolie basketball I'm happy with my purchase, very nice sneakers. Take one size bigger. I recommend")</f>
        <v>Jolie basketball I'm happy with my purchase, very nice sneakers. Take one size bigger. I recommend</v>
      </c>
    </row>
    <row r="5670">
      <c r="A5670" s="1">
        <v>5.0</v>
      </c>
      <c r="B5670" s="1" t="s">
        <v>5596</v>
      </c>
      <c r="C5670" t="str">
        <f>IFERROR(__xludf.DUMMYFUNCTION("GOOGLETRANSLATE(B5670, ""fr"", ""en"")"),"Good teat in the relay After trying other brands not accepted by baby (who used the breast), he immediately drank with this pacifier!")</f>
        <v>Good teat in the relay After trying other brands not accepted by baby (who used the breast), he immediately drank with this pacifier!</v>
      </c>
    </row>
    <row r="5671">
      <c r="A5671" s="1">
        <v>5.0</v>
      </c>
      <c r="B5671" s="1" t="s">
        <v>5597</v>
      </c>
      <c r="C5671" t="str">
        <f>IFERROR(__xludf.DUMMYFUNCTION("GOOGLETRANSLATE(B5671, ""fr"", ""en"")"),"Very nice, good apparent quality beautiful, blue stone is even more beautiful than the picture, not as dark. Very satisfied, I recommend this product and seller.")</f>
        <v>Very nice, good apparent quality beautiful, blue stone is even more beautiful than the picture, not as dark. Very satisfied, I recommend this product and seller.</v>
      </c>
    </row>
    <row r="5672">
      <c r="A5672" s="1">
        <v>5.0</v>
      </c>
      <c r="B5672" s="1" t="s">
        <v>5598</v>
      </c>
      <c r="C5672" t="str">
        <f>IFERROR(__xludf.DUMMYFUNCTION("GOOGLETRANSLATE(B5672, ""fr"", ""en"")"),"Very good good good quality brand")</f>
        <v>Very good good good quality brand</v>
      </c>
    </row>
    <row r="5673">
      <c r="A5673" s="1">
        <v>5.0</v>
      </c>
      <c r="B5673" s="1" t="s">
        <v>5599</v>
      </c>
      <c r="C5673" t="str">
        <f>IFERROR(__xludf.DUMMYFUNCTION("GOOGLETRANSLATE(B5673, ""fr"", ""en"")"),"Congratulations Speed ​​and quality thank you")</f>
        <v>Congratulations Speed ​​and quality thank you</v>
      </c>
    </row>
    <row r="5674">
      <c r="A5674" s="1">
        <v>5.0</v>
      </c>
      <c r="B5674" s="1" t="s">
        <v>5600</v>
      </c>
      <c r="C5674" t="str">
        <f>IFERROR(__xludf.DUMMYFUNCTION("GOOGLETRANSLATE(B5674, ""fr"", ""en"")"),"Satisfied with my purchase Good product, good quality")</f>
        <v>Satisfied with my purchase Good product, good quality</v>
      </c>
    </row>
    <row r="5675">
      <c r="A5675" s="1">
        <v>5.0</v>
      </c>
      <c r="B5675" s="1" t="s">
        <v>5601</v>
      </c>
      <c r="C5675" t="str">
        <f>IFERROR(__xludf.DUMMYFUNCTION("GOOGLETRANSLATE(B5675, ""fr"", ""en"")"),"O top Very good product frankly better than expected")</f>
        <v>O top Very good product frankly better than expected</v>
      </c>
    </row>
    <row r="5676">
      <c r="A5676" s="1">
        <v>5.0</v>
      </c>
      <c r="B5676" s="1" t="s">
        <v>5602</v>
      </c>
      <c r="C5676" t="str">
        <f>IFERROR(__xludf.DUMMYFUNCTION("GOOGLETRANSLATE(B5676, ""fr"", ""en"")"),"Satisfied Good little diffuser works perfectly. If husband well with our decor")</f>
        <v>Satisfied Good little diffuser works perfectly. If husband well with our decor</v>
      </c>
    </row>
    <row r="5677">
      <c r="A5677" s="1">
        <v>5.0</v>
      </c>
      <c r="B5677" s="1" t="s">
        <v>4637</v>
      </c>
      <c r="C5677" t="str">
        <f>IFERROR(__xludf.DUMMYFUNCTION("GOOGLETRANSLATE(B5677, ""fr"", ""en"")"),"well well")</f>
        <v>well well</v>
      </c>
    </row>
    <row r="5678">
      <c r="A5678" s="1">
        <v>5.0</v>
      </c>
      <c r="B5678" s="1" t="s">
        <v>5603</v>
      </c>
      <c r="C5678" t="str">
        <f>IFERROR(__xludf.DUMMYFUNCTION("GOOGLETRANSLATE(B5678, ""fr"", ""en"")"),"Surprising that bone conduction headphones Nice find this bluetooth headset bone conduction. Surprising to listen to his music while having ears free. The object is of very good quality and really good sound. I use to listen to podcasts standby while work"&amp;"ing at home to keep an ear on my kids I student home office :-). No baby noise and a dad who stays alert!")</f>
        <v>Surprising that bone conduction headphones Nice find this bluetooth headset bone conduction. Surprising to listen to his music while having ears free. The object is of very good quality and really good sound. I use to listen to podcasts standby while working at home to keep an ear on my kids I student home office :-). No baby noise and a dad who stays alert!</v>
      </c>
    </row>
    <row r="5679">
      <c r="A5679" s="1">
        <v>5.0</v>
      </c>
      <c r="B5679" s="1" t="s">
        <v>5604</v>
      </c>
      <c r="C5679" t="str">
        <f>IFERROR(__xludf.DUMMYFUNCTION("GOOGLETRANSLATE(B5679, ""fr"", ""en"")"),"SIZE 41 porter..légères was nice and very comfortable. easy to clean. personally I've treated with waterproofing bomb. I recommend")</f>
        <v>SIZE 41 porter..légères was nice and very comfortable. easy to clean. personally I've treated with waterproofing bomb. I recommend</v>
      </c>
    </row>
    <row r="5680">
      <c r="A5680" s="1">
        <v>5.0</v>
      </c>
      <c r="B5680" s="1" t="s">
        <v>5605</v>
      </c>
      <c r="C5680" t="str">
        <f>IFERROR(__xludf.DUMMYFUNCTION("GOOGLETRANSLATE(B5680, ""fr"", ""en"")"),"comfort backpack that is comfortable, not too big, the model is in the news this bag is practical for the little things to carry, wallet, identification papers ect personally I added a small padlock on the zipper, for peace of mind when the bag is positio"&amp;"ned in the back.")</f>
        <v>comfort backpack that is comfortable, not too big, the model is in the news this bag is practical for the little things to carry, wallet, identification papers ect personally I added a small padlock on the zipper, for peace of mind when the bag is positioned in the back.</v>
      </c>
    </row>
    <row r="5681">
      <c r="A5681" s="1">
        <v>5.0</v>
      </c>
      <c r="B5681" s="1" t="s">
        <v>5606</v>
      </c>
      <c r="C5681" t="str">
        <f>IFERROR(__xludf.DUMMYFUNCTION("GOOGLETRANSLATE(B5681, ""fr"", ""en"")"),"The color, laces. In the top ! Too handsome. It was a gift. It was appreciated.")</f>
        <v>The color, laces. In the top ! Too handsome. It was a gift. It was appreciated.</v>
      </c>
    </row>
    <row r="5682">
      <c r="A5682" s="1">
        <v>5.0</v>
      </c>
      <c r="B5682" s="1" t="s">
        <v>5607</v>
      </c>
      <c r="C5682" t="str">
        <f>IFERROR(__xludf.DUMMYFUNCTION("GOOGLETRANSLATE(B5682, ""fr"", ""en"")"),"Heats quickly I use it to my unheated dishwater needs to cast water unnecessarily")</f>
        <v>Heats quickly I use it to my unheated dishwater needs to cast water unnecessarily</v>
      </c>
    </row>
    <row r="5683">
      <c r="A5683" s="1">
        <v>5.0</v>
      </c>
      <c r="B5683" s="1" t="s">
        <v>5608</v>
      </c>
      <c r="C5683" t="str">
        <f>IFERROR(__xludf.DUMMYFUNCTION("GOOGLETRANSLATE(B5683, ""fr"", ""en"")"),"Very nice quality When you receive your product, you already know that you did not make a mistake. The packaging is of good quality. And the brush? Also !!! Product very neat with its small storage pouch, the brush is very good job. She made a second life"&amp;" to many of my leather shoes. Recommended product !!!")</f>
        <v>Very nice quality When you receive your product, you already know that you did not make a mistake. The packaging is of good quality. And the brush? Also !!! Product very neat with its small storage pouch, the brush is very good job. She made a second life to many of my leather shoes. Recommended product !!!</v>
      </c>
    </row>
    <row r="5684">
      <c r="A5684" s="1">
        <v>2.0</v>
      </c>
      <c r="B5684" s="1" t="s">
        <v>5609</v>
      </c>
      <c r="C5684" t="str">
        <f>IFERROR(__xludf.DUMMYFUNCTION("GOOGLETRANSLATE(B5684, ""fr"", ""en"")"),"Average quality Average quality doubts about the duration")</f>
        <v>Average quality Average quality doubts about the duration</v>
      </c>
    </row>
    <row r="5685">
      <c r="A5685" s="1">
        <v>1.0</v>
      </c>
      <c r="B5685" s="1" t="s">
        <v>5610</v>
      </c>
      <c r="C5685" t="str">
        <f>IFERROR(__xludf.DUMMYFUNCTION("GOOGLETRANSLATE(B5685, ""fr"", ""en"")"),"903 XL cartridge Hewlett Packard // I just bought a Hewlett Packard 6970 printer Jetpro. I'm especially not a professional and I do occasionally use my printer / I am now forced black cartridges (XL 903), so-called XL, every 15 days !!! (I had a gun befor"&amp;"e and it was only every 2 months ...) cartridges cost a fortune! I highly recommend this product!")</f>
        <v>903 XL cartridge Hewlett Packard // I just bought a Hewlett Packard 6970 printer Jetpro. I'm especially not a professional and I do occasionally use my printer / I am now forced black cartridges (XL 903), so-called XL, every 15 days !!! (I had a gun before and it was only every 2 months ...) cartridges cost a fortune! I highly recommend this product!</v>
      </c>
    </row>
    <row r="5686">
      <c r="A5686" s="1">
        <v>1.0</v>
      </c>
      <c r="B5686" s="1" t="s">
        <v>5611</v>
      </c>
      <c r="C5686" t="str">
        <f>IFERROR(__xludf.DUMMYFUNCTION("GOOGLETRANSLATE(B5686, ""fr"", ""en"")"),"Very disappointed I bought my VideoMic Pro and a Chinese Deadcat cheap at the same time. When there is a lot of wind, you can hear a bit in the recording. So I thought it was normal to pay 20 balls for the original naively thinking that it would be more e"&amp;"fficient than the Chinese copy. Well no ! The original is the WORST Chinese copy cheapest half! If I put a star is because the original donned and removed much more easily than the Chinese copy. Suffice to say that no stars it was the same ... Yes, very d"&amp;"isappointed. Besides, I'm going to buy cotton socks. For micro eh, not me!")</f>
        <v>Very disappointed I bought my VideoMic Pro and a Chinese Deadcat cheap at the same time. When there is a lot of wind, you can hear a bit in the recording. So I thought it was normal to pay 20 balls for the original naively thinking that it would be more efficient than the Chinese copy. Well no ! The original is the WORST Chinese copy cheapest half! If I put a star is because the original donned and removed much more easily than the Chinese copy. Suffice to say that no stars it was the same ... Yes, very disappointed. Besides, I'm going to buy cotton socks. For micro eh, not me!</v>
      </c>
    </row>
    <row r="5687">
      <c r="A5687" s="1">
        <v>3.0</v>
      </c>
      <c r="B5687" s="1" t="s">
        <v>5612</v>
      </c>
      <c r="C5687" t="str">
        <f>IFERROR(__xludf.DUMMYFUNCTION("GOOGLETRANSLATE(B5687, ""fr"", ""en"")"),"It's small and light 2 weeks I've received and I'm pretty satisfied. Although less bulky than the circum-ear headphones with headband that I also have (MPOW P59), it also keeps me cooler since the headphones are inputs that slip into the hole in your ear!"&amp;" With 4 pairs of rubber protègeant the input and 3 pairs of ""wings"" to keep them in place in the pavilion: this should be suitable for the largest number of users (I helped myself to the photo in the description of product to learn how to be installed t"&amp;"hese ""wings"" because there is no explanation in this regard, in the small enclosed leaflet, just how to pair with your smartphone / tablet's). These ""wings"" do not interfere with wearing these bluetooth earphone; not practicing running, I do not know "&amp;"how it behaves when playing sports! Certainly the scorching temperatures of recent days, we are sweating but I doubt that's enough to really confirm its ability to withstand water! Otherwise, I had no problem to pair (connect) whether my smartphone or my "&amp;"tablet: it happened in seconds, I do not even need to enter the code default given in the manual. The sound quality is rather the appointment: correct, not too sharp or too serious, not need too much or increase the volume for music, watch a movie or list"&amp;"en to his party during a call! By cons, our house is quite small (75m2) and old, the walls are brick: yet, unlike its big brother hoop when I change room (I'll be about 4-5m my smartphone), the helmet loses fast enough bluetooth touch! And even ends disco"&amp;"nnect to reconnect all alone as I get closer! Finally, about 2 1 times. I consider autonomy in about 6 to 8; it recharges in about 1:30 (mine had 80% charge when I received it!). Micro difference with the other: the LED will be white in operation, white a"&amp;"nd orange to pair orange when in charge while I was accustomed to blue! I quibble as this does not interfere with. The small clip to slide along the cable is useful to keep it up for me, it is close to the triple-control buttons switch, so I did not try. "&amp;"1 button to increase the volume and to lower the 1: If you hold down the seconds Either you progress or move backward the track. The middle button is used to turn on or off the headphones, pause or play music or movie. A female voice indicated to you in w"&amp;"hat state the headset, in English. If you turn Bluetooth on the smartphone / tablet, the headset will turn itself off within 5 to 10 minutes. The USB port for charging, is protected by a small flap (open gently to avoid the risk of tearing): this is the m"&amp;"icro USB. It is strongly recommended NOT to use charger with an intensity greater than 5V at the risk of overheating or fire (this is indicated on the charging cable supplied with!). Personally, I use the charger of a smartphone and turns the LED to monit"&amp;"or the charging time! You will also have a small rigid comes with to store your headphones and cable sheath (side netting in the cover to slide it). I recommend this product to value price more than correct (in my order, I had a good 2 € discount, it's al"&amp;"ways fun ;-))")</f>
        <v>It's small and light 2 weeks I've received and I'm pretty satisfied. Although less bulky than the circum-ear headphones with headband that I also have (MPOW P59), it also keeps me cooler since the headphones are inputs that slip into the hole in your ear! With 4 pairs of rubber protègeant the input and 3 pairs of "wings" to keep them in place in the pavilion: this should be suitable for the largest number of users (I helped myself to the photo in the description of product to learn how to be installed these "wings" because there is no explanation in this regard, in the small enclosed leaflet, just how to pair with your smartphone / tablet's). These "wings" do not interfere with wearing these bluetooth earphone; not practicing running, I do not know how it behaves when playing sports! Certainly the scorching temperatures of recent days, we are sweating but I doubt that's enough to really confirm its ability to withstand water! Otherwise, I had no problem to pair (connect) whether my smartphone or my tablet: it happened in seconds, I do not even need to enter the code default given in the manual. The sound quality is rather the appointment: correct, not too sharp or too serious, not need too much or increase the volume for music, watch a movie or listen to his party during a call! By cons, our house is quite small (75m2) and old, the walls are brick: yet, unlike its big brother hoop when I change room (I'll be about 4-5m my smartphone), the helmet loses fast enough bluetooth touch! And even ends disconnect to reconnect all alone as I get closer! Finally, about 2 1 times. I consider autonomy in about 6 to 8; it recharges in about 1:30 (mine had 80% charge when I received it!). Micro difference with the other: the LED will be white in operation, white and orange to pair orange when in charge while I was accustomed to blue! I quibble as this does not interfere with. The small clip to slide along the cable is useful to keep it up for me, it is close to the triple-control buttons switch, so I did not try. 1 button to increase the volume and to lower the 1: If you hold down the seconds Either you progress or move backward the track. The middle button is used to turn on or off the headphones, pause or play music or movie. A female voice indicated to you in what state the headset, in English. If you turn Bluetooth on the smartphone / tablet, the headset will turn itself off within 5 to 10 minutes. The USB port for charging, is protected by a small flap (open gently to avoid the risk of tearing): this is the micro USB. It is strongly recommended NOT to use charger with an intensity greater than 5V at the risk of overheating or fire (this is indicated on the charging cable supplied with!). Personally, I use the charger of a smartphone and turns the LED to monitor the charging time! You will also have a small rigid comes with to store your headphones and cable sheath (side netting in the cover to slide it). I recommend this product to value price more than correct (in my order, I had a good 2 € discount, it's always fun ;-))</v>
      </c>
    </row>
    <row r="5688">
      <c r="A5688" s="1">
        <v>3.0</v>
      </c>
      <c r="B5688" s="1" t="s">
        <v>5613</v>
      </c>
      <c r="C5688" t="str">
        <f>IFERROR(__xludf.DUMMYFUNCTION("GOOGLETRANSLATE(B5688, ""fr"", ""en"")"),"Proper laundry as another fragrance does not stay long on the machine")</f>
        <v>Proper laundry as another fragrance does not stay long on the machine</v>
      </c>
    </row>
    <row r="5689">
      <c r="A5689" s="1">
        <v>4.0</v>
      </c>
      <c r="B5689" s="1" t="s">
        <v>5614</v>
      </c>
      <c r="C5689" t="str">
        <f>IFERROR(__xludf.DUMMYFUNCTION("GOOGLETRANSLATE(B5689, ""fr"", ""en"")"),"Missing two pencil Well to begin damage missing two pencil where 4sur5")</f>
        <v>Missing two pencil Well to begin damage missing two pencil where 4sur5</v>
      </c>
    </row>
    <row r="5690">
      <c r="A5690" s="1">
        <v>4.0</v>
      </c>
      <c r="B5690" s="1" t="s">
        <v>5615</v>
      </c>
      <c r="C5690" t="str">
        <f>IFERROR(__xludf.DUMMYFUNCTION("GOOGLETRANSLATE(B5690, ""fr"", ""en"")"),"Good value Nice, nice modern satchel!")</f>
        <v>Good value Nice, nice modern satchel!</v>
      </c>
    </row>
    <row r="5691">
      <c r="A5691" s="1">
        <v>4.0</v>
      </c>
      <c r="B5691" s="1" t="s">
        <v>5616</v>
      </c>
      <c r="C5691" t="str">
        <f>IFERROR(__xludf.DUMMYFUNCTION("GOOGLETRANSLATE(B5691, ""fr"", ""en"")"),"A satisfactory product Good evening, thanks to trnd I tested the wet toilet paper range Lotus in moist toilet paper vera.Un aloe that supplement use is a traditional toilet paper (dry). This allows better cleaning, a feeling of freshness and hygiene. This"&amp;" paper is very soft, no alcohol, no dye with a pH neutral so no irritation or itching; it respects the skin. This product is very useful if used outdoors, it is flushable (except mill) as biodegradable ... so this is a more compared to wipes. Try it and y"&amp;"ou will see for yourself.")</f>
        <v>A satisfactory product Good evening, thanks to trnd I tested the wet toilet paper range Lotus in moist toilet paper vera.Un aloe that supplement use is a traditional toilet paper (dry). This allows better cleaning, a feeling of freshness and hygiene. This paper is very soft, no alcohol, no dye with a pH neutral so no irritation or itching; it respects the skin. This product is very useful if used outdoors, it is flushable (except mill) as biodegradable ... so this is a more compared to wipes. Try it and you will see for yourself.</v>
      </c>
    </row>
    <row r="5692">
      <c r="A5692" s="1">
        <v>4.0</v>
      </c>
      <c r="B5692" s="1" t="s">
        <v>5617</v>
      </c>
      <c r="C5692" t="str">
        <f>IFERROR(__xludf.DUMMYFUNCTION("GOOGLETRANSLATE(B5692, ""fr"", ""en"")"),"false color: / Practical, solid, goes everywhere. Must the diaper bag. The color is not the same as the image shown. In reality it is more gray than blue.")</f>
        <v>false color: / Practical, solid, goes everywhere. Must the diaper bag. The color is not the same as the image shown. In reality it is more gray than blue.</v>
      </c>
    </row>
    <row r="5693">
      <c r="A5693" s="1">
        <v>5.0</v>
      </c>
      <c r="B5693" s="1" t="s">
        <v>5618</v>
      </c>
      <c r="C5693" t="str">
        <f>IFERROR(__xludf.DUMMYFUNCTION("GOOGLETRANSLATE(B5693, ""fr"", ""en"")"),"Good headphones Good workmanship, good headphones, noise reduction is good without being great. After some time, we feel the helmet by the pressure exerted on the top of the skull without this being annoying: just move a bit and the feeling disappears imm"&amp;"ediately.")</f>
        <v>Good headphones Good workmanship, good headphones, noise reduction is good without being great. After some time, we feel the helmet by the pressure exerted on the top of the skull without this being annoying: just move a bit and the feeling disappears immediately.</v>
      </c>
    </row>
    <row r="5694">
      <c r="A5694" s="1">
        <v>5.0</v>
      </c>
      <c r="B5694" s="1" t="s">
        <v>5619</v>
      </c>
      <c r="C5694" t="str">
        <f>IFERROR(__xludf.DUMMYFUNCTION("GOOGLETRANSLATE(B5694, ""fr"", ""en"")"),"Great product Great product I find it great size but it's much better.")</f>
        <v>Great product Great product I find it great size but it's much better.</v>
      </c>
    </row>
    <row r="5695">
      <c r="A5695" s="1">
        <v>5.0</v>
      </c>
      <c r="B5695" s="1" t="s">
        <v>5620</v>
      </c>
      <c r="C5695" t="str">
        <f>IFERROR(__xludf.DUMMYFUNCTION("GOOGLETRANSLATE(B5695, ""fr"", ""en"")"),"a pair of asics quality product, reception time and time and good quality ASICS, size is perfect 49")</f>
        <v>a pair of asics quality product, reception time and time and good quality ASICS, size is perfect 49</v>
      </c>
    </row>
    <row r="5696">
      <c r="A5696" s="1">
        <v>5.0</v>
      </c>
      <c r="B5696" s="1" t="s">
        <v>5621</v>
      </c>
      <c r="C5696" t="str">
        <f>IFERROR(__xludf.DUMMYFUNCTION("GOOGLETRANSLATE(B5696, ""fr"", ""en"")"),"Good quality Small Size")</f>
        <v>Good quality Small Size</v>
      </c>
    </row>
    <row r="5697">
      <c r="A5697" s="1">
        <v>5.0</v>
      </c>
      <c r="B5697" s="1" t="s">
        <v>5622</v>
      </c>
      <c r="C5697" t="str">
        <f>IFERROR(__xludf.DUMMYFUNCTION("GOOGLETRANSLATE(B5697, ""fr"", ""en"")"),"34 €, what about? :-) € 34.00 for a pair of Vans displayed € 85.00 on the official website! What more can be said ? original manufacturer, not against a way (which are already happened to me to receive). perfect 👍🏼")</f>
        <v>34 €, what about? :-) € 34.00 for a pair of Vans displayed € 85.00 on the official website! What more can be said ? original manufacturer, not against a way (which are already happened to me to receive). perfect 👍🏼</v>
      </c>
    </row>
    <row r="5698">
      <c r="A5698" s="1">
        <v>5.0</v>
      </c>
      <c r="B5698" s="1" t="s">
        <v>5623</v>
      </c>
      <c r="C5698" t="str">
        <f>IFERROR(__xludf.DUMMYFUNCTION("GOOGLETRANSLATE(B5698, ""fr"", ""en"")"),"Top! Very nice and very practical Thank all the reviews I've read because it is true that we can make big bottle with which compartment Colors are pastel and too beautiful")</f>
        <v>Top! Very nice and very practical Thank all the reviews I've read because it is true that we can make big bottle with which compartment Colors are pastel and too beautiful</v>
      </c>
    </row>
    <row r="5699">
      <c r="A5699" s="1">
        <v>5.0</v>
      </c>
      <c r="B5699" s="1" t="s">
        <v>5624</v>
      </c>
      <c r="C5699" t="str">
        <f>IFERROR(__xludf.DUMMYFUNCTION("GOOGLETRANSLATE(B5699, ""fr"", ""en"")"),"Well nothing to say, very well.")</f>
        <v>Well nothing to say, very well.</v>
      </c>
    </row>
    <row r="5700">
      <c r="A5700" s="1">
        <v>5.0</v>
      </c>
      <c r="B5700" s="1" t="s">
        <v>5625</v>
      </c>
      <c r="C5700" t="str">
        <f>IFERROR(__xludf.DUMMYFUNCTION("GOOGLETRANSLATE(B5700, ""fr"", ""en"")"),"Many good product very practical pockets")</f>
        <v>Many good product very practical pockets</v>
      </c>
    </row>
    <row r="5701">
      <c r="A5701" s="1">
        <v>5.0</v>
      </c>
      <c r="B5701" s="1" t="s">
        <v>5626</v>
      </c>
      <c r="C5701" t="str">
        <f>IFERROR(__xludf.DUMMYFUNCTION("GOOGLETRANSLATE(B5701, ""fr"", ""en"")"),"HP branded cartoucche very good quality genuine HP cartridge does not buy generic same in any case for a reduced price that does not unravel the trouble that is harmful to our imprimentes.")</f>
        <v>HP branded cartoucche very good quality genuine HP cartridge does not buy generic same in any case for a reduced price that does not unravel the trouble that is harmful to our imprimentes.</v>
      </c>
    </row>
    <row r="5702">
      <c r="A5702" s="1">
        <v>5.0</v>
      </c>
      <c r="B5702" s="1" t="s">
        <v>5627</v>
      </c>
      <c r="C5702" t="str">
        <f>IFERROR(__xludf.DUMMYFUNCTION("GOOGLETRANSLATE(B5702, ""fr"", ""en"")"),"Super They take well to foot the gel pads do the job well. I love the colors and comfort.")</f>
        <v>Super They take well to foot the gel pads do the job well. I love the colors and comfort.</v>
      </c>
    </row>
    <row r="5703">
      <c r="A5703" s="1">
        <v>5.0</v>
      </c>
      <c r="B5703" s="1" t="s">
        <v>5628</v>
      </c>
      <c r="C5703" t="str">
        <f>IFERROR(__xludf.DUMMYFUNCTION("GOOGLETRANSLATE(B5703, ""fr"", ""en"")"),"Nothing wrong we still had lumps in the thickened bib as milk, so not great for children because milk loss and longer stuck in the nipple. She was received yesterday and suddenly tried directly and many top over lumps and less fatigue for feeding and milk"&amp;" is much more fluid. Frankly disappointed, I recommend.")</f>
        <v>Nothing wrong we still had lumps in the thickened bib as milk, so not great for children because milk loss and longer stuck in the nipple. She was received yesterday and suddenly tried directly and many top over lumps and less fatigue for feeding and milk is much more fluid. Frankly disappointed, I recommend.</v>
      </c>
    </row>
    <row r="5704">
      <c r="A5704" s="1">
        <v>5.0</v>
      </c>
      <c r="B5704" s="1" t="s">
        <v>5629</v>
      </c>
      <c r="C5704" t="str">
        <f>IFERROR(__xludf.DUMMYFUNCTION("GOOGLETRANSLATE(B5704, ""fr"", ""en"")"),"Beautiful basketball Very happy with my purchase, delivery, packaging, quality, size (for me I had a 37, which is my usual size) and they Shoe perfectly. Comfortable and lightweight. I recommend.")</f>
        <v>Beautiful basketball Very happy with my purchase, delivery, packaging, quality, size (for me I had a 37, which is my usual size) and they Shoe perfectly. Comfortable and lightweight. I recommend.</v>
      </c>
    </row>
    <row r="5705">
      <c r="A5705" s="1">
        <v>5.0</v>
      </c>
      <c r="B5705" s="1" t="s">
        <v>5630</v>
      </c>
      <c r="C5705" t="str">
        <f>IFERROR(__xludf.DUMMYFUNCTION("GOOGLETRANSLATE(B5705, ""fr"", ""en"")"),"Perfect Nothing to say")</f>
        <v>Perfect Nothing to say</v>
      </c>
    </row>
    <row r="5706">
      <c r="A5706" s="1">
        <v>5.0</v>
      </c>
      <c r="B5706" s="1" t="s">
        <v>5631</v>
      </c>
      <c r="C5706" t="str">
        <f>IFERROR(__xludf.DUMMYFUNCTION("GOOGLETRANSLATE(B5706, ""fr"", ""en"")"),"sweaters Women Sweater its very stylish and modern material is very comfortable to wear and brand the size is the top.")</f>
        <v>sweaters Women Sweater its very stylish and modern material is very comfortable to wear and brand the size is the top.</v>
      </c>
    </row>
    <row r="5707">
      <c r="A5707" s="1">
        <v>5.0</v>
      </c>
      <c r="B5707" s="1" t="s">
        <v>369</v>
      </c>
      <c r="C5707" t="str">
        <f>IFERROR(__xludf.DUMMYFUNCTION("GOOGLETRANSLATE(B5707, ""fr"", ""en"")"),"Good product Good product")</f>
        <v>Good product Good product</v>
      </c>
    </row>
    <row r="5708">
      <c r="A5708" s="1">
        <v>2.0</v>
      </c>
      <c r="B5708" s="1" t="s">
        <v>5632</v>
      </c>
      <c r="C5708" t="str">
        <f>IFERROR(__xludf.DUMMYFUNCTION("GOOGLETRANSLATE(B5708, ""fr"", ""en"")"),"Not big enough Without having used the camera I just put 2 bread to see if an undertaker and the device can be done does not open enough to the thickness .. then by adding to the inside the ingredients, not .. also it is a little afraid the bread without "&amp;"crust ok but bread cereal or sandwich special beyond ..")</f>
        <v>Not big enough Without having used the camera I just put 2 bread to see if an undertaker and the device can be done does not open enough to the thickness .. then by adding to the inside the ingredients, not .. also it is a little afraid the bread without crust ok but bread cereal or sandwich special beyond ..</v>
      </c>
    </row>
    <row r="5709">
      <c r="A5709" s="1">
        <v>1.0</v>
      </c>
      <c r="B5709" s="1" t="s">
        <v>5633</v>
      </c>
      <c r="C5709" t="str">
        <f>IFERROR(__xludf.DUMMYFUNCTION("GOOGLETRANSLATE(B5709, ""fr"", ""en"")"),"I'm still looking adhesion! Well, for the super disappointed once! Use for sticking a small painted wooden figure which is to 50 g on a painted wall and figurine falling barely 30 minutes after paste! Of course before sticking, cleaning with alcohol to bu"&amp;"rn of the figure and the wall.")</f>
        <v>I'm still looking adhesion! Well, for the super disappointed once! Use for sticking a small painted wooden figure which is to 50 g on a painted wall and figurine falling barely 30 minutes after paste! Of course before sticking, cleaning with alcohol to burn of the figure and the wall.</v>
      </c>
    </row>
    <row r="5710">
      <c r="A5710" s="1">
        <v>1.0</v>
      </c>
      <c r="B5710" s="1" t="s">
        <v>5634</v>
      </c>
      <c r="C5710" t="str">
        <f>IFERROR(__xludf.DUMMYFUNCTION("GOOGLETRANSLATE(B5710, ""fr"", ""en"")"),"Fragile Gorgeous jewelry but fragile")</f>
        <v>Fragile Gorgeous jewelry but fragile</v>
      </c>
    </row>
    <row r="5711">
      <c r="A5711" s="1">
        <v>3.0</v>
      </c>
      <c r="B5711" s="1" t="s">
        <v>5635</v>
      </c>
      <c r="C5711" t="str">
        <f>IFERROR(__xludf.DUMMYFUNCTION("GOOGLETRANSLATE(B5711, ""fr"", ""en"")"),"Color too messy nice shoe with its faux fur seal damage well as color soillle too messy but it explains surmment this price if actractig")</f>
        <v>Color too messy nice shoe with its faux fur seal damage well as color soillle too messy but it explains surmment this price if actractig</v>
      </c>
    </row>
    <row r="5712">
      <c r="A5712" s="1">
        <v>3.0</v>
      </c>
      <c r="B5712" s="1" t="s">
        <v>5636</v>
      </c>
      <c r="C5712" t="str">
        <f>IFERROR(__xludf.DUMMYFUNCTION("GOOGLETRANSLATE(B5712, ""fr"", ""en"")"),"Sweet Almond Oil Well received, this oil is like any other, no smell, easily absorbed by my skin, I use it to seemingly erase my stretch marks is effective, I have to expect the results.")</f>
        <v>Sweet Almond Oil Well received, this oil is like any other, no smell, easily absorbed by my skin, I use it to seemingly erase my stretch marks is effective, I have to expect the results.</v>
      </c>
    </row>
    <row r="5713">
      <c r="A5713" s="1">
        <v>4.0</v>
      </c>
      <c r="B5713" s="1" t="s">
        <v>5637</v>
      </c>
      <c r="C5713" t="str">
        <f>IFERROR(__xludf.DUMMYFUNCTION("GOOGLETRANSLATE(B5713, ""fr"", ""en"")"),"Simple, yet effective At such a price, we can not say much bad about this jack. He did what he did, and comes in a very simple but neat packaging. However, I connected my guitar electro-acoustic to my amp and if I have the misfortune to move a little bit "&amp;"the tip of the cable connected to the guitar, crackles are heard and that's disturbing. So, I include the attractive price but still damage to the defect. : /")</f>
        <v>Simple, yet effective At such a price, we can not say much bad about this jack. He did what he did, and comes in a very simple but neat packaging. However, I connected my guitar electro-acoustic to my amp and if I have the misfortune to move a little bit the tip of the cable connected to the guitar, crackles are heard and that's disturbing. So, I include the attractive price but still damage to the defect. : /</v>
      </c>
    </row>
    <row r="5714">
      <c r="A5714" s="1">
        <v>4.0</v>
      </c>
      <c r="B5714" s="1" t="s">
        <v>5638</v>
      </c>
      <c r="C5714" t="str">
        <f>IFERROR(__xludf.DUMMYFUNCTION("GOOGLETRANSLATE(B5714, ""fr"", ""en"")"),"shoe top shoes very strong but I do not know if they are waterproof of beautiful brown shoes pair of uprights")</f>
        <v>shoe top shoes very strong but I do not know if they are waterproof of beautiful brown shoes pair of uprights</v>
      </c>
    </row>
    <row r="5715">
      <c r="A5715" s="1">
        <v>4.0</v>
      </c>
      <c r="B5715" s="1" t="s">
        <v>5639</v>
      </c>
      <c r="C5715" t="str">
        <f>IFERROR(__xludf.DUMMYFUNCTION("GOOGLETRANSLATE(B5715, ""fr"", ""en"")"),"Review Product line with my expectations")</f>
        <v>Review Product line with my expectations</v>
      </c>
    </row>
    <row r="5716">
      <c r="A5716" s="1">
        <v>4.0</v>
      </c>
      <c r="B5716" s="1" t="s">
        <v>5640</v>
      </c>
      <c r="C5716" t="str">
        <f>IFERROR(__xludf.DUMMYFUNCTION("GOOGLETRANSLATE(B5716, ""fr"", ""en"")"),"wealsex Basketball Female Rising Wedges Scratch Meets description these sneakers are very comfortable")</f>
        <v>wealsex Basketball Female Rising Wedges Scratch Meets description these sneakers are very comfortable</v>
      </c>
    </row>
    <row r="5717">
      <c r="A5717" s="1">
        <v>5.0</v>
      </c>
      <c r="B5717" s="1" t="s">
        <v>5641</v>
      </c>
      <c r="C5717" t="str">
        <f>IFERROR(__xludf.DUMMYFUNCTION("GOOGLETRANSLATE(B5717, ""fr"", ""en"")"),"Although Meets the announcement and very sweet")</f>
        <v>Although Meets the announcement and very sweet</v>
      </c>
    </row>
    <row r="5718">
      <c r="A5718" s="1">
        <v>5.0</v>
      </c>
      <c r="B5718" s="1" t="s">
        <v>5642</v>
      </c>
      <c r="C5718" t="str">
        <f>IFERROR(__xludf.DUMMYFUNCTION("GOOGLETRANSLATE(B5718, ""fr"", ""en"")"),"Suitable for sports Meets the description, good quality cotton for sports. Quick delivery")</f>
        <v>Suitable for sports Meets the description, good quality cotton for sports. Quick delivery</v>
      </c>
    </row>
    <row r="5719">
      <c r="A5719" s="1">
        <v>5.0</v>
      </c>
      <c r="B5719" s="1" t="s">
        <v>5643</v>
      </c>
      <c r="C5719" t="str">
        <f>IFERROR(__xludf.DUMMYFUNCTION("GOOGLETRANSLATE(B5719, ""fr"", ""en"")"),"Pretty bracelet Ocean made for this bracelet, crystals are very beautiful color and the length is just right for my wrist; yes it is late ...")</f>
        <v>Pretty bracelet Ocean made for this bracelet, crystals are very beautiful color and the length is just right for my wrist; yes it is late ...</v>
      </c>
    </row>
    <row r="5720">
      <c r="A5720" s="1">
        <v>5.0</v>
      </c>
      <c r="B5720" s="1" t="s">
        <v>5644</v>
      </c>
      <c r="C5720" t="str">
        <f>IFERROR(__xludf.DUMMYFUNCTION("GOOGLETRANSLATE(B5720, ""fr"", ""en"")"),"Super Flow nipple of her nipples is awesome. My son love.")</f>
        <v>Super Flow nipple of her nipples is awesome. My son love.</v>
      </c>
    </row>
    <row r="5721">
      <c r="A5721" s="1">
        <v>5.0</v>
      </c>
      <c r="B5721" s="1" t="s">
        <v>5645</v>
      </c>
      <c r="C5721" t="str">
        <f>IFERROR(__xludf.DUMMYFUNCTION("GOOGLETRANSLATE(B5721, ""fr"", ""en"")"),"Very efficient This will change the lives of allergic to dust mites / dust like my daughter and me. Easily manoeuvrable and lightweight. Instructions to approximate translation but so simple to use as it is not serious. A great length of wire. It changes "&amp;"from red to green for prevnir it's own. As the lady from the top leaving a comment. I do my curtains. Sofa. etc. A vacuum cleaner and I foolishly thought that was enough but when I see that this device came out like crap I'm speechless. Really a great pro"&amp;"duct of beautiful invoice and solid")</f>
        <v>Very efficient This will change the lives of allergic to dust mites / dust like my daughter and me. Easily manoeuvrable and lightweight. Instructions to approximate translation but so simple to use as it is not serious. A great length of wire. It changes from red to green for prevnir it's own. As the lady from the top leaving a comment. I do my curtains. Sofa. etc. A vacuum cleaner and I foolishly thought that was enough but when I see that this device came out like crap I'm speechless. Really a great product of beautiful invoice and solid</v>
      </c>
    </row>
    <row r="5722">
      <c r="A5722" s="1">
        <v>5.0</v>
      </c>
      <c r="B5722" s="1" t="s">
        <v>224</v>
      </c>
      <c r="C5722" t="str">
        <f>IFERROR(__xludf.DUMMYFUNCTION("GOOGLETRANSLATE(B5722, ""fr"", ""en"")"),"perfect perfect")</f>
        <v>perfect perfect</v>
      </c>
    </row>
    <row r="5723">
      <c r="A5723" s="1">
        <v>5.0</v>
      </c>
      <c r="B5723" s="1" t="s">
        <v>5646</v>
      </c>
      <c r="C5723" t="str">
        <f>IFERROR(__xludf.DUMMYFUNCTION("GOOGLETRANSLATE(B5723, ""fr"", ""en"")"),"Very well thank you very much thank you")</f>
        <v>Very well thank you very much thank you</v>
      </c>
    </row>
    <row r="5724">
      <c r="A5724" s="1">
        <v>5.0</v>
      </c>
      <c r="B5724" s="1" t="s">
        <v>5647</v>
      </c>
      <c r="C5724" t="str">
        <f>IFERROR(__xludf.DUMMYFUNCTION("GOOGLETRANSLATE(B5724, ""fr"", ""en"")"),"Case for car logbook The dimensions of this case are perfect for putting the car registration car (France and Europe). Plastic is somewhat rigid (it takes a little bend the card is inserted completely).")</f>
        <v>Case for car logbook The dimensions of this case are perfect for putting the car registration car (France and Europe). Plastic is somewhat rigid (it takes a little bend the card is inserted completely).</v>
      </c>
    </row>
    <row r="5725">
      <c r="A5725" s="1">
        <v>5.0</v>
      </c>
      <c r="B5725" s="1" t="s">
        <v>5648</v>
      </c>
      <c r="C5725" t="str">
        <f>IFERROR(__xludf.DUMMYFUNCTION("GOOGLETRANSLATE(B5725, ""fr"", ""en"")"),"Very good Very good value for money. Mines thick enough to color large areas. Do not stain clothes, washable markers.")</f>
        <v>Very good Very good value for money. Mines thick enough to color large areas. Do not stain clothes, washable markers.</v>
      </c>
    </row>
    <row r="5726">
      <c r="A5726" s="1">
        <v>5.0</v>
      </c>
      <c r="B5726" s="1" t="s">
        <v>5649</v>
      </c>
      <c r="C5726" t="str">
        <f>IFERROR(__xludf.DUMMYFUNCTION("GOOGLETRANSLATE(B5726, ""fr"", ""en"")"),"Very good purchases J bought is insulated bag to taste my children there and very pretty consistent with the description")</f>
        <v>Very good purchases J bought is insulated bag to taste my children there and very pretty consistent with the description</v>
      </c>
    </row>
    <row r="5727">
      <c r="A5727" s="1">
        <v>5.0</v>
      </c>
      <c r="B5727" s="1" t="s">
        <v>5650</v>
      </c>
      <c r="C5727" t="str">
        <f>IFERROR(__xludf.DUMMYFUNCTION("GOOGLETRANSLATE(B5727, ""fr"", ""en"")"),"Already there's buy Top LGP and never disappointed")</f>
        <v>Already there's buy Top LGP and never disappointed</v>
      </c>
    </row>
    <row r="5728">
      <c r="A5728" s="1">
        <v>5.0</v>
      </c>
      <c r="B5728" s="1" t="s">
        <v>5651</v>
      </c>
      <c r="C5728" t="str">
        <f>IFERROR(__xludf.DUMMYFUNCTION("GOOGLETRANSLATE(B5728, ""fr"", ""en"")"),"Perfect! It is to replace the damaged brush and it is the same as buying the birth of my little piece. Very good quality. For reference, we had to be replaced after 20 months of intensive cleaning bottle.")</f>
        <v>Perfect! It is to replace the damaged brush and it is the same as buying the birth of my little piece. Very good quality. For reference, we had to be replaced after 20 months of intensive cleaning bottle.</v>
      </c>
    </row>
    <row r="5729">
      <c r="A5729" s="1">
        <v>5.0</v>
      </c>
      <c r="B5729" s="1" t="s">
        <v>5652</v>
      </c>
      <c r="C5729" t="str">
        <f>IFERROR(__xludf.DUMMYFUNCTION("GOOGLETRANSLATE(B5729, ""fr"", ""en"")"),"Ok Gift")</f>
        <v>Ok Gift</v>
      </c>
    </row>
    <row r="5730">
      <c r="A5730" s="1">
        <v>5.0</v>
      </c>
      <c r="B5730" s="1" t="s">
        <v>5653</v>
      </c>
      <c r="C5730" t="str">
        <f>IFERROR(__xludf.DUMMYFUNCTION("GOOGLETRANSLATE(B5730, ""fr"", ""en"")"),"Oh that's good, it's good, it's good my brush! In English: everything's well! In French: just perfect!")</f>
        <v>Oh that's good, it's good, it's good my brush! In English: everything's well! In French: just perfect!</v>
      </c>
    </row>
    <row r="5731">
      <c r="A5731" s="1">
        <v>5.0</v>
      </c>
      <c r="B5731" s="1" t="s">
        <v>5654</v>
      </c>
      <c r="C5731" t="str">
        <f>IFERROR(__xludf.DUMMYFUNCTION("GOOGLETRANSLATE(B5731, ""fr"", ""en"")"),"A comfortable headset for use indoors Outside sound qualities (helmet closed neutral and faithful) This is a helmet that can be worn long enough on the head because he does not press the ears and is lightweight. I simply serve to isolate me from ambient n"&amp;"oise when I want to concentrate and because I can not stand the noise cancellation headphones like the Sennheiser PCX250 (buzz). In contrast with this preferred AKG headphones use inside as it is not made for walking. If I have to go out I prefer my Sennh"&amp;"eiser HD25 is less comfortable for a long session but held in place on the head once the split hoops. Finally I recommend any headphones of this quality just to listen to MP3s, they do not forgive the imperfections. With a good helmet must listen to a sou"&amp;"nd quality that is FLAK or EPA instead of MP3 (ultimately a good OGG encoded)")</f>
        <v>A comfortable headset for use indoors Outside sound qualities (helmet closed neutral and faithful) This is a helmet that can be worn long enough on the head because he does not press the ears and is lightweight. I simply serve to isolate me from ambient noise when I want to concentrate and because I can not stand the noise cancellation headphones like the Sennheiser PCX250 (buzz). In contrast with this preferred AKG headphones use inside as it is not made for walking. If I have to go out I prefer my Sennheiser HD25 is less comfortable for a long session but held in place on the head once the split hoops. Finally I recommend any headphones of this quality just to listen to MP3s, they do not forgive the imperfections. With a good helmet must listen to a sound quality that is FLAK or EPA instead of MP3 (ultimately a good OGG encoded)</v>
      </c>
    </row>
    <row r="5732">
      <c r="A5732" s="1">
        <v>2.0</v>
      </c>
      <c r="B5732" s="1" t="s">
        <v>5655</v>
      </c>
      <c r="C5732" t="str">
        <f>IFERROR(__xludf.DUMMYFUNCTION("GOOGLETRANSLATE(B5732, ""fr"", ""en"")"),"Deforms faster Good value but deforms quickly. . Arrive tighten and after some day too.")</f>
        <v>Deforms faster Good value but deforms quickly. . Arrive tighten and after some day too.</v>
      </c>
    </row>
    <row r="5733">
      <c r="A5733" s="1">
        <v>1.0</v>
      </c>
      <c r="B5733" s="1" t="s">
        <v>5656</v>
      </c>
      <c r="C5733" t="str">
        <f>IFERROR(__xludf.DUMMYFUNCTION("GOOGLETRANSLATE(B5733, ""fr"", ""en"")"),"Disappointed I bought the same blue they have absolutely nothing to do blues are slightly stuffed inside and black are not when the waist I make 43 it looks like 42 1/2 I needed it I have still made but I should return disappointed not taking black 43")</f>
        <v>Disappointed I bought the same blue they have absolutely nothing to do blues are slightly stuffed inside and black are not when the waist I make 43 it looks like 42 1/2 I needed it I have still made but I should return disappointed not taking black 43</v>
      </c>
    </row>
    <row r="5734">
      <c r="A5734" s="1">
        <v>1.0</v>
      </c>
      <c r="B5734" s="1" t="s">
        <v>5657</v>
      </c>
      <c r="C5734" t="str">
        <f>IFERROR(__xludf.DUMMYFUNCTION("GOOGLETRANSLATE(B5734, ""fr"", ""en"")"),"Error in delivery I received two strips the same result ... it is useless since no grip Velcro")</f>
        <v>Error in delivery I received two strips the same result ... it is useless since no grip Velcro</v>
      </c>
    </row>
    <row r="5735">
      <c r="A5735" s="1">
        <v>3.0</v>
      </c>
      <c r="B5735" s="1" t="s">
        <v>5658</v>
      </c>
      <c r="C5735" t="str">
        <f>IFERROR(__xludf.DUMMYFUNCTION("GOOGLETRANSLATE(B5735, ""fr"", ""en"")"),"Good shoes Good shoes, pretty .. Good for the Tp, a little stiff to truck driving. 4 months of daily use, the soles easily fill in heavy terrain. Do not débourrent easily crampon too narrow.")</f>
        <v>Good shoes Good shoes, pretty .. Good for the Tp, a little stiff to truck driving. 4 months of daily use, the soles easily fill in heavy terrain. Do not débourrent easily crampon too narrow.</v>
      </c>
    </row>
    <row r="5736">
      <c r="A5736" s="1">
        <v>4.0</v>
      </c>
      <c r="B5736" s="1" t="s">
        <v>5659</v>
      </c>
      <c r="C5736" t="str">
        <f>IFERROR(__xludf.DUMMYFUNCTION("GOOGLETRANSLATE(B5736, ""fr"", ""en"")"),"Perfect Very good product. No surprise, the same store that except for once the larger sizes are available.")</f>
        <v>Perfect Very good product. No surprise, the same store that except for once the larger sizes are available.</v>
      </c>
    </row>
    <row r="5737">
      <c r="A5737" s="1">
        <v>4.0</v>
      </c>
      <c r="B5737" s="1" t="s">
        <v>5660</v>
      </c>
      <c r="C5737" t="str">
        <f>IFERROR(__xludf.DUMMYFUNCTION("GOOGLETRANSLATE(B5737, ""fr"", ""en"")"),"should absolutely be quite the same time when we take the original one is not mistaken to recommend no problem, just the delivery which is a bit long and more packages")</f>
        <v>should absolutely be quite the same time when we take the original one is not mistaken to recommend no problem, just the delivery which is a bit long and more packages</v>
      </c>
    </row>
    <row r="5738">
      <c r="A5738" s="1">
        <v>4.0</v>
      </c>
      <c r="B5738" s="1" t="s">
        <v>5661</v>
      </c>
      <c r="C5738" t="str">
        <f>IFERROR(__xludf.DUMMYFUNCTION("GOOGLETRANSLATE(B5738, ""fr"", ""en"")"),"Very good bag very good bag, which at the very strong air of good. I was just surprised by his size that I thought was a little smaller.")</f>
        <v>Very good bag very good bag, which at the very strong air of good. I was just surprised by his size that I thought was a little smaller.</v>
      </c>
    </row>
    <row r="5739">
      <c r="A5739" s="1">
        <v>4.0</v>
      </c>
      <c r="B5739" s="1" t="s">
        <v>5662</v>
      </c>
      <c r="C5739" t="str">
        <f>IFERROR(__xludf.DUMMYFUNCTION("GOOGLETRANSLATE(B5739, ""fr"", ""en"")"),"issue date setting this watch bcp we liked but we meet a problem with the date setting button that does not change. ;;;")</f>
        <v>issue date setting this watch bcp we liked but we meet a problem with the date setting button that does not change. ;;;</v>
      </c>
    </row>
    <row r="5740">
      <c r="A5740" s="1">
        <v>5.0</v>
      </c>
      <c r="B5740" s="1" t="s">
        <v>5663</v>
      </c>
      <c r="C5740" t="str">
        <f>IFERROR(__xludf.DUMMYFUNCTION("GOOGLETRANSLATE(B5740, ""fr"", ""en"")"),"Kayano 26 of the bomb. The comfort of the shoe is perfect for my first outing. Me who hurt his heel. No pain felt on an exit 18km. Very very comfortable. I took my shoe size I of 44 and all are well.")</f>
        <v>Kayano 26 of the bomb. The comfort of the shoe is perfect for my first outing. Me who hurt his heel. No pain felt on an exit 18km. Very very comfortable. I took my shoe size I of 44 and all are well.</v>
      </c>
    </row>
    <row r="5741">
      <c r="A5741" s="1">
        <v>5.0</v>
      </c>
      <c r="B5741" s="1" t="s">
        <v>5664</v>
      </c>
      <c r="C5741" t="str">
        <f>IFERROR(__xludf.DUMMYFUNCTION("GOOGLETRANSLATE(B5741, ""fr"", ""en"")"),"I recommend ! Exactly what I wanted for my daughter's room, nice design, good humidifier supplemented by essential oils is the top! I have for several months and it is still good. I recommend !")</f>
        <v>I recommend ! Exactly what I wanted for my daughter's room, nice design, good humidifier supplemented by essential oils is the top! I have for several months and it is still good. I recommend !</v>
      </c>
    </row>
    <row r="5742">
      <c r="A5742" s="1">
        <v>5.0</v>
      </c>
      <c r="B5742" s="1" t="s">
        <v>5665</v>
      </c>
      <c r="C5742" t="str">
        <f>IFERROR(__xludf.DUMMYFUNCTION("GOOGLETRANSLATE(B5742, ""fr"", ""en"")"),"Super fine, really aesthetic")</f>
        <v>Super fine, really aesthetic</v>
      </c>
    </row>
    <row r="5743">
      <c r="A5743" s="1">
        <v>5.0</v>
      </c>
      <c r="B5743" s="1" t="s">
        <v>5666</v>
      </c>
      <c r="C5743" t="str">
        <f>IFERROR(__xludf.DUMMYFUNCTION("GOOGLETRANSLATE(B5743, ""fr"", ""en"")"),"Well Met my expectations")</f>
        <v>Well Met my expectations</v>
      </c>
    </row>
    <row r="5744">
      <c r="A5744" s="1">
        <v>5.0</v>
      </c>
      <c r="B5744" s="1" t="s">
        <v>5667</v>
      </c>
      <c r="C5744" t="str">
        <f>IFERROR(__xludf.DUMMYFUNCTION("GOOGLETRANSLATE(B5744, ""fr"", ""en"")"),"Headphones very good quality! I am pleasantly surprised by these headphones without son! 👍🏻 The sound quality is amazing, no sizzle, no beug. The storage cardboard box is very well presented and tidy, small and efficient Regarding recharging case, it is"&amp;" small, and practical design. It charges super fast and autonomy of the box and the listener is mind blowing! Really handy to not have the wire we gene for sport, housekeeping etc ..! He has the microphone. Ability to raise / lower the volume, hang up, pi"&amp;"ck up, put play / pause directly pressure on the earpiece. I recommend 100% to the price, it is really quality. And in the ears, they are not cheep, not fat. They are perfect ! Thank you")</f>
        <v>Headphones very good quality! I am pleasantly surprised by these headphones without son! 👍🏻 The sound quality is amazing, no sizzle, no beug. The storage cardboard box is very well presented and tidy, small and efficient Regarding recharging case, it is small, and practical design. It charges super fast and autonomy of the box and the listener is mind blowing! Really handy to not have the wire we gene for sport, housekeeping etc ..! He has the microphone. Ability to raise / lower the volume, hang up, pick up, put play / pause directly pressure on the earpiece. I recommend 100% to the price, it is really quality. And in the ears, they are not cheep, not fat. They are perfect ! Thank you</v>
      </c>
    </row>
    <row r="5745">
      <c r="A5745" s="1">
        <v>5.0</v>
      </c>
      <c r="B5745" s="1" t="s">
        <v>5668</v>
      </c>
      <c r="C5745" t="str">
        <f>IFERROR(__xludf.DUMMYFUNCTION("GOOGLETRANSLATE(B5745, ""fr"", ""en"")"),"Rolls of paper towel perfect price and fast delivery Value")</f>
        <v>Rolls of paper towel perfect price and fast delivery Value</v>
      </c>
    </row>
    <row r="5746">
      <c r="A5746" s="1">
        <v>5.0</v>
      </c>
      <c r="B5746" s="1" t="s">
        <v>5669</v>
      </c>
      <c r="C5746" t="str">
        <f>IFERROR(__xludf.DUMMYFUNCTION("GOOGLETRANSLATE(B5746, ""fr"", ""en"")"),"Old pair of renewal; why change a winning team? Old pair of renewal; why change a winning team?")</f>
        <v>Old pair of renewal; why change a winning team? Old pair of renewal; why change a winning team?</v>
      </c>
    </row>
    <row r="5747">
      <c r="A5747" s="1">
        <v>5.0</v>
      </c>
      <c r="B5747" s="1" t="s">
        <v>5670</v>
      </c>
      <c r="C5747" t="str">
        <f>IFERROR(__xludf.DUMMYFUNCTION("GOOGLETRANSLATE(B5747, ""fr"", ""en"")"),"audio quality, &lt;div id = ""video-block-R3GIZMGVT726QD"" class = ""a-section-spacing-small in-spacing-top mini video-block""&gt; &lt;/ div&gt; &lt;input type = ""hidden"" name = """" value = ""https://images-eu.ssl-images-amazon.com/images/I/91IZIKnqEPS.mp4"" class = "&amp;"""video-url""&gt; &lt;input type = ""hidden"" name = """" value = ""https://images-eu.ssl-images-amazon.com/images/I/91798SZvjlS.png"" class = ""video-slate-img-url""&gt; &amp; nbsp; lightweight practical product of good quality. The advantage of these earphone is sou"&amp;"nd and good performance in the ears. I highly recommend.")</f>
        <v>audio quality, &lt;div id = "video-block-R3GIZMGVT726QD" class = "a-section-spacing-small in-spacing-top mini video-block"&gt; &lt;/ div&gt; &lt;input type = "hidden" name = "" value = "https://images-eu.ssl-images-amazon.com/images/I/91IZIKnqEPS.mp4" class = "video-url"&gt; &lt;input type = "hidden" name = "" value = "https://images-eu.ssl-images-amazon.com/images/I/91798SZvjlS.png" class = "video-slate-img-url"&gt; &amp; nbsp; lightweight practical product of good quality. The advantage of these earphone is sound and good performance in the ears. I highly recommend.</v>
      </c>
    </row>
    <row r="5748">
      <c r="A5748" s="1">
        <v>5.0</v>
      </c>
      <c r="B5748" s="1" t="s">
        <v>5671</v>
      </c>
      <c r="C5748" t="str">
        <f>IFERROR(__xludf.DUMMYFUNCTION("GOOGLETRANSLATE(B5748, ""fr"", ""en"")"),"Top Ergonomics: To increase volume shares lower the volume music to break it works well, do not worry. The screen that indicates how the rest of battery is really convenient. They have good resistance to comfortable ears they do not hurt. Their style is n"&amp;"ice and simple and there are not too big. The sound quality is good and does not saturate. The ability to also charge the phone is awesome. I recommend eyes closed.")</f>
        <v>Top Ergonomics: To increase volume shares lower the volume music to break it works well, do not worry. The screen that indicates how the rest of battery is really convenient. They have good resistance to comfortable ears they do not hurt. Their style is nice and simple and there are not too big. The sound quality is good and does not saturate. The ability to also charge the phone is awesome. I recommend eyes closed.</v>
      </c>
    </row>
    <row r="5749">
      <c r="A5749" s="1">
        <v>5.0</v>
      </c>
      <c r="B5749" s="1" t="s">
        <v>5672</v>
      </c>
      <c r="C5749" t="str">
        <f>IFERROR(__xludf.DUMMYFUNCTION("GOOGLETRANSLATE(B5749, ""fr"", ""en"")"),"Complete range We had coffee and this article well look is great. Convenient, easy to use, nice on a kitchen bench. In the kettle you have markers for 1-2-3 cups thoughtful for a quick tea.")</f>
        <v>Complete range We had coffee and this article well look is great. Convenient, easy to use, nice on a kitchen bench. In the kettle you have markers for 1-2-3 cups thoughtful for a quick tea.</v>
      </c>
    </row>
    <row r="5750">
      <c r="A5750" s="1">
        <v>5.0</v>
      </c>
      <c r="B5750" s="1" t="s">
        <v>5673</v>
      </c>
      <c r="C5750" t="str">
        <f>IFERROR(__xludf.DUMMYFUNCTION("GOOGLETRANSLATE(B5750, ""fr"", ""en"")"),"beautiful book to read PC beautiful book to read PC")</f>
        <v>beautiful book to read PC beautiful book to read PC</v>
      </c>
    </row>
    <row r="5751">
      <c r="A5751" s="1">
        <v>5.0</v>
      </c>
      <c r="B5751" s="1" t="s">
        <v>5674</v>
      </c>
      <c r="C5751" t="str">
        <f>IFERROR(__xludf.DUMMYFUNCTION("GOOGLETRANSLATE(B5751, ""fr"", ""en"")"),"Xuping Jewelry Beetle Shape Earrings A very pretty dress, discrete and unique for a girl that will go beautifully. 1 product that I recommend.")</f>
        <v>Xuping Jewelry Beetle Shape Earrings A very pretty dress, discrete and unique for a girl that will go beautifully. 1 product that I recommend.</v>
      </c>
    </row>
    <row r="5752">
      <c r="A5752" s="1">
        <v>5.0</v>
      </c>
      <c r="B5752" s="1" t="s">
        <v>5675</v>
      </c>
      <c r="C5752" t="str">
        <f>IFERROR(__xludf.DUMMYFUNCTION("GOOGLETRANSLATE(B5752, ""fr"", ""en"")"),"Very good price / quality / design I ordered it in size L and I measure 1m81. This size perfectly. At first glance it looks tight but it's the cut that is elusive at the waist and tight on the shins. Brief look awesome and super comfortable. I wear it eve"&amp;"ry day and am more than ever satisfied with my purchase. Definitely recommended.")</f>
        <v>Very good price / quality / design I ordered it in size L and I measure 1m81. This size perfectly. At first glance it looks tight but it's the cut that is elusive at the waist and tight on the shins. Brief look awesome and super comfortable. I wear it every day and am more than ever satisfied with my purchase. Definitely recommended.</v>
      </c>
    </row>
    <row r="5753">
      <c r="A5753" s="1">
        <v>5.0</v>
      </c>
      <c r="B5753" s="1" t="s">
        <v>5676</v>
      </c>
      <c r="C5753" t="str">
        <f>IFERROR(__xludf.DUMMYFUNCTION("GOOGLETRANSLATE(B5753, ""fr"", ""en"")"),"Perfect. Perfect. Excellent value")</f>
        <v>Perfect. Perfect. Excellent value</v>
      </c>
    </row>
    <row r="5754">
      <c r="A5754" s="1">
        <v>5.0</v>
      </c>
      <c r="B5754" s="1" t="s">
        <v>5677</v>
      </c>
      <c r="C5754" t="str">
        <f>IFERROR(__xludf.DUMMYFUNCTION("GOOGLETRANSLATE(B5754, ""fr"", ""en"")"),"beautiful beautiful")</f>
        <v>beautiful beautiful</v>
      </c>
    </row>
    <row r="5755">
      <c r="A5755" s="1">
        <v>2.0</v>
      </c>
      <c r="B5755" s="1" t="s">
        <v>5678</v>
      </c>
      <c r="C5755" t="str">
        <f>IFERROR(__xludf.DUMMYFUNCTION("GOOGLETRANSLATE(B5755, ""fr"", ""en"")"),"Too bad it's not like Too bad its not like him")</f>
        <v>Too bad it's not like Too bad its not like him</v>
      </c>
    </row>
    <row r="5756">
      <c r="A5756" s="1">
        <v>1.0</v>
      </c>
      <c r="B5756" s="1" t="s">
        <v>5679</v>
      </c>
      <c r="C5756" t="str">
        <f>IFERROR(__xludf.DUMMYFUNCTION("GOOGLETRANSLATE(B5756, ""fr"", ""en"")"),"Very disappointed Very disappointed you must have a wrist of a 7 year old child to put it is impossible !!! In addition it is very expensive for what it is very unhappy")</f>
        <v>Very disappointed Very disappointed you must have a wrist of a 7 year old child to put it is impossible !!! In addition it is very expensive for what it is very unhappy</v>
      </c>
    </row>
    <row r="5757">
      <c r="A5757" s="1">
        <v>3.0</v>
      </c>
      <c r="B5757" s="1" t="s">
        <v>5680</v>
      </c>
      <c r="C5757" t="str">
        <f>IFERROR(__xludf.DUMMYFUNCTION("GOOGLETRANSLATE(B5757, ""fr"", ""en"")"),"good product I use it now for a few nights but we must find the right position to make it fit for the upper back. on a chair not clear it slides. with a pillow not necessarily easy either, the cushion is still very thick (this is not seen on the photo pre"&amp;"sentation) .the heat is more though. it rotates in one direction and then the other and sometimes it's a little painful on some tensions but it relaxes still")</f>
        <v>good product I use it now for a few nights but we must find the right position to make it fit for the upper back. on a chair not clear it slides. with a pillow not necessarily easy either, the cushion is still very thick (this is not seen on the photo presentation) .the heat is more though. it rotates in one direction and then the other and sometimes it's a little painful on some tensions but it relaxes still</v>
      </c>
    </row>
    <row r="5758">
      <c r="A5758" s="1">
        <v>3.0</v>
      </c>
      <c r="B5758" s="1" t="s">
        <v>5681</v>
      </c>
      <c r="C5758" t="str">
        <f>IFERROR(__xludf.DUMMYFUNCTION("GOOGLETRANSLATE(B5758, ""fr"", ""en"")"),"sleeves a bit long sleeves are a bit long (we're not monkeys or giant) very very soft and pleasant")</f>
        <v>sleeves a bit long sleeves are a bit long (we're not monkeys or giant) very very soft and pleasant</v>
      </c>
    </row>
    <row r="5759">
      <c r="A5759" s="1">
        <v>4.0</v>
      </c>
      <c r="B5759" s="1" t="s">
        <v>5682</v>
      </c>
      <c r="C5759" t="str">
        <f>IFERROR(__xludf.DUMMYFUNCTION("GOOGLETRANSLATE(B5759, ""fr"", ""en"")"),"Efficient and Very pretty good shoes, efficient and not ugly like other security models")</f>
        <v>Efficient and Very pretty good shoes, efficient and not ugly like other security models</v>
      </c>
    </row>
    <row r="5760">
      <c r="A5760" s="1">
        <v>4.0</v>
      </c>
      <c r="B5760" s="1" t="s">
        <v>5683</v>
      </c>
      <c r="C5760" t="str">
        <f>IFERROR(__xludf.DUMMYFUNCTION("GOOGLETRANSLATE(B5760, ""fr"", ""en"")"),"Although this headset is great but still much improvement should be done")</f>
        <v>Although this headset is great but still much improvement should be done</v>
      </c>
    </row>
    <row r="5761">
      <c r="A5761" s="1">
        <v>4.0</v>
      </c>
      <c r="B5761" s="1" t="s">
        <v>5684</v>
      </c>
      <c r="C5761" t="str">
        <f>IFERROR(__xludf.DUMMYFUNCTION("GOOGLETRANSLATE(B5761, ""fr"", ""en"")"),"Very cozy comfort of a slipper and the class of a beautiful shoe typical street / sport. First pair for me, I am delighted at the bridge to have taken a second to self: D")</f>
        <v>Very cozy comfort of a slipper and the class of a beautiful shoe typical street / sport. First pair for me, I am delighted at the bridge to have taken a second to self: D</v>
      </c>
    </row>
    <row r="5762">
      <c r="A5762" s="1">
        <v>4.0</v>
      </c>
      <c r="B5762" s="1" t="s">
        <v>5685</v>
      </c>
      <c r="C5762" t="str">
        <f>IFERROR(__xludf.DUMMYFUNCTION("GOOGLETRANSLATE(B5762, ""fr"", ""en"")"),"Some remark Too bad there is not more firm because of water passed over and it'll be good that bottom rollers rotate with the engine otherwise it is very good")</f>
        <v>Some remark Too bad there is not more firm because of water passed over and it'll be good that bottom rollers rotate with the engine otherwise it is very good</v>
      </c>
    </row>
    <row r="5763">
      <c r="A5763" s="1">
        <v>5.0</v>
      </c>
      <c r="B5763" s="1" t="s">
        <v>5686</v>
      </c>
      <c r="C5763" t="str">
        <f>IFERROR(__xludf.DUMMYFUNCTION("GOOGLETRANSLATE(B5763, ""fr"", ""en"")"),"Great product practical use. Water is very fast and the noise is very low. The kettle is cleaned very well, for descaling, nothing more simple, a little white vinegar mixed with water that is heated and rinsed course. In summary, I use several times a day"&amp;" and I am very satisfied")</f>
        <v>Great product practical use. Water is very fast and the noise is very low. The kettle is cleaned very well, for descaling, nothing more simple, a little white vinegar mixed with water that is heated and rinsed course. In summary, I use several times a day and I am very satisfied</v>
      </c>
    </row>
    <row r="5764">
      <c r="A5764" s="1">
        <v>5.0</v>
      </c>
      <c r="B5764" s="1" t="s">
        <v>508</v>
      </c>
      <c r="C5764" t="str">
        <f>IFERROR(__xludf.DUMMYFUNCTION("GOOGLETRANSLATE(B5764, ""fr"", ""en"")"),"Very well very well")</f>
        <v>Very well very well</v>
      </c>
    </row>
    <row r="5765">
      <c r="A5765" s="1">
        <v>5.0</v>
      </c>
      <c r="B5765" s="1" t="s">
        <v>5687</v>
      </c>
      <c r="C5765" t="str">
        <f>IFERROR(__xludf.DUMMYFUNCTION("GOOGLETRANSLATE(B5765, ""fr"", ""en"")"),"Nice unisex watch This watch is simple, discreet, perfect and little suit man or woman without problems. Settings ultra facile.Cadran legible.")</f>
        <v>Nice unisex watch This watch is simple, discreet, perfect and little suit man or woman without problems. Settings ultra facile.Cadran legible.</v>
      </c>
    </row>
    <row r="5766">
      <c r="A5766" s="1">
        <v>5.0</v>
      </c>
      <c r="B5766" s="1" t="s">
        <v>5688</v>
      </c>
      <c r="C5766" t="str">
        <f>IFERROR(__xludf.DUMMYFUNCTION("GOOGLETRANSLATE(B5766, ""fr"", ""en"")"),"Perfect I bought it for the practical side pockets and I am delighted, it is comfortable and goes well above perfect size for a small stomach ...")</f>
        <v>Perfect I bought it for the practical side pockets and I am delighted, it is comfortable and goes well above perfect size for a small stomach ...</v>
      </c>
    </row>
    <row r="5767">
      <c r="A5767" s="1">
        <v>5.0</v>
      </c>
      <c r="B5767" s="1" t="s">
        <v>5689</v>
      </c>
      <c r="C5767" t="str">
        <f>IFERROR(__xludf.DUMMYFUNCTION("GOOGLETRANSLATE(B5767, ""fr"", ""en"")"),"Although Superb bag a little stiff but functional")</f>
        <v>Although Superb bag a little stiff but functional</v>
      </c>
    </row>
    <row r="5768">
      <c r="A5768" s="1">
        <v>5.0</v>
      </c>
      <c r="B5768" s="1" t="s">
        <v>5690</v>
      </c>
      <c r="C5768" t="str">
        <f>IFERROR(__xludf.DUMMYFUNCTION("GOOGLETRANSLATE(B5768, ""fr"", ""en"")"),"Plaisir This is a very nice watch")</f>
        <v>Plaisir This is a very nice watch</v>
      </c>
    </row>
    <row r="5769">
      <c r="A5769" s="1">
        <v>5.0</v>
      </c>
      <c r="B5769" s="1" t="s">
        <v>5691</v>
      </c>
      <c r="C5769" t="str">
        <f>IFERROR(__xludf.DUMMYFUNCTION("GOOGLETRANSLATE(B5769, ""fr"", ""en"")"),"Very effective Very effective for all bottle components. Max 6 bottles")</f>
        <v>Very effective Very effective for all bottle components. Max 6 bottles</v>
      </c>
    </row>
    <row r="5770">
      <c r="A5770" s="1">
        <v>5.0</v>
      </c>
      <c r="B5770" s="1" t="s">
        <v>5692</v>
      </c>
      <c r="C5770" t="str">
        <f>IFERROR(__xludf.DUMMYFUNCTION("GOOGLETRANSLATE(B5770, ""fr"", ""en"")"),"Essential Oil Well")</f>
        <v>Essential Oil Well</v>
      </c>
    </row>
    <row r="5771">
      <c r="A5771" s="1">
        <v>5.0</v>
      </c>
      <c r="B5771" s="1" t="s">
        <v>5693</v>
      </c>
      <c r="C5771" t="str">
        <f>IFERROR(__xludf.DUMMYFUNCTION("GOOGLETRANSLATE(B5771, ""fr"", ""en"")"),"Satisfied I like to buy this product on Amazon in big at attractive price. This toilet paper is fine for everyday use, the rollers ""Aquatube"" dissolve in water. I recommend this article.")</f>
        <v>Satisfied I like to buy this product on Amazon in big at attractive price. This toilet paper is fine for everyday use, the rollers "Aquatube" dissolve in water. I recommend this article.</v>
      </c>
    </row>
    <row r="5772">
      <c r="A5772" s="1">
        <v>5.0</v>
      </c>
      <c r="B5772" s="1" t="s">
        <v>5694</v>
      </c>
      <c r="C5772" t="str">
        <f>IFERROR(__xludf.DUMMYFUNCTION("GOOGLETRANSLATE(B5772, ""fr"", ""en"")"),"Very bizn for the price nothing to say, I received what I expected")</f>
        <v>Very bizn for the price nothing to say, I received what I expected</v>
      </c>
    </row>
    <row r="5773">
      <c r="A5773" s="1">
        <v>5.0</v>
      </c>
      <c r="B5773" s="1" t="s">
        <v>5695</v>
      </c>
      <c r="C5773" t="str">
        <f>IFERROR(__xludf.DUMMYFUNCTION("GOOGLETRANSLATE(B5773, ""fr"", ""en"")"),"Great coffee! I have this tea since 2007! She never let go! I have therefore bought one for my mother who is also delighted. To me this over coffee: one can lay a hand on the sides to evaluate the temperature without burning as many other kettles are made"&amp;" of metal and burn risk is not negligible in my opinion. I recommend it for its durability, its isolation and its spout that does not drip!")</f>
        <v>Great coffee! I have this tea since 2007! She never let go! I have therefore bought one for my mother who is also delighted. To me this over coffee: one can lay a hand on the sides to evaluate the temperature without burning as many other kettles are made of metal and burn risk is not negligible in my opinion. I recommend it for its durability, its isolation and its spout that does not drip!</v>
      </c>
    </row>
    <row r="5774">
      <c r="A5774" s="1">
        <v>5.0</v>
      </c>
      <c r="B5774" s="1" t="s">
        <v>5696</v>
      </c>
      <c r="C5774" t="str">
        <f>IFERROR(__xludf.DUMMYFUNCTION("GOOGLETRANSLATE(B5774, ""fr"", ""en"")"),"Okay Beautiful bracelets for cheap")</f>
        <v>Okay Beautiful bracelets for cheap</v>
      </c>
    </row>
    <row r="5775">
      <c r="A5775" s="1">
        <v>5.0</v>
      </c>
      <c r="B5775" s="1" t="s">
        <v>5697</v>
      </c>
      <c r="C5775" t="str">
        <f>IFERROR(__xludf.DUMMYFUNCTION("GOOGLETRANSLATE(B5775, ""fr"", ""en"")"),"More than happy! Géniallisime! Very beautiful ! Very nice light! Dissemination of pleasant ET! Very easy to use. A small object that does not take place and makes a nice decor :)")</f>
        <v>More than happy! Géniallisime! Very beautiful ! Very nice light! Dissemination of pleasant ET! Very easy to use. A small object that does not take place and makes a nice decor :)</v>
      </c>
    </row>
    <row r="5776">
      <c r="A5776" s="1">
        <v>5.0</v>
      </c>
      <c r="B5776" s="1" t="s">
        <v>5698</v>
      </c>
      <c r="C5776" t="str">
        <f>IFERROR(__xludf.DUMMYFUNCTION("GOOGLETRANSLATE(B5776, ""fr"", ""en"")"),"Super Super stickers for children. Easy to take off handle. It has occupied them!")</f>
        <v>Super Super stickers for children. Easy to take off handle. It has occupied them!</v>
      </c>
    </row>
    <row r="5777">
      <c r="A5777" s="1">
        <v>5.0</v>
      </c>
      <c r="B5777" s="1" t="s">
        <v>5699</v>
      </c>
      <c r="C5777" t="str">
        <f>IFERROR(__xludf.DUMMYFUNCTION("GOOGLETRANSLATE(B5777, ""fr"", ""en"")"),"beautiful ring my daughter loves her ring")</f>
        <v>beautiful ring my daughter loves her ring</v>
      </c>
    </row>
    <row r="5778">
      <c r="A5778" s="1">
        <v>2.0</v>
      </c>
      <c r="B5778" s="1" t="s">
        <v>5700</v>
      </c>
      <c r="C5778" t="str">
        <f>IFERROR(__xludf.DUMMYFUNCTION("GOOGLETRANSLATE(B5778, ""fr"", ""en"")"),"Very mediocre The sound is really horrible, I do not understand the rave reviews, they must beings deaf or half n have never used a good helmet. Even at this price it does not worth it, used with Netflix was the impression listen to the sound lo-fi qualit"&amp;"y. The microphone during calls is catastrophic.")</f>
        <v>Very mediocre The sound is really horrible, I do not understand the rave reviews, they must beings deaf or half n have never used a good helmet. Even at this price it does not worth it, used with Netflix was the impression listen to the sound lo-fi quality. The microphone during calls is catastrophic.</v>
      </c>
    </row>
    <row r="5779">
      <c r="A5779" s="1">
        <v>1.0</v>
      </c>
      <c r="B5779" s="1" t="s">
        <v>5701</v>
      </c>
      <c r="C5779" t="str">
        <f>IFERROR(__xludf.DUMMYFUNCTION("GOOGLETRANSLATE(B5779, ""fr"", ""en"")"),"The build quality Bought in February microphone stopped working. A speaker also hs Put Price")</f>
        <v>The build quality Bought in February microphone stopped working. A speaker also hs Put Price</v>
      </c>
    </row>
    <row r="5780">
      <c r="A5780" s="1">
        <v>1.0</v>
      </c>
      <c r="B5780" s="1" t="s">
        <v>5702</v>
      </c>
      <c r="C5780" t="str">
        <f>IFERROR(__xludf.DUMMYFUNCTION("GOOGLETRANSLATE(B5780, ""fr"", ""en"")"),"Poor After months, say an old gem 20 years, money has become orange. Very ugly and above, given the price I find it shameful, shoddy.")</f>
        <v>Poor After months, say an old gem 20 years, money has become orange. Very ugly and above, given the price I find it shameful, shoddy.</v>
      </c>
    </row>
    <row r="5781">
      <c r="A5781" s="1">
        <v>3.0</v>
      </c>
      <c r="B5781" s="1" t="s">
        <v>5703</v>
      </c>
      <c r="C5781" t="str">
        <f>IFERROR(__xludf.DUMMYFUNCTION("GOOGLETRANSLATE(B5781, ""fr"", ""en"")"),"Pretty programmable coffee This coffee maker is rather pretty in red but the brand logo is registered in the great body of the coffee machine and on the pitcher. We would be well. If you want to use the timer or just have time on your work surface, you mu"&amp;"st set the time using the keys below the display. If you want a hot coffee when you wake up, you have set the time you want like an alarm clock. The pitcher provides about ten cups, it seems to me well enough. Maintains the coffee warm coffee for 40 min. "&amp;"If you have the habit of drinking coffee warmed throughout the day, it will press the reheat button every time.")</f>
        <v>Pretty programmable coffee This coffee maker is rather pretty in red but the brand logo is registered in the great body of the coffee machine and on the pitcher. We would be well. If you want to use the timer or just have time on your work surface, you must set the time using the keys below the display. If you want a hot coffee when you wake up, you have set the time you want like an alarm clock. The pitcher provides about ten cups, it seems to me well enough. Maintains the coffee warm coffee for 40 min. If you have the habit of drinking coffee warmed throughout the day, it will press the reheat button every time.</v>
      </c>
    </row>
    <row r="5782">
      <c r="A5782" s="1">
        <v>3.0</v>
      </c>
      <c r="B5782" s="1" t="s">
        <v>5704</v>
      </c>
      <c r="C5782" t="str">
        <f>IFERROR(__xludf.DUMMYFUNCTION("GOOGLETRANSLATE(B5782, ""fr"", ""en"")"),"bags moderately resistant trash lack of sealing in case of beverages ds bag handy closure, open and tear if overfilled")</f>
        <v>bags moderately resistant trash lack of sealing in case of beverages ds bag handy closure, open and tear if overfilled</v>
      </c>
    </row>
    <row r="5783">
      <c r="A5783" s="1">
        <v>4.0</v>
      </c>
      <c r="B5783" s="1" t="s">
        <v>5705</v>
      </c>
      <c r="C5783" t="str">
        <f>IFERROR(__xludf.DUMMYFUNCTION("GOOGLETRANSLATE(B5783, ""fr"", ""en"")"),"Although comfortable, dries quickly, my partner is quite satisfied. I had already bought 6 months ago, so the duration in time, mixed .. but wearable.")</f>
        <v>Although comfortable, dries quickly, my partner is quite satisfied. I had already bought 6 months ago, so the duration in time, mixed .. but wearable.</v>
      </c>
    </row>
    <row r="5784">
      <c r="A5784" s="1">
        <v>4.0</v>
      </c>
      <c r="B5784" s="1" t="s">
        <v>5706</v>
      </c>
      <c r="C5784" t="str">
        <f>IFERROR(__xludf.DUMMYFUNCTION("GOOGLETRANSLATE(B5784, ""fr"", ""en"")"),"Finally well-fitting rings To narrow rings!")</f>
        <v>Finally well-fitting rings To narrow rings!</v>
      </c>
    </row>
    <row r="5785">
      <c r="A5785" s="1">
        <v>4.0</v>
      </c>
      <c r="B5785" s="1" t="s">
        <v>5707</v>
      </c>
      <c r="C5785" t="str">
        <f>IFERROR(__xludf.DUMMYFUNCTION("GOOGLETRANSLATE(B5785, ""fr"", ""en"")"),"Pretty, light and fine feathers They are consistent with the picture and are very light to wear. Small flat for closing, with small physical problems I have encountered some difficulties with the closure. But despite this I advice they are beautiful and f"&amp;"ine.")</f>
        <v>Pretty, light and fine feathers They are consistent with the picture and are very light to wear. Small flat for closing, with small physical problems I have encountered some difficulties with the closure. But despite this I advice they are beautiful and fine.</v>
      </c>
    </row>
    <row r="5786">
      <c r="A5786" s="1">
        <v>4.0</v>
      </c>
      <c r="B5786" s="1" t="s">
        <v>5708</v>
      </c>
      <c r="C5786" t="str">
        <f>IFERROR(__xludf.DUMMYFUNCTION("GOOGLETRANSLATE(B5786, ""fr"", ""en"")"),"jewel beautiful majgrès the fact that you can not remove the chain")</f>
        <v>jewel beautiful majgrès the fact that you can not remove the chain</v>
      </c>
    </row>
    <row r="5787">
      <c r="A5787" s="1">
        <v>4.0</v>
      </c>
      <c r="B5787" s="1" t="s">
        <v>5709</v>
      </c>
      <c r="C5787" t="str">
        <f>IFERROR(__xludf.DUMMYFUNCTION("GOOGLETRANSLATE(B5787, ""fr"", ""en"")"),"OK OK but not crazy either")</f>
        <v>OK OK but not crazy either</v>
      </c>
    </row>
    <row r="5788">
      <c r="A5788" s="1">
        <v>5.0</v>
      </c>
      <c r="B5788" s="1" t="s">
        <v>5710</v>
      </c>
      <c r="C5788" t="str">
        <f>IFERROR(__xludf.DUMMYFUNCTION("GOOGLETRANSLATE(B5788, ""fr"", ""en"")"),"Beautiful Perfect quality very beautiful product quality Trè beautiful fabrics recommend. Product expensive but very beautiful perfect perfect quality")</f>
        <v>Beautiful Perfect quality very beautiful product quality Trè beautiful fabrics recommend. Product expensive but very beautiful perfect perfect quality</v>
      </c>
    </row>
    <row r="5789">
      <c r="A5789" s="1">
        <v>5.0</v>
      </c>
      <c r="B5789" s="1" t="s">
        <v>5711</v>
      </c>
      <c r="C5789" t="str">
        <f>IFERROR(__xludf.DUMMYFUNCTION("GOOGLETRANSLATE(B5789, ""fr"", ""en"")"),"Elegant and comfortable The product perfectly fits the description")</f>
        <v>Elegant and comfortable The product perfectly fits the description</v>
      </c>
    </row>
    <row r="5790">
      <c r="A5790" s="1">
        <v>5.0</v>
      </c>
      <c r="B5790" s="1" t="s">
        <v>5712</v>
      </c>
      <c r="C5790" t="str">
        <f>IFERROR(__xludf.DUMMYFUNCTION("GOOGLETRANSLATE(B5790, ""fr"", ""en"")"),"Very funny and beautiful must for evening with friends! Super quality and different modes to change the voice! One can connect it directly to the phone for a karaoke effect by putting videos on YouTube, for example, the music comes out of the microwave, i"&amp;"t's great! Really funny to sing our favorite music, to offer (or keep for yourself!). On top of that the microphone is really beautiful 😍 I love !!!")</f>
        <v>Very funny and beautiful must for evening with friends! Super quality and different modes to change the voice! One can connect it directly to the phone for a karaoke effect by putting videos on YouTube, for example, the music comes out of the microwave, it's great! Really funny to sing our favorite music, to offer (or keep for yourself!). On top of that the microphone is really beautiful 😍 I love !!!</v>
      </c>
    </row>
    <row r="5791">
      <c r="A5791" s="1">
        <v>5.0</v>
      </c>
      <c r="B5791" s="1" t="s">
        <v>5713</v>
      </c>
      <c r="C5791" t="str">
        <f>IFERROR(__xludf.DUMMYFUNCTION("GOOGLETRANSLATE(B5791, ""fr"", ""en"")"),"Not bad at all! A Beautiful hoodies, I took it in purple, mint, turquoise and there for choice, the matter is agréable.Bien for correct sport.prix")</f>
        <v>Not bad at all! A Beautiful hoodies, I took it in purple, mint, turquoise and there for choice, the matter is agréable.Bien for correct sport.prix</v>
      </c>
    </row>
    <row r="5792">
      <c r="A5792" s="1">
        <v>5.0</v>
      </c>
      <c r="B5792" s="1" t="s">
        <v>5714</v>
      </c>
      <c r="C5792" t="str">
        <f>IFERROR(__xludf.DUMMYFUNCTION("GOOGLETRANSLATE(B5792, ""fr"", ""en"")"),"Good tea kettle, made the taf not too expensive, the more this kettle is that the water does not directly in contact with the resistance so that the limestone does not accumulate. A well cleaning a avaant the first use (heat once or twice e)")</f>
        <v>Good tea kettle, made the taf not too expensive, the more this kettle is that the water does not directly in contact with the resistance so that the limestone does not accumulate. A well cleaning a avaant the first use (heat once or twice e)</v>
      </c>
    </row>
    <row r="5793">
      <c r="A5793" s="1">
        <v>5.0</v>
      </c>
      <c r="B5793" s="1" t="s">
        <v>5715</v>
      </c>
      <c r="C5793" t="str">
        <f>IFERROR(__xludf.DUMMYFUNCTION("GOOGLETRANSLATE(B5793, ""fr"", ""en"")"),"HM37 I love good solid shows impeccable operation, see the durée.avec the radio clock is always on time, in the dark simply rotate the wrist to q'elle lights .")</f>
        <v>HM37 I love good solid shows impeccable operation, see the durée.avec the radio clock is always on time, in the dark simply rotate the wrist to q'elle lights .</v>
      </c>
    </row>
    <row r="5794">
      <c r="A5794" s="1">
        <v>5.0</v>
      </c>
      <c r="B5794" s="1" t="s">
        <v>5716</v>
      </c>
      <c r="C5794" t="str">
        <f>IFERROR(__xludf.DUMMYFUNCTION("GOOGLETRANSLATE(B5794, ""fr"", ""en"")"),"Review Very satisfied! Coffee robust and aesthetic Makes a good hot coffee. Pass quickly. Keeping warm 40mn: great. By cons I would like to have the opinion of others: when I throw the filter used is very humid and the coffee flows: Normal ??")</f>
        <v>Review Very satisfied! Coffee robust and aesthetic Makes a good hot coffee. Pass quickly. Keeping warm 40mn: great. By cons I would like to have the opinion of others: when I throw the filter used is very humid and the coffee flows: Normal ??</v>
      </c>
    </row>
    <row r="5795">
      <c r="A5795" s="1">
        <v>5.0</v>
      </c>
      <c r="B5795" s="1" t="s">
        <v>5717</v>
      </c>
      <c r="C5795" t="str">
        <f>IFERROR(__xludf.DUMMYFUNCTION("GOOGLETRANSLATE(B5795, ""fr"", ""en"")"),"I am completely satisfied with this purchase. I am completely satisfied with this purchase. This headset is easy to use no Bluetooth coupling problem and very good battery life.")</f>
        <v>I am completely satisfied with this purchase. I am completely satisfied with this purchase. This headset is easy to use no Bluetooth coupling problem and very good battery life.</v>
      </c>
    </row>
    <row r="5796">
      <c r="A5796" s="1">
        <v>5.0</v>
      </c>
      <c r="B5796" s="1" t="s">
        <v>5718</v>
      </c>
      <c r="C5796" t="str">
        <f>IFERROR(__xludf.DUMMYFUNCTION("GOOGLETRANSLATE(B5796, ""fr"", ""en"")"),"On top Send fast and consistent product.")</f>
        <v>On top Send fast and consistent product.</v>
      </c>
    </row>
    <row r="5797">
      <c r="A5797" s="1">
        <v>5.0</v>
      </c>
      <c r="B5797" s="1" t="s">
        <v>5719</v>
      </c>
      <c r="C5797" t="str">
        <f>IFERROR(__xludf.DUMMYFUNCTION("GOOGLETRANSLATE(B5797, ""fr"", ""en"")"),"Very warm socks, light and soft socks I bought these not to go hiking but just to protect me from the cold. They are really effective, soft and light, very comfortable to wear. By cons, think of washing to put the machine in reverse or they fluff. I had f"&amp;"orgotten to do so for a 😕 pair, I hope it will not remove anything of their effectiveness. It is a product that I recommend.")</f>
        <v>Very warm socks, light and soft socks I bought these not to go hiking but just to protect me from the cold. They are really effective, soft and light, very comfortable to wear. By cons, think of washing to put the machine in reverse or they fluff. I had forgotten to do so for a 😕 pair, I hope it will not remove anything of their effectiveness. It is a product that I recommend.</v>
      </c>
    </row>
    <row r="5798">
      <c r="A5798" s="1">
        <v>5.0</v>
      </c>
      <c r="B5798" s="1" t="s">
        <v>5720</v>
      </c>
      <c r="C5798" t="str">
        <f>IFERROR(__xludf.DUMMYFUNCTION("GOOGLETRANSLATE(B5798, ""fr"", ""en"")"),"Easy to use I received my Bluetooth headset yesterday morning and I am completely satisfied, the sound quality is very good. They take very good ear and it's perfect to go running or cycling, the battery yours although I have not yet had to recharge the g"&amp;"reat product")</f>
        <v>Easy to use I received my Bluetooth headset yesterday morning and I am completely satisfied, the sound quality is very good. They take very good ear and it's perfect to go running or cycling, the battery yours although I have not yet had to recharge the great product</v>
      </c>
    </row>
    <row r="5799">
      <c r="A5799" s="1">
        <v>5.0</v>
      </c>
      <c r="B5799" s="1" t="s">
        <v>3359</v>
      </c>
      <c r="C5799" t="str">
        <f>IFERROR(__xludf.DUMMYFUNCTION("GOOGLETRANSLATE(B5799, ""fr"", ""en"")"),"👍 👍")</f>
        <v>👍 👍</v>
      </c>
    </row>
    <row r="5800">
      <c r="A5800" s="1">
        <v>5.0</v>
      </c>
      <c r="B5800" s="1" t="s">
        <v>5721</v>
      </c>
      <c r="C5800" t="str">
        <f>IFERROR(__xludf.DUMMYFUNCTION("GOOGLETRANSLATE(B5800, ""fr"", ""en"")"),"This fragrant atmosphere diffuser is easy to use, just put 300 ml of water and a few drops of essential oils for a fragrant atmosphere or to purify the air. Personally I love its design with its wood finish color. In addition, we can adjust several colors"&amp;" and changing intensity levels. I recommend it for a gift.")</f>
        <v>This fragrant atmosphere diffuser is easy to use, just put 300 ml of water and a few drops of essential oils for a fragrant atmosphere or to purify the air. Personally I love its design with its wood finish color. In addition, we can adjust several colors and changing intensity levels. I recommend it for a gift.</v>
      </c>
    </row>
    <row r="5801">
      <c r="A5801" s="1">
        <v>5.0</v>
      </c>
      <c r="B5801" s="1" t="s">
        <v>5722</v>
      </c>
      <c r="C5801" t="str">
        <f>IFERROR(__xludf.DUMMYFUNCTION("GOOGLETRANSLATE(B5801, ""fr"", ""en"")"),"The complete laminator roll, runs hot as a cold, the progression of the document is managed by a conveyor which ensures the proper gearshift. On top of a cutter 30 cm enables straight cuts, more support is printed with a ruler, compass, etc. to better adj"&amp;"ust our cuts. Two accessories are supplied: -A rounder corners: the model of a drill tool used to avoid to keep crude corners and make a round with a single punch (Caution well let the document cool for perfect operation ) -A punch, I have not used using "&amp;"no binder but I do not doubt that some will have to use. The large number of consumables are supplied with bags of all sizes, and a little creative kit (not tested for by my) to make a garland of photo frames rings for hanging creations etc ... All Format"&amp;"s pass without issue up to A3 and the carriage guide documents straight, though I be a perfect debutant my first creations are impeccable.")</f>
        <v>The complete laminator roll, runs hot as a cold, the progression of the document is managed by a conveyor which ensures the proper gearshift. On top of a cutter 30 cm enables straight cuts, more support is printed with a ruler, compass, etc. to better adjust our cuts. Two accessories are supplied: -A rounder corners: the model of a drill tool used to avoid to keep crude corners and make a round with a single punch (Caution well let the document cool for perfect operation ) -A punch, I have not used using no binder but I do not doubt that some will have to use. The large number of consumables are supplied with bags of all sizes, and a little creative kit (not tested for by my) to make a garland of photo frames rings for hanging creations etc ... All Formats pass without issue up to A3 and the carriage guide documents straight, though I be a perfect debutant my first creations are impeccable.</v>
      </c>
    </row>
    <row r="5802">
      <c r="A5802" s="1">
        <v>5.0</v>
      </c>
      <c r="B5802" s="1" t="s">
        <v>5723</v>
      </c>
      <c r="C5802" t="str">
        <f>IFERROR(__xludf.DUMMYFUNCTION("GOOGLETRANSLATE(B5802, ""fr"", ""en"")"),"Quality Very beautiful necklace respondent what I wanted I recommend")</f>
        <v>Quality Very beautiful necklace respondent what I wanted I recommend</v>
      </c>
    </row>
    <row r="5803">
      <c r="A5803" s="1">
        <v>2.0</v>
      </c>
      <c r="B5803" s="1" t="s">
        <v>5724</v>
      </c>
      <c r="C5803" t="str">
        <f>IFERROR(__xludf.DUMMYFUNCTION("GOOGLETRANSLATE(B5803, ""fr"", ""en"")"),"disappointed it's not the same as I saw Hello I'm disappointed it's not the same as I saw on the normal sweat he had to have a logo mark with vogueland and this one damage anything.")</f>
        <v>disappointed it's not the same as I saw Hello I'm disappointed it's not the same as I saw on the normal sweat he had to have a logo mark with vogueland and this one damage anything.</v>
      </c>
    </row>
    <row r="5804">
      <c r="A5804" s="1">
        <v>1.0</v>
      </c>
      <c r="B5804" s="1" t="s">
        <v>5725</v>
      </c>
      <c r="C5804" t="str">
        <f>IFERROR(__xludf.DUMMYFUNCTION("GOOGLETRANSLATE(B5804, ""fr"", ""en"")"),"non-adjustable temperature! I thought the temperature was adjustable and could choose the specific degrees but it is not. water can only heat without boiling but can not make heads 65, 75 or 90 degrees.")</f>
        <v>non-adjustable temperature! I thought the temperature was adjustable and could choose the specific degrees but it is not. water can only heat without boiling but can not make heads 65, 75 or 90 degrees.</v>
      </c>
    </row>
    <row r="5805">
      <c r="A5805" s="1">
        <v>1.0</v>
      </c>
      <c r="B5805" s="1" t="s">
        <v>5726</v>
      </c>
      <c r="C5805" t="str">
        <f>IFERROR(__xludf.DUMMYFUNCTION("GOOGLETRANSLATE(B5805, ""fr"", ""en"")"),"Sole improper inside I ordered the model with the lining of the Beige leather heel, and got instead a patterned coating with a white canvas (low end). So I paid more for a cheaper louse! Disappointment.")</f>
        <v>Sole improper inside I ordered the model with the lining of the Beige leather heel, and got instead a patterned coating with a white canvas (low end). So I paid more for a cheaper louse! Disappointment.</v>
      </c>
    </row>
    <row r="5806">
      <c r="A5806" s="1">
        <v>3.0</v>
      </c>
      <c r="B5806" s="1" t="s">
        <v>5727</v>
      </c>
      <c r="C5806" t="str">
        <f>IFERROR(__xludf.DUMMYFUNCTION("GOOGLETRANSLATE(B5806, ""fr"", ""en"")"),"A pretty little high for a 10 year old daughter Otherwise they are very pretty")</f>
        <v>A pretty little high for a 10 year old daughter Otherwise they are very pretty</v>
      </c>
    </row>
    <row r="5807">
      <c r="A5807" s="1">
        <v>3.0</v>
      </c>
      <c r="B5807" s="1" t="s">
        <v>5728</v>
      </c>
      <c r="C5807" t="str">
        <f>IFERROR(__xludf.DUMMYFUNCTION("GOOGLETRANSLATE(B5807, ""fr"", ""en"")"),"but good shoe .... shoe comfortable and well suited to intensive use, unfortunately very messy to use (dirt tends to cling and not to slip footwear)")</f>
        <v>but good shoe .... shoe comfortable and well suited to intensive use, unfortunately very messy to use (dirt tends to cling and not to slip footwear)</v>
      </c>
    </row>
    <row r="5808">
      <c r="A5808" s="1">
        <v>4.0</v>
      </c>
      <c r="B5808" s="1" t="s">
        <v>5729</v>
      </c>
      <c r="C5808" t="str">
        <f>IFERROR(__xludf.DUMMYFUNCTION("GOOGLETRANSLATE(B5808, ""fr"", ""en"")"),"Although shoes for the winter and hot hold. They are quite nice to walk normally and carve. However, they lose some wool that is inside. That may be because they are new. I hope they will hold more than one winter.")</f>
        <v>Although shoes for the winter and hot hold. They are quite nice to walk normally and carve. However, they lose some wool that is inside. That may be because they are new. I hope they will hold more than one winter.</v>
      </c>
    </row>
    <row r="5809">
      <c r="A5809" s="1">
        <v>4.0</v>
      </c>
      <c r="B5809" s="1" t="s">
        <v>5730</v>
      </c>
      <c r="C5809" t="str">
        <f>IFERROR(__xludf.DUMMYFUNCTION("GOOGLETRANSLATE(B5809, ""fr"", ""en"")"),"Kettle Super device and user")</f>
        <v>Kettle Super device and user</v>
      </c>
    </row>
    <row r="5810">
      <c r="A5810" s="1">
        <v>4.0</v>
      </c>
      <c r="B5810" s="1" t="s">
        <v>5731</v>
      </c>
      <c r="C5810" t="str">
        <f>IFERROR(__xludf.DUMMYFUNCTION("GOOGLETRANSLATE(B5810, ""fr"", ""en"")"),"The album is satisfied received in good condition, consistent with the description. enough room to put comments on the side :) careful packing this little increases the risk of damage. Although for me everything is ok.")</f>
        <v>The album is satisfied received in good condition, consistent with the description. enough room to put comments on the side :) careful packing this little increases the risk of damage. Although for me everything is ok.</v>
      </c>
    </row>
    <row r="5811">
      <c r="A5811" s="1">
        <v>4.0</v>
      </c>
      <c r="B5811" s="1" t="s">
        <v>5732</v>
      </c>
      <c r="C5811" t="str">
        <f>IFERROR(__xludf.DUMMYFUNCTION("GOOGLETRANSLATE(B5811, ""fr"", ""en"")"),"satisfied conform to my order ... satisfied.")</f>
        <v>satisfied conform to my order ... satisfied.</v>
      </c>
    </row>
    <row r="5812">
      <c r="A5812" s="1">
        <v>5.0</v>
      </c>
      <c r="B5812" s="1" t="s">
        <v>5733</v>
      </c>
      <c r="C5812" t="str">
        <f>IFERROR(__xludf.DUMMYFUNCTION("GOOGLETRANSLATE(B5812, ""fr"", ""en"")"),"Okay Too Comfortable")</f>
        <v>Okay Too Comfortable</v>
      </c>
    </row>
    <row r="5813">
      <c r="A5813" s="1">
        <v>5.0</v>
      </c>
      <c r="B5813" s="1" t="s">
        <v>5734</v>
      </c>
      <c r="C5813" t="str">
        <f>IFERROR(__xludf.DUMMYFUNCTION("GOOGLETRANSLATE(B5813, ""fr"", ""en"")"),"Basketball woman The sneakers are super flexible fine we walk in the color is super nothing to say")</f>
        <v>Basketball woman The sneakers are super flexible fine we walk in the color is super nothing to say</v>
      </c>
    </row>
    <row r="5814">
      <c r="A5814" s="1">
        <v>5.0</v>
      </c>
      <c r="B5814" s="1" t="s">
        <v>5735</v>
      </c>
      <c r="C5814" t="str">
        <f>IFERROR(__xludf.DUMMYFUNCTION("GOOGLETRANSLATE(B5814, ""fr"", ""en"")"),"Very serious business Very satisfied with my order")</f>
        <v>Very serious business Very satisfied with my order</v>
      </c>
    </row>
    <row r="5815">
      <c r="A5815" s="1">
        <v>5.0</v>
      </c>
      <c r="B5815" s="1" t="s">
        <v>5736</v>
      </c>
      <c r="C5815" t="str">
        <f>IFERROR(__xludf.DUMMYFUNCTION("GOOGLETRANSLATE(B5815, ""fr"", ""en"")"),"It is an incredible adventure beautiful as my wife says it looks like a pocket watch in gold. She guy Rothschild class 7th or 16th district, For a small small price, smaller price than that is not possible, it seems that this pocket watch was made by one "&amp;"of the largest jeweler in Paris. While I focuses Hyper watches bottom of plastic scrap in addition to range from 25 to 35 € style supermarket price then I would not say my birthday, when I saw this beautiful and wonderful thing in front of me I don ' not "&amp;"believe my eyes, I said that they had to put me a fortune to buy me a watch like this, as I just could not get over it, they were forced to me to see where she came from is the price of this watch (it is not easy to have a weak heart).")</f>
        <v>It is an incredible adventure beautiful as my wife says it looks like a pocket watch in gold. She guy Rothschild class 7th or 16th district, For a small small price, smaller price than that is not possible, it seems that this pocket watch was made by one of the largest jeweler in Paris. While I focuses Hyper watches bottom of plastic scrap in addition to range from 25 to 35 € style supermarket price then I would not say my birthday, when I saw this beautiful and wonderful thing in front of me I don ' not believe my eyes, I said that they had to put me a fortune to buy me a watch like this, as I just could not get over it, they were forced to me to see where she came from is the price of this watch (it is not easy to have a weak heart).</v>
      </c>
    </row>
    <row r="5816">
      <c r="A5816" s="1">
        <v>5.0</v>
      </c>
      <c r="B5816" s="1" t="s">
        <v>5737</v>
      </c>
      <c r="C5816" t="str">
        <f>IFERROR(__xludf.DUMMYFUNCTION("GOOGLETRANSLATE(B5816, ""fr"", ""en"")"),"Nothing to say, everything is perfect The watch is identical to the presentation, very good quality, heavy (quality sign) more beautiful in real than in pictures, it ahead of only 6 seconds per day (found on specific days 12.5 either a lead of 76 seconds)"&amp;" beautiful yellow box, I do not regret my purchase, I hope she will take a long time to go for the undecided")</f>
        <v>Nothing to say, everything is perfect The watch is identical to the presentation, very good quality, heavy (quality sign) more beautiful in real than in pictures, it ahead of only 6 seconds per day (found on specific days 12.5 either a lead of 76 seconds) beautiful yellow box, I do not regret my purchase, I hope she will take a long time to go for the undecided</v>
      </c>
    </row>
    <row r="5817">
      <c r="A5817" s="1">
        <v>5.0</v>
      </c>
      <c r="B5817" s="1" t="s">
        <v>5738</v>
      </c>
      <c r="C5817" t="str">
        <f>IFERROR(__xludf.DUMMYFUNCTION("GOOGLETRANSLATE(B5817, ""fr"", ""en"")"),"Ok 👍")</f>
        <v>Ok 👍</v>
      </c>
    </row>
    <row r="5818">
      <c r="A5818" s="1">
        <v>5.0</v>
      </c>
      <c r="B5818" s="1" t="s">
        <v>5739</v>
      </c>
      <c r="C5818" t="str">
        <f>IFERROR(__xludf.DUMMYFUNCTION("GOOGLETRANSLATE(B5818, ""fr"", ""en"")"),"good product received promptly, consistent with the description, ideal size for a 13 years. No need to pay full price for a quality product.")</f>
        <v>good product received promptly, consistent with the description, ideal size for a 13 years. No need to pay full price for a quality product.</v>
      </c>
    </row>
    <row r="5819">
      <c r="A5819" s="1">
        <v>5.0</v>
      </c>
      <c r="B5819" s="1" t="s">
        <v>5740</v>
      </c>
      <c r="C5819" t="str">
        <f>IFERROR(__xludf.DUMMYFUNCTION("GOOGLETRANSLATE(B5819, ""fr"", ""en"")"),"Discover I am a fan of pencils Arteza those there are also great choice of colors, beautiful pigmentation, neither too fat nor too dry c Perfect Match my expectations, they are close Arteza and Faber Castell I recommend this product")</f>
        <v>Discover I am a fan of pencils Arteza those there are also great choice of colors, beautiful pigmentation, neither too fat nor too dry c Perfect Match my expectations, they are close Arteza and Faber Castell I recommend this product</v>
      </c>
    </row>
    <row r="5820">
      <c r="A5820" s="1">
        <v>5.0</v>
      </c>
      <c r="B5820" s="1" t="s">
        <v>5741</v>
      </c>
      <c r="C5820" t="str">
        <f>IFERROR(__xludf.DUMMYFUNCTION("GOOGLETRANSLATE(B5820, ""fr"", ""en"")"),"Nothing to say perfect perfect")</f>
        <v>Nothing to say perfect perfect</v>
      </c>
    </row>
    <row r="5821">
      <c r="A5821" s="1">
        <v>5.0</v>
      </c>
      <c r="B5821" s="1" t="s">
        <v>5742</v>
      </c>
      <c r="C5821" t="str">
        <f>IFERROR(__xludf.DUMMYFUNCTION("GOOGLETRANSLATE(B5821, ""fr"", ""en"")"),"basquette at lower cost sports, outings with my sneakers what comfort")</f>
        <v>basquette at lower cost sports, outings with my sneakers what comfort</v>
      </c>
    </row>
    <row r="5822">
      <c r="A5822" s="1">
        <v>5.0</v>
      </c>
      <c r="B5822" s="1" t="s">
        <v>5743</v>
      </c>
      <c r="C5822" t="str">
        <f>IFERROR(__xludf.DUMMYFUNCTION("GOOGLETRANSLATE(B5822, ""fr"", ""en"")"),"Meets city tennis")</f>
        <v>Meets city tennis</v>
      </c>
    </row>
    <row r="5823">
      <c r="A5823" s="1">
        <v>5.0</v>
      </c>
      <c r="B5823" s="1" t="s">
        <v>5744</v>
      </c>
      <c r="C5823" t="str">
        <f>IFERROR(__xludf.DUMMYFUNCTION("GOOGLETRANSLATE(B5823, ""fr"", ""en"")"),"Non-toxic and inexpensive cleaning of stained glass and silverware")</f>
        <v>Non-toxic and inexpensive cleaning of stained glass and silverware</v>
      </c>
    </row>
    <row r="5824">
      <c r="A5824" s="1">
        <v>5.0</v>
      </c>
      <c r="B5824" s="1" t="s">
        <v>5745</v>
      </c>
      <c r="C5824" t="str">
        <f>IFERROR(__xludf.DUMMYFUNCTION("GOOGLETRANSLATE(B5824, ""fr"", ""en"")"),"Bag maternal period. I bought this package to complete what I had in class to create pockets of time for my students. They are very good, solid, colorful.")</f>
        <v>Bag maternal period. I bought this package to complete what I had in class to create pockets of time for my students. They are very good, solid, colorful.</v>
      </c>
    </row>
    <row r="5825">
      <c r="A5825" s="1">
        <v>5.0</v>
      </c>
      <c r="B5825" s="1" t="s">
        <v>5746</v>
      </c>
      <c r="C5825" t="str">
        <f>IFERROR(__xludf.DUMMYFUNCTION("GOOGLETRANSLATE(B5825, ""fr"", ""en"")"),"Very classy. But take 2 sizes above. Beautiful! just pay attention to size: I play in French size 39 and ordered EUR 41-42. And it's perfect.")</f>
        <v>Very classy. But take 2 sizes above. Beautiful! just pay attention to size: I play in French size 39 and ordered EUR 41-42. And it's perfect.</v>
      </c>
    </row>
    <row r="5826">
      <c r="A5826" s="1">
        <v>5.0</v>
      </c>
      <c r="B5826" s="1" t="s">
        <v>5747</v>
      </c>
      <c r="C5826" t="str">
        <f>IFERROR(__xludf.DUMMYFUNCTION("GOOGLETRANSLATE(B5826, ""fr"", ""en"")"),"Perfect, nothing to say in accordance with the product brand image consistent with the description, very beautiful, works perfectly.")</f>
        <v>Perfect, nothing to say in accordance with the product brand image consistent with the description, very beautiful, works perfectly.</v>
      </c>
    </row>
    <row r="5827">
      <c r="A5827" s="1">
        <v>5.0</v>
      </c>
      <c r="B5827" s="1" t="s">
        <v>5748</v>
      </c>
      <c r="C5827" t="str">
        <f>IFERROR(__xludf.DUMMYFUNCTION("GOOGLETRANSLATE(B5827, ""fr"", ""en"")"),"I would 100% recommend this product design is very modern. The headphones are quite long. The sound quality is just excellent, very good foundation and great treble. The sound is excellent, very good bass on these earphones. In short, a product extremely "&amp;"well designed and studied, all in a sleek design, and elegant epure.")</f>
        <v>I would 100% recommend this product design is very modern. The headphones are quite long. The sound quality is just excellent, very good foundation and great treble. The sound is excellent, very good bass on these earphones. In short, a product extremely well designed and studied, all in a sleek design, and elegant epure.</v>
      </c>
    </row>
    <row r="5828">
      <c r="A5828" s="1">
        <v>2.0</v>
      </c>
      <c r="B5828" s="1" t="s">
        <v>5749</v>
      </c>
      <c r="C5828" t="str">
        <f>IFERROR(__xludf.DUMMYFUNCTION("GOOGLETRANSLATE(B5828, ""fr"", ""en"")"),"T Shirt the evis Too expensive for the quality of the fabric. I'm disappointed with my purchase .if not very fast deliveries that good punch in c")</f>
        <v>T Shirt the evis Too expensive for the quality of the fabric. I'm disappointed with my purchase .if not very fast deliveries that good punch in c</v>
      </c>
    </row>
    <row r="5829">
      <c r="A5829" s="1">
        <v>1.0</v>
      </c>
      <c r="B5829" s="1" t="s">
        <v>5750</v>
      </c>
      <c r="C5829" t="str">
        <f>IFERROR(__xludf.DUMMYFUNCTION("GOOGLETRANSLATE(B5829, ""fr"", ""en"")"),"Whether the product is good quality product I bought, and I do not understand not having put on still having so why when I print it gives me a pink color on the whole I'm not happy because I always take HP authentic and disappointed there ?????")</f>
        <v>Whether the product is good quality product I bought, and I do not understand not having put on still having so why when I print it gives me a pink color on the whole I'm not happy because I always take HP authentic and disappointed there ?????</v>
      </c>
    </row>
    <row r="5830">
      <c r="A5830" s="1">
        <v>1.0</v>
      </c>
      <c r="B5830" s="1" t="s">
        <v>5751</v>
      </c>
      <c r="C5830" t="str">
        <f>IFERROR(__xludf.DUMMYFUNCTION("GOOGLETRANSLATE(B5830, ""fr"", ""en"")"),"The size does not match, there must be a larger I could not because too little")</f>
        <v>The size does not match, there must be a larger I could not because too little</v>
      </c>
    </row>
    <row r="5831">
      <c r="A5831" s="1">
        <v>3.0</v>
      </c>
      <c r="B5831" s="1" t="s">
        <v>5752</v>
      </c>
      <c r="C5831" t="str">
        <f>IFERROR(__xludf.DUMMYFUNCTION("GOOGLETRANSLATE(B5831, ""fr"", ""en"")"),"Good ! Toilet paper very correct. A good taste not to drill, unlike other ... A little pricey, however!")</f>
        <v>Good ! Toilet paper very correct. A good taste not to drill, unlike other ... A little pricey, however!</v>
      </c>
    </row>
    <row r="5832">
      <c r="A5832" s="1">
        <v>4.0</v>
      </c>
      <c r="B5832" s="1" t="s">
        <v>5753</v>
      </c>
      <c r="C5832" t="str">
        <f>IFERROR(__xludf.DUMMYFUNCTION("GOOGLETRANSLATE(B5832, ""fr"", ""en"")"),"This article very good impression fulfilled its function. Not too loud, one short beep when the temperature is reached. 6 preset temperatures allow a quick start. Water (bottled) has no taste, tea is perfect. Good design with the water level on the side a"&amp;"nd lit so visible. The 1.5-liter capacity allows for several cups without too bulky device. In short, so far there is no defect found him, except that it is better disconnect between 2 uses (see instructions). Question reliability we will see with time.")</f>
        <v>This article very good impression fulfilled its function. Not too loud, one short beep when the temperature is reached. 6 preset temperatures allow a quick start. Water (bottled) has no taste, tea is perfect. Good design with the water level on the side and lit so visible. The 1.5-liter capacity allows for several cups without too bulky device. In short, so far there is no defect found him, except that it is better disconnect between 2 uses (see instructions). Question reliability we will see with time.</v>
      </c>
    </row>
    <row r="5833">
      <c r="A5833" s="1">
        <v>4.0</v>
      </c>
      <c r="B5833" s="1" t="s">
        <v>5754</v>
      </c>
      <c r="C5833" t="str">
        <f>IFERROR(__xludf.DUMMYFUNCTION("GOOGLETRANSLATE(B5833, ""fr"", ""en"")"),"VERY GOOD I use these headphones for the TV because I did not understand everything that was said in movies and I broke the legs to force everyone to ask that t he say? It is connected to the sosh box of live analog and rendering listening is very good. I"&amp;" tried all combinations of headphones and finally I use without bass or surround. I have great differences between high and low in both ears and it is in this configuration that I hear better. Now I emmer .... nobody when we watch a movie. I put 4 * becau"&amp;"se the buttons on the side of the helmet, not practical at all to fall on the right button, or even remove the helmet to see where he is, maybe with time, but I would have preferred the dials. After one does not rule his helmet every 5 minutes and thankfu"&amp;"lly the volume buttons are the easiest to find. Otherwise it is a very good helmet and I do not regret my purchase. That is said that !!!!!!!")</f>
        <v>VERY GOOD I use these headphones for the TV because I did not understand everything that was said in movies and I broke the legs to force everyone to ask that t he say? It is connected to the sosh box of live analog and rendering listening is very good. I tried all combinations of headphones and finally I use without bass or surround. I have great differences between high and low in both ears and it is in this configuration that I hear better. Now I emmer .... nobody when we watch a movie. I put 4 * because the buttons on the side of the helmet, not practical at all to fall on the right button, or even remove the helmet to see where he is, maybe with time, but I would have preferred the dials. After one does not rule his helmet every 5 minutes and thankfully the volume buttons are the easiest to find. Otherwise it is a very good helmet and I do not regret my purchase. That is said that !!!!!!!</v>
      </c>
    </row>
    <row r="5834">
      <c r="A5834" s="1">
        <v>4.0</v>
      </c>
      <c r="B5834" s="1" t="s">
        <v>5755</v>
      </c>
      <c r="C5834" t="str">
        <f>IFERROR(__xludf.DUMMYFUNCTION("GOOGLETRANSLATE(B5834, ""fr"", ""en"")"),"I just love it ! 1 day before the arrival date, packaged in an envelope bubble and a gift carton sup. She is thin, very light, can be a little too fine as I remember, because I had a discharge. The setting is simple, made without looking at the instructio"&amp;"ns. FYI, the manual is in English. But I wanted it, I have. I recommend. After a week of putting the wrist, no suspicious marks on the skin.")</f>
        <v>I just love it ! 1 day before the arrival date, packaged in an envelope bubble and a gift carton sup. She is thin, very light, can be a little too fine as I remember, because I had a discharge. The setting is simple, made without looking at the instructions. FYI, the manual is in English. But I wanted it, I have. I recommend. After a week of putting the wrist, no suspicious marks on the skin.</v>
      </c>
    </row>
    <row r="5835">
      <c r="A5835" s="1">
        <v>4.0</v>
      </c>
      <c r="B5835" s="1" t="s">
        <v>5756</v>
      </c>
      <c r="C5835" t="str">
        <f>IFERROR(__xludf.DUMMYFUNCTION("GOOGLETRANSLATE(B5835, ""fr"", ""en"")"),"very comfortable warm and comfortable shoes. I did not put 5 stars because I already feel that the foam settles in after a month. See wear")</f>
        <v>very comfortable warm and comfortable shoes. I did not put 5 stars because I already feel that the foam settles in after a month. See wear</v>
      </c>
    </row>
    <row r="5836">
      <c r="A5836" s="1">
        <v>5.0</v>
      </c>
      <c r="B5836" s="1" t="s">
        <v>5757</v>
      </c>
      <c r="C5836" t="str">
        <f>IFERROR(__xludf.DUMMYFUNCTION("GOOGLETRANSLATE(B5836, ""fr"", ""en"")"),"Gift ideal person loved. And like me leaves them more at home")</f>
        <v>Gift ideal person loved. And like me leaves them more at home</v>
      </c>
    </row>
    <row r="5837">
      <c r="A5837" s="1">
        <v>5.0</v>
      </c>
      <c r="B5837" s="1" t="s">
        <v>5758</v>
      </c>
      <c r="C5837" t="str">
        <f>IFERROR(__xludf.DUMMYFUNCTION("GOOGLETRANSLATE(B5837, ""fr"", ""en"")"),"Very good Very good")</f>
        <v>Very good Very good</v>
      </c>
    </row>
    <row r="5838">
      <c r="A5838" s="1">
        <v>5.0</v>
      </c>
      <c r="B5838" s="1" t="s">
        <v>5759</v>
      </c>
      <c r="C5838" t="str">
        <f>IFERROR(__xludf.DUMMYFUNCTION("GOOGLETRANSLATE(B5838, ""fr"", ""en"")"),"Eastpak Eastpak eastpak remains no complaints.")</f>
        <v>Eastpak Eastpak eastpak remains no complaints.</v>
      </c>
    </row>
    <row r="5839">
      <c r="A5839" s="1">
        <v>5.0</v>
      </c>
      <c r="B5839" s="1" t="s">
        <v>5760</v>
      </c>
      <c r="C5839" t="str">
        <f>IFERROR(__xludf.DUMMYFUNCTION("GOOGLETRANSLATE(B5839, ""fr"", ""en"")"),"Very convenient! Drainer easy to assemble, clean and aesthetic. Holds 8 bottles and teats on 8 different pins. Equally effective for hanging teuteutes, the brush ... The water is collected in the drip tray underneath. Easily disassembled for cleaning.")</f>
        <v>Very convenient! Drainer easy to assemble, clean and aesthetic. Holds 8 bottles and teats on 8 different pins. Equally effective for hanging teuteutes, the brush ... The water is collected in the drip tray underneath. Easily disassembled for cleaning.</v>
      </c>
    </row>
    <row r="5840">
      <c r="A5840" s="1">
        <v>5.0</v>
      </c>
      <c r="B5840" s="1" t="s">
        <v>5761</v>
      </c>
      <c r="C5840" t="str">
        <f>IFERROR(__xludf.DUMMYFUNCTION("GOOGLETRANSLATE(B5840, ""fr"", ""en"")"),"Really great product the best!")</f>
        <v>Really great product the best!</v>
      </c>
    </row>
    <row r="5841">
      <c r="A5841" s="1">
        <v>5.0</v>
      </c>
      <c r="B5841" s="1" t="s">
        <v>5762</v>
      </c>
      <c r="C5841" t="str">
        <f>IFERROR(__xludf.DUMMYFUNCTION("GOOGLETRANSLATE(B5841, ""fr"", ""en"")"),"Perfect Meets description.pointure exacte.produit parfait.je recommends.")</f>
        <v>Perfect Meets description.pointure exacte.produit parfait.je recommends.</v>
      </c>
    </row>
    <row r="5842">
      <c r="A5842" s="1">
        <v>5.0</v>
      </c>
      <c r="B5842" s="1" t="s">
        <v>5763</v>
      </c>
      <c r="C5842" t="str">
        <f>IFERROR(__xludf.DUMMYFUNCTION("GOOGLETRANSLATE(B5842, ""fr"", ""en"")"),"570XL wrong size but the seller sent a replacement pack Usually I have no problem, but this time the 570XL was not recognized and is completely blocked in the cradle (seems too much of a few tenths of a mm ), I can not remove it. We'll have to unscrew the"&amp;" top of the printer to remove it without being sure that its location will not be damaged. In short, I have to find another provider XL compatible for the new MG5750 printer I just redeem disaster, because I have almost daily need. The seller, with apolog"&amp;"y, sent me a cassette pack for replacement. *****")</f>
        <v>570XL wrong size but the seller sent a replacement pack Usually I have no problem, but this time the 570XL was not recognized and is completely blocked in the cradle (seems too much of a few tenths of a mm ), I can not remove it. We'll have to unscrew the top of the printer to remove it without being sure that its location will not be damaged. In short, I have to find another provider XL compatible for the new MG5750 printer I just redeem disaster, because I have almost daily need. The seller, with apology, sent me a cassette pack for replacement. *****</v>
      </c>
    </row>
    <row r="5843">
      <c r="A5843" s="1">
        <v>5.0</v>
      </c>
      <c r="B5843" s="1" t="s">
        <v>5764</v>
      </c>
      <c r="C5843" t="str">
        <f>IFERROR(__xludf.DUMMYFUNCTION("GOOGLETRANSLATE(B5843, ""fr"", ""en"")"),"Perfect Bluetooth Headsets very good. The equipment is no problem and the size is really small so it is rather quiet. The sound quality is really good and allows you to isolate yourself quietly. Plus: the storage box that can charge the earbuds as they ar"&amp;"e stored! The case is being charged with a USB cable provides.")</f>
        <v>Perfect Bluetooth Headsets very good. The equipment is no problem and the size is really small so it is rather quiet. The sound quality is really good and allows you to isolate yourself quietly. Plus: the storage box that can charge the earbuds as they are stored! The case is being charged with a USB cable provides.</v>
      </c>
    </row>
    <row r="5844">
      <c r="A5844" s="1">
        <v>5.0</v>
      </c>
      <c r="B5844" s="1" t="s">
        <v>5765</v>
      </c>
      <c r="C5844" t="str">
        <f>IFERROR(__xludf.DUMMYFUNCTION("GOOGLETRANSLATE(B5844, ""fr"", ""en"")"),"beautiful object, total satisfaction very well designed at the drip which is distributed as it should for a good result. over the unit turns off of him even after a short time which prevents overheating the hearth or coffee remains: perfectly satisfied, I"&amp;" recommend")</f>
        <v>beautiful object, total satisfaction very well designed at the drip which is distributed as it should for a good result. over the unit turns off of him even after a short time which prevents overheating the hearth or coffee remains: perfectly satisfied, I recommend</v>
      </c>
    </row>
    <row r="5845">
      <c r="A5845" s="1">
        <v>5.0</v>
      </c>
      <c r="B5845" s="1" t="s">
        <v>5766</v>
      </c>
      <c r="C5845" t="str">
        <f>IFERROR(__xludf.DUMMYFUNCTION("GOOGLETRANSLATE(B5845, ""fr"", ""en"")"),"Super efficient and convenient bottle feeding bottle. Advent has no equal. The glass is sturdy and baby loves their pacifier. It is ergonomic and retains heat without burning.")</f>
        <v>Super efficient and convenient bottle feeding bottle. Advent has no equal. The glass is sturdy and baby loves their pacifier. It is ergonomic and retains heat without burning.</v>
      </c>
    </row>
    <row r="5846">
      <c r="A5846" s="1">
        <v>5.0</v>
      </c>
      <c r="B5846" s="1" t="s">
        <v>5767</v>
      </c>
      <c r="C5846" t="str">
        <f>IFERROR(__xludf.DUMMYFUNCTION("GOOGLETRANSLATE(B5846, ""fr"", ""en"")"),"Really great! Earphones great practical ability to increase the volume and decrease by touching the earphone right or left, you can also change the music, pick up for calls. They are really well designed, we need to touch the phone. Also when the telephon"&amp;"e connected to the load percentage is displayed. I really recommend")</f>
        <v>Really great! Earphones great practical ability to increase the volume and decrease by touching the earphone right or left, you can also change the music, pick up for calls. They are really well designed, we need to touch the phone. Also when the telephone connected to the load percentage is displayed. I really recommend</v>
      </c>
    </row>
    <row r="5847">
      <c r="A5847" s="1">
        <v>5.0</v>
      </c>
      <c r="B5847" s="1" t="s">
        <v>5768</v>
      </c>
      <c r="C5847" t="str">
        <f>IFERROR(__xludf.DUMMYFUNCTION("GOOGLETRANSLATE(B5847, ""fr"", ""en"")"),"I recommend this article. I use it for every day in my work, shape memory ergonomic soles worn pleasant! You can put a sole (Medicale in plus.cela not use the casing shoe")</f>
        <v>I recommend this article. I use it for every day in my work, shape memory ergonomic soles worn pleasant! You can put a sole (Medicale in plus.cela not use the casing shoe</v>
      </c>
    </row>
    <row r="5848">
      <c r="A5848" s="1">
        <v>5.0</v>
      </c>
      <c r="B5848" s="1" t="s">
        <v>5769</v>
      </c>
      <c r="C5848" t="str">
        <f>IFERROR(__xludf.DUMMYFUNCTION("GOOGLETRANSLATE(B5848, ""fr"", ""en"")"),"tracksuit Conforms to my request")</f>
        <v>tracksuit Conforms to my request</v>
      </c>
    </row>
    <row r="5849">
      <c r="A5849" s="1">
        <v>5.0</v>
      </c>
      <c r="B5849" s="1" t="s">
        <v>5770</v>
      </c>
      <c r="C5849" t="str">
        <f>IFERROR(__xludf.DUMMYFUNCTION("GOOGLETRANSLATE(B5849, ""fr"", ""en"")"),"Nice set Personnel")</f>
        <v>Nice set Personnel</v>
      </c>
    </row>
    <row r="5850">
      <c r="A5850" s="1">
        <v>5.0</v>
      </c>
      <c r="B5850" s="1" t="s">
        <v>5771</v>
      </c>
      <c r="C5850" t="str">
        <f>IFERROR(__xludf.DUMMYFUNCTION("GOOGLETRANSLATE(B5850, ""fr"", ""en"")"),"Practice Complies with my description. very satisfied")</f>
        <v>Practice Complies with my description. very satisfied</v>
      </c>
    </row>
    <row r="5851">
      <c r="A5851" s="1">
        <v>2.0</v>
      </c>
      <c r="B5851" s="1" t="s">
        <v>5772</v>
      </c>
      <c r="C5851" t="str">
        <f>IFERROR(__xludf.DUMMYFUNCTION("GOOGLETRANSLATE(B5851, ""fr"", ""en"")"),"Useless, it overlooks to a wall. The pictures come off .... no stop to avoid.")</f>
        <v>Useless, it overlooks to a wall. The pictures come off .... no stop to avoid.</v>
      </c>
    </row>
    <row r="5852">
      <c r="A5852" s="1">
        <v>1.0</v>
      </c>
      <c r="B5852" s="1" t="s">
        <v>5773</v>
      </c>
      <c r="C5852" t="str">
        <f>IFERROR(__xludf.DUMMYFUNCTION("GOOGLETRANSLATE(B5852, ""fr"", ""en"")"),"Really disappointed is entitled lying The bag is absolutely not leather but the plastic zippers are super delicate one has already sold while I just got the big scam packages")</f>
        <v>Really disappointed is entitled lying The bag is absolutely not leather but the plastic zippers are super delicate one has already sold while I just got the big scam packages</v>
      </c>
    </row>
    <row r="5853">
      <c r="A5853" s="1">
        <v>3.0</v>
      </c>
      <c r="B5853" s="1" t="s">
        <v>5774</v>
      </c>
      <c r="C5853" t="str">
        <f>IFERROR(__xludf.DUMMYFUNCTION("GOOGLETRANSLATE(B5853, ""fr"", ""en"")"),"3 No comment")</f>
        <v>3 No comment</v>
      </c>
    </row>
    <row r="5854">
      <c r="A5854" s="1">
        <v>3.0</v>
      </c>
      <c r="B5854" s="1" t="s">
        <v>5775</v>
      </c>
      <c r="C5854" t="str">
        <f>IFERROR(__xludf.DUMMYFUNCTION("GOOGLETRANSLATE(B5854, ""fr"", ""en"")"),"Not great, not bad Fitness. Tissue and finnisons not great for the price, OK")</f>
        <v>Not great, not bad Fitness. Tissue and finnisons not great for the price, OK</v>
      </c>
    </row>
    <row r="5855">
      <c r="A5855" s="1">
        <v>4.0</v>
      </c>
      <c r="B5855" s="1" t="s">
        <v>5776</v>
      </c>
      <c r="C5855" t="str">
        <f>IFERROR(__xludf.DUMMYFUNCTION("GOOGLETRANSLATE(B5855, ""fr"", ""en"")"),"Solid, safe and reliable ... No gap with the speaking clock in one day. Wait one week to judge in advance of less than one to two minutes. The mechanism is protected by a sapphire, a stainless steel sealed housing, a winding screw which protects it from w"&amp;"ater and dust. Why not 5 stars? It lacks a magnifying glass on the date for my tired eyes. I accuse the watch and my eyes ... if you have your eyes twenty, override. G.")</f>
        <v>Solid, safe and reliable ... No gap with the speaking clock in one day. Wait one week to judge in advance of less than one to two minutes. The mechanism is protected by a sapphire, a stainless steel sealed housing, a winding screw which protects it from water and dust. Why not 5 stars? It lacks a magnifying glass on the date for my tired eyes. I accuse the watch and my eyes ... if you have your eyes twenty, override. G.</v>
      </c>
    </row>
    <row r="5856">
      <c r="A5856" s="1">
        <v>4.0</v>
      </c>
      <c r="B5856" s="1" t="s">
        <v>5777</v>
      </c>
      <c r="C5856" t="str">
        <f>IFERROR(__xludf.DUMMYFUNCTION("GOOGLETRANSLATE(B5856, ""fr"", ""en"")"),"MAM Baby Bottle Baby Using validated by the MAM brand for several months for my baby, I ordered this bottle with teat flow X to renew my stock. These bottles have liked me for several reasons: ✔️ Baby eats these bottles and drinking milk very easily insid"&amp;"e. ✔️ X flow nipples are perfect for larger babies (even with a thicker milk). ✔️ Grosse capacity: up to 330 ml. For my baby, it takes 270 ml bottles (9 doses of milk + small grains: it goes in this capacity). ✔️ Washing is easy to do (it even goes dishwa"&amp;"sher) ✔️ Ultra Fast delivery, perfect packaging. ➖➖ Only small problem but ends up on different brands of baby bottles: bottles yellow for use where the need to boil at first even to change after a longer time for the sake hygiene. ✳️ The quality / price "&amp;"is very good in my opinion. In short, a good product that I recommend for our babies.")</f>
        <v>MAM Baby Bottle Baby Using validated by the MAM brand for several months for my baby, I ordered this bottle with teat flow X to renew my stock. These bottles have liked me for several reasons: ✔️ Baby eats these bottles and drinking milk very easily inside. ✔️ X flow nipples are perfect for larger babies (even with a thicker milk). ✔️ Grosse capacity: up to 330 ml. For my baby, it takes 270 ml bottles (9 doses of milk + small grains: it goes in this capacity). ✔️ Washing is easy to do (it even goes dishwasher) ✔️ Ultra Fast delivery, perfect packaging. ➖➖ Only small problem but ends up on different brands of baby bottles: bottles yellow for use where the need to boil at first even to change after a longer time for the sake hygiene. ✳️ The quality / price is very good in my opinion. In short, a good product that I recommend for our babies.</v>
      </c>
    </row>
    <row r="5857">
      <c r="A5857" s="1">
        <v>4.0</v>
      </c>
      <c r="B5857" s="1" t="s">
        <v>5778</v>
      </c>
      <c r="C5857" t="str">
        <f>IFERROR(__xludf.DUMMYFUNCTION("GOOGLETRANSLATE(B5857, ""fr"", ""en"")"),"Slippers socks Very pleasant and comfortable: we must however put a pair of socks with, if you sweat a lot feet.")</f>
        <v>Slippers socks Very pleasant and comfortable: we must however put a pair of socks with, if you sweat a lot feet.</v>
      </c>
    </row>
    <row r="5858">
      <c r="A5858" s="1">
        <v>4.0</v>
      </c>
      <c r="B5858" s="1" t="s">
        <v>5779</v>
      </c>
      <c r="C5858" t="str">
        <f>IFERROR(__xludf.DUMMYFUNCTION("GOOGLETRANSLATE(B5858, ""fr"", ""en"")"),"Very nice necklace turned to traditional medicines and other natural benefits. I have already informed about the benefits and harms of amber necklace. I opted for this necklace for my son. I can not say if it has a positive effect but in any case he Proud"&amp;"ly door")</f>
        <v>Very nice necklace turned to traditional medicines and other natural benefits. I have already informed about the benefits and harms of amber necklace. I opted for this necklace for my son. I can not say if it has a positive effect but in any case he Proudly door</v>
      </c>
    </row>
    <row r="5859">
      <c r="A5859" s="1">
        <v>5.0</v>
      </c>
      <c r="B5859" s="1" t="s">
        <v>5780</v>
      </c>
      <c r="C5859" t="str">
        <f>IFERROR(__xludf.DUMMYFUNCTION("GOOGLETRANSLATE(B5859, ""fr"", ""en"")"),"Gomettes Very satisfied with my purchase. The plates are small but given the amount of Gomette and considering the price it is well worth the blow especially when you have des.enfant who loves to stick around. I recommend this article")</f>
        <v>Gomettes Very satisfied with my purchase. The plates are small but given the amount of Gomette and considering the price it is well worth the blow especially when you have des.enfant who loves to stick around. I recommend this article</v>
      </c>
    </row>
    <row r="5860">
      <c r="A5860" s="1">
        <v>5.0</v>
      </c>
      <c r="B5860" s="1" t="s">
        <v>5781</v>
      </c>
      <c r="C5860" t="str">
        <f>IFERROR(__xludf.DUMMYFUNCTION("GOOGLETRANSLATE(B5860, ""fr"", ""en"")"),"I love it I love it. And to make up in the morning when it's still dark outside, it's great. Finally a beautiful light that makes you most miss your makeup 6 months in the year.")</f>
        <v>I love it I love it. And to make up in the morning when it's still dark outside, it's great. Finally a beautiful light that makes you most miss your makeup 6 months in the year.</v>
      </c>
    </row>
    <row r="5861">
      <c r="A5861" s="1">
        <v>5.0</v>
      </c>
      <c r="B5861" s="1" t="s">
        <v>5782</v>
      </c>
      <c r="C5861" t="str">
        <f>IFERROR(__xludf.DUMMYFUNCTION("GOOGLETRANSLATE(B5861, ""fr"", ""en"")"),"That sounds simple Great for kids who know all the simple sounds and start playing. Few books for this learning stage")</f>
        <v>That sounds simple Great for kids who know all the simple sounds and start playing. Few books for this learning stage</v>
      </c>
    </row>
    <row r="5862">
      <c r="A5862" s="1">
        <v>5.0</v>
      </c>
      <c r="B5862" s="1" t="s">
        <v>5783</v>
      </c>
      <c r="C5862" t="str">
        <f>IFERROR(__xludf.DUMMYFUNCTION("GOOGLETRANSLATE(B5862, ""fr"", ""en"")"),"Very good basketball I could not miss them !!! I took the same size as usual and they are perfect. Very nice pair of shoes for an unbeatable price! A model almost perfect, shoes very well, very comfortable. Perfect size. Beautiful color according to photo"&amp;"graphy.")</f>
        <v>Very good basketball I could not miss them !!! I took the same size as usual and they are perfect. Very nice pair of shoes for an unbeatable price! A model almost perfect, shoes very well, very comfortable. Perfect size. Beautiful color according to photography.</v>
      </c>
    </row>
    <row r="5863">
      <c r="A5863" s="1">
        <v>5.0</v>
      </c>
      <c r="B5863" s="1" t="s">
        <v>5784</v>
      </c>
      <c r="C5863" t="str">
        <f>IFERROR(__xludf.DUMMYFUNCTION("GOOGLETRANSLATE(B5863, ""fr"", ""en"")"),"Very happy with my order very happy with my order")</f>
        <v>Very happy with my order very happy with my order</v>
      </c>
    </row>
    <row r="5864">
      <c r="A5864" s="1">
        <v>5.0</v>
      </c>
      <c r="B5864" s="1" t="s">
        <v>5785</v>
      </c>
      <c r="C5864" t="str">
        <f>IFERROR(__xludf.DUMMYFUNCTION("GOOGLETRANSLATE(B5864, ""fr"", ""en"")"),"beautiful shows I am very happy with this watch, very pretty very strong, nothing to say")</f>
        <v>beautiful shows I am very happy with this watch, very pretty very strong, nothing to say</v>
      </c>
    </row>
    <row r="5865">
      <c r="A5865" s="1">
        <v>5.0</v>
      </c>
      <c r="B5865" s="1" t="s">
        <v>5786</v>
      </c>
      <c r="C5865" t="str">
        <f>IFERROR(__xludf.DUMMYFUNCTION("GOOGLETRANSLATE(B5865, ""fr"", ""en"")"),"Very well. Very well.")</f>
        <v>Very well. Very well.</v>
      </c>
    </row>
    <row r="5866">
      <c r="A5866" s="1">
        <v>5.0</v>
      </c>
      <c r="B5866" s="1" t="s">
        <v>5787</v>
      </c>
      <c r="C5866" t="str">
        <f>IFERROR(__xludf.DUMMYFUNCTION("GOOGLETRANSLATE(B5866, ""fr"", ""en"")"),"This perfect shirt to my expectations being a sports Sunday is my third purchase of this type")</f>
        <v>This perfect shirt to my expectations being a sports Sunday is my third purchase of this type</v>
      </c>
    </row>
    <row r="5867">
      <c r="A5867" s="1">
        <v>5.0</v>
      </c>
      <c r="B5867" s="1" t="s">
        <v>5788</v>
      </c>
      <c r="C5867" t="str">
        <f>IFERROR(__xludf.DUMMYFUNCTION("GOOGLETRANSLATE(B5867, ""fr"", ""en"")"),"Super effective for ""sharpness of words on TV. Having difficulty to enter the dialogue in movies and even the comments and discussions, that without being really dull because the TV sound is a bit"" muffled "", not net. With this headset over problem is "&amp;"really great, recommend for those who have hearing difficulties and TV who will not turn up the volume at the risk of disturbing their environment. okay, get used the helmet, but it does not last very long.")</f>
        <v>Super effective for "sharpness of words on TV. Having difficulty to enter the dialogue in movies and even the comments and discussions, that without being really dull because the TV sound is a bit" muffled ", not net. With this headset over problem is really great, recommend for those who have hearing difficulties and TV who will not turn up the volume at the risk of disturbing their environment. okay, get used the helmet, but it does not last very long.</v>
      </c>
    </row>
    <row r="5868">
      <c r="A5868" s="1">
        <v>5.0</v>
      </c>
      <c r="B5868" s="1" t="s">
        <v>5789</v>
      </c>
      <c r="C5868" t="str">
        <f>IFERROR(__xludf.DUMMYFUNCTION("GOOGLETRANSLATE(B5868, ""fr"", ""en"")"),"MA-GNI-fic !!! I love them. Then c is my favorite product. Splendid and well-trimmed shoes. No glue smell once unpacked. They are pr my 8 year old son who shoes the 37.5 I took the 38 ca and it goes perfectly. Magnificent I recommend.")</f>
        <v>MA-GNI-fic !!! I love them. Then c is my favorite product. Splendid and well-trimmed shoes. No glue smell once unpacked. They are pr my 8 year old son who shoes the 37.5 I took the 38 ca and it goes perfectly. Magnificent I recommend.</v>
      </c>
    </row>
    <row r="5869">
      <c r="A5869" s="1">
        <v>5.0</v>
      </c>
      <c r="B5869" s="1" t="s">
        <v>5790</v>
      </c>
      <c r="C5869" t="str">
        <f>IFERROR(__xludf.DUMMYFUNCTION("GOOGLETRANSLATE(B5869, ""fr"", ""en"")"),"Beautiful bag Very good! Conforms to the photo. Quality! Exactly what I wanted to offer my man. (I hope you like it as much). Sending fast and neat package.")</f>
        <v>Beautiful bag Very good! Conforms to the photo. Quality! Exactly what I wanted to offer my man. (I hope you like it as much). Sending fast and neat package.</v>
      </c>
    </row>
    <row r="5870">
      <c r="A5870" s="1">
        <v>5.0</v>
      </c>
      <c r="B5870" s="1" t="s">
        <v>5791</v>
      </c>
      <c r="C5870" t="str">
        <f>IFERROR(__xludf.DUMMYFUNCTION("GOOGLETRANSLATE(B5870, ""fr"", ""en"")"),"Top ! Really great! Nothing happens, neither cold nor rain. I do not regret my purchase my man is more than satisfied. Very functional thanks to its central pocket and three other pockets all is a shelter.")</f>
        <v>Top ! Really great! Nothing happens, neither cold nor rain. I do not regret my purchase my man is more than satisfied. Very functional thanks to its central pocket and three other pockets all is a shelter.</v>
      </c>
    </row>
    <row r="5871">
      <c r="A5871" s="1">
        <v>5.0</v>
      </c>
      <c r="B5871" s="1" t="s">
        <v>5792</v>
      </c>
      <c r="C5871" t="str">
        <f>IFERROR(__xludf.DUMMYFUNCTION("GOOGLETRANSLATE(B5871, ""fr"", ""en"")"),"Transaction perfect object consistent with the description. A ABSOLUTELY RECOMMENDED! Sending, fast and efficient. Thank you!")</f>
        <v>Transaction perfect object consistent with the description. A ABSOLUTELY RECOMMENDED! Sending, fast and efficient. Thank you!</v>
      </c>
    </row>
    <row r="5872">
      <c r="A5872" s="1">
        <v>5.0</v>
      </c>
      <c r="B5872" s="1" t="s">
        <v>5793</v>
      </c>
      <c r="C5872" t="str">
        <f>IFERROR(__xludf.DUMMYFUNCTION("GOOGLETRANSLATE(B5872, ""fr"", ""en"")"),"Masseur Power Command received quickly, the product according to the description. I do not have enough back to tell if it's effective. But nice for a good massage.")</f>
        <v>Masseur Power Command received quickly, the product according to the description. I do not have enough back to tell if it's effective. But nice for a good massage.</v>
      </c>
    </row>
    <row r="5873">
      <c r="A5873" s="1">
        <v>5.0</v>
      </c>
      <c r="B5873" s="1" t="s">
        <v>5794</v>
      </c>
      <c r="C5873" t="str">
        <f>IFERROR(__xludf.DUMMYFUNCTION("GOOGLETRANSLATE(B5873, ""fr"", ""en"")"),"J adore Super bag!")</f>
        <v>J adore Super bag!</v>
      </c>
    </row>
    <row r="5874">
      <c r="A5874" s="1">
        <v>2.0</v>
      </c>
      <c r="B5874" s="1" t="s">
        <v>5795</v>
      </c>
      <c r="C5874" t="str">
        <f>IFERROR(__xludf.DUMMYFUNCTION("GOOGLETRANSLATE(B5874, ""fr"", ""en"")"),"Very nice but big mistake, then I am a gift to my daughter. I liked the color, very clear pink.")</f>
        <v>Very nice but big mistake, then I am a gift to my daughter. I liked the color, very clear pink.</v>
      </c>
    </row>
    <row r="5875">
      <c r="A5875" s="1">
        <v>1.0</v>
      </c>
      <c r="B5875" s="1" t="s">
        <v>5796</v>
      </c>
      <c r="C5875" t="str">
        <f>IFERROR(__xludf.DUMMYFUNCTION("GOOGLETRANSLATE(B5875, ""fr"", ""en"")"),"Quality ... just a little disappointed by the overall quality in money. Summer shoes too thin.")</f>
        <v>Quality ... just a little disappointed by the overall quality in money. Summer shoes too thin.</v>
      </c>
    </row>
    <row r="5876">
      <c r="A5876" s="1">
        <v>1.0</v>
      </c>
      <c r="B5876" s="1" t="s">
        <v>5797</v>
      </c>
      <c r="C5876" t="str">
        <f>IFERROR(__xludf.DUMMYFUNCTION("GOOGLETRANSLATE(B5876, ""fr"", ""en"")"),"Bad Order one size bigger but that's normal for a Chinese dud. Quality is more than average this beautiful picture which")</f>
        <v>Bad Order one size bigger but that's normal for a Chinese dud. Quality is more than average this beautiful picture which</v>
      </c>
    </row>
    <row r="5877">
      <c r="A5877" s="1">
        <v>3.0</v>
      </c>
      <c r="B5877" s="1" t="s">
        <v>5798</v>
      </c>
      <c r="C5877" t="str">
        <f>IFERROR(__xludf.DUMMYFUNCTION("GOOGLETRANSLATE(B5877, ""fr"", ""en"")"),"Bad A fair bit")</f>
        <v>Bad A fair bit</v>
      </c>
    </row>
    <row r="5878">
      <c r="A5878" s="1">
        <v>3.0</v>
      </c>
      <c r="B5878" s="1" t="s">
        <v>5799</v>
      </c>
      <c r="C5878" t="str">
        <f>IFERROR(__xludf.DUMMYFUNCTION("GOOGLETRANSLATE(B5878, ""fr"", ""en"")"),"Chinese ... pretty but not qualitative stinks quickly despite regular maintenance of hygiene of the feet ... But are pretty ...")</f>
        <v>Chinese ... pretty but not qualitative stinks quickly despite regular maintenance of hygiene of the feet ... But are pretty ...</v>
      </c>
    </row>
    <row r="5879">
      <c r="A5879" s="1">
        <v>4.0</v>
      </c>
      <c r="B5879" s="1" t="s">
        <v>5800</v>
      </c>
      <c r="C5879" t="str">
        <f>IFERROR(__xludf.DUMMYFUNCTION("GOOGLETRANSLATE(B5879, ""fr"", ""en"")"),"Beautiful shows elegant, convenient and reasonably priced ""Look"" that is both sporty and chic, the date and the day (in English). Last fairly easy time. a few links removed with the small tool provided to adjust the size of the wrist.")</f>
        <v>Beautiful shows elegant, convenient and reasonably priced "Look" that is both sporty and chic, the date and the day (in English). Last fairly easy time. a few links removed with the small tool provided to adjust the size of the wrist.</v>
      </c>
    </row>
    <row r="5880">
      <c r="A5880" s="1">
        <v>4.0</v>
      </c>
      <c r="B5880" s="1" t="s">
        <v>5801</v>
      </c>
      <c r="C5880" t="str">
        <f>IFERROR(__xludf.DUMMYFUNCTION("GOOGLETRANSLATE(B5880, ""fr"", ""en"")"),"Well Well, high price though for this type of sandal")</f>
        <v>Well Well, high price though for this type of sandal</v>
      </c>
    </row>
    <row r="5881">
      <c r="A5881" s="1">
        <v>4.0</v>
      </c>
      <c r="B5881" s="1" t="s">
        <v>5802</v>
      </c>
      <c r="C5881" t="str">
        <f>IFERROR(__xludf.DUMMYFUNCTION("GOOGLETRANSLATE(B5881, ""fr"", ""en"")"),"It is quite perfect loan corp! Very good value for money! Beautiful color dries very quickly I recommend")</f>
        <v>It is quite perfect loan corp! Very good value for money! Beautiful color dries very quickly I recommend</v>
      </c>
    </row>
    <row r="5882">
      <c r="A5882" s="1">
        <v>4.0</v>
      </c>
      <c r="B5882" s="1" t="s">
        <v>5803</v>
      </c>
      <c r="C5882" t="str">
        <f>IFERROR(__xludf.DUMMYFUNCTION("GOOGLETRANSLATE(B5882, ""fr"", ""en"")"),"For ninporte any time Okay")</f>
        <v>For ninporte any time Okay</v>
      </c>
    </row>
    <row r="5883">
      <c r="A5883" s="1">
        <v>5.0</v>
      </c>
      <c r="B5883" s="1" t="s">
        <v>5804</v>
      </c>
      <c r="C5883" t="str">
        <f>IFERROR(__xludf.DUMMYFUNCTION("GOOGLETRANSLATE(B5883, ""fr"", ""en"")"),"Glad to Amazon Very happy but I have two items I n ais not pay ups and does not present among customers suddenly relay and not from my side a little disappointed")</f>
        <v>Glad to Amazon Very happy but I have two items I n ais not pay ups and does not present among customers suddenly relay and not from my side a little disappointed</v>
      </c>
    </row>
    <row r="5884">
      <c r="A5884" s="1">
        <v>5.0</v>
      </c>
      <c r="B5884" s="1" t="s">
        <v>5805</v>
      </c>
      <c r="C5884" t="str">
        <f>IFERROR(__xludf.DUMMYFUNCTION("GOOGLETRANSLATE(B5884, ""fr"", ""en"")"),"package delivered .. ... Screen to shop ... apparently I misread the text but not explicitly ergonomics Excuse me!")</f>
        <v>package delivered .. ... Screen to shop ... apparently I misread the text but not explicitly ergonomics Excuse me!</v>
      </c>
    </row>
    <row r="5885">
      <c r="A5885" s="1">
        <v>5.0</v>
      </c>
      <c r="B5885" s="1" t="s">
        <v>5806</v>
      </c>
      <c r="C5885" t="str">
        <f>IFERROR(__xludf.DUMMYFUNCTION("GOOGLETRANSLATE(B5885, ""fr"", ""en"")"),"Perfect product corresponding perfectly to expectations, right size, color is quite nice because the charcoal can sometimes be scary but here very beautiful product.")</f>
        <v>Perfect product corresponding perfectly to expectations, right size, color is quite nice because the charcoal can sometimes be scary but here very beautiful product.</v>
      </c>
    </row>
    <row r="5886">
      <c r="A5886" s="1">
        <v>5.0</v>
      </c>
      <c r="B5886" s="1" t="s">
        <v>5807</v>
      </c>
      <c r="C5886" t="str">
        <f>IFERROR(__xludf.DUMMYFUNCTION("GOOGLETRANSLATE(B5886, ""fr"", ""en"")"),"Efficient and hygienic Sterilization in 8 minutes and drying in 30 minutes, I appreciate this device that perfectly fulfills its functions and enables strict hygiene bottles avoiding drying over drip after sterilization. Its downside: the price!")</f>
        <v>Efficient and hygienic Sterilization in 8 minutes and drying in 30 minutes, I appreciate this device that perfectly fulfills its functions and enables strict hygiene bottles avoiding drying over drip after sterilization. Its downside: the price!</v>
      </c>
    </row>
    <row r="5887">
      <c r="A5887" s="1">
        <v>5.0</v>
      </c>
      <c r="B5887" s="1" t="s">
        <v>5808</v>
      </c>
      <c r="C5887" t="str">
        <f>IFERROR(__xludf.DUMMYFUNCTION("GOOGLETRANSLATE(B5887, ""fr"", ""en"")"),"very consistent in the photo")</f>
        <v>very consistent in the photo</v>
      </c>
    </row>
    <row r="5888">
      <c r="A5888" s="1">
        <v>5.0</v>
      </c>
      <c r="B5888" s="1" t="s">
        <v>5809</v>
      </c>
      <c r="C5888" t="str">
        <f>IFERROR(__xludf.DUMMYFUNCTION("GOOGLETRANSLATE(B5888, ""fr"", ""en"")"),"Great product I highly recommend great product I highly recommend")</f>
        <v>Great product I highly recommend great product I highly recommend</v>
      </c>
    </row>
    <row r="5889">
      <c r="A5889" s="1">
        <v>5.0</v>
      </c>
      <c r="B5889" s="1" t="s">
        <v>5810</v>
      </c>
      <c r="C5889" t="str">
        <f>IFERROR(__xludf.DUMMYFUNCTION("GOOGLETRANSLATE(B5889, ""fr"", ""en"")"),"IMPECT IMPECT we tendency to loosen over time, if not very good print quality")</f>
        <v>IMPECT IMPECT we tendency to loosen over time, if not very good print quality</v>
      </c>
    </row>
    <row r="5890">
      <c r="A5890" s="1">
        <v>5.0</v>
      </c>
      <c r="B5890" s="1" t="s">
        <v>5811</v>
      </c>
      <c r="C5890" t="str">
        <f>IFERROR(__xludf.DUMMYFUNCTION("GOOGLETRANSLATE(B5890, ""fr"", ""en"")"),"imeccable basquette use in all circumstances and at all times. with two pairs I'm very comfortable in my walk to travail.très good product")</f>
        <v>imeccable basquette use in all circumstances and at all times. with two pairs I'm very comfortable in my walk to travail.très good product</v>
      </c>
    </row>
    <row r="5891">
      <c r="A5891" s="1">
        <v>5.0</v>
      </c>
      <c r="B5891" s="1" t="s">
        <v>5812</v>
      </c>
      <c r="C5891" t="str">
        <f>IFERROR(__xludf.DUMMYFUNCTION("GOOGLETRANSLATE(B5891, ""fr"", ""en"")"),"Really great! Helmet bought to do my running, sound quality at the top")</f>
        <v>Really great! Helmet bought to do my running, sound quality at the top</v>
      </c>
    </row>
    <row r="5892">
      <c r="A5892" s="1">
        <v>5.0</v>
      </c>
      <c r="B5892" s="1" t="s">
        <v>5813</v>
      </c>
      <c r="C5892" t="str">
        <f>IFERROR(__xludf.DUMMYFUNCTION("GOOGLETRANSLATE(B5892, ""fr"", ""en"")"),"OFC cable well spotted +/- Cable for changing my installation Home Cinema (change from 7.1 to 9.1 or 7.1.4). Perfect for the surround speakers without too much loss. The marking is clearly visible and he is OFC (therefore not copper and aluminum / copper)"&amp;". It will be screwed into banana plugs (also ordered on Amazon).")</f>
        <v>OFC cable well spotted +/- Cable for changing my installation Home Cinema (change from 7.1 to 9.1 or 7.1.4). Perfect for the surround speakers without too much loss. The marking is clearly visible and he is OFC (therefore not copper and aluminum / copper). It will be screwed into banana plugs (also ordered on Amazon).</v>
      </c>
    </row>
    <row r="5893">
      <c r="A5893" s="1">
        <v>5.0</v>
      </c>
      <c r="B5893" s="1" t="s">
        <v>5814</v>
      </c>
      <c r="C5893" t="str">
        <f>IFERROR(__xludf.DUMMYFUNCTION("GOOGLETRANSLATE(B5893, ""fr"", ""en"")"),"No &lt;div id = ""video-block-R3OH3DRCQKA5ZW"" class = ""a-section-spacing-small in-spacing-top mini video-block""&gt; &lt;/ div&gt; &lt;input type = ""hidden"" name = """" value = ""https://images-eu.ssl-images-amazon.com/images/I/81sVe+juxpS.mp4"" class = ""video-url"&amp;"""&gt; &lt;input type = ""hidden"" name = """" value = ""https://images-eu.ssl-images-amazon.com/images/I/813oRE0cNWS.png"" class = ""video-slate-img-url""&gt; &amp; nbsp; This Bluetooth headset is especially convenient, the sound is particularly light and signal rece"&amp;"ption is very good")</f>
        <v>No &lt;div id = "video-block-R3OH3DRCQKA5ZW" class = "a-section-spacing-small in-spacing-top mini video-block"&gt; &lt;/ div&gt; &lt;input type = "hidden" name = "" value = "https://images-eu.ssl-images-amazon.com/images/I/81sVe+juxpS.mp4" class = "video-url"&gt; &lt;input type = "hidden" name = "" value = "https://images-eu.ssl-images-amazon.com/images/I/813oRE0cNWS.png" class = "video-slate-img-url"&gt; &amp; nbsp; This Bluetooth headset is especially convenient, the sound is particularly light and signal reception is very good</v>
      </c>
    </row>
    <row r="5894">
      <c r="A5894" s="1">
        <v>5.0</v>
      </c>
      <c r="B5894" s="1" t="s">
        <v>5815</v>
      </c>
      <c r="C5894" t="str">
        <f>IFERROR(__xludf.DUMMYFUNCTION("GOOGLETRANSLATE(B5894, ""fr"", ""en"")"),"Great for hiking boots These boots are so comfortable. I am delighted with my purchase, especially at that price. If you are looking for comfortable boots, please.")</f>
        <v>Great for hiking boots These boots are so comfortable. I am delighted with my purchase, especially at that price. If you are looking for comfortable boots, please.</v>
      </c>
    </row>
    <row r="5895">
      <c r="A5895" s="1">
        <v>5.0</v>
      </c>
      <c r="B5895" s="1" t="s">
        <v>5816</v>
      </c>
      <c r="C5895" t="str">
        <f>IFERROR(__xludf.DUMMYFUNCTION("GOOGLETRANSLATE(B5895, ""fr"", ""en"")"),"Pretty decent price")</f>
        <v>Pretty decent price</v>
      </c>
    </row>
    <row r="5896">
      <c r="A5896" s="1">
        <v>5.0</v>
      </c>
      <c r="B5896" s="1" t="s">
        <v>5817</v>
      </c>
      <c r="C5896" t="str">
        <f>IFERROR(__xludf.DUMMYFUNCTION("GOOGLETRANSLATE(B5896, ""fr"", ""en"")"),"As always the top no problem")</f>
        <v>As always the top no problem</v>
      </c>
    </row>
    <row r="5897">
      <c r="A5897" s="1">
        <v>5.0</v>
      </c>
      <c r="B5897" s="1" t="s">
        <v>5818</v>
      </c>
      <c r="C5897" t="str">
        <f>IFERROR(__xludf.DUMMYFUNCTION("GOOGLETRANSLATE(B5897, ""fr"", ""en"")"),"Superb product Very surprised, prettier in real picture when really super happy!")</f>
        <v>Superb product Very surprised, prettier in real picture when really super happy!</v>
      </c>
    </row>
    <row r="5898">
      <c r="A5898" s="1">
        <v>2.0</v>
      </c>
      <c r="B5898" s="1" t="s">
        <v>5819</v>
      </c>
      <c r="C5898" t="str">
        <f>IFERROR(__xludf.DUMMYFUNCTION("GOOGLETRANSLATE(B5898, ""fr"", ""en"")"),"It did not feel the quality There are actually as I had read, a smell not great glue, but especially the ""foam"" is stuck inside a little hard. The plastic of the handle is soft and with air inside. The materials do not appear very strong and durable. If"&amp;" photo, visually we say it is a box that can drool, in reality, I think it will not bear too large disturbances or real shocks.")</f>
        <v>It did not feel the quality There are actually as I had read, a smell not great glue, but especially the "foam" is stuck inside a little hard. The plastic of the handle is soft and with air inside. The materials do not appear very strong and durable. If photo, visually we say it is a box that can drool, in reality, I think it will not bear too large disturbances or real shocks.</v>
      </c>
    </row>
    <row r="5899">
      <c r="A5899" s="1">
        <v>1.0</v>
      </c>
      <c r="B5899" s="1" t="s">
        <v>5820</v>
      </c>
      <c r="C5899" t="str">
        <f>IFERROR(__xludf.DUMMYFUNCTION("GOOGLETRANSLATE(B5899, ""fr"", ""en"")"),"Imitation Not true but imitations, I was checked into a Van's store. I am immediately return false pair of shoes.")</f>
        <v>Imitation Not true but imitations, I was checked into a Van's store. I am immediately return false pair of shoes.</v>
      </c>
    </row>
    <row r="5900">
      <c r="A5900" s="1">
        <v>1.0</v>
      </c>
      <c r="B5900" s="1" t="s">
        <v>5821</v>
      </c>
      <c r="C5900" t="str">
        <f>IFERROR(__xludf.DUMMYFUNCTION("GOOGLETRANSLATE(B5900, ""fr"", ""en"")"),"no longer works how the return? thank you for the time !!!!!!!!!!")</f>
        <v>no longer works how the return? thank you for the time !!!!!!!!!!</v>
      </c>
    </row>
    <row r="5901">
      <c r="A5901" s="1">
        <v>3.0</v>
      </c>
      <c r="B5901" s="1" t="s">
        <v>5822</v>
      </c>
      <c r="C5901" t="str">
        <f>IFERROR(__xludf.DUMMYFUNCTION("GOOGLETRANSLATE(B5901, ""fr"", ""en"")"),"Color ""Black money"" rather Women Although these slippers are comfortable enough, I'm not necessarily very happy. First the color is awful for a man, it's really glittery. Regarding comfort, it is not level Isotoner® mark even if it is quite acceptable. "&amp;"My criticism mainly these shoes is their ability to store the dust on the sole (surely a matter of material) and the fact that they make some noise (compared to Crocs for example). It nevertheless remains a good value / price.")</f>
        <v>Color "Black money" rather Women Although these slippers are comfortable enough, I'm not necessarily very happy. First the color is awful for a man, it's really glittery. Regarding comfort, it is not level Isotoner® mark even if it is quite acceptable. My criticism mainly these shoes is their ability to store the dust on the sole (surely a matter of material) and the fact that they make some noise (compared to Crocs for example). It nevertheless remains a good value / price.</v>
      </c>
    </row>
    <row r="5902">
      <c r="A5902" s="1">
        <v>4.0</v>
      </c>
      <c r="B5902" s="1" t="s">
        <v>5823</v>
      </c>
      <c r="C5902" t="str">
        <f>IFERROR(__xludf.DUMMYFUNCTION("GOOGLETRANSLATE(B5902, ""fr"", ""en"")"),"Silent silent kettle but a bit heavy")</f>
        <v>Silent silent kettle but a bit heavy</v>
      </c>
    </row>
    <row r="5903">
      <c r="A5903" s="1">
        <v>4.0</v>
      </c>
      <c r="B5903" s="1" t="s">
        <v>5824</v>
      </c>
      <c r="C5903" t="str">
        <f>IFERROR(__xludf.DUMMYFUNCTION("GOOGLETRANSLATE(B5903, ""fr"", ""en"")"),"Nice product The watch looks good, consistent with the picture but I can not say because it is a Christmas gift qyi is not yet available.")</f>
        <v>Nice product The watch looks good, consistent with the picture but I can not say because it is a Christmas gift qyi is not yet available.</v>
      </c>
    </row>
    <row r="5904">
      <c r="A5904" s="1">
        <v>4.0</v>
      </c>
      <c r="B5904" s="1" t="s">
        <v>5825</v>
      </c>
      <c r="C5904" t="str">
        <f>IFERROR(__xludf.DUMMYFUNCTION("GOOGLETRANSLATE(B5904, ""fr"", ""en"")"),"COMPATIBLE !!! Cartridges compatible with my printer Epson XP-315, the printer provides me just that they are not original cartridges so just click continue and everything goes !! the only downside is that it makes the lines on the pictures but only on co"&amp;"nventional paper !! I do not regret my purchase, I'm happy !!")</f>
        <v>COMPATIBLE !!! Cartridges compatible with my printer Epson XP-315, the printer provides me just that they are not original cartridges so just click continue and everything goes !! the only downside is that it makes the lines on the pictures but only on conventional paper !! I do not regret my purchase, I'm happy !!</v>
      </c>
    </row>
    <row r="5905">
      <c r="A5905" s="1">
        <v>4.0</v>
      </c>
      <c r="B5905" s="1" t="s">
        <v>5826</v>
      </c>
      <c r="C5905" t="str">
        <f>IFERROR(__xludf.DUMMYFUNCTION("GOOGLETRANSLATE(B5905, ""fr"", ""en"")"),"Good value for money. Used to do animation. Good value for money. Used to do animation.")</f>
        <v>Good value for money. Used to do animation. Good value for money. Used to do animation.</v>
      </c>
    </row>
    <row r="5906">
      <c r="A5906" s="1">
        <v>5.0</v>
      </c>
      <c r="B5906" s="1" t="s">
        <v>5827</v>
      </c>
      <c r="C5906" t="str">
        <f>IFERROR(__xludf.DUMMYFUNCTION("GOOGLETRANSLATE(B5906, ""fr"", ""en"")"),"Calendar comprehensive Bought for my 3 year old son and he loved it. There are quite a few items for the price and including large items (not just small flowers or accessories)")</f>
        <v>Calendar comprehensive Bought for my 3 year old son and he loved it. There are quite a few items for the price and including large items (not just small flowers or accessories)</v>
      </c>
    </row>
    <row r="5907">
      <c r="A5907" s="1">
        <v>5.0</v>
      </c>
      <c r="B5907" s="1" t="s">
        <v>5828</v>
      </c>
      <c r="C5907" t="str">
        <f>IFERROR(__xludf.DUMMYFUNCTION("GOOGLETRANSLATE(B5907, ""fr"", ""en"")"),"A very good investment. A truly impressive immersion !!! A qualitée almost perfect. In music, we hear everything. The instruments, intensities ... It's really impressive. (FYI I passed headphones to 30euro to this one) in games and it's the same. Obviousl"&amp;"y there must be a quality game with his proper band. Side Transport (because this is about that first function) is really great. Comfort on top Different features actually THE helmet. He shakes well head. Offering excellent pressure (for me anyway). My ea"&amp;"rs do not touch the membrane. A feeling of immense freedom. I recommend it to fund. At 300 Euro it's a big investment, but if you have them, go !!!!! At worst, subscribe Amazon premium and return ^^")</f>
        <v>A very good investment. A truly impressive immersion !!! A qualitée almost perfect. In music, we hear everything. The instruments, intensities ... It's really impressive. (FYI I passed headphones to 30euro to this one) in games and it's the same. Obviously there must be a quality game with his proper band. Side Transport (because this is about that first function) is really great. Comfort on top Different features actually THE helmet. He shakes well head. Offering excellent pressure (for me anyway). My ears do not touch the membrane. A feeling of immense freedom. I recommend it to fund. At 300 Euro it's a big investment, but if you have them, go !!!!! At worst, subscribe Amazon premium and return ^^</v>
      </c>
    </row>
    <row r="5908">
      <c r="A5908" s="1">
        <v>5.0</v>
      </c>
      <c r="B5908" s="1" t="s">
        <v>5829</v>
      </c>
      <c r="C5908" t="str">
        <f>IFERROR(__xludf.DUMMYFUNCTION("GOOGLETRANSLATE(B5908, ""fr"", ""en"")"),"Very good quality backpack good. The painting, sewing, Zip everything is top notch. It is rather aesthetic with a nice look that most of the backpack basic and high capacity. The port is also very comfortable and well designed.")</f>
        <v>Very good quality backpack good. The painting, sewing, Zip everything is top notch. It is rather aesthetic with a nice look that most of the backpack basic and high capacity. The port is also very comfortable and well designed.</v>
      </c>
    </row>
    <row r="5909">
      <c r="A5909" s="1">
        <v>5.0</v>
      </c>
      <c r="B5909" s="1" t="s">
        <v>5830</v>
      </c>
      <c r="C5909" t="str">
        <f>IFERROR(__xludf.DUMMYFUNCTION("GOOGLETRANSLATE(B5909, ""fr"", ""en"")"),"Top I love this type of baseball cap with the US!")</f>
        <v>Top I love this type of baseball cap with the US!</v>
      </c>
    </row>
    <row r="5910">
      <c r="A5910" s="1">
        <v>5.0</v>
      </c>
      <c r="B5910" s="1" t="s">
        <v>5831</v>
      </c>
      <c r="C5910" t="str">
        <f>IFERROR(__xludf.DUMMYFUNCTION("GOOGLETRANSLATE(B5910, ""fr"", ""en"")"),"good adhesion Placed on the circumference of windows inclined to hang mosquito nets, it seems to adhere well. I do not use the band Velvet (the screen is scratching itself on the hooks), but have not found bands only hooks. Very happy with my purchase for"&amp;" now")</f>
        <v>good adhesion Placed on the circumference of windows inclined to hang mosquito nets, it seems to adhere well. I do not use the band Velvet (the screen is scratching itself on the hooks), but have not found bands only hooks. Very happy with my purchase for now</v>
      </c>
    </row>
    <row r="5911">
      <c r="A5911" s="1">
        <v>5.0</v>
      </c>
      <c r="B5911" s="1" t="s">
        <v>5832</v>
      </c>
      <c r="C5911" t="str">
        <f>IFERROR(__xludf.DUMMYFUNCTION("GOOGLETRANSLATE(B5911, ""fr"", ""en"")"),"Same quality as usual usual Product")</f>
        <v>Same quality as usual usual Product</v>
      </c>
    </row>
    <row r="5912">
      <c r="A5912" s="1">
        <v>5.0</v>
      </c>
      <c r="B5912" s="1" t="s">
        <v>5833</v>
      </c>
      <c r="C5912" t="str">
        <f>IFERROR(__xludf.DUMMYFUNCTION("GOOGLETRANSLATE(B5912, ""fr"", ""en"")"),"corresponds to my expectations used in Pilates, beautiful aesthetically pleasing material ... we do not sweat!")</f>
        <v>corresponds to my expectations used in Pilates, beautiful aesthetically pleasing material ... we do not sweat!</v>
      </c>
    </row>
    <row r="5913">
      <c r="A5913" s="1">
        <v>5.0</v>
      </c>
      <c r="B5913" s="1" t="s">
        <v>5834</v>
      </c>
      <c r="C5913" t="str">
        <f>IFERROR(__xludf.DUMMYFUNCTION("GOOGLETRANSLATE(B5913, ""fr"", ""en"")"),"Silicon nipple ring to buckle meaning Nothing to say. Doing its job. ... its still solid. Go on nuk pacifier mam well as mundane lollipop Auchan")</f>
        <v>Silicon nipple ring to buckle meaning Nothing to say. Doing its job. ... its still solid. Go on nuk pacifier mam well as mundane lollipop Auchan</v>
      </c>
    </row>
    <row r="5914">
      <c r="A5914" s="1">
        <v>5.0</v>
      </c>
      <c r="B5914" s="1" t="s">
        <v>5835</v>
      </c>
      <c r="C5914" t="str">
        <f>IFERROR(__xludf.DUMMYFUNCTION("GOOGLETRANSLATE(B5914, ""fr"", ""en"")"),"Good product fast delivery of air quality to see in time")</f>
        <v>Good product fast delivery of air quality to see in time</v>
      </c>
    </row>
    <row r="5915">
      <c r="A5915" s="1">
        <v>5.0</v>
      </c>
      <c r="B5915" s="1" t="s">
        <v>5836</v>
      </c>
      <c r="C5915" t="str">
        <f>IFERROR(__xludf.DUMMYFUNCTION("GOOGLETRANSLATE(B5915, ""fr"", ""en"")"),"Perfect perfect perfect size Jacket I think redeem")</f>
        <v>Perfect perfect perfect size Jacket I think redeem</v>
      </c>
    </row>
    <row r="5916">
      <c r="A5916" s="1">
        <v>5.0</v>
      </c>
      <c r="B5916" s="1" t="s">
        <v>5837</v>
      </c>
      <c r="C5916" t="str">
        <f>IFERROR(__xludf.DUMMYFUNCTION("GOOGLETRANSLATE(B5916, ""fr"", ""en"")"),"Okay 😃")</f>
        <v>Okay 😃</v>
      </c>
    </row>
    <row r="5917">
      <c r="A5917" s="1">
        <v>5.0</v>
      </c>
      <c r="B5917" s="1" t="s">
        <v>5838</v>
      </c>
      <c r="C5917" t="str">
        <f>IFERROR(__xludf.DUMMYFUNCTION("GOOGLETRANSLATE(B5917, ""fr"", ""en"")"),"Very beautiful mechanical watch This watch is very beautiful and has some class. It is unobtrusive on the wrist and can watch the work mechanism. The bracelet looks fragile (it takes time, impossible to say). By cons, possibility of shortening it with the"&amp;" tip provided with the watch. Just right (with a little elbow grease) to push or point (s) that can be seen on the side and remove the fasteners and then hand axes. For that price, I recommend this product!")</f>
        <v>Very beautiful mechanical watch This watch is very beautiful and has some class. It is unobtrusive on the wrist and can watch the work mechanism. The bracelet looks fragile (it takes time, impossible to say). By cons, possibility of shortening it with the tip provided with the watch. Just right (with a little elbow grease) to push or point (s) that can be seen on the side and remove the fasteners and then hand axes. For that price, I recommend this product!</v>
      </c>
    </row>
    <row r="5918">
      <c r="A5918" s="1">
        <v>5.0</v>
      </c>
      <c r="B5918" s="1" t="s">
        <v>5839</v>
      </c>
      <c r="C5918" t="str">
        <f>IFERROR(__xludf.DUMMYFUNCTION("GOOGLETRANSLATE(B5918, ""fr"", ""en"")"),"Made in Deutschland This product is in the form of tablets that are composed only of microcrystalline cellulose and pyridoxine HCL, that's all, few fillers which is an excellent initiative on the part of the company based in the Country- Netherlands and d"&amp;"istributes dietary supplements manufactured in Germany and highlighting the excellent reputation regarding the rigor and quality of production methods in force in that country. The information included on the labeling are entirely in German but with an on"&amp;"line translator I managed to get the gist, which corresponds to the description above of the product at the top of this page. I added some additional details, tablets can be easily cut or broken easily by just with two fingers, the dosage is 100mg of vita"&amp;"min B6 per unit, the recommended daily dose is one tablet once a day during a meal, their composition is free of gluten and lactose or fructose, it does not appear anywhere, no certification so my deduction is only my opinion, but I think without risk of "&amp;"being wrong that they are compatible with vegetarian diet since cellulose is a substance derived from plants, and the bottle is a 100-tablet format, the company Fairvital guarantee quality and bioavailability of the product. The expiry date regarding my p"&amp;"urchase October 2017 March 2020. I am pleased with my purchase, I finally found a supplement without stearate or harmful additives, and it is a well which causes a little while downside is that once brought into contact with saliva, the tablet begins to m"&amp;"elt immediately and the taste is unpleasant, it is acid, but this small inconvenience only takes time to swallow a glass of water and then it does not remain in the mouth, so nothing very serious. I have found effective by the relaxation it gave me, by im"&amp;"proving mood and sleep quality has become deeper, one can easily s' notice by the realism of his dreams and waking by the ability recovered to remember, in fact it is all the virtues and benefits that are sought from taking the decision to supplement with"&amp;" vitamin B6.")</f>
        <v>Made in Deutschland This product is in the form of tablets that are composed only of microcrystalline cellulose and pyridoxine HCL, that's all, few fillers which is an excellent initiative on the part of the company based in the Country- Netherlands and distributes dietary supplements manufactured in Germany and highlighting the excellent reputation regarding the rigor and quality of production methods in force in that country. The information included on the labeling are entirely in German but with an online translator I managed to get the gist, which corresponds to the description above of the product at the top of this page. I added some additional details, tablets can be easily cut or broken easily by just with two fingers, the dosage is 100mg of vitamin B6 per unit, the recommended daily dose is one tablet once a day during a meal, their composition is free of gluten and lactose or fructose, it does not appear anywhere, no certification so my deduction is only my opinion, but I think without risk of being wrong that they are compatible with vegetarian diet since cellulose is a substance derived from plants, and the bottle is a 100-tablet format, the company Fairvital guarantee quality and bioavailability of the product. The expiry date regarding my purchase October 2017 March 2020. I am pleased with my purchase, I finally found a supplement without stearate or harmful additives, and it is a well which causes a little while downside is that once brought into contact with saliva, the tablet begins to melt immediately and the taste is unpleasant, it is acid, but this small inconvenience only takes time to swallow a glass of water and then it does not remain in the mouth, so nothing very serious. I have found effective by the relaxation it gave me, by improving mood and sleep quality has become deeper, one can easily s' notice by the realism of his dreams and waking by the ability recovered to remember, in fact it is all the virtues and benefits that are sought from taking the decision to supplement with vitamin B6.</v>
      </c>
    </row>
    <row r="5919">
      <c r="A5919" s="1">
        <v>5.0</v>
      </c>
      <c r="B5919" s="1" t="s">
        <v>5840</v>
      </c>
      <c r="C5919" t="str">
        <f>IFERROR(__xludf.DUMMYFUNCTION("GOOGLETRANSLATE(B5919, ""fr"", ""en"")"),"Pandora bracelet I saw this article is çe I wanted. Having no store nearby, I opted for the order on amazon")</f>
        <v>Pandora bracelet I saw this article is çe I wanted. Having no store nearby, I opted for the order on amazon</v>
      </c>
    </row>
    <row r="5920">
      <c r="A5920" s="1">
        <v>5.0</v>
      </c>
      <c r="B5920" s="1" t="s">
        <v>5841</v>
      </c>
      <c r="C5920" t="str">
        <f>IFERROR(__xludf.DUMMYFUNCTION("GOOGLETRANSLATE(B5920, ""fr"", ""en"")"),"Very nice Great !!!!!")</f>
        <v>Very nice Great !!!!!</v>
      </c>
    </row>
    <row r="5921">
      <c r="A5921" s="1">
        <v>2.0</v>
      </c>
      <c r="B5921" s="1" t="s">
        <v>5842</v>
      </c>
      <c r="C5921" t="str">
        <f>IFERROR(__xludf.DUMMYFUNCTION("GOOGLETRANSLATE(B5921, ""fr"", ""en"")"),"average quality work near horses")</f>
        <v>average quality work near horses</v>
      </c>
    </row>
    <row r="5922">
      <c r="A5922" s="1">
        <v>1.0</v>
      </c>
      <c r="B5922" s="1" t="s">
        <v>5843</v>
      </c>
      <c r="C5922" t="str">
        <f>IFERROR(__xludf.DUMMYFUNCTION("GOOGLETRANSLATE(B5922, ""fr"", ""en"")"),"Not compatible Not compatible TN-180BT platinum TEAC")</f>
        <v>Not compatible Not compatible TN-180BT platinum TEAC</v>
      </c>
    </row>
    <row r="5923">
      <c r="A5923" s="1">
        <v>3.0</v>
      </c>
      <c r="B5923" s="1" t="s">
        <v>5844</v>
      </c>
      <c r="C5923" t="str">
        <f>IFERROR(__xludf.DUMMYFUNCTION("GOOGLETRANSLATE(B5923, ""fr"", ""en"")"),"Maintaining good but a little tight maintaining good but a little tight.")</f>
        <v>Maintaining good but a little tight maintaining good but a little tight.</v>
      </c>
    </row>
    <row r="5924">
      <c r="A5924" s="1">
        <v>3.0</v>
      </c>
      <c r="B5924" s="1" t="s">
        <v>5845</v>
      </c>
      <c r="C5924" t="str">
        <f>IFERROR(__xludf.DUMMYFUNCTION("GOOGLETRANSLATE(B5924, ""fr"", ""en"")"),"writing only cardboard ball pen with glossy surface that does not allow writing in pencil")</f>
        <v>writing only cardboard ball pen with glossy surface that does not allow writing in pencil</v>
      </c>
    </row>
    <row r="5925">
      <c r="A5925" s="1">
        <v>4.0</v>
      </c>
      <c r="B5925" s="1" t="s">
        <v>5846</v>
      </c>
      <c r="C5925" t="str">
        <f>IFERROR(__xludf.DUMMYFUNCTION("GOOGLETRANSLATE(B5925, ""fr"", ""en"")"),"Beautiful 👌")</f>
        <v>Beautiful 👌</v>
      </c>
    </row>
    <row r="5926">
      <c r="A5926" s="1">
        <v>4.0</v>
      </c>
      <c r="B5926" s="1" t="s">
        <v>5847</v>
      </c>
      <c r="C5926" t="str">
        <f>IFERROR(__xludf.DUMMYFUNCTION("GOOGLETRANSLATE(B5926, ""fr"", ""en"")"),"strap swatch. Bought it a few weeks ago, I can say that the silicone bracelet is perfect on a swatch watch series ""gent"" diameter 34 mm. comes with its installation kit, it's nice covered. the gray color is nice with a black watch. It seems solid, to se"&amp;"e in time.")</f>
        <v>strap swatch. Bought it a few weeks ago, I can say that the silicone bracelet is perfect on a swatch watch series "gent" diameter 34 mm. comes with its installation kit, it's nice covered. the gray color is nice with a black watch. It seems solid, to see in time.</v>
      </c>
    </row>
    <row r="5927">
      <c r="A5927" s="1">
        <v>4.0</v>
      </c>
      <c r="B5927" s="1" t="s">
        <v>5848</v>
      </c>
      <c r="C5927" t="str">
        <f>IFERROR(__xludf.DUMMYFUNCTION("GOOGLETRANSLATE(B5927, ""fr"", ""en"")"),"Problem between 2 sizes I play 43. The choice is only 39/42 or 43/46 The 43/46 is a little big I think the 39/42 have been too tight. Good quality and comfortable to wear.")</f>
        <v>Problem between 2 sizes I play 43. The choice is only 39/42 or 43/46 The 43/46 is a little big I think the 39/42 have been too tight. Good quality and comfortable to wear.</v>
      </c>
    </row>
    <row r="5928">
      <c r="A5928" s="1">
        <v>4.0</v>
      </c>
      <c r="B5928" s="1" t="s">
        <v>5849</v>
      </c>
      <c r="C5928" t="str">
        <f>IFERROR(__xludf.DUMMYFUNCTION("GOOGLETRANSLATE(B5928, ""fr"", ""en"")"),"quality shoe A very nice style and very comfortable to wear, be careful however, the size is very large")</f>
        <v>quality shoe A very nice style and very comfortable to wear, be careful however, the size is very large</v>
      </c>
    </row>
    <row r="5929">
      <c r="A5929" s="1">
        <v>4.0</v>
      </c>
      <c r="B5929" s="1" t="s">
        <v>5850</v>
      </c>
      <c r="C5929" t="str">
        <f>IFERROR(__xludf.DUMMYFUNCTION("GOOGLETRANSLATE(B5929, ""fr"", ""en"")"),"Corresponds to my expectations Good quality Check in time Ras")</f>
        <v>Corresponds to my expectations Good quality Check in time Ras</v>
      </c>
    </row>
    <row r="5930">
      <c r="A5930" s="1">
        <v>5.0</v>
      </c>
      <c r="B5930" s="1" t="s">
        <v>5851</v>
      </c>
      <c r="C5930" t="str">
        <f>IFERROR(__xludf.DUMMYFUNCTION("GOOGLETRANSLATE(B5930, ""fr"", ""en"")"),"The anguish of the whiteboard ... When some of us are frustrated with a whiteboard, or bent on writing with markers to hydrocarbon odors, I have fun with my son scribbling with these revolutionary pencils !!! yes, yes, I do not mince words: ""revolutionar"&amp;"y"" !!!! I knew blackboards with chalk, practical, environmentally compatible but not with school technology. But felt displeased me. Then I accidentally discovered the WOODY !!! That according to past noon with my little coloring the table to delete with"&amp;" a simple cloth, tags or tawashi. My son loves the pencil size as big as pencils because the grip for nursery is ideal. And then it pollutes less, it lasts longer (I have not yet calculated but others did), texture and glide is nice. In short, go for the "&amp;"future Picasso, Dali future run, your pencil is here !!!")</f>
        <v>The anguish of the whiteboard ... When some of us are frustrated with a whiteboard, or bent on writing with markers to hydrocarbon odors, I have fun with my son scribbling with these revolutionary pencils !!! yes, yes, I do not mince words: "revolutionary" !!!! I knew blackboards with chalk, practical, environmentally compatible but not with school technology. But felt displeased me. Then I accidentally discovered the WOODY !!! That according to past noon with my little coloring the table to delete with a simple cloth, tags or tawashi. My son loves the pencil size as big as pencils because the grip for nursery is ideal. And then it pollutes less, it lasts longer (I have not yet calculated but others did), texture and glide is nice. In short, go for the future Picasso, Dali future run, your pencil is here !!!</v>
      </c>
    </row>
    <row r="5931">
      <c r="A5931" s="1">
        <v>5.0</v>
      </c>
      <c r="B5931" s="1" t="s">
        <v>5852</v>
      </c>
      <c r="C5931" t="str">
        <f>IFERROR(__xludf.DUMMYFUNCTION("GOOGLETRANSLATE(B5931, ""fr"", ""en"")"),"Super fast delivery great slight to good product feet")</f>
        <v>Super fast delivery great slight to good product feet</v>
      </c>
    </row>
    <row r="5932">
      <c r="A5932" s="1">
        <v>5.0</v>
      </c>
      <c r="B5932" s="1" t="s">
        <v>5853</v>
      </c>
      <c r="C5932" t="str">
        <f>IFERROR(__xludf.DUMMYFUNCTION("GOOGLETRANSLATE(B5932, ""fr"", ""en"")"),"Very good product very effective products to restore shine to your jewelry. In two minutes they shine.")</f>
        <v>Very good product very effective products to restore shine to your jewelry. In two minutes they shine.</v>
      </c>
    </row>
    <row r="5933">
      <c r="A5933" s="1">
        <v>5.0</v>
      </c>
      <c r="B5933" s="1" t="s">
        <v>5854</v>
      </c>
      <c r="C5933" t="str">
        <f>IFERROR(__xludf.DUMMYFUNCTION("GOOGLETRANSLATE(B5933, ""fr"", ""en"")"),"A great surprise !!! I was looking for bluetooth headphones good, but without putting an exorbitant price. - The sound quality is good (lacking a bit low for my taste, but nothing catastrophic). - No interference, noise at low volume or cut / latencies. -"&amp;" Wearing ear is comfortable. -The touch controls work well. - Docking thoughtful. - Good adherence charging, easy 3/4 hours of listening. Anyway for this price, it is useless to look further, and certainly not ""airpommes"" to more than triple the price ("&amp;"just unjustified). A beautiful and pleasant surprise!")</f>
        <v>A great surprise !!! I was looking for bluetooth headphones good, but without putting an exorbitant price. - The sound quality is good (lacking a bit low for my taste, but nothing catastrophic). - No interference, noise at low volume or cut / latencies. - Wearing ear is comfortable. -The touch controls work well. - Docking thoughtful. - Good adherence charging, easy 3/4 hours of listening. Anyway for this price, it is useless to look further, and certainly not "airpommes" to more than triple the price (just unjustified). A beautiful and pleasant surprise!</v>
      </c>
    </row>
    <row r="5934">
      <c r="A5934" s="1">
        <v>5.0</v>
      </c>
      <c r="B5934" s="1" t="s">
        <v>5855</v>
      </c>
      <c r="C5934" t="str">
        <f>IFERROR(__xludf.DUMMYFUNCTION("GOOGLETRANSLATE(B5934, ""fr"", ""en"")"),"Good sound and good ergonomics I recently changed phone for one more 7PRO and it lacks jack ... So I had to turn to bluetooth headset. And frankly I do not regret my choice for the price these headphones are very good. The sound is adequate with good bass"&amp;", there are many different instruments was listening. It s very easy to use, the equipment is automatically when you leave the headphones from the box, and he cut himself once put back into this one. They take good load and box allows the recharge between"&amp;" listening. No specific concerns to the required level, they never fell out of my ears and different head size provided with will effectively adapt. Really satisfied with my purchase. Hope this helps.")</f>
        <v>Good sound and good ergonomics I recently changed phone for one more 7PRO and it lacks jack ... So I had to turn to bluetooth headset. And frankly I do not regret my choice for the price these headphones are very good. The sound is adequate with good bass, there are many different instruments was listening. It s very easy to use, the equipment is automatically when you leave the headphones from the box, and he cut himself once put back into this one. They take good load and box allows the recharge between listening. No specific concerns to the required level, they never fell out of my ears and different head size provided with will effectively adapt. Really satisfied with my purchase. Hope this helps.</v>
      </c>
    </row>
    <row r="5935">
      <c r="A5935" s="1">
        <v>5.0</v>
      </c>
      <c r="B5935" s="1" t="s">
        <v>5856</v>
      </c>
      <c r="C5935" t="str">
        <f>IFERROR(__xludf.DUMMYFUNCTION("GOOGLETRANSLATE(B5935, ""fr"", ""en"")"),"matches the description I have just received the shoes, but tried not used, they are immaculate, a nice look for the summer ..")</f>
        <v>matches the description I have just received the shoes, but tried not used, they are immaculate, a nice look for the summer ..</v>
      </c>
    </row>
    <row r="5936">
      <c r="A5936" s="1">
        <v>5.0</v>
      </c>
      <c r="B5936" s="1" t="s">
        <v>5857</v>
      </c>
      <c r="C5936" t="str">
        <f>IFERROR(__xludf.DUMMYFUNCTION("GOOGLETRANSLATE(B5936, ""fr"", ""en"")"),"Great product really satisfied with my purchase. Consistent with the description and my expectations.")</f>
        <v>Great product really satisfied with my purchase. Consistent with the description and my expectations.</v>
      </c>
    </row>
    <row r="5937">
      <c r="A5937" s="1">
        <v>5.0</v>
      </c>
      <c r="B5937" s="1" t="s">
        <v>5858</v>
      </c>
      <c r="C5937" t="str">
        <f>IFERROR(__xludf.DUMMYFUNCTION("GOOGLETRANSLATE(B5937, ""fr"", ""en"")"),"Beautiful jewelry for teen Very beautiful bracelet seems solid. Quick delivery.")</f>
        <v>Beautiful jewelry for teen Very beautiful bracelet seems solid. Quick delivery.</v>
      </c>
    </row>
    <row r="5938">
      <c r="A5938" s="1">
        <v>5.0</v>
      </c>
      <c r="B5938" s="1" t="s">
        <v>5859</v>
      </c>
      <c r="C5938" t="str">
        <f>IFERROR(__xludf.DUMMYFUNCTION("GOOGLETRANSLATE(B5938, ""fr"", ""en"")"),"Compatible CP1300 Conforms to the description. Perfect use with my Canon Selphy CP1300 Printer")</f>
        <v>Compatible CP1300 Conforms to the description. Perfect use with my Canon Selphy CP1300 Printer</v>
      </c>
    </row>
    <row r="5939">
      <c r="A5939" s="1">
        <v>5.0</v>
      </c>
      <c r="B5939" s="1" t="s">
        <v>5860</v>
      </c>
      <c r="C5939" t="str">
        <f>IFERROR(__xludf.DUMMYFUNCTION("GOOGLETRANSLATE(B5939, ""fr"", ""en"")"),"Bluffing !!! For 15 days, she remains on time ... hair cell surprising price The battery is supplied with. Surprising at this price. The leather strap is modest ... Normal quality at this price. The dial is very successful ... Only flat, WHICH built this "&amp;"item if not overfished children ... I would love to confirmation. Anyway, beautiful object to .0.78 euro cents")</f>
        <v>Bluffing !!! For 15 days, she remains on time ... hair cell surprising price The battery is supplied with. Surprising at this price. The leather strap is modest ... Normal quality at this price. The dial is very successful ... Only flat, WHICH built this item if not overfished children ... I would love to confirmation. Anyway, beautiful object to .0.78 euro cents</v>
      </c>
    </row>
    <row r="5940">
      <c r="A5940" s="1">
        <v>5.0</v>
      </c>
      <c r="B5940" s="1" t="s">
        <v>5861</v>
      </c>
      <c r="C5940" t="str">
        <f>IFERROR(__xludf.DUMMYFUNCTION("GOOGLETRANSLATE(B5940, ""fr"", ""en"")"),"white earphones Well received my headphones, they are super nice as I love the white and silver design round out the sound I ever met thoroughly because it is very strong, it thine ears well, there small box very original load it playing the battery perce"&amp;"ntage in digital number, really ... Top")</f>
        <v>white earphones Well received my headphones, they are super nice as I love the white and silver design round out the sound I ever met thoroughly because it is very strong, it thine ears well, there small box very original load it playing the battery percentage in digital number, really ... Top</v>
      </c>
    </row>
    <row r="5941">
      <c r="A5941" s="1">
        <v>5.0</v>
      </c>
      <c r="B5941" s="1" t="s">
        <v>5862</v>
      </c>
      <c r="C5941" t="str">
        <f>IFERROR(__xludf.DUMMYFUNCTION("GOOGLETRANSLATE(B5941, ""fr"", ""en"")"),"Surprising to efficiency J had a very dirty iron and did not wish to replace (yet fully operational) J have tried this product and am not disappointed Simply open the window by rubbing it on the hot shoe for release of odors and have a disposable paper un"&amp;"der the scope of work because dirt will liquefy and flow. At the end, the iron is like new. Good product")</f>
        <v>Surprising to efficiency J had a very dirty iron and did not wish to replace (yet fully operational) J have tried this product and am not disappointed Simply open the window by rubbing it on the hot shoe for release of odors and have a disposable paper under the scope of work because dirt will liquefy and flow. At the end, the iron is like new. Good product</v>
      </c>
    </row>
    <row r="5942">
      <c r="A5942" s="1">
        <v>5.0</v>
      </c>
      <c r="B5942" s="1" t="s">
        <v>5863</v>
      </c>
      <c r="C5942" t="str">
        <f>IFERROR(__xludf.DUMMYFUNCTION("GOOGLETRANSLATE(B5942, ""fr"", ""en"")"),"Wow Very nice watch, perfect for my little wrist. Leather good, I am very satisfied with my purchase")</f>
        <v>Wow Very nice watch, perfect for my little wrist. Leather good, I am very satisfied with my purchase</v>
      </c>
    </row>
    <row r="5943">
      <c r="A5943" s="1">
        <v>5.0</v>
      </c>
      <c r="B5943" s="1" t="s">
        <v>5864</v>
      </c>
      <c r="C5943" t="str">
        <f>IFERROR(__xludf.DUMMYFUNCTION("GOOGLETRANSLATE(B5943, ""fr"", ""en"")"),"Great! set of perfect white envelopes without opening. Good quality paper, ideal whiteness, effective closure and bonding quite correct because of the band to take off.")</f>
        <v>Great! set of perfect white envelopes without opening. Good quality paper, ideal whiteness, effective closure and bonding quite correct because of the band to take off.</v>
      </c>
    </row>
    <row r="5944">
      <c r="A5944" s="1">
        <v>5.0</v>
      </c>
      <c r="B5944" s="1" t="s">
        <v>5865</v>
      </c>
      <c r="C5944" t="str">
        <f>IFERROR(__xludf.DUMMYFUNCTION("GOOGLETRANSLATE(B5944, ""fr"", ""en"")"),"Comfortable Considering the price I thought really be disappointed and not at all.")</f>
        <v>Comfortable Considering the price I thought really be disappointed and not at all.</v>
      </c>
    </row>
    <row r="5945">
      <c r="A5945" s="1">
        <v>2.0</v>
      </c>
      <c r="B5945" s="1" t="s">
        <v>5866</v>
      </c>
      <c r="C5945" t="str">
        <f>IFERROR(__xludf.DUMMYFUNCTION("GOOGLETRANSLATE(B5945, ""fr"", ""en"")"),"ERROR FAULT ZONE AT THE SCHOOL HOLIDAYS THERE IS AN ERROR OF NANTES AREA IS NOT AS SHOWN IN ZONE B ZONE BUT")</f>
        <v>ERROR FAULT ZONE AT THE SCHOOL HOLIDAYS THERE IS AN ERROR OF NANTES AREA IS NOT AS SHOWN IN ZONE B ZONE BUT</v>
      </c>
    </row>
    <row r="5946">
      <c r="A5946" s="1">
        <v>1.0</v>
      </c>
      <c r="B5946" s="1" t="s">
        <v>5867</v>
      </c>
      <c r="C5946" t="str">
        <f>IFERROR(__xludf.DUMMYFUNCTION("GOOGLETRANSLATE(B5946, ""fr"", ""en"")"),"Too bad I was expecting to receive a branded product which Advent will not prove to be From all Non conform to Good Use description Received with a cardboard miserably limits puncture damage ....")</f>
        <v>Too bad I was expecting to receive a branded product which Advent will not prove to be From all Non conform to Good Use description Received with a cardboard miserably limits puncture damage ....</v>
      </c>
    </row>
    <row r="5947">
      <c r="A5947" s="1">
        <v>1.0</v>
      </c>
      <c r="B5947" s="1" t="s">
        <v>5868</v>
      </c>
      <c r="C5947" t="str">
        <f>IFERROR(__xludf.DUMMYFUNCTION("GOOGLETRANSLATE(B5947, ""fr"", ""en"")"),"Stay away Rapid and appropriate size. However, poor quality after a day, the fabric pilling, color and black tarnish turns dark green. I highly recommend, even if 20 € is no price to pay for a vest, the price - quality ratio is not the appointment. To fle"&amp;"e.")</f>
        <v>Stay away Rapid and appropriate size. However, poor quality after a day, the fabric pilling, color and black tarnish turns dark green. I highly recommend, even if 20 € is no price to pay for a vest, the price - quality ratio is not the appointment. To flee.</v>
      </c>
    </row>
    <row r="5948">
      <c r="A5948" s="1">
        <v>3.0</v>
      </c>
      <c r="B5948" s="1" t="s">
        <v>5869</v>
      </c>
      <c r="C5948" t="str">
        <f>IFERROR(__xludf.DUMMYFUNCTION("GOOGLETRANSLATE(B5948, ""fr"", ""en"")"),"Questions Smaller than the description My laptop computer does not enter missing 7-8 these Merci bcp published")</f>
        <v>Questions Smaller than the description My laptop computer does not enter missing 7-8 these Merci bcp published</v>
      </c>
    </row>
    <row r="5949">
      <c r="A5949" s="1">
        <v>3.0</v>
      </c>
      <c r="B5949" s="1" t="s">
        <v>5870</v>
      </c>
      <c r="C5949" t="str">
        <f>IFERROR(__xludf.DUMMYFUNCTION("GOOGLETRANSLATE(B5949, ""fr"", ""en"")"),"Good value Good footwear for young people not strong enough in my opinion but not expensive. So for you to see. Hugs.")</f>
        <v>Good value Good footwear for young people not strong enough in my opinion but not expensive. So for you to see. Hugs.</v>
      </c>
    </row>
    <row r="5950">
      <c r="A5950" s="1">
        <v>4.0</v>
      </c>
      <c r="B5950" s="1" t="s">
        <v>5871</v>
      </c>
      <c r="C5950" t="str">
        <f>IFERROR(__xludf.DUMMYFUNCTION("GOOGLETRANSLATE(B5950, ""fr"", ""en"")"),"pb earphone headset probably good but for me I had a 2 headset that does not work so back to the sender Full refund so nothing wrong with that by no way to request an exchange instead of a refund")</f>
        <v>pb earphone headset probably good but for me I had a 2 headset that does not work so back to the sender Full refund so nothing wrong with that by no way to request an exchange instead of a refund</v>
      </c>
    </row>
    <row r="5951">
      <c r="A5951" s="1">
        <v>4.0</v>
      </c>
      <c r="B5951" s="1" t="s">
        <v>5872</v>
      </c>
      <c r="C5951" t="str">
        <f>IFERROR(__xludf.DUMMYFUNCTION("GOOGLETRANSLATE(B5951, ""fr"", ""en"")"),"Cup as I expected Very good cup not used but it will be soon.")</f>
        <v>Cup as I expected Very good cup not used but it will be soon.</v>
      </c>
    </row>
    <row r="5952">
      <c r="A5952" s="1">
        <v>4.0</v>
      </c>
      <c r="B5952" s="1" t="s">
        <v>5873</v>
      </c>
      <c r="C5952" t="str">
        <f>IFERROR(__xludf.DUMMYFUNCTION("GOOGLETRANSLATE(B5952, ""fr"", ""en"")"),"Very Pretty colorees3 ear loops")</f>
        <v>Very Pretty colorees3 ear loops</v>
      </c>
    </row>
    <row r="5953">
      <c r="A5953" s="1">
        <v>4.0</v>
      </c>
      <c r="B5953" s="1" t="s">
        <v>5874</v>
      </c>
      <c r="C5953" t="str">
        <f>IFERROR(__xludf.DUMMYFUNCTION("GOOGLETRANSLATE(B5953, ""fr"", ""en"")"),"Although Corresponds to the description.")</f>
        <v>Although Corresponds to the description.</v>
      </c>
    </row>
    <row r="5954">
      <c r="A5954" s="1">
        <v>5.0</v>
      </c>
      <c r="B5954" s="1" t="s">
        <v>5875</v>
      </c>
      <c r="C5954" t="str">
        <f>IFERROR(__xludf.DUMMYFUNCTION("GOOGLETRANSLATE(B5954, ""fr"", ""en"")"),"Teat for thick liquid As usual, very good product for my daughter, using k Advent bottle etc. I strongly recommend these products for moms looking to bottle or pacifier for thick liquid bottle. That's great")</f>
        <v>Teat for thick liquid As usual, very good product for my daughter, using k Advent bottle etc. I strongly recommend these products for moms looking to bottle or pacifier for thick liquid bottle. That's great</v>
      </c>
    </row>
    <row r="5955">
      <c r="A5955" s="1">
        <v>5.0</v>
      </c>
      <c r="B5955" s="1" t="s">
        <v>5876</v>
      </c>
      <c r="C5955" t="str">
        <f>IFERROR(__xludf.DUMMYFUNCTION("GOOGLETRANSLATE(B5955, ""fr"", ""en"")"),"nothing to say safety shoe")</f>
        <v>nothing to say safety shoe</v>
      </c>
    </row>
    <row r="5956">
      <c r="A5956" s="1">
        <v>5.0</v>
      </c>
      <c r="B5956" s="1" t="s">
        <v>5877</v>
      </c>
      <c r="C5956" t="str">
        <f>IFERROR(__xludf.DUMMYFUNCTION("GOOGLETRANSLATE(B5956, ""fr"", ""en"")"),"Cheap and easy ut Great product for karaoke evenings lovers.")</f>
        <v>Cheap and easy ut Great product for karaoke evenings lovers.</v>
      </c>
    </row>
    <row r="5957">
      <c r="A5957" s="1">
        <v>5.0</v>
      </c>
      <c r="B5957" s="1" t="s">
        <v>5878</v>
      </c>
      <c r="C5957" t="str">
        <f>IFERROR(__xludf.DUMMYFUNCTION("GOOGLETRANSLATE(B5957, ""fr"", ""en"")"),"Good quality! Charm Murano glass pastel colors, consistent with the picture, the flowers are cut less than the image they seem compartmentalized, and it's even better. A mix of pale green flowers, pink and light blue on light silver background, everything"&amp;" is very light and soft. Perfect !")</f>
        <v>Good quality! Charm Murano glass pastel colors, consistent with the picture, the flowers are cut less than the image they seem compartmentalized, and it's even better. A mix of pale green flowers, pink and light blue on light silver background, everything is very light and soft. Perfect !</v>
      </c>
    </row>
    <row r="5958">
      <c r="A5958" s="1">
        <v>5.0</v>
      </c>
      <c r="B5958" s="1" t="s">
        <v>5879</v>
      </c>
      <c r="C5958" t="str">
        <f>IFERROR(__xludf.DUMMYFUNCTION("GOOGLETRANSLATE(B5958, ""fr"", ""en"")"),"Grand lightweight size. Considerations Tip top. But I took a half size smaller.")</f>
        <v>Grand lightweight size. Considerations Tip top. But I took a half size smaller.</v>
      </c>
    </row>
    <row r="5959">
      <c r="A5959" s="1">
        <v>5.0</v>
      </c>
      <c r="B5959" s="1" t="s">
        <v>5880</v>
      </c>
      <c r="C5959" t="str">
        <f>IFERROR(__xludf.DUMMYFUNCTION("GOOGLETRANSLATE(B5959, ""fr"", ""en"")"),"Cool Very good product feel very good thank you Amazon")</f>
        <v>Cool Very good product feel very good thank you Amazon</v>
      </c>
    </row>
    <row r="5960">
      <c r="A5960" s="1">
        <v>5.0</v>
      </c>
      <c r="B5960" s="1" t="s">
        <v>5881</v>
      </c>
      <c r="C5960" t="str">
        <f>IFERROR(__xludf.DUMMYFUNCTION("GOOGLETRANSLATE(B5960, ""fr"", ""en"")"),"Great ! It was a Christmas gift. It rained a lot. This is not done to relieve pain in the neck, but it's very good for relaxing. It is convenient to put it in the lower back or even on the legs.")</f>
        <v>Great ! It was a Christmas gift. It rained a lot. This is not done to relieve pain in the neck, but it's very good for relaxing. It is convenient to put it in the lower back or even on the legs.</v>
      </c>
    </row>
    <row r="5961">
      <c r="A5961" s="1">
        <v>5.0</v>
      </c>
      <c r="B5961" s="1" t="s">
        <v>5882</v>
      </c>
      <c r="C5961" t="str">
        <f>IFERROR(__xludf.DUMMYFUNCTION("GOOGLETRANSLATE(B5961, ""fr"", ""en"")"),"Comfortable Bluetooth Headset Wireless Waterproof 2000 mah battery His perfect and comfortable Fast delivery thanks to Amazon!")</f>
        <v>Comfortable Bluetooth Headset Wireless Waterproof 2000 mah battery His perfect and comfortable Fast delivery thanks to Amazon!</v>
      </c>
    </row>
    <row r="5962">
      <c r="A5962" s="1">
        <v>5.0</v>
      </c>
      <c r="B5962" s="1" t="s">
        <v>5883</v>
      </c>
      <c r="C5962" t="str">
        <f>IFERROR(__xludf.DUMMYFUNCTION("GOOGLETRANSLATE(B5962, ""fr"", ""en"")"),"A nice product with good sound Good sound Perfect fit in the ear The recharging box is very pretty and easy to put in a bag.")</f>
        <v>A nice product with good sound Good sound Perfect fit in the ear The recharging box is very pretty and easy to put in a bag.</v>
      </c>
    </row>
    <row r="5963">
      <c r="A5963" s="1">
        <v>5.0</v>
      </c>
      <c r="B5963" s="1" t="s">
        <v>5884</v>
      </c>
      <c r="C5963" t="str">
        <f>IFERROR(__xludf.DUMMYFUNCTION("GOOGLETRANSLATE(B5963, ""fr"", ""en"")"),"Very good, very nice")</f>
        <v>Very good, very nice</v>
      </c>
    </row>
    <row r="5964">
      <c r="A5964" s="1">
        <v>5.0</v>
      </c>
      <c r="B5964" s="1" t="s">
        <v>5885</v>
      </c>
      <c r="C5964" t="str">
        <f>IFERROR(__xludf.DUMMYFUNCTION("GOOGLETRANSLATE(B5964, ""fr"", ""en"")"),"Okay This Canon cartridge is perfect for my printer brand and would recommend the purchase in this XL version of higher capacity and better quality / price.")</f>
        <v>Okay This Canon cartridge is perfect for my printer brand and would recommend the purchase in this XL version of higher capacity and better quality / price.</v>
      </c>
    </row>
    <row r="5965">
      <c r="A5965" s="1">
        <v>5.0</v>
      </c>
      <c r="B5965" s="1" t="s">
        <v>5886</v>
      </c>
      <c r="C5965" t="str">
        <f>IFERROR(__xludf.DUMMYFUNCTION("GOOGLETRANSLATE(B5965, ""fr"", ""en"")"),"Superb connected watch, easy to use, multiple features for a cheap price I like to wear watches and this is my first connected watch. The received product is packed, it contains the watch, a USB socket for the load and a small manual (in French, which is "&amp;"still significant). The grip is simple to connect the first time shows the phone it takes about 30 seconds. The strap fits all body types. The design is simple but quite elegant, this watch is perfect for the summer, for example, but why not at work. Seve"&amp;"ral themes available, the default is my clearest sense but that's the whole point of this kind of shows can switch themes without buying a watch! Several useful functions are more or less available (pedometer, calculator, calendar, numbers of calories bur"&amp;"ned ...) and some applications already downloaded as facebook, twitter (you can add more) ... The pedometer function seems to me fairly reliable (compared with data from phones). The heartbeat function is interesting. There is also a ""relaxation"" functi"&amp;"on that involves breathing exercises. For now, I am quite satisfied with the product.")</f>
        <v>Superb connected watch, easy to use, multiple features for a cheap price I like to wear watches and this is my first connected watch. The received product is packed, it contains the watch, a USB socket for the load and a small manual (in French, which is still significant). The grip is simple to connect the first time shows the phone it takes about 30 seconds. The strap fits all body types. The design is simple but quite elegant, this watch is perfect for the summer, for example, but why not at work. Several themes available, the default is my clearest sense but that's the whole point of this kind of shows can switch themes without buying a watch! Several useful functions are more or less available (pedometer, calculator, calendar, numbers of calories burned ...) and some applications already downloaded as facebook, twitter (you can add more) ... The pedometer function seems to me fairly reliable (compared with data from phones). The heartbeat function is interesting. There is also a "relaxation" function that involves breathing exercises. For now, I am quite satisfied with the product.</v>
      </c>
    </row>
    <row r="5966">
      <c r="A5966" s="1">
        <v>5.0</v>
      </c>
      <c r="B5966" s="1" t="s">
        <v>5887</v>
      </c>
      <c r="C5966" t="str">
        <f>IFERROR(__xludf.DUMMYFUNCTION("GOOGLETRANSLATE(B5966, ""fr"", ""en"")"),"Perfect Fast delivery item conforms to the description")</f>
        <v>Perfect Fast delivery item conforms to the description</v>
      </c>
    </row>
    <row r="5967">
      <c r="A5967" s="1">
        <v>5.0</v>
      </c>
      <c r="B5967" s="1" t="s">
        <v>5888</v>
      </c>
      <c r="C5967" t="str">
        <f>IFERROR(__xludf.DUMMYFUNCTION("GOOGLETRANSLATE(B5967, ""fr"", ""en"")"),"Perfect Socks! Hot and not too thick, they are perfect for skiing or mountain activities in winter. I will definitely buy in for the whole family!")</f>
        <v>Perfect Socks! Hot and not too thick, they are perfect for skiing or mountain activities in winter. I will definitely buy in for the whole family!</v>
      </c>
    </row>
    <row r="5968">
      <c r="A5968" s="1">
        <v>5.0</v>
      </c>
      <c r="B5968" s="1" t="s">
        <v>5889</v>
      </c>
      <c r="C5968" t="str">
        <f>IFERROR(__xludf.DUMMYFUNCTION("GOOGLETRANSLATE(B5968, ""fr"", ""en"")"),"Kettle Very good buy, this kettle is easy to use and the required temperature is maintained. Heating is a bit long but it is a detail.")</f>
        <v>Kettle Very good buy, this kettle is easy to use and the required temperature is maintained. Heating is a bit long but it is a detail.</v>
      </c>
    </row>
    <row r="5969">
      <c r="A5969" s="1">
        <v>2.0</v>
      </c>
      <c r="B5969" s="1" t="s">
        <v>5890</v>
      </c>
      <c r="C5969" t="str">
        <f>IFERROR(__xludf.DUMMYFUNCTION("GOOGLETRANSLATE(B5969, ""fr"", ""en"")"),"Beautiful shoes, but ...... I ordered these shoes there is 1 month. They carve well, and are instead very nice !! However, after only one month, they take off all the edges, and the sole that seemed thick, is already damned !! Hence the 2 stars .... becau"&amp;"se I expected much more solid for a pair 35euros !!!!")</f>
        <v>Beautiful shoes, but ...... I ordered these shoes there is 1 month. They carve well, and are instead very nice !! However, after only one month, they take off all the edges, and the sole that seemed thick, is already damned !! Hence the 2 stars .... because I expected much more solid for a pair 35euros !!!!</v>
      </c>
    </row>
    <row r="5970">
      <c r="A5970" s="1">
        <v>1.0</v>
      </c>
      <c r="B5970" s="1" t="s">
        <v>5891</v>
      </c>
      <c r="C5970" t="str">
        <f>IFERROR(__xludf.DUMMYFUNCTION("GOOGLETRANSLATE(B5970, ""fr"", ""en"")"),"Item received defective item to replace the same item ordered earlier and returned as defective; even failure. False contact in the jack, a speaker sizzling and the microphone does not work ... awaiting re referral sav ...")</f>
        <v>Item received defective item to replace the same item ordered earlier and returned as defective; even failure. False contact in the jack, a speaker sizzling and the microphone does not work ... awaiting re referral sav ...</v>
      </c>
    </row>
    <row r="5971">
      <c r="A5971" s="1">
        <v>1.0</v>
      </c>
      <c r="B5971" s="1" t="s">
        <v>5892</v>
      </c>
      <c r="C5971" t="str">
        <f>IFERROR(__xludf.DUMMYFUNCTION("GOOGLETRANSLATE(B5971, ""fr"", ""en"")"),"Not recommended you not expect a real pants it end like a bad sheet and has advised caliter")</f>
        <v>Not recommended you not expect a real pants it end like a bad sheet and has advised caliter</v>
      </c>
    </row>
    <row r="5972">
      <c r="A5972" s="1">
        <v>3.0</v>
      </c>
      <c r="B5972" s="1" t="s">
        <v>5893</v>
      </c>
      <c r="C5972" t="str">
        <f>IFERROR(__xludf.DUMMYFUNCTION("GOOGLETRANSLATE(B5972, ""fr"", ""en"")"),"Very nice but very heavy bag I bought this bag to put my papers and books, many, I have to carry to work every day. Very large, perfect to carry a lot. But even empty it weighs, so that I gave up using it because the weight was unsustainable in the long t"&amp;"erm (shoulder pain). However I think it is related to the quality of leather, very thick, very beautiful. It is the lack of quality! I recommend, therefore, to transport bulky but light items.")</f>
        <v>Very nice but very heavy bag I bought this bag to put my papers and books, many, I have to carry to work every day. Very large, perfect to carry a lot. But even empty it weighs, so that I gave up using it because the weight was unsustainable in the long term (shoulder pain). However I think it is related to the quality of leather, very thick, very beautiful. It is the lack of quality! I recommend, therefore, to transport bulky but light items.</v>
      </c>
    </row>
    <row r="5973">
      <c r="A5973" s="1">
        <v>3.0</v>
      </c>
      <c r="B5973" s="1" t="s">
        <v>5894</v>
      </c>
      <c r="C5973" t="str">
        <f>IFERROR(__xludf.DUMMYFUNCTION("GOOGLETRANSLATE(B5973, ""fr"", ""en"")"),"Quality / Price Fair - Few wear resistant Bought for travel on 12 12 Impeccable, well soundproof, its proper quality. For cons, I continued to use them, I should be listening to 20h now earpiece stopped working. But I took care (no knots in it tidy pocket"&amp;")")</f>
        <v>Quality / Price Fair - Few wear resistant Bought for travel on 12 12 Impeccable, well soundproof, its proper quality. For cons, I continued to use them, I should be listening to 20h now earpiece stopped working. But I took care (no knots in it tidy pocket)</v>
      </c>
    </row>
    <row r="5974">
      <c r="A5974" s="1">
        <v>4.0</v>
      </c>
      <c r="B5974" s="1" t="s">
        <v>5895</v>
      </c>
      <c r="C5974" t="str">
        <f>IFERROR(__xludf.DUMMYFUNCTION("GOOGLETRANSLATE(B5974, ""fr"", ""en"")"),"A little bit too long! Original and friendly, a little too long for any meme.")</f>
        <v>A little bit too long! Original and friendly, a little too long for any meme.</v>
      </c>
    </row>
    <row r="5975">
      <c r="A5975" s="1">
        <v>4.0</v>
      </c>
      <c r="B5975" s="1" t="s">
        <v>5896</v>
      </c>
      <c r="C5975" t="str">
        <f>IFERROR(__xludf.DUMMYFUNCTION("GOOGLETRANSLATE(B5975, ""fr"", ""en"")"),"According to the baby preferably Here, baby prefers large nipples, but it's really a matter of habit. Silicone is a very interesting durable material, it is mainly for this aspect that we choose these teats. The 3-speed flow does not really interest ...")</f>
        <v>According to the baby preferably Here, baby prefers large nipples, but it's really a matter of habit. Silicone is a very interesting durable material, it is mainly for this aspect that we choose these teats. The 3-speed flow does not really interest ...</v>
      </c>
    </row>
    <row r="5976">
      <c r="A5976" s="1">
        <v>4.0</v>
      </c>
      <c r="B5976" s="1" t="s">
        <v>5897</v>
      </c>
      <c r="C5976" t="str">
        <f>IFERROR(__xludf.DUMMYFUNCTION("GOOGLETRANSLATE(B5976, ""fr"", ""en"")"),"The nickel + when the lift of the cradle, it switches off.")</f>
        <v>The nickel + when the lift of the cradle, it switches off.</v>
      </c>
    </row>
    <row r="5977">
      <c r="A5977" s="1">
        <v>4.0</v>
      </c>
      <c r="B5977" s="1" t="s">
        <v>5898</v>
      </c>
      <c r="C5977" t="str">
        <f>IFERROR(__xludf.DUMMYFUNCTION("GOOGLETRANSLATE(B5977, ""fr"", ""en"")"),"Carrying this bag I gave to my father who often participated in abroad. I found it interesting and practical. He's happy as a result I am satisfied, just a shame that its finish is a little brighter")</f>
        <v>Carrying this bag I gave to my father who often participated in abroad. I found it interesting and practical. He's happy as a result I am satisfied, just a shame that its finish is a little brighter</v>
      </c>
    </row>
    <row r="5978">
      <c r="A5978" s="1">
        <v>5.0</v>
      </c>
      <c r="B5978" s="1" t="s">
        <v>5899</v>
      </c>
      <c r="C5978" t="str">
        <f>IFERROR(__xludf.DUMMYFUNCTION("GOOGLETRANSLATE(B5978, ""fr"", ""en"")"),"Real! MAM bottles are a safe bet for us! No worries adaptation.")</f>
        <v>Real! MAM bottles are a safe bet for us! No worries adaptation.</v>
      </c>
    </row>
    <row r="5979">
      <c r="A5979" s="1">
        <v>5.0</v>
      </c>
      <c r="B5979" s="1" t="s">
        <v>5900</v>
      </c>
      <c r="C5979" t="str">
        <f>IFERROR(__xludf.DUMMYFUNCTION("GOOGLETRANSLATE(B5979, ""fr"", ""en"")"),"Product top shoe super comfortable Beautiful finishes Resilience in the foot you")</f>
        <v>Product top shoe super comfortable Beautiful finishes Resilience in the foot you</v>
      </c>
    </row>
    <row r="5980">
      <c r="A5980" s="1">
        <v>5.0</v>
      </c>
      <c r="B5980" s="1" t="s">
        <v>5901</v>
      </c>
      <c r="C5980" t="str">
        <f>IFERROR(__xludf.DUMMYFUNCTION("GOOGLETRANSLATE(B5980, ""fr"", ""en"")"),"Nostalgia for childhood ... Very nice now as it was 30 years ago. Products that do not age!")</f>
        <v>Nostalgia for childhood ... Very nice now as it was 30 years ago. Products that do not age!</v>
      </c>
    </row>
    <row r="5981">
      <c r="A5981" s="1">
        <v>5.0</v>
      </c>
      <c r="B5981" s="1" t="s">
        <v>5902</v>
      </c>
      <c r="C5981" t="str">
        <f>IFERROR(__xludf.DUMMYFUNCTION("GOOGLETRANSLATE(B5981, ""fr"", ""en"")"),"I'm really surprised! I am surprised of the quality of headphones especially when you see the price. Having Bose headphones bluetooth which costs just 6 times the price of ones and many believe me they really FUNKY !!!! I have offered my father and he RAV"&amp;"I! the load box (storage) is very small, not bulky! The headphones not impressive at all and all dircret and very functional! I know sometimes the comments are suspect but really, I think c is the first time I left a comment on amazon, n hesitate for gift"&amp;"s or even for you it's really a good buy to do if you do not want put too many money and have a quality product!")</f>
        <v>I'm really surprised! I am surprised of the quality of headphones especially when you see the price. Having Bose headphones bluetooth which costs just 6 times the price of ones and many believe me they really FUNKY !!!! I have offered my father and he RAVI! the load box (storage) is very small, not bulky! The headphones not impressive at all and all dircret and very functional! I know sometimes the comments are suspect but really, I think c is the first time I left a comment on amazon, n hesitate for gifts or even for you it's really a good buy to do if you do not want put too many money and have a quality product!</v>
      </c>
    </row>
    <row r="5982">
      <c r="A5982" s="1">
        <v>5.0</v>
      </c>
      <c r="B5982" s="1" t="s">
        <v>5903</v>
      </c>
      <c r="C5982" t="str">
        <f>IFERROR(__xludf.DUMMYFUNCTION("GOOGLETRANSLATE(B5982, ""fr"", ""en"")"),"More musty smell in closets These small pouches is ideal for the home of my parents. They live by the sea and the humidity is really a problem for them. All linen is in wardrobes feels damp or musty. So, my mother found these handy pouches and ultimately "&amp;"very effective. The small bags are filled with beads that capture moisture. Suddenly, the sachet becomes blue gel. In addition, the beads are fragrant. Finished the musty smell in closets or dressers. An adhesive hook allows to hang the bag in the wardrob"&amp;"e. It's really a great product! NB: One bag lasts 6 weeks depending on the moisture content of where it is placed.")</f>
        <v>More musty smell in closets These small pouches is ideal for the home of my parents. They live by the sea and the humidity is really a problem for them. All linen is in wardrobes feels damp or musty. So, my mother found these handy pouches and ultimately very effective. The small bags are filled with beads that capture moisture. Suddenly, the sachet becomes blue gel. In addition, the beads are fragrant. Finished the musty smell in closets or dressers. An adhesive hook allows to hang the bag in the wardrobe. It's really a great product! NB: One bag lasts 6 weeks depending on the moisture content of where it is placed.</v>
      </c>
    </row>
    <row r="5983">
      <c r="A5983" s="1">
        <v>5.0</v>
      </c>
      <c r="B5983" s="1" t="s">
        <v>5904</v>
      </c>
      <c r="C5983" t="str">
        <f>IFERROR(__xludf.DUMMYFUNCTION("GOOGLETRANSLATE(B5983, ""fr"", ""en"")"),"very nice very nice and very comfortable.")</f>
        <v>very nice very nice and very comfortable.</v>
      </c>
    </row>
    <row r="5984">
      <c r="A5984" s="1">
        <v>5.0</v>
      </c>
      <c r="B5984" s="1" t="s">
        <v>5905</v>
      </c>
      <c r="C5984" t="str">
        <f>IFERROR(__xludf.DUMMYFUNCTION("GOOGLETRANSLATE(B5984, ""fr"", ""en"")"),"There are pretty strong and it has its place in my kitchen Jaodore retro style black chrome st as look in my kitchen I love my new toaster")</f>
        <v>There are pretty strong and it has its place in my kitchen Jaodore retro style black chrome st as look in my kitchen I love my new toaster</v>
      </c>
    </row>
    <row r="5985">
      <c r="A5985" s="1">
        <v>5.0</v>
      </c>
      <c r="B5985" s="1" t="s">
        <v>5906</v>
      </c>
      <c r="C5985" t="str">
        <f>IFERROR(__xludf.DUMMYFUNCTION("GOOGLETRANSLATE(B5985, ""fr"", ""en"")"),"Good Useful product on a lapel microphone eliminates parasitic noise well")</f>
        <v>Good Useful product on a lapel microphone eliminates parasitic noise well</v>
      </c>
    </row>
    <row r="5986">
      <c r="A5986" s="1">
        <v>5.0</v>
      </c>
      <c r="B5986" s="1" t="s">
        <v>5907</v>
      </c>
      <c r="C5986" t="str">
        <f>IFERROR(__xludf.DUMMYFUNCTION("GOOGLETRANSLATE(B5986, ""fr"", ""en"")"),"Device that works and has a beautiful design I am very happy with this machine that works perfectly and has a beautiful design.")</f>
        <v>Device that works and has a beautiful design I am very happy with this machine that works perfectly and has a beautiful design.</v>
      </c>
    </row>
    <row r="5987">
      <c r="A5987" s="1">
        <v>5.0</v>
      </c>
      <c r="B5987" s="1" t="s">
        <v>5908</v>
      </c>
      <c r="C5987" t="str">
        <f>IFERROR(__xludf.DUMMYFUNCTION("GOOGLETRANSLATE(B5987, ""fr"", ""en"")"),"Very glad product received very quickly in a neat package I am very happy with this support for computer, there is space to put the legs, tilt can adjust the height and what is more easy to use, and of good quality I recommend considering the quality, uti"&amp;"lity, and the small price")</f>
        <v>Very glad product received very quickly in a neat package I am very happy with this support for computer, there is space to put the legs, tilt can adjust the height and what is more easy to use, and of good quality I recommend considering the quality, utility, and the small price</v>
      </c>
    </row>
    <row r="5988">
      <c r="A5988" s="1">
        <v>5.0</v>
      </c>
      <c r="B5988" s="1" t="s">
        <v>5909</v>
      </c>
      <c r="C5988" t="str">
        <f>IFERROR(__xludf.DUMMYFUNCTION("GOOGLETRANSLATE(B5988, ""fr"", ""en"")"),"And contains many remains compact Top! This bag holds upright alone and that's what I was looking for a more professional look (a bit more stiff than the kind tote). But it can still be extended if need so I can put a lot of things (see photos). Many pock"&amp;"et (front, back and inside). One more: the zipper of the main inner pocket in addition to the magnetic button to be sure you do not get stung. The leather is duller than the pictures. Received very quickly. Me seems very solid but see time at the lifespan"&amp;". If this comment helped choose not hesitate to notify :)")</f>
        <v>And contains many remains compact Top! This bag holds upright alone and that's what I was looking for a more professional look (a bit more stiff than the kind tote). But it can still be extended if need so I can put a lot of things (see photos). Many pocket (front, back and inside). One more: the zipper of the main inner pocket in addition to the magnetic button to be sure you do not get stung. The leather is duller than the pictures. Received very quickly. Me seems very solid but see time at the lifespan. If this comment helped choose not hesitate to notify :)</v>
      </c>
    </row>
    <row r="5989">
      <c r="A5989" s="1">
        <v>5.0</v>
      </c>
      <c r="B5989" s="1" t="s">
        <v>5910</v>
      </c>
      <c r="C5989" t="str">
        <f>IFERROR(__xludf.DUMMYFUNCTION("GOOGLETRANSLATE(B5989, ""fr"", ""en"")"),"A little big but super quality The shoe size a bit large and I had to put the soles. With time finally I hate not being comfortable as I did not use it to run or other activity. The appearance is meanwhile impeccable, beautiful finishes.")</f>
        <v>A little big but super quality The shoe size a bit large and I had to put the soles. With time finally I hate not being comfortable as I did not use it to run or other activity. The appearance is meanwhile impeccable, beautiful finishes.</v>
      </c>
    </row>
    <row r="5990">
      <c r="A5990" s="1">
        <v>5.0</v>
      </c>
      <c r="B5990" s="1" t="s">
        <v>5911</v>
      </c>
      <c r="C5990" t="str">
        <f>IFERROR(__xludf.DUMMYFUNCTION("GOOGLETRANSLATE(B5990, ""fr"", ""en"")"),"At that price ... stagg always amazes me Cable of good quality, looks robust use in a frame so the studio will not be turned on and off hundreds of times so there's likely to resist that long.")</f>
        <v>At that price ... stagg always amazes me Cable of good quality, looks robust use in a frame so the studio will not be turned on and off hundreds of times so there's likely to resist that long.</v>
      </c>
    </row>
    <row r="5991">
      <c r="A5991" s="1">
        <v>5.0</v>
      </c>
      <c r="B5991" s="1" t="s">
        <v>5912</v>
      </c>
      <c r="C5991" t="str">
        <f>IFERROR(__xludf.DUMMYFUNCTION("GOOGLETRANSLATE(B5991, ""fr"", ""en"")"),"Perfect As described, this is perfect! thank you so much !")</f>
        <v>Perfect As described, this is perfect! thank you so much !</v>
      </c>
    </row>
    <row r="5992">
      <c r="A5992" s="1">
        <v>5.0</v>
      </c>
      <c r="B5992" s="1" t="s">
        <v>5913</v>
      </c>
      <c r="C5992" t="str">
        <f>IFERROR(__xludf.DUMMYFUNCTION("GOOGLETRANSLATE(B5992, ""fr"", ""en"")"),"Rugged, beautiful finishes and comfortable to wear I am hard on the matter, but the satisfaction is at the rendezvous. -Free fast and own strong smell -No as advertised in the description -It's good leather checkbook -A goes smoothly -working: everything "&amp;"is accessible without removing the shoulder remains to be seen over time how to react the surface and how old everything")</f>
        <v>Rugged, beautiful finishes and comfortable to wear I am hard on the matter, but the satisfaction is at the rendezvous. -Free fast and own strong smell -No as advertised in the description -It's good leather checkbook -A goes smoothly -working: everything is accessible without removing the shoulder remains to be seen over time how to react the surface and how old everything</v>
      </c>
    </row>
    <row r="5993">
      <c r="A5993" s="1">
        <v>2.0</v>
      </c>
      <c r="B5993" s="1" t="s">
        <v>5914</v>
      </c>
      <c r="C5993" t="str">
        <f>IFERROR(__xludf.DUMMYFUNCTION("GOOGLETRANSLATE(B5993, ""fr"", ""en"")"),"Autonomy Autonomy very Go to Another. Reach all day, stops some nights for lack; autonomy")</f>
        <v>Autonomy Autonomy very Go to Another. Reach all day, stops some nights for lack; autonomy</v>
      </c>
    </row>
    <row r="5994">
      <c r="A5994" s="1">
        <v>1.0</v>
      </c>
      <c r="B5994" s="1" t="s">
        <v>5915</v>
      </c>
      <c r="C5994" t="str">
        <f>IFERROR(__xludf.DUMMYFUNCTION("GOOGLETRANSLATE(B5994, ""fr"", ""en"")"),"Poor Bad are very bad nothing to do with the picture extremely disappointed !!!!!!")</f>
        <v>Poor Bad are very bad nothing to do with the picture extremely disappointed !!!!!!</v>
      </c>
    </row>
    <row r="5995">
      <c r="A5995" s="1">
        <v>1.0</v>
      </c>
      <c r="B5995" s="1" t="s">
        <v>5916</v>
      </c>
      <c r="C5995" t="str">
        <f>IFERROR(__xludf.DUMMYFUNCTION("GOOGLETRANSLATE(B5995, ""fr"", ""en"")"),"Forget No one has any perspective, nothing to do with photos")</f>
        <v>Forget No one has any perspective, nothing to do with photos</v>
      </c>
    </row>
    <row r="5996">
      <c r="A5996" s="1">
        <v>3.0</v>
      </c>
      <c r="B5996" s="1" t="s">
        <v>5917</v>
      </c>
      <c r="C5996" t="str">
        <f>IFERROR(__xludf.DUMMYFUNCTION("GOOGLETRANSLATE(B5996, ""fr"", ""en"")"),"soles too quickly worn soles are worn very rapidly which makes them slippery on wet ground")</f>
        <v>soles too quickly worn soles are worn very rapidly which makes them slippery on wet ground</v>
      </c>
    </row>
    <row r="5997">
      <c r="A5997" s="1">
        <v>4.0</v>
      </c>
      <c r="B5997" s="1" t="s">
        <v>5918</v>
      </c>
      <c r="C5997" t="str">
        <f>IFERROR(__xludf.DUMMYFUNCTION("GOOGLETRANSLATE(B5997, ""fr"", ""en"")"),"Almost perfect It's only been a few days that I have this headset, it works well but to see the long term, comfort is very good, the headphones to really robust air, the sound is well balanced. I put a star less because of a flaw, at least for me, that is"&amp;" the volume button that is located on the helmet, it is too prominent so that often taking the helmet, I key and alter the volume setting good but just be careful.")</f>
        <v>Almost perfect It's only been a few days that I have this headset, it works well but to see the long term, comfort is very good, the headphones to really robust air, the sound is well balanced. I put a star less because of a flaw, at least for me, that is the volume button that is located on the helmet, it is too prominent so that often taking the helmet, I key and alter the volume setting good but just be careful.</v>
      </c>
    </row>
    <row r="5998">
      <c r="A5998" s="1">
        <v>4.0</v>
      </c>
      <c r="B5998" s="1" t="s">
        <v>5919</v>
      </c>
      <c r="C5998" t="str">
        <f>IFERROR(__xludf.DUMMYFUNCTION("GOOGLETRANSLATE(B5998, ""fr"", ""en"")"),"Good value Very good value for money. Attracts fine dust on the surface.")</f>
        <v>Good value Very good value for money. Attracts fine dust on the surface.</v>
      </c>
    </row>
    <row r="5999">
      <c r="A5999" s="1">
        <v>4.0</v>
      </c>
      <c r="B5999" s="1" t="s">
        <v>5920</v>
      </c>
      <c r="C5999" t="str">
        <f>IFERROR(__xludf.DUMMYFUNCTION("GOOGLETRANSLATE(B5999, ""fr"", ""en"")"),"Very nice colors and Supers pretty consistent. Warning strap a little small for man ... elastic inflexible dark difficult to leave.")</f>
        <v>Very nice colors and Supers pretty consistent. Warning strap a little small for man ... elastic inflexible dark difficult to leave.</v>
      </c>
    </row>
    <row r="6000">
      <c r="A6000" s="1">
        <v>4.0</v>
      </c>
      <c r="B6000" s="1" t="s">
        <v>5921</v>
      </c>
      <c r="C6000" t="str">
        <f>IFERROR(__xludf.DUMMYFUNCTION("GOOGLETRANSLATE(B6000, ""fr"", ""en"")"),"Product very fine product")</f>
        <v>Product very fine product</v>
      </c>
    </row>
    <row r="6001">
      <c r="A6001" s="1">
        <v>5.0</v>
      </c>
      <c r="B6001" s="1" t="s">
        <v>5922</v>
      </c>
      <c r="C6001" t="str">
        <f>IFERROR(__xludf.DUMMYFUNCTION("GOOGLETRANSLATE(B6001, ""fr"", ""en"")"),"BOSE like a BOSS Very good sound quality and very comfortable.")</f>
        <v>BOSE like a BOSS Very good sound quality and very comfortable.</v>
      </c>
    </row>
    <row r="6002">
      <c r="A6002" s="1">
        <v>5.0</v>
      </c>
      <c r="B6002" s="1" t="s">
        <v>5923</v>
      </c>
      <c r="C6002" t="str">
        <f>IFERROR(__xludf.DUMMYFUNCTION("GOOGLETRANSLATE(B6002, ""fr"", ""en"")"),"Shorty very good quality and very thick. Shorty matter ... very good quality and very thick. very soft material and perfect size. I bought it for the practice of contemporary dance and I recommend it!")</f>
        <v>Shorty very good quality and very thick. Shorty matter ... very good quality and very thick. very soft material and perfect size. I bought it for the practice of contemporary dance and I recommend it!</v>
      </c>
    </row>
    <row r="6003">
      <c r="A6003" s="1">
        <v>5.0</v>
      </c>
      <c r="B6003" s="1" t="s">
        <v>5924</v>
      </c>
      <c r="C6003" t="str">
        <f>IFERROR(__xludf.DUMMYFUNCTION("GOOGLETRANSLATE(B6003, ""fr"", ""en"")"),"I recommend I buy these little paint can for my daughter of 18 months for his first painting it's great she love to dip those little hands in the potty The more great thing, its not stain clothing I recommended")</f>
        <v>I recommend I buy these little paint can for my daughter of 18 months for his first painting it's great she love to dip those little hands in the potty The more great thing, its not stain clothing I recommended</v>
      </c>
    </row>
    <row r="6004">
      <c r="A6004" s="1">
        <v>5.0</v>
      </c>
      <c r="B6004" s="1" t="s">
        <v>5925</v>
      </c>
      <c r="C6004" t="str">
        <f>IFERROR(__xludf.DUMMYFUNCTION("GOOGLETRANSLATE(B6004, ""fr"", ""en"")"),"write well for perfect sheets")</f>
        <v>write well for perfect sheets</v>
      </c>
    </row>
    <row r="6005">
      <c r="A6005" s="1">
        <v>5.0</v>
      </c>
      <c r="B6005" s="1" t="s">
        <v>5926</v>
      </c>
      <c r="C6005" t="str">
        <f>IFERROR(__xludf.DUMMYFUNCTION("GOOGLETRANSLATE(B6005, ""fr"", ""en"")"),"Impeccable replaces my old Pataugas good old (made in France ....) but it is very good and very beautiful, appropriate size, but we have to undo the laces to put ... once inside, it is impeccable and light to make good rides.")</f>
        <v>Impeccable replaces my old Pataugas good old (made in France ....) but it is very good and very beautiful, appropriate size, but we have to undo the laces to put ... once inside, it is impeccable and light to make good rides.</v>
      </c>
    </row>
    <row r="6006">
      <c r="A6006" s="1">
        <v>5.0</v>
      </c>
      <c r="B6006" s="1" t="s">
        <v>5927</v>
      </c>
      <c r="C6006" t="str">
        <f>IFERROR(__xludf.DUMMYFUNCTION("GOOGLETRANSLATE(B6006, ""fr"", ""en"")"),"Heater shoe On the advice of a friend, I chose this ergonomic and practical model for my ski resort tenants, it is very unpleasant to have shoes wet skis (snow, sweat) but also gloves that can be dried with the device, it is healthy (UV to kill bacteria) "&amp;"and rapide.Je recommend this article for anyone who puts on the morning shoes, cool ... super fast and it will deliver a well-made incomparable.")</f>
        <v>Heater shoe On the advice of a friend, I chose this ergonomic and practical model for my ski resort tenants, it is very unpleasant to have shoes wet skis (snow, sweat) but also gloves that can be dried with the device, it is healthy (UV to kill bacteria) and rapide.Je recommend this article for anyone who puts on the morning shoes, cool ... super fast and it will deliver a well-made incomparable.</v>
      </c>
    </row>
    <row r="6007">
      <c r="A6007" s="1">
        <v>5.0</v>
      </c>
      <c r="B6007" s="1" t="s">
        <v>5928</v>
      </c>
      <c r="C6007" t="str">
        <f>IFERROR(__xludf.DUMMYFUNCTION("GOOGLETRANSLATE(B6007, ""fr"", ""en"")"),"Nickel! Shoes and received quickly as desired. I will again feel good to walk. (These shoes are very flexible, which is ideal when your feet are wide because of your outer bone (on the side) that go too outwardly indeed, we are happy that this type of sho"&amp;"e exists! Phew!) .")</f>
        <v>Nickel! Shoes and received quickly as desired. I will again feel good to walk. (These shoes are very flexible, which is ideal when your feet are wide because of your outer bone (on the side) that go too outwardly indeed, we are happy that this type of shoe exists! Phew!) .</v>
      </c>
    </row>
    <row r="6008">
      <c r="A6008" s="1">
        <v>5.0</v>
      </c>
      <c r="B6008" s="1" t="s">
        <v>5929</v>
      </c>
      <c r="C6008" t="str">
        <f>IFERROR(__xludf.DUMMYFUNCTION("GOOGLETRANSLATE(B6008, ""fr"", ""en"")"),"Scotch bien..pratique and economic glue for this lot has small price")</f>
        <v>Scotch bien..pratique and economic glue for this lot has small price</v>
      </c>
    </row>
    <row r="6009">
      <c r="A6009" s="1">
        <v>5.0</v>
      </c>
      <c r="B6009" s="1" t="s">
        <v>5930</v>
      </c>
      <c r="C6009" t="str">
        <f>IFERROR(__xludf.DUMMYFUNCTION("GOOGLETRANSLATE(B6009, ""fr"", ""en"")"),"All very nice Very nice as a whole and with the big band of the bra keeps it well The pants size very well")</f>
        <v>All very nice Very nice as a whole and with the big band of the bra keeps it well The pants size very well</v>
      </c>
    </row>
    <row r="6010">
      <c r="A6010" s="1">
        <v>5.0</v>
      </c>
      <c r="B6010" s="1" t="s">
        <v>5931</v>
      </c>
      <c r="C6010" t="str">
        <f>IFERROR(__xludf.DUMMYFUNCTION("GOOGLETRANSLATE(B6010, ""fr"", ""en"")"),"Although RAS")</f>
        <v>Although RAS</v>
      </c>
    </row>
    <row r="6011">
      <c r="A6011" s="1">
        <v>5.0</v>
      </c>
      <c r="B6011" s="1" t="s">
        <v>5932</v>
      </c>
      <c r="C6011" t="str">
        <f>IFERROR(__xludf.DUMMYFUNCTION("GOOGLETRANSLATE(B6011, ""fr"", ""en"")"),"Great product A pack of two for perfect protection for my mobile. Very easy to install, I recommend this product. Excellent!")</f>
        <v>Great product A pack of two for perfect protection for my mobile. Very easy to install, I recommend this product. Excellent!</v>
      </c>
    </row>
    <row r="6012">
      <c r="A6012" s="1">
        <v>5.0</v>
      </c>
      <c r="B6012" s="1" t="s">
        <v>5933</v>
      </c>
      <c r="C6012" t="str">
        <f>IFERROR(__xludf.DUMMYFUNCTION("GOOGLETRANSLATE(B6012, ""fr"", ""en"")"),"and cheap quality Canon Ink This ink has the primary advantage of quality, but it expects no less of a Canon ink. But above all it is not expensive !!!! Compared to generic or remanufactured cartridges, the additional cost is minimal (€ 1, or less) and I'"&amp;"m sure not to have worries like that happened to me with generics. I am pleased !")</f>
        <v>and cheap quality Canon Ink This ink has the primary advantage of quality, but it expects no less of a Canon ink. But above all it is not expensive !!!! Compared to generic or remanufactured cartridges, the additional cost is minimal (€ 1, or less) and I'm sure not to have worries like that happened to me with generics. I am pleased !</v>
      </c>
    </row>
    <row r="6013">
      <c r="A6013" s="1">
        <v>5.0</v>
      </c>
      <c r="B6013" s="1" t="s">
        <v>5934</v>
      </c>
      <c r="C6013" t="str">
        <f>IFERROR(__xludf.DUMMYFUNCTION("GOOGLETRANSLATE(B6013, ""fr"", ""en"")"),"no problem with caterpillar replacement shoe after the end of life of my old pair. always nice and comfortable. a great value!")</f>
        <v>no problem with caterpillar replacement shoe after the end of life of my old pair. always nice and comfortable. a great value!</v>
      </c>
    </row>
    <row r="6014">
      <c r="A6014" s="1">
        <v>5.0</v>
      </c>
      <c r="B6014" s="1" t="s">
        <v>5935</v>
      </c>
      <c r="C6014" t="str">
        <f>IFERROR(__xludf.DUMMYFUNCTION("GOOGLETRANSLATE(B6014, ""fr"", ""en"")"),"The product is well in accordance with instructions. The sound is good at all frequencies. Comfort is also very good. I recommend this product.")</f>
        <v>The product is well in accordance with instructions. The sound is good at all frequencies. Comfort is also very good. I recommend this product.</v>
      </c>
    </row>
    <row r="6015">
      <c r="A6015" s="1">
        <v>5.0</v>
      </c>
      <c r="B6015" s="1" t="s">
        <v>5936</v>
      </c>
      <c r="C6015" t="str">
        <f>IFERROR(__xludf.DUMMYFUNCTION("GOOGLETRANSLATE(B6015, ""fr"", ""en"")"),"Chausson tap for home")</f>
        <v>Chausson tap for home</v>
      </c>
    </row>
    <row r="6016">
      <c r="A6016" s="1">
        <v>5.0</v>
      </c>
      <c r="B6016" s="1" t="s">
        <v>5937</v>
      </c>
      <c r="C6016" t="str">
        <f>IFERROR(__xludf.DUMMYFUNCTION("GOOGLETRANSLATE(B6016, ""fr"", ""en"")"),"Perfect for all levels. .. A beautiful design and easy to use fashion make this product a high quality item. I use it regularly for several weeks and it gives me any satisfaction.")</f>
        <v>Perfect for all levels. .. A beautiful design and easy to use fashion make this product a high quality item. I use it regularly for several weeks and it gives me any satisfaction.</v>
      </c>
    </row>
    <row r="6017">
      <c r="A6017" s="1">
        <v>2.0</v>
      </c>
      <c r="B6017" s="1" t="s">
        <v>5938</v>
      </c>
      <c r="C6017" t="str">
        <f>IFERROR(__xludf.DUMMYFUNCTION("GOOGLETRANSLATE(B6017, ""fr"", ""en"")"),"too little watch more for the woman is not suitable at all to man it and very little lighting and low and thin bracelet and opens all alone I sent")</f>
        <v>too little watch more for the woman is not suitable at all to man it and very little lighting and low and thin bracelet and opens all alone I sent</v>
      </c>
    </row>
    <row r="6018">
      <c r="A6018" s="1">
        <v>1.0</v>
      </c>
      <c r="B6018" s="1" t="s">
        <v>5939</v>
      </c>
      <c r="C6018" t="str">
        <f>IFERROR(__xludf.DUMMYFUNCTION("GOOGLETRANSLATE(B6018, ""fr"", ""en"")"),"Its in one ear headphones These two are independent of each other. It is impossible to have the sound in both ears simultaneously. Needless sum.")</f>
        <v>Its in one ear headphones These two are independent of each other. It is impossible to have the sound in both ears simultaneously. Needless sum.</v>
      </c>
    </row>
    <row r="6019">
      <c r="A6019" s="1">
        <v>3.0</v>
      </c>
      <c r="B6019" s="1" t="s">
        <v>5940</v>
      </c>
      <c r="C6019" t="str">
        <f>IFERROR(__xludf.DUMMYFUNCTION("GOOGLETRANSLATE(B6019, ""fr"", ""en"")"),"Cartridge A cartridge in the Lot was full case half Otherwise flush.")</f>
        <v>Cartridge A cartridge in the Lot was full case half Otherwise flush.</v>
      </c>
    </row>
    <row r="6020">
      <c r="A6020" s="1">
        <v>3.0</v>
      </c>
      <c r="B6020" s="1" t="s">
        <v>5941</v>
      </c>
      <c r="C6020" t="str">
        <f>IFERROR(__xludf.DUMMYFUNCTION("GOOGLETRANSLATE(B6020, ""fr"", ""en"")"),"Pretty poor but not very resistant")</f>
        <v>Pretty poor but not very resistant</v>
      </c>
    </row>
    <row r="6021">
      <c r="A6021" s="1">
        <v>4.0</v>
      </c>
      <c r="B6021" s="1" t="s">
        <v>5942</v>
      </c>
      <c r="C6021" t="str">
        <f>IFERROR(__xludf.DUMMYFUNCTION("GOOGLETRANSLATE(B6021, ""fr"", ""en"")"),"Brilliant but beware, great shoes !! I just got my converse chosen burgundy with a day in advance! Color is super beautiful, they look very good quality but it is true that we must take a size smaller !! I am very satisfied with my purchase !")</f>
        <v>Brilliant but beware, great shoes !! I just got my converse chosen burgundy with a day in advance! Color is super beautiful, they look very good quality but it is true that we must take a size smaller !! I am very satisfied with my purchase !</v>
      </c>
    </row>
    <row r="6022">
      <c r="A6022" s="1">
        <v>4.0</v>
      </c>
      <c r="B6022" s="1" t="s">
        <v>5943</v>
      </c>
      <c r="C6022" t="str">
        <f>IFERROR(__xludf.DUMMYFUNCTION("GOOGLETRANSLATE(B6022, ""fr"", ""en"")"),"Appreciating a good product that I recommend and cheap. It's just a little big waist level. I am satisfied with my purchase.")</f>
        <v>Appreciating a good product that I recommend and cheap. It's just a little big waist level. I am satisfied with my purchase.</v>
      </c>
    </row>
    <row r="6023">
      <c r="A6023" s="1">
        <v>4.0</v>
      </c>
      <c r="B6023" s="1" t="s">
        <v>5944</v>
      </c>
      <c r="C6023" t="str">
        <f>IFERROR(__xludf.DUMMYFUNCTION("GOOGLETRANSLATE(B6023, ""fr"", ""en"")"),"Bracelet Pretty")</f>
        <v>Bracelet Pretty</v>
      </c>
    </row>
    <row r="6024">
      <c r="A6024" s="1">
        <v>4.0</v>
      </c>
      <c r="B6024" s="1" t="s">
        <v>5945</v>
      </c>
      <c r="C6024" t="str">
        <f>IFERROR(__xludf.DUMMYFUNCTION("GOOGLETRANSLATE(B6024, ""fr"", ""en"")"),"it rained ........... so what more! Quality and price are reasonable for a small gift as valentine or gesture remains a symbol for now as before ...... .I love you !!!!!!!! a Christmas or birthday before for a great gift if finance allows.")</f>
        <v>it rained ........... so what more! Quality and price are reasonable for a small gift as valentine or gesture remains a symbol for now as before ...... .I love you !!!!!!!! a Christmas or birthday before for a great gift if finance allows.</v>
      </c>
    </row>
    <row r="6025">
      <c r="A6025" s="1">
        <v>5.0</v>
      </c>
      <c r="B6025" s="1" t="s">
        <v>5946</v>
      </c>
      <c r="C6025" t="str">
        <f>IFERROR(__xludf.DUMMYFUNCTION("GOOGLETRANSLATE(B6025, ""fr"", ""en"")"),"Kdo street art sweatshirt for a young teen")</f>
        <v>Kdo street art sweatshirt for a young teen</v>
      </c>
    </row>
    <row r="6026">
      <c r="A6026" s="1">
        <v>5.0</v>
      </c>
      <c r="B6026" s="1" t="s">
        <v>5947</v>
      </c>
      <c r="C6026" t="str">
        <f>IFERROR(__xludf.DUMMYFUNCTION("GOOGLETRANSLATE(B6026, ""fr"", ""en"")"),"Ultra-fast and consistent product delivery! I am conquered by express delivery (less than 3 days!). The bottles came packaged in a well designed MAM box. The anti-colic system seems clever. I look forward to testing my baby! Purchased yellow, they are sup"&amp;"er cute.")</f>
        <v>Ultra-fast and consistent product delivery! I am conquered by express delivery (less than 3 days!). The bottles came packaged in a well designed MAM box. The anti-colic system seems clever. I look forward to testing my baby! Purchased yellow, they are super cute.</v>
      </c>
    </row>
    <row r="6027">
      <c r="A6027" s="1">
        <v>5.0</v>
      </c>
      <c r="B6027" s="1" t="s">
        <v>5948</v>
      </c>
      <c r="C6027" t="str">
        <f>IFERROR(__xludf.DUMMYFUNCTION("GOOGLETRANSLATE(B6027, ""fr"", ""en"")"),"Effective nothing to say very effective")</f>
        <v>Effective nothing to say very effective</v>
      </c>
    </row>
    <row r="6028">
      <c r="A6028" s="1">
        <v>5.0</v>
      </c>
      <c r="B6028" s="1" t="s">
        <v>5949</v>
      </c>
      <c r="C6028" t="str">
        <f>IFERROR(__xludf.DUMMYFUNCTION("GOOGLETRANSLATE(B6028, ""fr"", ""en"")"),"Beautiful Dress warm quality, thick with beautiful finishes.")</f>
        <v>Beautiful Dress warm quality, thick with beautiful finishes.</v>
      </c>
    </row>
    <row r="6029">
      <c r="A6029" s="1">
        <v>5.0</v>
      </c>
      <c r="B6029" s="1" t="s">
        <v>5950</v>
      </c>
      <c r="C6029" t="str">
        <f>IFERROR(__xludf.DUMMYFUNCTION("GOOGLETRANSLATE(B6029, ""fr"", ""en"")"),"Perfect They are super nice with this platform. I play 41 and I took 40. This is just right but I prefer. A little rigid at first but it is due to the platform, they will do. I wish the seller does not stick directly converse box as a package. But ... it'"&amp;"s not very serious ...")</f>
        <v>Perfect They are super nice with this platform. I play 41 and I took 40. This is just right but I prefer. A little rigid at first but it is due to the platform, they will do. I wish the seller does not stick directly converse box as a package. But ... it's not very serious ...</v>
      </c>
    </row>
    <row r="6030">
      <c r="A6030" s="1">
        <v>5.0</v>
      </c>
      <c r="B6030" s="1" t="s">
        <v>5951</v>
      </c>
      <c r="C6030" t="str">
        <f>IFERROR(__xludf.DUMMYFUNCTION("GOOGLETRANSLATE(B6030, ""fr"", ""en"")"),"Practice Agrees with all styles, comfortable, durable, waterproof, this pair of shoes is almost essential in everyday life. Received well before the expected date, I'm completely a fan. Serious and professional seller to be commended.")</f>
        <v>Practice Agrees with all styles, comfortable, durable, waterproof, this pair of shoes is almost essential in everyday life. Received well before the expected date, I'm completely a fan. Serious and professional seller to be commended.</v>
      </c>
    </row>
    <row r="6031">
      <c r="A6031" s="1">
        <v>5.0</v>
      </c>
      <c r="B6031" s="1" t="s">
        <v>5952</v>
      </c>
      <c r="C6031" t="str">
        <f>IFERROR(__xludf.DUMMYFUNCTION("GOOGLETRANSLATE(B6031, ""fr"", ""en"")"),"Top His works !!! I thought I had lost my steam plant. Steam Beware clear they are toxic. (Thought applied to the outside) grime flows like butter !!!")</f>
        <v>Top His works !!! I thought I had lost my steam plant. Steam Beware clear they are toxic. (Thought applied to the outside) grime flows like butter !!!</v>
      </c>
    </row>
    <row r="6032">
      <c r="A6032" s="1">
        <v>5.0</v>
      </c>
      <c r="B6032" s="1" t="s">
        <v>5953</v>
      </c>
      <c r="C6032" t="str">
        <f>IFERROR(__xludf.DUMMYFUNCTION("GOOGLETRANSLATE(B6032, ""fr"", ""en"")"),"Nothing to say, top-quality real atria on top quality. PERFECT !")</f>
        <v>Nothing to say, top-quality real atria on top quality. PERFECT !</v>
      </c>
    </row>
    <row r="6033">
      <c r="A6033" s="1">
        <v>5.0</v>
      </c>
      <c r="B6033" s="1" t="s">
        <v>5954</v>
      </c>
      <c r="C6033" t="str">
        <f>IFERROR(__xludf.DUMMYFUNCTION("GOOGLETRANSLATE(B6033, ""fr"", ""en"")"),"Super sweet story any extra A small book for small children. Also ponder whether one is great!")</f>
        <v>Super sweet story any extra A small book for small children. Also ponder whether one is great!</v>
      </c>
    </row>
    <row r="6034">
      <c r="A6034" s="1">
        <v>5.0</v>
      </c>
      <c r="B6034" s="1" t="s">
        <v>5955</v>
      </c>
      <c r="C6034" t="str">
        <f>IFERROR(__xludf.DUMMYFUNCTION("GOOGLETRANSLATE(B6034, ""fr"", ""en"")"),"Parure necklace earrings Very pretty dress, gives a nice effect, identical to the description")</f>
        <v>Parure necklace earrings Very pretty dress, gives a nice effect, identical to the description</v>
      </c>
    </row>
    <row r="6035">
      <c r="A6035" s="1">
        <v>5.0</v>
      </c>
      <c r="B6035" s="1" t="s">
        <v>5956</v>
      </c>
      <c r="C6035" t="str">
        <f>IFERROR(__xludf.DUMMYFUNCTION("GOOGLETRANSLATE(B6035, ""fr"", ""en"")"),"Perfect for me Fits perfectly on the BC-Master USB Microphone unlike some advice. In terms of negatives already mentioned, I can answer it, my microphone remains fixed and do not change its position.")</f>
        <v>Perfect for me Fits perfectly on the BC-Master USB Microphone unlike some advice. In terms of negatives already mentioned, I can answer it, my microphone remains fixed and do not change its position.</v>
      </c>
    </row>
    <row r="6036">
      <c r="A6036" s="1">
        <v>5.0</v>
      </c>
      <c r="B6036" s="1" t="s">
        <v>5957</v>
      </c>
      <c r="C6036" t="str">
        <f>IFERROR(__xludf.DUMMYFUNCTION("GOOGLETRANSLATE(B6036, ""fr"", ""en"")"),"Very well thank you and recommends In true slippers for this ven 2 pairs")</f>
        <v>Very well thank you and recommends In true slippers for this ven 2 pairs</v>
      </c>
    </row>
    <row r="6037">
      <c r="A6037" s="1">
        <v>5.0</v>
      </c>
      <c r="B6037" s="1" t="s">
        <v>5958</v>
      </c>
      <c r="C6037" t="str">
        <f>IFERROR(__xludf.DUMMYFUNCTION("GOOGLETRANSLATE(B6037, ""fr"", ""en"")"),"nothing Impeccable")</f>
        <v>nothing Impeccable</v>
      </c>
    </row>
    <row r="6038">
      <c r="A6038" s="1">
        <v>5.0</v>
      </c>
      <c r="B6038" s="1" t="s">
        <v>5959</v>
      </c>
      <c r="C6038" t="str">
        <f>IFERROR(__xludf.DUMMYFUNCTION("GOOGLETRANSLATE(B6038, ""fr"", ""en"")"),"Electric kettle water heater! Little light when it heats. Top!")</f>
        <v>Electric kettle water heater! Little light when it heats. Top!</v>
      </c>
    </row>
    <row r="6039">
      <c r="A6039" s="1">
        <v>5.0</v>
      </c>
      <c r="B6039" s="1" t="s">
        <v>5960</v>
      </c>
      <c r="C6039" t="str">
        <f>IFERROR(__xludf.DUMMYFUNCTION("GOOGLETRANSLATE(B6039, ""fr"", ""en"")"),"Watch Stylish watch sleek design, simple and elegant is esthétique.Le strap Milanese Also it is very light and flat. Its price is reasonable.")</f>
        <v>Watch Stylish watch sleek design, simple and elegant is esthétique.Le strap Milanese Also it is very light and flat. Its price is reasonable.</v>
      </c>
    </row>
    <row r="6040">
      <c r="A6040" s="1">
        <v>2.0</v>
      </c>
      <c r="B6040" s="1" t="s">
        <v>5961</v>
      </c>
      <c r="C6040" t="str">
        <f>IFERROR(__xludf.DUMMYFUNCTION("GOOGLETRANSLATE(B6040, ""fr"", ""en"")"),"Micro reviewing Good ergonomics, design nice, good sound quality, but the microphone is not up because we heard from afar, despite the volume to maximum and made different settings. I found better.")</f>
        <v>Micro reviewing Good ergonomics, design nice, good sound quality, but the microphone is not up because we heard from afar, despite the volume to maximum and made different settings. I found better.</v>
      </c>
    </row>
    <row r="6041">
      <c r="A6041" s="1">
        <v>1.0</v>
      </c>
      <c r="B6041" s="1" t="s">
        <v>5962</v>
      </c>
      <c r="C6041" t="str">
        <f>IFERROR(__xludf.DUMMYFUNCTION("GOOGLETRANSLATE(B6041, ""fr"", ""en"")"),"Without interest ! I bought this product after the publicity in and done. No resistance as shown! I wanted an ultralight glued neon support and nothing holds. Many try were made. I recommend this highly.")</f>
        <v>Without interest ! I bought this product after the publicity in and done. No resistance as shown! I wanted an ultralight glued neon support and nothing holds. Many try were made. I recommend this highly.</v>
      </c>
    </row>
    <row r="6042">
      <c r="A6042" s="1">
        <v>1.0</v>
      </c>
      <c r="B6042" s="1" t="s">
        <v>5963</v>
      </c>
      <c r="C6042" t="str">
        <f>IFERROR(__xludf.DUMMYFUNCTION("GOOGLETRANSLATE(B6042, ""fr"", ""en"")"),"I ATDS current routing")</f>
        <v>I ATDS current routing</v>
      </c>
    </row>
    <row r="6043">
      <c r="A6043" s="1">
        <v>3.0</v>
      </c>
      <c r="B6043" s="1" t="s">
        <v>5964</v>
      </c>
      <c r="C6043" t="str">
        <f>IFERROR(__xludf.DUMMYFUNCTION("GOOGLETRANSLATE(B6043, ""fr"", ""en"")"),"Too small as expected ... I took 42.5 as usual with NIKE but almost impossible to get my foot in it (though in my Air Max Premium bought in NY they fit me really well), I suspected seeing the reviews but those who answered my question had made me want to "&amp;"see for myself ... I also checked if they were real, they seem real but size small, amazing ... I ' wait so my new pair of replacement in 43 to change or not my comment :) Result Friday or next Monday! If 43 is too small then it will really think to ask i"&amp;"f these are not just very good imitations (me yet checked the bar code, which is the same on the box and shoes and also checked under the soles interior and everything looks official, but you never know with the Chinese) :)")</f>
        <v>Too small as expected ... I took 42.5 as usual with NIKE but almost impossible to get my foot in it (though in my Air Max Premium bought in NY they fit me really well), I suspected seeing the reviews but those who answered my question had made me want to see for myself ... I also checked if they were real, they seem real but size small, amazing ... I ' wait so my new pair of replacement in 43 to change or not my comment :) Result Friday or next Monday! If 43 is too small then it will really think to ask if these are not just very good imitations (me yet checked the bar code, which is the same on the box and shoes and also checked under the soles interior and everything looks official, but you never know with the Chinese) :)</v>
      </c>
    </row>
    <row r="6044">
      <c r="A6044" s="1">
        <v>3.0</v>
      </c>
      <c r="B6044" s="1" t="s">
        <v>5965</v>
      </c>
      <c r="C6044" t="str">
        <f>IFERROR(__xludf.DUMMYFUNCTION("GOOGLETRANSLATE(B6044, ""fr"", ""en"")"),"Bel terribel not object, not easy to initiate. Pb with on / off button, works very random what the shot is necessarily very disappointing !!!!")</f>
        <v>Bel terribel not object, not easy to initiate. Pb with on / off button, works very random what the shot is necessarily very disappointing !!!!</v>
      </c>
    </row>
    <row r="6045">
      <c r="A6045" s="1">
        <v>4.0</v>
      </c>
      <c r="B6045" s="1" t="s">
        <v>5966</v>
      </c>
      <c r="C6045" t="str">
        <f>IFERROR(__xludf.DUMMYFUNCTION("GOOGLETRANSLATE(B6045, ""fr"", ""en"")"),"Product according to description Received 72h and which is suitable for small piston coffee maker model. Fortunately, this does not change often because the price is excessive for what it is ...")</f>
        <v>Product according to description Received 72h and which is suitable for small piston coffee maker model. Fortunately, this does not change often because the price is excessive for what it is ...</v>
      </c>
    </row>
    <row r="6046">
      <c r="A6046" s="1">
        <v>4.0</v>
      </c>
      <c r="B6046" s="1" t="s">
        <v>5967</v>
      </c>
      <c r="C6046" t="str">
        <f>IFERROR(__xludf.DUMMYFUNCTION("GOOGLETRANSLATE(B6046, ""fr"", ""en"")"),"Pretty short dress ... Very nice dress, very well size in width. However I find it a little short. I'm 1,69m and it happens to me mid-thigh ....")</f>
        <v>Pretty short dress ... Very nice dress, very well size in width. However I find it a little short. I'm 1,69m and it happens to me mid-thigh ....</v>
      </c>
    </row>
    <row r="6047">
      <c r="A6047" s="1">
        <v>4.0</v>
      </c>
      <c r="B6047" s="1" t="s">
        <v>5968</v>
      </c>
      <c r="C6047" t="str">
        <f>IFERROR(__xludf.DUMMYFUNCTION("GOOGLETRANSLATE(B6047, ""fr"", ""en"")"),"Okay compliant")</f>
        <v>Okay compliant</v>
      </c>
    </row>
    <row r="6048">
      <c r="A6048" s="1">
        <v>4.0</v>
      </c>
      <c r="B6048" s="1" t="s">
        <v>5969</v>
      </c>
      <c r="C6048" t="str">
        <f>IFERROR(__xludf.DUMMYFUNCTION("GOOGLETRANSLATE(B6048, ""fr"", ""en"")"),"Great for back massage relieves back pain and my wrists")</f>
        <v>Great for back massage relieves back pain and my wrists</v>
      </c>
    </row>
    <row r="6049">
      <c r="A6049" s="1">
        <v>5.0</v>
      </c>
      <c r="B6049" s="1" t="s">
        <v>5970</v>
      </c>
      <c r="C6049" t="str">
        <f>IFERROR(__xludf.DUMMYFUNCTION("GOOGLETRANSLATE(B6049, ""fr"", ""en"")"),"good product really well for leather hides scratches")</f>
        <v>good product really well for leather hides scratches</v>
      </c>
    </row>
    <row r="6050">
      <c r="A6050" s="1">
        <v>5.0</v>
      </c>
      <c r="B6050" s="1" t="s">
        <v>224</v>
      </c>
      <c r="C6050" t="str">
        <f>IFERROR(__xludf.DUMMYFUNCTION("GOOGLETRANSLATE(B6050, ""fr"", ""en"")"),"perfect perfect")</f>
        <v>perfect perfect</v>
      </c>
    </row>
    <row r="6051">
      <c r="A6051" s="1">
        <v>5.0</v>
      </c>
      <c r="B6051" s="1" t="s">
        <v>5971</v>
      </c>
      <c r="C6051" t="str">
        <f>IFERROR(__xludf.DUMMYFUNCTION("GOOGLETRANSLATE(B6051, ""fr"", ""en"")"),"Same Same was the description. Quality Series award saying, I recommend. I use this winter, the kettle overnight yours")</f>
        <v>Same Same was the description. Quality Series award saying, I recommend. I use this winter, the kettle overnight yours</v>
      </c>
    </row>
    <row r="6052">
      <c r="A6052" s="1">
        <v>5.0</v>
      </c>
      <c r="B6052" s="1" t="s">
        <v>5972</v>
      </c>
      <c r="C6052" t="str">
        <f>IFERROR(__xludf.DUMMYFUNCTION("GOOGLETRANSLATE(B6052, ""fr"", ""en"")"),"Comfortable, good fabric good quality, size is good, comfortable, the fabric is nice and very thick.")</f>
        <v>Comfortable, good fabric good quality, size is good, comfortable, the fabric is nice and very thick.</v>
      </c>
    </row>
    <row r="6053">
      <c r="A6053" s="1">
        <v>5.0</v>
      </c>
      <c r="B6053" s="1" t="s">
        <v>5973</v>
      </c>
      <c r="C6053" t="str">
        <f>IFERROR(__xludf.DUMMYFUNCTION("GOOGLETRANSLATE(B6053, ""fr"", ""en"")"),"Top !! Good quality, very hot and very well cut. I recommend it, ordered in dark gray I pass immediately control black. My son love it !!")</f>
        <v>Top !! Good quality, very hot and very well cut. I recommend it, ordered in dark gray I pass immediately control black. My son love it !!</v>
      </c>
    </row>
    <row r="6054">
      <c r="A6054" s="1">
        <v>5.0</v>
      </c>
      <c r="B6054" s="1" t="s">
        <v>5974</v>
      </c>
      <c r="C6054" t="str">
        <f>IFERROR(__xludf.DUMMYFUNCTION("GOOGLETRANSLATE(B6054, ""fr"", ""en"")"),"Absorber smell ecological, natural and amazing I was looking for a natural, odorless to absorb odors and is a friend who told me about these bags of charcoal. They are delivered in a sealed bag, the bags are good quality, durable. I was immediately put in"&amp;" the shoe closet and especially in the pair of basketball my son sweats profusely with these 3 workouts per week, this is an infection ... Unbelievable! After 10j no more smells! And all without the chemical. In addition to the sneakers dry faster. If you"&amp;" have children in the same situation as mine is to you, you have to buy them immediately.")</f>
        <v>Absorber smell ecological, natural and amazing I was looking for a natural, odorless to absorb odors and is a friend who told me about these bags of charcoal. They are delivered in a sealed bag, the bags are good quality, durable. I was immediately put in the shoe closet and especially in the pair of basketball my son sweats profusely with these 3 workouts per week, this is an infection ... Unbelievable! After 10j no more smells! And all without the chemical. In addition to the sneakers dry faster. If you have children in the same situation as mine is to you, you have to buy them immediately.</v>
      </c>
    </row>
    <row r="6055">
      <c r="A6055" s="1">
        <v>5.0</v>
      </c>
      <c r="B6055" s="1" t="s">
        <v>5975</v>
      </c>
      <c r="C6055" t="str">
        <f>IFERROR(__xludf.DUMMYFUNCTION("GOOGLETRANSLATE(B6055, ""fr"", ""en"")"),"Very nice watch very good quality, it's been 1 month since I put all day. Nothing to say to me, the value for money is present.")</f>
        <v>Very nice watch very good quality, it's been 1 month since I put all day. Nothing to say to me, the value for money is present.</v>
      </c>
    </row>
    <row r="6056">
      <c r="A6056" s="1">
        <v>5.0</v>
      </c>
      <c r="B6056" s="1" t="s">
        <v>5976</v>
      </c>
      <c r="C6056" t="str">
        <f>IFERROR(__xludf.DUMMYFUNCTION("GOOGLETRANSLATE(B6056, ""fr"", ""en"")"),"I recommend Product arrived on time! The watch is super pretty. She arrived in a row case, well protected. Having a very small wrist, I was afraid she would not go away or is too big, but everything is nickel. I recommend !")</f>
        <v>I recommend Product arrived on time! The watch is super pretty. She arrived in a row case, well protected. Having a very small wrist, I was afraid she would not go away or is too big, but everything is nickel. I recommend !</v>
      </c>
    </row>
    <row r="6057">
      <c r="A6057" s="1">
        <v>5.0</v>
      </c>
      <c r="B6057" s="1" t="s">
        <v>5977</v>
      </c>
      <c r="C6057" t="str">
        <f>IFERROR(__xludf.DUMMYFUNCTION("GOOGLETRANSLATE(B6057, ""fr"", ""en"")"),"Simple and solid I wear them for several months and the plastic does not yellow unlike other. It is sober and solid. I'm satisfied")</f>
        <v>Simple and solid I wear them for several months and the plastic does not yellow unlike other. It is sober and solid. I'm satisfied</v>
      </c>
    </row>
    <row r="6058">
      <c r="A6058" s="1">
        <v>5.0</v>
      </c>
      <c r="B6058" s="1" t="s">
        <v>5978</v>
      </c>
      <c r="C6058" t="str">
        <f>IFERROR(__xludf.DUMMYFUNCTION("GOOGLETRANSLATE(B6058, ""fr"", ""en"")"),"bmw Nickel")</f>
        <v>bmw Nickel</v>
      </c>
    </row>
    <row r="6059">
      <c r="A6059" s="1">
        <v>5.0</v>
      </c>
      <c r="B6059" s="1" t="s">
        <v>5979</v>
      </c>
      <c r="C6059" t="str">
        <f>IFERROR(__xludf.DUMMYFUNCTION("GOOGLETRANSLATE(B6059, ""fr"", ""en"")"),"Nice design and easy to use Super nice design, very easy to set up and use. It is quiet and unobtrusive. I like the small remote control and the fact you can manage light. I recommend")</f>
        <v>Nice design and easy to use Super nice design, very easy to set up and use. It is quiet and unobtrusive. I like the small remote control and the fact you can manage light. I recommend</v>
      </c>
    </row>
    <row r="6060">
      <c r="A6060" s="1">
        <v>5.0</v>
      </c>
      <c r="B6060" s="1" t="s">
        <v>5980</v>
      </c>
      <c r="C6060" t="str">
        <f>IFERROR(__xludf.DUMMYFUNCTION("GOOGLETRANSLATE(B6060, ""fr"", ""en"")"),"Good My husband wear a loan six months very good product.")</f>
        <v>Good My husband wear a loan six months very good product.</v>
      </c>
    </row>
    <row r="6061">
      <c r="A6061" s="1">
        <v>5.0</v>
      </c>
      <c r="B6061" s="1" t="s">
        <v>1547</v>
      </c>
      <c r="C6061" t="str">
        <f>IFERROR(__xludf.DUMMYFUNCTION("GOOGLETRANSLATE(B6061, ""fr"", ""en"")"),"Ras Ras")</f>
        <v>Ras Ras</v>
      </c>
    </row>
    <row r="6062">
      <c r="A6062" s="1">
        <v>5.0</v>
      </c>
      <c r="B6062" s="1" t="s">
        <v>5981</v>
      </c>
      <c r="C6062" t="str">
        <f>IFERROR(__xludf.DUMMYFUNCTION("GOOGLETRANSLATE(B6062, ""fr"", ""en"")"),"Splendid Very nice quality and a C gloss is a beautiful complete set for child my daughter was not able to say thank you she remained silent and tears came to his him I'm glad thank you")</f>
        <v>Splendid Very nice quality and a C gloss is a beautiful complete set for child my daughter was not able to say thank you she remained silent and tears came to his him I'm glad thank you</v>
      </c>
    </row>
    <row r="6063">
      <c r="A6063" s="1">
        <v>5.0</v>
      </c>
      <c r="B6063" s="1" t="s">
        <v>5982</v>
      </c>
      <c r="C6063" t="str">
        <f>IFERROR(__xludf.DUMMYFUNCTION("GOOGLETRANSLATE(B6063, ""fr"", ""en"")"),"Okay This essential oil is perfect. A few drops and immediately the clove trees are immediately felt. The perfume smells really cloves. To recommend!")</f>
        <v>Okay This essential oil is perfect. A few drops and immediately the clove trees are immediately felt. The perfume smells really cloves. To recommend!</v>
      </c>
    </row>
    <row r="6064">
      <c r="A6064" s="1">
        <v>2.0</v>
      </c>
      <c r="B6064" s="1" t="s">
        <v>5983</v>
      </c>
      <c r="C6064" t="str">
        <f>IFERROR(__xludf.DUMMYFUNCTION("GOOGLETRANSLATE(B6064, ""fr"", ""en"")"),"so so so early going well all goods the third printing his mouth nozzle and the printer stops working (she has 2 months) thus avoided !!!!!")</f>
        <v>so so so early going well all goods the third printing his mouth nozzle and the printer stops working (she has 2 months) thus avoided !!!!!</v>
      </c>
    </row>
    <row r="6065">
      <c r="A6065" s="1">
        <v>1.0</v>
      </c>
      <c r="B6065" s="1" t="s">
        <v>5984</v>
      </c>
      <c r="C6065" t="str">
        <f>IFERROR(__xludf.DUMMYFUNCTION("GOOGLETRANSLATE(B6065, ""fr"", ""en"")"),"great disappointment very disappointed this watch")</f>
        <v>great disappointment very disappointed this watch</v>
      </c>
    </row>
    <row r="6066">
      <c r="A6066" s="1">
        <v>1.0</v>
      </c>
      <c r="B6066" s="1" t="s">
        <v>5985</v>
      </c>
      <c r="C6066" t="str">
        <f>IFERROR(__xludf.DUMMYFUNCTION("GOOGLETRANSLATE(B6066, ""fr"", ""en"")"),"Hello does not work, the product is aesthetically my expectations but the red knob is defective and some features are impossible. The information booklet is in several languages ​​but not in French, took the download on the internet.")</f>
        <v>Hello does not work, the product is aesthetically my expectations but the red knob is defective and some features are impossible. The information booklet is in several languages ​​but not in French, took the download on the internet.</v>
      </c>
    </row>
    <row r="6067">
      <c r="A6067" s="1">
        <v>3.0</v>
      </c>
      <c r="B6067" s="1" t="s">
        <v>5986</v>
      </c>
      <c r="C6067" t="str">
        <f>IFERROR(__xludf.DUMMYFUNCTION("GOOGLETRANSLATE(B6067, ""fr"", ""en"")"),"Earpiece law does not work after a while I initially liked these headphones that rather tight fit, and are convenient to take anywhere. Problem: the right earpiece stopped working for some time, and obviously it happened after the return period. So disapp"&amp;"ointed, because without it they were very good.")</f>
        <v>Earpiece law does not work after a while I initially liked these headphones that rather tight fit, and are convenient to take anywhere. Problem: the right earpiece stopped working for some time, and obviously it happened after the return period. So disappointed, because without it they were very good.</v>
      </c>
    </row>
    <row r="6068">
      <c r="A6068" s="1">
        <v>4.0</v>
      </c>
      <c r="B6068" s="1" t="s">
        <v>5987</v>
      </c>
      <c r="C6068" t="str">
        <f>IFERROR(__xludf.DUMMYFUNCTION("GOOGLETRANSLATE(B6068, ""fr"", ""en"")"),"Good product Very good product, only the default buttons a bit too sencibles, with the movements of his works sometimes chnge.")</f>
        <v>Good product Very good product, only the default buttons a bit too sencibles, with the movements of his works sometimes chnge.</v>
      </c>
    </row>
    <row r="6069">
      <c r="A6069" s="1">
        <v>4.0</v>
      </c>
      <c r="B6069" s="1" t="s">
        <v>5988</v>
      </c>
      <c r="C6069" t="str">
        <f>IFERROR(__xludf.DUMMYFUNCTION("GOOGLETRANSLATE(B6069, ""fr"", ""en"")"),"Beginner ok Micro beginner efficient enough, all you need phantom power to remove any inconvenience style latency etc but good microphone with all the accessories that make a real good use and start in music")</f>
        <v>Beginner ok Micro beginner efficient enough, all you need phantom power to remove any inconvenience style latency etc but good microphone with all the accessories that make a real good use and start in music</v>
      </c>
    </row>
    <row r="6070">
      <c r="A6070" s="1">
        <v>4.0</v>
      </c>
      <c r="B6070" s="1" t="s">
        <v>5989</v>
      </c>
      <c r="C6070" t="str">
        <f>IFERROR(__xludf.DUMMYFUNCTION("GOOGLETRANSLATE(B6070, ""fr"", ""en"")"),"Pretty and wearable Jolie resemblance air max without being a copy very comfortable to wear even a full day")</f>
        <v>Pretty and wearable Jolie resemblance air max without being a copy very comfortable to wear even a full day</v>
      </c>
    </row>
    <row r="6071">
      <c r="A6071" s="1">
        <v>4.0</v>
      </c>
      <c r="B6071" s="1" t="s">
        <v>5990</v>
      </c>
      <c r="C6071" t="str">
        <f>IFERROR(__xludf.DUMMYFUNCTION("GOOGLETRANSLATE(B6071, ""fr"", ""en"")"),"Good good brush brush brush cleans like everyone, its rotating system is unnecessary as cleaning interior remains manual, its still a brush all that there is more simple abyss in time to see its daily use . Comes with a small brush but really mini mini so"&amp;" who am useless, the sprinkler in itself suffisais. Well packaged, delivered on time.")</f>
        <v>Good good brush brush brush cleans like everyone, its rotating system is unnecessary as cleaning interior remains manual, its still a brush all that there is more simple abyss in time to see its daily use . Comes with a small brush but really mini mini so who am useless, the sprinkler in itself suffisais. Well packaged, delivered on time.</v>
      </c>
    </row>
    <row r="6072">
      <c r="A6072" s="1">
        <v>4.0</v>
      </c>
      <c r="B6072" s="1" t="s">
        <v>5991</v>
      </c>
      <c r="C6072" t="str">
        <f>IFERROR(__xludf.DUMMYFUNCTION("GOOGLETRANSLATE(B6072, ""fr"", ""en"")"),"True to the quality of the brand Fruit Of The Loom is a good brand basics, good quality, we can find happiness. The color is nice but size a little hair, allow one size bigger. Do not plush but easily take pet hair (cats in this case). This sweater is per"&amp;"haps a little late, good for the sport anyway! I recommend.")</f>
        <v>True to the quality of the brand Fruit Of The Loom is a good brand basics, good quality, we can find happiness. The color is nice but size a little hair, allow one size bigger. Do not plush but easily take pet hair (cats in this case). This sweater is perhaps a little late, good for the sport anyway! I recommend.</v>
      </c>
    </row>
    <row r="6073">
      <c r="A6073" s="1">
        <v>5.0</v>
      </c>
      <c r="B6073" s="1" t="s">
        <v>5992</v>
      </c>
      <c r="C6073" t="str">
        <f>IFERROR(__xludf.DUMMYFUNCTION("GOOGLETRANSLATE(B6073, ""fr"", ""en"")"),"Having great product to use the old version, I did not ask more questions when my achat.Conforme the Bosch brand, great product value. Works very well. No complaints.")</f>
        <v>Having great product to use the old version, I did not ask more questions when my achat.Conforme the Bosch brand, great product value. Works very well. No complaints.</v>
      </c>
    </row>
    <row r="6074">
      <c r="A6074" s="1">
        <v>5.0</v>
      </c>
      <c r="B6074" s="1" t="s">
        <v>5993</v>
      </c>
      <c r="C6074" t="str">
        <f>IFERROR(__xludf.DUMMYFUNCTION("GOOGLETRANSLATE(B6074, ""fr"", ""en"")"),"... ... just perfect compared to its price. So much so that the ""big"" brands feel compelled to ape Xiaomi (redmi) at the price / quality ratio (see the new ranges of such heavyweights in the smartphone to be convinced. Even aesthetics is copied by some "&amp;"to compete!). A battery that takes two days, an excellent camera (even at night with GCam), a processor that can play everything, a great screen in bright sunlight, the flawless audio. And tools (originally installed) that make it a very consensual phone."&amp;" In this capacity, the big brands sometimes offer more than twice the price. The only negative: notifications are only visible for 2 sec on the lock screen. Rq. : The ads that appear in some applications are deactivated.")</f>
        <v>... ... just perfect compared to its price. So much so that the "big" brands feel compelled to ape Xiaomi (redmi) at the price / quality ratio (see the new ranges of such heavyweights in the smartphone to be convinced. Even aesthetics is copied by some to compete!). A battery that takes two days, an excellent camera (even at night with GCam), a processor that can play everything, a great screen in bright sunlight, the flawless audio. And tools (originally installed) that make it a very consensual phone. In this capacity, the big brands sometimes offer more than twice the price. The only negative: notifications are only visible for 2 sec on the lock screen. Rq. : The ads that appear in some applications are deactivated.</v>
      </c>
    </row>
    <row r="6075">
      <c r="A6075" s="1">
        <v>5.0</v>
      </c>
      <c r="B6075" s="1" t="s">
        <v>5994</v>
      </c>
      <c r="C6075" t="str">
        <f>IFERROR(__xludf.DUMMYFUNCTION("GOOGLETRANSLATE(B6075, ""fr"", ""en"")"),"Good product size is the size. A 38 of 38 I added a gel insole for comfort. Seems good. to see in time .... Very good value")</f>
        <v>Good product size is the size. A 38 of 38 I added a gel insole for comfort. Seems good. to see in time .... Very good value</v>
      </c>
    </row>
    <row r="6076">
      <c r="A6076" s="1">
        <v>5.0</v>
      </c>
      <c r="B6076" s="1" t="s">
        <v>5995</v>
      </c>
      <c r="C6076" t="str">
        <f>IFERROR(__xludf.DUMMYFUNCTION("GOOGLETRANSLATE(B6076, ""fr"", ""en"")"),"Good value For the price it's really beautiful jewelry!")</f>
        <v>Good value For the price it's really beautiful jewelry!</v>
      </c>
    </row>
    <row r="6077">
      <c r="A6077" s="1">
        <v>5.0</v>
      </c>
      <c r="B6077" s="1" t="s">
        <v>5996</v>
      </c>
      <c r="C6077" t="str">
        <f>IFERROR(__xludf.DUMMYFUNCTION("GOOGLETRANSLATE(B6077, ""fr"", ""en"")"),"Lovely I am delighted with my little purple bag. It is beautiful and just the right size. For cons, the open mode is very original, and can divert some ... I love it.")</f>
        <v>Lovely I am delighted with my little purple bag. It is beautiful and just the right size. For cons, the open mode is very original, and can divert some ... I love it.</v>
      </c>
    </row>
    <row r="6078">
      <c r="A6078" s="1">
        <v>5.0</v>
      </c>
      <c r="B6078" s="1" t="s">
        <v>5997</v>
      </c>
      <c r="C6078" t="str">
        <f>IFERROR(__xludf.DUMMYFUNCTION("GOOGLETRANSLATE(B6078, ""fr"", ""en"")"),"perfect quality shirts and sober, perfect for the filing of cases at work.")</f>
        <v>perfect quality shirts and sober, perfect for the filing of cases at work.</v>
      </c>
    </row>
    <row r="6079">
      <c r="A6079" s="1">
        <v>5.0</v>
      </c>
      <c r="B6079" s="1" t="s">
        <v>5998</v>
      </c>
      <c r="C6079" t="str">
        <f>IFERROR(__xludf.DUMMYFUNCTION("GOOGLETRANSLATE(B6079, ""fr"", ""en"")"),"Super Aesthetics and comfort. I cut a small M (36/38) and I took a S. Fine. You will feel! I recommend .")</f>
        <v>Super Aesthetics and comfort. I cut a small M (36/38) and I took a S. Fine. You will feel! I recommend .</v>
      </c>
    </row>
    <row r="6080">
      <c r="A6080" s="1">
        <v>5.0</v>
      </c>
      <c r="B6080" s="1" t="s">
        <v>5999</v>
      </c>
      <c r="C6080" t="str">
        <f>IFERROR(__xludf.DUMMYFUNCTION("GOOGLETRANSLATE(B6080, ""fr"", ""en"")"),"good quality cotton, well cut, at that price I bought a lot! Cotton is very thick, good quality, not transparent, except for the white color which is a little more. The cut is straight, not curved. The length allows to hide the curves :-) The neckline is "&amp;"not too close to the neck which, hence, is more feminine. I hesitated for size, I'm doing 46 and I measure 1.70 m. Finally, I took the XXL and it suits me perfectly, so you could say it's size a bit small though. Delivery very fast as usual, the package w"&amp;"as placed in my mailbox. Pleased with my purchase, I immediately order another batch to have a small reserve!")</f>
        <v>good quality cotton, well cut, at that price I bought a lot! Cotton is very thick, good quality, not transparent, except for the white color which is a little more. The cut is straight, not curved. The length allows to hide the curves :-) The neckline is not too close to the neck which, hence, is more feminine. I hesitated for size, I'm doing 46 and I measure 1.70 m. Finally, I took the XXL and it suits me perfectly, so you could say it's size a bit small though. Delivery very fast as usual, the package was placed in my mailbox. Pleased with my purchase, I immediately order another batch to have a small reserve!</v>
      </c>
    </row>
    <row r="6081">
      <c r="A6081" s="1">
        <v>5.0</v>
      </c>
      <c r="B6081" s="1" t="s">
        <v>6000</v>
      </c>
      <c r="C6081" t="str">
        <f>IFERROR(__xludf.DUMMYFUNCTION("GOOGLETRANSLATE(B6081, ""fr"", ""en"")"),"The consistent provided ink cartridges are compliant. It is indeed the Canon brand. The delivery was fast. The price is competitive.")</f>
        <v>The consistent provided ink cartridges are compliant. It is indeed the Canon brand. The delivery was fast. The price is competitive.</v>
      </c>
    </row>
    <row r="6082">
      <c r="A6082" s="1">
        <v>5.0</v>
      </c>
      <c r="B6082" s="1" t="s">
        <v>6001</v>
      </c>
      <c r="C6082" t="str">
        <f>IFERROR(__xludf.DUMMYFUNCTION("GOOGLETRANSLATE(B6082, ""fr"", ""en"")"),"Good shoe for hiking, running ... Personally I have had a problem currently with, I've traveled about 300km outside in any type of soil. I really recommend these shoes!")</f>
        <v>Good shoe for hiking, running ... Personally I have had a problem currently with, I've traveled about 300km outside in any type of soil. I really recommend these shoes!</v>
      </c>
    </row>
    <row r="6083">
      <c r="A6083" s="1">
        <v>5.0</v>
      </c>
      <c r="B6083" s="1" t="s">
        <v>6002</v>
      </c>
      <c r="C6083" t="str">
        <f>IFERROR(__xludf.DUMMYFUNCTION("GOOGLETRANSLATE(B6083, ""fr"", ""en"")"),"Great product Excellent product too pretty")</f>
        <v>Great product Excellent product too pretty</v>
      </c>
    </row>
    <row r="6084">
      <c r="A6084" s="1">
        <v>5.0</v>
      </c>
      <c r="B6084" s="1" t="s">
        <v>6003</v>
      </c>
      <c r="C6084" t="str">
        <f>IFERROR(__xludf.DUMMYFUNCTION("GOOGLETRANSLATE(B6084, ""fr"", ""en"")"),"Ideal for Advent bottle I bought the Natural glass bottles of Advent and in this case is quite suitable and convenient.")</f>
        <v>Ideal for Advent bottle I bought the Natural glass bottles of Advent and in this case is quite suitable and convenient.</v>
      </c>
    </row>
    <row r="6085">
      <c r="A6085" s="1">
        <v>5.0</v>
      </c>
      <c r="B6085" s="1" t="s">
        <v>6004</v>
      </c>
      <c r="C6085" t="str">
        <f>IFERROR(__xludf.DUMMYFUNCTION("GOOGLETRANSLATE(B6085, ""fr"", ""en"")"),"Comply with the description conforms to the description. Book")</f>
        <v>Comply with the description conforms to the description. Book</v>
      </c>
    </row>
    <row r="6086">
      <c r="A6086" s="1">
        <v>5.0</v>
      </c>
      <c r="B6086" s="1" t="s">
        <v>6005</v>
      </c>
      <c r="C6086" t="str">
        <f>IFERROR(__xludf.DUMMYFUNCTION("GOOGLETRANSLATE(B6086, ""fr"", ""en"")"),"A good product practice pants, relaxed, not tight just right. Nickel for everyday life without headaches. Received quickly, good seller. I recommend.")</f>
        <v>A good product practice pants, relaxed, not tight just right. Nickel for everyday life without headaches. Received quickly, good seller. I recommend.</v>
      </c>
    </row>
    <row r="6087">
      <c r="A6087" s="1">
        <v>5.0</v>
      </c>
      <c r="B6087" s="1" t="s">
        <v>6006</v>
      </c>
      <c r="C6087" t="str">
        <f>IFERROR(__xludf.DUMMYFUNCTION("GOOGLETRANSLATE(B6087, ""fr"", ""en"")"),"migion The form is very migion, I my in my office, I like. It changes 7 colors automatically. very beautiful.")</f>
        <v>migion The form is very migion, I my in my office, I like. It changes 7 colors automatically. very beautiful.</v>
      </c>
    </row>
    <row r="6088">
      <c r="A6088" s="1">
        <v>2.0</v>
      </c>
      <c r="B6088" s="1" t="s">
        <v>6007</v>
      </c>
      <c r="C6088" t="str">
        <f>IFERROR(__xludf.DUMMYFUNCTION("GOOGLETRANSLATE(B6088, ""fr"", ""en"")"),"Meh I will pass on the uncomfortable bracelet, this watch is a € 15 so we can not expect much ... BUT, because there is a but, the mechanism is noisy! He is almost as much as a conventional clock (yes, that your kitchen here which ""tick tock tick tock .."&amp;".""). Fortunately I'm using at work! No, it's not a watch that could pass for a ""high end"".")</f>
        <v>Meh I will pass on the uncomfortable bracelet, this watch is a € 15 so we can not expect much ... BUT, because there is a but, the mechanism is noisy! He is almost as much as a conventional clock (yes, that your kitchen here which "tick tock tick tock ..."). Fortunately I'm using at work! No, it's not a watch that could pass for a "high end".</v>
      </c>
    </row>
    <row r="6089">
      <c r="A6089" s="1">
        <v>1.0</v>
      </c>
      <c r="B6089" s="1" t="s">
        <v>6008</v>
      </c>
      <c r="C6089" t="str">
        <f>IFERROR(__xludf.DUMMYFUNCTION("GOOGLETRANSLATE(B6089, ""fr"", ""en"")"),"The problem of sealing leaking coffee from all sides even when it is screwed, poor quality product. I advise against")</f>
        <v>The problem of sealing leaking coffee from all sides even when it is screwed, poor quality product. I advise against</v>
      </c>
    </row>
    <row r="6090">
      <c r="A6090" s="1">
        <v>3.0</v>
      </c>
      <c r="B6090" s="1" t="s">
        <v>6009</v>
      </c>
      <c r="C6090" t="str">
        <f>IFERROR(__xludf.DUMMYFUNCTION("GOOGLETRANSLATE(B6090, ""fr"", ""en"")"),"A little disappointed ... disappointed accustomed to electric tea, I'm surprised because although I do, the temperature rises to 85º back down ... then gold is too high for green tea ... however, it keep warm, to + or - 5º the lEDs are superfluous unneces"&amp;"sary power consumption, and finally it takes too long to go out to off ... shame ... not sure ... keep the otherwise the document is too short and poorly translated ... some reviews talk about memory ... I do not find this feature ... rarely been so disap"&amp;"pointed with a purchase on Amazon")</f>
        <v>A little disappointed ... disappointed accustomed to electric tea, I'm surprised because although I do, the temperature rises to 85º back down ... then gold is too high for green tea ... however, it keep warm, to + or - 5º the lEDs are superfluous unnecessary power consumption, and finally it takes too long to go out to off ... shame ... not sure ... keep the otherwise the document is too short and poorly translated ... some reviews talk about memory ... I do not find this feature ... rarely been so disappointed with a purchase on Amazon</v>
      </c>
    </row>
    <row r="6091">
      <c r="A6091" s="1">
        <v>3.0</v>
      </c>
      <c r="B6091" s="1" t="s">
        <v>6010</v>
      </c>
      <c r="C6091" t="str">
        <f>IFERROR(__xludf.DUMMYFUNCTION("GOOGLETRANSLATE(B6091, ""fr"", ""en"")"),"Not a good size too small Product")</f>
        <v>Not a good size too small Product</v>
      </c>
    </row>
    <row r="6092">
      <c r="A6092" s="1">
        <v>4.0</v>
      </c>
      <c r="B6092" s="1" t="s">
        <v>6011</v>
      </c>
      <c r="C6092" t="str">
        <f>IFERROR(__xludf.DUMMYFUNCTION("GOOGLETRANSLATE(B6092, ""fr"", ""en"")"),"Elegant and robust Pretty watch with case and bracelet while steel, the latter as all metal bracelets is a bit tricky to adjust to the correct length the first time. Otherwise, no problem if forgetting to take a shower since the sealing is guaranteed. The"&amp;" second hand is clearly visible and the little window that makes the magnifying glass on the date window is a good idea, which is not a good idea on the part of the manufacturer is not having planned a leaflet in French.")</f>
        <v>Elegant and robust Pretty watch with case and bracelet while steel, the latter as all metal bracelets is a bit tricky to adjust to the correct length the first time. Otherwise, no problem if forgetting to take a shower since the sealing is guaranteed. The second hand is clearly visible and the little window that makes the magnifying glass on the date window is a good idea, which is not a good idea on the part of the manufacturer is not having planned a leaflet in French.</v>
      </c>
    </row>
    <row r="6093">
      <c r="A6093" s="1">
        <v>4.0</v>
      </c>
      <c r="B6093" s="1" t="s">
        <v>6012</v>
      </c>
      <c r="C6093" t="str">
        <f>IFERROR(__xludf.DUMMYFUNCTION("GOOGLETRANSLATE(B6093, ""fr"", ""en"")"),"Convenient storage Many small but practical")</f>
        <v>Convenient storage Many small but practical</v>
      </c>
    </row>
    <row r="6094">
      <c r="A6094" s="1">
        <v>4.0</v>
      </c>
      <c r="B6094" s="1" t="s">
        <v>6013</v>
      </c>
      <c r="C6094" t="str">
        <f>IFERROR(__xludf.DUMMYFUNCTION("GOOGLETRANSLATE(B6094, ""fr"", ""en"")"),"Super bag Beautiful bag in addition there are many color choices ... more size than satisfactory. Fast delivery and match the photo")</f>
        <v>Super bag Beautiful bag in addition there are many color choices ... more size than satisfactory. Fast delivery and match the photo</v>
      </c>
    </row>
    <row r="6095">
      <c r="A6095" s="1">
        <v>4.0</v>
      </c>
      <c r="B6095" s="1" t="s">
        <v>6014</v>
      </c>
      <c r="C6095" t="str">
        <f>IFERROR(__xludf.DUMMYFUNCTION("GOOGLETRANSLATE(B6095, ""fr"", ""en"")"),"Good quality / price This articulated arm was commissioned as a gift for my son who seems delighted. It adapts very well to his microphone UM1 IBRD; The arm is steel and therefore resistant; We can unscrew the microphone support at the end to put another "&amp;"if it does not match the microphone that was. Good value for money.")</f>
        <v>Good quality / price This articulated arm was commissioned as a gift for my son who seems delighted. It adapts very well to his microphone UM1 IBRD; The arm is steel and therefore resistant; We can unscrew the microphone support at the end to put another if it does not match the microphone that was. Good value for money.</v>
      </c>
    </row>
    <row r="6096">
      <c r="A6096" s="1">
        <v>5.0</v>
      </c>
      <c r="B6096" s="1" t="s">
        <v>6015</v>
      </c>
      <c r="C6096" t="str">
        <f>IFERROR(__xludf.DUMMYFUNCTION("GOOGLETRANSLATE(B6096, ""fr"", ""en"")"),"Perfect Absolutely not disappointed by this purchase. Simple as any kettle but very design and foundation makes all the difference. Very convenient. And with the price / quality ratio, there is no hesitation. Concerning the Amazon delivery was very well d"&amp;"one its job but I had some problems with the mail.")</f>
        <v>Perfect Absolutely not disappointed by this purchase. Simple as any kettle but very design and foundation makes all the difference. Very convenient. And with the price / quality ratio, there is no hesitation. Concerning the Amazon delivery was very well done its job but I had some problems with the mail.</v>
      </c>
    </row>
    <row r="6097">
      <c r="A6097" s="1">
        <v>5.0</v>
      </c>
      <c r="B6097" s="1" t="s">
        <v>6016</v>
      </c>
      <c r="C6097" t="str">
        <f>IFERROR(__xludf.DUMMYFUNCTION("GOOGLETRANSLATE(B6097, ""fr"", ""en"")"),"Good manufacturing What to say except that it cleans well? product quality is very good")</f>
        <v>Good manufacturing What to say except that it cleans well? product quality is very good</v>
      </c>
    </row>
    <row r="6098">
      <c r="A6098" s="1">
        <v>5.0</v>
      </c>
      <c r="B6098" s="1" t="s">
        <v>6017</v>
      </c>
      <c r="C6098" t="str">
        <f>IFERROR(__xludf.DUMMYFUNCTION("GOOGLETRANSLATE(B6098, ""fr"", ""en"")"),"I recommend Very elegant, beautiful quality.")</f>
        <v>I recommend Very elegant, beautiful quality.</v>
      </c>
    </row>
    <row r="6099">
      <c r="A6099" s="1">
        <v>5.0</v>
      </c>
      <c r="B6099" s="1" t="s">
        <v>6018</v>
      </c>
      <c r="C6099" t="str">
        <f>IFERROR(__xludf.DUMMYFUNCTION("GOOGLETRANSLATE(B6099, ""fr"", ""en"")"),"Okay Liggin")</f>
        <v>Okay Liggin</v>
      </c>
    </row>
    <row r="6100">
      <c r="A6100" s="1">
        <v>5.0</v>
      </c>
      <c r="B6100" s="1" t="s">
        <v>6019</v>
      </c>
      <c r="C6100" t="str">
        <f>IFERROR(__xludf.DUMMYFUNCTION("GOOGLETRANSLATE(B6100, ""fr"", ""en"")"),"Great for the sport I bought it for when I go running, in the box there are several sizes of tips to fit all ear, also contains a leaflet and USB cable for recharging the headphones. Its correct and very good support. I'm happy with this product.")</f>
        <v>Great for the sport I bought it for when I go running, in the box there are several sizes of tips to fit all ear, also contains a leaflet and USB cable for recharging the headphones. Its correct and very good support. I'm happy with this product.</v>
      </c>
    </row>
    <row r="6101">
      <c r="A6101" s="1">
        <v>5.0</v>
      </c>
      <c r="B6101" s="1" t="s">
        <v>6020</v>
      </c>
      <c r="C6101" t="str">
        <f>IFERROR(__xludf.DUMMYFUNCTION("GOOGLETRANSLATE(B6101, ""fr"", ""en"")"),"Done very well say A real job, I did not believe too much at that price (and we'll see in time), but the band really made an impression and all the tools provided to mount / unmount are absolutely perfect. I recommend outright.")</f>
        <v>Done very well say A real job, I did not believe too much at that price (and we'll see in time), but the band really made an impression and all the tools provided to mount / unmount are absolutely perfect. I recommend outright.</v>
      </c>
    </row>
    <row r="6102">
      <c r="A6102" s="1">
        <v>5.0</v>
      </c>
      <c r="B6102" s="1" t="s">
        <v>6021</v>
      </c>
      <c r="C6102" t="str">
        <f>IFERROR(__xludf.DUMMYFUNCTION("GOOGLETRANSLATE(B6102, ""fr"", ""en"")"),"Top I love! Great for warm the bed on cold winter nights.")</f>
        <v>Top I love! Great for warm the bed on cold winter nights.</v>
      </c>
    </row>
    <row r="6103">
      <c r="A6103" s="1">
        <v>5.0</v>
      </c>
      <c r="B6103" s="1" t="s">
        <v>6022</v>
      </c>
      <c r="C6103" t="str">
        <f>IFERROR(__xludf.DUMMYFUNCTION("GOOGLETRANSLATE(B6103, ""fr"", ""en"")"),"Size If you hesitate between two sizes, take the larger, very comfortable and nice product to wear.")</f>
        <v>Size If you hesitate between two sizes, take the larger, very comfortable and nice product to wear.</v>
      </c>
    </row>
    <row r="6104">
      <c r="A6104" s="1">
        <v>5.0</v>
      </c>
      <c r="B6104" s="1" t="s">
        <v>6023</v>
      </c>
      <c r="C6104" t="str">
        <f>IFERROR(__xludf.DUMMYFUNCTION("GOOGLETRANSLATE(B6104, ""fr"", ""en"")"),"Okay watch works very well even after some years. Price honest! Thank you for this little gem, offered to my brother.")</f>
        <v>Okay watch works very well even after some years. Price honest! Thank you for this little gem, offered to my brother.</v>
      </c>
    </row>
    <row r="6105">
      <c r="A6105" s="1">
        <v>5.0</v>
      </c>
      <c r="B6105" s="1" t="s">
        <v>6024</v>
      </c>
      <c r="C6105" t="str">
        <f>IFERROR(__xludf.DUMMYFUNCTION("GOOGLETRANSLATE(B6105, ""fr"", ""en"")"),"A real diving watch automatic affordable This is a true diving watch, waterproof to 200 m, with the crown which screws to prevent leaks. The automatic movement, manufactured by Seiko is amazing precision: 2 seconds per day, more a certified Swiss chronome"&amp;"ter! And more can be seen: it is very beautiful! The details are very cared: Invicta logo on the dial, the second hand, the crown, the side of the case and bracelet. We can not say that it is a copy Rolex! Besides I prefer the original 8926 model 8926OB m"&amp;"odel whose bezel copy the Rolex Submariner. Possibility to stop the second hand to set the time to the nearest second. 3 year warranty by registering on the site of Invicta. I did that for a week and I do not see her no default. Please note that a tool is"&amp;" needed to shorten the strap (pin punch Ø1 mm). Update after a month of use: accuracy has doubled since it varies more than a second per day. Impressive!")</f>
        <v>A real diving watch automatic affordable This is a true diving watch, waterproof to 200 m, with the crown which screws to prevent leaks. The automatic movement, manufactured by Seiko is amazing precision: 2 seconds per day, more a certified Swiss chronometer! And more can be seen: it is very beautiful! The details are very cared: Invicta logo on the dial, the second hand, the crown, the side of the case and bracelet. We can not say that it is a copy Rolex! Besides I prefer the original 8926 model 8926OB model whose bezel copy the Rolex Submariner. Possibility to stop the second hand to set the time to the nearest second. 3 year warranty by registering on the site of Invicta. I did that for a week and I do not see her no default. Please note that a tool is needed to shorten the strap (pin punch Ø1 mm). Update after a month of use: accuracy has doubled since it varies more than a second per day. Impressive!</v>
      </c>
    </row>
    <row r="6106">
      <c r="A6106" s="1">
        <v>5.0</v>
      </c>
      <c r="B6106" s="1" t="s">
        <v>6025</v>
      </c>
      <c r="C6106" t="str">
        <f>IFERROR(__xludf.DUMMYFUNCTION("GOOGLETRANSLATE(B6106, ""fr"", ""en"")"),"Tarax six months septic tank very well")</f>
        <v>Tarax six months septic tank very well</v>
      </c>
    </row>
    <row r="6107">
      <c r="A6107" s="1">
        <v>5.0</v>
      </c>
      <c r="B6107" s="1" t="s">
        <v>6026</v>
      </c>
      <c r="C6107" t="str">
        <f>IFERROR(__xludf.DUMMYFUNCTION("GOOGLETRANSLATE(B6107, ""fr"", ""en"")"),"Perfect and seamless! I find these bluetooth earphone are very well designed. Indeed, the sound is good, the great autonomy, and especially the case is pretty and has a large enough battery to not charge it all the time. They are very easy to use, I just "&amp;"activated Bluetooth and selected the headphones and everything worked. So I think these headphones are a great choice, and with a nice design.")</f>
        <v>Perfect and seamless! I find these bluetooth earphone are very well designed. Indeed, the sound is good, the great autonomy, and especially the case is pretty and has a large enough battery to not charge it all the time. They are very easy to use, I just activated Bluetooth and selected the headphones and everything worked. So I think these headphones are a great choice, and with a nice design.</v>
      </c>
    </row>
    <row r="6108">
      <c r="A6108" s="1">
        <v>5.0</v>
      </c>
      <c r="B6108" s="1" t="s">
        <v>6027</v>
      </c>
      <c r="C6108" t="str">
        <f>IFERROR(__xludf.DUMMYFUNCTION("GOOGLETRANSLATE(B6108, ""fr"", ""en"")"),"Hooded sweatshirt color as expected and suitable size as indicated. Well packed. RAS")</f>
        <v>Hooded sweatshirt color as expected and suitable size as indicated. Well packed. RAS</v>
      </c>
    </row>
    <row r="6109">
      <c r="A6109" s="1">
        <v>5.0</v>
      </c>
      <c r="B6109" s="1" t="s">
        <v>6028</v>
      </c>
      <c r="C6109" t="str">
        <f>IFERROR(__xludf.DUMMYFUNCTION("GOOGLETRANSLATE(B6109, ""fr"", ""en"")"),"Q Paper For performance energetics I have not lit the fire or eaten. By cons it really worth the blow given the number of rolls and the thickness of the rollers.")</f>
        <v>Q Paper For performance energetics I have not lit the fire or eaten. By cons it really worth the blow given the number of rolls and the thickness of the rollers.</v>
      </c>
    </row>
    <row r="6110">
      <c r="A6110" s="1">
        <v>5.0</v>
      </c>
      <c r="B6110" s="1" t="s">
        <v>6029</v>
      </c>
      <c r="C6110" t="str">
        <f>IFERROR(__xludf.DUMMYFUNCTION("GOOGLETRANSLATE(B6110, ""fr"", ""en"")"),"pleasure of insured parties !! Hardly had he been unpacked for testing. No regrets of having already bought giggles at the end of half an hour of use. For a first microphone, I am very happy with this one!")</f>
        <v>pleasure of insured parties !! Hardly had he been unpacked for testing. No regrets of having already bought giggles at the end of half an hour of use. For a first microphone, I am very happy with this one!</v>
      </c>
    </row>
    <row r="6111">
      <c r="A6111" s="1">
        <v>2.0</v>
      </c>
      <c r="B6111" s="1" t="s">
        <v>6030</v>
      </c>
      <c r="C6111" t="str">
        <f>IFERROR(__xludf.DUMMYFUNCTION("GOOGLETRANSLATE(B6111, ""fr"", ""en"")"),"Toaster Chosen for its color and its functions. The color is beautiful I préfairais toasting my old toaster. This grid too and you lose moeilleux notament on bread")</f>
        <v>Toaster Chosen for its color and its functions. The color is beautiful I préfairais toasting my old toaster. This grid too and you lose moeilleux notament on bread</v>
      </c>
    </row>
    <row r="6112">
      <c r="A6112" s="1">
        <v>1.0</v>
      </c>
      <c r="B6112" s="1" t="s">
        <v>6031</v>
      </c>
      <c r="C6112" t="str">
        <f>IFERROR(__xludf.DUMMYFUNCTION("GOOGLETRANSLATE(B6112, ""fr"", ""en"")"),"Dangerous This product is hazardous. I plugged it to charge my Bose. After 20 minutes a big ""slap"" a spark and a burning smell")</f>
        <v>Dangerous This product is hazardous. I plugged it to charge my Bose. After 20 minutes a big "slap" a spark and a burning smell</v>
      </c>
    </row>
    <row r="6113">
      <c r="A6113" s="1">
        <v>1.0</v>
      </c>
      <c r="B6113" s="1" t="s">
        <v>6032</v>
      </c>
      <c r="C6113" t="str">
        <f>IFERROR(__xludf.DUMMYFUNCTION("GOOGLETRANSLATE(B6113, ""fr"", ""en"")"),"Not working properly The light works well but the broadcaster function has never released anything")</f>
        <v>Not working properly The light works well but the broadcaster function has never released anything</v>
      </c>
    </row>
    <row r="6114">
      <c r="A6114" s="1">
        <v>3.0</v>
      </c>
      <c r="B6114" s="1" t="s">
        <v>6033</v>
      </c>
      <c r="C6114" t="str">
        <f>IFERROR(__xludf.DUMMYFUNCTION("GOOGLETRANSLATE(B6114, ""fr"", ""en"")"),"Satisfied This product has allowed us to bring more to our evenings, I enjoyed the power and self, but regrets that the entrance of the charger is difficult to access.")</f>
        <v>Satisfied This product has allowed us to bring more to our evenings, I enjoyed the power and self, but regrets that the entrance of the charger is difficult to access.</v>
      </c>
    </row>
    <row r="6115">
      <c r="A6115" s="1">
        <v>3.0</v>
      </c>
      <c r="B6115" s="1" t="s">
        <v>6034</v>
      </c>
      <c r="C6115" t="str">
        <f>IFERROR(__xludf.DUMMYFUNCTION("GOOGLETRANSLATE(B6115, ""fr"", ""en"")"),"Size too Product quality is incredible that on that I have no complaints. The one complaint is that this size a little big. I play 45 and I swim in it clearly. I return the product and selected a refund because the size exchange after wanted was no longer"&amp;" available")</f>
        <v>Size too Product quality is incredible that on that I have no complaints. The one complaint is that this size a little big. I play 45 and I swim in it clearly. I return the product and selected a refund because the size exchange after wanted was no longer available</v>
      </c>
    </row>
    <row r="6116">
      <c r="A6116" s="1">
        <v>4.0</v>
      </c>
      <c r="B6116" s="1" t="s">
        <v>6035</v>
      </c>
      <c r="C6116" t="str">
        <f>IFERROR(__xludf.DUMMYFUNCTION("GOOGLETRANSLATE(B6116, ""fr"", ""en"")"),"The quality reference mark, the boots are sturdy and of good quality, good Shoe their taille.Agreables to walk and tinker in the garden")</f>
        <v>The quality reference mark, the boots are sturdy and of good quality, good Shoe their taille.Agreables to walk and tinker in the garden</v>
      </c>
    </row>
    <row r="6117">
      <c r="A6117" s="1">
        <v>4.0</v>
      </c>
      <c r="B6117" s="1" t="s">
        <v>6036</v>
      </c>
      <c r="C6117" t="str">
        <f>IFERROR(__xludf.DUMMYFUNCTION("GOOGLETRANSLATE(B6117, ""fr"", ""en"")"),"RAS good product, I can do more than 10 sheets, 39 to be exact, see a bit more but it would limit ... By cons I am not sure to find the references of staples on the Amazon site. There is no reference to the product. Will there I bought a stapler for stapl"&amp;"es ?!")</f>
        <v>RAS good product, I can do more than 10 sheets, 39 to be exact, see a bit more but it would limit ... By cons I am not sure to find the references of staples on the Amazon site. There is no reference to the product. Will there I bought a stapler for staples ?!</v>
      </c>
    </row>
    <row r="6118">
      <c r="A6118" s="1">
        <v>4.0</v>
      </c>
      <c r="B6118" s="1" t="s">
        <v>6037</v>
      </c>
      <c r="C6118" t="str">
        <f>IFERROR(__xludf.DUMMYFUNCTION("GOOGLETRANSLATE(B6118, ""fr"", ""en"")"),"Super Quality Commissioned in L, are US sizes so it becomes XL So take one size smaller if you want your real size Otherwise nothing to say about the quality of Sweat")</f>
        <v>Super Quality Commissioned in L, are US sizes so it becomes XL So take one size smaller if you want your real size Otherwise nothing to say about the quality of Sweat</v>
      </c>
    </row>
    <row r="6119">
      <c r="A6119" s="1">
        <v>4.0</v>
      </c>
      <c r="B6119" s="1" t="s">
        <v>204</v>
      </c>
      <c r="C6119" t="str">
        <f>IFERROR(__xludf.DUMMYFUNCTION("GOOGLETRANSLATE(B6119, ""fr"", ""en"")"),"Top Top")</f>
        <v>Top Top</v>
      </c>
    </row>
    <row r="6120">
      <c r="A6120" s="1">
        <v>5.0</v>
      </c>
      <c r="B6120" s="1" t="s">
        <v>6038</v>
      </c>
      <c r="C6120" t="str">
        <f>IFERROR(__xludf.DUMMYFUNCTION("GOOGLETRANSLATE(B6120, ""fr"", ""en"")"),"This is a casio I wear it every day for work, they just do not feel")</f>
        <v>This is a casio I wear it every day for work, they just do not feel</v>
      </c>
    </row>
    <row r="6121">
      <c r="A6121" s="1">
        <v>5.0</v>
      </c>
      <c r="B6121" s="1" t="s">
        <v>6039</v>
      </c>
      <c r="C6121" t="str">
        <f>IFERROR(__xludf.DUMMYFUNCTION("GOOGLETRANSLATE(B6121, ""fr"", ""en"")"),"Perfect nickel is perfect I chose a size larger because it small size; I highly recommend very good buy for the price.")</f>
        <v>Perfect nickel is perfect I chose a size larger because it small size; I highly recommend very good buy for the price.</v>
      </c>
    </row>
    <row r="6122">
      <c r="A6122" s="1">
        <v>5.0</v>
      </c>
      <c r="B6122" s="1" t="s">
        <v>6040</v>
      </c>
      <c r="C6122" t="str">
        <f>IFERROR(__xludf.DUMMYFUNCTION("GOOGLETRANSLATE(B6122, ""fr"", ""en"")"),"Excellent Excellent, magical, very happy with my purchase. A classic at Van's, comfortable and not too spectacular ... they spent the summer without too much damage ...")</f>
        <v>Excellent Excellent, magical, very happy with my purchase. A classic at Van's, comfortable and not too spectacular ... they spent the summer without too much damage ...</v>
      </c>
    </row>
    <row r="6123">
      <c r="A6123" s="1">
        <v>5.0</v>
      </c>
      <c r="B6123" s="1" t="s">
        <v>6041</v>
      </c>
      <c r="C6123" t="str">
        <f>IFERROR(__xludf.DUMMYFUNCTION("GOOGLETRANSLATE(B6123, ""fr"", ""en"")"),"perfect ideal size. This is perfect to put wallet and phone.")</f>
        <v>perfect ideal size. This is perfect to put wallet and phone.</v>
      </c>
    </row>
    <row r="6124">
      <c r="A6124" s="1">
        <v>5.0</v>
      </c>
      <c r="B6124" s="1" t="s">
        <v>6042</v>
      </c>
      <c r="C6124" t="str">
        <f>IFERROR(__xludf.DUMMYFUNCTION("GOOGLETRANSLATE(B6124, ""fr"", ""en"")"),"More beautiful in real than in pictures Very beautiful watch with a beautiful design and a reflection of the white part. One can also read the time in the dark. She is prettier than in the picture, and the price of 130th is top because there is the same €"&amp;" 200 elsewhere.")</f>
        <v>More beautiful in real than in pictures Very beautiful watch with a beautiful design and a reflection of the white part. One can also read the time in the dark. She is prettier than in the picture, and the price of 130th is top because there is the same € 200 elsewhere.</v>
      </c>
    </row>
    <row r="6125">
      <c r="A6125" s="1">
        <v>5.0</v>
      </c>
      <c r="B6125" s="1" t="s">
        <v>6043</v>
      </c>
      <c r="C6125" t="str">
        <f>IFERROR(__xludf.DUMMYFUNCTION("GOOGLETRANSLATE(B6125, ""fr"", ""en"")"),"Satisfied Superb quality. Fast. Cheap. I recommend.")</f>
        <v>Satisfied Superb quality. Fast. Cheap. I recommend.</v>
      </c>
    </row>
    <row r="6126">
      <c r="A6126" s="1">
        <v>5.0</v>
      </c>
      <c r="B6126" s="1" t="s">
        <v>6044</v>
      </c>
      <c r="C6126" t="str">
        <f>IFERROR(__xludf.DUMMYFUNCTION("GOOGLETRANSLATE(B6126, ""fr"", ""en"")"),"nuk Super beefy Quality")</f>
        <v>nuk Super beefy Quality</v>
      </c>
    </row>
    <row r="6127">
      <c r="A6127" s="1">
        <v>5.0</v>
      </c>
      <c r="B6127" s="1" t="s">
        <v>6045</v>
      </c>
      <c r="C6127" t="str">
        <f>IFERROR(__xludf.DUMMYFUNCTION("GOOGLETRANSLATE(B6127, ""fr"", ""en"")"),"Magic IS 40 stalls sol.sens good cleaning Removal easy task")</f>
        <v>Magic IS 40 stalls sol.sens good cleaning Removal easy task</v>
      </c>
    </row>
    <row r="6128">
      <c r="A6128" s="1">
        <v>5.0</v>
      </c>
      <c r="B6128" s="1" t="s">
        <v>6046</v>
      </c>
      <c r="C6128" t="str">
        <f>IFERROR(__xludf.DUMMYFUNCTION("GOOGLETRANSLATE(B6128, ""fr"", ""en"")"),"Man bag Article that looks very solid very convenient to see the time")</f>
        <v>Man bag Article that looks very solid very convenient to see the time</v>
      </c>
    </row>
    <row r="6129">
      <c r="A6129" s="1">
        <v>5.0</v>
      </c>
      <c r="B6129" s="1" t="s">
        <v>6047</v>
      </c>
      <c r="C6129" t="str">
        <f>IFERROR(__xludf.DUMMYFUNCTION("GOOGLETRANSLATE(B6129, ""fr"", ""en"")"),"Recommend interesting and effective product. We must know how to use: put down the bed, feet (no interest under the pillow). You need extension cords under the bed and multi-outlet for 2 cables a bit short. It must be put under the sheet cover of course, "&amp;"but I put the same under a mattress pad and more, eliminating the risk of soiling and wash (I fear washing). It works very well! Widely used in winter")</f>
        <v>Recommend interesting and effective product. We must know how to use: put down the bed, feet (no interest under the pillow). You need extension cords under the bed and multi-outlet for 2 cables a bit short. It must be put under the sheet cover of course, but I put the same under a mattress pad and more, eliminating the risk of soiling and wash (I fear washing). It works very well! Widely used in winter</v>
      </c>
    </row>
    <row r="6130">
      <c r="A6130" s="1">
        <v>5.0</v>
      </c>
      <c r="B6130" s="1" t="s">
        <v>6048</v>
      </c>
      <c r="C6130" t="str">
        <f>IFERROR(__xludf.DUMMYFUNCTION("GOOGLETRANSLATE(B6130, ""fr"", ""en"")"),"satisfaction conforms to my expectations. Excellent quality for money")</f>
        <v>satisfaction conforms to my expectations. Excellent quality for money</v>
      </c>
    </row>
    <row r="6131">
      <c r="A6131" s="1">
        <v>5.0</v>
      </c>
      <c r="B6131" s="1" t="s">
        <v>6049</v>
      </c>
      <c r="C6131" t="str">
        <f>IFERROR(__xludf.DUMMYFUNCTION("GOOGLETRANSLATE(B6131, ""fr"", ""en"")"),"Patch balm of good quality I love this tiger balm tiger patch that relieves my muscle pain. I personally asked a minute 30aine only. The camphor smell is present especially in the first opening of the package. Buy 3 packs at a time to enjoy the attractive"&amp;" promotion.")</f>
        <v>Patch balm of good quality I love this tiger balm tiger patch that relieves my muscle pain. I personally asked a minute 30aine only. The camphor smell is present especially in the first opening of the package. Buy 3 packs at a time to enjoy the attractive promotion.</v>
      </c>
    </row>
    <row r="6132">
      <c r="A6132" s="1">
        <v>5.0</v>
      </c>
      <c r="B6132" s="1" t="s">
        <v>6050</v>
      </c>
      <c r="C6132" t="str">
        <f>IFERROR(__xludf.DUMMYFUNCTION("GOOGLETRANSLATE(B6132, ""fr"", ""en"")"),"Nice Very nice earrings, consistent with the description.")</f>
        <v>Nice Very nice earrings, consistent with the description.</v>
      </c>
    </row>
    <row r="6133">
      <c r="A6133" s="1">
        <v>5.0</v>
      </c>
      <c r="B6133" s="1" t="s">
        <v>6051</v>
      </c>
      <c r="C6133" t="str">
        <f>IFERROR(__xludf.DUMMYFUNCTION("GOOGLETRANSLATE(B6133, ""fr"", ""en"")"),"Great value, nothing to say")</f>
        <v>Great value, nothing to say</v>
      </c>
    </row>
    <row r="6134">
      <c r="A6134" s="1">
        <v>5.0</v>
      </c>
      <c r="B6134" s="1" t="s">
        <v>6052</v>
      </c>
      <c r="C6134" t="str">
        <f>IFERROR(__xludf.DUMMYFUNCTION("GOOGLETRANSLATE(B6134, ""fr"", ""en"")"),"Price beat the pack 5 cartridges. Compatible PIXMA TS6150. Good print quality.")</f>
        <v>Price beat the pack 5 cartridges. Compatible PIXMA TS6150. Good print quality.</v>
      </c>
    </row>
    <row r="6135">
      <c r="A6135" s="1">
        <v>2.0</v>
      </c>
      <c r="B6135" s="1" t="s">
        <v>6053</v>
      </c>
      <c r="C6135" t="str">
        <f>IFERROR(__xludf.DUMMYFUNCTION("GOOGLETRANSLATE(B6135, ""fr"", ""en"")"),"Matter of light Sweat Material not very thick sweater")</f>
        <v>Matter of light Sweat Material not very thick sweater</v>
      </c>
    </row>
    <row r="6136">
      <c r="A6136" s="1">
        <v>1.0</v>
      </c>
      <c r="B6136" s="1" t="s">
        <v>6054</v>
      </c>
      <c r="C6136" t="str">
        <f>IFERROR(__xludf.DUMMYFUNCTION("GOOGLETRANSLATE(B6136, ""fr"", ""en"")"),"Nullissime flow too fast, so unusable. Trash can")</f>
        <v>Nullissime flow too fast, so unusable. Trash can</v>
      </c>
    </row>
    <row r="6137">
      <c r="A6137" s="1">
        <v>1.0</v>
      </c>
      <c r="B6137" s="1" t="s">
        <v>6055</v>
      </c>
      <c r="C6137" t="str">
        <f>IFERROR(__xludf.DUMMYFUNCTION("GOOGLETRANSLATE(B6137, ""fr"", ""en"")"),"Very poor quality was too sore feet with his shoes then I recommend very poor quality was too sore feet with his shoes then I recommend")</f>
        <v>Very poor quality was too sore feet with his shoes then I recommend very poor quality was too sore feet with his shoes then I recommend</v>
      </c>
    </row>
    <row r="6138">
      <c r="A6138" s="1">
        <v>3.0</v>
      </c>
      <c r="B6138" s="1" t="s">
        <v>6056</v>
      </c>
      <c r="C6138" t="str">
        <f>IFERROR(__xludf.DUMMYFUNCTION("GOOGLETRANSLATE(B6138, ""fr"", ""en"")"),"Attention to size! I normally shoes the next 42 or 43 shoes and I ordered the Salomon XA Pro 3D 43 1/2, but they are too small. I can not get the foot in it because the yaw system that does not release enough space when to kick hard. The shoe seems very g"&amp;"ood and I find it pretty, but I'm not going to take 45 or 46 because of this yaw system. If you end the walk, this can happen ... I returned the package and Amazon has repaid.")</f>
        <v>Attention to size! I normally shoes the next 42 or 43 shoes and I ordered the Salomon XA Pro 3D 43 1/2, but they are too small. I can not get the foot in it because the yaw system that does not release enough space when to kick hard. The shoe seems very good and I find it pretty, but I'm not going to take 45 or 46 because of this yaw system. If you end the walk, this can happen ... I returned the package and Amazon has repaid.</v>
      </c>
    </row>
    <row r="6139">
      <c r="A6139" s="1">
        <v>3.0</v>
      </c>
      <c r="B6139" s="1" t="s">
        <v>6057</v>
      </c>
      <c r="C6139" t="str">
        <f>IFERROR(__xludf.DUMMYFUNCTION("GOOGLETRANSLATE(B6139, ""fr"", ""en"")"),"soothers rate 1 my daughter does not therefore accept the fault of mam bottles or teats unfortunately so can not judge")</f>
        <v>soothers rate 1 my daughter does not therefore accept the fault of mam bottles or teats unfortunately so can not judge</v>
      </c>
    </row>
    <row r="6140">
      <c r="A6140" s="1">
        <v>4.0</v>
      </c>
      <c r="B6140" s="1" t="s">
        <v>6058</v>
      </c>
      <c r="C6140" t="str">
        <f>IFERROR(__xludf.DUMMYFUNCTION("GOOGLETRANSLATE(B6140, ""fr"", ""en"")"),"Although Bon bah are trash bags ... that say .... they are extremely expensive, but at least they are strong, and adapted to the dustbin of the same brand.")</f>
        <v>Although Bon bah are trash bags ... that say .... they are extremely expensive, but at least they are strong, and adapted to the dustbin of the same brand.</v>
      </c>
    </row>
    <row r="6141">
      <c r="A6141" s="1">
        <v>4.0</v>
      </c>
      <c r="B6141" s="1" t="s">
        <v>6059</v>
      </c>
      <c r="C6141" t="str">
        <f>IFERROR(__xludf.DUMMYFUNCTION("GOOGLETRANSLATE(B6141, ""fr"", ""en"")"),"Shoes Shoes happening all very pretty and discreet SIZE NORMALLY despite what we read careful though: They were very uncomfortable when 2premières weeks, but after AC is perfect")</f>
        <v>Shoes Shoes happening all very pretty and discreet SIZE NORMALLY despite what we read careful though: They were very uncomfortable when 2premières weeks, but after AC is perfect</v>
      </c>
    </row>
    <row r="6142">
      <c r="A6142" s="1">
        <v>4.0</v>
      </c>
      <c r="B6142" s="1" t="s">
        <v>6060</v>
      </c>
      <c r="C6142" t="str">
        <f>IFERROR(__xludf.DUMMYFUNCTION("GOOGLETRANSLATE(B6142, ""fr"", ""en"")"),"Original color toc but I got it today as planned, but there is no max 500 and 550ml but I did not measure! I expected a color a little less Claire because it really makes plastic! Given the many photos and seller model he looked prettier, but hey it was n"&amp;"ot very expensive and the remote is really a plus for me, as most of these items with remote control are much more expensive! I'm still happy with this purchase but I saw another with a kind of Lotus over the same seller, and I can make the exchange! The "&amp;"diffusion of essential oils through different holes also gives it an original touch! This seller has several models that I like and I made this one of the reviews that were near the 5 stars for everything! Finally for the room it will be perfect because t"&amp;"he light is not too strong and quiet is what I wanted! Only the color is fake is damage that takes away much of its original charm because the shape is beautiful too! By cons, fortunately there is a battery supplied as neither my husband nor I have manage"&amp;"d to open the remote control, we'll see when to change it!")</f>
        <v>Original color toc but I got it today as planned, but there is no max 500 and 550ml but I did not measure! I expected a color a little less Claire because it really makes plastic! Given the many photos and seller model he looked prettier, but hey it was not very expensive and the remote is really a plus for me, as most of these items with remote control are much more expensive! I'm still happy with this purchase but I saw another with a kind of Lotus over the same seller, and I can make the exchange! The diffusion of essential oils through different holes also gives it an original touch! This seller has several models that I like and I made this one of the reviews that were near the 5 stars for everything! Finally for the room it will be perfect because the light is not too strong and quiet is what I wanted! Only the color is fake is damage that takes away much of its original charm because the shape is beautiful too! By cons, fortunately there is a battery supplied as neither my husband nor I have managed to open the remote control, we'll see when to change it!</v>
      </c>
    </row>
    <row r="6143">
      <c r="A6143" s="1">
        <v>4.0</v>
      </c>
      <c r="B6143" s="1" t="s">
        <v>6061</v>
      </c>
      <c r="C6143" t="str">
        <f>IFERROR(__xludf.DUMMYFUNCTION("GOOGLETRANSLATE(B6143, ""fr"", ""en"")"),"Good quality. Pleasant. Use for every day.")</f>
        <v>Good quality. Pleasant. Use for every day.</v>
      </c>
    </row>
    <row r="6144">
      <c r="A6144" s="1">
        <v>5.0</v>
      </c>
      <c r="B6144" s="1" t="s">
        <v>6062</v>
      </c>
      <c r="C6144" t="str">
        <f>IFERROR(__xludf.DUMMYFUNCTION("GOOGLETRANSLATE(B6144, ""fr"", ""en"")"),"Jewelry Cleaner Fini, the toothbrush with soap or other .... The bath is ideal for jewelry and fast especially for hard to reach parts.")</f>
        <v>Jewelry Cleaner Fini, the toothbrush with soap or other .... The bath is ideal for jewelry and fast especially for hard to reach parts.</v>
      </c>
    </row>
    <row r="6145">
      <c r="A6145" s="1">
        <v>5.0</v>
      </c>
      <c r="B6145" s="1" t="s">
        <v>6063</v>
      </c>
      <c r="C6145" t="str">
        <f>IFERROR(__xludf.DUMMYFUNCTION("GOOGLETRANSLATE(B6145, ""fr"", ""en"")"),"earrings strawoski I am delighted these beautiful beautiful earrings I recommends effect")</f>
        <v>earrings strawoski I am delighted these beautiful beautiful earrings I recommends effect</v>
      </c>
    </row>
    <row r="6146">
      <c r="A6146" s="1">
        <v>5.0</v>
      </c>
      <c r="B6146" s="1" t="s">
        <v>6064</v>
      </c>
      <c r="C6146" t="str">
        <f>IFERROR(__xludf.DUMMYFUNCTION("GOOGLETRANSLATE(B6146, ""fr"", ""en"")"),"Super € 12.90 for this bottle Dodie brand anti colic glass. A relatively high price per lot, it's still more interesting. But that being said, I really appreciate the glass baby bottle for hygienic hand. It can be sterilized at high temperatures. Triangul"&amp;"ar in shape, it is easier to take the same hand for babies when they start to want to hold their bottle themselves. Especially since the glass is clean and ultra resistant to thermal shock. The fitted pacifier anti colic system has already proven itself, "&amp;"it's really fantastic.")</f>
        <v>Super € 12.90 for this bottle Dodie brand anti colic glass. A relatively high price per lot, it's still more interesting. But that being said, I really appreciate the glass baby bottle for hygienic hand. It can be sterilized at high temperatures. Triangular in shape, it is easier to take the same hand for babies when they start to want to hold their bottle themselves. Especially since the glass is clean and ultra resistant to thermal shock. The fitted pacifier anti colic system has already proven itself, it's really fantastic.</v>
      </c>
    </row>
    <row r="6147">
      <c r="A6147" s="1">
        <v>5.0</v>
      </c>
      <c r="B6147" s="1" t="s">
        <v>6065</v>
      </c>
      <c r="C6147" t="str">
        <f>IFERROR(__xludf.DUMMYFUNCTION("GOOGLETRANSLATE(B6147, ""fr"", ""en"")"),"Very good bag")</f>
        <v>Very good bag</v>
      </c>
    </row>
    <row r="6148">
      <c r="A6148" s="1">
        <v>5.0</v>
      </c>
      <c r="B6148" s="1" t="s">
        <v>6066</v>
      </c>
      <c r="C6148" t="str">
        <f>IFERROR(__xludf.DUMMYFUNCTION("GOOGLETRANSLATE(B6148, ""fr"", ""en"")"),"A classic A timeless, and one more to my collection. I love the CASIO watches and that is an essential part ... chic and classic, it remains super modern! I love and I recommend it!")</f>
        <v>A classic A timeless, and one more to my collection. I love the CASIO watches and that is an essential part ... chic and classic, it remains super modern! I love and I recommend it!</v>
      </c>
    </row>
    <row r="6149">
      <c r="A6149" s="1">
        <v>5.0</v>
      </c>
      <c r="B6149" s="1" t="s">
        <v>224</v>
      </c>
      <c r="C6149" t="str">
        <f>IFERROR(__xludf.DUMMYFUNCTION("GOOGLETRANSLATE(B6149, ""fr"", ""en"")"),"perfect perfect")</f>
        <v>perfect perfect</v>
      </c>
    </row>
    <row r="6150">
      <c r="A6150" s="1">
        <v>5.0</v>
      </c>
      <c r="B6150" s="1" t="s">
        <v>6067</v>
      </c>
      <c r="C6150" t="str">
        <f>IFERROR(__xludf.DUMMYFUNCTION("GOOGLETRANSLATE(B6150, ""fr"", ""en"")"),"Baby! I had already tried this brand in childcare and I think we always have quality on top! Here we have a bottle very well researched, practical and manageable. It is lightweight and fits comfortably in hand.")</f>
        <v>Baby! I had already tried this brand in childcare and I think we always have quality on top! Here we have a bottle very well researched, practical and manageable. It is lightweight and fits comfortably in hand.</v>
      </c>
    </row>
    <row r="6151">
      <c r="A6151" s="1">
        <v>5.0</v>
      </c>
      <c r="B6151" s="1" t="s">
        <v>6068</v>
      </c>
      <c r="C6151" t="str">
        <f>IFERROR(__xludf.DUMMYFUNCTION("GOOGLETRANSLATE(B6151, ""fr"", ""en"")"),"Petticoat Petticoat extra that gives one real volume to the various style dresses pin up available on the site. I recommend it for unbeatable value for money")</f>
        <v>Petticoat Petticoat extra that gives one real volume to the various style dresses pin up available on the site. I recommend it for unbeatable value for money</v>
      </c>
    </row>
    <row r="6152">
      <c r="A6152" s="1">
        <v>5.0</v>
      </c>
      <c r="B6152" s="1" t="s">
        <v>6069</v>
      </c>
      <c r="C6152" t="str">
        <f>IFERROR(__xludf.DUMMYFUNCTION("GOOGLETRANSLATE(B6152, ""fr"", ""en"")"),"Okay listened songs during soprts is very comfortable. His gift is for my friend. My friend friends a lot. And I'll buy another one for my other friend")</f>
        <v>Okay listened songs during soprts is very comfortable. His gift is for my friend. My friend friends a lot. And I'll buy another one for my other friend</v>
      </c>
    </row>
    <row r="6153">
      <c r="A6153" s="1">
        <v>5.0</v>
      </c>
      <c r="B6153" s="1" t="s">
        <v>6070</v>
      </c>
      <c r="C6153" t="str">
        <f>IFERROR(__xludf.DUMMYFUNCTION("GOOGLETRANSLATE(B6153, ""fr"", ""en"")"),"Jolie is very nice, I would give it to my sister, but no, I keep it to myself. I highly recommend.")</f>
        <v>Jolie is very nice, I would give it to my sister, but no, I keep it to myself. I highly recommend.</v>
      </c>
    </row>
    <row r="6154">
      <c r="A6154" s="1">
        <v>5.0</v>
      </c>
      <c r="B6154" s="1" t="s">
        <v>6071</v>
      </c>
      <c r="C6154" t="str">
        <f>IFERROR(__xludf.DUMMYFUNCTION("GOOGLETRANSLATE(B6154, ""fr"", ""en"")"),"Very pretty ! I am delighted the whole necklace and earrings, they are well worth their price. I thought pendants a little smaller but overall I am very satisfied. I recommend !")</f>
        <v>Very pretty ! I am delighted the whole necklace and earrings, they are well worth their price. I thought pendants a little smaller but overall I am very satisfied. I recommend !</v>
      </c>
    </row>
    <row r="6155">
      <c r="A6155" s="1">
        <v>5.0</v>
      </c>
      <c r="B6155" s="1" t="s">
        <v>6072</v>
      </c>
      <c r="C6155" t="str">
        <f>IFERROR(__xludf.DUMMYFUNCTION("GOOGLETRANSLATE(B6155, ""fr"", ""en"")"),"little Dodie think the little ones with this little bottle. Next periods or schools have given a little water to infants and spoon juices to 3 months. I planned this little bottle to prepare a little gift pack of birth. the cap is almost bigger than the t"&amp;"ank, the nipple is adjustable and I fully trust the brand that has seen grow my 4 children and a lot of my grandchildren")</f>
        <v>little Dodie think the little ones with this little bottle. Next periods or schools have given a little water to infants and spoon juices to 3 months. I planned this little bottle to prepare a little gift pack of birth. the cap is almost bigger than the tank, the nipple is adjustable and I fully trust the brand that has seen grow my 4 children and a lot of my grandchildren</v>
      </c>
    </row>
    <row r="6156">
      <c r="A6156" s="1">
        <v>5.0</v>
      </c>
      <c r="B6156" s="1" t="s">
        <v>6073</v>
      </c>
      <c r="C6156" t="str">
        <f>IFERROR(__xludf.DUMMYFUNCTION("GOOGLETRANSLATE(B6156, ""fr"", ""en"")"),"Perfect size, elastic leggings and rugged fabric is very comfortable, is very elastic, the received size is correct. The big advantage is the 2 side pockets, was widely space to put his keys and the smartphone.")</f>
        <v>Perfect size, elastic leggings and rugged fabric is very comfortable, is very elastic, the received size is correct. The big advantage is the 2 side pockets, was widely space to put his keys and the smartphone.</v>
      </c>
    </row>
    <row r="6157">
      <c r="A6157" s="1">
        <v>5.0</v>
      </c>
      <c r="B6157" s="1" t="s">
        <v>6074</v>
      </c>
      <c r="C6157" t="str">
        <f>IFERROR(__xludf.DUMMYFUNCTION("GOOGLETRANSLATE(B6157, ""fr"", ""en"")"),"very good shoes It's solid I am accustomed to Timberland. large size. I took 42 while I generally takes 43.")</f>
        <v>very good shoes It's solid I am accustomed to Timberland. large size. I took 42 while I generally takes 43.</v>
      </c>
    </row>
    <row r="6158">
      <c r="A6158" s="1">
        <v>5.0</v>
      </c>
      <c r="B6158" s="1" t="s">
        <v>6075</v>
      </c>
      <c r="C6158" t="str">
        <f>IFERROR(__xludf.DUMMYFUNCTION("GOOGLETRANSLATE(B6158, ""fr"", ""en"")"),"Good product to warm up")</f>
        <v>Good product to warm up</v>
      </c>
    </row>
    <row r="6159">
      <c r="A6159" s="1">
        <v>2.0</v>
      </c>
      <c r="B6159" s="1" t="s">
        <v>6076</v>
      </c>
      <c r="C6159" t="str">
        <f>IFERROR(__xludf.DUMMYFUNCTION("GOOGLETRANSLATE(B6159, ""fr"", ""en"")"),"It lacks the most important end namely Disappointed this book I saw the cartoon when I read the book lacks any late damage this book to be very abbreviated to finish")</f>
        <v>It lacks the most important end namely Disappointed this book I saw the cartoon when I read the book lacks any late damage this book to be very abbreviated to finish</v>
      </c>
    </row>
    <row r="6160">
      <c r="A6160" s="1">
        <v>1.0</v>
      </c>
      <c r="B6160" s="1" t="s">
        <v>6077</v>
      </c>
      <c r="C6160" t="str">
        <f>IFERROR(__xludf.DUMMYFUNCTION("GOOGLETRANSLATE(B6160, ""fr"", ""en"")"),"Very poor soles after three months of water passes through shoddy Warning soles open following the end of three months really tough I highly recommend !!! No turning back")</f>
        <v>Very poor soles after three months of water passes through shoddy Warning soles open following the end of three months really tough I highly recommend !!! No turning back</v>
      </c>
    </row>
    <row r="6161">
      <c r="A6161" s="1">
        <v>3.0</v>
      </c>
      <c r="B6161" s="1" t="s">
        <v>6078</v>
      </c>
      <c r="C6161" t="str">
        <f>IFERROR(__xludf.DUMMYFUNCTION("GOOGLETRANSLATE(B6161, ""fr"", ""en"")"),"Regarding this helmet, the helmet has arrived earlier than expected so niquel packaging is simple for 60 euros is normal microphone was bent in a bad position so it reduces its durability when comfort is very light it offers a light insulation but nothing"&amp;" crazy crazy I use in stereo and about 60 euros louse nothing wrong apart from a heat grain a little too high for acute in conclusion it is a very good deal.")</f>
        <v>Regarding this helmet, the helmet has arrived earlier than expected so niquel packaging is simple for 60 euros is normal microphone was bent in a bad position so it reduces its durability when comfort is very light it offers a light insulation but nothing crazy crazy I use in stereo and about 60 euros louse nothing wrong apart from a heat grain a little too high for acute in conclusion it is a very good deal.</v>
      </c>
    </row>
    <row r="6162">
      <c r="A6162" s="1">
        <v>4.0</v>
      </c>
      <c r="B6162" s="1" t="s">
        <v>6079</v>
      </c>
      <c r="C6162" t="str">
        <f>IFERROR(__xludf.DUMMYFUNCTION("GOOGLETRANSLATE(B6162, ""fr"", ""en"")"),"Excellent value seller +++ Use is more scrubs, good product only downside, do not run water in the pot because it is boiled")</f>
        <v>Excellent value seller +++ Use is more scrubs, good product only downside, do not run water in the pot because it is boiled</v>
      </c>
    </row>
    <row r="6163">
      <c r="A6163" s="1">
        <v>4.0</v>
      </c>
      <c r="B6163" s="1" t="s">
        <v>6080</v>
      </c>
      <c r="C6163" t="str">
        <f>IFERROR(__xludf.DUMMYFUNCTION("GOOGLETRANSLATE(B6163, ""fr"", ""en"")"),"Very good value Very good value")</f>
        <v>Very good value Very good value</v>
      </c>
    </row>
    <row r="6164">
      <c r="A6164" s="1">
        <v>4.0</v>
      </c>
      <c r="B6164" s="1" t="s">
        <v>6081</v>
      </c>
      <c r="C6164" t="str">
        <f>IFERROR(__xludf.DUMMYFUNCTION("GOOGLETRANSLATE(B6164, ""fr"", ""en"")"),"Hot, strong and comfortable warm and comfortable. A good buy for the winter for chilly! If they are not used in wet weather, they will take years")</f>
        <v>Hot, strong and comfortable warm and comfortable. A good buy for the winter for chilly! If they are not used in wet weather, they will take years</v>
      </c>
    </row>
    <row r="6165">
      <c r="A6165" s="1">
        <v>4.0</v>
      </c>
      <c r="B6165" s="1" t="s">
        <v>6082</v>
      </c>
      <c r="C6165" t="str">
        <f>IFERROR(__xludf.DUMMYFUNCTION("GOOGLETRANSLATE(B6165, ""fr"", ""en"")"),"Product arrived well battered down if not respected delivery and good product.")</f>
        <v>Product arrived well battered down if not respected delivery and good product.</v>
      </c>
    </row>
    <row r="6166">
      <c r="A6166" s="1">
        <v>5.0</v>
      </c>
      <c r="B6166" s="1" t="s">
        <v>6083</v>
      </c>
      <c r="C6166" t="str">
        <f>IFERROR(__xludf.DUMMYFUNCTION("GOOGLETRANSLATE(B6166, ""fr"", ""en"")"),"Done consistent job until now.")</f>
        <v>Done consistent job until now.</v>
      </c>
    </row>
    <row r="6167">
      <c r="A6167" s="1">
        <v>5.0</v>
      </c>
      <c r="B6167" s="1" t="s">
        <v>6084</v>
      </c>
      <c r="C6167" t="str">
        <f>IFERROR(__xludf.DUMMYFUNCTION("GOOGLETRANSLATE(B6167, ""fr"", ""en"")"),"Perfect Pleasantly surprised. Excellent value. Size very well. For the price I was expecting worse. Well no. I will also recommend in other colors.")</f>
        <v>Perfect Pleasantly surprised. Excellent value. Size very well. For the price I was expecting worse. Well no. I will also recommend in other colors.</v>
      </c>
    </row>
    <row r="6168">
      <c r="A6168" s="1">
        <v>5.0</v>
      </c>
      <c r="B6168" s="1" t="s">
        <v>6085</v>
      </c>
      <c r="C6168" t="str">
        <f>IFERROR(__xludf.DUMMYFUNCTION("GOOGLETRANSLATE(B6168, ""fr"", ""en"")"),"Zen atmosphere !!! &lt;Div id = ""video-block-R14VXVZVF3LTZ6"" class = ""a-section-spacing-small in-spacing-top mini video-block""&gt; &lt;/ div&gt; &lt;input type = ""hidden"" name = """" value = ""https://images-eu.ssl-images-amazon.com/images/I/B1EqX+0AjAS.mp4"" clas"&amp;"s = ""video-url""&gt; &lt;input type = ""hidden"" name = """" value = "" https://images-eu.ssl-images-amazon.com/images/I/71WOweNrszS.png ""class ="" video-slate-img-url ""&gt; &amp; nbsp; essential oil diffuser and air purifier very design and trend. It goes perfectl"&amp;"y well with my inside. It broadcasts the scents of essential oils and purifies the air. Very easy to use. It has a button control to set the desired length, colors. A Zen atmosphere very pleasant to relax. I am very happy with my purchase and can highly r"&amp;"ecommend it !!! Quick and neat delivery. I recommend.")</f>
        <v>Zen atmosphere !!! &lt;Div id = "video-block-R14VXVZVF3LTZ6" class = "a-section-spacing-small in-spacing-top mini video-block"&gt; &lt;/ div&gt; &lt;input type = "hidden" name = "" value = "https://images-eu.ssl-images-amazon.com/images/I/B1EqX+0AjAS.mp4" class = "video-url"&gt; &lt;input type = "hidden" name = "" value = " https://images-eu.ssl-images-amazon.com/images/I/71WOweNrszS.png "class =" video-slate-img-url "&gt; &amp; nbsp; essential oil diffuser and air purifier very design and trend. It goes perfectly well with my inside. It broadcasts the scents of essential oils and purifies the air. Very easy to use. It has a button control to set the desired length, colors. A Zen atmosphere very pleasant to relax. I am very happy with my purchase and can highly recommend it !!! Quick and neat delivery. I recommend.</v>
      </c>
    </row>
    <row r="6169">
      <c r="A6169" s="1">
        <v>5.0</v>
      </c>
      <c r="B6169" s="1" t="s">
        <v>6086</v>
      </c>
      <c r="C6169" t="str">
        <f>IFERROR(__xludf.DUMMYFUNCTION("GOOGLETRANSLATE(B6169, ""fr"", ""en"")"),"Very good microphone Buy our son. He uses it and tells us that the sound is excellent for a microphone that price. It exudes quality is very pretty. Do not forget that for it to work correctly you need to buy more food worth 20 €.")</f>
        <v>Very good microphone Buy our son. He uses it and tells us that the sound is excellent for a microphone that price. It exudes quality is very pretty. Do not forget that for it to work correctly you need to buy more food worth 20 €.</v>
      </c>
    </row>
    <row r="6170">
      <c r="A6170" s="1">
        <v>5.0</v>
      </c>
      <c r="B6170" s="1" t="s">
        <v>6087</v>
      </c>
      <c r="C6170" t="str">
        <f>IFERROR(__xludf.DUMMYFUNCTION("GOOGLETRANSLATE(B6170, ""fr"", ""en"")"),"Very satisfied He fills its function very well, I recommended a second for my mother")</f>
        <v>Very satisfied He fills its function very well, I recommended a second for my mother</v>
      </c>
    </row>
    <row r="6171">
      <c r="A6171" s="1">
        <v>5.0</v>
      </c>
      <c r="B6171" s="1" t="s">
        <v>6088</v>
      </c>
      <c r="C6171" t="str">
        <f>IFERROR(__xludf.DUMMYFUNCTION("GOOGLETRANSLATE(B6171, ""fr"", ""en"")"),"Super J product bought this product following a health problem. Very easy to use")</f>
        <v>Super J product bought this product following a health problem. Very easy to use</v>
      </c>
    </row>
    <row r="6172">
      <c r="A6172" s="1">
        <v>5.0</v>
      </c>
      <c r="B6172" s="1" t="s">
        <v>6089</v>
      </c>
      <c r="C6172" t="str">
        <f>IFERROR(__xludf.DUMMYFUNCTION("GOOGLETRANSLATE(B6172, ""fr"", ""en"")"),"Guaranteed effect !! Great show, very classy with a nice look. C is a automatic watch. The watch comes in a beautiful box with the equipment to adjust the strap. The materials are very good qualities.")</f>
        <v>Guaranteed effect !! Great show, very classy with a nice look. C is a automatic watch. The watch comes in a beautiful box with the equipment to adjust the strap. The materials are very good qualities.</v>
      </c>
    </row>
    <row r="6173">
      <c r="A6173" s="1">
        <v>5.0</v>
      </c>
      <c r="B6173" s="1" t="s">
        <v>6090</v>
      </c>
      <c r="C6173" t="str">
        <f>IFERROR(__xludf.DUMMYFUNCTION("GOOGLETRANSLATE(B6173, ""fr"", ""en"")"),"Very good quality baby My love Phillips bottles")</f>
        <v>Very good quality baby My love Phillips bottles</v>
      </c>
    </row>
    <row r="6174">
      <c r="A6174" s="1">
        <v>5.0</v>
      </c>
      <c r="B6174" s="1" t="s">
        <v>6091</v>
      </c>
      <c r="C6174" t="str">
        <f>IFERROR(__xludf.DUMMYFUNCTION("GOOGLETRANSLATE(B6174, ""fr"", ""en"")"),"Perfect Very good coffee. Nice design. Easy to use and implement. Heats quickly. And makes a blue light when it works. It was a gift, my friend is delighted")</f>
        <v>Perfect Very good coffee. Nice design. Easy to use and implement. Heats quickly. And makes a blue light when it works. It was a gift, my friend is delighted</v>
      </c>
    </row>
    <row r="6175">
      <c r="A6175" s="1">
        <v>5.0</v>
      </c>
      <c r="B6175" s="1" t="s">
        <v>6092</v>
      </c>
      <c r="C6175" t="str">
        <f>IFERROR(__xludf.DUMMYFUNCTION("GOOGLETRANSLATE(B6175, ""fr"", ""en"")"),"One product I recommend not having the means to pay heavily in bluetooth headphones, I wanted to try this product and I'm not disappointed. Comfortable and convenient, they allow me to listen to my music or my podcasts in all circumstances. For that price"&amp;", I can only advise you to buy this product.")</f>
        <v>One product I recommend not having the means to pay heavily in bluetooth headphones, I wanted to try this product and I'm not disappointed. Comfortable and convenient, they allow me to listen to my music or my podcasts in all circumstances. For that price, I can only advise you to buy this product.</v>
      </c>
    </row>
    <row r="6176">
      <c r="A6176" s="1">
        <v>5.0</v>
      </c>
      <c r="B6176" s="1" t="s">
        <v>6093</v>
      </c>
      <c r="C6176" t="str">
        <f>IFERROR(__xludf.DUMMYFUNCTION("GOOGLETRANSLATE(B6176, ""fr"", ""en"")"),"Excellent command arrived on time. The product conforms to what I expected. I had the same bottle for seniors it was normal for me to even take them there for my last.")</f>
        <v>Excellent command arrived on time. The product conforms to what I expected. I had the same bottle for seniors it was normal for me to even take them there for my last.</v>
      </c>
    </row>
    <row r="6177">
      <c r="A6177" s="1">
        <v>5.0</v>
      </c>
      <c r="B6177" s="1" t="s">
        <v>6094</v>
      </c>
      <c r="C6177" t="str">
        <f>IFERROR(__xludf.DUMMYFUNCTION("GOOGLETRANSLATE(B6177, ""fr"", ""en"")"),"Perfect Basketball o top corresponds to the normal size for waiting vans (just great) I took and I usually 37 shoes a 37.5")</f>
        <v>Perfect Basketball o top corresponds to the normal size for waiting vans (just great) I took and I usually 37 shoes a 37.5</v>
      </c>
    </row>
    <row r="6178">
      <c r="A6178" s="1">
        <v>5.0</v>
      </c>
      <c r="B6178" s="1" t="s">
        <v>6095</v>
      </c>
      <c r="C6178" t="str">
        <f>IFERROR(__xludf.DUMMYFUNCTION("GOOGLETRANSLATE(B6178, ""fr"", ""en"")"),"Nice article nice thick underfoot, good height, quality and solidity to see over time.")</f>
        <v>Nice article nice thick underfoot, good height, quality and solidity to see over time.</v>
      </c>
    </row>
    <row r="6179">
      <c r="A6179" s="1">
        <v>5.0</v>
      </c>
      <c r="B6179" s="1" t="s">
        <v>6096</v>
      </c>
      <c r="C6179" t="str">
        <f>IFERROR(__xludf.DUMMYFUNCTION("GOOGLETRANSLATE(B6179, ""fr"", ""en"")"),"Buy Perfect for jogging I recommend this article that perfectly maintains the chest nice touch I washed several times he did not move")</f>
        <v>Buy Perfect for jogging I recommend this article that perfectly maintains the chest nice touch I washed several times he did not move</v>
      </c>
    </row>
    <row r="6180">
      <c r="A6180" s="1">
        <v>5.0</v>
      </c>
      <c r="B6180" s="1" t="s">
        <v>6097</v>
      </c>
      <c r="C6180" t="str">
        <f>IFERROR(__xludf.DUMMYFUNCTION("GOOGLETRANSLATE(B6180, ""fr"", ""en"")"),"Good shoes! Comfortable, light ... I do not regret this purchase! At the Sledgers (I have not found available at the moment!)")</f>
        <v>Good shoes! Comfortable, light ... I do not regret this purchase! At the Sledgers (I have not found available at the moment!)</v>
      </c>
    </row>
    <row r="6181">
      <c r="A6181" s="1">
        <v>5.0</v>
      </c>
      <c r="B6181" s="1" t="s">
        <v>6098</v>
      </c>
      <c r="C6181" t="str">
        <f>IFERROR(__xludf.DUMMYFUNCTION("GOOGLETRANSLATE(B6181, ""fr"", ""en"")"),"To buy eyes closed! Make and model I plebiscite for comfort and style!")</f>
        <v>To buy eyes closed! Make and model I plebiscite for comfort and style!</v>
      </c>
    </row>
    <row r="6182">
      <c r="A6182" s="1">
        <v>2.0</v>
      </c>
      <c r="B6182" s="1" t="s">
        <v>6099</v>
      </c>
      <c r="C6182" t="str">
        <f>IFERROR(__xludf.DUMMYFUNCTION("GOOGLETRANSLATE(B6182, ""fr"", ""en"")"),"LIGE shows for men, black steel with timer and reset nice watch, but pity the stopwatch reset button has disappeared after 10 days without manipulation showing the unreliability of this product.")</f>
        <v>LIGE shows for men, black steel with timer and reset nice watch, but pity the stopwatch reset button has disappeared after 10 days without manipulation showing the unreliability of this product.</v>
      </c>
    </row>
    <row r="6183">
      <c r="A6183" s="1">
        <v>1.0</v>
      </c>
      <c r="B6183" s="1" t="s">
        <v>6100</v>
      </c>
      <c r="C6183" t="str">
        <f>IFERROR(__xludf.DUMMYFUNCTION("GOOGLETRANSLATE(B6183, ""fr"", ""en"")"),"Please do not buy it's not a sweater but a lycra shirt without hood ... well nothing matched what was said ...")</f>
        <v>Please do not buy it's not a sweater but a lycra shirt without hood ... well nothing matched what was said ...</v>
      </c>
    </row>
    <row r="6184">
      <c r="A6184" s="1">
        <v>3.0</v>
      </c>
      <c r="B6184" s="1" t="s">
        <v>6101</v>
      </c>
      <c r="C6184" t="str">
        <f>IFERROR(__xludf.DUMMYFUNCTION("GOOGLETRANSLATE(B6184, ""fr"", ""en"")"),".. Dear plastic for plastic discs. It also works on mam. In all cases, prices have become prohibitive for bottles, discs, or teats .. Any cumulative, it is expensive the bib ...")</f>
        <v>.. Dear plastic for plastic discs. It also works on mam. In all cases, prices have become prohibitive for bottles, discs, or teats .. Any cumulative, it is expensive the bib ...</v>
      </c>
    </row>
    <row r="6185">
      <c r="A6185" s="1">
        <v>3.0</v>
      </c>
      <c r="B6185" s="1" t="s">
        <v>6102</v>
      </c>
      <c r="C6185" t="str">
        <f>IFERROR(__xludf.DUMMYFUNCTION("GOOGLETRANSLATE(B6185, ""fr"", ""en"")"),"Attention to the validity date! Hello. Upon receipt of my cartridge, the ZIP package is closed but be open to see that the box of the original HP cartridge is open. The expiry date on the box is correct but it does not prove that the sealed pouch which is"&amp;" inside, the one that contains the cartridge, either because there is no date on this bag! This may be a way for the seller to broadcast old cartridges - SHOULD VERIFY ALL REALLY - BEWARE!")</f>
        <v>Attention to the validity date! Hello. Upon receipt of my cartridge, the ZIP package is closed but be open to see that the box of the original HP cartridge is open. The expiry date on the box is correct but it does not prove that the sealed pouch which is inside, the one that contains the cartridge, either because there is no date on this bag! This may be a way for the seller to broadcast old cartridges - SHOULD VERIFY ALL REALLY - BEWARE!</v>
      </c>
    </row>
    <row r="6186">
      <c r="A6186" s="1">
        <v>4.0</v>
      </c>
      <c r="B6186" s="1" t="s">
        <v>6103</v>
      </c>
      <c r="C6186" t="str">
        <f>IFERROR(__xludf.DUMMYFUNCTION("GOOGLETRANSLATE(B6186, ""fr"", ""en"")"),"fancy thermometer I can check the hygrometer, but the indoor thermometer operating normally. For cons, the outside thermometer reads temperatures above 2 ° to those found in conventional 2 thermometers placed next .... !! Would there be a setting that I h"&amp;"ad not done? Thank you anyway for your mails and answer ... C.Compérat")</f>
        <v>fancy thermometer I can check the hygrometer, but the indoor thermometer operating normally. For cons, the outside thermometer reads temperatures above 2 ° to those found in conventional 2 thermometers placed next .... !! Would there be a setting that I had not done? Thank you anyway for your mails and answer ... C.Compérat</v>
      </c>
    </row>
    <row r="6187">
      <c r="A6187" s="1">
        <v>4.0</v>
      </c>
      <c r="B6187" s="1" t="s">
        <v>6104</v>
      </c>
      <c r="C6187" t="str">
        <f>IFERROR(__xludf.DUMMYFUNCTION("GOOGLETRANSLATE(B6187, ""fr"", ""en"")"),"Okay Legging nontransparent which is convenient for sports. The two pockets are good sizes and allow to store phone and keys without worry")</f>
        <v>Okay Legging nontransparent which is convenient for sports. The two pockets are good sizes and allow to store phone and keys without worry</v>
      </c>
    </row>
    <row r="6188">
      <c r="A6188" s="1">
        <v>4.0</v>
      </c>
      <c r="B6188" s="1" t="s">
        <v>6105</v>
      </c>
      <c r="C6188" t="str">
        <f>IFERROR(__xludf.DUMMYFUNCTION("GOOGLETRANSLATE(B6188, ""fr"", ""en"")"),"Good value Spacious solid closures. Practice with its unique strap. Worn back or front")</f>
        <v>Good value Spacious solid closures. Practice with its unique strap. Worn back or front</v>
      </c>
    </row>
    <row r="6189">
      <c r="A6189" s="1">
        <v>4.0</v>
      </c>
      <c r="B6189" s="1" t="s">
        <v>6106</v>
      </c>
      <c r="C6189" t="str">
        <f>IFERROR(__xludf.DUMMYFUNCTION("GOOGLETRANSLATE(B6189, ""fr"", ""en"")"),"Kit while unpacking compirs Disappointment: the painting is damaged: 2 shots in the white surface and the metal frame is off to a place. Otherwise, the kit is interesting: pens, magnets, eraser and mounting kit included. I put this picture in my classroom"&amp;" and we use daily. The surface fades well: no trace. Door pen set (with some difficulty to remove the black edges). Is fixed horizontally or vertically.")</f>
        <v>Kit while unpacking compirs Disappointment: the painting is damaged: 2 shots in the white surface and the metal frame is off to a place. Otherwise, the kit is interesting: pens, magnets, eraser and mounting kit included. I put this picture in my classroom and we use daily. The surface fades well: no trace. Door pen set (with some difficulty to remove the black edges). Is fixed horizontally or vertically.</v>
      </c>
    </row>
    <row r="6190">
      <c r="A6190" s="1">
        <v>5.0</v>
      </c>
      <c r="B6190" s="1" t="s">
        <v>6107</v>
      </c>
      <c r="C6190" t="str">
        <f>IFERROR(__xludf.DUMMYFUNCTION("GOOGLETRANSLATE(B6190, ""fr"", ""en"")"),"Perfect Annoyed having to pay more than 3 euros for a large area roll of tape. There is perfect! The product complies with the description. It's economical, inexpensive, good quality nonetheless. I am satisfied with my purchase and would recommend.")</f>
        <v>Perfect Annoyed having to pay more than 3 euros for a large area roll of tape. There is perfect! The product complies with the description. It's economical, inexpensive, good quality nonetheless. I am satisfied with my purchase and would recommend.</v>
      </c>
    </row>
    <row r="6191">
      <c r="A6191" s="1">
        <v>5.0</v>
      </c>
      <c r="B6191" s="1" t="s">
        <v>6108</v>
      </c>
      <c r="C6191" t="str">
        <f>IFERROR(__xludf.DUMMYFUNCTION("GOOGLETRANSLATE(B6191, ""fr"", ""en"")"),"A good headset! They are very comfortable, especially with small buckles silicone that can be inserted naturally in the ear. The sound quality was so good that I could easily put my earphones in connection with my smartphone. Listening Helmets are provide"&amp;"d with a protective covering which prevents the entry of dust and USB charging, which is very convenient. I recommend this product.")</f>
        <v>A good headset! They are very comfortable, especially with small buckles silicone that can be inserted naturally in the ear. The sound quality was so good that I could easily put my earphones in connection with my smartphone. Listening Helmets are provided with a protective covering which prevents the entry of dust and USB charging, which is very convenient. I recommend this product.</v>
      </c>
    </row>
    <row r="6192">
      <c r="A6192" s="1">
        <v>5.0</v>
      </c>
      <c r="B6192" s="1" t="s">
        <v>6109</v>
      </c>
      <c r="C6192" t="str">
        <f>IFERROR(__xludf.DUMMYFUNCTION("GOOGLETRANSLATE(B6192, ""fr"", ""en"")"),"asics shoes excellent shock absorption, great shoes")</f>
        <v>asics shoes excellent shock absorption, great shoes</v>
      </c>
    </row>
    <row r="6193">
      <c r="A6193" s="1">
        <v>5.0</v>
      </c>
      <c r="B6193" s="1" t="s">
        <v>6110</v>
      </c>
      <c r="C6193" t="str">
        <f>IFERROR(__xludf.DUMMYFUNCTION("GOOGLETRANSLATE(B6193, ""fr"", ""en"")"),"NOTHING ADDED 10 pair of socks received on time, successful design with different color, ideal to choose the right pair with the seasons, in the end quality respects, I recommend because there's nothing to add.")</f>
        <v>NOTHING ADDED 10 pair of socks received on time, successful design with different color, ideal to choose the right pair with the seasons, in the end quality respects, I recommend because there's nothing to add.</v>
      </c>
    </row>
    <row r="6194">
      <c r="A6194" s="1">
        <v>5.0</v>
      </c>
      <c r="B6194" s="1" t="s">
        <v>6111</v>
      </c>
      <c r="C6194" t="str">
        <f>IFERROR(__xludf.DUMMYFUNCTION("GOOGLETRANSLATE(B6194, ""fr"", ""en"")"),"Excellent quality / price The tape is very correct quality. For the price this is an excellent product. I recommend it with no hesitation.")</f>
        <v>Excellent quality / price The tape is very correct quality. For the price this is an excellent product. I recommend it with no hesitation.</v>
      </c>
    </row>
    <row r="6195">
      <c r="A6195" s="1">
        <v>5.0</v>
      </c>
      <c r="B6195" s="1" t="s">
        <v>6112</v>
      </c>
      <c r="C6195" t="str">
        <f>IFERROR(__xludf.DUMMYFUNCTION("GOOGLETRANSLATE(B6195, ""fr"", ""en"")"),"ToP Superb cap. With its sober NY logo on the side (allows to distinguish itself from every other models), quality is at the rendezvous. My daughter the loose more.")</f>
        <v>ToP Superb cap. With its sober NY logo on the side (allows to distinguish itself from every other models), quality is at the rendezvous. My daughter the loose more.</v>
      </c>
    </row>
    <row r="6196">
      <c r="A6196" s="1">
        <v>5.0</v>
      </c>
      <c r="B6196" s="1" t="s">
        <v>6113</v>
      </c>
      <c r="C6196" t="str">
        <f>IFERROR(__xludf.DUMMYFUNCTION("GOOGLETRANSLATE(B6196, ""fr"", ""en"")"),"a perfect ring is broken but the remainder is nickel. my daughter loves")</f>
        <v>a perfect ring is broken but the remainder is nickel. my daughter loves</v>
      </c>
    </row>
    <row r="6197">
      <c r="A6197" s="1">
        <v>5.0</v>
      </c>
      <c r="B6197" s="1" t="s">
        <v>6114</v>
      </c>
      <c r="C6197" t="str">
        <f>IFERROR(__xludf.DUMMYFUNCTION("GOOGLETRANSLATE(B6197, ""fr"", ""en"")"),"Awesome My daughter has received Christmas gift and she is delighted. This book will appeal to all kids who love science and who have many questions. The explanations are clear.")</f>
        <v>Awesome My daughter has received Christmas gift and she is delighted. This book will appeal to all kids who love science and who have many questions. The explanations are clear.</v>
      </c>
    </row>
    <row r="6198">
      <c r="A6198" s="1">
        <v>5.0</v>
      </c>
      <c r="B6198" s="1" t="s">
        <v>6115</v>
      </c>
      <c r="C6198" t="str">
        <f>IFERROR(__xludf.DUMMYFUNCTION("GOOGLETRANSLATE(B6198, ""fr"", ""en"")"),"Good tea Perfect for lovers of tea, easy to use, I recommend")</f>
        <v>Good tea Perfect for lovers of tea, easy to use, I recommend</v>
      </c>
    </row>
    <row r="6199">
      <c r="A6199" s="1">
        <v>5.0</v>
      </c>
      <c r="B6199" s="1" t="s">
        <v>6116</v>
      </c>
      <c r="C6199" t="str">
        <f>IFERROR(__xludf.DUMMYFUNCTION("GOOGLETRANSLATE(B6199, ""fr"", ""en"")"),"Fleece Here hot. top")</f>
        <v>Fleece Here hot. top</v>
      </c>
    </row>
    <row r="6200">
      <c r="A6200" s="1">
        <v>5.0</v>
      </c>
      <c r="B6200" s="1" t="s">
        <v>6117</v>
      </c>
      <c r="C6200" t="str">
        <f>IFERROR(__xludf.DUMMYFUNCTION("GOOGLETRANSLATE(B6200, ""fr"", ""en"")"),"very nice I love this watch for the summer, you can change the bracelet very nice")</f>
        <v>very nice I love this watch for the summer, you can change the bracelet very nice</v>
      </c>
    </row>
    <row r="6201">
      <c r="A6201" s="1">
        <v>5.0</v>
      </c>
      <c r="B6201" s="1" t="s">
        <v>6118</v>
      </c>
      <c r="C6201" t="str">
        <f>IFERROR(__xludf.DUMMYFUNCTION("GOOGLETRANSLATE(B6201, ""fr"", ""en"")"),"RAS line with expectations")</f>
        <v>RAS line with expectations</v>
      </c>
    </row>
    <row r="6202">
      <c r="A6202" s="1">
        <v>5.0</v>
      </c>
      <c r="B6202" s="1" t="s">
        <v>6119</v>
      </c>
      <c r="C6202" t="str">
        <f>IFERROR(__xludf.DUMMYFUNCTION("GOOGLETRANSLATE(B6202, ""fr"", ""en"")"),"Super Very satisfied with my purchase! This is a nice pair of shoe according to what is expected. I recommend")</f>
        <v>Super Very satisfied with my purchase! This is a nice pair of shoe according to what is expected. I recommend</v>
      </c>
    </row>
    <row r="6203">
      <c r="A6203" s="1">
        <v>5.0</v>
      </c>
      <c r="B6203" s="1" t="s">
        <v>6120</v>
      </c>
      <c r="C6203" t="str">
        <f>IFERROR(__xludf.DUMMYFUNCTION("GOOGLETRANSLATE(B6203, ""fr"", ""en"")"),"Glad Very good pacifier. Bebe accepted without problem. It's like it was with my breast. He head eyes closed.")</f>
        <v>Glad Very good pacifier. Bebe accepted without problem. It's like it was with my breast. He head eyes closed.</v>
      </c>
    </row>
    <row r="6204">
      <c r="A6204" s="1">
        <v>5.0</v>
      </c>
      <c r="B6204" s="1" t="s">
        <v>6121</v>
      </c>
      <c r="C6204" t="str">
        <f>IFERROR(__xludf.DUMMYFUNCTION("GOOGLETRANSLATE(B6204, ""fr"", ""en"")"),"Without surprise . Very good product Product conforms to the description")</f>
        <v>Without surprise . Very good product Product conforms to the description</v>
      </c>
    </row>
    <row r="6205">
      <c r="A6205" s="1">
        <v>2.0</v>
      </c>
      <c r="B6205" s="1" t="s">
        <v>6122</v>
      </c>
      <c r="C6205" t="str">
        <f>IFERROR(__xludf.DUMMYFUNCTION("GOOGLETRANSLATE(B6205, ""fr"", ""en"")"),"avoid a bad packaging. my curls arrived twisted. they are pretty but that's all")</f>
        <v>avoid a bad packaging. my curls arrived twisted. they are pretty but that's all</v>
      </c>
    </row>
    <row r="6206">
      <c r="A6206" s="1">
        <v>1.0</v>
      </c>
      <c r="B6206" s="1" t="s">
        <v>6123</v>
      </c>
      <c r="C6206" t="str">
        <f>IFERROR(__xludf.DUMMYFUNCTION("GOOGLETRANSLATE(B6206, ""fr"", ""en"")"),"This chain chain was for me and after three days it became black and broken? Go your way and look elsewhere because I do not recommend")</f>
        <v>This chain chain was for me and after three days it became black and broken? Go your way and look elsewhere because I do not recommend</v>
      </c>
    </row>
    <row r="6207">
      <c r="A6207" s="1">
        <v>1.0</v>
      </c>
      <c r="B6207" s="1" t="s">
        <v>6124</v>
      </c>
      <c r="C6207" t="str">
        <f>IFERROR(__xludf.DUMMYFUNCTION("GOOGLETRANSLATE(B6207, ""fr"", ""en"")"),"More than disappointed I received a first pair having a defect more than disturbing. Indeed the left atrium does not stop making a noise like ""&amp; nbsp; &amp; nbsp snow,"" the old CRT TV. This hampers enormously during use. So I contact the Jabra support which"&amp;" is of poor quality and incredible response times. So I contacted Amazon who are kind enough to send me a second pair and rebelotte! The same problem is present! By searching the internet I see that this is a recurring problem on this model! A disgrace to"&amp;" the product price!")</f>
        <v>More than disappointed I received a first pair having a defect more than disturbing. Indeed the left atrium does not stop making a noise like "&amp; nbsp; &amp; nbsp snow," the old CRT TV. This hampers enormously during use. So I contact the Jabra support which is of poor quality and incredible response times. So I contacted Amazon who are kind enough to send me a second pair and rebelotte! The same problem is present! By searching the internet I see that this is a recurring problem on this model! A disgrace to the product price!</v>
      </c>
    </row>
    <row r="6208">
      <c r="A6208" s="1">
        <v>3.0</v>
      </c>
      <c r="B6208" s="1" t="s">
        <v>6125</v>
      </c>
      <c r="C6208" t="str">
        <f>IFERROR(__xludf.DUMMYFUNCTION("GOOGLETRANSLATE(B6208, ""fr"", ""en"")"),"size a bit small pretty, fine, but a bit small size")</f>
        <v>size a bit small pretty, fine, but a bit small size</v>
      </c>
    </row>
    <row r="6209">
      <c r="A6209" s="1">
        <v>4.0</v>
      </c>
      <c r="B6209" s="1" t="s">
        <v>1261</v>
      </c>
      <c r="C6209" t="str">
        <f>IFERROR(__xludf.DUMMYFUNCTION("GOOGLETRANSLATE(B6209, ""fr"", ""en"")"),"good good")</f>
        <v>good good</v>
      </c>
    </row>
    <row r="6210">
      <c r="A6210" s="1">
        <v>4.0</v>
      </c>
      <c r="B6210" s="1" t="s">
        <v>6126</v>
      </c>
      <c r="C6210" t="str">
        <f>IFERROR(__xludf.DUMMYFUNCTION("GOOGLETRANSLATE(B6210, ""fr"", ""en"")"),"Perfect Very beautiful colors are gorgeous jewelry")</f>
        <v>Perfect Very beautiful colors are gorgeous jewelry</v>
      </c>
    </row>
    <row r="6211">
      <c r="A6211" s="1">
        <v>4.0</v>
      </c>
      <c r="B6211" s="1" t="s">
        <v>6127</v>
      </c>
      <c r="C6211" t="str">
        <f>IFERROR(__xludf.DUMMYFUNCTION("GOOGLETRANSLATE(B6211, ""fr"", ""en"")"),"COOL ... 🙋 Hello. Your watch is very nice it keeps the second time around Beautiful design especially with a facade more red on the second image (sorry for the image quality) what do you think. 😉Niveau quality unbeatable price I thank you. Cordially . P"&amp;"aul.")</f>
        <v>COOL ... 🙋 Hello. Your watch is very nice it keeps the second time around Beautiful design especially with a facade more red on the second image (sorry for the image quality) what do you think. 😉Niveau quality unbeatable price I thank you. Cordially . Paul.</v>
      </c>
    </row>
    <row r="6212">
      <c r="A6212" s="1">
        <v>4.0</v>
      </c>
      <c r="B6212" s="1" t="s">
        <v>6128</v>
      </c>
      <c r="C6212" t="str">
        <f>IFERROR(__xludf.DUMMYFUNCTION("GOOGLETRANSLATE(B6212, ""fr"", ""en"")"),"crown crystal crown I have used this for a birthday and I did feel, when I was asked I bought I have not failed to say where I got it. It is a beautiful effect, I recommend the same for other use than a birthday.")</f>
        <v>crown crystal crown I have used this for a birthday and I did feel, when I was asked I bought I have not failed to say where I got it. It is a beautiful effect, I recommend the same for other use than a birthday.</v>
      </c>
    </row>
    <row r="6213">
      <c r="A6213" s="1">
        <v>4.0</v>
      </c>
      <c r="B6213" s="1" t="s">
        <v>6129</v>
      </c>
      <c r="C6213" t="str">
        <f>IFERROR(__xludf.DUMMYFUNCTION("GOOGLETRANSLATE(B6213, ""fr"", ""en"")"),"Good price / quality ratio Good brush. I love the tip sponge that allows to clean the bottom of the bottles. Moreover, with the mini brush nipples screwed into the sleeve, he stands alone. However, I do not use that mini brush: it has very short hair and "&amp;"very hard, I feel damage teats instead of washing. But I had another so it does not fail.")</f>
        <v>Good price / quality ratio Good brush. I love the tip sponge that allows to clean the bottom of the bottles. Moreover, with the mini brush nipples screwed into the sleeve, he stands alone. However, I do not use that mini brush: it has very short hair and very hard, I feel damage teats instead of washing. But I had another so it does not fail.</v>
      </c>
    </row>
    <row r="6214">
      <c r="A6214" s="1">
        <v>5.0</v>
      </c>
      <c r="B6214" s="1" t="s">
        <v>6130</v>
      </c>
      <c r="C6214" t="str">
        <f>IFERROR(__xludf.DUMMYFUNCTION("GOOGLETRANSLATE(B6214, ""fr"", ""en"")"),"Very well ! Very nice design diffuser and enjoyable. The colors are beautiful and they change. Easy to use, quiet. The spray rate is very correct. Very satisfied with my purchase !")</f>
        <v>Very well ! Very nice design diffuser and enjoyable. The colors are beautiful and they change. Easy to use, quiet. The spray rate is very correct. Very satisfied with my purchase !</v>
      </c>
    </row>
    <row r="6215">
      <c r="A6215" s="1">
        <v>5.0</v>
      </c>
      <c r="B6215" s="1" t="s">
        <v>6131</v>
      </c>
      <c r="C6215" t="str">
        <f>IFERROR(__xludf.DUMMYFUNCTION("GOOGLETRANSLATE(B6215, ""fr"", ""en"")"),"The base Awesome, works great, shame does not keep the cold more than 10 minutes, I recommend it feels really good in the eyes")</f>
        <v>The base Awesome, works great, shame does not keep the cold more than 10 minutes, I recommend it feels really good in the eyes</v>
      </c>
    </row>
    <row r="6216">
      <c r="A6216" s="1">
        <v>5.0</v>
      </c>
      <c r="B6216" s="1" t="s">
        <v>6132</v>
      </c>
      <c r="C6216" t="str">
        <f>IFERROR(__xludf.DUMMYFUNCTION("GOOGLETRANSLATE(B6216, ""fr"", ""en"")"),"pretty pretty")</f>
        <v>pretty pretty</v>
      </c>
    </row>
    <row r="6217">
      <c r="A6217" s="1">
        <v>5.0</v>
      </c>
      <c r="B6217" s="1" t="s">
        <v>6133</v>
      </c>
      <c r="C6217" t="str">
        <f>IFERROR(__xludf.DUMMYFUNCTION("GOOGLETRANSLATE(B6217, ""fr"", ""en"")"),"Not leaking Replacing sippy nipple present the bottle of our son, very practical, it drinks very well with, is not leaking.")</f>
        <v>Not leaking Replacing sippy nipple present the bottle of our son, very practical, it drinks very well with, is not leaking.</v>
      </c>
    </row>
    <row r="6218">
      <c r="A6218" s="1">
        <v>5.0</v>
      </c>
      <c r="B6218" s="1" t="s">
        <v>6134</v>
      </c>
      <c r="C6218" t="str">
        <f>IFERROR(__xludf.DUMMYFUNCTION("GOOGLETRANSLATE(B6218, ""fr"", ""en"")"),"Very nice pouch. Offered by my son his father for the pères.Elle celebration is very big but not too many compartment and full of fermeture.Le feels a little leather but it will fade with time.")</f>
        <v>Very nice pouch. Offered by my son his father for the pères.Elle celebration is very big but not too many compartment and full of fermeture.Le feels a little leather but it will fade with time.</v>
      </c>
    </row>
    <row r="6219">
      <c r="A6219" s="1">
        <v>5.0</v>
      </c>
      <c r="B6219" s="1" t="s">
        <v>6135</v>
      </c>
      <c r="C6219" t="str">
        <f>IFERROR(__xludf.DUMMYFUNCTION("GOOGLETRANSLATE(B6219, ""fr"", ""en"")"),"The sound quality headphones look great and are very comfortable to transporter.Le price is not cher.Les very lightweight headphones are very comfortable and will not hurt for long. I bought her headphones to have all the time at work. Unbeatable value fo"&amp;"r money in my opinion.")</f>
        <v>The sound quality headphones look great and are very comfortable to transporter.Le price is not cher.Les very lightweight headphones are very comfortable and will not hurt for long. I bought her headphones to have all the time at work. Unbeatable value for money in my opinion.</v>
      </c>
    </row>
    <row r="6220">
      <c r="A6220" s="1">
        <v>5.0</v>
      </c>
      <c r="B6220" s="1" t="s">
        <v>6136</v>
      </c>
      <c r="C6220" t="str">
        <f>IFERROR(__xludf.DUMMYFUNCTION("GOOGLETRANSLATE(B6220, ""fr"", ""en"")"),"Very convenient and a touch of green in the kitchen! I love this dish rack. It is nice to see. A little touch of green in the kitchen. It is very convenient. I completed with a flower and a tree. I can put three bottle of Mam brand by putting nipples and "&amp;"joints on the flower and tree.")</f>
        <v>Very convenient and a touch of green in the kitchen! I love this dish rack. It is nice to see. A little touch of green in the kitchen. It is very convenient. I completed with a flower and a tree. I can put three bottle of Mam brand by putting nipples and joints on the flower and tree.</v>
      </c>
    </row>
    <row r="6221">
      <c r="A6221" s="1">
        <v>5.0</v>
      </c>
      <c r="B6221" s="1" t="s">
        <v>6137</v>
      </c>
      <c r="C6221" t="str">
        <f>IFERROR(__xludf.DUMMYFUNCTION("GOOGLETRANSLATE(B6221, ""fr"", ""en"")"),"Buy very good calculator for my child who is in 3rd. Repurchase should I say this because it was stolen the previous college ... Order urgently to common math test the next day received the same evening, thank you Amazon, you make !! This is the make and "&amp;"model of calculator recommended by the math teacher early in the year! It is battery operated but also solar, very convenient! There are 3 lines calculation mode, ideal in order not to get confused in the numbers! Very good value for money ! I recommend t"&amp;"his calculator for kids to college / high school !!")</f>
        <v>Buy very good calculator for my child who is in 3rd. Repurchase should I say this because it was stolen the previous college ... Order urgently to common math test the next day received the same evening, thank you Amazon, you make !! This is the make and model of calculator recommended by the math teacher early in the year! It is battery operated but also solar, very convenient! There are 3 lines calculation mode, ideal in order not to get confused in the numbers! Very good value for money ! I recommend this calculator for kids to college / high school !!</v>
      </c>
    </row>
    <row r="6222">
      <c r="A6222" s="1">
        <v>5.0</v>
      </c>
      <c r="B6222" s="1" t="s">
        <v>6138</v>
      </c>
      <c r="C6222" t="str">
        <f>IFERROR(__xludf.DUMMYFUNCTION("GOOGLETRANSLATE(B6222, ""fr"", ""en"")"),"ideal nothing wrong")</f>
        <v>ideal nothing wrong</v>
      </c>
    </row>
    <row r="6223">
      <c r="A6223" s="1">
        <v>5.0</v>
      </c>
      <c r="B6223" s="1" t="s">
        <v>6139</v>
      </c>
      <c r="C6223" t="str">
        <f>IFERROR(__xludf.DUMMYFUNCTION("GOOGLETRANSLATE(B6223, ""fr"", ""en"")"),"Labels perfect !! Very very good product. We had tried other brands but this one is perfect. it fits perfectly. it is soft.")</f>
        <v>Labels perfect !! Very very good product. We had tried other brands but this one is perfect. it fits perfectly. it is soft.</v>
      </c>
    </row>
    <row r="6224">
      <c r="A6224" s="1">
        <v>5.0</v>
      </c>
      <c r="B6224" s="1" t="s">
        <v>6140</v>
      </c>
      <c r="C6224" t="str">
        <f>IFERROR(__xludf.DUMMYFUNCTION("GOOGLETRANSLATE(B6224, ""fr"", ""en"")"),"small heart small gift to buy for Madame she loves the small heart surrounded by it's wing with this little gem, she loves :) plus it is discreet enough and are in effect guaranteed small case :) I'd recommend she'll be delighted, or you'll be as happy :)")</f>
        <v>small heart small gift to buy for Madame she loves the small heart surrounded by it's wing with this little gem, she loves :) plus it is discreet enough and are in effect guaranteed small case :) I'd recommend she'll be delighted, or you'll be as happy :)</v>
      </c>
    </row>
    <row r="6225">
      <c r="A6225" s="1">
        <v>5.0</v>
      </c>
      <c r="B6225" s="1" t="s">
        <v>6141</v>
      </c>
      <c r="C6225" t="str">
        <f>IFERROR(__xludf.DUMMYFUNCTION("GOOGLETRANSLATE(B6225, ""fr"", ""en"")"),"OK fine")</f>
        <v>OK fine</v>
      </c>
    </row>
    <row r="6226">
      <c r="A6226" s="1">
        <v>5.0</v>
      </c>
      <c r="B6226" s="1" t="s">
        <v>6142</v>
      </c>
      <c r="C6226" t="str">
        <f>IFERROR(__xludf.DUMMYFUNCTION("GOOGLETRANSLATE(B6226, ""fr"", ""en"")"),"Recommended article Quick Article Submitting fully compliant Very good quality thank you a lot")</f>
        <v>Recommended article Quick Article Submitting fully compliant Very good quality thank you a lot</v>
      </c>
    </row>
    <row r="6227">
      <c r="A6227" s="1">
        <v>5.0</v>
      </c>
      <c r="B6227" s="1" t="s">
        <v>6143</v>
      </c>
      <c r="C6227" t="str">
        <f>IFERROR(__xludf.DUMMYFUNCTION("GOOGLETRANSLATE(B6227, ""fr"", ""en"")"),"Perfect for Guigoz formula thickened milk Lot includes two teats. Met my expectations, great for Guigoz thickened milk for my son")</f>
        <v>Perfect for Guigoz formula thickened milk Lot includes two teats. Met my expectations, great for Guigoz thickened milk for my son</v>
      </c>
    </row>
    <row r="6228">
      <c r="A6228" s="1">
        <v>5.0</v>
      </c>
      <c r="B6228" s="1" t="s">
        <v>6144</v>
      </c>
      <c r="C6228" t="str">
        <f>IFERROR(__xludf.DUMMYFUNCTION("GOOGLETRANSLATE(B6228, ""fr"", ""en"")"),"Great product I really enjoyed this PTH because it is very hygienic, for both children and adults. One feels immediately fresher and cleaner after using the toilet paper ""normal"" and it can be thrown directly into the toilet. For cons, I find the small "&amp;"but good paper, it does not prevent anything. Moreover, it is a little pricey for the amount found there !!!")</f>
        <v>Great product I really enjoyed this PTH because it is very hygienic, for both children and adults. One feels immediately fresher and cleaner after using the toilet paper "normal" and it can be thrown directly into the toilet. For cons, I find the small but good paper, it does not prevent anything. Moreover, it is a little pricey for the amount found there !!!</v>
      </c>
    </row>
    <row r="6229">
      <c r="A6229" s="1">
        <v>2.0</v>
      </c>
      <c r="B6229" s="1" t="s">
        <v>6145</v>
      </c>
      <c r="C6229" t="str">
        <f>IFERROR(__xludf.DUMMYFUNCTION("GOOGLETRANSLATE(B6229, ""fr"", ""en"")"),"heavy headphones that do not take very good sound quality. But heavy headphones, which do not take the ears when walking or exercising. They are also painful when worn long, because of their weight.")</f>
        <v>heavy headphones that do not take very good sound quality. But heavy headphones, which do not take the ears when walking or exercising. They are also painful when worn long, because of their weight.</v>
      </c>
    </row>
    <row r="6230">
      <c r="A6230" s="1">
        <v>1.0</v>
      </c>
      <c r="B6230" s="1" t="s">
        <v>6146</v>
      </c>
      <c r="C6230" t="str">
        <f>IFERROR(__xludf.DUMMYFUNCTION("GOOGLETRANSLATE(B6230, ""fr"", ""en"")"),"I hate the color received I know he was writing random color but hey there is not messing though I received a fluorescent pink and purple nice product when it is for a boy !!! it is not me resume random color = I would store the next time.")</f>
        <v>I hate the color received I know he was writing random color but hey there is not messing though I received a fluorescent pink and purple nice product when it is for a boy !!! it is not me resume random color = I would store the next time.</v>
      </c>
    </row>
    <row r="6231">
      <c r="A6231" s="1">
        <v>3.0</v>
      </c>
      <c r="B6231" s="1" t="s">
        <v>6147</v>
      </c>
      <c r="C6231" t="str">
        <f>IFERROR(__xludf.DUMMYFUNCTION("GOOGLETRANSLATE(B6231, ""fr"", ""en"")"),"For just one liter is too course, I taped the little that had a tendency to decrease the length a bit more.")</f>
        <v>For just one liter is too course, I taped the little that had a tendency to decrease the length a bit more.</v>
      </c>
    </row>
    <row r="6232">
      <c r="A6232" s="1">
        <v>3.0</v>
      </c>
      <c r="B6232" s="1" t="s">
        <v>6148</v>
      </c>
      <c r="C6232" t="str">
        <f>IFERROR(__xludf.DUMMYFUNCTION("GOOGLETRANSLATE(B6232, ""fr"", ""en"")"),"Bad runs small I feel discomfort Nothing to do with my previous asics")</f>
        <v>Bad runs small I feel discomfort Nothing to do with my previous asics</v>
      </c>
    </row>
    <row r="6233">
      <c r="A6233" s="1">
        <v>3.0</v>
      </c>
      <c r="B6233" s="1" t="s">
        <v>6149</v>
      </c>
      <c r="C6233" t="str">
        <f>IFERROR(__xludf.DUMMYFUNCTION("GOOGLETRANSLATE(B6233, ""fr"", ""en"")"),"Well Done arrived a little trouble at first but s'h Vite good product")</f>
        <v>Well Done arrived a little trouble at first but s'h Vite good product</v>
      </c>
    </row>
    <row r="6234">
      <c r="A6234" s="1">
        <v>4.0</v>
      </c>
      <c r="B6234" s="1" t="s">
        <v>6150</v>
      </c>
      <c r="C6234" t="str">
        <f>IFERROR(__xludf.DUMMYFUNCTION("GOOGLETRANSLATE(B6234, ""fr"", ""en"")"),"Bracelet Very good .... finally received must not be pressed")</f>
        <v>Bracelet Very good .... finally received must not be pressed</v>
      </c>
    </row>
    <row r="6235">
      <c r="A6235" s="1">
        <v>4.0</v>
      </c>
      <c r="B6235" s="1" t="s">
        <v>6151</v>
      </c>
      <c r="C6235" t="str">
        <f>IFERROR(__xludf.DUMMYFUNCTION("GOOGLETRANSLATE(B6235, ""fr"", ""en"")"),"Choose your size because it's really a bit small shoes Please 📦j'ai my package really liked 😊")</f>
        <v>Choose your size because it's really a bit small shoes Please 📦j'ai my package really liked 😊</v>
      </c>
    </row>
    <row r="6236">
      <c r="A6236" s="1">
        <v>4.0</v>
      </c>
      <c r="B6236" s="1" t="s">
        <v>6152</v>
      </c>
      <c r="C6236" t="str">
        <f>IFERROR(__xludf.DUMMYFUNCTION("GOOGLETRANSLATE(B6236, ""fr"", ""en"")"),"Very good buy shoes / Basketball good. Perfect for work, while keeping the comfort of a basketball town. I recommend")</f>
        <v>Very good buy shoes / Basketball good. Perfect for work, while keeping the comfort of a basketball town. I recommend</v>
      </c>
    </row>
    <row r="6237">
      <c r="A6237" s="1">
        <v>4.0</v>
      </c>
      <c r="B6237" s="1" t="s">
        <v>6153</v>
      </c>
      <c r="C6237" t="str">
        <f>IFERROR(__xludf.DUMMYFUNCTION("GOOGLETRANSLATE(B6237, ""fr"", ""en"")"),"Bluetooth Headset for Office, Airplane, and Transit My super good old wired headphones AKG beginning to give up the ghost after a few years of service. I was not really convinced to buy a Big helmet in BT, but turning a promo on Amazon I'm tempted. It was"&amp;" a good surprise :-) What I like in a helmet of this format is: - the presence of serious - it is comfortable with this, the two conditions are met. The build quality seems pretty good. The presence of a mini jack cord &amp; gt; minijack is appreciable in cas"&amp;"e of battery failure, or absence of BT. Autonomy Bluetooth is quite huge; I'm not overcame. 20 hours announced seem realistic. Concerning noise reduction: it works well, but a bit below that of at Bose. When enabled, the sound is slightly less dynamic. Th"&amp;"e only negative point, common to all headphones of this size, is the place occupied. Even folded in its case (included) in a travel bag occupies the space of a baseball cap. M.A.J. of 06.22.2019 - not easy to know if it is on or not - the audio quality is"&amp;" really good, if not very good")</f>
        <v>Bluetooth Headset for Office, Airplane, and Transit My super good old wired headphones AKG beginning to give up the ghost after a few years of service. I was not really convinced to buy a Big helmet in BT, but turning a promo on Amazon I'm tempted. It was a good surprise :-) What I like in a helmet of this format is: - the presence of serious - it is comfortable with this, the two conditions are met. The build quality seems pretty good. The presence of a mini jack cord &amp; gt; minijack is appreciable in case of battery failure, or absence of BT. Autonomy Bluetooth is quite huge; I'm not overcame. 20 hours announced seem realistic. Concerning noise reduction: it works well, but a bit below that of at Bose. When enabled, the sound is slightly less dynamic. The only negative point, common to all headphones of this size, is the place occupied. Even folded in its case (included) in a travel bag occupies the space of a baseball cap. M.A.J. of 06.22.2019 - not easy to know if it is on or not - the audio quality is really good, if not very good</v>
      </c>
    </row>
    <row r="6238">
      <c r="A6238" s="1">
        <v>5.0</v>
      </c>
      <c r="B6238" s="1" t="s">
        <v>6154</v>
      </c>
      <c r="C6238" t="str">
        <f>IFERROR(__xludf.DUMMYFUNCTION("GOOGLETRANSLATE(B6238, ""fr"", ""en"")"),"Super nothing to say great value too")</f>
        <v>Super nothing to say great value too</v>
      </c>
    </row>
    <row r="6239">
      <c r="A6239" s="1">
        <v>5.0</v>
      </c>
      <c r="B6239" s="1" t="s">
        <v>6155</v>
      </c>
      <c r="C6239" t="str">
        <f>IFERROR(__xludf.DUMMYFUNCTION("GOOGLETRANSLATE(B6239, ""fr"", ""en"")"),"Great product Complete product comes with 3 types of connection to television. The operation is instantaneous from the moment the transmitter is connected, and the paired headphones. The two people I've offered are delighted because they can finally watch"&amp;" TV without turning the volume too loud. I recommend this product.")</f>
        <v>Great product Complete product comes with 3 types of connection to television. The operation is instantaneous from the moment the transmitter is connected, and the paired headphones. The two people I've offered are delighted because they can finally watch TV without turning the volume too loud. I recommend this product.</v>
      </c>
    </row>
    <row r="6240">
      <c r="A6240" s="1">
        <v>5.0</v>
      </c>
      <c r="B6240" s="1" t="s">
        <v>6156</v>
      </c>
      <c r="C6240" t="str">
        <f>IFERROR(__xludf.DUMMYFUNCTION("GOOGLETRANSLATE(B6240, ""fr"", ""en"")"),"I recommend Delighted content, funny, fun, bought for my 8 year old son, he started IMMEDIATELY. Quick delivery.")</f>
        <v>I recommend Delighted content, funny, fun, bought for my 8 year old son, he started IMMEDIATELY. Quick delivery.</v>
      </c>
    </row>
    <row r="6241">
      <c r="A6241" s="1">
        <v>5.0</v>
      </c>
      <c r="B6241" s="1" t="s">
        <v>6157</v>
      </c>
      <c r="C6241" t="str">
        <f>IFERROR(__xludf.DUMMYFUNCTION("GOOGLETRANSLATE(B6241, ""fr"", ""en"")"),"Comfort feet Beautiful shoe, to see in the time for strength")</f>
        <v>Comfort feet Beautiful shoe, to see in the time for strength</v>
      </c>
    </row>
    <row r="6242">
      <c r="A6242" s="1">
        <v>5.0</v>
      </c>
      <c r="B6242" s="1" t="s">
        <v>6158</v>
      </c>
      <c r="C6242" t="str">
        <f>IFERROR(__xludf.DUMMYFUNCTION("GOOGLETRANSLATE(B6242, ""fr"", ""en"")"),"Shoe box without a hitch")</f>
        <v>Shoe box without a hitch</v>
      </c>
    </row>
    <row r="6243">
      <c r="A6243" s="1">
        <v>5.0</v>
      </c>
      <c r="B6243" s="1" t="s">
        <v>6159</v>
      </c>
      <c r="C6243" t="str">
        <f>IFERROR(__xludf.DUMMYFUNCTION("GOOGLETRANSLATE(B6243, ""fr"", ""en"")"),"Excellent Do not sock slides into the shoe, not shrunk fabric, good sock 👍")</f>
        <v>Excellent Do not sock slides into the shoe, not shrunk fabric, good sock 👍</v>
      </c>
    </row>
    <row r="6244">
      <c r="A6244" s="1">
        <v>5.0</v>
      </c>
      <c r="B6244" s="1" t="s">
        <v>6160</v>
      </c>
      <c r="C6244" t="str">
        <f>IFERROR(__xludf.DUMMYFUNCTION("GOOGLETRANSLATE(B6244, ""fr"", ""en"")"),"Top Ras. Good product")</f>
        <v>Top Ras. Good product</v>
      </c>
    </row>
    <row r="6245">
      <c r="A6245" s="1">
        <v>5.0</v>
      </c>
      <c r="B6245" s="1" t="s">
        <v>6161</v>
      </c>
      <c r="C6245" t="str">
        <f>IFERROR(__xludf.DUMMYFUNCTION("GOOGLETRANSLATE(B6245, ""fr"", ""en"")"),"Good Product That was exactly what I was looking for")</f>
        <v>Good Product That was exactly what I was looking for</v>
      </c>
    </row>
    <row r="6246">
      <c r="A6246" s="1">
        <v>5.0</v>
      </c>
      <c r="B6246" s="1" t="s">
        <v>6162</v>
      </c>
      <c r="C6246" t="str">
        <f>IFERROR(__xludf.DUMMYFUNCTION("GOOGLETRANSLATE(B6246, ""fr"", ""en"")"),"Top RAS, it is difficult to find a bottle of glass I large quantity that it perfectly fulfills its mission!")</f>
        <v>Top RAS, it is difficult to find a bottle of glass I large quantity that it perfectly fulfills its mission!</v>
      </c>
    </row>
    <row r="6247">
      <c r="A6247" s="1">
        <v>5.0</v>
      </c>
      <c r="B6247" s="1" t="s">
        <v>6163</v>
      </c>
      <c r="C6247" t="str">
        <f>IFERROR(__xludf.DUMMYFUNCTION("GOOGLETRANSLATE(B6247, ""fr"", ""en"")"),"Timeless Many functions in a discreet and easy to use watch The calculator is very useful as the phonebook Mr. Casio, refresh this montre.en making a little tight pity that this style of watch will do more")</f>
        <v>Timeless Many functions in a discreet and easy to use watch The calculator is very useful as the phonebook Mr. Casio, refresh this montre.en making a little tight pity that this style of watch will do more</v>
      </c>
    </row>
    <row r="6248">
      <c r="A6248" s="1">
        <v>5.0</v>
      </c>
      <c r="B6248" s="1" t="s">
        <v>6164</v>
      </c>
      <c r="C6248" t="str">
        <f>IFERROR(__xludf.DUMMYFUNCTION("GOOGLETRANSLATE(B6248, ""fr"", ""en"")"),"Sweet shirt Fruit of the loom rather Delivery rapide.Le product is of excellent quality. Size suitable. True sweet old comfortable and warm. Ideal for sports or stay home.")</f>
        <v>Sweet shirt Fruit of the loom rather Delivery rapide.Le product is of excellent quality. Size suitable. True sweet old comfortable and warm. Ideal for sports or stay home.</v>
      </c>
    </row>
    <row r="6249">
      <c r="A6249" s="1">
        <v>5.0</v>
      </c>
      <c r="B6249" s="1" t="s">
        <v>6165</v>
      </c>
      <c r="C6249" t="str">
        <f>IFERROR(__xludf.DUMMYFUNCTION("GOOGLETRANSLATE(B6249, ""fr"", ""en"")"),"Sublime The negative reviews are important for any product but must sometimes be abuse. I did not buy the bluetooth earphone Powerbeats 3 because of all the negative reviews on amazon and elsewhere. I wanted a product that I could also wear possibly to do"&amp;" some jogging .So I finally choose this sublime helmet Bosé soundlink 2 and I am very satisfied on all levels, it is a very beautiful success. received in advance. Pairing in 2 seconds with iPhone OS. Its the sublime quality without latency, tested with y"&amp;"outube videos. Nothing to say, product to buy eyes closed. Of course if you are more fortunate one will buy the range above. We can even move well, running and jumping (parachuting not obviously) the helmet fits very well on the ears, I tested. Of course "&amp;"apart from the length of the cable and USB charging, there is nothing wrong with this great product.")</f>
        <v>Sublime The negative reviews are important for any product but must sometimes be abuse. I did not buy the bluetooth earphone Powerbeats 3 because of all the negative reviews on amazon and elsewhere. I wanted a product that I could also wear possibly to do some jogging .So I finally choose this sublime helmet Bosé soundlink 2 and I am very satisfied on all levels, it is a very beautiful success. received in advance. Pairing in 2 seconds with iPhone OS. Its the sublime quality without latency, tested with youtube videos. Nothing to say, product to buy eyes closed. Of course if you are more fortunate one will buy the range above. We can even move well, running and jumping (parachuting not obviously) the helmet fits very well on the ears, I tested. Of course apart from the length of the cable and USB charging, there is nothing wrong with this great product.</v>
      </c>
    </row>
    <row r="6250">
      <c r="A6250" s="1">
        <v>5.0</v>
      </c>
      <c r="B6250" s="1" t="s">
        <v>6166</v>
      </c>
      <c r="C6250" t="str">
        <f>IFERROR(__xludf.DUMMYFUNCTION("GOOGLETRANSLATE(B6250, ""fr"", ""en"")"),"beautiful beautiful jacket jacket value great price! I took my daughter for 12 years is 1 m 55, and it is fine. quick delivery ! I recommend this article")</f>
        <v>beautiful beautiful jacket jacket value great price! I took my daughter for 12 years is 1 m 55, and it is fine. quick delivery ! I recommend this article</v>
      </c>
    </row>
    <row r="6251">
      <c r="A6251" s="1">
        <v>5.0</v>
      </c>
      <c r="B6251" s="1" t="s">
        <v>6167</v>
      </c>
      <c r="C6251" t="str">
        <f>IFERROR(__xludf.DUMMYFUNCTION("GOOGLETRANSLATE(B6251, ""fr"", ""en"")"),"product perfectly suited Easy to Use")</f>
        <v>product perfectly suited Easy to Use</v>
      </c>
    </row>
    <row r="6252">
      <c r="A6252" s="1">
        <v>5.0</v>
      </c>
      <c r="B6252" s="1" t="s">
        <v>6168</v>
      </c>
      <c r="C6252" t="str">
        <f>IFERROR(__xludf.DUMMYFUNCTION("GOOGLETRANSLATE(B6252, ""fr"", ""en"")"),"Very good bottle This is the 2nd time I bought it because tired of plastic baby bottles that evil and yellow wash. This one is very practical, easily washable, made in France. It has already fallen without knowing what would be a crack. I recommend and wo"&amp;"uld buy the earlier (my daughter 18 months). Too bad there are not smaller.")</f>
        <v>Very good bottle This is the 2nd time I bought it because tired of plastic baby bottles that evil and yellow wash. This one is very practical, easily washable, made in France. It has already fallen without knowing what would be a crack. I recommend and would buy the earlier (my daughter 18 months). Too bad there are not smaller.</v>
      </c>
    </row>
    <row r="6253">
      <c r="A6253" s="1">
        <v>2.0</v>
      </c>
      <c r="B6253" s="1" t="s">
        <v>6169</v>
      </c>
      <c r="C6253" t="str">
        <f>IFERROR(__xludf.DUMMYFUNCTION("GOOGLETRANSLATE(B6253, ""fr"", ""en"")"),"Micro disappointing - hard synchronization between the 2 headphones I bought this pair of headphones to test the concept, having used Bluetooths headphones connected by a thread before. It is basically disappointing for this model: - main point for me, pe"&amp;"ople can not hear me well when I speak - the synchronization between the two headphones does not work well. I often find myself with only one ear, and it then automatically switch between one and the other! To restore the situation bluetooth must be cut o"&amp;"n the phone and turn off / turn on the 2 headphones. Not practical ! - Finally, the headphones are rather big (but that's purely a matter of aesthetics Otherwise pure music listening, for example, the sound is ok.")</f>
        <v>Micro disappointing - hard synchronization between the 2 headphones I bought this pair of headphones to test the concept, having used Bluetooths headphones connected by a thread before. It is basically disappointing for this model: - main point for me, people can not hear me well when I speak - the synchronization between the two headphones does not work well. I often find myself with only one ear, and it then automatically switch between one and the other! To restore the situation bluetooth must be cut on the phone and turn off / turn on the 2 headphones. Not practical ! - Finally, the headphones are rather big (but that's purely a matter of aesthetics Otherwise pure music listening, for example, the sound is ok.</v>
      </c>
    </row>
    <row r="6254">
      <c r="A6254" s="1">
        <v>1.0</v>
      </c>
      <c r="B6254" s="1" t="s">
        <v>6170</v>
      </c>
      <c r="C6254" t="str">
        <f>IFERROR(__xludf.DUMMYFUNCTION("GOOGLETRANSLATE(B6254, ""fr"", ""en"")"),"Negative !! Zippo not work .. even after everything changed.")</f>
        <v>Negative !! Zippo not work .. even after everything changed.</v>
      </c>
    </row>
    <row r="6255">
      <c r="A6255" s="1">
        <v>1.0</v>
      </c>
      <c r="B6255" s="1" t="s">
        <v>6171</v>
      </c>
      <c r="C6255" t="str">
        <f>IFERROR(__xludf.DUMMYFUNCTION("GOOGLETRANSLATE(B6255, ""fr"", ""en"")"),"petticoat Reche: / I'm not satisfied with the product ... I also took in other colors, I should abstain! the material is rough, we feel that it is not the high quality level ... delay, fast enough")</f>
        <v>petticoat Reche: / I'm not satisfied with the product ... I also took in other colors, I should abstain! the material is rough, we feel that it is not the high quality level ... delay, fast enough</v>
      </c>
    </row>
    <row r="6256">
      <c r="A6256" s="1">
        <v>1.0</v>
      </c>
      <c r="B6256" s="1" t="s">
        <v>6172</v>
      </c>
      <c r="C6256" t="str">
        <f>IFERROR(__xludf.DUMMYFUNCTION("GOOGLETRANSLATE(B6256, ""fr"", ""en"")"),"very brittle after a day of use, by removing the most in the chain that hung broke, it's a nice chain but remains very fragile, return requested")</f>
        <v>very brittle after a day of use, by removing the most in the chain that hung broke, it's a nice chain but remains very fragile, return requested</v>
      </c>
    </row>
    <row r="6257">
      <c r="A6257" s="1">
        <v>3.0</v>
      </c>
      <c r="B6257" s="1" t="s">
        <v>6173</v>
      </c>
      <c r="C6257" t="str">
        <f>IFERROR(__xludf.DUMMYFUNCTION("GOOGLETRANSLATE(B6257, ""fr"", ""en"")"),"A fair bit level quality Pretty medallions necklaces but remains very low end. For the price I thought a little better my daughter was still delighted to share with his girlfriend.")</f>
        <v>A fair bit level quality Pretty medallions necklaces but remains very low end. For the price I thought a little better my daughter was still delighted to share with his girlfriend.</v>
      </c>
    </row>
    <row r="6258">
      <c r="A6258" s="1">
        <v>4.0</v>
      </c>
      <c r="B6258" s="1" t="s">
        <v>6174</v>
      </c>
      <c r="C6258" t="str">
        <f>IFERROR(__xludf.DUMMYFUNCTION("GOOGLETRANSLATE(B6258, ""fr"", ""en"")"),"fantastic comfort. The brand lives up to its reputation, perfect finish and quality materials. The big plus is in the comfort and dampens who are all successful points.")</f>
        <v>fantastic comfort. The brand lives up to its reputation, perfect finish and quality materials. The big plus is in the comfort and dampens who are all successful points.</v>
      </c>
    </row>
    <row r="6259">
      <c r="A6259" s="1">
        <v>4.0</v>
      </c>
      <c r="B6259" s="1" t="s">
        <v>6175</v>
      </c>
      <c r="C6259" t="str">
        <f>IFERROR(__xludf.DUMMYFUNCTION("GOOGLETRANSLATE(B6259, ""fr"", ""en"")"),"Quality Gift")</f>
        <v>Quality Gift</v>
      </c>
    </row>
    <row r="6260">
      <c r="A6260" s="1">
        <v>4.0</v>
      </c>
      <c r="B6260" s="1" t="s">
        <v>6176</v>
      </c>
      <c r="C6260" t="str">
        <f>IFERROR(__xludf.DUMMYFUNCTION("GOOGLETRANSLATE(B6260, ""fr"", ""en"")"),"although slight size and comfortable I used at Puma to take a 42.5, but 42.5 on it it are a little high, so I changed to a 42 and is impeccable, Otherwise this is a shoe rather ""clean"" to work I find light and comfortable just a little doubt on the ligh"&amp;"t beige color of the ""wave"" puma on that risk side may get dirty rather quickly (see Photo for the material). Otherwise it's a shoe that I recommend to see in time if it ages well :)")</f>
        <v>although slight size and comfortable I used at Puma to take a 42.5, but 42.5 on it it are a little high, so I changed to a 42 and is impeccable, Otherwise this is a shoe rather "clean" to work I find light and comfortable just a little doubt on the light beige color of the "wave" puma on that risk side may get dirty rather quickly (see Photo for the material). Otherwise it's a shoe that I recommend to see in time if it ages well :)</v>
      </c>
    </row>
    <row r="6261">
      <c r="A6261" s="1">
        <v>4.0</v>
      </c>
      <c r="B6261" s="1" t="s">
        <v>6177</v>
      </c>
      <c r="C6261" t="str">
        <f>IFERROR(__xludf.DUMMYFUNCTION("GOOGLETRANSLATE(B6261, ""fr"", ""en"")"),"A little good support just for a 110D but it passes. Maintaining good chest I recommend it for the sport your chest will not move.")</f>
        <v>A little good support just for a 110D but it passes. Maintaining good chest I recommend it for the sport your chest will not move.</v>
      </c>
    </row>
    <row r="6262">
      <c r="A6262" s="1">
        <v>5.0</v>
      </c>
      <c r="B6262" s="1" t="s">
        <v>6178</v>
      </c>
      <c r="C6262" t="str">
        <f>IFERROR(__xludf.DUMMYFUNCTION("GOOGLETRANSLATE(B6262, ""fr"", ""en"")"),"sneakers CONVERSE very beautiful my daughter was thrilled this beautiful pair of red Converse at a reasonable price very nice article!")</f>
        <v>sneakers CONVERSE very beautiful my daughter was thrilled this beautiful pair of red Converse at a reasonable price very nice article!</v>
      </c>
    </row>
    <row r="6263">
      <c r="A6263" s="1">
        <v>5.0</v>
      </c>
      <c r="B6263" s="1" t="s">
        <v>6179</v>
      </c>
      <c r="C6263" t="str">
        <f>IFERROR(__xludf.DUMMYFUNCTION("GOOGLETRANSLATE(B6263, ""fr"", ""en"")"),"Very comfortable well suited to foot is not slipping at all comfortable I used the wooden floors and stairs vitrified")</f>
        <v>Very comfortable well suited to foot is not slipping at all comfortable I used the wooden floors and stairs vitrified</v>
      </c>
    </row>
    <row r="6264">
      <c r="A6264" s="1">
        <v>5.0</v>
      </c>
      <c r="B6264" s="1" t="s">
        <v>6180</v>
      </c>
      <c r="C6264" t="str">
        <f>IFERROR(__xludf.DUMMYFUNCTION("GOOGLETRANSLATE(B6264, ""fr"", ""en"")"),"Very convenient Nickel computer support, keeps well the computer, allowing it to not over heated! Leger and handy it can be carry anywhere easily! And lets not have the head bent forward when one is on the computer")</f>
        <v>Very convenient Nickel computer support, keeps well the computer, allowing it to not over heated! Leger and handy it can be carry anywhere easily! And lets not have the head bent forward when one is on the computer</v>
      </c>
    </row>
    <row r="6265">
      <c r="A6265" s="1">
        <v>5.0</v>
      </c>
      <c r="B6265" s="1" t="s">
        <v>6181</v>
      </c>
      <c r="C6265" t="str">
        <f>IFERROR(__xludf.DUMMYFUNCTION("GOOGLETRANSLATE(B6265, ""fr"", ""en"")"),"Properly done attention to the size Perfect for use cotodienne")</f>
        <v>Properly done attention to the size Perfect for use cotodienne</v>
      </c>
    </row>
    <row r="6266">
      <c r="A6266" s="1">
        <v>5.0</v>
      </c>
      <c r="B6266" s="1" t="s">
        <v>6182</v>
      </c>
      <c r="C6266" t="str">
        <f>IFERROR(__xludf.DUMMYFUNCTION("GOOGLETRANSLATE(B6266, ""fr"", ""en"")"),"Good sound After several tests with foam earphones, I found the right size, It holds up well to the ear, even walking quickly. The sound is good, and I did not hurt the ears in long wearing")</f>
        <v>Good sound After several tests with foam earphones, I found the right size, It holds up well to the ear, even walking quickly. The sound is good, and I did not hurt the ears in long wearing</v>
      </c>
    </row>
    <row r="6267">
      <c r="A6267" s="1">
        <v>5.0</v>
      </c>
      <c r="B6267" s="1" t="s">
        <v>6183</v>
      </c>
      <c r="C6267" t="str">
        <f>IFERROR(__xludf.DUMMYFUNCTION("GOOGLETRANSLATE(B6267, ""fr"", ""en"")"),"Fast Fast Perfect")</f>
        <v>Fast Fast Perfect</v>
      </c>
    </row>
    <row r="6268">
      <c r="A6268" s="1">
        <v>5.0</v>
      </c>
      <c r="B6268" s="1" t="s">
        <v>6184</v>
      </c>
      <c r="C6268" t="str">
        <f>IFERROR(__xludf.DUMMYFUNCTION("GOOGLETRANSLATE(B6268, ""fr"", ""en"")"),"Super gorgeous shows !! I regret my purchase")</f>
        <v>Super gorgeous shows !! I regret my purchase</v>
      </c>
    </row>
    <row r="6269">
      <c r="A6269" s="1">
        <v>5.0</v>
      </c>
      <c r="B6269" s="1" t="s">
        <v>6185</v>
      </c>
      <c r="C6269" t="str">
        <f>IFERROR(__xludf.DUMMYFUNCTION("GOOGLETRANSLATE(B6269, ""fr"", ""en"")"),"I wanted a diffuser essential oil diffuser to avoid toxic spray that can be found in stores and I am satisfied technically and aesthetically. Several scenes are possible, the filling is simple. Very little noisy. I recommand it.")</f>
        <v>I wanted a diffuser essential oil diffuser to avoid toxic spray that can be found in stores and I am satisfied technically and aesthetically. Several scenes are possible, the filling is simple. Very little noisy. I recommand it.</v>
      </c>
    </row>
    <row r="6270">
      <c r="A6270" s="1">
        <v>5.0</v>
      </c>
      <c r="B6270" s="1" t="s">
        <v>6186</v>
      </c>
      <c r="C6270" t="str">
        <f>IFERROR(__xludf.DUMMYFUNCTION("GOOGLETRANSLATE(B6270, ""fr"", ""en"")"),"I used good quality of sprinklers like this before, but the bristles of the brush tend to leave quickly or become damaged. So I went on the full bottle brushes silicone, which in the end does not seem super wash. Suddenly, return to this type of brush and"&amp;" I'm really happy it is sturdy!")</f>
        <v>I used good quality of sprinklers like this before, but the bristles of the brush tend to leave quickly or become damaged. So I went on the full bottle brushes silicone, which in the end does not seem super wash. Suddenly, return to this type of brush and I'm really happy it is sturdy!</v>
      </c>
    </row>
    <row r="6271">
      <c r="A6271" s="1">
        <v>5.0</v>
      </c>
      <c r="B6271" s="1" t="s">
        <v>6187</v>
      </c>
      <c r="C6271" t="str">
        <f>IFERROR(__xludf.DUMMYFUNCTION("GOOGLETRANSLATE(B6271, ""fr"", ""en"")"),"Although Purchased promo, not expensive at all. Arriving consistent with the picture and description. Very convenient and efficient. Become too expensive, unfortunately. It's a very good product")</f>
        <v>Although Purchased promo, not expensive at all. Arriving consistent with the picture and description. Very convenient and efficient. Become too expensive, unfortunately. It's a very good product</v>
      </c>
    </row>
    <row r="6272">
      <c r="A6272" s="1">
        <v>5.0</v>
      </c>
      <c r="B6272" s="1" t="s">
        <v>6188</v>
      </c>
      <c r="C6272" t="str">
        <f>IFERROR(__xludf.DUMMYFUNCTION("GOOGLETRANSLATE(B6272, ""fr"", ""en"")"),"VERY GOOD ITEM Bought for my teenager. He is delighted. pleasant material. The colors are resistant to washing. We surely redeem with other motives.")</f>
        <v>VERY GOOD ITEM Bought for my teenager. He is delighted. pleasant material. The colors are resistant to washing. We surely redeem with other motives.</v>
      </c>
    </row>
    <row r="6273">
      <c r="A6273" s="1">
        <v>5.0</v>
      </c>
      <c r="B6273" s="1" t="s">
        <v>6189</v>
      </c>
      <c r="C6273" t="str">
        <f>IFERROR(__xludf.DUMMYFUNCTION("GOOGLETRANSLATE(B6273, ""fr"", ""en"")"),"Price / quality insane The arm is still functional after a few years, do not just shake all over. Very good buy if you plan to buy a real micro later. If the microphone is not really phew.")</f>
        <v>Price / quality insane The arm is still functional after a few years, do not just shake all over. Very good buy if you plan to buy a real micro later. If the microphone is not really phew.</v>
      </c>
    </row>
    <row r="6274">
      <c r="A6274" s="1">
        <v>5.0</v>
      </c>
      <c r="B6274" s="1" t="s">
        <v>6190</v>
      </c>
      <c r="C6274" t="str">
        <f>IFERROR(__xludf.DUMMYFUNCTION("GOOGLETRANSLATE(B6274, ""fr"", ""en"")"),"the quality is just ... WAW is exctement I wanted the sound is incredible means well every instrument especially the BASS its exchange everything is extra especially when you rule the sound of the phone on the parameters ROCK or GNI is just waaaw D4AILLEU"&amp;"R I THINK tO TAKE A second, frankly the price is worth the cost!")</f>
        <v>the quality is just ... WAW is exctement I wanted the sound is incredible means well every instrument especially the BASS its exchange everything is extra especially when you rule the sound of the phone on the parameters ROCK or GNI is just waaaw D4AILLEUR I THINK tO TAKE A second, frankly the price is worth the cost!</v>
      </c>
    </row>
    <row r="6275">
      <c r="A6275" s="1">
        <v>5.0</v>
      </c>
      <c r="B6275" s="1" t="s">
        <v>6191</v>
      </c>
      <c r="C6275" t="str">
        <f>IFERROR(__xludf.DUMMYFUNCTION("GOOGLETRANSLATE(B6275, ""fr"", ""en"")"),"agenda Agenda in line with my expectations and made description. This is the format that suits me. ultra fast delivery. I am satisfied with my purchase.")</f>
        <v>agenda Agenda in line with my expectations and made description. This is the format that suits me. ultra fast delivery. I am satisfied with my purchase.</v>
      </c>
    </row>
    <row r="6276">
      <c r="A6276" s="1">
        <v>5.0</v>
      </c>
      <c r="B6276" s="1" t="s">
        <v>6192</v>
      </c>
      <c r="C6276" t="str">
        <f>IFERROR(__xludf.DUMMYFUNCTION("GOOGLETRANSLATE(B6276, ""fr"", ""en"")"),"Super Micro Great gift for my daughter Easy to use and good quality sound In addition it is Bluetooth are supported with cable instead of battery")</f>
        <v>Super Micro Great gift for my daughter Easy to use and good quality sound In addition it is Bluetooth are supported with cable instead of battery</v>
      </c>
    </row>
    <row r="6277">
      <c r="A6277" s="1">
        <v>2.0</v>
      </c>
      <c r="B6277" s="1" t="s">
        <v>6193</v>
      </c>
      <c r="C6277" t="str">
        <f>IFERROR(__xludf.DUMMYFUNCTION("GOOGLETRANSLATE(B6277, ""fr"", ""en"")"),"Product understudied Closing the flap is held by two small magnets. These magnets are too weak and does not hold the satchel closed when worn by the handle. It would be more efficient to have a closure (apparent Lich) applied and closing with a buckle. Is"&amp;" it possible to make this change, in which case I will return the satchel? Thank you for your reply. Alain le Grelle")</f>
        <v>Product understudied Closing the flap is held by two small magnets. These magnets are too weak and does not hold the satchel closed when worn by the handle. It would be more efficient to have a closure (apparent Lich) applied and closing with a buckle. Is it possible to make this change, in which case I will return the satchel? Thank you for your reply. Alain le Grelle</v>
      </c>
    </row>
    <row r="6278">
      <c r="A6278" s="1">
        <v>1.0</v>
      </c>
      <c r="B6278" s="1" t="s">
        <v>6194</v>
      </c>
      <c r="C6278" t="str">
        <f>IFERROR(__xludf.DUMMYFUNCTION("GOOGLETRANSLATE(B6278, ""fr"", ""en"")"),"Do not buy the stiletto does not work at all. Return to sender immediately and refund received")</f>
        <v>Do not buy the stiletto does not work at all. Return to sender immediately and refund received</v>
      </c>
    </row>
    <row r="6279">
      <c r="A6279" s="1">
        <v>3.0</v>
      </c>
      <c r="B6279" s="1" t="s">
        <v>6195</v>
      </c>
      <c r="C6279" t="str">
        <f>IFERROR(__xludf.DUMMYFUNCTION("GOOGLETRANSLATE(B6279, ""fr"", ""en"")"),"XL black cartridge defective cartridge malgrés my multiple orders, I am very disappointed this time because the black xl s cartridge is emptied into the printer. Super clean and of course more ink then I did only an impression")</f>
        <v>XL black cartridge defective cartridge malgrés my multiple orders, I am very disappointed this time because the black xl s cartridge is emptied into the printer. Super clean and of course more ink then I did only an impression</v>
      </c>
    </row>
    <row r="6280">
      <c r="A6280" s="1">
        <v>3.0</v>
      </c>
      <c r="B6280" s="1" t="s">
        <v>6196</v>
      </c>
      <c r="C6280" t="str">
        <f>IFERROR(__xludf.DUMMYFUNCTION("GOOGLETRANSLATE(B6280, ""fr"", ""en"")"),"Sympa.mais not huge level size Nice but small enough I could see it larger. But it does its job malgres that. Fair price compared to prices in stores")</f>
        <v>Sympa.mais not huge level size Nice but small enough I could see it larger. But it does its job malgres that. Fair price compared to prices in stores</v>
      </c>
    </row>
    <row r="6281">
      <c r="A6281" s="1">
        <v>4.0</v>
      </c>
      <c r="B6281" s="1" t="s">
        <v>6197</v>
      </c>
      <c r="C6281" t="str">
        <f>IFERROR(__xludf.DUMMYFUNCTION("GOOGLETRANSLATE(B6281, ""fr"", ""en"")"),"wool lining but majority at what percentage? With this brand you can be sure of a traditional product quality. I remain faithful to this brand for a long time. 4 stars and not 5 (it's true, I quibble), the lining is certainly woolen But majority wool and "&amp;"not 100% wool. The manufacturer should state in clear the% and not discover one day minority wool.")</f>
        <v>wool lining but majority at what percentage? With this brand you can be sure of a traditional product quality. I remain faithful to this brand for a long time. 4 stars and not 5 (it's true, I quibble), the lining is certainly woolen But majority wool and not 100% wool. The manufacturer should state in clear the% and not discover one day minority wool.</v>
      </c>
    </row>
    <row r="6282">
      <c r="A6282" s="1">
        <v>4.0</v>
      </c>
      <c r="B6282" s="1" t="s">
        <v>6198</v>
      </c>
      <c r="C6282" t="str">
        <f>IFERROR(__xludf.DUMMYFUNCTION("GOOGLETRANSLATE(B6282, ""fr"", ""en"")"),"not bad for the price")</f>
        <v>not bad for the price</v>
      </c>
    </row>
    <row r="6283">
      <c r="A6283" s="1">
        <v>4.0</v>
      </c>
      <c r="B6283" s="1" t="s">
        <v>6199</v>
      </c>
      <c r="C6283" t="str">
        <f>IFERROR(__xludf.DUMMYFUNCTION("GOOGLETRANSLATE(B6283, ""fr"", ""en"")"),"quality product for the price. Value at the top, with the software Voice Meeter, it's perfect. I recommend for amateur videographers and small.")</f>
        <v>quality product for the price. Value at the top, with the software Voice Meeter, it's perfect. I recommend for amateur videographers and small.</v>
      </c>
    </row>
    <row r="6284">
      <c r="A6284" s="1">
        <v>4.0</v>
      </c>
      <c r="B6284" s="1" t="s">
        <v>6200</v>
      </c>
      <c r="C6284" t="str">
        <f>IFERROR(__xludf.DUMMYFUNCTION("GOOGLETRANSLATE(B6284, ""fr"", ""en"")"),"Good product Very good shoe")</f>
        <v>Good product Very good shoe</v>
      </c>
    </row>
    <row r="6285">
      <c r="A6285" s="1">
        <v>5.0</v>
      </c>
      <c r="B6285" s="1" t="s">
        <v>6201</v>
      </c>
      <c r="C6285" t="str">
        <f>IFERROR(__xludf.DUMMYFUNCTION("GOOGLETRANSLATE(B6285, ""fr"", ""en"")"),"very satisfied advice of my purchase")</f>
        <v>very satisfied advice of my purchase</v>
      </c>
    </row>
    <row r="6286">
      <c r="A6286" s="1">
        <v>5.0</v>
      </c>
      <c r="B6286" s="1" t="s">
        <v>6202</v>
      </c>
      <c r="C6286" t="str">
        <f>IFERROR(__xludf.DUMMYFUNCTION("GOOGLETRANSLATE(B6286, ""fr"", ""en"")"),"The article description I use the VGA cable duplicate with another cord that I had already to connect my two CPUs on one screen my (It goes without saying that I do not turn on the two CPUs together ... ;-). This cord is quite the deal for a small fee. It"&amp;" was delivered on the scheduled day, well protected by its packaging, no complaints.")</f>
        <v>The article description I use the VGA cable duplicate with another cord that I had already to connect my two CPUs on one screen my (It goes without saying that I do not turn on the two CPUs together ... ;-). This cord is quite the deal for a small fee. It was delivered on the scheduled day, well protected by its packaging, no complaints.</v>
      </c>
    </row>
    <row r="6287">
      <c r="A6287" s="1">
        <v>5.0</v>
      </c>
      <c r="B6287" s="1" t="s">
        <v>6203</v>
      </c>
      <c r="C6287" t="str">
        <f>IFERROR(__xludf.DUMMYFUNCTION("GOOGLETRANSLATE(B6287, ""fr"", ""en"")"),"perfect!! received as expected, good size 43 to 43 no complaints")</f>
        <v>perfect!! received as expected, good size 43 to 43 no complaints</v>
      </c>
    </row>
    <row r="6288">
      <c r="A6288" s="1">
        <v>5.0</v>
      </c>
      <c r="B6288" s="1" t="s">
        <v>6204</v>
      </c>
      <c r="C6288" t="str">
        <f>IFERROR(__xludf.DUMMYFUNCTION("GOOGLETRANSLATE(B6288, ""fr"", ""en"")"),"convenient Small handy bottle brush for teats")</f>
        <v>convenient Small handy bottle brush for teats</v>
      </c>
    </row>
    <row r="6289">
      <c r="A6289" s="1">
        <v>5.0</v>
      </c>
      <c r="B6289" s="1" t="s">
        <v>6205</v>
      </c>
      <c r="C6289" t="str">
        <f>IFERROR(__xludf.DUMMYFUNCTION("GOOGLETRANSLATE(B6289, ""fr"", ""en"")"),"super beautiful necklace very pretty, with small stones made in shades of blue and small zirconium. Very good value for money")</f>
        <v>super beautiful necklace very pretty, with small stones made in shades of blue and small zirconium. Very good value for money</v>
      </c>
    </row>
    <row r="6290">
      <c r="A6290" s="1">
        <v>5.0</v>
      </c>
      <c r="B6290" s="1" t="s">
        <v>6206</v>
      </c>
      <c r="C6290" t="str">
        <f>IFERROR(__xludf.DUMMYFUNCTION("GOOGLETRANSLATE(B6290, ""fr"", ""en"")"),"Good product I really like shea butter, it may seem hard but just heat it slightly between your fingers, I transferred into two glass jars it allows me to use it more easily because the plastic pot is not very convenient! Trusted seller, sends fast and ne"&amp;"at, I recommend!")</f>
        <v>Good product I really like shea butter, it may seem hard but just heat it slightly between your fingers, I transferred into two glass jars it allows me to use it more easily because the plastic pot is not very convenient! Trusted seller, sends fast and neat, I recommend!</v>
      </c>
    </row>
    <row r="6291">
      <c r="A6291" s="1">
        <v>5.0</v>
      </c>
      <c r="B6291" s="1" t="s">
        <v>6207</v>
      </c>
      <c r="C6291" t="str">
        <f>IFERROR(__xludf.DUMMYFUNCTION("GOOGLETRANSLATE(B6291, ""fr"", ""en"")"),"MAM always on top! I bought this bottle for six months of my daughter. I have always been faithful to the MAM brand since birth. It is very resistant, going very well in the dishwasher. I do not heat the milk so I do not know for the microwave. It is also"&amp;" easy to wash brush as everything is easily accessible. I am very satisfied.")</f>
        <v>MAM always on top! I bought this bottle for six months of my daughter. I have always been faithful to the MAM brand since birth. It is very resistant, going very well in the dishwasher. I do not heat the milk so I do not know for the microwave. It is also easy to wash brush as everything is easily accessible. I am very satisfied.</v>
      </c>
    </row>
    <row r="6292">
      <c r="A6292" s="1">
        <v>5.0</v>
      </c>
      <c r="B6292" s="1" t="s">
        <v>6208</v>
      </c>
      <c r="C6292" t="str">
        <f>IFERROR(__xludf.DUMMYFUNCTION("GOOGLETRANSLATE(B6292, ""fr"", ""en"")"),"Style! Very close, in line with my expectations.")</f>
        <v>Style! Very close, in line with my expectations.</v>
      </c>
    </row>
    <row r="6293">
      <c r="A6293" s="1">
        <v>5.0</v>
      </c>
      <c r="B6293" s="1" t="s">
        <v>6209</v>
      </c>
      <c r="C6293" t="str">
        <f>IFERROR(__xludf.DUMMYFUNCTION("GOOGLETRANSLATE(B6293, ""fr"", ""en"")"),"very nice product If you want to make you happy or to please, it's clear that you will not be disappointed. First impeccable conditioning with inside a beautiful farm that opens by sliding in which house the headphones that are each location to the right "&amp;"and left to recharge. A sound that pleases the ear and a design that is a pleasure to view.")</f>
        <v>very nice product If you want to make you happy or to please, it's clear that you will not be disappointed. First impeccable conditioning with inside a beautiful farm that opens by sliding in which house the headphones that are each location to the right and left to recharge. A sound that pleases the ear and a design that is a pleasure to view.</v>
      </c>
    </row>
    <row r="6294">
      <c r="A6294" s="1">
        <v>5.0</v>
      </c>
      <c r="B6294" s="1" t="s">
        <v>6210</v>
      </c>
      <c r="C6294" t="str">
        <f>IFERROR(__xludf.DUMMYFUNCTION("GOOGLETRANSLATE(B6294, ""fr"", ""en"")"),"Impeccable! I wanted a lot mam gray unfortunately without success. I ordered this lot green color as shown and received lai gray It was to provide the affected was more than happy")</f>
        <v>Impeccable! I wanted a lot mam gray unfortunately without success. I ordered this lot green color as shown and received lai gray It was to provide the affected was more than happy</v>
      </c>
    </row>
    <row r="6295">
      <c r="A6295" s="1">
        <v>5.0</v>
      </c>
      <c r="B6295" s="1" t="s">
        <v>6211</v>
      </c>
      <c r="C6295" t="str">
        <f>IFERROR(__xludf.DUMMYFUNCTION("GOOGLETRANSLATE(B6295, ""fr"", ""en"")"),"Basketball girly They are just beautiful")</f>
        <v>Basketball girly They are just beautiful</v>
      </c>
    </row>
    <row r="6296">
      <c r="A6296" s="1">
        <v>5.0</v>
      </c>
      <c r="B6296" s="1" t="s">
        <v>6212</v>
      </c>
      <c r="C6296" t="str">
        <f>IFERROR(__xludf.DUMMYFUNCTION("GOOGLETRANSLATE(B6296, ""fr"", ""en"")"),"Nikelle Very good sock")</f>
        <v>Nikelle Very good sock</v>
      </c>
    </row>
    <row r="6297">
      <c r="A6297" s="1">
        <v>5.0</v>
      </c>
      <c r="B6297" s="1" t="s">
        <v>6213</v>
      </c>
      <c r="C6297" t="str">
        <f>IFERROR(__xludf.DUMMYFUNCTION("GOOGLETRANSLATE(B6297, ""fr"", ""en"")"),"Just perfect for use Bought Me, I just beautiful and cheap. I can only advise the seller warmly and especially trustworthy.")</f>
        <v>Just perfect for use Bought Me, I just beautiful and cheap. I can only advise the seller warmly and especially trustworthy.</v>
      </c>
    </row>
    <row r="6298">
      <c r="A6298" s="1">
        <v>5.0</v>
      </c>
      <c r="B6298" s="1" t="s">
        <v>6214</v>
      </c>
      <c r="C6298" t="str">
        <f>IFERROR(__xludf.DUMMYFUNCTION("GOOGLETRANSLATE(B6298, ""fr"", ""en"")"),"Very nice Very nice watch, beautiful design with beautiful finishes. Shows also the date. Sold with the tool required to change its battery is even 👍 His bracelet small mesh makes it very comfortable to wear. Very good value for money. Not disappointed w"&amp;"ith my purchases")</f>
        <v>Very nice Very nice watch, beautiful design with beautiful finishes. Shows also the date. Sold with the tool required to change its battery is even 👍 His bracelet small mesh makes it very comfortable to wear. Very good value for money. Not disappointed with my purchases</v>
      </c>
    </row>
    <row r="6299">
      <c r="A6299" s="1">
        <v>5.0</v>
      </c>
      <c r="B6299" s="1" t="s">
        <v>6215</v>
      </c>
      <c r="C6299" t="str">
        <f>IFERROR(__xludf.DUMMYFUNCTION("GOOGLETRANSLATE(B6299, ""fr"", ""en"")"),"Comfortable headset bought for use primarily indoors. Very comfortable cushions, the sound is good asssez! The battery life is decent and the noise reduction is quite effective.")</f>
        <v>Comfortable headset bought for use primarily indoors. Very comfortable cushions, the sound is good asssez! The battery life is decent and the noise reduction is quite effective.</v>
      </c>
    </row>
    <row r="6300">
      <c r="A6300" s="1">
        <v>2.0</v>
      </c>
      <c r="B6300" s="1" t="s">
        <v>6216</v>
      </c>
      <c r="C6300" t="str">
        <f>IFERROR(__xludf.DUMMYFUNCTION("GOOGLETRANSLATE(B6300, ""fr"", ""en"")"),"Satisfied No need heated plus.manque a scheduled stop, but if price is not complaining pas.bonne qualité.hier I forget to turn it off, today it no longer works I remove 2 stars")</f>
        <v>Satisfied No need heated plus.manque a scheduled stop, but if price is not complaining pas.bonne qualité.hier I forget to turn it off, today it no longer works I remove 2 stars</v>
      </c>
    </row>
    <row r="6301">
      <c r="A6301" s="1">
        <v>1.0</v>
      </c>
      <c r="B6301" s="1" t="s">
        <v>6217</v>
      </c>
      <c r="C6301" t="str">
        <f>IFERROR(__xludf.DUMMYFUNCTION("GOOGLETRANSLATE(B6301, ""fr"", ""en"")"),"The paper is not cut to the right size I advise, we must cut the paper to get it into the printer case I got tired, I bought other sheets")</f>
        <v>The paper is not cut to the right size I advise, we must cut the paper to get it into the printer case I got tired, I bought other sheets</v>
      </c>
    </row>
    <row r="6302">
      <c r="A6302" s="1">
        <v>1.0</v>
      </c>
      <c r="B6302" s="1" t="s">
        <v>6218</v>
      </c>
      <c r="C6302" t="str">
        <f>IFERROR(__xludf.DUMMYFUNCTION("GOOGLETRANSLATE(B6302, ""fr"", ""en"")"),"The poor quality glossy and metallic side does not take much, too bad after a few uses felts are nothing more than little colored lines far from what is promised. Very disappointed.")</f>
        <v>The poor quality glossy and metallic side does not take much, too bad after a few uses felts are nothing more than little colored lines far from what is promised. Very disappointed.</v>
      </c>
    </row>
    <row r="6303">
      <c r="A6303" s="1">
        <v>3.0</v>
      </c>
      <c r="B6303" s="1" t="s">
        <v>6219</v>
      </c>
      <c r="C6303" t="str">
        <f>IFERROR(__xludf.DUMMYFUNCTION("GOOGLETRANSLATE(B6303, ""fr"", ""en"")"),"Casio Very nice show my the least I can do is not seen instruction in French and watch setting is not great either")</f>
        <v>Casio Very nice show my the least I can do is not seen instruction in French and watch setting is not great either</v>
      </c>
    </row>
    <row r="6304">
      <c r="A6304" s="1">
        <v>4.0</v>
      </c>
      <c r="B6304" s="1" t="s">
        <v>6220</v>
      </c>
      <c r="C6304" t="str">
        <f>IFERROR(__xludf.DUMMYFUNCTION("GOOGLETRANSLATE(B6304, ""fr"", ""en"")"),"Satisfied The product conforms to the picture only small problem I joined the other buyers, there should be better packaged for delivery. No carton around, and can be improved, binding son may be a bit short. If not for a birthday present that the reactio"&amp;"n was expected. I recommend this product for a very reasonable price is good and quite sufficient for a beginner.")</f>
        <v>Satisfied The product conforms to the picture only small problem I joined the other buyers, there should be better packaged for delivery. No carton around, and can be improved, binding son may be a bit short. If not for a birthday present that the reaction was expected. I recommend this product for a very reasonable price is good and quite sufficient for a beginner.</v>
      </c>
    </row>
    <row r="6305">
      <c r="A6305" s="1">
        <v>4.0</v>
      </c>
      <c r="B6305" s="1" t="s">
        <v>6221</v>
      </c>
      <c r="C6305" t="str">
        <f>IFERROR(__xludf.DUMMYFUNCTION("GOOGLETRANSLATE(B6305, ""fr"", ""en"")"),"Size Size impeccable Impeccable, beautiful shoe, properly delivered, well packed. Lightweight small spot on top, can be small manufacturing defect.")</f>
        <v>Size Size impeccable Impeccable, beautiful shoe, properly delivered, well packed. Lightweight small spot on top, can be small manufacturing defect.</v>
      </c>
    </row>
    <row r="6306">
      <c r="A6306" s="1">
        <v>4.0</v>
      </c>
      <c r="B6306" s="1" t="s">
        <v>6222</v>
      </c>
      <c r="C6306" t="str">
        <f>IFERROR(__xludf.DUMMYFUNCTION("GOOGLETRANSLATE(B6306, ""fr"", ""en"")"),"impec cnformes to the description on Amazon.")</f>
        <v>impec cnformes to the description on Amazon.</v>
      </c>
    </row>
    <row r="6307">
      <c r="A6307" s="1">
        <v>4.0</v>
      </c>
      <c r="B6307" s="1" t="s">
        <v>6223</v>
      </c>
      <c r="C6307" t="str">
        <f>IFERROR(__xludf.DUMMYFUNCTION("GOOGLETRANSLATE(B6307, ""fr"", ""en"")"),"Good value for money, for several weeks that I wear and it remains")</f>
        <v>Good value for money, for several weeks that I wear and it remains</v>
      </c>
    </row>
    <row r="6308">
      <c r="A6308" s="1">
        <v>5.0</v>
      </c>
      <c r="B6308" s="1" t="s">
        <v>6224</v>
      </c>
      <c r="C6308" t="str">
        <f>IFERROR(__xludf.DUMMYFUNCTION("GOOGLETRANSLATE(B6308, ""fr"", ""en"")"),"Shoes Safety Shoe bought for my daughter study garden. They go like a glove; Lightweight, solid. We took the size (of 40) and they are fine him. Entirèrement satisfied.")</f>
        <v>Shoes Safety Shoe bought for my daughter study garden. They go like a glove; Lightweight, solid. We took the size (of 40) and they are fine him. Entirèrement satisfied.</v>
      </c>
    </row>
    <row r="6309">
      <c r="A6309" s="1">
        <v>5.0</v>
      </c>
      <c r="B6309" s="1" t="s">
        <v>6225</v>
      </c>
      <c r="C6309" t="str">
        <f>IFERROR(__xludf.DUMMYFUNCTION("GOOGLETRANSLATE(B6309, ""fr"", ""en"")"),"HP 950XL / 951XL 4 Pack Ink ... HP cartridge lot is satisfactory; I expected to see its use and have an objective view on its use to give notice to the fair.")</f>
        <v>HP 950XL / 951XL 4 Pack Ink ... HP cartridge lot is satisfactory; I expected to see its use and have an objective view on its use to give notice to the fair.</v>
      </c>
    </row>
    <row r="6310">
      <c r="A6310" s="1">
        <v>5.0</v>
      </c>
      <c r="B6310" s="1" t="s">
        <v>6226</v>
      </c>
      <c r="C6310" t="str">
        <f>IFERROR(__xludf.DUMMYFUNCTION("GOOGLETRANSLATE(B6310, ""fr"", ""en"")"),"beautiful Very beautiful watch. My friend loves.")</f>
        <v>beautiful Very beautiful watch. My friend loves.</v>
      </c>
    </row>
    <row r="6311">
      <c r="A6311" s="1">
        <v>5.0</v>
      </c>
      <c r="B6311" s="1" t="s">
        <v>6227</v>
      </c>
      <c r="C6311" t="str">
        <f>IFERROR(__xludf.DUMMYFUNCTION("GOOGLETRANSLATE(B6311, ""fr"", ""en"")"),"Product advised I advise this case. There are enough pockets. It is solid. The zippers are strong. It is worn over the shoulder.")</f>
        <v>Product advised I advise this case. There are enough pockets. It is solid. The zippers are strong. It is worn over the shoulder.</v>
      </c>
    </row>
    <row r="6312">
      <c r="A6312" s="1">
        <v>5.0</v>
      </c>
      <c r="B6312" s="1" t="s">
        <v>6228</v>
      </c>
      <c r="C6312" t="str">
        <f>IFERROR(__xludf.DUMMYFUNCTION("GOOGLETRANSLATE(B6312, ""fr"", ""en"")"),"Easy to put feet to the width, height, not very shock, but comfortable quality ok")</f>
        <v>Easy to put feet to the width, height, not very shock, but comfortable quality ok</v>
      </c>
    </row>
    <row r="6313">
      <c r="A6313" s="1">
        <v>5.0</v>
      </c>
      <c r="B6313" s="1" t="s">
        <v>6229</v>
      </c>
      <c r="C6313" t="str">
        <f>IFERROR(__xludf.DUMMYFUNCTION("GOOGLETRANSLATE(B6313, ""fr"", ""en"")"),"A truly excellent and comfortable headset Having many helmets the first thing I privilege is sound and comfort. already we have a really stylish helmet with a leather-like surface on the arch notched which is adjustable in height, it inspires confidence w"&amp;"ith its flexible aluminum frame. light weight is 337 grams with its microphone, and there I can tell you that even after hours sessions no pain or discomfort is felt, it is mighty in comfort on the head a super good point for me, ditto for padded ear cush"&amp;"ions of a shape memory foam that covers the ears is a great comfort, so really satisfied on one of my priorities ""comfort"" for her now, I'm pretty picky because even if I will use the helmet on my PS4 console, I am also a musician on synthesizers and th"&amp;"us having also tested on my various synths and my verdict, the bass is present but not omnipresent no saturation on acute, it can also be used for music and others, it can be plugged into a tablet, smartphone etc .... thanks to its 3.5mm jack which gives "&amp;"it a huge accounting on other devices. on my PS4 is a real treat with a detachable microphone to reduce noise super-efficient with an adjustable volume dial + cut the microphone directly on a braided cable quality and good length 1.3m voice is clear and s"&amp;"ounds in games are really the best of the best. if you are looking for a very good headset, high quality without spending an excessive amount is the helmet that he must choose an exceptional value.")</f>
        <v>A truly excellent and comfortable headset Having many helmets the first thing I privilege is sound and comfort. already we have a really stylish helmet with a leather-like surface on the arch notched which is adjustable in height, it inspires confidence with its flexible aluminum frame. light weight is 337 grams with its microphone, and there I can tell you that even after hours sessions no pain or discomfort is felt, it is mighty in comfort on the head a super good point for me, ditto for padded ear cushions of a shape memory foam that covers the ears is a great comfort, so really satisfied on one of my priorities "comfort" for her now, I'm pretty picky because even if I will use the helmet on my PS4 console, I am also a musician on synthesizers and thus having also tested on my various synths and my verdict, the bass is present but not omnipresent no saturation on acute, it can also be used for music and others, it can be plugged into a tablet, smartphone etc .... thanks to its 3.5mm jack which gives it a huge accounting on other devices. on my PS4 is a real treat with a detachable microphone to reduce noise super-efficient with an adjustable volume dial + cut the microphone directly on a braided cable quality and good length 1.3m voice is clear and sounds in games are really the best of the best. if you are looking for a very good headset, high quality without spending an excessive amount is the helmet that he must choose an exceptional value.</v>
      </c>
    </row>
    <row r="6314">
      <c r="A6314" s="1">
        <v>5.0</v>
      </c>
      <c r="B6314" s="1" t="s">
        <v>6230</v>
      </c>
      <c r="C6314" t="str">
        <f>IFERROR(__xludf.DUMMYFUNCTION("GOOGLETRANSLATE(B6314, ""fr"", ""en"")"),"Adapt very well in his sneakers")</f>
        <v>Adapt very well in his sneakers</v>
      </c>
    </row>
    <row r="6315">
      <c r="A6315" s="1">
        <v>5.0</v>
      </c>
      <c r="B6315" s="1" t="s">
        <v>6231</v>
      </c>
      <c r="C6315" t="str">
        <f>IFERROR(__xludf.DUMMYFUNCTION("GOOGLETRANSLATE(B6315, ""fr"", ""en"")"),"Cover notebook sleeve beautiful specific quality Mobile only")</f>
        <v>Cover notebook sleeve beautiful specific quality Mobile only</v>
      </c>
    </row>
    <row r="6316">
      <c r="A6316" s="1">
        <v>5.0</v>
      </c>
      <c r="B6316" s="1" t="s">
        <v>6232</v>
      </c>
      <c r="C6316" t="str">
        <f>IFERROR(__xludf.DUMMYFUNCTION("GOOGLETRANSLATE(B6316, ""fr"", ""en"")"),"A very good mic for voice dictation I mainly use the microphone with Dragon NaturallySpeaking. Previously I was using a dedicated headset from Plantronics brand, but I wanted a microphone off, so it can be put on the desktop. At 30 or 40 cm of it, the rec"&amp;"ognition rate is excellent. For cons, I do not know why, on the microphone I got no registration THX on the front, is this normal ???? weird")</f>
        <v>A very good mic for voice dictation I mainly use the microphone with Dragon NaturallySpeaking. Previously I was using a dedicated headset from Plantronics brand, but I wanted a microphone off, so it can be put on the desktop. At 30 or 40 cm of it, the recognition rate is excellent. For cons, I do not know why, on the microphone I got no registration THX on the front, is this normal ???? weird</v>
      </c>
    </row>
    <row r="6317">
      <c r="A6317" s="1">
        <v>5.0</v>
      </c>
      <c r="B6317" s="1" t="s">
        <v>6233</v>
      </c>
      <c r="C6317" t="str">
        <f>IFERROR(__xludf.DUMMYFUNCTION("GOOGLETRANSLATE(B6317, ""fr"", ""en"")"),"Oil Good explanation on the inside of the package pretty box thank you")</f>
        <v>Oil Good explanation on the inside of the package pretty box thank you</v>
      </c>
    </row>
    <row r="6318">
      <c r="A6318" s="1">
        <v>5.0</v>
      </c>
      <c r="B6318" s="1" t="s">
        <v>6234</v>
      </c>
      <c r="C6318" t="str">
        <f>IFERROR(__xludf.DUMMYFUNCTION("GOOGLETRANSLATE(B6318, ""fr"", ""en"")"),"Back to the Future Watch very nice consistent with my childhood memories when I wanted one. Transportation, well packaged and in its original box Casio. The document is not in French, but honestly it is easy to adjust and use.")</f>
        <v>Back to the Future Watch very nice consistent with my childhood memories when I wanted one. Transportation, well packaged and in its original box Casio. The document is not in French, but honestly it is easy to adjust and use.</v>
      </c>
    </row>
    <row r="6319">
      <c r="A6319" s="1">
        <v>5.0</v>
      </c>
      <c r="B6319" s="1" t="s">
        <v>6235</v>
      </c>
      <c r="C6319" t="str">
        <f>IFERROR(__xludf.DUMMYFUNCTION("GOOGLETRANSLATE(B6319, ""fr"", ""en"")"),"Super This is my 3rd pair of converse and am fully satisfied! the size is and the product is easily washable")</f>
        <v>Super This is my 3rd pair of converse and am fully satisfied! the size is and the product is easily washable</v>
      </c>
    </row>
    <row r="6320">
      <c r="A6320" s="1">
        <v>5.0</v>
      </c>
      <c r="B6320" s="1" t="s">
        <v>6236</v>
      </c>
      <c r="C6320" t="str">
        <f>IFERROR(__xludf.DUMMYFUNCTION("GOOGLETRANSLATE(B6320, ""fr"", ""en"")"),"Very good awakening I received this awakening fairly quickly. Featuring a beautiful design it proves to be extremely useful and functional. Sound and light are nice I recommend!")</f>
        <v>Very good awakening I received this awakening fairly quickly. Featuring a beautiful design it proves to be extremely useful and functional. Sound and light are nice I recommend!</v>
      </c>
    </row>
    <row r="6321">
      <c r="A6321" s="1">
        <v>5.0</v>
      </c>
      <c r="B6321" s="1" t="s">
        <v>6237</v>
      </c>
      <c r="C6321" t="str">
        <f>IFERROR(__xludf.DUMMYFUNCTION("GOOGLETRANSLATE(B6321, ""fr"", ""en"")"),"Very nice quality nice bracelet good quality, well presented in a beautiful navy blue jacket. Fits with any type of outfit. Nice for a man or woman gift. Received very quickly.")</f>
        <v>Very nice quality nice bracelet good quality, well presented in a beautiful navy blue jacket. Fits with any type of outfit. Nice for a man or woman gift. Received very quickly.</v>
      </c>
    </row>
    <row r="6322">
      <c r="A6322" s="1">
        <v>5.0</v>
      </c>
      <c r="B6322" s="1" t="s">
        <v>6238</v>
      </c>
      <c r="C6322" t="str">
        <f>IFERROR(__xludf.DUMMYFUNCTION("GOOGLETRANSLATE(B6322, ""fr"", ""en"")"),"Size small Please take size up size small if good quality beautiful colors")</f>
        <v>Size small Please take size up size small if good quality beautiful colors</v>
      </c>
    </row>
    <row r="6323">
      <c r="A6323" s="1">
        <v>2.0</v>
      </c>
      <c r="B6323" s="1" t="s">
        <v>6239</v>
      </c>
      <c r="C6323" t="str">
        <f>IFERROR(__xludf.DUMMYFUNCTION("GOOGLETRANSLATE(B6323, ""fr"", ""en"")"),"Disappointed! Not the easiest to use: my man can not be used while he prefers to use the old microwave ... the system to fill the bottle water heater sucks! I put the note 2 stars because you can plug in car but do not recommend it!")</f>
        <v>Disappointed! Not the easiest to use: my man can not be used while he prefers to use the old microwave ... the system to fill the bottle water heater sucks! I put the note 2 stars because you can plug in car but do not recommend it!</v>
      </c>
    </row>
    <row r="6324">
      <c r="A6324" s="1">
        <v>1.0</v>
      </c>
      <c r="B6324" s="1" t="s">
        <v>6240</v>
      </c>
      <c r="C6324" t="str">
        <f>IFERROR(__xludf.DUMMYFUNCTION("GOOGLETRANSLATE(B6324, ""fr"", ""en"")"),"Too honest to new balance I always take the same size in new balance 41.5 And surprise my usual size and too big at least 2 sizes So take under your shoe size")</f>
        <v>Too honest to new balance I always take the same size in new balance 41.5 And surprise my usual size and too big at least 2 sizes So take under your shoe size</v>
      </c>
    </row>
    <row r="6325">
      <c r="A6325" s="1">
        <v>3.0</v>
      </c>
      <c r="B6325" s="1" t="s">
        <v>6241</v>
      </c>
      <c r="C6325" t="str">
        <f>IFERROR(__xludf.DUMMYFUNCTION("GOOGLETRANSLATE(B6325, ""fr"", ""en"")"),"Puma A little too small but good color and against a delivery problem if its going to take to Ps moin one size bigger")</f>
        <v>Puma A little too small but good color and against a delivery problem if its going to take to Ps moin one size bigger</v>
      </c>
    </row>
    <row r="6326">
      <c r="A6326" s="1">
        <v>3.0</v>
      </c>
      <c r="B6326" s="1" t="s">
        <v>6242</v>
      </c>
      <c r="C6326" t="str">
        <f>IFERROR(__xludf.DUMMYFUNCTION("GOOGLETRANSLATE(B6326, ""fr"", ""en"")"),"Super Heater really quickly, very convenient! Aesthetic. Just tried for baby bottles for now but do not worry !! Recommend this bottle warmer even though there are no plug for car!")</f>
        <v>Super Heater really quickly, very convenient! Aesthetic. Just tried for baby bottles for now but do not worry !! Recommend this bottle warmer even though there are no plug for car!</v>
      </c>
    </row>
    <row r="6327">
      <c r="A6327" s="1">
        <v>4.0</v>
      </c>
      <c r="B6327" s="1" t="s">
        <v>6243</v>
      </c>
      <c r="C6327" t="str">
        <f>IFERROR(__xludf.DUMMYFUNCTION("GOOGLETRANSLATE(B6327, ""fr"", ""en"")"),"Although polar size M cut but warm enough for winter")</f>
        <v>Although polar size M cut but warm enough for winter</v>
      </c>
    </row>
    <row r="6328">
      <c r="A6328" s="1">
        <v>4.0</v>
      </c>
      <c r="B6328" s="1" t="s">
        <v>6244</v>
      </c>
      <c r="C6328" t="str">
        <f>IFERROR(__xludf.DUMMYFUNCTION("GOOGLETRANSLATE(B6328, ""fr"", ""en"")"),"Good quality / price Compact, sturdy, nice color, comfortable to wear, easy to carry, makes good job for headphones at this price I was pleasantly surprised, for an extra helmet people will say it is a good deal, of course for music lovers who are really "&amp;"looking for high performance treble level / bass / midrange is going to lie you need to add a 0 to the price and this one is well keeps warm at home but for a helmet to lug around without taking the head to be afraid to fly it or damaging it is cool, as w"&amp;"ell for games, skype short I recommend")</f>
        <v>Good quality / price Compact, sturdy, nice color, comfortable to wear, easy to carry, makes good job for headphones at this price I was pleasantly surprised, for an extra helmet people will say it is a good deal, of course for music lovers who are really looking for high performance treble level / bass / midrange is going to lie you need to add a 0 to the price and this one is well keeps warm at home but for a helmet to lug around without taking the head to be afraid to fly it or damaging it is cool, as well for games, skype short I recommend</v>
      </c>
    </row>
    <row r="6329">
      <c r="A6329" s="1">
        <v>4.0</v>
      </c>
      <c r="B6329" s="1" t="s">
        <v>6245</v>
      </c>
      <c r="C6329" t="str">
        <f>IFERROR(__xludf.DUMMYFUNCTION("GOOGLETRANSLATE(B6329, ""fr"", ""en"")"),"Lightweight. Getting Started facile.Ultra fairly light.")</f>
        <v>Lightweight. Getting Started facile.Ultra fairly light.</v>
      </c>
    </row>
    <row r="6330">
      <c r="A6330" s="1">
        <v>4.0</v>
      </c>
      <c r="B6330" s="1" t="s">
        <v>6246</v>
      </c>
      <c r="C6330" t="str">
        <f>IFERROR(__xludf.DUMMYFUNCTION("GOOGLETRANSLATE(B6330, ""fr"", ""en"")"),"Although perfectly suitable for printing a good job. White paper OK")</f>
        <v>Although perfectly suitable for printing a good job. White paper OK</v>
      </c>
    </row>
    <row r="6331">
      <c r="A6331" s="1">
        <v>5.0</v>
      </c>
      <c r="B6331" s="1" t="s">
        <v>6247</v>
      </c>
      <c r="C6331" t="str">
        <f>IFERROR(__xludf.DUMMYFUNCTION("GOOGLETRANSLATE(B6331, ""fr"", ""en"")"),"Its nickel professional Good for a karaoke evenings at the top, connects on many devices.")</f>
        <v>Its nickel professional Good for a karaoke evenings at the top, connects on many devices.</v>
      </c>
    </row>
    <row r="6332">
      <c r="A6332" s="1">
        <v>5.0</v>
      </c>
      <c r="B6332" s="1" t="s">
        <v>6248</v>
      </c>
      <c r="C6332" t="str">
        <f>IFERROR(__xludf.DUMMYFUNCTION("GOOGLETRANSLATE(B6332, ""fr"", ""en"")"),"The beauty of the shoes. I am delighted with my order, the colors are identical to the description and from other than the image. For my up not hesitate to buy this range.")</f>
        <v>The beauty of the shoes. I am delighted with my order, the colors are identical to the description and from other than the image. For my up not hesitate to buy this range.</v>
      </c>
    </row>
    <row r="6333">
      <c r="A6333" s="1">
        <v>5.0</v>
      </c>
      <c r="B6333" s="1" t="s">
        <v>6249</v>
      </c>
      <c r="C6333" t="str">
        <f>IFERROR(__xludf.DUMMYFUNCTION("GOOGLETRANSLATE(B6333, ""fr"", ""en"")"),"Converse Very good product and the perfect size! I am delighted with the price, which for me is unbeatable! So this rating of 5 stars; I do not regret my purchase!")</f>
        <v>Converse Very good product and the perfect size! I am delighted with the price, which for me is unbeatable! So this rating of 5 stars; I do not regret my purchase!</v>
      </c>
    </row>
    <row r="6334">
      <c r="A6334" s="1">
        <v>5.0</v>
      </c>
      <c r="B6334" s="1" t="s">
        <v>4637</v>
      </c>
      <c r="C6334" t="str">
        <f>IFERROR(__xludf.DUMMYFUNCTION("GOOGLETRANSLATE(B6334, ""fr"", ""en"")"),"well well")</f>
        <v>well well</v>
      </c>
    </row>
    <row r="6335">
      <c r="A6335" s="1">
        <v>5.0</v>
      </c>
      <c r="B6335" s="1" t="s">
        <v>6250</v>
      </c>
      <c r="C6335" t="str">
        <f>IFERROR(__xludf.DUMMYFUNCTION("GOOGLETRANSLATE(B6335, ""fr"", ""en"")"),"the top sneakers perfect and comfortable fit with all the light level required perfect size ultra fast delivery I recommend product")</f>
        <v>the top sneakers perfect and comfortable fit with all the light level required perfect size ultra fast delivery I recommend product</v>
      </c>
    </row>
    <row r="6336">
      <c r="A6336" s="1">
        <v>5.0</v>
      </c>
      <c r="B6336" s="1" t="s">
        <v>6251</v>
      </c>
      <c r="C6336" t="str">
        <f>IFERROR(__xludf.DUMMYFUNCTION("GOOGLETRANSLATE(B6336, ""fr"", ""en"")"),"Beautiful watch Very nice watch, light but seems good.")</f>
        <v>Beautiful watch Very nice watch, light but seems good.</v>
      </c>
    </row>
    <row r="6337">
      <c r="A6337" s="1">
        <v>5.0</v>
      </c>
      <c r="B6337" s="1" t="s">
        <v>6252</v>
      </c>
      <c r="C6337" t="str">
        <f>IFERROR(__xludf.DUMMYFUNCTION("GOOGLETRANSLATE(B6337, ""fr"", ""en"")"),"Perfect Pretty Bracelet I love")</f>
        <v>Perfect Pretty Bracelet I love</v>
      </c>
    </row>
    <row r="6338">
      <c r="A6338" s="1">
        <v>5.0</v>
      </c>
      <c r="B6338" s="1" t="s">
        <v>6253</v>
      </c>
      <c r="C6338" t="str">
        <f>IFERROR(__xludf.DUMMYFUNCTION("GOOGLETRANSLATE(B6338, ""fr"", ""en"")"),"Done the job Used in my stairs, and the nursery. Perfect spot for us at night without turning on the light, we enter the baby's room, and the pilot turns on arrival. The light is low but sufficient to follow.")</f>
        <v>Done the job Used in my stairs, and the nursery. Perfect spot for us at night without turning on the light, we enter the baby's room, and the pilot turns on arrival. The light is low but sufficient to follow.</v>
      </c>
    </row>
    <row r="6339">
      <c r="A6339" s="1">
        <v>5.0</v>
      </c>
      <c r="B6339" s="1" t="s">
        <v>6254</v>
      </c>
      <c r="C6339" t="str">
        <f>IFERROR(__xludf.DUMMYFUNCTION("GOOGLETRANSLATE(B6339, ""fr"", ""en"")"),"This high quality kit of three bottles is really exceptional quality, the price is high but we have a durable product manufactured without harmful products. The only complaint is not a French brand and it is not made in France, it was also super childcare"&amp;" brands. I still put 5 stars because the bottles are really above the rest in terms of perceived quality")</f>
        <v>This high quality kit of three bottles is really exceptional quality, the price is high but we have a durable product manufactured without harmful products. The only complaint is not a French brand and it is not made in France, it was also super childcare brands. I still put 5 stars because the bottles are really above the rest in terms of perceived quality</v>
      </c>
    </row>
    <row r="6340">
      <c r="A6340" s="1">
        <v>5.0</v>
      </c>
      <c r="B6340" s="1" t="s">
        <v>6255</v>
      </c>
      <c r="C6340" t="str">
        <f>IFERROR(__xludf.DUMMYFUNCTION("GOOGLETRANSLATE(B6340, ""fr"", ""en"")"),"Returned blunt and repaid without worries")</f>
        <v>Returned blunt and repaid without worries</v>
      </c>
    </row>
    <row r="6341">
      <c r="A6341" s="1">
        <v>5.0</v>
      </c>
      <c r="B6341" s="1" t="s">
        <v>6256</v>
      </c>
      <c r="C6341" t="str">
        <f>IFERROR(__xludf.DUMMYFUNCTION("GOOGLETRANSLATE(B6341, ""fr"", ""en"")"),"Purchase verified the article complies with the photo. Happy with my purchase, Spotless beautiful perfect brilliant!")</f>
        <v>Purchase verified the article complies with the photo. Happy with my purchase, Spotless beautiful perfect brilliant!</v>
      </c>
    </row>
    <row r="6342">
      <c r="A6342" s="1">
        <v>5.0</v>
      </c>
      <c r="B6342" s="1" t="s">
        <v>6257</v>
      </c>
      <c r="C6342" t="str">
        <f>IFERROR(__xludf.DUMMYFUNCTION("GOOGLETRANSLATE(B6342, ""fr"", ""en"")"),"Very good product very pleasant massage. Help also has a slightly better start non-foaming products, like shampoo or after low-poo")</f>
        <v>Very good product very pleasant massage. Help also has a slightly better start non-foaming products, like shampoo or after low-poo</v>
      </c>
    </row>
    <row r="6343">
      <c r="A6343" s="1">
        <v>5.0</v>
      </c>
      <c r="B6343" s="1" t="s">
        <v>6258</v>
      </c>
      <c r="C6343" t="str">
        <f>IFERROR(__xludf.DUMMYFUNCTION("GOOGLETRANSLATE(B6343, ""fr"", ""en"")"),"Perfect for classes I use these pens, besides being pretty they write well!")</f>
        <v>Perfect for classes I use these pens, besides being pretty they write well!</v>
      </c>
    </row>
    <row r="6344">
      <c r="A6344" s="1">
        <v>5.0</v>
      </c>
      <c r="B6344" s="1" t="s">
        <v>6259</v>
      </c>
      <c r="C6344" t="str">
        <f>IFERROR(__xludf.DUMMYFUNCTION("GOOGLETRANSLATE(B6344, ""fr"", ""en"")"),"A voice in my head I'm not a fan of earphone and anything that is put in the ears, especially not bluetooth, I stayed in the old with the cables. no headlock with configurations or battery is empty. So I had the chance to have new headsets SONY, when I sa"&amp;"w the price 250 euros my gods !!!! Already in the box itself is 250 euros understand nothing if the box, we can see here that one has a luxury product, so luxurious it took me 15 minutes to open the box, a price is the j 'was even afraid of the box damage"&amp;"d not understand the opening but it is easy but had to understand. At the opening of the box was 3 instructions we explained how its all configured, its not look very complicated. I have 2 phones - an old Wiko for the week - and a beautiful Samsung for th"&amp;"e weekend and the holiday I take the WIKO I'm instructions 1. Place the headset in the pouch for activation. If the LED light 2. downloaded the login application (non already I have no memory in any old phone) 3. Remove the headset from the case to turn i"&amp;"t on and it makes the association with the phone is opened applying a voice speaking to me in English and ... well nothing no way to hear something by a voice in English and not react the phone headset left cheek dead. After 20 minutes I stop taking my he"&amp;"ad with the old phone, I take the samsung and not anything nothing recognition, which always left cheek was dead. 20 minutes be 40 minutes. I phone Sony and ask them how it's done? the person to super phone, I explain all her, she told me the best to do i"&amp;"s to reset everything. When reset I use the Samsung and perfect recognition applying everything works well, I have managed a meter in French. So we understand from the start that left it serves to launch the same Google can help you meter alexa but I have"&amp;" not succeeded yet his looks simple we will see later I have not succeeded. atria are the touch so we just brush. And the right is managed music call them. Having assisted in the atria is really great nothing is to him and we read the notices and phone me"&amp;"ssages. Example I listened to music and I get a message via Messenger, the headset I said you received a message you want to listen X Simply touch the headset and we read the message, and again you have had a message from X after three messages ignored X "&amp;"she tell myself I see that you do not listen to the messages of X I will not tell you for 30 minutes. I find his great imagine a person who insists every 5 minutes sounded hear in the ear and cut the music. Once the atria seriously ears we hear almost not"&amp;"hing from the outside. it's great no disturbance and more magic headset knows if stepped moves if you are in town and it fits. we see in applying a small figure sitting or walking. ""Make the most of your music without being disturbed by outside noise by "&amp;"battery problems, or connectivity, with great sound, noise reduction technology No.1 market1 and up to 24 hours of battery life . "" The noise reduction technology WF-1000XM3 is the most advanced of the market, thanks to HD processor for noise reduction Q"&amp;"N1e. It allows total immersion in your music. quite true I really was surprised. Listening to excellence with the new Bluetooth chip Instead of relaying sound from one ear to the other, the new Bluetooth chip transmits sound simultaneously the right and l"&amp;"eft ears, offering exceptional audio experience. I can say the best of the best as they say it is not a headset that gives sound to another that is both taking them along on his phone, listened to music is bluffing, or even films is even better. It seems "&amp;"she has a huge load of lasted with their little box that charging Up to 24 hours of listening in full charge, the headphones have 6 hours talk and portable charging case provides 3 additional loads to allow you to listen to music all day. This gives you 2"&amp;"4 hours of listening without background noise. By turning off noise reduction, autonomy is even longer: 8 hours with a full charge, and 3 refills through the case, to 32 hours of playback time. Fast loading when needed Sometimes the music can not wait. If"&amp;" your headphones are running out of battery, a quick charge 10 minutes with the case will offer 90 minutes of playing time. I tell you it is amazing and I have not been able to see everything really any offers in details as, but worth it just for the basi"&amp;"c functions and assistance do not spend money in atria cheap low-end that nothing worth going directly to the top, and with that I think apple has produced the cares has to be; Better than I see its not that we can do more.")</f>
        <v>A voice in my head I'm not a fan of earphone and anything that is put in the ears, especially not bluetooth, I stayed in the old with the cables. no headlock with configurations or battery is empty. So I had the chance to have new headsets SONY, when I saw the price 250 euros my gods !!!! Already in the box itself is 250 euros understand nothing if the box, we can see here that one has a luxury product, so luxurious it took me 15 minutes to open the box, a price is the j 'was even afraid of the box damaged not understand the opening but it is easy but had to understand. At the opening of the box was 3 instructions we explained how its all configured, its not look very complicated. I have 2 phones - an old Wiko for the week - and a beautiful Samsung for the weekend and the holiday I take the WIKO I'm instructions 1. Place the headset in the pouch for activation. If the LED light 2. downloaded the login application (non already I have no memory in any old phone) 3. Remove the headset from the case to turn it on and it makes the association with the phone is opened applying a voice speaking to me in English and ... well nothing no way to hear something by a voice in English and not react the phone headset left cheek dead. After 20 minutes I stop taking my head with the old phone, I take the samsung and not anything nothing recognition, which always left cheek was dead. 20 minutes be 40 minutes. I phone Sony and ask them how it's done? the person to super phone, I explain all her, she told me the best to do is to reset everything. When reset I use the Samsung and perfect recognition applying everything works well, I have managed a meter in French. So we understand from the start that left it serves to launch the same Google can help you meter alexa but I have not succeeded yet his looks simple we will see later I have not succeeded. atria are the touch so we just brush. And the right is managed music call them. Having assisted in the atria is really great nothing is to him and we read the notices and phone messages. Example I listened to music and I get a message via Messenger, the headset I said you received a message you want to listen X Simply touch the headset and we read the message, and again you have had a message from X after three messages ignored X she tell myself I see that you do not listen to the messages of X I will not tell you for 30 minutes. I find his great imagine a person who insists every 5 minutes sounded hear in the ear and cut the music. Once the atria seriously ears we hear almost nothing from the outside. it's great no disturbance and more magic headset knows if stepped moves if you are in town and it fits. we see in applying a small figure sitting or walking. "Make the most of your music without being disturbed by outside noise by battery problems, or connectivity, with great sound, noise reduction technology No.1 market1 and up to 24 hours of battery life . " The noise reduction technology WF-1000XM3 is the most advanced of the market, thanks to HD processor for noise reduction QN1e. It allows total immersion in your music. quite true I really was surprised. Listening to excellence with the new Bluetooth chip Instead of relaying sound from one ear to the other, the new Bluetooth chip transmits sound simultaneously the right and left ears, offering exceptional audio experience. I can say the best of the best as they say it is not a headset that gives sound to another that is both taking them along on his phone, listened to music is bluffing, or even films is even better. It seems she has a huge load of lasted with their little box that charging Up to 24 hours of listening in full charge, the headphones have 6 hours talk and portable charging case provides 3 additional loads to allow you to listen to music all day. This gives you 24 hours of listening without background noise. By turning off noise reduction, autonomy is even longer: 8 hours with a full charge, and 3 refills through the case, to 32 hours of playback time. Fast loading when needed Sometimes the music can not wait. If your headphones are running out of battery, a quick charge 10 minutes with the case will offer 90 minutes of playing time. I tell you it is amazing and I have not been able to see everything really any offers in details as, but worth it just for the basic functions and assistance do not spend money in atria cheap low-end that nothing worth going directly to the top, and with that I think apple has produced the cares has to be; Better than I see its not that we can do more.</v>
      </c>
    </row>
    <row r="6345">
      <c r="A6345" s="1">
        <v>5.0</v>
      </c>
      <c r="B6345" s="1" t="s">
        <v>6260</v>
      </c>
      <c r="C6345" t="str">
        <f>IFERROR(__xludf.DUMMYFUNCTION("GOOGLETRANSLATE(B6345, ""fr"", ""en"")"),"Good value Watch magnifique..classe..emballage parfait..je recommend this watch. It works great and bracelet watch is of good quality. .Can be a gift ..")</f>
        <v>Good value Watch magnifique..classe..emballage parfait..je recommend this watch. It works great and bracelet watch is of good quality. .Can be a gift ..</v>
      </c>
    </row>
    <row r="6346">
      <c r="A6346" s="1">
        <v>2.0</v>
      </c>
      <c r="B6346" s="1" t="s">
        <v>6261</v>
      </c>
      <c r="C6346" t="str">
        <f>IFERROR(__xludf.DUMMYFUNCTION("GOOGLETRANSLATE(B6346, ""fr"", ""en"")"),"size large to carry my cat but size too big")</f>
        <v>size large to carry my cat but size too big</v>
      </c>
    </row>
    <row r="6347">
      <c r="A6347" s="1">
        <v>1.0</v>
      </c>
      <c r="B6347" s="1" t="s">
        <v>6262</v>
      </c>
      <c r="C6347" t="str">
        <f>IFERROR(__xludf.DUMMYFUNCTION("GOOGLETRANSLATE(B6347, ""fr"", ""en"")"),"DOES NOT WORK ON INDUCTION The coffee arrived promptly. But it does not work on induction plates contrary to that which is written in the description. For any other type of cooking, it works well even if it is a little light. so disappointed because I hav"&amp;"e only to give it to one that does not qq plates induction. cordially")</f>
        <v>DOES NOT WORK ON INDUCTION The coffee arrived promptly. But it does not work on induction plates contrary to that which is written in the description. For any other type of cooking, it works well even if it is a little light. so disappointed because I have only to give it to one that does not qq plates induction. cordially</v>
      </c>
    </row>
    <row r="6348">
      <c r="A6348" s="1">
        <v>1.0</v>
      </c>
      <c r="B6348" s="1" t="s">
        <v>6263</v>
      </c>
      <c r="C6348" t="str">
        <f>IFERROR(__xludf.DUMMYFUNCTION("GOOGLETRANSLATE(B6348, ""fr"", ""en"")"),"This is not a sweater and end very stiff material, not pleasant, misshapen ... do not order this!")</f>
        <v>This is not a sweater and end very stiff material, not pleasant, misshapen ... do not order this!</v>
      </c>
    </row>
    <row r="6349">
      <c r="A6349" s="1">
        <v>3.0</v>
      </c>
      <c r="B6349" s="1" t="s">
        <v>6264</v>
      </c>
      <c r="C6349" t="str">
        <f>IFERROR(__xludf.DUMMYFUNCTION("GOOGLETRANSLATE(B6349, ""fr"", ""en"")"),"I deplore the lack of INVOICE in each of your packages from some time back it's hard to see a lack of invoice in each package I received recently ??????? not easy if one wants return and especially to guarantee the object goodbye I do not understand ....."&amp;"......")</f>
        <v>I deplore the lack of INVOICE in each of your packages from some time back it's hard to see a lack of invoice in each package I received recently ??????? not easy if one wants return and especially to guarantee the object goodbye I do not understand ...........</v>
      </c>
    </row>
    <row r="6350">
      <c r="A6350" s="1">
        <v>3.0</v>
      </c>
      <c r="B6350" s="1" t="s">
        <v>6265</v>
      </c>
      <c r="C6350" t="str">
        <f>IFERROR(__xludf.DUMMYFUNCTION("GOOGLETRANSLATE(B6350, ""fr"", ""en"")"),"is sotn of soquette By cons I have a problem with delivery personnel sent by Amazon (not all but at least 2/4) does not ring and / or removing the packages not to the shelter and for all to really top! !!")</f>
        <v>is sotn of soquette By cons I have a problem with delivery personnel sent by Amazon (not all but at least 2/4) does not ring and / or removing the packages not to the shelter and for all to really top! !!</v>
      </c>
    </row>
    <row r="6351">
      <c r="A6351" s="1">
        <v>4.0</v>
      </c>
      <c r="B6351" s="1" t="s">
        <v>6266</v>
      </c>
      <c r="C6351" t="str">
        <f>IFERROR(__xludf.DUMMYFUNCTION("GOOGLETRANSLATE(B6351, ""fr"", ""en"")"),"Beautiful Very good quality paper for Canon Selphy, dye sublimation printer. Only small problem: Pre-torn edges that must be re-cut because not very clear otherwise. But I chipotte.")</f>
        <v>Beautiful Very good quality paper for Canon Selphy, dye sublimation printer. Only small problem: Pre-torn edges that must be re-cut because not very clear otherwise. But I chipotte.</v>
      </c>
    </row>
    <row r="6352">
      <c r="A6352" s="1">
        <v>4.0</v>
      </c>
      <c r="B6352" s="1" t="s">
        <v>6267</v>
      </c>
      <c r="C6352" t="str">
        <f>IFERROR(__xludf.DUMMYFUNCTION("GOOGLETRANSLATE(B6352, ""fr"", ""en"")"),"Well Done sportier than I thought because of the material otherwise nice")</f>
        <v>Well Done sportier than I thought because of the material otherwise nice</v>
      </c>
    </row>
    <row r="6353">
      <c r="A6353" s="1">
        <v>4.0</v>
      </c>
      <c r="B6353" s="1" t="s">
        <v>6268</v>
      </c>
      <c r="C6353" t="str">
        <f>IFERROR(__xludf.DUMMYFUNCTION("GOOGLETRANSLATE(B6353, ""fr"", ""en"")"),"Good quality. Good quality, the only icon in the sun it does not work it off")</f>
        <v>Good quality. Good quality, the only icon in the sun it does not work it off</v>
      </c>
    </row>
    <row r="6354">
      <c r="A6354" s="1">
        <v>4.0</v>
      </c>
      <c r="B6354" s="1" t="s">
        <v>6269</v>
      </c>
      <c r="C6354" t="str">
        <f>IFERROR(__xludf.DUMMYFUNCTION("GOOGLETRANSLATE(B6354, ""fr"", ""en"")"),"Rather nice for the price but it did not breathe too long term. We'll see what the future will tell.")</f>
        <v>Rather nice for the price but it did not breathe too long term. We'll see what the future will tell.</v>
      </c>
    </row>
    <row r="6355">
      <c r="A6355" s="1">
        <v>5.0</v>
      </c>
      <c r="B6355" s="1" t="s">
        <v>6270</v>
      </c>
      <c r="C6355" t="str">
        <f>IFERROR(__xludf.DUMMYFUNCTION("GOOGLETRANSLATE(B6355, ""fr"", ""en"")"),"Legging comfortable and quality sports legging This composition &amp; nbsp; &amp; nbsp majority; polyester and elastane &amp; nbsp; for &amp; nbsp; best &amp; nbsp; elasticity is very good. The size very good, very close to the body, it respects the curves without being comp"&amp;"ressed. High elasticated wide enough size that &amp; nbsp; keeps &amp; nbsp; perfectly. It is late and not transparent, convenient for sport allows a &amp; nbsp; best &amp; nbsp; sweat and lets the skin breathe. While with pretty patchwork seams, this legging is modern, "&amp;"trend, quality for sports in good conditions. It is simply washing &amp; nbsp; &amp; nbsp 30 degrees, and dry in the open quickly. I go to the fitness room every day and I feel comfortable when I wore it, I do not like tight clothes that compress during my sports"&amp;" sessions where I need comfort, whether for a gentle activity like cycling or step much more intense, it suits me perfectly.")</f>
        <v>Legging comfortable and quality sports legging This composition &amp; nbsp; &amp; nbsp majority; polyester and elastane &amp; nbsp; for &amp; nbsp; best &amp; nbsp; elasticity is very good. The size very good, very close to the body, it respects the curves without being compressed. High elasticated wide enough size that &amp; nbsp; keeps &amp; nbsp; perfectly. It is late and not transparent, convenient for sport allows a &amp; nbsp; best &amp; nbsp; sweat and lets the skin breathe. While with pretty patchwork seams, this legging is modern, trend, quality for sports in good conditions. It is simply washing &amp; nbsp; &amp; nbsp 30 degrees, and dry in the open quickly. I go to the fitness room every day and I feel comfortable when I wore it, I do not like tight clothes that compress during my sports sessions where I need comfort, whether for a gentle activity like cycling or step much more intense, it suits me perfectly.</v>
      </c>
    </row>
    <row r="6356">
      <c r="A6356" s="1">
        <v>5.0</v>
      </c>
      <c r="B6356" s="1" t="s">
        <v>6271</v>
      </c>
      <c r="C6356" t="str">
        <f>IFERROR(__xludf.DUMMYFUNCTION("GOOGLETRANSLATE(B6356, ""fr"", ""en"")"),"Of Clothing")</f>
        <v>Of Clothing</v>
      </c>
    </row>
    <row r="6357">
      <c r="A6357" s="1">
        <v>5.0</v>
      </c>
      <c r="B6357" s="1" t="s">
        <v>6272</v>
      </c>
      <c r="C6357" t="str">
        <f>IFERROR(__xludf.DUMMYFUNCTION("GOOGLETRANSLATE(B6357, ""fr"", ""en"")"),"Very well ! Very good product, practical and effective anti drip, except where the favorite game of your child is crushed nipple! It pierces it and there it is finished it flows everywhere !!")</f>
        <v>Very well ! Very good product, practical and effective anti drip, except where the favorite game of your child is crushed nipple! It pierces it and there it is finished it flows everywhere !!</v>
      </c>
    </row>
    <row r="6358">
      <c r="A6358" s="1">
        <v>5.0</v>
      </c>
      <c r="B6358" s="1" t="s">
        <v>6273</v>
      </c>
      <c r="C6358" t="str">
        <f>IFERROR(__xludf.DUMMYFUNCTION("GOOGLETRANSLATE(B6358, ""fr"", ""en"")"),"Nice watch A beautiful style mount. Mechanical, so no problem batteries to change. the casing is brushed brass and bracelet thick leather. Good value for money.")</f>
        <v>Nice watch A beautiful style mount. Mechanical, so no problem batteries to change. the casing is brushed brass and bracelet thick leather. Good value for money.</v>
      </c>
    </row>
    <row r="6359">
      <c r="A6359" s="1">
        <v>5.0</v>
      </c>
      <c r="B6359" s="1" t="s">
        <v>6274</v>
      </c>
      <c r="C6359" t="str">
        <f>IFERROR(__xludf.DUMMYFUNCTION("GOOGLETRANSLATE(B6359, ""fr"", ""en"")"),"Super premium quality quality. We are clearly dealing with a solid, well finished, a thick sole, and comfortable (do not clamp foot). Even the packaging is valued. Also they are more beautiful in real than in pictures")</f>
        <v>Super premium quality quality. We are clearly dealing with a solid, well finished, a thick sole, and comfortable (do not clamp foot). Even the packaging is valued. Also they are more beautiful in real than in pictures</v>
      </c>
    </row>
    <row r="6360">
      <c r="A6360" s="1">
        <v>5.0</v>
      </c>
      <c r="B6360" s="1" t="s">
        <v>6275</v>
      </c>
      <c r="C6360" t="str">
        <f>IFERROR(__xludf.DUMMYFUNCTION("GOOGLETRANSLATE(B6360, ""fr"", ""en"")"),"Light, fast drying As promised: shirt very light, takes up little space, quick-drying, breathable, comfortable and wearable. Taiille large, very long sleeves. I've washed 3 times, supports the wash very well, does not lose color.")</f>
        <v>Light, fast drying As promised: shirt very light, takes up little space, quick-drying, breathable, comfortable and wearable. Taiille large, very long sleeves. I've washed 3 times, supports the wash very well, does not lose color.</v>
      </c>
    </row>
    <row r="6361">
      <c r="A6361" s="1">
        <v>5.0</v>
      </c>
      <c r="B6361" s="1" t="s">
        <v>6276</v>
      </c>
      <c r="C6361" t="str">
        <f>IFERROR(__xludf.DUMMYFUNCTION("GOOGLETRANSLATE(B6361, ""fr"", ""en"")"),"Interesting especially price level I take half size smaller to the lay are very good goods and corresponding")</f>
        <v>Interesting especially price level I take half size smaller to the lay are very good goods and corresponding</v>
      </c>
    </row>
    <row r="6362">
      <c r="A6362" s="1">
        <v>5.0</v>
      </c>
      <c r="B6362" s="1" t="s">
        <v>6277</v>
      </c>
      <c r="C6362" t="str">
        <f>IFERROR(__xludf.DUMMYFUNCTION("GOOGLETRANSLATE(B6362, ""fr"", ""en"")"),"Parfzit use with a telephone and computer sound perfect")</f>
        <v>Parfzit use with a telephone and computer sound perfect</v>
      </c>
    </row>
    <row r="6363">
      <c r="A6363" s="1">
        <v>5.0</v>
      </c>
      <c r="B6363" s="1" t="s">
        <v>6278</v>
      </c>
      <c r="C6363" t="str">
        <f>IFERROR(__xludf.DUMMYFUNCTION("GOOGLETRANSLATE(B6363, ""fr"", ""en"")"),"Nickel Nickel there grid bread")</f>
        <v>Nickel Nickel there grid bread</v>
      </c>
    </row>
    <row r="6364">
      <c r="A6364" s="1">
        <v>5.0</v>
      </c>
      <c r="B6364" s="1" t="s">
        <v>6279</v>
      </c>
      <c r="C6364" t="str">
        <f>IFERROR(__xludf.DUMMYFUNCTION("GOOGLETRANSLATE(B6364, ""fr"", ""en"")"),"shoes for size dands water well, are comfortable to me is the foot strong I am super happy with need to take a size 41 on 40 is more than enough I recommend more with an attractive price you can buy the eyes closed")</f>
        <v>shoes for size dands water well, are comfortable to me is the foot strong I am super happy with need to take a size 41 on 40 is more than enough I recommend more with an attractive price you can buy the eyes closed</v>
      </c>
    </row>
    <row r="6365">
      <c r="A6365" s="1">
        <v>5.0</v>
      </c>
      <c r="B6365" s="1" t="s">
        <v>6280</v>
      </c>
      <c r="C6365" t="str">
        <f>IFERROR(__xludf.DUMMYFUNCTION("GOOGLETRANSLATE(B6365, ""fr"", ""en"")"),"THE TOP Size 39 flawless, lightweight trainer, there is good inside Insole niquel, beautiful color, like images. I recommend the product there.")</f>
        <v>THE TOP Size 39 flawless, lightweight trainer, there is good inside Insole niquel, beautiful color, like images. I recommend the product there.</v>
      </c>
    </row>
    <row r="6366">
      <c r="A6366" s="1">
        <v>5.0</v>
      </c>
      <c r="B6366" s="1" t="s">
        <v>6281</v>
      </c>
      <c r="C6366" t="str">
        <f>IFERROR(__xludf.DUMMYFUNCTION("GOOGLETRANSLATE(B6366, ""fr"", ""en"")"),"Perfect Light resistant and suitable for daily walk in dry")</f>
        <v>Perfect Light resistant and suitable for daily walk in dry</v>
      </c>
    </row>
    <row r="6367">
      <c r="A6367" s="1">
        <v>5.0</v>
      </c>
      <c r="B6367" s="1" t="s">
        <v>6282</v>
      </c>
      <c r="C6367" t="str">
        <f>IFERROR(__xludf.DUMMYFUNCTION("GOOGLETRANSLATE(B6367, ""fr"", ""en"")"),"Super good quality Watch to see in time.")</f>
        <v>Super good quality Watch to see in time.</v>
      </c>
    </row>
    <row r="6368">
      <c r="A6368" s="1">
        <v>5.0</v>
      </c>
      <c r="B6368" s="1" t="s">
        <v>6283</v>
      </c>
      <c r="C6368" t="str">
        <f>IFERROR(__xludf.DUMMYFUNCTION("GOOGLETRANSLATE(B6368, ""fr"", ""en"")"),"Rosalinda Very informative and well suited for children.")</f>
        <v>Rosalinda Very informative and well suited for children.</v>
      </c>
    </row>
    <row r="6369">
      <c r="A6369" s="1">
        <v>5.0</v>
      </c>
      <c r="B6369" s="1" t="s">
        <v>6284</v>
      </c>
      <c r="C6369" t="str">
        <f>IFERROR(__xludf.DUMMYFUNCTION("GOOGLETRANSLATE(B6369, ""fr"", ""en"")"),"just super I do not regret my purchase. the power can be adjusted. So have a lightly fried bread or a little or very grilled. Yes, I recommend this product")</f>
        <v>just super I do not regret my purchase. the power can be adjusted. So have a lightly fried bread or a little or very grilled. Yes, I recommend this product</v>
      </c>
    </row>
    <row r="6370">
      <c r="A6370" s="1">
        <v>5.0</v>
      </c>
      <c r="B6370" s="1" t="s">
        <v>6285</v>
      </c>
      <c r="C6370" t="str">
        <f>IFERROR(__xludf.DUMMYFUNCTION("GOOGLETRANSLATE(B6370, ""fr"", ""en"")"),"Heater shoulder with adjustable heat a.i quality I bought this shoulder heaters in anticipation of winter. It is provided with a remote control with three levels of heat. Level 3 is for people very (very) chilly or with back problems. It broadly covers th"&amp;"e shoulders, see the attached photo of the product carried. the heating time is about 45 seconds starting 1 minute, 1 minute 15 seconds to heat 3. Very convenient it turns itself off after 90 minutes of use! (If you fall asleep ...)")</f>
        <v>Heater shoulder with adjustable heat a.i quality I bought this shoulder heaters in anticipation of winter. It is provided with a remote control with three levels of heat. Level 3 is for people very (very) chilly or with back problems. It broadly covers the shoulders, see the attached photo of the product carried. the heating time is about 45 seconds starting 1 minute, 1 minute 15 seconds to heat 3. Very convenient it turns itself off after 90 minutes of use! (If you fall asleep ...)</v>
      </c>
    </row>
    <row r="6371">
      <c r="A6371" s="1">
        <v>2.0</v>
      </c>
      <c r="B6371" s="1" t="s">
        <v>6286</v>
      </c>
      <c r="C6371" t="str">
        <f>IFERROR(__xludf.DUMMYFUNCTION("GOOGLETRANSLATE(B6371, ""fr"", ""en"")"),"Buzz + his bad Received quickly, headphones seems well made there in the box several nozzles with different sizes, mini USB cable, a manual where you take a magnifying glass so the explanations are written in small and I do not have a sight problem, and a"&amp;" nice pouch that seems solid stores headphones with accessories. very fast connection but received headphones appear to be defective, connected two laptop PC then two smartphones, a serious buzz that takes over the sound, and the sound quality and very ba"&amp;"d, everything is in the treble and midrange, no bases, return requested.")</f>
        <v>Buzz + his bad Received quickly, headphones seems well made there in the box several nozzles with different sizes, mini USB cable, a manual where you take a magnifying glass so the explanations are written in small and I do not have a sight problem, and a nice pouch that seems solid stores headphones with accessories. very fast connection but received headphones appear to be defective, connected two laptop PC then two smartphones, a serious buzz that takes over the sound, and the sound quality and very bad, everything is in the treble and midrange, no bases, return requested.</v>
      </c>
    </row>
    <row r="6372">
      <c r="A6372" s="1">
        <v>1.0</v>
      </c>
      <c r="B6372" s="1" t="s">
        <v>6287</v>
      </c>
      <c r="C6372" t="str">
        <f>IFERROR(__xludf.DUMMYFUNCTION("GOOGLETRANSLATE(B6372, ""fr"", ""en"")"),"Shameful shameful price Value. tiny bubble wrap.")</f>
        <v>Shameful shameful price Value. tiny bubble wrap.</v>
      </c>
    </row>
    <row r="6373">
      <c r="A6373" s="1">
        <v>1.0</v>
      </c>
      <c r="B6373" s="1" t="s">
        <v>6288</v>
      </c>
      <c r="C6373" t="str">
        <f>IFERROR(__xludf.DUMMYFUNCTION("GOOGLETRANSLATE(B6373, ""fr"", ""en"")"),"Not working 1 hour of use and already working!")</f>
        <v>Not working 1 hour of use and already working!</v>
      </c>
    </row>
    <row r="6374">
      <c r="A6374" s="1">
        <v>3.0</v>
      </c>
      <c r="B6374" s="1" t="s">
        <v>6289</v>
      </c>
      <c r="C6374" t="str">
        <f>IFERROR(__xludf.DUMMYFUNCTION("GOOGLETRANSLATE(B6374, ""fr"", ""en"")"),"Use more frequently than the recommendation Eparcyl it works, the problem is that we must use every two months, we have taken a subscription to this, when RECEIVE they put directly into the toilet. The packagin indicates good 6 months, but I think it's fo"&amp;"r the small pits.")</f>
        <v>Use more frequently than the recommendation Eparcyl it works, the problem is that we must use every two months, we have taken a subscription to this, when RECEIVE they put directly into the toilet. The packagin indicates good 6 months, but I think it's for the small pits.</v>
      </c>
    </row>
    <row r="6375">
      <c r="A6375" s="1">
        <v>4.0</v>
      </c>
      <c r="B6375" s="1" t="s">
        <v>6290</v>
      </c>
      <c r="C6375" t="str">
        <f>IFERROR(__xludf.DUMMYFUNCTION("GOOGLETRANSLATE(B6375, ""fr"", ""en"")"),"Very nice watch lovely string of low quality damage")</f>
        <v>Very nice watch lovely string of low quality damage</v>
      </c>
    </row>
    <row r="6376">
      <c r="A6376" s="1">
        <v>4.0</v>
      </c>
      <c r="B6376" s="1" t="s">
        <v>6291</v>
      </c>
      <c r="C6376" t="str">
        <f>IFERROR(__xludf.DUMMYFUNCTION("GOOGLETRANSLATE(B6376, ""fr"", ""en"")"),"Beautiful and useful Beautiful adjustable coffee for optimal coffee Large tank and especially with a coffee grinder for coffee with flavor and is very beautiful as that does not hurt")</f>
        <v>Beautiful and useful Beautiful adjustable coffee for optimal coffee Large tank and especially with a coffee grinder for coffee with flavor and is very beautiful as that does not hurt</v>
      </c>
    </row>
    <row r="6377">
      <c r="A6377" s="1">
        <v>4.0</v>
      </c>
      <c r="B6377" s="1" t="s">
        <v>6292</v>
      </c>
      <c r="C6377" t="str">
        <f>IFERROR(__xludf.DUMMYFUNCTION("GOOGLETRANSLATE(B6377, ""fr"", ""en"")"),"Good value Great idea not too expensive gift price")</f>
        <v>Good value Great idea not too expensive gift price</v>
      </c>
    </row>
    <row r="6378">
      <c r="A6378" s="1">
        <v>4.0</v>
      </c>
      <c r="B6378" s="1" t="s">
        <v>6293</v>
      </c>
      <c r="C6378" t="str">
        <f>IFERROR(__xludf.DUMMYFUNCTION("GOOGLETRANSLATE(B6378, ""fr"", ""en"")"),"Shoe secu good pair of shoes, appropriate size but takes time to walk to train well if not on top!")</f>
        <v>Shoe secu good pair of shoes, appropriate size but takes time to walk to train well if not on top!</v>
      </c>
    </row>
    <row r="6379">
      <c r="A6379" s="1">
        <v>4.0</v>
      </c>
      <c r="B6379" s="1" t="s">
        <v>6294</v>
      </c>
      <c r="C6379" t="str">
        <f>IFERROR(__xludf.DUMMYFUNCTION("GOOGLETRANSLATE(B6379, ""fr"", ""en"")"),"This helmet his pass vault are prices I explain This is a good, adjustable headset that serves well and does not fall I do not know if it's me that is bad luck but refuses helmet that related to the phone right opening So for those who have the same probl"&amp;"em here is a simple trick connected headset has a PC directly bluetooth and after he will be fit to this connected to your phone BUT problem (for those who take music as their own lives) the song and very good but if you put music containing strong low th"&amp;"en the headset will be a slight sizzling especially if speech Finally last detail but I pence it and crucial for those who are accustomed to toujour fiddling the song for the music to avoid too strong and when his song subsides board volume MAX bah ..... "&amp;"big problems when you go to MAX volume a weird way you say ""hIGH vOLUME"" by cutting your music But it lasts sec 1 p our some like me it's really irritating so I suggest you this headset only serviced if you have too much money otherwise shop elsewhere b"&amp;"ecause there are too many fault if we have a true consumer quality song")</f>
        <v>This helmet his pass vault are prices I explain This is a good, adjustable headset that serves well and does not fall I do not know if it's me that is bad luck but refuses helmet that related to the phone right opening So for those who have the same problem here is a simple trick connected headset has a PC directly bluetooth and after he will be fit to this connected to your phone BUT problem (for those who take music as their own lives) the song and very good but if you put music containing strong low then the headset will be a slight sizzling especially if speech Finally last detail but I pence it and crucial for those who are accustomed to toujour fiddling the song for the music to avoid too strong and when his song subsides board volume MAX bah ..... big problems when you go to MAX volume a weird way you say "hIGH vOLUME" by cutting your music But it lasts sec 1 p our some like me it's really irritating so I suggest you this headset only serviced if you have too much money otherwise shop elsewhere because there are too many fault if we have a true consumer quality song</v>
      </c>
    </row>
    <row r="6380">
      <c r="A6380" s="1">
        <v>5.0</v>
      </c>
      <c r="B6380" s="1" t="s">
        <v>6295</v>
      </c>
      <c r="C6380" t="str">
        <f>IFERROR(__xludf.DUMMYFUNCTION("GOOGLETRANSLATE(B6380, ""fr"", ""en"")"),"good helmet cheap this time I wanted to put as much for my new helmet, I am very happy, delivered in its box and in a protective leather with VIP card that pushes the guarantee to 18 months, he has classic connection over a bigger jack jack. a usb cable a"&amp;"nd input more phone dual jack (I do not know yet what's the point!) point of view tecknologie it is really good, the noise reduction is at work, the bass is there, but not too much and it has a good record vinyl record and cd. cushion are recommended moel"&amp;"leux.je")</f>
        <v>good helmet cheap this time I wanted to put as much for my new helmet, I am very happy, delivered in its box and in a protective leather with VIP card that pushes the guarantee to 18 months, he has classic connection over a bigger jack jack. a usb cable and input more phone dual jack (I do not know yet what's the point!) point of view tecknologie it is really good, the noise reduction is at work, the bass is there, but not too much and it has a good record vinyl record and cd. cushion are recommended moelleux.je</v>
      </c>
    </row>
    <row r="6381">
      <c r="A6381" s="1">
        <v>5.0</v>
      </c>
      <c r="B6381" s="1" t="s">
        <v>6296</v>
      </c>
      <c r="C6381" t="str">
        <f>IFERROR(__xludf.DUMMYFUNCTION("GOOGLETRANSLATE(B6381, ""fr"", ""en"")"),"Quality at the top. perfect size. Delivery to top Great Value. Very hot")</f>
        <v>Quality at the top. perfect size. Delivery to top Great Value. Very hot</v>
      </c>
    </row>
    <row r="6382">
      <c r="A6382" s="1">
        <v>5.0</v>
      </c>
      <c r="B6382" s="1" t="s">
        <v>6297</v>
      </c>
      <c r="C6382" t="str">
        <f>IFERROR(__xludf.DUMMYFUNCTION("GOOGLETRANSLATE(B6382, ""fr"", ""en"")"),"Perfect Our granddaughter of 7 years do not like this collection ""Sami and Julie,"" she love it! Each new booklet we offer is immediately read it and enjoyed. The illustrations are very beautiful and funny, in a word, perfect for children.")</f>
        <v>Perfect Our granddaughter of 7 years do not like this collection "Sami and Julie," she love it! Each new booklet we offer is immediately read it and enjoyed. The illustrations are very beautiful and funny, in a word, perfect for children.</v>
      </c>
    </row>
    <row r="6383">
      <c r="A6383" s="1">
        <v>5.0</v>
      </c>
      <c r="B6383" s="1" t="s">
        <v>6298</v>
      </c>
      <c r="C6383" t="str">
        <f>IFERROR(__xludf.DUMMYFUNCTION("GOOGLETRANSLATE(B6383, ""fr"", ""en"")"),"Avoid lumps of baby milk Our essential to avoid lumps in milk AR + cereal our baby. I can say that if it fails I will not hesitate one second to redeem it.")</f>
        <v>Avoid lumps of baby milk Our essential to avoid lumps in milk AR + cereal our baby. I can say that if it fails I will not hesitate one second to redeem it.</v>
      </c>
    </row>
    <row r="6384">
      <c r="A6384" s="1">
        <v>5.0</v>
      </c>
      <c r="B6384" s="1" t="s">
        <v>6299</v>
      </c>
      <c r="C6384" t="str">
        <f>IFERROR(__xludf.DUMMYFUNCTION("GOOGLETRANSLATE(B6384, ""fr"", ""en"")"),"Very good value This kettle perfectly meets my expectations. She very quickly heats the capacity. Very satisfied with my purchase. Would recommend for the price.")</f>
        <v>Very good value This kettle perfectly meets my expectations. She very quickly heats the capacity. Very satisfied with my purchase. Would recommend for the price.</v>
      </c>
    </row>
    <row r="6385">
      <c r="A6385" s="1">
        <v>5.0</v>
      </c>
      <c r="B6385" s="1" t="s">
        <v>6300</v>
      </c>
      <c r="C6385" t="str">
        <f>IFERROR(__xludf.DUMMYFUNCTION("GOOGLETRANSLATE(B6385, ""fr"", ""en"")"),"Nice gift I bought this pen for a gift, the recipient was very happy, this pen has several very useful features.")</f>
        <v>Nice gift I bought this pen for a gift, the recipient was very happy, this pen has several very useful features.</v>
      </c>
    </row>
    <row r="6386">
      <c r="A6386" s="1">
        <v>5.0</v>
      </c>
      <c r="B6386" s="1" t="s">
        <v>6301</v>
      </c>
      <c r="C6386" t="str">
        <f>IFERROR(__xludf.DUMMYFUNCTION("GOOGLETRANSLATE(B6386, ""fr"", ""en"")"),"Glue sticks well well")</f>
        <v>Glue sticks well well</v>
      </c>
    </row>
    <row r="6387">
      <c r="A6387" s="1">
        <v>5.0</v>
      </c>
      <c r="B6387" s="1" t="s">
        <v>6302</v>
      </c>
      <c r="C6387" t="str">
        <f>IFERROR(__xludf.DUMMYFUNCTION("GOOGLETRANSLATE(B6387, ""fr"", ""en"")"),"Nike This is a beautiful blue")</f>
        <v>Nike This is a beautiful blue</v>
      </c>
    </row>
    <row r="6388">
      <c r="A6388" s="1">
        <v>5.0</v>
      </c>
      <c r="B6388" s="1" t="s">
        <v>6303</v>
      </c>
      <c r="C6388" t="str">
        <f>IFERROR(__xludf.DUMMYFUNCTION("GOOGLETRANSLATE(B6388, ""fr"", ""en"")"),"Destroyer efficient paper I am very satisfied with this destructive papers. It is true that the container is filled quickly but drains easily. by removing the motor block from above. I prefer to remove staples because they are likely to use knives rather "&amp;"quickly. Very good for the safe destruction of a family paper.")</f>
        <v>Destroyer efficient paper I am very satisfied with this destructive papers. It is true that the container is filled quickly but drains easily. by removing the motor block from above. I prefer to remove staples because they are likely to use knives rather quickly. Very good for the safe destruction of a family paper.</v>
      </c>
    </row>
    <row r="6389">
      <c r="A6389" s="1">
        <v>5.0</v>
      </c>
      <c r="B6389" s="1" t="s">
        <v>6304</v>
      </c>
      <c r="C6389" t="str">
        <f>IFERROR(__xludf.DUMMYFUNCTION("GOOGLETRANSLATE(B6389, ""fr"", ""en"")"),"Perfect Good quality, perfect music and resistant")</f>
        <v>Perfect Good quality, perfect music and resistant</v>
      </c>
    </row>
    <row r="6390">
      <c r="A6390" s="1">
        <v>5.0</v>
      </c>
      <c r="B6390" s="1" t="s">
        <v>6305</v>
      </c>
      <c r="C6390" t="str">
        <f>IFERROR(__xludf.DUMMYFUNCTION("GOOGLETRANSLATE(B6390, ""fr"", ""en"")"),"After a top model too, this one is perfect.")</f>
        <v>After a top model too, this one is perfect.</v>
      </c>
    </row>
    <row r="6391">
      <c r="A6391" s="1">
        <v>5.0</v>
      </c>
      <c r="B6391" s="1" t="s">
        <v>6306</v>
      </c>
      <c r="C6391" t="str">
        <f>IFERROR(__xludf.DUMMYFUNCTION("GOOGLETRANSLATE(B6391, ""fr"", ""en"")"),"ras received rapidly conforms to the ad size as expected nothing to say except that it is really nice and good quality")</f>
        <v>ras received rapidly conforms to the ad size as expected nothing to say except that it is really nice and good quality</v>
      </c>
    </row>
    <row r="6392">
      <c r="A6392" s="1">
        <v>5.0</v>
      </c>
      <c r="B6392" s="1" t="s">
        <v>6307</v>
      </c>
      <c r="C6392" t="str">
        <f>IFERROR(__xludf.DUMMYFUNCTION("GOOGLETRANSLATE(B6392, ""fr"", ""en"")"),"I recommend Rien.a fault .... perfect !!!!!")</f>
        <v>I recommend Rien.a fault .... perfect !!!!!</v>
      </c>
    </row>
    <row r="6393">
      <c r="A6393" s="1">
        <v>5.0</v>
      </c>
      <c r="B6393" s="1" t="s">
        <v>6308</v>
      </c>
      <c r="C6393" t="str">
        <f>IFERROR(__xludf.DUMMYFUNCTION("GOOGLETRANSLATE(B6393, ""fr"", ""en"")"),"just perfect too happy really relaxes its impeccable value price")</f>
        <v>just perfect too happy really relaxes its impeccable value price</v>
      </c>
    </row>
    <row r="6394">
      <c r="A6394" s="1">
        <v>5.0</v>
      </c>
      <c r="B6394" s="1" t="s">
        <v>6309</v>
      </c>
      <c r="C6394" t="str">
        <f>IFERROR(__xludf.DUMMYFUNCTION("GOOGLETRANSLATE(B6394, ""fr"", ""en"")"),"Excellent quality / price I bought this helmet because it offered the two options that I wanted to know the thread to listen to my online course on computer and Bluetooth for listening book / music by bike. Its look is a definite plus! It perfectly fills "&amp;"my expectations, the sound is good, satisfactory autonomy, it is easy to carry (it folds in on itself), the Bluetooth connection is done very easily. I do not regret my purchase and the Board strongly!")</f>
        <v>Excellent quality / price I bought this helmet because it offered the two options that I wanted to know the thread to listen to my online course on computer and Bluetooth for listening book / music by bike. Its look is a definite plus! It perfectly fills my expectations, the sound is good, satisfactory autonomy, it is easy to carry (it folds in on itself), the Bluetooth connection is done very easily. I do not regret my purchase and the Board strongly!</v>
      </c>
    </row>
    <row r="6395">
      <c r="A6395" s="1">
        <v>2.0</v>
      </c>
      <c r="B6395" s="1" t="s">
        <v>6310</v>
      </c>
      <c r="C6395" t="str">
        <f>IFERROR(__xludf.DUMMYFUNCTION("GOOGLETRANSLATE(B6395, ""fr"", ""en"")"),"I feel uncomfortable after 1/4 hour uncomfortable in my basket ... And after half an hour, they hurt the foot ... So my personal opinion, they are not comfortable at all ...")</f>
        <v>I feel uncomfortable after 1/4 hour uncomfortable in my basket ... And after half an hour, they hurt the foot ... So my personal opinion, they are not comfortable at all ...</v>
      </c>
    </row>
    <row r="6396">
      <c r="A6396" s="1">
        <v>1.0</v>
      </c>
      <c r="B6396" s="1" t="s">
        <v>6311</v>
      </c>
      <c r="C6396" t="str">
        <f>IFERROR(__xludf.DUMMYFUNCTION("GOOGLETRANSLATE(B6396, ""fr"", ""en"")"),"Broken after a year and a month Piece really very poor. The handle is held up for me but it is inside the handle it broke. Everything is in plastic inside the handle which is very fragile. Personally, this accessory has never set foot in the dishwasher. I"&amp;"n fact just press the button to the break. Simply unusable. I will try directly from Krups but I'm afraid it's the same fight since it is Krups resells on Amazon. Just have to buy a 3D printer to remake the plastic inside the handle.")</f>
        <v>Broken after a year and a month Piece really very poor. The handle is held up for me but it is inside the handle it broke. Everything is in plastic inside the handle which is very fragile. Personally, this accessory has never set foot in the dishwasher. In fact just press the button to the break. Simply unusable. I will try directly from Krups but I'm afraid it's the same fight since it is Krups resells on Amazon. Just have to buy a 3D printer to remake the plastic inside the handle.</v>
      </c>
    </row>
    <row r="6397">
      <c r="A6397" s="1">
        <v>3.0</v>
      </c>
      <c r="B6397" s="1" t="s">
        <v>6312</v>
      </c>
      <c r="C6397" t="str">
        <f>IFERROR(__xludf.DUMMYFUNCTION("GOOGLETRANSLATE(B6397, ""fr"", ""en"")"),"GOOD CUP SIZE WIND BUT A LITTLE SMALL WIND CUT THIS IS GOOD QUALITY WITH ITS PLEASANT LINING POLAR REMAINS OVER TIME. ONLY SIZE FLAT IT A LITTLE SMALL COMPARED TO MAKE ANOTHER COMPETITOR Windtalker")</f>
        <v>GOOD CUP SIZE WIND BUT A LITTLE SMALL WIND CUT THIS IS GOOD QUALITY WITH ITS PLEASANT LINING POLAR REMAINS OVER TIME. ONLY SIZE FLAT IT A LITTLE SMALL COMPARED TO MAKE ANOTHER COMPETITOR Windtalker</v>
      </c>
    </row>
    <row r="6398">
      <c r="A6398" s="1">
        <v>3.0</v>
      </c>
      <c r="B6398" s="1" t="s">
        <v>6313</v>
      </c>
      <c r="C6398" t="str">
        <f>IFERROR(__xludf.DUMMYFUNCTION("GOOGLETRANSLATE(B6398, ""fr"", ""en"")"),"Great ... but? I have yet to test this product it works and relieves pain he would have to check all the suckers as soon one of them has a leak but it is expensive ps")</f>
        <v>Great ... but? I have yet to test this product it works and relieves pain he would have to check all the suckers as soon one of them has a leak but it is expensive ps</v>
      </c>
    </row>
    <row r="6399">
      <c r="A6399" s="1">
        <v>3.0</v>
      </c>
      <c r="B6399" s="1" t="s">
        <v>6314</v>
      </c>
      <c r="C6399" t="str">
        <f>IFERROR(__xludf.DUMMYFUNCTION("GOOGLETRANSLATE(B6399, ""fr"", ""en"")"),"Although Mache")</f>
        <v>Although Mache</v>
      </c>
    </row>
    <row r="6400">
      <c r="A6400" s="1">
        <v>4.0</v>
      </c>
      <c r="B6400" s="1" t="s">
        <v>6315</v>
      </c>
      <c r="C6400" t="str">
        <f>IFERROR(__xludf.DUMMYFUNCTION("GOOGLETRANSLATE(B6400, ""fr"", ""en"")"),"Not bad Small and pratique.Ces, ribbons which sold for a good price. By cons they are not very easy to use, in my opinion ...")</f>
        <v>Not bad Small and pratique.Ces, ribbons which sold for a good price. By cons they are not very easy to use, in my opinion ...</v>
      </c>
    </row>
    <row r="6401">
      <c r="A6401" s="1">
        <v>4.0</v>
      </c>
      <c r="B6401" s="1" t="s">
        <v>6316</v>
      </c>
      <c r="C6401" t="str">
        <f>IFERROR(__xludf.DUMMYFUNCTION("GOOGLETRANSLATE(B6401, ""fr"", ""en"")"),"Perfect My son is delighted with this purchase can put more style games pac man ...")</f>
        <v>Perfect My son is delighted with this purchase can put more style games pac man ...</v>
      </c>
    </row>
    <row r="6402">
      <c r="A6402" s="1">
        <v>4.0</v>
      </c>
      <c r="B6402" s="1" t="s">
        <v>6317</v>
      </c>
      <c r="C6402" t="str">
        <f>IFERROR(__xludf.DUMMYFUNCTION("GOOGLETRANSLATE(B6402, ""fr"", ""en"")"),"Effective in private practice effective, practical and economical pack of 120")</f>
        <v>Effective in private practice effective, practical and economical pack of 120</v>
      </c>
    </row>
    <row r="6403">
      <c r="A6403" s="1">
        <v>4.0</v>
      </c>
      <c r="B6403" s="1" t="s">
        <v>6318</v>
      </c>
      <c r="C6403" t="str">
        <f>IFERROR(__xludf.DUMMYFUNCTION("GOOGLETRANSLATE(B6403, ""fr"", ""en"")"),"Perfect! This is my third pair me seem. They are solid, comfortable, pretty, sneakers ideal for the hot season or any time ... no rain! Attention a little too thick socks can be a source of mild discomfort, even if the shoes are flexible.")</f>
        <v>Perfect! This is my third pair me seem. They are solid, comfortable, pretty, sneakers ideal for the hot season or any time ... no rain! Attention a little too thick socks can be a source of mild discomfort, even if the shoes are flexible.</v>
      </c>
    </row>
    <row r="6404">
      <c r="A6404" s="1">
        <v>5.0</v>
      </c>
      <c r="B6404" s="1" t="s">
        <v>6319</v>
      </c>
      <c r="C6404" t="str">
        <f>IFERROR(__xludf.DUMMYFUNCTION("GOOGLETRANSLATE(B6404, ""fr"", ""en"")"),"Super windproof Good quality. windbreaker scratched stylish Ralph Lauren. Very good value for money.")</f>
        <v>Super windproof Good quality. windbreaker scratched stylish Ralph Lauren. Very good value for money.</v>
      </c>
    </row>
    <row r="6405">
      <c r="A6405" s="1">
        <v>5.0</v>
      </c>
      <c r="B6405" s="1" t="s">
        <v>6320</v>
      </c>
      <c r="C6405" t="str">
        <f>IFERROR(__xludf.DUMMYFUNCTION("GOOGLETRANSLATE(B6405, ""fr"", ""en"")"),"Effective effective even at low temperatures")</f>
        <v>Effective effective even at low temperatures</v>
      </c>
    </row>
    <row r="6406">
      <c r="A6406" s="1">
        <v>5.0</v>
      </c>
      <c r="B6406" s="1" t="s">
        <v>6321</v>
      </c>
      <c r="C6406" t="str">
        <f>IFERROR(__xludf.DUMMYFUNCTION("GOOGLETRANSLATE(B6406, ""fr"", ""en"")"),"Not knowing made me move Hip send a person home Bpost I loved my Puma receiving them, they are beautiful and pleasant to the feet of good size just what I ordered I the boards in feet that I must surgeon on board wear shoes like this one thanks Odette Alb"&amp;"ert Matheys")</f>
        <v>Not knowing made me move Hip send a person home Bpost I loved my Puma receiving them, they are beautiful and pleasant to the feet of good size just what I ordered I the boards in feet that I must surgeon on board wear shoes like this one thanks Odette Albert Matheys</v>
      </c>
    </row>
    <row r="6407">
      <c r="A6407" s="1">
        <v>5.0</v>
      </c>
      <c r="B6407" s="1" t="s">
        <v>6322</v>
      </c>
      <c r="C6407" t="str">
        <f>IFERROR(__xludf.DUMMYFUNCTION("GOOGLETRANSLATE(B6407, ""fr"", ""en"")"),"Nice gift idea! My kids asked me so many questions that I was tired of answering, this book is perfect for them! His answers to most of their questions. It is really top, the images are super pretty. I just love it")</f>
        <v>Nice gift idea! My kids asked me so many questions that I was tired of answering, this book is perfect for them! His answers to most of their questions. It is really top, the images are super pretty. I just love it</v>
      </c>
    </row>
    <row r="6408">
      <c r="A6408" s="1">
        <v>5.0</v>
      </c>
      <c r="B6408" s="1" t="s">
        <v>6323</v>
      </c>
      <c r="C6408" t="str">
        <f>IFERROR(__xludf.DUMMYFUNCTION("GOOGLETRANSLATE(B6408, ""fr"", ""en"")"),"Is what I was waiting for my work, I spend much time on the computer, and I was looking for a massage cushion to relieve my mild pain. This makes perfect his office. It is easy to install, can be used both on a car seat on a chair, and can be used without"&amp;" heating massage function (not push the power button to select). The massage function is nice, not too loud (no risk of injury because the device stops if we rely too much on it), and will stop automatically. Satisfied with my purchase.")</f>
        <v>Is what I was waiting for my work, I spend much time on the computer, and I was looking for a massage cushion to relieve my mild pain. This makes perfect his office. It is easy to install, can be used both on a car seat on a chair, and can be used without heating massage function (not push the power button to select). The massage function is nice, not too loud (no risk of injury because the device stops if we rely too much on it), and will stop automatically. Satisfied with my purchase.</v>
      </c>
    </row>
    <row r="6409">
      <c r="A6409" s="1">
        <v>5.0</v>
      </c>
      <c r="B6409" s="1" t="s">
        <v>6324</v>
      </c>
      <c r="C6409" t="str">
        <f>IFERROR(__xludf.DUMMYFUNCTION("GOOGLETRANSLATE(B6409, ""fr"", ""en"")"),"Slippers Hello. Slippers good quality. I took the 38/39 while I put on the 37. They go a little right.")</f>
        <v>Slippers Hello. Slippers good quality. I took the 38/39 while I put on the 37. They go a little right.</v>
      </c>
    </row>
    <row r="6410">
      <c r="A6410" s="1">
        <v>5.0</v>
      </c>
      <c r="B6410" s="1" t="s">
        <v>6325</v>
      </c>
      <c r="C6410" t="str">
        <f>IFERROR(__xludf.DUMMYFUNCTION("GOOGLETRANSLATE(B6410, ""fr"", ""en"")"),"Basketball Fan converse I wanted for my son. They are over the top but unfortunately too large. Okay we keep them because we pushed her little feet.")</f>
        <v>Basketball Fan converse I wanted for my son. They are over the top but unfortunately too large. Okay we keep them because we pushed her little feet.</v>
      </c>
    </row>
    <row r="6411">
      <c r="A6411" s="1">
        <v>5.0</v>
      </c>
      <c r="B6411" s="1" t="s">
        <v>6326</v>
      </c>
      <c r="C6411" t="str">
        <f>IFERROR(__xludf.DUMMYFUNCTION("GOOGLETRANSLATE(B6411, ""fr"", ""en"")"),"Bracelet tree of life I am very happy with my purchase, this bracelet and just beautiful, easy to simply pull on the cord ends to tighten. I, who is the wrist end c is parfais it is not too big. Quick delivery.")</f>
        <v>Bracelet tree of life I am very happy with my purchase, this bracelet and just beautiful, easy to simply pull on the cord ends to tighten. I, who is the wrist end c is parfais it is not too big. Quick delivery.</v>
      </c>
    </row>
    <row r="6412">
      <c r="A6412" s="1">
        <v>5.0</v>
      </c>
      <c r="B6412" s="1" t="s">
        <v>6327</v>
      </c>
      <c r="C6412" t="str">
        <f>IFERROR(__xludf.DUMMYFUNCTION("GOOGLETRANSLATE(B6412, ""fr"", ""en"")"),"Damn what how beautiful I am very satisfied! I was always afraid to buy on the internet jewelry, but this is the 3rd time with this panda jewelry, and I'm not disappointed, on the contrary! I am very satisfied! It's really beautiful, and exactly like the "&amp;"picture! I highly recommend this jewelry.")</f>
        <v>Damn what how beautiful I am very satisfied! I was always afraid to buy on the internet jewelry, but this is the 3rd time with this panda jewelry, and I'm not disappointed, on the contrary! I am very satisfied! It's really beautiful, and exactly like the picture! I highly recommend this jewelry.</v>
      </c>
    </row>
    <row r="6413">
      <c r="A6413" s="1">
        <v>5.0</v>
      </c>
      <c r="B6413" s="1" t="s">
        <v>6328</v>
      </c>
      <c r="C6413" t="str">
        <f>IFERROR(__xludf.DUMMYFUNCTION("GOOGLETRANSLATE(B6413, ""fr"", ""en"")"),"The class always excellent product")</f>
        <v>The class always excellent product</v>
      </c>
    </row>
    <row r="6414">
      <c r="A6414" s="1">
        <v>5.0</v>
      </c>
      <c r="B6414" s="1" t="s">
        <v>6329</v>
      </c>
      <c r="C6414" t="str">
        <f>IFERROR(__xludf.DUMMYFUNCTION("GOOGLETRANSLATE(B6414, ""fr"", ""en"")"),"Item arrived very quickly, and impeccable for the price! Very impressed with the sound quality of this small microphone, it really cheap kit offers superior sound pretty amazing for its price.")</f>
        <v>Item arrived very quickly, and impeccable for the price! Very impressed with the sound quality of this small microphone, it really cheap kit offers superior sound pretty amazing for its price.</v>
      </c>
    </row>
    <row r="6415">
      <c r="A6415" s="1">
        <v>5.0</v>
      </c>
      <c r="B6415" s="1" t="s">
        <v>6330</v>
      </c>
      <c r="C6415" t="str">
        <f>IFERROR(__xludf.DUMMYFUNCTION("GOOGLETRANSLATE(B6415, ""fr"", ""en"")"),"Magical ! It is magic that glove! Your shoes will shine. Very useful and cheap.")</f>
        <v>Magical ! It is magic that glove! Your shoes will shine. Very useful and cheap.</v>
      </c>
    </row>
    <row r="6416">
      <c r="A6416" s="1">
        <v>5.0</v>
      </c>
      <c r="B6416" s="1" t="s">
        <v>6331</v>
      </c>
      <c r="C6416" t="str">
        <f>IFERROR(__xludf.DUMMYFUNCTION("GOOGLETRANSLATE(B6416, ""fr"", ""en"")"),"Superb product superb product material strength can feel and it's good to keep it in hand is not great, but looks really robust")</f>
        <v>Superb product superb product material strength can feel and it's good to keep it in hand is not great, but looks really robust</v>
      </c>
    </row>
    <row r="6417">
      <c r="A6417" s="1">
        <v>5.0</v>
      </c>
      <c r="B6417" s="1" t="s">
        <v>6332</v>
      </c>
      <c r="C6417" t="str">
        <f>IFERROR(__xludf.DUMMYFUNCTION("GOOGLETRANSLATE(B6417, ""fr"", ""en"")"),"Headphones on top! In the top! I use it on the bike, transport or simply at home! Very nice design! The cargo box is also very nice! sound quality, touch function, synchronization left / right while nickel is !! I recommend !")</f>
        <v>Headphones on top! In the top! I use it on the bike, transport or simply at home! Very nice design! The cargo box is also very nice! sound quality, touch function, synchronization left / right while nickel is !! I recommend !</v>
      </c>
    </row>
    <row r="6418">
      <c r="A6418" s="1">
        <v>5.0</v>
      </c>
      <c r="B6418" s="1" t="s">
        <v>6333</v>
      </c>
      <c r="C6418" t="str">
        <f>IFERROR(__xludf.DUMMYFUNCTION("GOOGLETRANSLATE(B6418, ""fr"", ""en"")"),"Super RAS")</f>
        <v>Super RAS</v>
      </c>
    </row>
    <row r="6419">
      <c r="A6419" s="1">
        <v>2.0</v>
      </c>
      <c r="B6419" s="1" t="s">
        <v>6334</v>
      </c>
      <c r="C6419" t="str">
        <f>IFERROR(__xludf.DUMMYFUNCTION("GOOGLETRANSLATE(B6419, ""fr"", ""en"")"),"Disappointed Very pretty but disappointed because it lost all its color. Do that with the weekend and for the price I am truly disgusted because I have already buy less jewelry in small jewelry stores under two meters which have longer .....")</f>
        <v>Disappointed Very pretty but disappointed because it lost all its color. Do that with the weekend and for the price I am truly disgusted because I have already buy less jewelry in small jewelry stores under two meters which have longer .....</v>
      </c>
    </row>
    <row r="6420">
      <c r="A6420" s="1">
        <v>1.0</v>
      </c>
      <c r="B6420" s="1" t="s">
        <v>6335</v>
      </c>
      <c r="C6420" t="str">
        <f>IFERROR(__xludf.DUMMYFUNCTION("GOOGLETRANSLATE(B6420, ""fr"", ""en"")"),"Worst coffee of my life Carrément noisier than my washing machine, she's just pretty but quality level of operation it leaves to be desired. Disappointed")</f>
        <v>Worst coffee of my life Carrément noisier than my washing machine, she's just pretty but quality level of operation it leaves to be desired. Disappointed</v>
      </c>
    </row>
    <row r="6421">
      <c r="A6421" s="1">
        <v>1.0</v>
      </c>
      <c r="B6421" s="1" t="s">
        <v>6336</v>
      </c>
      <c r="C6421" t="str">
        <f>IFERROR(__xludf.DUMMYFUNCTION("GOOGLETRANSLATE(B6421, ""fr"", ""en"")"),"Transparent very very clear note I do not recommend the material is too weird I'm very disappointed beware")</f>
        <v>Transparent very very clear note I do not recommend the material is too weird I'm very disappointed beware</v>
      </c>
    </row>
    <row r="6422">
      <c r="A6422" s="1">
        <v>1.0</v>
      </c>
      <c r="B6422" s="1" t="s">
        <v>6337</v>
      </c>
      <c r="C6422" t="str">
        <f>IFERROR(__xludf.DUMMYFUNCTION("GOOGLETRANSLATE(B6422, ""fr"", ""en"")"),"I just mediocre quality receive luckily I checked before offering them at Christmas ... it lacks a zirconium on an earring at the nail !!!!")</f>
        <v>I just mediocre quality receive luckily I checked before offering them at Christmas ... it lacks a zirconium on an earring at the nail !!!!</v>
      </c>
    </row>
    <row r="6423">
      <c r="A6423" s="1">
        <v>3.0</v>
      </c>
      <c r="B6423" s="1" t="s">
        <v>6338</v>
      </c>
      <c r="C6423" t="str">
        <f>IFERROR(__xludf.DUMMYFUNCTION("GOOGLETRANSLATE(B6423, ""fr"", ""en"")"),"DOWN First order paper very resistant, since which time (October 2016) the quality drops the paper is however less resistant product value for money")</f>
        <v>DOWN First order paper very resistant, since which time (October 2016) the quality drops the paper is however less resistant product value for money</v>
      </c>
    </row>
    <row r="6424">
      <c r="A6424" s="1">
        <v>4.0</v>
      </c>
      <c r="B6424" s="1" t="s">
        <v>6339</v>
      </c>
      <c r="C6424" t="str">
        <f>IFERROR(__xludf.DUMMYFUNCTION("GOOGLETRANSLATE(B6424, ""fr"", ""en"")"),"ThermoPro TP65S WELL Works well. Pick up at times with the issuer, nothing bad. One complaint (LOST TIME) thing I had on my old thermometer. SATISFIED THROUGHOUT.")</f>
        <v>ThermoPro TP65S WELL Works well. Pick up at times with the issuer, nothing bad. One complaint (LOST TIME) thing I had on my old thermometer. SATISFIED THROUGHOUT.</v>
      </c>
    </row>
    <row r="6425">
      <c r="A6425" s="1">
        <v>4.0</v>
      </c>
      <c r="B6425" s="1" t="s">
        <v>6340</v>
      </c>
      <c r="C6425" t="str">
        <f>IFERROR(__xludf.DUMMYFUNCTION("GOOGLETRANSLATE(B6425, ""fr"", ""en"")"),"I recommend Product very well finished, light, elegant and discreet at once. A gift for my friend and I recommend. Very good choice for me.")</f>
        <v>I recommend Product very well finished, light, elegant and discreet at once. A gift for my friend and I recommend. Very good choice for me.</v>
      </c>
    </row>
    <row r="6426">
      <c r="A6426" s="1">
        <v>4.0</v>
      </c>
      <c r="B6426" s="1" t="s">
        <v>6341</v>
      </c>
      <c r="C6426" t="str">
        <f>IFERROR(__xludf.DUMMYFUNCTION("GOOGLETRANSLATE(B6426, ""fr"", ""en"")"),"Good value Works great for the price. As against it registers the slightest noise same my further. My son wanted it to record its gameplay but it's not the ideal")</f>
        <v>Good value Works great for the price. As against it registers the slightest noise same my further. My son wanted it to record its gameplay but it's not the ideal</v>
      </c>
    </row>
    <row r="6427">
      <c r="A6427" s="1">
        <v>4.0</v>
      </c>
      <c r="B6427" s="1" t="s">
        <v>6342</v>
      </c>
      <c r="C6427" t="str">
        <f>IFERROR(__xludf.DUMMYFUNCTION("GOOGLETRANSLATE(B6427, ""fr"", ""en"")"),"Comfortable City trips")</f>
        <v>Comfortable City trips</v>
      </c>
    </row>
    <row r="6428">
      <c r="A6428" s="1">
        <v>5.0</v>
      </c>
      <c r="B6428" s="1" t="s">
        <v>6343</v>
      </c>
      <c r="C6428" t="str">
        <f>IFERROR(__xludf.DUMMYFUNCTION("GOOGLETRANSLATE(B6428, ""fr"", ""en"")"),"Perfect value for money Meets description and photo")</f>
        <v>Perfect value for money Meets description and photo</v>
      </c>
    </row>
    <row r="6429">
      <c r="A6429" s="1">
        <v>5.0</v>
      </c>
      <c r="B6429" s="1" t="s">
        <v>6344</v>
      </c>
      <c r="C6429" t="str">
        <f>IFERROR(__xludf.DUMMYFUNCTION("GOOGLETRANSLATE(B6429, ""fr"", ""en"")"),"Okay Bought as an assistant kindergarten for the children to draw pictures on a large window without fear that they bring everywhere by walking with ... they cleaned very well even on toys, furniture .. .")</f>
        <v>Okay Bought as an assistant kindergarten for the children to draw pictures on a large window without fear that they bring everywhere by walking with ... they cleaned very well even on toys, furniture .. .</v>
      </c>
    </row>
    <row r="6430">
      <c r="A6430" s="1">
        <v>5.0</v>
      </c>
      <c r="B6430" s="1" t="s">
        <v>6345</v>
      </c>
      <c r="C6430" t="str">
        <f>IFERROR(__xludf.DUMMYFUNCTION("GOOGLETRANSLATE(B6430, ""fr"", ""en"")"),"Super watch Super, as always with Suunto, except on the part shows connected: not possible to remove the ringing notifications without putting the watch not to bother.")</f>
        <v>Super watch Super, as always with Suunto, except on the part shows connected: not possible to remove the ringing notifications without putting the watch not to bother.</v>
      </c>
    </row>
    <row r="6431">
      <c r="A6431" s="1">
        <v>5.0</v>
      </c>
      <c r="B6431" s="1" t="s">
        <v>6346</v>
      </c>
      <c r="C6431" t="str">
        <f>IFERROR(__xludf.DUMMYFUNCTION("GOOGLETRANSLATE(B6431, ""fr"", ""en"")"),"Ras Quality nuk nothing to say")</f>
        <v>Ras Quality nuk nothing to say</v>
      </c>
    </row>
    <row r="6432">
      <c r="A6432" s="1">
        <v>5.0</v>
      </c>
      <c r="B6432" s="1" t="s">
        <v>6347</v>
      </c>
      <c r="C6432" t="str">
        <f>IFERROR(__xludf.DUMMYFUNCTION("GOOGLETRANSLATE(B6432, ""fr"", ""en"")"),"Nice and quietly This essential oil diffuser distributes very well and does not make noise, it is significant because the one I had before was a terrible noise. You can adjust the transmission time for 1 hour, 2 or 3 H, then he stops himself. The soft lig"&amp;"ht slowly changes color, it's really good to relax after a hard day ... plus it is pretty good imitation of wood")</f>
        <v>Nice and quietly This essential oil diffuser distributes very well and does not make noise, it is significant because the one I had before was a terrible noise. You can adjust the transmission time for 1 hour, 2 or 3 H, then he stops himself. The soft light slowly changes color, it's really good to relax after a hard day ... plus it is pretty good imitation of wood</v>
      </c>
    </row>
    <row r="6433">
      <c r="A6433" s="1">
        <v>5.0</v>
      </c>
      <c r="B6433" s="1" t="s">
        <v>6348</v>
      </c>
      <c r="C6433" t="str">
        <f>IFERROR(__xludf.DUMMYFUNCTION("GOOGLETRANSLATE(B6433, ""fr"", ""en"")"),"very nice watch! nice finish - pretty nice color packaging beautiful product I recommend without any problems. . . . . .")</f>
        <v>very nice watch! nice finish - pretty nice color packaging beautiful product I recommend without any problems. . . . . .</v>
      </c>
    </row>
    <row r="6434">
      <c r="A6434" s="1">
        <v>5.0</v>
      </c>
      <c r="B6434" s="1" t="s">
        <v>6349</v>
      </c>
      <c r="C6434" t="str">
        <f>IFERROR(__xludf.DUMMYFUNCTION("GOOGLETRANSLATE(B6434, ""fr"", ""en"")"),"Pretty in addition to the pleasure of varying colors, while discretion with the same qualities and more! My son loves.")</f>
        <v>Pretty in addition to the pleasure of varying colors, while discretion with the same qualities and more! My son loves.</v>
      </c>
    </row>
    <row r="6435">
      <c r="A6435" s="1">
        <v>5.0</v>
      </c>
      <c r="B6435" s="1" t="s">
        <v>6350</v>
      </c>
      <c r="C6435" t="str">
        <f>IFERROR(__xludf.DUMMYFUNCTION("GOOGLETRANSLATE(B6435, ""fr"", ""en"")"),"Bose headphones bose soundsport product which as always is quality is not noise reduction so I have not given the star I recommend Very good sound")</f>
        <v>Bose headphones bose soundsport product which as always is quality is not noise reduction so I have not given the star I recommend Very good sound</v>
      </c>
    </row>
    <row r="6436">
      <c r="A6436" s="1">
        <v>5.0</v>
      </c>
      <c r="B6436" s="1" t="s">
        <v>6351</v>
      </c>
      <c r="C6436" t="str">
        <f>IFERROR(__xludf.DUMMYFUNCTION("GOOGLETRANSLATE(B6436, ""fr"", ""en"")"),"Pretty necklace Pretty necklace I love the style pretty good size I wore the whole day I adore good quality")</f>
        <v>Pretty necklace Pretty necklace I love the style pretty good size I wore the whole day I adore good quality</v>
      </c>
    </row>
    <row r="6437">
      <c r="A6437" s="1">
        <v>5.0</v>
      </c>
      <c r="B6437" s="1" t="s">
        <v>6352</v>
      </c>
      <c r="C6437" t="str">
        <f>IFERROR(__xludf.DUMMYFUNCTION("GOOGLETRANSLATE(B6437, ""fr"", ""en"")"),"Perfect really perfect I ordered twice a pack for me last year and one for my sister, everything is there. It adooorrreee !!!")</f>
        <v>Perfect really perfect I ordered twice a pack for me last year and one for my sister, everything is there. It adooorrreee !!!</v>
      </c>
    </row>
    <row r="6438">
      <c r="A6438" s="1">
        <v>5.0</v>
      </c>
      <c r="B6438" s="1" t="s">
        <v>6353</v>
      </c>
      <c r="C6438" t="str">
        <f>IFERROR(__xludf.DUMMYFUNCTION("GOOGLETRANSLATE(B6438, ""fr"", ""en"")"),"Satisfied Good mask")</f>
        <v>Satisfied Good mask</v>
      </c>
    </row>
    <row r="6439">
      <c r="A6439" s="1">
        <v>5.0</v>
      </c>
      <c r="B6439" s="1" t="s">
        <v>6354</v>
      </c>
      <c r="C6439" t="str">
        <f>IFERROR(__xludf.DUMMYFUNCTION("GOOGLETRANSLATE(B6439, ""fr"", ""en"")"),"Very good product The bottle warmer is well made. The duration of heating is based on the amount of water that is poured. A small measuring cup is provided for this purpose and binds very practical way on the back of the bottle warmer. The heating is rela"&amp;"tively fast. I recommend !")</f>
        <v>Very good product The bottle warmer is well made. The duration of heating is based on the amount of water that is poured. A small measuring cup is provided for this purpose and binds very practical way on the back of the bottle warmer. The heating is relatively fast. I recommend !</v>
      </c>
    </row>
    <row r="6440">
      <c r="A6440" s="1">
        <v>5.0</v>
      </c>
      <c r="B6440" s="1" t="s">
        <v>6355</v>
      </c>
      <c r="C6440" t="str">
        <f>IFERROR(__xludf.DUMMYFUNCTION("GOOGLETRANSLATE(B6440, ""fr"", ""en"")"),"Socks Perfect .... 😁")</f>
        <v>Socks Perfect .... 😁</v>
      </c>
    </row>
    <row r="6441">
      <c r="A6441" s="1">
        <v>5.0</v>
      </c>
      <c r="B6441" s="1" t="s">
        <v>1261</v>
      </c>
      <c r="C6441" t="str">
        <f>IFERROR(__xludf.DUMMYFUNCTION("GOOGLETRANSLATE(B6441, ""fr"", ""en"")"),"good good")</f>
        <v>good good</v>
      </c>
    </row>
    <row r="6442">
      <c r="A6442" s="1">
        <v>5.0</v>
      </c>
      <c r="B6442" s="1" t="s">
        <v>6356</v>
      </c>
      <c r="C6442" t="str">
        <f>IFERROR(__xludf.DUMMYFUNCTION("GOOGLETRANSLATE(B6442, ""fr"", ""en"")"),"remarkable Diffuser Diffuser top! The content advertises several hours, without adding oils. It holds over time, softens the atmosphere and delicately scented! Choose delicate essential oils, you can also combine several. I recommend +++")</f>
        <v>remarkable Diffuser Diffuser top! The content advertises several hours, without adding oils. It holds over time, softens the atmosphere and delicately scented! Choose delicate essential oils, you can also combine several. I recommend +++</v>
      </c>
    </row>
    <row r="6443">
      <c r="A6443" s="1">
        <v>2.0</v>
      </c>
      <c r="B6443" s="1" t="s">
        <v>6357</v>
      </c>
      <c r="C6443" t="str">
        <f>IFERROR(__xludf.DUMMYFUNCTION("GOOGLETRANSLATE(B6443, ""fr"", ""en"")"),"regrets size XXL QUALITY VERY WELL BUT XXL then that's my size XXL's really too outdated - I recommend a resumption of xlsi provided")</f>
        <v>regrets size XXL QUALITY VERY WELL BUT XXL then that's my size XXL's really too outdated - I recommend a resumption of xlsi provided</v>
      </c>
    </row>
    <row r="6444">
      <c r="A6444" s="1">
        <v>1.0</v>
      </c>
      <c r="B6444" s="1" t="s">
        <v>6358</v>
      </c>
      <c r="C6444" t="str">
        <f>IFERROR(__xludf.DUMMYFUNCTION("GOOGLETRANSLATE(B6444, ""fr"", ""en"")"),"Zippo Before it became completely noir.perdu color")</f>
        <v>Zippo Before it became completely noir.perdu color</v>
      </c>
    </row>
    <row r="6445">
      <c r="A6445" s="1">
        <v>3.0</v>
      </c>
      <c r="B6445" s="1" t="s">
        <v>6359</v>
      </c>
      <c r="C6445" t="str">
        <f>IFERROR(__xludf.DUMMYFUNCTION("GOOGLETRANSLATE(B6445, ""fr"", ""en"")"),"Size large I bought this pair of hiking shoes for a planned hike in Savoie. These shoes are lightweight By cons they carve great ... I gained 41 while I put on the 42 Quality is average.")</f>
        <v>Size large I bought this pair of hiking shoes for a planned hike in Savoie. These shoes are lightweight By cons they carve great ... I gained 41 while I put on the 42 Quality is average.</v>
      </c>
    </row>
    <row r="6446">
      <c r="A6446" s="1">
        <v>3.0</v>
      </c>
      <c r="B6446" s="1" t="s">
        <v>6360</v>
      </c>
      <c r="C6446" t="str">
        <f>IFERROR(__xludf.DUMMYFUNCTION("GOOGLETRANSLATE(B6446, ""fr"", ""en"")"),"Good idea The idea to pay attention to clean baby bottles is very good it is to try but I find that the liquid is not enough ""cleaner"" the bibirons had tendencies to stay ""fat""")</f>
        <v>Good idea The idea to pay attention to clean baby bottles is very good it is to try but I find that the liquid is not enough "cleaner" the bibirons had tendencies to stay "fat"</v>
      </c>
    </row>
    <row r="6447">
      <c r="A6447" s="1">
        <v>4.0</v>
      </c>
      <c r="B6447" s="1" t="s">
        <v>6361</v>
      </c>
      <c r="C6447" t="str">
        <f>IFERROR(__xludf.DUMMYFUNCTION("GOOGLETRANSLATE(B6447, ""fr"", ""en"")"),"cleaning useful on many materials, but not wallpapers")</f>
        <v>cleaning useful on many materials, but not wallpapers</v>
      </c>
    </row>
    <row r="6448">
      <c r="A6448" s="1">
        <v>4.0</v>
      </c>
      <c r="B6448" s="1" t="s">
        <v>6362</v>
      </c>
      <c r="C6448" t="str">
        <f>IFERROR(__xludf.DUMMYFUNCTION("GOOGLETRANSLATE(B6448, ""fr"", ""en"")"),"I recommend Very nice my boyfriend and delighted received indicate the day, well packaged!")</f>
        <v>I recommend Very nice my boyfriend and delighted received indicate the day, well packaged!</v>
      </c>
    </row>
    <row r="6449">
      <c r="A6449" s="1">
        <v>4.0</v>
      </c>
      <c r="B6449" s="1" t="s">
        <v>6363</v>
      </c>
      <c r="C6449" t="str">
        <f>IFERROR(__xludf.DUMMYFUNCTION("GOOGLETRANSLATE(B6449, ""fr"", ""en"")"),"Simple and efficient. Big size. Lack timer. Easy to install. 3 single heating levels and two independent sides. Heats very quickly and allows to be perfectly comfortable on position 1 overnight. Missing timer that would prevent forgetting to turn it off w"&amp;"hich happens often. Great size for bed 160.")</f>
        <v>Simple and efficient. Big size. Lack timer. Easy to install. 3 single heating levels and two independent sides. Heats very quickly and allows to be perfectly comfortable on position 1 overnight. Missing timer that would prevent forgetting to turn it off which happens often. Great size for bed 160.</v>
      </c>
    </row>
    <row r="6450">
      <c r="A6450" s="1">
        <v>4.0</v>
      </c>
      <c r="B6450" s="1" t="s">
        <v>6364</v>
      </c>
      <c r="C6450" t="str">
        <f>IFERROR(__xludf.DUMMYFUNCTION("GOOGLETRANSLATE(B6450, ""fr"", ""en"")"),"Practice Pen very nice and in addition it is rechargeable and erasable! A principle that avoids disposable! Available in all colors and styles!")</f>
        <v>Practice Pen very nice and in addition it is rechargeable and erasable! A principle that avoids disposable! Available in all colors and styles!</v>
      </c>
    </row>
    <row r="6451">
      <c r="A6451" s="1">
        <v>5.0</v>
      </c>
      <c r="B6451" s="1" t="s">
        <v>6365</v>
      </c>
      <c r="C6451" t="str">
        <f>IFERROR(__xludf.DUMMYFUNCTION("GOOGLETRANSLATE(B6451, ""fr"", ""en"")"),"Watch Very nice watch any worries for now")</f>
        <v>Watch Very nice watch any worries for now</v>
      </c>
    </row>
    <row r="6452">
      <c r="A6452" s="1">
        <v>5.0</v>
      </c>
      <c r="B6452" s="1" t="s">
        <v>6366</v>
      </c>
      <c r="C6452" t="str">
        <f>IFERROR(__xludf.DUMMYFUNCTION("GOOGLETRANSLATE(B6452, ""fr"", ""en"")"),"On top Complies with proper photo size and color and print bought for a birthday gift of")</f>
        <v>On top Complies with proper photo size and color and print bought for a birthday gift of</v>
      </c>
    </row>
    <row r="6453">
      <c r="A6453" s="1">
        <v>5.0</v>
      </c>
      <c r="B6453" s="1" t="s">
        <v>6367</v>
      </c>
      <c r="C6453" t="str">
        <f>IFERROR(__xludf.DUMMYFUNCTION("GOOGLETRANSLATE(B6453, ""fr"", ""en"")"),"nickel excellent fast printer easy to install; no need to read a book record, just the little demo flyer I already had a brother but that the bcp faster and effective by cons, it is large!")</f>
        <v>nickel excellent fast printer easy to install; no need to read a book record, just the little demo flyer I already had a brother but that the bcp faster and effective by cons, it is large!</v>
      </c>
    </row>
    <row r="6454">
      <c r="A6454" s="1">
        <v>5.0</v>
      </c>
      <c r="B6454" s="1" t="s">
        <v>6368</v>
      </c>
      <c r="C6454" t="str">
        <f>IFERROR(__xludf.DUMMYFUNCTION("GOOGLETRANSLATE(B6454, ""fr"", ""en"")"),"bag to recommend to all the world very happy with this purchase: practical and to size - you can put it on the back and on the front - you can store it easily and all the papers are easily put a shelf Fits ... quite what I expected")</f>
        <v>bag to recommend to all the world very happy with this purchase: practical and to size - you can put it on the back and on the front - you can store it easily and all the papers are easily put a shelf Fits ... quite what I expected</v>
      </c>
    </row>
    <row r="6455">
      <c r="A6455" s="1">
        <v>5.0</v>
      </c>
      <c r="B6455" s="1" t="s">
        <v>6369</v>
      </c>
      <c r="C6455" t="str">
        <f>IFERROR(__xludf.DUMMYFUNCTION("GOOGLETRANSLATE(B6455, ""fr"", ""en"")"),"buy to repel lice My daughter has a head lice it`s there is a that's it !! then after multiple shampoos' m rid here I put a few drops behind the ears and on top of the head every morning before leaving for école.ils do not like at all lavender and so much"&amp;" better !! For now it is going pretty well.")</f>
        <v>buy to repel lice My daughter has a head lice it`s there is a that's it !! then after multiple shampoos' m rid here I put a few drops behind the ears and on top of the head every morning before leaving for école.ils do not like at all lavender and so much better !! For now it is going pretty well.</v>
      </c>
    </row>
    <row r="6456">
      <c r="A6456" s="1">
        <v>5.0</v>
      </c>
      <c r="B6456" s="1" t="s">
        <v>6370</v>
      </c>
      <c r="C6456" t="str">
        <f>IFERROR(__xludf.DUMMYFUNCTION("GOOGLETRANSLATE(B6456, ""fr"", ""en"")"),"Put some color in your life ! Above all else, we must admit that the purchase was based on color. Very original, flashy. Of course the sound is very good and they are easy to wear. The association with the phone is fast, nothing to report. Similarly for a"&amp;"utonomy which is very significant. But the color! A favorite purchase which fortunately was not disappointing, it's still a quality product.")</f>
        <v>Put some color in your life ! Above all else, we must admit that the purchase was based on color. Very original, flashy. Of course the sound is very good and they are easy to wear. The association with the phone is fast, nothing to report. Similarly for autonomy which is very significant. But the color! A favorite purchase which fortunately was not disappointing, it's still a quality product.</v>
      </c>
    </row>
    <row r="6457">
      <c r="A6457" s="1">
        <v>5.0</v>
      </c>
      <c r="B6457" s="1" t="s">
        <v>6371</v>
      </c>
      <c r="C6457" t="str">
        <f>IFERROR(__xludf.DUMMYFUNCTION("GOOGLETRANSLATE(B6457, ""fr"", ""en"")"),"correct size product fits well at the foot Suitable for all sports")</f>
        <v>correct size product fits well at the foot Suitable for all sports</v>
      </c>
    </row>
    <row r="6458">
      <c r="A6458" s="1">
        <v>5.0</v>
      </c>
      <c r="B6458" s="1" t="s">
        <v>6372</v>
      </c>
      <c r="C6458" t="str">
        <f>IFERROR(__xludf.DUMMYFUNCTION("GOOGLETRANSLATE(B6458, ""fr"", ""en"")"),"Discovery is the first time I try myself with essential oils and it's really nice")</f>
        <v>Discovery is the first time I try myself with essential oils and it's really nice</v>
      </c>
    </row>
    <row r="6459">
      <c r="A6459" s="1">
        <v>5.0</v>
      </c>
      <c r="B6459" s="1" t="s">
        <v>6373</v>
      </c>
      <c r="C6459" t="str">
        <f>IFERROR(__xludf.DUMMYFUNCTION("GOOGLETRANSLATE(B6459, ""fr"", ""en"")"),"Shoes that fit comfortably under foot for a child (when it is the parent (s)) that is sought in a shoe is that it is flexible, it fits well in the foot, not too expensive and easy to put one (e) (for better battery life). These Puma sneakers fulfill all t"&amp;"he criteria (demanding or not) of the parents. Beautiful design, beautiful color, the top is soft leather and the sole is foam and thick leather. My daughter does not have cold feet and she loves to jump in puddles (which does not break me when basketball"&amp;") oddly it feet dry (well it is certain the feet do not soak either in) In short: A very good price / quality ratio. I would not hesitate to repeat another pair in larger size.")</f>
        <v>Shoes that fit comfortably under foot for a child (when it is the parent (s)) that is sought in a shoe is that it is flexible, it fits well in the foot, not too expensive and easy to put one (e) (for better battery life). These Puma sneakers fulfill all the criteria (demanding or not) of the parents. Beautiful design, beautiful color, the top is soft leather and the sole is foam and thick leather. My daughter does not have cold feet and she loves to jump in puddles (which does not break me when basketball) oddly it feet dry (well it is certain the feet do not soak either in) In short: A very good price / quality ratio. I would not hesitate to repeat another pair in larger size.</v>
      </c>
    </row>
    <row r="6460">
      <c r="A6460" s="1">
        <v>5.0</v>
      </c>
      <c r="B6460" s="1" t="s">
        <v>6374</v>
      </c>
      <c r="C6460" t="str">
        <f>IFERROR(__xludf.DUMMYFUNCTION("GOOGLETRANSLATE(B6460, ""fr"", ""en"")"),"Very good quality., Heats quickly")</f>
        <v>Very good quality., Heats quickly</v>
      </c>
    </row>
    <row r="6461">
      <c r="A6461" s="1">
        <v>5.0</v>
      </c>
      <c r="B6461" s="1" t="s">
        <v>6375</v>
      </c>
      <c r="C6461" t="str">
        <f>IFERROR(__xludf.DUMMYFUNCTION("GOOGLETRANSLATE(B6461, ""fr"", ""en"")"),"Pretty retro and practice shows Jolie shows very convenient. After one year, still works fine. In the top !")</f>
        <v>Pretty retro and practice shows Jolie shows very convenient. After one year, still works fine. In the top !</v>
      </c>
    </row>
    <row r="6462">
      <c r="A6462" s="1">
        <v>5.0</v>
      </c>
      <c r="B6462" s="1" t="s">
        <v>6376</v>
      </c>
      <c r="C6462" t="str">
        <f>IFERROR(__xludf.DUMMYFUNCTION("GOOGLETRANSLATE(B6462, ""fr"", ""en"")"),"Perfect gift for my daughter usual size controlled Perfect Quality A satisfactory price for this super mini colori")</f>
        <v>Perfect gift for my daughter usual size controlled Perfect Quality A satisfactory price for this super mini colori</v>
      </c>
    </row>
    <row r="6463">
      <c r="A6463" s="1">
        <v>5.0</v>
      </c>
      <c r="B6463" s="1" t="s">
        <v>6377</v>
      </c>
      <c r="C6463" t="str">
        <f>IFERROR(__xludf.DUMMYFUNCTION("GOOGLETRANSLATE(B6463, ""fr"", ""en"")"),"Casio - AE-2000WD-1AVEF - Standard - Watch. Very good and beautiful watch, quite big, easy to set as all casio watches I had, men's watch from my point of view. I recommend it.")</f>
        <v>Casio - AE-2000WD-1AVEF - Standard - Watch. Very good and beautiful watch, quite big, easy to set as all casio watches I had, men's watch from my point of view. I recommend it.</v>
      </c>
    </row>
    <row r="6464">
      <c r="A6464" s="1">
        <v>5.0</v>
      </c>
      <c r="B6464" s="1" t="s">
        <v>6378</v>
      </c>
      <c r="C6464" t="str">
        <f>IFERROR(__xludf.DUMMYFUNCTION("GOOGLETRANSLATE(B6464, ""fr"", ""en"")"),"Super Good article .. Pretty pretty bras .. Very comfortable")</f>
        <v>Super Good article .. Pretty pretty bras .. Very comfortable</v>
      </c>
    </row>
    <row r="6465">
      <c r="A6465" s="1">
        <v>5.0</v>
      </c>
      <c r="B6465" s="1" t="s">
        <v>6379</v>
      </c>
      <c r="C6465" t="str">
        <f>IFERROR(__xludf.DUMMYFUNCTION("GOOGLETRANSLATE(B6465, ""fr"", ""en"")"),"These cartridges are perfectly suitable for ... OfficeWorld These cartridges are perfectly adapted to a MG5750. Regarding reproduction quality on photo paper, I've never tried.")</f>
        <v>These cartridges are perfectly suitable for ... OfficeWorld These cartridges are perfectly adapted to a MG5750. Regarding reproduction quality on photo paper, I've never tried.</v>
      </c>
    </row>
    <row r="6466">
      <c r="A6466" s="1">
        <v>2.0</v>
      </c>
      <c r="B6466" s="1" t="s">
        <v>6380</v>
      </c>
      <c r="C6466" t="str">
        <f>IFERROR(__xludf.DUMMYFUNCTION("GOOGLETRANSLATE(B6466, ""fr"", ""en"")"),"The image is misleading I received A roll of paper bubbles. The image presents TWO rolls. In the analysis of the cost there is a big difference !! Damage, it seems to have made a mistake .... slightly induced by the product presentation")</f>
        <v>The image is misleading I received A roll of paper bubbles. The image presents TWO rolls. In the analysis of the cost there is a big difference !! Damage, it seems to have made a mistake .... slightly induced by the product presentation</v>
      </c>
    </row>
    <row r="6467">
      <c r="A6467" s="1">
        <v>1.0</v>
      </c>
      <c r="B6467" s="1" t="s">
        <v>6381</v>
      </c>
      <c r="C6467" t="str">
        <f>IFERROR(__xludf.DUMMYFUNCTION("GOOGLETRANSLATE(B6467, ""fr"", ""en"")"),"Quickly empty I bought these cartridges in May after two months of vacation during which we have nothing printed, cartridges are empty in September. So for a small family who do not consume a lot of ink or paper, these cartridges take two months ...")</f>
        <v>Quickly empty I bought these cartridges in May after two months of vacation during which we have nothing printed, cartridges are empty in September. So for a small family who do not consume a lot of ink or paper, these cartridges take two months ...</v>
      </c>
    </row>
    <row r="6468">
      <c r="A6468" s="1">
        <v>1.0</v>
      </c>
      <c r="B6468" s="1" t="s">
        <v>6382</v>
      </c>
      <c r="C6468" t="str">
        <f>IFERROR(__xludf.DUMMYFUNCTION("GOOGLETRANSLATE(B6468, ""fr"", ""en"")"),"Basketball stan Disappointed Product To have compared the same product at home, bought adidas store, too many differences between the two products I seemed to have a copy in the hands and not the original product, strong smell of plastic damage 😞")</f>
        <v>Basketball stan Disappointed Product To have compared the same product at home, bought adidas store, too many differences between the two products I seemed to have a copy in the hands and not the original product, strong smell of plastic damage 😞</v>
      </c>
    </row>
    <row r="6469">
      <c r="A6469" s="1">
        <v>3.0</v>
      </c>
      <c r="B6469" s="1" t="s">
        <v>6383</v>
      </c>
      <c r="C6469" t="str">
        <f>IFERROR(__xludf.DUMMYFUNCTION("GOOGLETRANSLATE(B6469, ""fr"", ""en"")"),"Leggings of good quality but little breathable I consider that although it is reported that 80% of the material is cotton, firstly it does not appear on the other hand it is a comfortable fabric to wear but little breathing. Despite this observation, I re"&amp;"commend it.")</f>
        <v>Leggings of good quality but little breathable I consider that although it is reported that 80% of the material is cotton, firstly it does not appear on the other hand it is a comfortable fabric to wear but little breathing. Despite this observation, I recommend it.</v>
      </c>
    </row>
    <row r="6470">
      <c r="A6470" s="1">
        <v>4.0</v>
      </c>
      <c r="B6470" s="1" t="s">
        <v>6384</v>
      </c>
      <c r="C6470" t="str">
        <f>IFERROR(__xludf.DUMMYFUNCTION("GOOGLETRANSLATE(B6470, ""fr"", ""en"")"),"Sock Lets wear sneakers without seeing the socks or boots or boots without having cold feet")</f>
        <v>Sock Lets wear sneakers without seeing the socks or boots or boots without having cold feet</v>
      </c>
    </row>
    <row r="6471">
      <c r="A6471" s="1">
        <v>4.0</v>
      </c>
      <c r="B6471" s="1" t="s">
        <v>6385</v>
      </c>
      <c r="C6471" t="str">
        <f>IFERROR(__xludf.DUMMYFUNCTION("GOOGLETRANSLATE(B6471, ""fr"", ""en"")"),"efficient galley In cable? deliver the next day at home and no complaints on this cable! it is quite thick as it should.")</f>
        <v>efficient galley In cable? deliver the next day at home and no complaints on this cable! it is quite thick as it should.</v>
      </c>
    </row>
    <row r="6472">
      <c r="A6472" s="1">
        <v>4.0</v>
      </c>
      <c r="B6472" s="1" t="s">
        <v>6386</v>
      </c>
      <c r="C6472" t="str">
        <f>IFERROR(__xludf.DUMMYFUNCTION("GOOGLETRANSLATE(B6472, ""fr"", ""en"")"),"Good, but Not discreet !! The quality is there, small size a little attention. Nice, but very VERY bright for the shots. It does not go unnoticed with these facet balls on the feet. Personally I take but I prefer to prevent 😄")</f>
        <v>Good, but Not discreet !! The quality is there, small size a little attention. Nice, but very VERY bright for the shots. It does not go unnoticed with these facet balls on the feet. Personally I take but I prefer to prevent 😄</v>
      </c>
    </row>
    <row r="6473">
      <c r="A6473" s="1">
        <v>4.0</v>
      </c>
      <c r="B6473" s="1" t="s">
        <v>6387</v>
      </c>
      <c r="C6473" t="str">
        <f>IFERROR(__xludf.DUMMYFUNCTION("GOOGLETRANSLATE(B6473, ""fr"", ""en"")"),"Very comfortable This combination is very comfortable and warm. The trouble is that it is too big and too broad.")</f>
        <v>Very comfortable This combination is very comfortable and warm. The trouble is that it is too big and too broad.</v>
      </c>
    </row>
    <row r="6474">
      <c r="A6474" s="1">
        <v>5.0</v>
      </c>
      <c r="B6474" s="1" t="s">
        <v>6388</v>
      </c>
      <c r="C6474" t="str">
        <f>IFERROR(__xludf.DUMMYFUNCTION("GOOGLETRANSLATE(B6474, ""fr"", ""en"")"),"Super Super bottle bottle !!!! It is super strong, my two year old spent his time doing falls everywhere and is always nickel !!!! Practice with its handles, very easy to clean with the brush silicone mam !!!")</f>
        <v>Super Super bottle bottle !!!! It is super strong, my two year old spent his time doing falls everywhere and is always nickel !!!! Practice with its handles, very easy to clean with the brush silicone mam !!!</v>
      </c>
    </row>
    <row r="6475">
      <c r="A6475" s="1">
        <v>5.0</v>
      </c>
      <c r="B6475" s="1" t="s">
        <v>6389</v>
      </c>
      <c r="C6475" t="str">
        <f>IFERROR(__xludf.DUMMYFUNCTION("GOOGLETRANSLATE(B6475, ""fr"", ""en"")"),"Eyeful We have full eyes with this pack of bottles. The colors are really pretty. In terms of ergonomics, there is nothing wrong. The shape of the bottle allows a good grip. The bottles unscrew and can be cleaned very easily. No spurious milk flows. moder"&amp;"ate rate. Teats for baby soft drink with ease. Finally, an excellent workmanship product!")</f>
        <v>Eyeful We have full eyes with this pack of bottles. The colors are really pretty. In terms of ergonomics, there is nothing wrong. The shape of the bottle allows a good grip. The bottles unscrew and can be cleaned very easily. No spurious milk flows. moderate rate. Teats for baby soft drink with ease. Finally, an excellent workmanship product!</v>
      </c>
    </row>
    <row r="6476">
      <c r="A6476" s="1">
        <v>5.0</v>
      </c>
      <c r="B6476" s="1" t="s">
        <v>6390</v>
      </c>
      <c r="C6476" t="str">
        <f>IFERROR(__xludf.DUMMYFUNCTION("GOOGLETRANSLATE(B6476, ""fr"", ""en"")"),"very good value for money nothing to say lightly. do not disrupt. rubber knows to be forgotten in a few days when I do not like to wear a watch.")</f>
        <v>very good value for money nothing to say lightly. do not disrupt. rubber knows to be forgotten in a few days when I do not like to wear a watch.</v>
      </c>
    </row>
    <row r="6477">
      <c r="A6477" s="1">
        <v>5.0</v>
      </c>
      <c r="B6477" s="1" t="s">
        <v>6391</v>
      </c>
      <c r="C6477" t="str">
        <f>IFERROR(__xludf.DUMMYFUNCTION("GOOGLETRANSLATE(B6477, ""fr"", ""en"")"),"basketball Nikel")</f>
        <v>basketball Nikel</v>
      </c>
    </row>
    <row r="6478">
      <c r="A6478" s="1">
        <v>5.0</v>
      </c>
      <c r="B6478" s="1" t="s">
        <v>6392</v>
      </c>
      <c r="C6478" t="str">
        <f>IFERROR(__xludf.DUMMYFUNCTION("GOOGLETRANSLATE(B6478, ""fr"", ""en"")"),"fine and discreet Very nice watch, fine and discreet, with two time zones in digital (more needles), a stopwatch, an alarm display 12/24, possibility of having a beep every hour. No light to see the time in the dark, but I do not really need.")</f>
        <v>fine and discreet Very nice watch, fine and discreet, with two time zones in digital (more needles), a stopwatch, an alarm display 12/24, possibility of having a beep every hour. No light to see the time in the dark, but I do not really need.</v>
      </c>
    </row>
    <row r="6479">
      <c r="A6479" s="1">
        <v>5.0</v>
      </c>
      <c r="B6479" s="1" t="s">
        <v>1547</v>
      </c>
      <c r="C6479" t="str">
        <f>IFERROR(__xludf.DUMMYFUNCTION("GOOGLETRANSLATE(B6479, ""fr"", ""en"")"),"Ras Ras")</f>
        <v>Ras Ras</v>
      </c>
    </row>
    <row r="6480">
      <c r="A6480" s="1">
        <v>5.0</v>
      </c>
      <c r="B6480" s="1" t="s">
        <v>6393</v>
      </c>
      <c r="C6480" t="str">
        <f>IFERROR(__xludf.DUMMYFUNCTION("GOOGLETRANSLATE(B6480, ""fr"", ""en"")"),"Top Nothing wrong .. I have one that dates back 15 years and is still in perfect condition. This was to offer. The quality is still there. Delighted with my purchase and the color is very pretty")</f>
        <v>Top Nothing wrong .. I have one that dates back 15 years and is still in perfect condition. This was to offer. The quality is still there. Delighted with my purchase and the color is very pretty</v>
      </c>
    </row>
    <row r="6481">
      <c r="A6481" s="1">
        <v>5.0</v>
      </c>
      <c r="B6481" s="1" t="s">
        <v>6394</v>
      </c>
      <c r="C6481" t="str">
        <f>IFERROR(__xludf.DUMMYFUNCTION("GOOGLETRANSLATE(B6481, ""fr"", ""en"")"),"Great product great product at great prices. I was worried about the cut, and it may fall to me the ear. But it fits perfectly! Very comfortable, and easy to use. I love the ease of automatic connection and disconnection because I remove or put back in th"&amp;"e charging unit. The product is high quality and good. The headphones are very good bones, good sound and easy to use. Overall, I highly recommend this product.")</f>
        <v>Great product great product at great prices. I was worried about the cut, and it may fall to me the ear. But it fits perfectly! Very comfortable, and easy to use. I love the ease of automatic connection and disconnection because I remove or put back in the charging unit. The product is high quality and good. The headphones are very good bones, good sound and easy to use. Overall, I highly recommend this product.</v>
      </c>
    </row>
    <row r="6482">
      <c r="A6482" s="1">
        <v>5.0</v>
      </c>
      <c r="B6482" s="1" t="s">
        <v>6395</v>
      </c>
      <c r="C6482" t="str">
        <f>IFERROR(__xludf.DUMMYFUNCTION("GOOGLETRANSLATE(B6482, ""fr"", ""en"")"),"Good value Bought for a third party who is happy for the comfort and safety")</f>
        <v>Good value Bought for a third party who is happy for the comfort and safety</v>
      </c>
    </row>
    <row r="6483">
      <c r="A6483" s="1">
        <v>5.0</v>
      </c>
      <c r="B6483" s="1" t="s">
        <v>6396</v>
      </c>
      <c r="C6483" t="str">
        <f>IFERROR(__xludf.DUMMYFUNCTION("GOOGLETRANSLATE(B6483, ""fr"", ""en"")"),"Perfect!! Perfect color. It is hot and the ideal is the hood. Size correctly.")</f>
        <v>Perfect!! Perfect color. It is hot and the ideal is the hood. Size correctly.</v>
      </c>
    </row>
    <row r="6484">
      <c r="A6484" s="1">
        <v>5.0</v>
      </c>
      <c r="B6484" s="1" t="s">
        <v>6397</v>
      </c>
      <c r="C6484" t="str">
        <f>IFERROR(__xludf.DUMMYFUNCTION("GOOGLETRANSLATE(B6484, ""fr"", ""en"")"),"RAS Nothing to say")</f>
        <v>RAS Nothing to say</v>
      </c>
    </row>
    <row r="6485">
      <c r="A6485" s="1">
        <v>5.0</v>
      </c>
      <c r="B6485" s="1" t="s">
        <v>6398</v>
      </c>
      <c r="C6485" t="str">
        <f>IFERROR(__xludf.DUMMYFUNCTION("GOOGLETRANSLATE(B6485, ""fr"", ""en"")"),"Excellent gift idea My little 4 year old daughter was delighted with this gift")</f>
        <v>Excellent gift idea My little 4 year old daughter was delighted with this gift</v>
      </c>
    </row>
    <row r="6486">
      <c r="A6486" s="1">
        <v>5.0</v>
      </c>
      <c r="B6486" s="1" t="s">
        <v>6399</v>
      </c>
      <c r="C6486" t="str">
        <f>IFERROR(__xludf.DUMMYFUNCTION("GOOGLETRANSLATE(B6486, ""fr"", ""en"")"),"Nickel good quality paper, consistent with the description. For now no problem patterns or tear. By cons it's a sacred stock.")</f>
        <v>Nickel good quality paper, consistent with the description. For now no problem patterns or tear. By cons it's a sacred stock.</v>
      </c>
    </row>
    <row r="6487">
      <c r="A6487" s="1">
        <v>5.0</v>
      </c>
      <c r="B6487" s="1" t="s">
        <v>6400</v>
      </c>
      <c r="C6487" t="str">
        <f>IFERROR(__xludf.DUMMYFUNCTION("GOOGLETRANSLATE(B6487, ""fr"", ""en"")"),"Super Super really nice it was for the person kdo is delighted mercii")</f>
        <v>Super Super really nice it was for the person kdo is delighted mercii</v>
      </c>
    </row>
    <row r="6488">
      <c r="A6488" s="1">
        <v>5.0</v>
      </c>
      <c r="B6488" s="1" t="s">
        <v>6401</v>
      </c>
      <c r="C6488" t="str">
        <f>IFERROR(__xludf.DUMMYFUNCTION("GOOGLETRANSLATE(B6488, ""fr"", ""en"")"),"Comfortable Very comfortable !!!")</f>
        <v>Comfortable Very comfortable !!!</v>
      </c>
    </row>
    <row r="6489">
      <c r="A6489" s="1">
        <v>2.0</v>
      </c>
      <c r="B6489" s="1" t="s">
        <v>6402</v>
      </c>
      <c r="C6489" t="str">
        <f>IFERROR(__xludf.DUMMYFUNCTION("GOOGLETRANSLATE(B6489, ""fr"", ""en"")"),"well-sealed ... ... but the soles a little too soft ... I feel the pebbles and gravel")</f>
        <v>well-sealed ... ... but the soles a little too soft ... I feel the pebbles and gravel</v>
      </c>
    </row>
    <row r="6490">
      <c r="A6490" s="1">
        <v>1.0</v>
      </c>
      <c r="B6490" s="1" t="s">
        <v>6403</v>
      </c>
      <c r="C6490" t="str">
        <f>IFERROR(__xludf.DUMMYFUNCTION("GOOGLETRANSLATE(B6490, ""fr"", ""en"")"),"very unhappy with the command hello I just open the ink cartridges and there is a big problem I ordered a pack with a black cartridge and a color I just look and I got two black cartridges but against I do not have color cartridge that must be done ????? "&amp;"I absolutely need a color cartridge !!!!!!!!! waiting for a fast response cordially")</f>
        <v>very unhappy with the command hello I just open the ink cartridges and there is a big problem I ordered a pack with a black cartridge and a color I just look and I got two black cartridges but against I do not have color cartridge that must be done ????? I absolutely need a color cartridge !!!!!!!!! waiting for a fast response cordially</v>
      </c>
    </row>
    <row r="6491">
      <c r="A6491" s="1">
        <v>3.0</v>
      </c>
      <c r="B6491" s="1" t="s">
        <v>6404</v>
      </c>
      <c r="C6491" t="str">
        <f>IFERROR(__xludf.DUMMYFUNCTION("GOOGLETRANSLATE(B6491, ""fr"", ""en"")"),"Predict adapter for the proper functioning Good sound, light but there must be a SCART adapter with audio input as the optical works but have to change before each use Yet recent TV audio settings")</f>
        <v>Predict adapter for the proper functioning Good sound, light but there must be a SCART adapter with audio input as the optical works but have to change before each use Yet recent TV audio settings</v>
      </c>
    </row>
    <row r="6492">
      <c r="A6492" s="1">
        <v>3.0</v>
      </c>
      <c r="B6492" s="1" t="s">
        <v>6405</v>
      </c>
      <c r="C6492" t="str">
        <f>IFERROR(__xludf.DUMMYFUNCTION("GOOGLETRANSLATE(B6492, ""fr"", ""en"")"),"Although not correspond exactly to the product photo")</f>
        <v>Although not correspond exactly to the product photo</v>
      </c>
    </row>
    <row r="6493">
      <c r="A6493" s="1">
        <v>4.0</v>
      </c>
      <c r="B6493" s="1" t="s">
        <v>6406</v>
      </c>
      <c r="C6493" t="str">
        <f>IFERROR(__xludf.DUMMYFUNCTION("GOOGLETRANSLATE(B6493, ""fr"", ""en"")"),"be well in its air basquets walking")</f>
        <v>be well in its air basquets walking</v>
      </c>
    </row>
    <row r="6494">
      <c r="A6494" s="1">
        <v>4.0</v>
      </c>
      <c r="B6494" s="1" t="s">
        <v>6407</v>
      </c>
      <c r="C6494" t="str">
        <f>IFERROR(__xludf.DUMMYFUNCTION("GOOGLETRANSLATE(B6494, ""fr"", ""en"")"),"Well Hello / Good evening, I vein to receive it without headset and I tried on all music with very low prices and the quality of sound is great, the music does not change that with better quality earphone, it is easy transported and stronger than we think"&amp;". The only problem is that if you put loud music or games, you can hear that you listened from outside but for her it is necessary to sound rather strong. I board for the price")</f>
        <v>Well Hello / Good evening, I vein to receive it without headset and I tried on all music with very low prices and the quality of sound is great, the music does not change that with better quality earphone, it is easy transported and stronger than we think. The only problem is that if you put loud music or games, you can hear that you listened from outside but for her it is necessary to sound rather strong. I board for the price</v>
      </c>
    </row>
    <row r="6495">
      <c r="A6495" s="1">
        <v>4.0</v>
      </c>
      <c r="B6495" s="1" t="s">
        <v>6408</v>
      </c>
      <c r="C6495" t="str">
        <f>IFERROR(__xludf.DUMMYFUNCTION("GOOGLETRANSLATE(B6495, ""fr"", ""en"")"),"Very nice design I am completely satisfied with this purchase. the kettle is really pretty. Only small downside is a bit heavy (but then the others are too)")</f>
        <v>Very nice design I am completely satisfied with this purchase. the kettle is really pretty. Only small downside is a bit heavy (but then the others are too)</v>
      </c>
    </row>
    <row r="6496">
      <c r="A6496" s="1">
        <v>4.0</v>
      </c>
      <c r="B6496" s="1" t="s">
        <v>6409</v>
      </c>
      <c r="C6496" t="str">
        <f>IFERROR(__xludf.DUMMYFUNCTION("GOOGLETRANSLATE(B6496, ""fr"", ""en"")"),"Nickel but a bit pricey though, as these are HP cartridges, I never had a problem recognizing my printer. As I pretty prints for my work, I drive about three game cartridges (350XL 351XL +) per year. If the price was a little lower, it would be perfect .."&amp;".")</f>
        <v>Nickel but a bit pricey though, as these are HP cartridges, I never had a problem recognizing my printer. As I pretty prints for my work, I drive about three game cartridges (350XL 351XL +) per year. If the price was a little lower, it would be perfect ...</v>
      </c>
    </row>
    <row r="6497">
      <c r="A6497" s="1">
        <v>5.0</v>
      </c>
      <c r="B6497" s="1" t="s">
        <v>6410</v>
      </c>
      <c r="C6497" t="str">
        <f>IFERROR(__xludf.DUMMYFUNCTION("GOOGLETRANSLATE(B6497, ""fr"", ""en"")"),"super nice supports hurt, very comfortable! I recommend !")</f>
        <v>super nice supports hurt, very comfortable! I recommend !</v>
      </c>
    </row>
    <row r="6498">
      <c r="A6498" s="1">
        <v>5.0</v>
      </c>
      <c r="B6498" s="1" t="s">
        <v>6411</v>
      </c>
      <c r="C6498" t="str">
        <f>IFERROR(__xludf.DUMMYFUNCTION("GOOGLETRANSLATE(B6498, ""fr"", ""en"")"),"Great but take its usual size! Super nothing to say Taking its usual size because the shoes well carve (for my part, battery poile)")</f>
        <v>Great but take its usual size! Super nothing to say Taking its usual size because the shoes well carve (for my part, battery poile)</v>
      </c>
    </row>
    <row r="6499">
      <c r="A6499" s="1">
        <v>5.0</v>
      </c>
      <c r="B6499" s="1" t="s">
        <v>6412</v>
      </c>
      <c r="C6499" t="str">
        <f>IFERROR(__xludf.DUMMYFUNCTION("GOOGLETRANSLATE(B6499, ""fr"", ""en"")"),"Nothing to say I often used to print my postal stamp and address on the letters. They stick well. Perfect.")</f>
        <v>Nothing to say I often used to print my postal stamp and address on the letters. They stick well. Perfect.</v>
      </c>
    </row>
    <row r="6500">
      <c r="A6500" s="1">
        <v>5.0</v>
      </c>
      <c r="B6500" s="1" t="s">
        <v>6413</v>
      </c>
      <c r="C6500" t="str">
        <f>IFERROR(__xludf.DUMMYFUNCTION("GOOGLETRANSLATE(B6500, ""fr"", ""en"")"),"Puma Smash V2 Leather, Sneakers Low Pretty little shoes go everywhere. Taking flash sale with a very attractive price in black and black and white.")</f>
        <v>Puma Smash V2 Leather, Sneakers Low Pretty little shoes go everywhere. Taking flash sale with a very attractive price in black and black and white.</v>
      </c>
    </row>
    <row r="6501">
      <c r="A6501" s="1">
        <v>5.0</v>
      </c>
      <c r="B6501" s="1" t="s">
        <v>6414</v>
      </c>
      <c r="C6501" t="str">
        <f>IFERROR(__xludf.DUMMYFUNCTION("GOOGLETRANSLATE(B6501, ""fr"", ""en"")"),"Okay Practice")</f>
        <v>Okay Practice</v>
      </c>
    </row>
    <row r="6502">
      <c r="A6502" s="1">
        <v>5.0</v>
      </c>
      <c r="B6502" s="1" t="s">
        <v>6415</v>
      </c>
      <c r="C6502" t="str">
        <f>IFERROR(__xludf.DUMMYFUNCTION("GOOGLETRANSLATE(B6502, ""fr"", ""en"")"),"Nickel Shoes received quickly parcels in very good condition. Well finished, comfortable for what Merrell. A good product, especially when there are promotions (€ 45 this one here), the problem of Merrell and comfortable shoes in general is that when we u"&amp;"se every day, she eventually break or s' open at the seams. Durability of about 1 year in pairs .. but I continue to buy because they are great.")</f>
        <v>Nickel Shoes received quickly parcels in very good condition. Well finished, comfortable for what Merrell. A good product, especially when there are promotions (€ 45 this one here), the problem of Merrell and comfortable shoes in general is that when we use every day, she eventually break or s' open at the seams. Durability of about 1 year in pairs .. but I continue to buy because they are great.</v>
      </c>
    </row>
    <row r="6503">
      <c r="A6503" s="1">
        <v>5.0</v>
      </c>
      <c r="B6503" s="1" t="s">
        <v>6416</v>
      </c>
      <c r="C6503" t="str">
        <f>IFERROR(__xludf.DUMMYFUNCTION("GOOGLETRANSLATE(B6503, ""fr"", ""en"")"),"Very good article, very elegant I ordered this watch for my sister. The delivery was really fast. The watch itself is really pretty. The silver needles out well on the navy blue background. The clasp is fine, once closed, no way he stands. I even had a li"&amp;"ttle trouble re-open. It is a watch that suits the generous wrist cuffs as small as it is adjustable.")</f>
        <v>Very good article, very elegant I ordered this watch for my sister. The delivery was really fast. The watch itself is really pretty. The silver needles out well on the navy blue background. The clasp is fine, once closed, no way he stands. I even had a little trouble re-open. It is a watch that suits the generous wrist cuffs as small as it is adjustable.</v>
      </c>
    </row>
    <row r="6504">
      <c r="A6504" s="1">
        <v>5.0</v>
      </c>
      <c r="B6504" s="1" t="s">
        <v>6417</v>
      </c>
      <c r="C6504" t="str">
        <f>IFERROR(__xludf.DUMMYFUNCTION("GOOGLETRANSLATE(B6504, ""fr"", ""en"")"),"Nothing to say ! Nothing to say about these flints. They do what they are asked to do.")</f>
        <v>Nothing to say ! Nothing to say about these flints. They do what they are asked to do.</v>
      </c>
    </row>
    <row r="6505">
      <c r="A6505" s="1">
        <v>5.0</v>
      </c>
      <c r="B6505" s="1" t="s">
        <v>6418</v>
      </c>
      <c r="C6505" t="str">
        <f>IFERROR(__xludf.DUMMYFUNCTION("GOOGLETRANSLATE(B6505, ""fr"", ""en"")"),"A compact but adequate ""small"" toaster stainless steel home Russel Hobbs. sufficient to toast 2 slices stick or a wide toast. Ideal for breakfast lovers, but especially ideal for restoring their full potential with leftover bread from the day before (I "&amp;"go to a real baker, bread placed in a plastic bag is still soft the next day, and delicious grilled) Use very simple and fairly intuitive. - the cursor at the front, graduated 1 to 6 makes it possible to adjust the intensity. - Pressing the lever on the r"&amp;"ight side to get off the bread - The display for a few seconds the degree of ""browning"" selected - During this time, you can press the right button on the front panel to activate the ""reheating, which will cool a slice in seconds - If you wait, the tim"&amp;"er will start (80 seconds on the level 6) it is quite fast, and the bread is toasted well without being burned the left button. used to thaw the middle button to cancel / stop the outstanding operation. the lever on the left deploys two metal bars, helpfu"&amp;"l to ask one or two growing such (not tried, I prefer the stick!)")</f>
        <v>A compact but adequate "small" toaster stainless steel home Russel Hobbs. sufficient to toast 2 slices stick or a wide toast. Ideal for breakfast lovers, but especially ideal for restoring their full potential with leftover bread from the day before (I go to a real baker, bread placed in a plastic bag is still soft the next day, and delicious grilled) Use very simple and fairly intuitive. - the cursor at the front, graduated 1 to 6 makes it possible to adjust the intensity. - Pressing the lever on the right side to get off the bread - The display for a few seconds the degree of "browning" selected - During this time, you can press the right button on the front panel to activate the "reheating, which will cool a slice in seconds - If you wait, the timer will start (80 seconds on the level 6) it is quite fast, and the bread is toasted well without being burned the left button. used to thaw the middle button to cancel / stop the outstanding operation. the lever on the left deploys two metal bars, helpful to ask one or two growing such (not tried, I prefer the stick!)</v>
      </c>
    </row>
    <row r="6506">
      <c r="A6506" s="1">
        <v>5.0</v>
      </c>
      <c r="B6506" s="1" t="s">
        <v>6419</v>
      </c>
      <c r="C6506" t="str">
        <f>IFERROR(__xludf.DUMMYFUNCTION("GOOGLETRANSLATE(B6506, ""fr"", ""en"")"),"Good kit, very good cheap kit for a very affordable price, since they are glass bottles (thus necessarily more expensive than plastic). This makes a great gift of birth, especially as baby bottles are not labeled male or female since no decorative pattern"&amp;" on it. Perfect for the first 6 months.")</f>
        <v>Good kit, very good cheap kit for a very affordable price, since they are glass bottles (thus necessarily more expensive than plastic). This makes a great gift of birth, especially as baby bottles are not labeled male or female since no decorative pattern on it. Perfect for the first 6 months.</v>
      </c>
    </row>
    <row r="6507">
      <c r="A6507" s="1">
        <v>5.0</v>
      </c>
      <c r="B6507" s="1" t="s">
        <v>6420</v>
      </c>
      <c r="C6507" t="str">
        <f>IFERROR(__xludf.DUMMYFUNCTION("GOOGLETRANSLATE(B6507, ""fr"", ""en"")"),"Buy Perfect as a gift, perfect")</f>
        <v>Buy Perfect as a gift, perfect</v>
      </c>
    </row>
    <row r="6508">
      <c r="A6508" s="1">
        <v>5.0</v>
      </c>
      <c r="B6508" s="1" t="s">
        <v>6421</v>
      </c>
      <c r="C6508" t="str">
        <f>IFERROR(__xludf.DUMMYFUNCTION("GOOGLETRANSLATE(B6508, ""fr"", ""en"")"),"Pleasantly surprised ! After several discussions I embarked on these headphones have only positive comments from all customers and I thought, I'll try and surprise I admit that these headphones worthy of high marks on all fronts. My 18 year old son did no"&amp;"t I buy the (absolutely wanted ..... the famous brand) and after receiving them stung me and told me the is no difference between these headphones and other. Danque I recommend eyes closed.")</f>
        <v>Pleasantly surprised ! After several discussions I embarked on these headphones have only positive comments from all customers and I thought, I'll try and surprise I admit that these headphones worthy of high marks on all fronts. My 18 year old son did not I buy the (absolutely wanted ..... the famous brand) and after receiving them stung me and told me the is no difference between these headphones and other. Danque I recommend eyes closed.</v>
      </c>
    </row>
    <row r="6509">
      <c r="A6509" s="1">
        <v>5.0</v>
      </c>
      <c r="B6509" s="1" t="s">
        <v>6422</v>
      </c>
      <c r="C6509" t="str">
        <f>IFERROR(__xludf.DUMMYFUNCTION("GOOGLETRANSLATE(B6509, ""fr"", ""en"")"),"Safety shoes exactly like the picture, lightweight received with a pair of black socks and spare laces, take a size above for the 42, take 43")</f>
        <v>Safety shoes exactly like the picture, lightweight received with a pair of black socks and spare laces, take a size above for the 42, take 43</v>
      </c>
    </row>
    <row r="6510">
      <c r="A6510" s="1">
        <v>5.0</v>
      </c>
      <c r="B6510" s="1" t="s">
        <v>6423</v>
      </c>
      <c r="C6510" t="str">
        <f>IFERROR(__xludf.DUMMYFUNCTION("GOOGLETRANSLATE(B6510, ""fr"", ""en"")"),"Perfect Dark Perfect Dark class class")</f>
        <v>Perfect Dark Perfect Dark class class</v>
      </c>
    </row>
    <row r="6511">
      <c r="A6511" s="1">
        <v>5.0</v>
      </c>
      <c r="B6511" s="1" t="s">
        <v>6424</v>
      </c>
      <c r="C6511" t="str">
        <f>IFERROR(__xludf.DUMMYFUNCTION("GOOGLETRANSLATE(B6511, ""fr"", ""en"")"),"Super nice product too I think I am not pass me a little time to warm the bed do not forget to turn it on good 10 minutes before going to bed")</f>
        <v>Super nice product too I think I am not pass me a little time to warm the bed do not forget to turn it on good 10 minutes before going to bed</v>
      </c>
    </row>
    <row r="6512">
      <c r="A6512" s="1">
        <v>2.0</v>
      </c>
      <c r="B6512" s="1" t="s">
        <v>6425</v>
      </c>
      <c r="C6512" t="str">
        <f>IFERROR(__xludf.DUMMYFUNCTION("GOOGLETRANSLATE(B6512, ""fr"", ""en"")"),"Not very useful I bought bottles Advent glass and I thought that this would protect cloth cover and keep warm a little. While the glass bottle is better protected in case of fall, but for keeping warm is not terrible. In the end, I'm hardly used it. For t"&amp;"he price it's a shame.")</f>
        <v>Not very useful I bought bottles Advent glass and I thought that this would protect cloth cover and keep warm a little. While the glass bottle is better protected in case of fall, but for keeping warm is not terrible. In the end, I'm hardly used it. For the price it's a shame.</v>
      </c>
    </row>
    <row r="6513">
      <c r="A6513" s="1">
        <v>1.0</v>
      </c>
      <c r="B6513" s="1" t="s">
        <v>6426</v>
      </c>
      <c r="C6513" t="str">
        <f>IFERROR(__xludf.DUMMYFUNCTION("GOOGLETRANSLATE(B6513, ""fr"", ""en"")"),"incomplete Pump J bought this pump on 17 March. I have committed the error that did open in July (time of watering) m I realize that it lacks the pump nozzle ... I am disappointed that material which is boasted to me the merits")</f>
        <v>incomplete Pump J bought this pump on 17 March. I have committed the error that did open in July (time of watering) m I realize that it lacks the pump nozzle ... I am disappointed that material which is boasted to me the merits</v>
      </c>
    </row>
    <row r="6514">
      <c r="A6514" s="1">
        <v>1.0</v>
      </c>
      <c r="B6514" s="1" t="s">
        <v>6427</v>
      </c>
      <c r="C6514" t="str">
        <f>IFERROR(__xludf.DUMMYFUNCTION("GOOGLETRANSLATE(B6514, ""fr"", ""en"")"),"it was only a dream ...... False converse, converses false, certe! cheap but fake, go your way and go in the store is a little more expensive but at least ........ you are about to have the brand .... but not happy at all but not at all ......")</f>
        <v>it was only a dream ...... False converse, converses false, certe! cheap but fake, go your way and go in the store is a little more expensive but at least ........ you are about to have the brand .... but not happy at all but not at all ......</v>
      </c>
    </row>
    <row r="6515">
      <c r="A6515" s="1">
        <v>3.0</v>
      </c>
      <c r="B6515" s="1" t="s">
        <v>6428</v>
      </c>
      <c r="C6515" t="str">
        <f>IFERROR(__xludf.DUMMYFUNCTION("GOOGLETRANSLATE(B6515, ""fr"", ""en"")"),"Great, except ... a week of use, too short to assess, however, I only takes 3 stars because I received a watch with day in fertilizer and Spanish. Amazon could pay attention to this detail, the command coming from France. Otherwise very nice watch, more b"&amp;"eautiful than the picture.")</f>
        <v>Great, except ... a week of use, too short to assess, however, I only takes 3 stars because I received a watch with day in fertilizer and Spanish. Amazon could pay attention to this detail, the command coming from France. Otherwise very nice watch, more beautiful than the picture.</v>
      </c>
    </row>
    <row r="6516">
      <c r="A6516" s="1">
        <v>3.0</v>
      </c>
      <c r="B6516" s="1" t="s">
        <v>6429</v>
      </c>
      <c r="C6516" t="str">
        <f>IFERROR(__xludf.DUMMYFUNCTION("GOOGLETRANSLATE(B6516, ""fr"", ""en"")"),"Quality Same as phot by against a little big size")</f>
        <v>Quality Same as phot by against a little big size</v>
      </c>
    </row>
    <row r="6517">
      <c r="A6517" s="1">
        <v>4.0</v>
      </c>
      <c r="B6517" s="1" t="s">
        <v>6430</v>
      </c>
      <c r="C6517" t="str">
        <f>IFERROR(__xludf.DUMMYFUNCTION("GOOGLETRANSLATE(B6517, ""fr"", ""en"")"),"Good shoe. Buy during my period vegan they had already impeccable and the sound remained.")</f>
        <v>Good shoe. Buy during my period vegan they had already impeccable and the sound remained.</v>
      </c>
    </row>
    <row r="6518">
      <c r="A6518" s="1">
        <v>4.0</v>
      </c>
      <c r="B6518" s="1" t="s">
        <v>6431</v>
      </c>
      <c r="C6518" t="str">
        <f>IFERROR(__xludf.DUMMYFUNCTION("GOOGLETRANSLATE(B6518, ""fr"", ""en"")"),"TO BUY IF SMALL BAG color a little surprising because in the picture it appears less bright but pleasant final bag. I suggest if small satchel will.")</f>
        <v>TO BUY IF SMALL BAG color a little surprising because in the picture it appears less bright but pleasant final bag. I suggest if small satchel will.</v>
      </c>
    </row>
    <row r="6519">
      <c r="A6519" s="1">
        <v>4.0</v>
      </c>
      <c r="B6519" s="1" t="s">
        <v>6432</v>
      </c>
      <c r="C6519" t="str">
        <f>IFERROR(__xludf.DUMMYFUNCTION("GOOGLETRANSLATE(B6519, ""fr"", ""en"")"),"Teapot and Kettle Rapid heating stop indicated by a small noise useful, easy to use, by cons do not forget to leave the water when the tea filter the signal suggests!")</f>
        <v>Teapot and Kettle Rapid heating stop indicated by a small noise useful, easy to use, by cons do not forget to leave the water when the tea filter the signal suggests!</v>
      </c>
    </row>
    <row r="6520">
      <c r="A6520" s="1">
        <v>4.0</v>
      </c>
      <c r="B6520" s="1" t="s">
        <v>6433</v>
      </c>
      <c r="C6520" t="str">
        <f>IFERROR(__xludf.DUMMYFUNCTION("GOOGLETRANSLATE(B6520, ""fr"", ""en"")"),"Breathe easier. Clearing the air, broadcasting therapeutic virtue of oils (ENT), flavor, create a Zen atmosphere.")</f>
        <v>Breathe easier. Clearing the air, broadcasting therapeutic virtue of oils (ENT), flavor, create a Zen atmosphere.</v>
      </c>
    </row>
    <row r="6521">
      <c r="A6521" s="1">
        <v>5.0</v>
      </c>
      <c r="B6521" s="1" t="s">
        <v>6434</v>
      </c>
      <c r="C6521" t="str">
        <f>IFERROR(__xludf.DUMMYFUNCTION("GOOGLETRANSLATE(B6521, ""fr"", ""en"")"),"satisfied I bought this shiatsu massage machine for my wife quia has always hurt the neck and the cervical of a are effective travail.Tres she does separate more, every night a small session of massage and is shaped for soirée.Je've also tried is I am ver"&amp;"y pleasantly surprised looks like someone you mass and more with the more heat the top of mine who is often bad back I quickly adopted.")</f>
        <v>satisfied I bought this shiatsu massage machine for my wife quia has always hurt the neck and the cervical of a are effective travail.Tres she does separate more, every night a small session of massage and is shaped for soirée.Je've also tried is I am very pleasantly surprised looks like someone you mass and more with the more heat the top of mine who is often bad back I quickly adopted.</v>
      </c>
    </row>
    <row r="6522">
      <c r="A6522" s="1">
        <v>5.0</v>
      </c>
      <c r="B6522" s="1" t="s">
        <v>6435</v>
      </c>
      <c r="C6522" t="str">
        <f>IFERROR(__xludf.DUMMYFUNCTION("GOOGLETRANSLATE(B6522, ""fr"", ""en"")"),"A perfect quality at the top for these pens. The ink dries very quickly, the black level is perfect and does not bleed through paper bullet from my newspaper. Nothing to say !")</f>
        <v>A perfect quality at the top for these pens. The ink dries very quickly, the black level is perfect and does not bleed through paper bullet from my newspaper. Nothing to say !</v>
      </c>
    </row>
    <row r="6523">
      <c r="A6523" s="1">
        <v>5.0</v>
      </c>
      <c r="B6523" s="1" t="s">
        <v>6436</v>
      </c>
      <c r="C6523" t="str">
        <f>IFERROR(__xludf.DUMMYFUNCTION("GOOGLETRANSLATE(B6523, ""fr"", ""en"")"),"mythology for small A perfect book for daily readings offered for my project next year around the mythology, from an early age with additional explanations on vocabulary.")</f>
        <v>mythology for small A perfect book for daily readings offered for my project next year around the mythology, from an early age with additional explanations on vocabulary.</v>
      </c>
    </row>
    <row r="6524">
      <c r="A6524" s="1">
        <v>5.0</v>
      </c>
      <c r="B6524" s="1" t="s">
        <v>1261</v>
      </c>
      <c r="C6524" t="str">
        <f>IFERROR(__xludf.DUMMYFUNCTION("GOOGLETRANSLATE(B6524, ""fr"", ""en"")"),"good good")</f>
        <v>good good</v>
      </c>
    </row>
    <row r="6525">
      <c r="A6525" s="1">
        <v>5.0</v>
      </c>
      <c r="B6525" s="1" t="s">
        <v>6437</v>
      </c>
      <c r="C6525" t="str">
        <f>IFERROR(__xludf.DUMMYFUNCTION("GOOGLETRANSLATE(B6525, ""fr"", ""en"")"),"At the top to run Supers headphones, waterproof, good sound quality, exceptional range and microphone allows you to communicate by phone without too much difficulty. They are discreet and lightweight. I recommend !!")</f>
        <v>At the top to run Supers headphones, waterproof, good sound quality, exceptional range and microphone allows you to communicate by phone without too much difficulty. They are discreet and lightweight. I recommend !!</v>
      </c>
    </row>
    <row r="6526">
      <c r="A6526" s="1">
        <v>5.0</v>
      </c>
      <c r="B6526" s="1" t="s">
        <v>6438</v>
      </c>
      <c r="C6526" t="str">
        <f>IFERROR(__xludf.DUMMYFUNCTION("GOOGLETRANSLATE(B6526, ""fr"", ""en"")"),"very good very good good product delivered before the scheduled date time I recommend")</f>
        <v>very good very good good product delivered before the scheduled date time I recommend</v>
      </c>
    </row>
    <row r="6527">
      <c r="A6527" s="1">
        <v>5.0</v>
      </c>
      <c r="B6527" s="1" t="s">
        <v>6439</v>
      </c>
      <c r="C6527" t="str">
        <f>IFERROR(__xludf.DUMMYFUNCTION("GOOGLETRANSLATE(B6527, ""fr"", ""en"")"),"perfect comfortable shoes and more feel good! They carve just right and are so nice that I bought another pair in another color.")</f>
        <v>perfect comfortable shoes and more feel good! They carve just right and are so nice that I bought another pair in another color.</v>
      </c>
    </row>
    <row r="6528">
      <c r="A6528" s="1">
        <v>5.0</v>
      </c>
      <c r="B6528" s="1" t="s">
        <v>6440</v>
      </c>
      <c r="C6528" t="str">
        <f>IFERROR(__xludf.DUMMYFUNCTION("GOOGLETRANSLATE(B6528, ""fr"", ""en"")"),"Comfortable shoes Entrainment Ballroom dancing, completely satisfied")</f>
        <v>Comfortable shoes Entrainment Ballroom dancing, completely satisfied</v>
      </c>
    </row>
    <row r="6529">
      <c r="A6529" s="1">
        <v>5.0</v>
      </c>
      <c r="B6529" s="1" t="s">
        <v>6441</v>
      </c>
      <c r="C6529" t="str">
        <f>IFERROR(__xludf.DUMMYFUNCTION("GOOGLETRANSLATE(B6529, ""fr"", ""en"")"),"Perfect Perfect great product very happy I recommend top service")</f>
        <v>Perfect Perfect great product very happy I recommend top service</v>
      </c>
    </row>
    <row r="6530">
      <c r="A6530" s="1">
        <v>5.0</v>
      </c>
      <c r="B6530" s="1" t="s">
        <v>6442</v>
      </c>
      <c r="C6530" t="str">
        <f>IFERROR(__xludf.DUMMYFUNCTION("GOOGLETRANSLATE(B6530, ""fr"", ""en"")"),"Look nice product consistent with the description, very comfortable.")</f>
        <v>Look nice product consistent with the description, very comfortable.</v>
      </c>
    </row>
    <row r="6531">
      <c r="A6531" s="1">
        <v>5.0</v>
      </c>
      <c r="B6531" s="1" t="s">
        <v>6443</v>
      </c>
      <c r="C6531" t="str">
        <f>IFERROR(__xludf.DUMMYFUNCTION("GOOGLETRANSLATE(B6531, ""fr"", ""en"")"),"Super Comfortable to wear, I bought 2 pairs of different colors, one for work and really super comfortable nothing to say, one for my free time, I feel like in slippers! very very good product if you have sensitive feet like me: p")</f>
        <v>Super Comfortable to wear, I bought 2 pairs of different colors, one for work and really super comfortable nothing to say, one for my free time, I feel like in slippers! very very good product if you have sensitive feet like me: p</v>
      </c>
    </row>
    <row r="6532">
      <c r="A6532" s="1">
        <v>5.0</v>
      </c>
      <c r="B6532" s="1" t="s">
        <v>6444</v>
      </c>
      <c r="C6532" t="str">
        <f>IFERROR(__xludf.DUMMYFUNCTION("GOOGLETRANSLATE(B6532, ""fr"", ""en"")"),"Beloved To offer")</f>
        <v>Beloved To offer</v>
      </c>
    </row>
    <row r="6533">
      <c r="A6533" s="1">
        <v>5.0</v>
      </c>
      <c r="B6533" s="1" t="s">
        <v>6445</v>
      </c>
      <c r="C6533" t="str">
        <f>IFERROR(__xludf.DUMMYFUNCTION("GOOGLETRANSLATE(B6533, ""fr"", ""en"")"),"Great product I purchased this product for storing beads and is really approprié.Je am very happy")</f>
        <v>Great product I purchased this product for storing beads and is really approprié.Je am very happy</v>
      </c>
    </row>
    <row r="6534">
      <c r="A6534" s="1">
        <v>5.0</v>
      </c>
      <c r="B6534" s="1" t="s">
        <v>6446</v>
      </c>
      <c r="C6534" t="str">
        <f>IFERROR(__xludf.DUMMYFUNCTION("GOOGLETRANSLATE(B6534, ""fr"", ""en"")"),"super flush")</f>
        <v>super flush</v>
      </c>
    </row>
    <row r="6535">
      <c r="A6535" s="1">
        <v>5.0</v>
      </c>
      <c r="B6535" s="1" t="s">
        <v>6447</v>
      </c>
      <c r="C6535" t="str">
        <f>IFERROR(__xludf.DUMMYFUNCTION("GOOGLETRANSLATE(B6535, ""fr"", ""en"")"),"304 Sea ( 'it")</f>
        <v>304 Sea ( 'it</v>
      </c>
    </row>
    <row r="6536">
      <c r="A6536" s="1">
        <v>2.0</v>
      </c>
      <c r="B6536" s="1" t="s">
        <v>6448</v>
      </c>
      <c r="C6536" t="str">
        <f>IFERROR(__xludf.DUMMYFUNCTION("GOOGLETRANSLATE(B6536, ""fr"", ""en"")"),"Disappointed bracelet bought it 6 months d in was very pleased up to this (I'll take care) I shares on vacation, I take it to the beach and pool, but one evening a stroll along the beach I break the tips of my fingers on the water and the next day I m rea"&amp;"lize that pearls fade ........ and 1 week after breaking wrist, so that there s been a few all sea water above. Bracelet .... expensive for the knock! I n tiger eye not have any ...... c is discolored !!!!! Yet it was beautiful this bracelet ......")</f>
        <v>Disappointed bracelet bought it 6 months d in was very pleased up to this (I'll take care) I shares on vacation, I take it to the beach and pool, but one evening a stroll along the beach I break the tips of my fingers on the water and the next day I m realize that pearls fade ........ and 1 week after breaking wrist, so that there s been a few all sea water above. Bracelet .... expensive for the knock! I n tiger eye not have any ...... c is discolored !!!!! Yet it was beautiful this bracelet ......</v>
      </c>
    </row>
    <row r="6537">
      <c r="A6537" s="1">
        <v>1.0</v>
      </c>
      <c r="B6537" s="1" t="s">
        <v>6449</v>
      </c>
      <c r="C6537" t="str">
        <f>IFERROR(__xludf.DUMMYFUNCTION("GOOGLETRANSLATE(B6537, ""fr"", ""en"")"),"Poor product and dangerous kettle of very poor quality, when poured water the leaky leaks and burns .... lid when the kettle contains hot water heater as the outside word and it is very easy get burned. It is a product of poor quality and dangerous")</f>
        <v>Poor product and dangerous kettle of very poor quality, when poured water the leaky leaks and burns .... lid when the kettle contains hot water heater as the outside word and it is very easy get burned. It is a product of poor quality and dangerous</v>
      </c>
    </row>
    <row r="6538">
      <c r="A6538" s="1">
        <v>1.0</v>
      </c>
      <c r="B6538" s="1" t="s">
        <v>6450</v>
      </c>
      <c r="C6538" t="str">
        <f>IFERROR(__xludf.DUMMYFUNCTION("GOOGLETRANSLATE(B6538, ""fr"", ""en"")"),"Good quality Size tiny but unusable size at least 2 sizes below that indicated")</f>
        <v>Good quality Size tiny but unusable size at least 2 sizes below that indicated</v>
      </c>
    </row>
    <row r="6539">
      <c r="A6539" s="1">
        <v>3.0</v>
      </c>
      <c r="B6539" s="1" t="s">
        <v>6451</v>
      </c>
      <c r="C6539" t="str">
        <f>IFERROR(__xludf.DUMMYFUNCTION("GOOGLETRANSLATE(B6539, ""fr"", ""en"")"),"Right Right")</f>
        <v>Right Right</v>
      </c>
    </row>
    <row r="6540">
      <c r="A6540" s="1">
        <v>4.0</v>
      </c>
      <c r="B6540" s="1" t="s">
        <v>6452</v>
      </c>
      <c r="C6540" t="str">
        <f>IFERROR(__xludf.DUMMYFUNCTION("GOOGLETRANSLATE(B6540, ""fr"", ""en"")"),"Although today Aside for the first time. The material is nice and the grounds and nice color. The quality air ok to confirm the time and washes. I removed one star because it is a bit wide for my taste")</f>
        <v>Although today Aside for the first time. The material is nice and the grounds and nice color. The quality air ok to confirm the time and washes. I removed one star because it is a bit wide for my taste</v>
      </c>
    </row>
    <row r="6541">
      <c r="A6541" s="1">
        <v>4.0</v>
      </c>
      <c r="B6541" s="1" t="s">
        <v>6453</v>
      </c>
      <c r="C6541" t="str">
        <f>IFERROR(__xludf.DUMMYFUNCTION("GOOGLETRANSLATE(B6541, ""fr"", ""en"")"),"Not bad I confirm! we must take one size smaller. I did 38 and I ordered 37. Looking at the com. The best indication to take 1 size smaller. fine material despite the velvet touch.")</f>
        <v>Not bad I confirm! we must take one size smaller. I did 38 and I ordered 37. Looking at the com. The best indication to take 1 size smaller. fine material despite the velvet touch.</v>
      </c>
    </row>
    <row r="6542">
      <c r="A6542" s="1">
        <v>4.0</v>
      </c>
      <c r="B6542" s="1" t="s">
        <v>6454</v>
      </c>
      <c r="C6542" t="str">
        <f>IFERROR(__xludf.DUMMYFUNCTION("GOOGLETRANSLATE(B6542, ""fr"", ""en"")"),"Very convenient A very good idea to glue different documents and not as photos. Instead of having a small patté glue, one of these sheets suffice. I removed one star because of location, there are big yellow spots (probably the dried glue).")</f>
        <v>Very convenient A very good idea to glue different documents and not as photos. Instead of having a small patté glue, one of these sheets suffice. I removed one star because of location, there are big yellow spots (probably the dried glue).</v>
      </c>
    </row>
    <row r="6543">
      <c r="A6543" s="1">
        <v>4.0</v>
      </c>
      <c r="B6543" s="1" t="s">
        <v>1417</v>
      </c>
      <c r="C6543" t="str">
        <f>IFERROR(__xludf.DUMMYFUNCTION("GOOGLETRANSLATE(B6543, ""fr"", ""en"")"),"ras ras")</f>
        <v>ras ras</v>
      </c>
    </row>
    <row r="6544">
      <c r="A6544" s="1">
        <v>5.0</v>
      </c>
      <c r="B6544" s="1" t="s">
        <v>6455</v>
      </c>
      <c r="C6544" t="str">
        <f>IFERROR(__xludf.DUMMYFUNCTION("GOOGLETRANSLATE(B6544, ""fr"", ""en"")"),"Boon to Drained bottle - Lawn - Green Good product, it makes it possible to drain a large number of bottles at a time. Personally, I can squeeze the twin of my bib ten shaking a little and little more is that it brings a shot of pep to the decor of the ki"&amp;"tchen!")</f>
        <v>Boon to Drained bottle - Lawn - Green Good product, it makes it possible to drain a large number of bottles at a time. Personally, I can squeeze the twin of my bib ten shaking a little and little more is that it brings a shot of pep to the decor of the kitchen!</v>
      </c>
    </row>
    <row r="6545">
      <c r="A6545" s="1">
        <v>5.0</v>
      </c>
      <c r="B6545" s="1" t="s">
        <v>6456</v>
      </c>
      <c r="C6545" t="str">
        <f>IFERROR(__xludf.DUMMYFUNCTION("GOOGLETRANSLATE(B6545, ""fr"", ""en"")"),"nice gift for children startup a bit difficult because the operation manual is not in French but once taken over children's break out the karaoke function is nice but what amuses most children are the special vocal effects rendering sound of my micro surp"&amp;"rised by his gift made friendly space for children")</f>
        <v>nice gift for children startup a bit difficult because the operation manual is not in French but once taken over children's break out the karaoke function is nice but what amuses most children are the special vocal effects rendering sound of my micro surprised by his gift made friendly space for children</v>
      </c>
    </row>
    <row r="6546">
      <c r="A6546" s="1">
        <v>5.0</v>
      </c>
      <c r="B6546" s="1" t="s">
        <v>6457</v>
      </c>
      <c r="C6546" t="str">
        <f>IFERROR(__xludf.DUMMYFUNCTION("GOOGLETRANSLATE(B6546, ""fr"", ""en"")"),"Beautiful beautiful watch product is fine in my little feminine wrist! The bracelet is not overly too long as many other models. Very light, class and cheap! 😄 (received in time)")</f>
        <v>Beautiful beautiful watch product is fine in my little feminine wrist! The bracelet is not overly too long as many other models. Very light, class and cheap! 😄 (received in time)</v>
      </c>
    </row>
    <row r="6547">
      <c r="A6547" s="1">
        <v>5.0</v>
      </c>
      <c r="B6547" s="1" t="s">
        <v>4003</v>
      </c>
      <c r="C6547" t="str">
        <f>IFERROR(__xludf.DUMMYFUNCTION("GOOGLETRANSLATE(B6547, ""fr"", ""en"")"),"WELL WELL")</f>
        <v>WELL WELL</v>
      </c>
    </row>
    <row r="6548">
      <c r="A6548" s="1">
        <v>5.0</v>
      </c>
      <c r="B6548" s="1" t="s">
        <v>6458</v>
      </c>
      <c r="C6548" t="str">
        <f>IFERROR(__xludf.DUMMYFUNCTION("GOOGLETRANSLATE(B6548, ""fr"", ""en"")"),"The personable For my style")</f>
        <v>The personable For my style</v>
      </c>
    </row>
    <row r="6549">
      <c r="A6549" s="1">
        <v>5.0</v>
      </c>
      <c r="B6549" s="1" t="s">
        <v>6459</v>
      </c>
      <c r="C6549" t="str">
        <f>IFERROR(__xludf.DUMMYFUNCTION("GOOGLETRANSLATE(B6549, ""fr"", ""en"")"),"For my preparations Used essential oil based upon delivery, this precision balance is the job. I use it for preparations requiring accurate weighing, such as massage oils, deodorants, etc ... I recommend it, because of its precision and compactness.")</f>
        <v>For my preparations Used essential oil based upon delivery, this precision balance is the job. I use it for preparations requiring accurate weighing, such as massage oils, deodorants, etc ... I recommend it, because of its precision and compactness.</v>
      </c>
    </row>
    <row r="6550">
      <c r="A6550" s="1">
        <v>5.0</v>
      </c>
      <c r="B6550" s="1" t="s">
        <v>6460</v>
      </c>
      <c r="C6550" t="str">
        <f>IFERROR(__xludf.DUMMYFUNCTION("GOOGLETRANSLATE(B6550, ""fr"", ""en"")"),"Good Good sound for headphones supplied with the smartphone")</f>
        <v>Good Good sound for headphones supplied with the smartphone</v>
      </c>
    </row>
    <row r="6551">
      <c r="A6551" s="1">
        <v>5.0</v>
      </c>
      <c r="B6551" s="1" t="s">
        <v>6461</v>
      </c>
      <c r="C6551" t="str">
        <f>IFERROR(__xludf.DUMMYFUNCTION("GOOGLETRANSLATE(B6551, ""fr"", ""en"")"),"No complaints!!! Very good socks football. Hold well on the calves and do not fall. Reinforced heels and the toes.")</f>
        <v>No complaints!!! Very good socks football. Hold well on the calves and do not fall. Reinforced heels and the toes.</v>
      </c>
    </row>
    <row r="6552">
      <c r="A6552" s="1">
        <v>5.0</v>
      </c>
      <c r="B6552" s="1" t="s">
        <v>6462</v>
      </c>
      <c r="C6552" t="str">
        <f>IFERROR(__xludf.DUMMYFUNCTION("GOOGLETRANSLATE(B6552, ""fr"", ""en"")"),"Satisfied Very good")</f>
        <v>Satisfied Very good</v>
      </c>
    </row>
    <row r="6553">
      <c r="A6553" s="1">
        <v>5.0</v>
      </c>
      <c r="B6553" s="1" t="s">
        <v>6463</v>
      </c>
      <c r="C6553" t="str">
        <f>IFERROR(__xludf.DUMMYFUNCTION("GOOGLETRANSLATE(B6553, ""fr"", ""en"")"),"Solid quality and perfect with the tuning kit of the links.")</f>
        <v>Solid quality and perfect with the tuning kit of the links.</v>
      </c>
    </row>
    <row r="6554">
      <c r="A6554" s="1">
        <v>5.0</v>
      </c>
      <c r="B6554" s="1" t="s">
        <v>6464</v>
      </c>
      <c r="C6554" t="str">
        <f>IFERROR(__xludf.DUMMYFUNCTION("GOOGLETRANSLATE(B6554, ""fr"", ""en"")"),"I love good tail in my hand I love mince😂")</f>
        <v>I love good tail in my hand I love mince😂</v>
      </c>
    </row>
    <row r="6555">
      <c r="A6555" s="1">
        <v>5.0</v>
      </c>
      <c r="B6555" s="1" t="s">
        <v>6465</v>
      </c>
      <c r="C6555" t="str">
        <f>IFERROR(__xludf.DUMMYFUNCTION("GOOGLETRANSLATE(B6555, ""fr"", ""en"")"),"Excellent product Headphones are an excellent bill! they hold to the ears including sports, whether it is really necessary, it is even rubber accessories to better keep in the ear. The sound quality is top, and not stall due to Bluetooth. Obviously, excel"&amp;"lent battery life, at least 3 hours, I'm not going to exhaustion of the battery. Finally the shell / battery is compact and convenient! In short, I do not regret my purchase!")</f>
        <v>Excellent product Headphones are an excellent bill! they hold to the ears including sports, whether it is really necessary, it is even rubber accessories to better keep in the ear. The sound quality is top, and not stall due to Bluetooth. Obviously, excellent battery life, at least 3 hours, I'm not going to exhaustion of the battery. Finally the shell / battery is compact and convenient! In short, I do not regret my purchase!</v>
      </c>
    </row>
    <row r="6556">
      <c r="A6556" s="1">
        <v>5.0</v>
      </c>
      <c r="B6556" s="1" t="s">
        <v>6466</v>
      </c>
      <c r="C6556" t="str">
        <f>IFERROR(__xludf.DUMMYFUNCTION("GOOGLETRANSLATE(B6556, ""fr"", ""en"")"),"Very good quality and satisfactory powerful battery Headset")</f>
        <v>Very good quality and satisfactory powerful battery Headset</v>
      </c>
    </row>
    <row r="6557">
      <c r="A6557" s="1">
        <v>5.0</v>
      </c>
      <c r="B6557" s="1" t="s">
        <v>6467</v>
      </c>
      <c r="C6557" t="str">
        <f>IFERROR(__xludf.DUMMYFUNCTION("GOOGLETRANSLATE(B6557, ""fr"", ""en"")"),"Perfect I bought a chain to my friend and I took another finer for me. They are well made, bright, discreet. I recommend this product")</f>
        <v>Perfect I bought a chain to my friend and I took another finer for me. They are well made, bright, discreet. I recommend this product</v>
      </c>
    </row>
    <row r="6558">
      <c r="A6558" s="1">
        <v>5.0</v>
      </c>
      <c r="B6558" s="1" t="s">
        <v>6468</v>
      </c>
      <c r="C6558" t="str">
        <f>IFERROR(__xludf.DUMMYFUNCTION("GOOGLETRANSLATE(B6558, ""fr"", ""en"")"),"Nickel for sport product with controlled eyes closed. I can not do without me for my sport sessions. The very practical pockets for the key to the padlock and tréphone. And for those who have a small bidou the tall refines a little bit.")</f>
        <v>Nickel for sport product with controlled eyes closed. I can not do without me for my sport sessions. The very practical pockets for the key to the padlock and tréphone. And for those who have a small bidou the tall refines a little bit.</v>
      </c>
    </row>
    <row r="6559">
      <c r="A6559" s="1">
        <v>5.0</v>
      </c>
      <c r="B6559" s="1" t="s">
        <v>6469</v>
      </c>
      <c r="C6559" t="str">
        <f>IFERROR(__xludf.DUMMYFUNCTION("GOOGLETRANSLATE(B6559, ""fr"", ""en"")"),"Necklace Gift of Christmas")</f>
        <v>Necklace Gift of Christmas</v>
      </c>
    </row>
    <row r="6560">
      <c r="A6560" s="1">
        <v>2.0</v>
      </c>
      <c r="B6560" s="1" t="s">
        <v>6470</v>
      </c>
      <c r="C6560" t="str">
        <f>IFERROR(__xludf.DUMMYFUNCTION("GOOGLETRANSLATE(B6560, ""fr"", ""en"")"),"Too much perfume Tue Fragrance I received a bottle of 285 grams instead of the three planned, this perfume Air. Presented in the form of small balls, those - will dissolve readily, even with a laundry at 30 degrees. The race from start to scent might be n"&amp;"ice. However it is superimposed on the flavor of the laundry. The mixture is not necessarily happy ... As long as you use a fabric softener, while there, the smell is totally indefinable sickening Enough is enough! Too much perfume fragrance kills! Person"&amp;"ally, I put small tulle bags filled with these balls in my cabinets, like lavender sachets. Result, a good fresh smell emanating from my cabinets. But hey, it was not the intended use for these fragrant granules Also, I do not recommend this purchase, whi"&amp;"ch I find quite useless.")</f>
        <v>Too much perfume Tue Fragrance I received a bottle of 285 grams instead of the three planned, this perfume Air. Presented in the form of small balls, those - will dissolve readily, even with a laundry at 30 degrees. The race from start to scent might be nice. However it is superimposed on the flavor of the laundry. The mixture is not necessarily happy ... As long as you use a fabric softener, while there, the smell is totally indefinable sickening Enough is enough! Too much perfume fragrance kills! Personally, I put small tulle bags filled with these balls in my cabinets, like lavender sachets. Result, a good fresh smell emanating from my cabinets. But hey, it was not the intended use for these fragrant granules Also, I do not recommend this purchase, which I find quite useless.</v>
      </c>
    </row>
    <row r="6561">
      <c r="A6561" s="1">
        <v>1.0</v>
      </c>
      <c r="B6561" s="1" t="s">
        <v>6471</v>
      </c>
      <c r="C6561" t="str">
        <f>IFERROR(__xludf.DUMMYFUNCTION("GOOGLETRANSLATE(B6561, ""fr"", ""en"")"),"low quality product that seems poor and fragile especially for children")</f>
        <v>low quality product that seems poor and fragile especially for children</v>
      </c>
    </row>
    <row r="6562">
      <c r="A6562" s="1">
        <v>3.0</v>
      </c>
      <c r="B6562" s="1" t="s">
        <v>6472</v>
      </c>
      <c r="C6562" t="str">
        <f>IFERROR(__xludf.DUMMYFUNCTION("GOOGLETRANSLATE(B6562, ""fr"", ""en"")"),"Ankle strap conforms to the description but received late")</f>
        <v>Ankle strap conforms to the description but received late</v>
      </c>
    </row>
    <row r="6563">
      <c r="A6563" s="1">
        <v>3.0</v>
      </c>
      <c r="B6563" s="1" t="s">
        <v>6473</v>
      </c>
      <c r="C6563" t="str">
        <f>IFERROR(__xludf.DUMMYFUNCTION("GOOGLETRANSLATE(B6563, ""fr"", ""en"")"),"Too bad if the box is damaged shoes are impeccable but the box was very damaged and crumpled paper. To offer Christmas is pretty bad! :-(")</f>
        <v>Too bad if the box is damaged shoes are impeccable but the box was very damaged and crumpled paper. To offer Christmas is pretty bad! :-(</v>
      </c>
    </row>
    <row r="6564">
      <c r="A6564" s="1">
        <v>4.0</v>
      </c>
      <c r="B6564" s="1" t="s">
        <v>6474</v>
      </c>
      <c r="C6564" t="str">
        <f>IFERROR(__xludf.DUMMYFUNCTION("GOOGLETRANSLATE(B6564, ""fr"", ""en"")"),"The ordeal He has my son enough to pass the tray. it was very convenient to be able to buy it on line. Bravo")</f>
        <v>The ordeal He has my son enough to pass the tray. it was very convenient to be able to buy it on line. Bravo</v>
      </c>
    </row>
    <row r="6565">
      <c r="A6565" s="1">
        <v>4.0</v>
      </c>
      <c r="B6565" s="1" t="s">
        <v>6475</v>
      </c>
      <c r="C6565" t="str">
        <f>IFERROR(__xludf.DUMMYFUNCTION("GOOGLETRANSLATE(B6565, ""fr"", ""en"")"),"Faithful to the travel description corresponds well to see to use")</f>
        <v>Faithful to the travel description corresponds well to see to use</v>
      </c>
    </row>
    <row r="6566">
      <c r="A6566" s="1">
        <v>4.0</v>
      </c>
      <c r="B6566" s="1" t="s">
        <v>6476</v>
      </c>
      <c r="C6566" t="str">
        <f>IFERROR(__xludf.DUMMYFUNCTION("GOOGLETRANSLATE(B6566, ""fr"", ""en"")"),"Does its job pretty design in terms of color and material. It cuts but you need a strong flu because the scissors are sharp and difficult to handle. That remains good scissors. I advise buying for someone not complicated.")</f>
        <v>Does its job pretty design in terms of color and material. It cuts but you need a strong flu because the scissors are sharp and difficult to handle. That remains good scissors. I advise buying for someone not complicated.</v>
      </c>
    </row>
    <row r="6567">
      <c r="A6567" s="1">
        <v>4.0</v>
      </c>
      <c r="B6567" s="1" t="s">
        <v>6477</v>
      </c>
      <c r="C6567" t="str">
        <f>IFERROR(__xludf.DUMMYFUNCTION("GOOGLETRANSLATE(B6567, ""fr"", ""en"")"),"We lost it in the number of Not practical compartments. Too many pockets")</f>
        <v>We lost it in the number of Not practical compartments. Too many pockets</v>
      </c>
    </row>
    <row r="6568">
      <c r="A6568" s="1">
        <v>4.0</v>
      </c>
      <c r="B6568" s="1" t="s">
        <v>6478</v>
      </c>
      <c r="C6568" t="str">
        <f>IFERROR(__xludf.DUMMYFUNCTION("GOOGLETRANSLATE(B6568, ""fr"", ""en"")"),"The ideal small kettle small kettle I wanted: 1/2 l, paroie isolated and adjustable temperature ideal for tea, LED light depending on the selected temperature, ideal for one person,")</f>
        <v>The ideal small kettle small kettle I wanted: 1/2 l, paroie isolated and adjustable temperature ideal for tea, LED light depending on the selected temperature, ideal for one person,</v>
      </c>
    </row>
    <row r="6569">
      <c r="A6569" s="1">
        <v>5.0</v>
      </c>
      <c r="B6569" s="1" t="s">
        <v>6479</v>
      </c>
      <c r="C6569" t="str">
        <f>IFERROR(__xludf.DUMMYFUNCTION("GOOGLETRANSLATE(B6569, ""fr"", ""en"")"),"I recommend Me and my bottles we do not get tired it is original practical and easy maintenance I recommend")</f>
        <v>I recommend Me and my bottles we do not get tired it is original practical and easy maintenance I recommend</v>
      </c>
    </row>
    <row r="6570">
      <c r="A6570" s="1">
        <v>5.0</v>
      </c>
      <c r="B6570" s="1" t="s">
        <v>6480</v>
      </c>
      <c r="C6570" t="str">
        <f>IFERROR(__xludf.DUMMYFUNCTION("GOOGLETRANSLATE(B6570, ""fr"", ""en"")"),"Great collection for confidence building young reader very smart Collection advancing with the progression of many teachers of CP. So my daughter was able to notice that she was able to read only the ""sentences"". Short necessarily. The stories are very "&amp;"simple and easy to understand. What pride in his eyes and what joy!")</f>
        <v>Great collection for confidence building young reader very smart Collection advancing with the progression of many teachers of CP. So my daughter was able to notice that she was able to read only the "sentences". Short necessarily. The stories are very simple and easy to understand. What pride in his eyes and what joy!</v>
      </c>
    </row>
    <row r="6571">
      <c r="A6571" s="1">
        <v>5.0</v>
      </c>
      <c r="B6571" s="1" t="s">
        <v>6481</v>
      </c>
      <c r="C6571" t="str">
        <f>IFERROR(__xludf.DUMMYFUNCTION("GOOGLETRANSLATE(B6571, ""fr"", ""en"")"),"Very friendly Very friendly and comfortable to wear")</f>
        <v>Very friendly Very friendly and comfortable to wear</v>
      </c>
    </row>
    <row r="6572">
      <c r="A6572" s="1">
        <v>5.0</v>
      </c>
      <c r="B6572" s="1" t="s">
        <v>6482</v>
      </c>
      <c r="C6572" t="str">
        <f>IFERROR(__xludf.DUMMYFUNCTION("GOOGLETRANSLATE(B6572, ""fr"", ""en"")"),"Brabantia This bag contains 30 trash bags 3l is easy to access as and when required simply pull through the slot provided for that purpose")</f>
        <v>Brabantia This bag contains 30 trash bags 3l is easy to access as and when required simply pull through the slot provided for that purpose</v>
      </c>
    </row>
    <row r="6573">
      <c r="A6573" s="1">
        <v>5.0</v>
      </c>
      <c r="B6573" s="1" t="s">
        <v>6483</v>
      </c>
      <c r="C6573" t="str">
        <f>IFERROR(__xludf.DUMMYFUNCTION("GOOGLETRANSLATE(B6573, ""fr"", ""en"")"),"nickel")</f>
        <v>nickel</v>
      </c>
    </row>
    <row r="6574">
      <c r="A6574" s="1">
        <v>5.0</v>
      </c>
      <c r="B6574" s="1" t="s">
        <v>6484</v>
      </c>
      <c r="C6574" t="str">
        <f>IFERROR(__xludf.DUMMYFUNCTION("GOOGLETRANSLATE(B6574, ""fr"", ""en"")"),"Perfect We love these pens that allow erase and rewrite")</f>
        <v>Perfect We love these pens that allow erase and rewrite</v>
      </c>
    </row>
    <row r="6575">
      <c r="A6575" s="1">
        <v>5.0</v>
      </c>
      <c r="B6575" s="1" t="s">
        <v>6485</v>
      </c>
      <c r="C6575" t="str">
        <f>IFERROR(__xludf.DUMMYFUNCTION("GOOGLETRANSLATE(B6575, ""fr"", ""en"")"),"Cheap jrecommande received before tournament of schedule Pr paper logbook must not luxury, cheap jrecommande")</f>
        <v>Cheap jrecommande received before tournament of schedule Pr paper logbook must not luxury, cheap jrecommande</v>
      </c>
    </row>
    <row r="6576">
      <c r="A6576" s="1">
        <v>5.0</v>
      </c>
      <c r="B6576" s="1" t="s">
        <v>6486</v>
      </c>
      <c r="C6576" t="str">
        <f>IFERROR(__xludf.DUMMYFUNCTION("GOOGLETRANSLATE(B6576, ""fr"", ""en"")"),"Good and convenient to see the user well")</f>
        <v>Good and convenient to see the user well</v>
      </c>
    </row>
    <row r="6577">
      <c r="A6577" s="1">
        <v>5.0</v>
      </c>
      <c r="B6577" s="1" t="s">
        <v>6487</v>
      </c>
      <c r="C6577" t="str">
        <f>IFERROR(__xludf.DUMMYFUNCTION("GOOGLETRANSLATE(B6577, ""fr"", ""en"")"),"best trainers in the world as usual, they are perfect. My sensitive feet are perfectly maintained in this green canvas and rubber adapting perfectly to their forms, as having taken my size, it would be otherwise. If I was American and Vans introduced hims"&amp;"elf, I would have voted for them and Trump would not be elected. Maybe next time? Vans for President!")</f>
        <v>best trainers in the world as usual, they are perfect. My sensitive feet are perfectly maintained in this green canvas and rubber adapting perfectly to their forms, as having taken my size, it would be otherwise. If I was American and Vans introduced himself, I would have voted for them and Trump would not be elected. Maybe next time? Vans for President!</v>
      </c>
    </row>
    <row r="6578">
      <c r="A6578" s="1">
        <v>5.0</v>
      </c>
      <c r="B6578" s="1" t="s">
        <v>6488</v>
      </c>
      <c r="C6578" t="str">
        <f>IFERROR(__xludf.DUMMYFUNCTION("GOOGLETRANSLATE(B6578, ""fr"", ""en"")"),"VERY GOOD VALUE FOR MONEY IN COMPLIANCE")</f>
        <v>VERY GOOD VALUE FOR MONEY IN COMPLIANCE</v>
      </c>
    </row>
    <row r="6579">
      <c r="A6579" s="1">
        <v>5.0</v>
      </c>
      <c r="B6579" s="1" t="s">
        <v>6489</v>
      </c>
      <c r="C6579" t="str">
        <f>IFERROR(__xludf.DUMMYFUNCTION("GOOGLETRANSLATE(B6579, ""fr"", ""en"")"),"On top Send fast and size very well")</f>
        <v>On top Send fast and size very well</v>
      </c>
    </row>
    <row r="6580">
      <c r="A6580" s="1">
        <v>5.0</v>
      </c>
      <c r="B6580" s="1" t="s">
        <v>6490</v>
      </c>
      <c r="C6580" t="str">
        <f>IFERROR(__xludf.DUMMYFUNCTION("GOOGLETRANSLATE(B6580, ""fr"", ""en"")"),"Satisfied! I dreamed I got it! absolute simplicity but with all the functions required for perfect tea. The brand must be tea lovers. I see no downside.")</f>
        <v>Satisfied! I dreamed I got it! absolute simplicity but with all the functions required for perfect tea. The brand must be tea lovers. I see no downside.</v>
      </c>
    </row>
    <row r="6581">
      <c r="A6581" s="1">
        <v>5.0</v>
      </c>
      <c r="B6581" s="1" t="s">
        <v>6491</v>
      </c>
      <c r="C6581" t="str">
        <f>IFERROR(__xludf.DUMMYFUNCTION("GOOGLETRANSLATE(B6581, ""fr"", ""en"")"),"taking red beautiful but I've finally taken in red top quality and robust")</f>
        <v>taking red beautiful but I've finally taken in red top quality and robust</v>
      </c>
    </row>
    <row r="6582">
      <c r="A6582" s="1">
        <v>5.0</v>
      </c>
      <c r="B6582" s="1" t="s">
        <v>224</v>
      </c>
      <c r="C6582" t="str">
        <f>IFERROR(__xludf.DUMMYFUNCTION("GOOGLETRANSLATE(B6582, ""fr"", ""en"")"),"perfect perfect")</f>
        <v>perfect perfect</v>
      </c>
    </row>
    <row r="6583">
      <c r="A6583" s="1">
        <v>5.0</v>
      </c>
      <c r="B6583" s="1" t="s">
        <v>6492</v>
      </c>
      <c r="C6583" t="str">
        <f>IFERROR(__xludf.DUMMYFUNCTION("GOOGLETRANSLATE(B6583, ""fr"", ""en"")"),"Perfect! Bottle warmer perfect for use with little or no fault medium or large bottle and for its design. I recommend it.")</f>
        <v>Perfect! Bottle warmer perfect for use with little or no fault medium or large bottle and for its design. I recommend it.</v>
      </c>
    </row>
    <row r="6584">
      <c r="A6584" s="1">
        <v>2.0</v>
      </c>
      <c r="B6584" s="1" t="s">
        <v>6493</v>
      </c>
      <c r="C6584" t="str">
        <f>IFERROR(__xludf.DUMMYFUNCTION("GOOGLETRANSLATE(B6584, ""fr"", ""en"")"),"Tiny bubble Paper 8 € for such a short length? A BIG REGRET. Paper quality bubble certainly, but too expensive for the little amount received. I could only packed 3 plates and 1 glass. I waited almost 1 week for only so little, very disappointed .. I move"&amp;" dilanche and luckily I bought large rolls supermarkets in history to anticipate (the great roll at the same price THE JOKE !!) and well nothing better than the old paper diary right now, too bad!")</f>
        <v>Tiny bubble Paper 8 € for such a short length? A BIG REGRET. Paper quality bubble certainly, but too expensive for the little amount received. I could only packed 3 plates and 1 glass. I waited almost 1 week for only so little, very disappointed .. I move dilanche and luckily I bought large rolls supermarkets in history to anticipate (the great roll at the same price THE JOKE !!) and well nothing better than the old paper diary right now, too bad!</v>
      </c>
    </row>
    <row r="6585">
      <c r="A6585" s="1">
        <v>1.0</v>
      </c>
      <c r="B6585" s="1" t="s">
        <v>6494</v>
      </c>
      <c r="C6585" t="str">
        <f>IFERROR(__xludf.DUMMYFUNCTION("GOOGLETRANSLATE(B6585, ""fr"", ""en"")"),"Scam Their European size does not correspond at all true European size Take one or two size more I bought for € 22 return cost me € 12 there are two weeks of that and now it 's is selling 11 € I am very disappointed")</f>
        <v>Scam Their European size does not correspond at all true European size Take one or two size more I bought for € 22 return cost me € 12 there are two weeks of that and now it 's is selling 11 € I am very disappointed</v>
      </c>
    </row>
    <row r="6586">
      <c r="A6586" s="1">
        <v>1.0</v>
      </c>
      <c r="B6586" s="1" t="s">
        <v>6495</v>
      </c>
      <c r="C6586" t="str">
        <f>IFERROR(__xludf.DUMMYFUNCTION("GOOGLETRANSLATE(B6586, ""fr"", ""en"")"),"not working I wanted to use this cable to connect headphones or an external speaker, nothing comes out, I tried on several televisions, and nothing to do, so disappointed.")</f>
        <v>not working I wanted to use this cable to connect headphones or an external speaker, nothing comes out, I tried on several televisions, and nothing to do, so disappointed.</v>
      </c>
    </row>
    <row r="6587">
      <c r="A6587" s="1">
        <v>3.0</v>
      </c>
      <c r="B6587" s="1" t="s">
        <v>6496</v>
      </c>
      <c r="C6587" t="str">
        <f>IFERROR(__xludf.DUMMYFUNCTION("GOOGLETRANSLATE(B6587, ""fr"", ""en"")"),"A advised ... They arrived in a plastic bag without the cardboard with the Crocs brand. To have bought a size 42/43 they are really just too too. A advised: If you wear a 42 you have to buy a size 43/44. For the. Rest they are really pretty good e Choude.")</f>
        <v>A advised ... They arrived in a plastic bag without the cardboard with the Crocs brand. To have bought a size 42/43 they are really just too too. A advised: If you wear a 42 you have to buy a size 43/44. For the. Rest they are really pretty good e Choude.</v>
      </c>
    </row>
    <row r="6588">
      <c r="A6588" s="1">
        <v>3.0</v>
      </c>
      <c r="B6588" s="1" t="s">
        <v>6497</v>
      </c>
      <c r="C6588" t="str">
        <f>IFERROR(__xludf.DUMMYFUNCTION("GOOGLETRANSLATE(B6588, ""fr"", ""en"")"),"Too little too small for me, puts both The usual, give my daughter who puts M XL resumed for me, otherwise fast delivery, very good.")</f>
        <v>Too little too small for me, puts both The usual, give my daughter who puts M XL resumed for me, otherwise fast delivery, very good.</v>
      </c>
    </row>
    <row r="6589">
      <c r="A6589" s="1">
        <v>4.0</v>
      </c>
      <c r="B6589" s="1" t="s">
        <v>6498</v>
      </c>
      <c r="C6589" t="str">
        <f>IFERROR(__xludf.DUMMYFUNCTION("GOOGLETRANSLATE(B6589, ""fr"", ""en"")"),"Pretty fine.")</f>
        <v>Pretty fine.</v>
      </c>
    </row>
    <row r="6590">
      <c r="A6590" s="1">
        <v>4.0</v>
      </c>
      <c r="B6590" s="1" t="s">
        <v>6499</v>
      </c>
      <c r="C6590" t="str">
        <f>IFERROR(__xludf.DUMMYFUNCTION("GOOGLETRANSLATE(B6590, ""fr"", ""en"")"),"I'm laughing after that we said to my back massage in place or suffering, c is top. I have a friend who told me that this was also considered a female masturbator. that my good laugh")</f>
        <v>I'm laughing after that we said to my back massage in place or suffering, c is top. I have a friend who told me that this was also considered a female masturbator. that my good laugh</v>
      </c>
    </row>
    <row r="6591">
      <c r="A6591" s="1">
        <v>4.0</v>
      </c>
      <c r="B6591" s="1" t="s">
        <v>6500</v>
      </c>
      <c r="C6591" t="str">
        <f>IFERROR(__xludf.DUMMYFUNCTION("GOOGLETRANSLATE(B6591, ""fr"", ""en"")"),"lacoste tracksuit bottom has less inter sport, but end well for the summer beautiful product and quality seems to me to do with time, my husband normally carries 5 years without wear problem")</f>
        <v>lacoste tracksuit bottom has less inter sport, but end well for the summer beautiful product and quality seems to me to do with time, my husband normally carries 5 years without wear problem</v>
      </c>
    </row>
    <row r="6592">
      <c r="A6592" s="1">
        <v>4.0</v>
      </c>
      <c r="B6592" s="1" t="s">
        <v>6501</v>
      </c>
      <c r="C6592" t="str">
        <f>IFERROR(__xludf.DUMMYFUNCTION("GOOGLETRANSLATE(B6592, ""fr"", ""en"")"),"A mild and pleasant massage ... I recommend. Good value for money Very nice with 2 massage strengths. I use it every day ... see after the fabric wear protection massaging balls - I already had the problem with other brands. I recommend ... it's very nice"&amp;". Some users find it hurts. It's a question of position and you get used to use ... no ability to disable heating fobction balls ... but it does not heat too .... (eg qd we want to use qd It's hot...).")</f>
        <v>A mild and pleasant massage ... I recommend. Good value for money Very nice with 2 massage strengths. I use it every day ... see after the fabric wear protection massaging balls - I already had the problem with other brands. I recommend ... it's very nice. Some users find it hurts. It's a question of position and you get used to use ... no ability to disable heating fobction balls ... but it does not heat too .... (eg qd we want to use qd It's hot...).</v>
      </c>
    </row>
    <row r="6593">
      <c r="A6593" s="1">
        <v>5.0</v>
      </c>
      <c r="B6593" s="1" t="s">
        <v>6502</v>
      </c>
      <c r="C6593" t="str">
        <f>IFERROR(__xludf.DUMMYFUNCTION("GOOGLETRANSLATE(B6593, ""fr"", ""en"")"),"great product Bluetooth headset is very good, I like the color, black and elegant. very close to the ear, it really does not move, and it is very light, the sound quality is surprisingly good, while listening to music while doing housework, that is correc"&amp;"t. Wearing my ears is very comfortable, The workmanship is exquisite, the main links are stable and sound is particularly clear. Affordable, giving people a pleasant surprise. very good product")</f>
        <v>great product Bluetooth headset is very good, I like the color, black and elegant. very close to the ear, it really does not move, and it is very light, the sound quality is surprisingly good, while listening to music while doing housework, that is correct. Wearing my ears is very comfortable, The workmanship is exquisite, the main links are stable and sound is particularly clear. Affordable, giving people a pleasant surprise. very good product</v>
      </c>
    </row>
    <row r="6594">
      <c r="A6594" s="1">
        <v>5.0</v>
      </c>
      <c r="B6594" s="1" t="s">
        <v>6503</v>
      </c>
      <c r="C6594" t="str">
        <f>IFERROR(__xludf.DUMMYFUNCTION("GOOGLETRANSLATE(B6594, ""fr"", ""en"")"),"lovely bracelet I gave this beautiful bracelet to my wife. She was very happy with this cool gift thank you thank you")</f>
        <v>lovely bracelet I gave this beautiful bracelet to my wife. She was very happy with this cool gift thank you thank you</v>
      </c>
    </row>
    <row r="6595">
      <c r="A6595" s="1">
        <v>5.0</v>
      </c>
      <c r="B6595" s="1" t="s">
        <v>6504</v>
      </c>
      <c r="C6595" t="str">
        <f>IFERROR(__xludf.DUMMYFUNCTION("GOOGLETRANSLATE(B6595, ""fr"", ""en"")"),"Just like the item sold Magnificent small loop, perfect color, perfect size")</f>
        <v>Just like the item sold Magnificent small loop, perfect color, perfect size</v>
      </c>
    </row>
    <row r="6596">
      <c r="A6596" s="1">
        <v>5.0</v>
      </c>
      <c r="B6596" s="1" t="s">
        <v>6505</v>
      </c>
      <c r="C6596" t="str">
        <f>IFERROR(__xludf.DUMMYFUNCTION("GOOGLETRANSLATE(B6596, ""fr"", ""en"")"),"Consistent with the description I bought it for my wife who minforme it is its size is not used too so she's happy")</f>
        <v>Consistent with the description I bought it for my wife who minforme it is its size is not used too so she's happy</v>
      </c>
    </row>
    <row r="6597">
      <c r="A6597" s="1">
        <v>5.0</v>
      </c>
      <c r="B6597" s="1" t="s">
        <v>6506</v>
      </c>
      <c r="C6597" t="str">
        <f>IFERROR(__xludf.DUMMYFUNCTION("GOOGLETRANSLATE(B6597, ""fr"", ""en"")"),"Very good quality / price For several days I've tested this headset because I was a bit fed up of my earpiece that badly spanked me the ear and also did not take any of it. So I test this new helmet and I can tell you it is to start really comfortable, it"&amp;" holds up well in the head and does not hurt the ear it's just a pleasure to use. As for listening to music on bluetooth sound is nickel and the life is quite nice. For some time I listen to music on the ride of my work so 30 minute to go and 30 minutes t"&amp;"o return with spotify for 1 week without needing to recharge and discharge even if it you have the jack cable to switch to wired mode without having to reload in case you're still on the way back. charging is fast enough over 2 hours total charging. The b"&amp;"uttons on the side of the helmet are mostly quite handy in case you call it the telephone, you will not need to pull out your phone, the buttons on the side of the helmet you used to answer or end a call especially since the headset has a microphone for c"&amp;"alling so it is convenient. For the buttons on the side of the helmet you will have accustomed you, I did not find her very easy at first but with practice we made it. In the end I am very satisfied with the high quality headphones for the price worth it.")</f>
        <v>Very good quality / price For several days I've tested this headset because I was a bit fed up of my earpiece that badly spanked me the ear and also did not take any of it. So I test this new helmet and I can tell you it is to start really comfortable, it holds up well in the head and does not hurt the ear it's just a pleasure to use. As for listening to music on bluetooth sound is nickel and the life is quite nice. For some time I listen to music on the ride of my work so 30 minute to go and 30 minutes to return with spotify for 1 week without needing to recharge and discharge even if it you have the jack cable to switch to wired mode without having to reload in case you're still on the way back. charging is fast enough over 2 hours total charging. The buttons on the side of the helmet are mostly quite handy in case you call it the telephone, you will not need to pull out your phone, the buttons on the side of the helmet you used to answer or end a call especially since the headset has a microphone for calling so it is convenient. For the buttons on the side of the helmet you will have accustomed you, I did not find her very easy at first but with practice we made it. In the end I am very satisfied with the high quality headphones for the price worth it.</v>
      </c>
    </row>
    <row r="6598">
      <c r="A6598" s="1">
        <v>5.0</v>
      </c>
      <c r="B6598" s="1" t="s">
        <v>6507</v>
      </c>
      <c r="C6598" t="str">
        <f>IFERROR(__xludf.DUMMYFUNCTION("GOOGLETRANSLATE(B6598, ""fr"", ""en"")"),"The beauty cream leather Perfect, outstanding and essential I recommend 💯 ^")</f>
        <v>The beauty cream leather Perfect, outstanding and essential I recommend 💯 ^</v>
      </c>
    </row>
    <row r="6599">
      <c r="A6599" s="1">
        <v>5.0</v>
      </c>
      <c r="B6599" s="1" t="s">
        <v>6508</v>
      </c>
      <c r="C6599" t="str">
        <f>IFERROR(__xludf.DUMMYFUNCTION("GOOGLETRANSLATE(B6599, ""fr"", ""en"")"),"Perfect size for my 3 month old baby The teat provided by default with the Nuk bottles of size M. The milk flow is too high for an infant, I bought these teats size S and it was perfect.")</f>
        <v>Perfect size for my 3 month old baby The teat provided by default with the Nuk bottles of size M. The milk flow is too high for an infant, I bought these teats size S and it was perfect.</v>
      </c>
    </row>
    <row r="6600">
      <c r="A6600" s="1">
        <v>5.0</v>
      </c>
      <c r="B6600" s="1" t="s">
        <v>6509</v>
      </c>
      <c r="C6600" t="str">
        <f>IFERROR(__xludf.DUMMYFUNCTION("GOOGLETRANSLATE(B6600, ""fr"", ""en"")"),"Very good quality sweater perfect size")</f>
        <v>Very good quality sweater perfect size</v>
      </c>
    </row>
    <row r="6601">
      <c r="A6601" s="1">
        <v>5.0</v>
      </c>
      <c r="B6601" s="1" t="s">
        <v>6510</v>
      </c>
      <c r="C6601" t="str">
        <f>IFERROR(__xludf.DUMMYFUNCTION("GOOGLETRANSLATE(B6601, ""fr"", ""en"")"),"Perfect for warm neck. Accessory nice and helpful to warm the neck quickly.")</f>
        <v>Perfect for warm neck. Accessory nice and helpful to warm the neck quickly.</v>
      </c>
    </row>
    <row r="6602">
      <c r="A6602" s="1">
        <v>5.0</v>
      </c>
      <c r="B6602" s="1" t="s">
        <v>6511</v>
      </c>
      <c r="C6602" t="str">
        <f>IFERROR(__xludf.DUMMYFUNCTION("GOOGLETRANSLATE(B6602, ""fr"", ""en"")"),"Good choice 👍 Very comfortable to wear and the sound is largely at a very good wire")</f>
        <v>Good choice 👍 Very comfortable to wear and the sound is largely at a very good wire</v>
      </c>
    </row>
    <row r="6603">
      <c r="A6603" s="1">
        <v>5.0</v>
      </c>
      <c r="B6603" s="1" t="s">
        <v>6512</v>
      </c>
      <c r="C6603" t="str">
        <f>IFERROR(__xludf.DUMMYFUNCTION("GOOGLETRANSLATE(B6603, ""fr"", ""en"")"),"Very disappointed Nothing to do with the quality ""fruit of the loom"" of old, very light, even too! badly cut (sleeves too long! Very disappointed!")</f>
        <v>Very disappointed Nothing to do with the quality "fruit of the loom" of old, very light, even too! badly cut (sleeves too long! Very disappointed!</v>
      </c>
    </row>
    <row r="6604">
      <c r="A6604" s="1">
        <v>5.0</v>
      </c>
      <c r="B6604" s="1" t="s">
        <v>6513</v>
      </c>
      <c r="C6604" t="str">
        <f>IFERROR(__xludf.DUMMYFUNCTION("GOOGLETRANSLATE(B6604, ""fr"", ""en"")"),"After satisfied 2d uses I am quite satisfied with the product. The design ""wood effect"" is very successful, the colors are beautiful and the diffuser smells room (25m2) in minutes and is stable (with a cat and a child is essential) Perfect, to see if ke"&amp;"eps its promise in duration.")</f>
        <v>After satisfied 2d uses I am quite satisfied with the product. The design "wood effect" is very successful, the colors are beautiful and the diffuser smells room (25m2) in minutes and is stable (with a cat and a child is essential) Perfect, to see if keeps its promise in duration.</v>
      </c>
    </row>
    <row r="6605">
      <c r="A6605" s="1">
        <v>5.0</v>
      </c>
      <c r="B6605" s="1" t="s">
        <v>6514</v>
      </c>
      <c r="C6605" t="str">
        <f>IFERROR(__xludf.DUMMYFUNCTION("GOOGLETRANSLATE(B6605, ""fr"", ""en"")"),"Perfect for my girls for coloring mandala. The color are superb and mine very well for children. Do not dry quickly like some other felts. I really recommend.")</f>
        <v>Perfect for my girls for coloring mandala. The color are superb and mine very well for children. Do not dry quickly like some other felts. I really recommend.</v>
      </c>
    </row>
    <row r="6606">
      <c r="A6606" s="1">
        <v>5.0</v>
      </c>
      <c r="B6606" s="1" t="s">
        <v>6515</v>
      </c>
      <c r="C6606" t="str">
        <f>IFERROR(__xludf.DUMMYFUNCTION("GOOGLETRANSLATE(B6606, ""fr"", ""en"")"),"Comfort What surprised me most is the comfort of this helmet, very pleasant, it can be worn for hours without problem. Good sound, with noise reduction that's perfect. Rugged and beautiful also.")</f>
        <v>Comfort What surprised me most is the comfort of this helmet, very pleasant, it can be worn for hours without problem. Good sound, with noise reduction that's perfect. Rugged and beautiful also.</v>
      </c>
    </row>
    <row r="6607">
      <c r="A6607" s="1">
        <v>5.0</v>
      </c>
      <c r="B6607" s="1" t="s">
        <v>6516</v>
      </c>
      <c r="C6607" t="str">
        <f>IFERROR(__xludf.DUMMYFUNCTION("GOOGLETRANSLATE(B6607, ""fr"", ""en"")"),"Very nice Great I love casual lovely I recommend without problems")</f>
        <v>Very nice Great I love casual lovely I recommend without problems</v>
      </c>
    </row>
    <row r="6608">
      <c r="A6608" s="1">
        <v>2.0</v>
      </c>
      <c r="B6608" s="1" t="s">
        <v>6517</v>
      </c>
      <c r="C6608" t="str">
        <f>IFERROR(__xludf.DUMMYFUNCTION("GOOGLETRANSLATE(B6608, ""fr"", ""en"")"),"blah heart has won quickly and the money disappeared quickly also very limited time !!")</f>
        <v>blah heart has won quickly and the money disappeared quickly also very limited time !!</v>
      </c>
    </row>
    <row r="6609">
      <c r="A6609" s="1">
        <v>1.0</v>
      </c>
      <c r="B6609" s="1" t="s">
        <v>6518</v>
      </c>
      <c r="C6609" t="str">
        <f>IFERROR(__xludf.DUMMYFUNCTION("GOOGLETRANSLATE(B6609, ""fr"", ""en"")"),"No solid in leading it going well, are comfortable, not heavy compared to traditional secu But after two months of use. There is soles tear. While I do not walk enormously since I'm So earlier on driver")</f>
        <v>No solid in leading it going well, are comfortable, not heavy compared to traditional secu But after two months of use. There is soles tear. While I do not walk enormously since I'm So earlier on driver</v>
      </c>
    </row>
    <row r="6610">
      <c r="A6610" s="1">
        <v>1.0</v>
      </c>
      <c r="B6610" s="1" t="s">
        <v>6519</v>
      </c>
      <c r="C6610" t="str">
        <f>IFERROR(__xludf.DUMMYFUNCTION("GOOGLETRANSLATE(B6610, ""fr"", ""en"")"),"A half empty unfilled maximum cartridge.")</f>
        <v>A half empty unfilled maximum cartridge.</v>
      </c>
    </row>
    <row r="6611">
      <c r="A6611" s="1">
        <v>3.0</v>
      </c>
      <c r="B6611" s="1" t="s">
        <v>6520</v>
      </c>
      <c r="C6611" t="str">
        <f>IFERROR(__xludf.DUMMYFUNCTION("GOOGLETRANSLATE(B6611, ""fr"", ""en"")"),"trash bag This is not the quality of before! I buy these bags for years. Before they were thicker and does not yield when pulling the bag up and out of the trash.")</f>
        <v>trash bag This is not the quality of before! I buy these bags for years. Before they were thicker and does not yield when pulling the bag up and out of the trash.</v>
      </c>
    </row>
    <row r="6612">
      <c r="A6612" s="1">
        <v>3.0</v>
      </c>
      <c r="B6612" s="1" t="s">
        <v>6521</v>
      </c>
      <c r="C6612" t="str">
        <f>IFERROR(__xludf.DUMMYFUNCTION("GOOGLETRANSLATE(B6612, ""fr"", ""en"")"),"Not as effective as a diffuser fogging drops does not diffuse as well as a diffuser nebulization. Not as effective for essential oil. I am happy when Mee because it will help me to humidify the house this summer.")</f>
        <v>Not as effective as a diffuser fogging drops does not diffuse as well as a diffuser nebulization. Not as effective for essential oil. I am happy when Mee because it will help me to humidify the house this summer.</v>
      </c>
    </row>
    <row r="6613">
      <c r="A6613" s="1">
        <v>4.0</v>
      </c>
      <c r="B6613" s="1" t="s">
        <v>6522</v>
      </c>
      <c r="C6613" t="str">
        <f>IFERROR(__xludf.DUMMYFUNCTION("GOOGLETRANSLATE(B6613, ""fr"", ""en"")"),"Good compatibility for Canon TS5001 cartridges Lot to replace canon brand cartridges for printer TS5001. The build quality does not inspire much confidence than original cartridges (packaging, plastic cartridges ...) However, the establishment of the cart"&amp;"ridges is very easy and the recognition of the printer is immediate and without problem. For regular standard printing, these cartridges are impeccable. I have not yet tested quality prints pictures.")</f>
        <v>Good compatibility for Canon TS5001 cartridges Lot to replace canon brand cartridges for printer TS5001. The build quality does not inspire much confidence than original cartridges (packaging, plastic cartridges ...) However, the establishment of the cartridges is very easy and the recognition of the printer is immediate and without problem. For regular standard printing, these cartridges are impeccable. I have not yet tested quality prints pictures.</v>
      </c>
    </row>
    <row r="6614">
      <c r="A6614" s="1">
        <v>4.0</v>
      </c>
      <c r="B6614" s="1" t="s">
        <v>6523</v>
      </c>
      <c r="C6614" t="str">
        <f>IFERROR(__xludf.DUMMYFUNCTION("GOOGLETRANSLATE(B6614, ""fr"", ""en"")"),"Good quality / price ratio Very nice watch for a very cheap price in the end. Certainly not the great watch but it is a watch to provide the time and not a financial investment! Bracelet quality")</f>
        <v>Good quality / price ratio Very nice watch for a very cheap price in the end. Certainly not the great watch but it is a watch to provide the time and not a financial investment! Bracelet quality</v>
      </c>
    </row>
    <row r="6615">
      <c r="A6615" s="1">
        <v>4.0</v>
      </c>
      <c r="B6615" s="1" t="s">
        <v>6524</v>
      </c>
      <c r="C6615" t="str">
        <f>IFERROR(__xludf.DUMMYFUNCTION("GOOGLETRANSLATE(B6615, ""fr"", ""en"")"),"Good product. Too bad it is not longer because not enough down on the lower back when is great. Heats very well and quickly.")</f>
        <v>Good product. Too bad it is not longer because not enough down on the lower back when is great. Heats very well and quickly.</v>
      </c>
    </row>
    <row r="6616">
      <c r="A6616" s="1">
        <v>4.0</v>
      </c>
      <c r="B6616" s="1" t="s">
        <v>6525</v>
      </c>
      <c r="C6616" t="str">
        <f>IFERROR(__xludf.DUMMYFUNCTION("GOOGLETRANSLATE(B6616, ""fr"", ""en"")"),"Cell OM 5E Hello, lover of vinyl Hifi and for 50 years I have always said that the most important in Hi-Fi is the input and output are the cell and speakers. This cell has seen its price a good frequency range 20 to over 24.000hertz and thanks to it I red"&amp;"iscovered sounds that were missing me. I am a happy man")</f>
        <v>Cell OM 5E Hello, lover of vinyl Hifi and for 50 years I have always said that the most important in Hi-Fi is the input and output are the cell and speakers. This cell has seen its price a good frequency range 20 to over 24.000hertz and thanks to it I rediscovered sounds that were missing me. I am a happy man</v>
      </c>
    </row>
    <row r="6617">
      <c r="A6617" s="1">
        <v>5.0</v>
      </c>
      <c r="B6617" s="1" t="s">
        <v>6526</v>
      </c>
      <c r="C6617" t="str">
        <f>IFERROR(__xludf.DUMMYFUNCTION("GOOGLETRANSLATE(B6617, ""fr"", ""en"")"),"A beauty !!!!! A jewel of elegant quality. I am very happy with the watch is superb. Ms. Alexis")</f>
        <v>A beauty !!!!! A jewel of elegant quality. I am very happy with the watch is superb. Ms. Alexis</v>
      </c>
    </row>
    <row r="6618">
      <c r="A6618" s="1">
        <v>5.0</v>
      </c>
      <c r="B6618" s="1" t="s">
        <v>6527</v>
      </c>
      <c r="C6618" t="str">
        <f>IFERROR(__xludf.DUMMYFUNCTION("GOOGLETRANSLATE(B6618, ""fr"", ""en"")"),"Super fine, it completely disassembles for cleaning optimum Easy to assemble and possibility of sterilizing the nipple and into the bottle fast")</f>
        <v>Super fine, it completely disassembles for cleaning optimum Easy to assemble and possibility of sterilizing the nipple and into the bottle fast</v>
      </c>
    </row>
    <row r="6619">
      <c r="A6619" s="1">
        <v>5.0</v>
      </c>
      <c r="B6619" s="1" t="s">
        <v>6528</v>
      </c>
      <c r="C6619" t="str">
        <f>IFERROR(__xludf.DUMMYFUNCTION("GOOGLETRANSLATE(B6619, ""fr"", ""en"")"),"Adorable!!! This set of 2 bottles of Dodie brand is adorable. In addition they are provided with the teats of the brand I like the feeling dummies. We have two very girly pink bottle with ultra cute patterns. The amount of 260ml is sufficient for the firs"&amp;"t months. I just love it.")</f>
        <v>Adorable!!! This set of 2 bottles of Dodie brand is adorable. In addition they are provided with the teats of the brand I like the feeling dummies. We have two very girly pink bottle with ultra cute patterns. The amount of 260ml is sufficient for the first months. I just love it.</v>
      </c>
    </row>
    <row r="6620">
      <c r="A6620" s="1">
        <v>5.0</v>
      </c>
      <c r="B6620" s="1" t="s">
        <v>6529</v>
      </c>
      <c r="C6620" t="str">
        <f>IFERROR(__xludf.DUMMYFUNCTION("GOOGLETRANSLATE(B6620, ""fr"", ""en"")"),"Compass watch shows Good value for money = casio")</f>
        <v>Compass watch shows Good value for money = casio</v>
      </c>
    </row>
    <row r="6621">
      <c r="A6621" s="1">
        <v>5.0</v>
      </c>
      <c r="B6621" s="1" t="s">
        <v>6530</v>
      </c>
      <c r="C6621" t="str">
        <f>IFERROR(__xludf.DUMMYFUNCTION("GOOGLETRANSLATE(B6621, ""fr"", ""en"")"),"cozy comfortable, good size.")</f>
        <v>cozy comfortable, good size.</v>
      </c>
    </row>
    <row r="6622">
      <c r="A6622" s="1">
        <v>5.0</v>
      </c>
      <c r="B6622" s="1" t="s">
        <v>6531</v>
      </c>
      <c r="C6622" t="str">
        <f>IFERROR(__xludf.DUMMYFUNCTION("GOOGLETRANSLATE(B6622, ""fr"", ""en"")"),"Superb superb sports yoga leggings size very well and the colors are like the picture I recommend this product")</f>
        <v>Superb superb sports yoga leggings size very well and the colors are like the picture I recommend this product</v>
      </c>
    </row>
    <row r="6623">
      <c r="A6623" s="1">
        <v>5.0</v>
      </c>
      <c r="B6623" s="1" t="s">
        <v>6532</v>
      </c>
      <c r="C6623" t="str">
        <f>IFERROR(__xludf.DUMMYFUNCTION("GOOGLETRANSLATE(B6623, ""fr"", ""en"")"),"Perfect Very good value bottles Advent classic My take very good inside (up to 5 at the same time comfortable) Great also for water bottles and small bottles Easy maintenance, do not take up much space, I recommend")</f>
        <v>Perfect Very good value bottles Advent classic My take very good inside (up to 5 at the same time comfortable) Great also for water bottles and small bottles Easy maintenance, do not take up much space, I recommend</v>
      </c>
    </row>
    <row r="6624">
      <c r="A6624" s="1">
        <v>5.0</v>
      </c>
      <c r="B6624" s="1" t="s">
        <v>6533</v>
      </c>
      <c r="C6624" t="str">
        <f>IFERROR(__xludf.DUMMYFUNCTION("GOOGLETRANSLATE(B6624, ""fr"", ""en"")"),"Very Good Very beautiful bag, very convenient with its compartments, some outside, planned zippers, super fast delivery, one day before the scheduled date, thank you")</f>
        <v>Very Good Very beautiful bag, very convenient with its compartments, some outside, planned zippers, super fast delivery, one day before the scheduled date, thank you</v>
      </c>
    </row>
    <row r="6625">
      <c r="A6625" s="1">
        <v>5.0</v>
      </c>
      <c r="B6625" s="1" t="s">
        <v>6534</v>
      </c>
      <c r="C6625" t="str">
        <f>IFERROR(__xludf.DUMMYFUNCTION("GOOGLETRANSLATE(B6625, ""fr"", ""en"")"),"Satisfied they are comfortable and keep warm.")</f>
        <v>Satisfied they are comfortable and keep warm.</v>
      </c>
    </row>
    <row r="6626">
      <c r="A6626" s="1">
        <v>5.0</v>
      </c>
      <c r="B6626" s="1" t="s">
        <v>6535</v>
      </c>
      <c r="C6626" t="str">
        <f>IFERROR(__xludf.DUMMYFUNCTION("GOOGLETRANSLATE(B6626, ""fr"", ""en"")"),"The only well that my daughter likes. It has arrived at the age when she can use and like the lower sizes you love them. I think even order a second one because sometimes it's just a little /")</f>
        <v>The only well that my daughter likes. It has arrived at the age when she can use and like the lower sizes you love them. I think even order a second one because sometimes it's just a little /</v>
      </c>
    </row>
    <row r="6627">
      <c r="A6627" s="1">
        <v>5.0</v>
      </c>
      <c r="B6627" s="1" t="s">
        <v>6536</v>
      </c>
      <c r="C6627" t="str">
        <f>IFERROR(__xludf.DUMMYFUNCTION("GOOGLETRANSLATE(B6627, ""fr"", ""en"")"),"Basketball at the top basketball Superb !! really comfortable")</f>
        <v>Basketball at the top basketball Superb !! really comfortable</v>
      </c>
    </row>
    <row r="6628">
      <c r="A6628" s="1">
        <v>5.0</v>
      </c>
      <c r="B6628" s="1" t="s">
        <v>6537</v>
      </c>
      <c r="C6628" t="str">
        <f>IFERROR(__xludf.DUMMYFUNCTION("GOOGLETRANSLATE(B6628, ""fr"", ""en"")"),"Perfect gift very appreciated")</f>
        <v>Perfect gift very appreciated</v>
      </c>
    </row>
    <row r="6629">
      <c r="A6629" s="1">
        <v>5.0</v>
      </c>
      <c r="B6629" s="1" t="s">
        <v>6538</v>
      </c>
      <c r="C6629" t="str">
        <f>IFERROR(__xludf.DUMMYFUNCTION("GOOGLETRANSLATE(B6629, ""fr"", ""en"")"),"Okay but watch the colors ... Great shoe. Attention all colors Nont not the same comfort. The golden brown are superb, while the chocolate brown nubuck are hellish as they are not comfortable .... mistrust")</f>
        <v>Okay but watch the colors ... Great shoe. Attention all colors Nont not the same comfort. The golden brown are superb, while the chocolate brown nubuck are hellish as they are not comfortable .... mistrust</v>
      </c>
    </row>
    <row r="6630">
      <c r="A6630" s="1">
        <v>5.0</v>
      </c>
      <c r="B6630" s="1" t="s">
        <v>6539</v>
      </c>
      <c r="C6630" t="str">
        <f>IFERROR(__xludf.DUMMYFUNCTION("GOOGLETRANSLATE(B6630, ""fr"", ""en"")"),"Very good quality very good, they make me every summer on the rollers")</f>
        <v>Very good quality very good, they make me every summer on the rollers</v>
      </c>
    </row>
    <row r="6631">
      <c r="A6631" s="1">
        <v>5.0</v>
      </c>
      <c r="B6631" s="1" t="s">
        <v>6540</v>
      </c>
      <c r="C6631" t="str">
        <f>IFERROR(__xludf.DUMMYFUNCTION("GOOGLETRANSLATE(B6631, ""fr"", ""en"")"),"At the top Use for my stay in the maternity ward. Towels pleasant and very absorbent. disposable panty handy but I advise to buy apart to have more fun kit that I use now for baby drugs")</f>
        <v>At the top Use for my stay in the maternity ward. Towels pleasant and very absorbent. disposable panty handy but I advise to buy apart to have more fun kit that I use now for baby drugs</v>
      </c>
    </row>
    <row r="6632">
      <c r="A6632" s="1">
        <v>2.0</v>
      </c>
      <c r="B6632" s="1" t="s">
        <v>6541</v>
      </c>
      <c r="C6632" t="str">
        <f>IFERROR(__xludf.DUMMYFUNCTION("GOOGLETRANSLATE(B6632, ""fr"", ""en"")"),"Beware dimensions. Nice product but I can not use because of its size that does not fit in a standard microwave.")</f>
        <v>Beware dimensions. Nice product but I can not use because of its size that does not fit in a standard microwave.</v>
      </c>
    </row>
    <row r="6633">
      <c r="A6633" s="1">
        <v>1.0</v>
      </c>
      <c r="B6633" s="1" t="s">
        <v>6542</v>
      </c>
      <c r="C6633" t="str">
        <f>IFERROR(__xludf.DUMMYFUNCTION("GOOGLETRANSLATE(B6633, ""fr"", ""en"")"),"CARTRIDGE FAILURE September 4, 2017 I ordered 2 original Samsung MLT-D111S tonners. At the opening of the second toner This day, it does not conform to the specified reference and I can not use it ......")</f>
        <v>CARTRIDGE FAILURE September 4, 2017 I ordered 2 original Samsung MLT-D111S tonners. At the opening of the second toner This day, it does not conform to the specified reference and I can not use it ......</v>
      </c>
    </row>
    <row r="6634">
      <c r="A6634" s="1">
        <v>1.0</v>
      </c>
      <c r="B6634" s="1" t="s">
        <v>6543</v>
      </c>
      <c r="C6634" t="str">
        <f>IFERROR(__xludf.DUMMYFUNCTION("GOOGLETRANSLATE(B6634, ""fr"", ""en"")"),"€ 15 for a bracelet that held three days .. The bracelet seemed frail and indeed, after 3 days after throwing a tennis ball at my dog, the bracelet has exploded around my wrist. The beads were scattered in the lawn. For that price, we expect a higher qual"&amp;"ity strap.")</f>
        <v>€ 15 for a bracelet that held three days .. The bracelet seemed frail and indeed, after 3 days after throwing a tennis ball at my dog, the bracelet has exploded around my wrist. The beads were scattered in the lawn. For that price, we expect a higher quality strap.</v>
      </c>
    </row>
    <row r="6635">
      <c r="A6635" s="1">
        <v>3.0</v>
      </c>
      <c r="B6635" s="1" t="s">
        <v>6544</v>
      </c>
      <c r="C6635" t="str">
        <f>IFERROR(__xludf.DUMMYFUNCTION("GOOGLETRANSLATE(B6635, ""fr"", ""en"")"),"Not sure this bag lasts over time !!! The average air quality al practice to store cell phone wallet card gray tablet view a small bottle of water for info on Chinese site 14 € Although the delivery time is much longer here with Amazon Prime 19 € 24-hour "&amp;"delivery Having in the time that it gives (Return after 1 month use the button pressure shows signs of weakness he struggles to close .....) damage if it is practical.")</f>
        <v>Not sure this bag lasts over time !!! The average air quality al practice to store cell phone wallet card gray tablet view a small bottle of water for info on Chinese site 14 € Although the delivery time is much longer here with Amazon Prime 19 € 24-hour delivery Having in the time that it gives (Return after 1 month use the button pressure shows signs of weakness he struggles to close .....) damage if it is practical.</v>
      </c>
    </row>
    <row r="6636">
      <c r="A6636" s="1">
        <v>4.0</v>
      </c>
      <c r="B6636" s="1" t="s">
        <v>6545</v>
      </c>
      <c r="C6636" t="str">
        <f>IFERROR(__xludf.DUMMYFUNCTION("GOOGLETRANSLATE(B6636, ""fr"", ""en"")"),"Top Wonderful product, an extraordinary sweetness, Christmas gift extra, to see in time. I highly recommend despite my misgivings.")</f>
        <v>Top Wonderful product, an extraordinary sweetness, Christmas gift extra, to see in time. I highly recommend despite my misgivings.</v>
      </c>
    </row>
    <row r="6637">
      <c r="A6637" s="1">
        <v>4.0</v>
      </c>
      <c r="B6637" s="1" t="s">
        <v>6546</v>
      </c>
      <c r="C6637" t="str">
        <f>IFERROR(__xludf.DUMMYFUNCTION("GOOGLETRANSLATE(B6637, ""fr"", ""en"")"),"good quality Brush quality product, horsehair odorless, and extremely flexible. It's good for delicate leathers or polishing being sure not to leave any scratches.")</f>
        <v>good quality Brush quality product, horsehair odorless, and extremely flexible. It's good for delicate leathers or polishing being sure not to leave any scratches.</v>
      </c>
    </row>
    <row r="6638">
      <c r="A6638" s="1">
        <v>4.0</v>
      </c>
      <c r="B6638" s="1" t="s">
        <v>6547</v>
      </c>
      <c r="C6638" t="str">
        <f>IFERROR(__xludf.DUMMYFUNCTION("GOOGLETRANSLATE(B6638, ""fr"", ""en"")"),"Very small but tough practice. Small size and good quality finish ..... .... ......... .. ... .. ... ... . . .")</f>
        <v>Very small but tough practice. Small size and good quality finish ..... .... ......... .. ... .. ... ... . . .</v>
      </c>
    </row>
    <row r="6639">
      <c r="A6639" s="1">
        <v>4.0</v>
      </c>
      <c r="B6639" s="1" t="s">
        <v>1261</v>
      </c>
      <c r="C6639" t="str">
        <f>IFERROR(__xludf.DUMMYFUNCTION("GOOGLETRANSLATE(B6639, ""fr"", ""en"")"),"good good")</f>
        <v>good good</v>
      </c>
    </row>
    <row r="6640">
      <c r="A6640" s="1">
        <v>5.0</v>
      </c>
      <c r="B6640" s="1" t="s">
        <v>6548</v>
      </c>
      <c r="C6640" t="str">
        <f>IFERROR(__xludf.DUMMYFUNCTION("GOOGLETRANSLATE(B6640, ""fr"", ""en"")"),"Fast and nice Large capacity, fast heating, and a fascinating spectacle (the bubbles and blue light!). Exactly what i wanted !")</f>
        <v>Fast and nice Large capacity, fast heating, and a fascinating spectacle (the bubbles and blue light!). Exactly what i wanted !</v>
      </c>
    </row>
    <row r="6641">
      <c r="A6641" s="1">
        <v>5.0</v>
      </c>
      <c r="B6641" s="1" t="s">
        <v>6549</v>
      </c>
      <c r="C6641" t="str">
        <f>IFERROR(__xludf.DUMMYFUNCTION("GOOGLETRANSLATE(B6641, ""fr"", ""en"")"),"Impec Comfortable and arrived on time")</f>
        <v>Impec Comfortable and arrived on time</v>
      </c>
    </row>
    <row r="6642">
      <c r="A6642" s="1">
        <v>5.0</v>
      </c>
      <c r="B6642" s="1" t="s">
        <v>2457</v>
      </c>
      <c r="C6642" t="str">
        <f>IFERROR(__xludf.DUMMYFUNCTION("GOOGLETRANSLATE(B6642, ""fr"", ""en"")"),"Ok Ok")</f>
        <v>Ok Ok</v>
      </c>
    </row>
    <row r="6643">
      <c r="A6643" s="1">
        <v>5.0</v>
      </c>
      <c r="B6643" s="1" t="s">
        <v>6550</v>
      </c>
      <c r="C6643" t="str">
        <f>IFERROR(__xludf.DUMMYFUNCTION("GOOGLETRANSLATE(B6643, ""fr"", ""en"")"),"UNBELIEVABLE MP3 WATERPROOF The product complies with the description. I quickly received the item without any worries or other packaging. Since I have this MP3, go to the pool is a real pleasure. We must find sz good tip size and get used to at first but"&amp;" the holding is good. Notes: It is difficult (impossible), however, dive / make turns in the MP3 gardantr well in the ears")</f>
        <v>UNBELIEVABLE MP3 WATERPROOF The product complies with the description. I quickly received the item without any worries or other packaging. Since I have this MP3, go to the pool is a real pleasure. We must find sz good tip size and get used to at first but the holding is good. Notes: It is difficult (impossible), however, dive / make turns in the MP3 gardantr well in the ears</v>
      </c>
    </row>
    <row r="6644">
      <c r="A6644" s="1">
        <v>5.0</v>
      </c>
      <c r="B6644" s="1" t="s">
        <v>6551</v>
      </c>
      <c r="C6644" t="str">
        <f>IFERROR(__xludf.DUMMYFUNCTION("GOOGLETRANSLATE(B6644, ""fr"", ""en"")"),"No utlise but ... Here, use or nails or screws. Only the patafix. So much so that even our curtains were fastened with. To tell you how this product is simple, practical and effective.")</f>
        <v>No utlise but ... Here, use or nails or screws. Only the patafix. So much so that even our curtains were fastened with. To tell you how this product is simple, practical and effective.</v>
      </c>
    </row>
    <row r="6645">
      <c r="A6645" s="1">
        <v>5.0</v>
      </c>
      <c r="B6645" s="1" t="s">
        <v>6552</v>
      </c>
      <c r="C6645" t="str">
        <f>IFERROR(__xludf.DUMMYFUNCTION("GOOGLETRANSLATE(B6645, ""fr"", ""en"")"),"supplier of seriousness for a nice gift")</f>
        <v>supplier of seriousness for a nice gift</v>
      </c>
    </row>
    <row r="6646">
      <c r="A6646" s="1">
        <v>5.0</v>
      </c>
      <c r="B6646" s="1" t="s">
        <v>6553</v>
      </c>
      <c r="C6646" t="str">
        <f>IFERROR(__xludf.DUMMYFUNCTION("GOOGLETRANSLATE(B6646, ""fr"", ""en"")"),"In the top ! I purchased this product to have good odor at home and I'm completely satisfied. The design is very nice, the lights are good, and the product does its job as it should do. One of his strong points is that it is VERY quiet and therefore does "&amp;"not prevent sleep during use. I highly recommend !")</f>
        <v>In the top ! I purchased this product to have good odor at home and I'm completely satisfied. The design is very nice, the lights are good, and the product does its job as it should do. One of his strong points is that it is VERY quiet and therefore does not prevent sleep during use. I highly recommend !</v>
      </c>
    </row>
    <row r="6647">
      <c r="A6647" s="1">
        <v>5.0</v>
      </c>
      <c r="B6647" s="1" t="s">
        <v>6554</v>
      </c>
      <c r="C6647" t="str">
        <f>IFERROR(__xludf.DUMMYFUNCTION("GOOGLETRANSLATE(B6647, ""fr"", ""en"")"),"Glad My daughter and super happy")</f>
        <v>Glad My daughter and super happy</v>
      </c>
    </row>
    <row r="6648">
      <c r="A6648" s="1">
        <v>5.0</v>
      </c>
      <c r="B6648" s="1" t="s">
        <v>6555</v>
      </c>
      <c r="C6648" t="str">
        <f>IFERROR(__xludf.DUMMYFUNCTION("GOOGLETRANSLATE(B6648, ""fr"", ""en"")"),"Fine wireless headphones ... &lt;div id = ""video-block-R28XB9HK5TT6GS"" class = ""a-section-spacing-small-spacing has-top video mini-block""&gt; &lt;/ div&gt; &lt;input type = "" hidden ""name ="" ""value ="" https://images-eu.ssl-images-amazon.com/images/I/A1vn4sJDXcS"&amp;".mp4 ""class ="" video-url ""&gt; &lt;input type ="" hidden ""name = """" value = ""https://images-eu.ssl-images-amazon.com/images/I/81+Gf58gtWS.png"" class = ""video-slate-img-url""&gt; &amp; nbsp; This is a beautiful wireless headsets. It connects easily to all the "&amp;"gadgets. The battery lasts longer. The sound quality is amazing too. Finally, it remains on the same ears if you're running or exercising / activities. !!")</f>
        <v>Fine wireless headphones ... &lt;div id = "video-block-R28XB9HK5TT6GS" class = "a-section-spacing-small-spacing has-top video mini-block"&gt; &lt;/ div&gt; &lt;input type = " hidden "name =" "value =" https://images-eu.ssl-images-amazon.com/images/I/A1vn4sJDXcS.mp4 "class =" video-url "&gt; &lt;input type =" hidden "name = "" value = "https://images-eu.ssl-images-amazon.com/images/I/81+Gf58gtWS.png" class = "video-slate-img-url"&gt; &amp; nbsp; This is a beautiful wireless headsets. It connects easily to all the gadgets. The battery lasts longer. The sound quality is amazing too. Finally, it remains on the same ears if you're running or exercising / activities. !!</v>
      </c>
    </row>
    <row r="6649">
      <c r="A6649" s="1">
        <v>5.0</v>
      </c>
      <c r="B6649" s="1" t="s">
        <v>6556</v>
      </c>
      <c r="C6649" t="str">
        <f>IFERROR(__xludf.DUMMYFUNCTION("GOOGLETRANSLATE(B6649, ""fr"", ""en"")"),"Correspondent at the top that I wanted, super cute, perfect size (I had already a pair, black this time). Very happy !")</f>
        <v>Correspondent at the top that I wanted, super cute, perfect size (I had already a pair, black this time). Very happy !</v>
      </c>
    </row>
    <row r="6650">
      <c r="A6650" s="1">
        <v>5.0</v>
      </c>
      <c r="B6650" s="1" t="s">
        <v>6557</v>
      </c>
      <c r="C6650" t="str">
        <f>IFERROR(__xludf.DUMMYFUNCTION("GOOGLETRANSLATE(B6650, ""fr"", ""en"")"),"Does this why we bought it This calculator is for my son who broke hers it fulfills its function in college and in line with expectations")</f>
        <v>Does this why we bought it This calculator is for my son who broke hers it fulfills its function in college and in line with expectations</v>
      </c>
    </row>
    <row r="6651">
      <c r="A6651" s="1">
        <v>5.0</v>
      </c>
      <c r="B6651" s="1" t="s">
        <v>6558</v>
      </c>
      <c r="C6651" t="str">
        <f>IFERROR(__xludf.DUMMYFUNCTION("GOOGLETRANSLATE(B6651, ""fr"", ""en"")"),"Very happy with this purchase very good quality leather. special insole cushioning great for long walks. I had not yet had the opportunity to try this brand would come back ...")</f>
        <v>Very happy with this purchase very good quality leather. special insole cushioning great for long walks. I had not yet had the opportunity to try this brand would come back ...</v>
      </c>
    </row>
    <row r="6652">
      <c r="A6652" s="1">
        <v>5.0</v>
      </c>
      <c r="B6652" s="1" t="s">
        <v>6559</v>
      </c>
      <c r="C6652" t="str">
        <f>IFERROR(__xludf.DUMMYFUNCTION("GOOGLETRANSLATE(B6652, ""fr"", ""en"")"),"Excellent product excellent product that I used during my perfect use flight and ideal to go running because through bluetooth not need now thread behind. Good battery life and good support. I recommend")</f>
        <v>Excellent product excellent product that I used during my perfect use flight and ideal to go running because through bluetooth not need now thread behind. Good battery life and good support. I recommend</v>
      </c>
    </row>
    <row r="6653">
      <c r="A6653" s="1">
        <v>5.0</v>
      </c>
      <c r="B6653" s="1" t="s">
        <v>6560</v>
      </c>
      <c r="C6653" t="str">
        <f>IFERROR(__xludf.DUMMYFUNCTION("GOOGLETRANSLATE(B6653, ""fr"", ""en"")"),"Pretty solid Done")</f>
        <v>Pretty solid Done</v>
      </c>
    </row>
    <row r="6654">
      <c r="A6654" s="1">
        <v>5.0</v>
      </c>
      <c r="B6654" s="1" t="s">
        <v>6561</v>
      </c>
      <c r="C6654" t="str">
        <f>IFERROR(__xludf.DUMMYFUNCTION("GOOGLETRANSLATE(B6654, ""fr"", ""en"")"),"Autonomy extra Just great. Happens to Wear OS. 4 days of autonomy")</f>
        <v>Autonomy extra Just great. Happens to Wear OS. 4 days of autonomy</v>
      </c>
    </row>
    <row r="6655">
      <c r="A6655" s="1">
        <v>2.0</v>
      </c>
      <c r="B6655" s="1" t="s">
        <v>6562</v>
      </c>
      <c r="C6655" t="str">
        <f>IFERROR(__xludf.DUMMYFUNCTION("GOOGLETRANSLATE(B6655, ""fr"", ""en"")"),"Bad cencée eraser to remove the stains ?? !!! I color crayon markings of my twins just bavées but not parties; and a very unpleasant thing is that it is deteriorating at breakneck speed, almost 1st use .... I do not advise ..")</f>
        <v>Bad cencée eraser to remove the stains ?? !!! I color crayon markings of my twins just bavées but not parties; and a very unpleasant thing is that it is deteriorating at breakneck speed, almost 1st use .... I do not advise ..</v>
      </c>
    </row>
    <row r="6656">
      <c r="A6656" s="1">
        <v>1.0</v>
      </c>
      <c r="B6656" s="1" t="s">
        <v>6563</v>
      </c>
      <c r="C6656" t="str">
        <f>IFERROR(__xludf.DUMMYFUNCTION("GOOGLETRANSLATE(B6656, ""fr"", ""en"")"),"Bracelet broken, moisture hs returned after 4moi because of the non-sealing as well take a watch to 2 euro, delicate soft waterproof vibrator like a sponge, I had to pick the three times it takes 4 months in a condition little rough.")</f>
        <v>Bracelet broken, moisture hs returned after 4moi because of the non-sealing as well take a watch to 2 euro, delicate soft waterproof vibrator like a sponge, I had to pick the three times it takes 4 months in a condition little rough.</v>
      </c>
    </row>
    <row r="6657">
      <c r="A6657" s="1">
        <v>3.0</v>
      </c>
      <c r="B6657" s="1" t="s">
        <v>6564</v>
      </c>
      <c r="C6657" t="str">
        <f>IFERROR(__xludf.DUMMYFUNCTION("GOOGLETRANSLATE(B6657, ""fr"", ""en"")"),"leather fair average quality leather")</f>
        <v>leather fair average quality leather</v>
      </c>
    </row>
    <row r="6658">
      <c r="A6658" s="1">
        <v>3.0</v>
      </c>
      <c r="B6658" s="1" t="s">
        <v>6565</v>
      </c>
      <c r="C6658" t="str">
        <f>IFERROR(__xludf.DUMMYFUNCTION("GOOGLETRANSLATE(B6658, ""fr"", ""en"")"),"Good pull a good pull, delivered fast, quality but with sleeves a little short. Ideal for 3/4 inning. Recommended for people in small arms")</f>
        <v>Good pull a good pull, delivered fast, quality but with sleeves a little short. Ideal for 3/4 inning. Recommended for people in small arms</v>
      </c>
    </row>
    <row r="6659">
      <c r="A6659" s="1">
        <v>4.0</v>
      </c>
      <c r="B6659" s="1" t="s">
        <v>6566</v>
      </c>
      <c r="C6659" t="str">
        <f>IFERROR(__xludf.DUMMYFUNCTION("GOOGLETRANSLATE(B6659, ""fr"", ""en"")"),"A treat for your feet !!!! Comfort guaranteed! Con-for-ta-ble !!! I already have twenty pairs of Birkenstock mainly Giza and Madrid and two Boston. So this pair is my first Arizona. I put a 4 stars only because this model is not very feminine, I will not "&amp;"go out in town with. But it is a matter of taste. If the quality is top !!!! What comfort! The Arizona has its special soft layer (weich-bettung) that do not have other models .... therefore extra comfort! A delight ! I put it at home set-season because i"&amp;"n winter I put the Boston (closed model) and summer in hot weather I put Giza (thong). So Arizona is in between seasons because neither too cold feet, neither too hot. This adjustable model allows them barefoot or in socks. Personally I appreciate barefoo"&amp;"t. Then I put on the 38 and I chose this model 38 (narrow) which is fine. By cons, if you choose (normal) or (off) take a size below. In short, no hesitation if you want comfort, and thank you Amazon for your small price (2 times cheaper than the brand's "&amp;"website.)")</f>
        <v>A treat for your feet !!!! Comfort guaranteed! Con-for-ta-ble !!! I already have twenty pairs of Birkenstock mainly Giza and Madrid and two Boston. So this pair is my first Arizona. I put a 4 stars only because this model is not very feminine, I will not go out in town with. But it is a matter of taste. If the quality is top !!!! What comfort! The Arizona has its special soft layer (weich-bettung) that do not have other models .... therefore extra comfort! A delight ! I put it at home set-season because in winter I put the Boston (closed model) and summer in hot weather I put Giza (thong). So Arizona is in between seasons because neither too cold feet, neither too hot. This adjustable model allows them barefoot or in socks. Personally I appreciate barefoot. Then I put on the 38 and I chose this model 38 (narrow) which is fine. By cons, if you choose (normal) or (off) take a size below. In short, no hesitation if you want comfort, and thank you Amazon for your small price (2 times cheaper than the brand's website.)</v>
      </c>
    </row>
    <row r="6660">
      <c r="A6660" s="1">
        <v>4.0</v>
      </c>
      <c r="B6660" s="1" t="s">
        <v>6567</v>
      </c>
      <c r="C6660" t="str">
        <f>IFERROR(__xludf.DUMMYFUNCTION("GOOGLETRANSLATE(B6660, ""fr"", ""en"")"),"Thank you Pretty Bracelet")</f>
        <v>Thank you Pretty Bracelet</v>
      </c>
    </row>
    <row r="6661">
      <c r="A6661" s="1">
        <v>4.0</v>
      </c>
      <c r="B6661" s="1" t="s">
        <v>6568</v>
      </c>
      <c r="C6661" t="str">
        <f>IFERROR(__xludf.DUMMYFUNCTION("GOOGLETRANSLATE(B6661, ""fr"", ""en"")"),"I love Pretty")</f>
        <v>I love Pretty</v>
      </c>
    </row>
    <row r="6662">
      <c r="A6662" s="1">
        <v>4.0</v>
      </c>
      <c r="B6662" s="1" t="s">
        <v>6569</v>
      </c>
      <c r="C6662" t="str">
        <f>IFERROR(__xludf.DUMMYFUNCTION("GOOGLETRANSLATE(B6662, ""fr"", ""en"")"),"Good product and user ➖➖➖➖➖ WHAT I LOVED ➖➖➖➖ 💚 Very good value (€ 36) 💚 The product look (like Apple). The compactness 💚 💚 Easy pairing between headphones themselves, and with my iPhone: one out of the box and it connects itself 💚 The microphone wor"&amp;"ks well in ""phone"" 💚 headphones are magnetized and attach all only the moment they are stored in the charging box 💚 autonomy (I like 3 hours without problem) and I 3 refills in the box 💚 integration in iOS is good, and the connection that only gives "&amp;"no significant latency sound / image for 💚 film good resistance in the ears, as long as you choose the tip (I do mountain biking, no running) 💚 the quality of silicone tips, really nice ➖➖➖➖➖ WHAT J AI LEAST LIKED ➖➖➖➖ 😐 the sound level is too low for "&amp;"my taste, and the bass a little weaklings (but never great in this kind of product) 😐 the headphones are disconnected when you close the box, not when they are deposited in their homes Orders are made by a simple ""touch"" on the headphones, so careful n"&amp;"ot to adjust them during a phone call, if not ""squeak"" ➖➖➖➖➖ CONCLUSION ➖➖➖➖ 👍 Good audio quality even 😐 if the volume is too low for my taste 👍 use very simple and ergonomically comfortable 👍 👍 Port must take care to take the good tip for a good p"&amp;"erformance in the ear and good insulation external noise in conclusion: I like product to its mostly for its very good value, and you will understand, I recommend it. My opinion is sincere, personal and honest, and only the reflection of my own experience"&amp;". I hope it has been helpful in your choices. Thank you for reading 😊 Edit after about a week of use: - Always so happy with the practicality of use of the product - The max volume is a little lacking in noisy environments")</f>
        <v>Good product and user ➖➖➖➖➖ WHAT I LOVED ➖➖➖➖ 💚 Very good value (€ 36) 💚 The product look (like Apple). The compactness 💚 💚 Easy pairing between headphones themselves, and with my iPhone: one out of the box and it connects itself 💚 The microphone works well in "phone" 💚 headphones are magnetized and attach all only the moment they are stored in the charging box 💚 autonomy (I like 3 hours without problem) and I 3 refills in the box 💚 integration in iOS is good, and the connection that only gives no significant latency sound / image for 💚 film good resistance in the ears, as long as you choose the tip (I do mountain biking, no running) 💚 the quality of silicone tips, really nice ➖➖➖➖➖ WHAT J AI LEAST LIKED ➖➖➖➖ 😐 the sound level is too low for my taste, and the bass a little weaklings (but never great in this kind of product) 😐 the headphones are disconnected when you close the box, not when they are deposited in their homes Orders are made by a simple "touch" on the headphones, so careful not to adjust them during a phone call, if not "squeak" ➖➖➖➖➖ CONCLUSION ➖➖➖➖ 👍 Good audio quality even 😐 if the volume is too low for my taste 👍 use very simple and ergonomically comfortable 👍 👍 Port must take care to take the good tip for a good performance in the ear and good insulation external noise in conclusion: I like product to its mostly for its very good value, and you will understand, I recommend it. My opinion is sincere, personal and honest, and only the reflection of my own experience. I hope it has been helpful in your choices. Thank you for reading 😊 Edit after about a week of use: - Always so happy with the practicality of use of the product - The max volume is a little lacking in noisy environments</v>
      </c>
    </row>
    <row r="6663">
      <c r="A6663" s="1">
        <v>5.0</v>
      </c>
      <c r="B6663" s="1" t="s">
        <v>6570</v>
      </c>
      <c r="C6663" t="str">
        <f>IFERROR(__xludf.DUMMYFUNCTION("GOOGLETRANSLATE(B6663, ""fr"", ""en"")"),"in order to please without being disappointed buying purchase for a birthday ... very nice watch, absolutely identical to the publication on the site ... the person to whom I have offered is happy, and I, not at all disappointed for choosing this article")</f>
        <v>in order to please without being disappointed buying purchase for a birthday ... very nice watch, absolutely identical to the publication on the site ... the person to whom I have offered is happy, and I, not at all disappointed for choosing this article</v>
      </c>
    </row>
    <row r="6664">
      <c r="A6664" s="1">
        <v>5.0</v>
      </c>
      <c r="B6664" s="1" t="s">
        <v>6571</v>
      </c>
      <c r="C6664" t="str">
        <f>IFERROR(__xludf.DUMMYFUNCTION("GOOGLETRANSLATE(B6664, ""fr"", ""en"")"),"Good Converse! Fast shipping, faithful sneakers Converse brand, good product quality, correct size, good resistance to feet. Delighted with my purchase.")</f>
        <v>Good Converse! Fast shipping, faithful sneakers Converse brand, good product quality, correct size, good resistance to feet. Delighted with my purchase.</v>
      </c>
    </row>
    <row r="6665">
      <c r="A6665" s="1">
        <v>5.0</v>
      </c>
      <c r="B6665" s="1" t="s">
        <v>6572</v>
      </c>
      <c r="C6665" t="str">
        <f>IFERROR(__xludf.DUMMYFUNCTION("GOOGLETRANSLATE(B6665, ""fr"", ""en"")"),"Very comfortable and reassuring Good shoes secu comfortable to work like tennis and good agripante sole")</f>
        <v>Very comfortable and reassuring Good shoes secu comfortable to work like tennis and good agripante sole</v>
      </c>
    </row>
    <row r="6666">
      <c r="A6666" s="1">
        <v>5.0</v>
      </c>
      <c r="B6666" s="1" t="s">
        <v>6573</v>
      </c>
      <c r="C6666" t="str">
        <f>IFERROR(__xludf.DUMMYFUNCTION("GOOGLETRANSLATE(B6666, ""fr"", ""en"")"),"Top Superb watch Marty Mcfly! :)")</f>
        <v>Top Superb watch Marty Mcfly! :)</v>
      </c>
    </row>
    <row r="6667">
      <c r="A6667" s="1">
        <v>5.0</v>
      </c>
      <c r="B6667" s="1" t="s">
        <v>6574</v>
      </c>
      <c r="C6667" t="str">
        <f>IFERROR(__xludf.DUMMYFUNCTION("GOOGLETRANSLATE(B6667, ""fr"", ""en"")"),"Great Comfort")</f>
        <v>Great Comfort</v>
      </c>
    </row>
    <row r="6668">
      <c r="A6668" s="1">
        <v>5.0</v>
      </c>
      <c r="B6668" s="1" t="s">
        <v>6575</v>
      </c>
      <c r="C6668" t="str">
        <f>IFERROR(__xludf.DUMMYFUNCTION("GOOGLETRANSLATE(B6668, ""fr"", ""en"")"),"Top sneaker Pretty good I usually makes the 39 I have picked 40 to be at ease and c is the top good finish I recommend")</f>
        <v>Top sneaker Pretty good I usually makes the 39 I have picked 40 to be at ease and c is the top good finish I recommend</v>
      </c>
    </row>
    <row r="6669">
      <c r="A6669" s="1">
        <v>5.0</v>
      </c>
      <c r="B6669" s="1" t="s">
        <v>6576</v>
      </c>
      <c r="C6669" t="str">
        <f>IFERROR(__xludf.DUMMYFUNCTION("GOOGLETRANSLATE(B6669, ""fr"", ""en"")"),"Adidas Sneakers I'm used to the football room and c is super comfortable and good grip of the ground, c is impeccable not need to take the last basketball.")</f>
        <v>Adidas Sneakers I'm used to the football room and c is super comfortable and good grip of the ground, c is impeccable not need to take the last basketball.</v>
      </c>
    </row>
    <row r="6670">
      <c r="A6670" s="1">
        <v>5.0</v>
      </c>
      <c r="B6670" s="1" t="s">
        <v>6577</v>
      </c>
      <c r="C6670" t="str">
        <f>IFERROR(__xludf.DUMMYFUNCTION("GOOGLETRANSLATE(B6670, ""fr"", ""en"")"),"Very good sound good sound bass are present sound is sharp. Perfect for sports sessions")</f>
        <v>Very good sound good sound bass are present sound is sharp. Perfect for sports sessions</v>
      </c>
    </row>
    <row r="6671">
      <c r="A6671" s="1">
        <v>5.0</v>
      </c>
      <c r="B6671" s="1" t="s">
        <v>6578</v>
      </c>
      <c r="C6671" t="str">
        <f>IFERROR(__xludf.DUMMYFUNCTION("GOOGLETRANSLATE(B6671, ""fr"", ""en"")"),"Converse Chuck Taylor All Star Ox Mono I'm so happy these little shoes (size 38) to my girlfriend gift. She is thrilled and these shoes go with almost everything! Not expensive at all and they are really cute !! I recommend.")</f>
        <v>Converse Chuck Taylor All Star Ox Mono I'm so happy these little shoes (size 38) to my girlfriend gift. She is thrilled and these shoes go with almost everything! Not expensive at all and they are really cute !! I recommend.</v>
      </c>
    </row>
    <row r="6672">
      <c r="A6672" s="1">
        <v>5.0</v>
      </c>
      <c r="B6672" s="1" t="s">
        <v>6579</v>
      </c>
      <c r="C6672" t="str">
        <f>IFERROR(__xludf.DUMMYFUNCTION("GOOGLETRANSLATE(B6672, ""fr"", ""en"")"),"Ideal. Hello, These shoes are neatly trimmed, I bought the size 39 and am very good.")</f>
        <v>Ideal. Hello, These shoes are neatly trimmed, I bought the size 39 and am very good.</v>
      </c>
    </row>
    <row r="6673">
      <c r="A6673" s="1">
        <v>5.0</v>
      </c>
      <c r="B6673" s="1" t="s">
        <v>6580</v>
      </c>
      <c r="C6673" t="str">
        <f>IFERROR(__xludf.DUMMYFUNCTION("GOOGLETRANSLATE(B6673, ""fr"", ""en"")"),"Perfect Good quality, I am delighted with my purchase")</f>
        <v>Perfect Good quality, I am delighted with my purchase</v>
      </c>
    </row>
    <row r="6674">
      <c r="A6674" s="1">
        <v>5.0</v>
      </c>
      <c r="B6674" s="1" t="s">
        <v>6581</v>
      </c>
      <c r="C6674" t="str">
        <f>IFERROR(__xludf.DUMMYFUNCTION("GOOGLETRANSLATE(B6674, ""fr"", ""en"")"),"Very good price I had no watch for a while and I was looking for a reasonably priced classic for everyday life. I came across this casio and frankly it was a great surprise because the price is really good! Some may say it is a bit small but I'm fine.")</f>
        <v>Very good price I had no watch for a while and I was looking for a reasonably priced classic for everyday life. I came across this casio and frankly it was a great surprise because the price is really good! Some may say it is a bit small but I'm fine.</v>
      </c>
    </row>
    <row r="6675">
      <c r="A6675" s="1">
        <v>5.0</v>
      </c>
      <c r="B6675" s="1" t="s">
        <v>6582</v>
      </c>
      <c r="C6675" t="str">
        <f>IFERROR(__xludf.DUMMYFUNCTION("GOOGLETRANSLATE(B6675, ""fr"", ""en"")"),"Better than expected! (For the price) I use in transport. The noise reduction works on any low noise and deaf as rumble of trains or buses, but passes the rest. So it is better than nothing for the price ... The sound is clean and fairly soft. The ANC is "&amp;"used alone and that's really helpful.")</f>
        <v>Better than expected! (For the price) I use in transport. The noise reduction works on any low noise and deaf as rumble of trains or buses, but passes the rest. So it is better than nothing for the price ... The sound is clean and fairly soft. The ANC is used alone and that's really helpful.</v>
      </c>
    </row>
    <row r="6676">
      <c r="A6676" s="1">
        <v>5.0</v>
      </c>
      <c r="B6676" s="1" t="s">
        <v>6583</v>
      </c>
      <c r="C6676" t="str">
        <f>IFERROR(__xludf.DUMMYFUNCTION("GOOGLETRANSLATE(B6676, ""fr"", ""en"")"),"The article describing and beautiful rendering. Item as described. Received quickly.")</f>
        <v>The article describing and beautiful rendering. Item as described. Received quickly.</v>
      </c>
    </row>
    <row r="6677">
      <c r="A6677" s="1">
        <v>5.0</v>
      </c>
      <c r="B6677" s="1" t="s">
        <v>6584</v>
      </c>
      <c r="C6677" t="str">
        <f>IFERROR(__xludf.DUMMYFUNCTION("GOOGLETRANSLATE(B6677, ""fr"", ""en"")"),"Super Polar Perfect together! The command conforms to the advertised product and desired. Very pleasant and very warm for a small price. Quick delivery.")</f>
        <v>Super Polar Perfect together! The command conforms to the advertised product and desired. Very pleasant and very warm for a small price. Quick delivery.</v>
      </c>
    </row>
    <row r="6678">
      <c r="A6678" s="1">
        <v>2.0</v>
      </c>
      <c r="B6678" s="1" t="s">
        <v>6585</v>
      </c>
      <c r="C6678" t="str">
        <f>IFERROR(__xludf.DUMMYFUNCTION("GOOGLETRANSLATE(B6678, ""fr"", ""en"")"),"Do not buy. Hello, a new comment on this watch. Two years of use, it has never worked properly. She just finished her career suddenly flattened mallet on the bench. I took pictures of the craft but for now, ca does not appear to be registered. Whatever, d"&amp;"o not buy this watch ever! Greetings.")</f>
        <v>Do not buy. Hello, a new comment on this watch. Two years of use, it has never worked properly. She just finished her career suddenly flattened mallet on the bench. I took pictures of the craft but for now, ca does not appear to be registered. Whatever, do not buy this watch ever! Greetings.</v>
      </c>
    </row>
    <row r="6679">
      <c r="A6679" s="1">
        <v>1.0</v>
      </c>
      <c r="B6679" s="1" t="s">
        <v>6586</v>
      </c>
      <c r="C6679" t="str">
        <f>IFERROR(__xludf.DUMMYFUNCTION("GOOGLETRANSLATE(B6679, ""fr"", ""en"")"),"Take water Warranty end I was very happy with this watch except that for several days, she takes the water just washing hands. She has obviously never been opened, since no battery to replace. This is very disappointing.")</f>
        <v>Take water Warranty end I was very happy with this watch except that for several days, she takes the water just washing hands. She has obviously never been opened, since no battery to replace. This is very disappointing.</v>
      </c>
    </row>
    <row r="6680">
      <c r="A6680" s="1">
        <v>1.0</v>
      </c>
      <c r="B6680" s="1" t="s">
        <v>6587</v>
      </c>
      <c r="C6680" t="str">
        <f>IFERROR(__xludf.DUMMYFUNCTION("GOOGLETRANSLATE(B6680, ""fr"", ""en"")"),"Stone Bracelet Cords medium used to maintain the stone balls is not good. My bracelet prop t broken after 10 days")</f>
        <v>Stone Bracelet Cords medium used to maintain the stone balls is not good. My bracelet prop t broken after 10 days</v>
      </c>
    </row>
    <row r="6681">
      <c r="A6681" s="1">
        <v>3.0</v>
      </c>
      <c r="B6681" s="1" t="s">
        <v>6588</v>
      </c>
      <c r="C6681" t="str">
        <f>IFERROR(__xludf.DUMMYFUNCTION("GOOGLETRANSLATE(B6681, ""fr"", ""en"")"),"Basketball Great beautiful basketball")</f>
        <v>Basketball Great beautiful basketball</v>
      </c>
    </row>
    <row r="6682">
      <c r="A6682" s="1">
        <v>3.0</v>
      </c>
      <c r="B6682" s="1" t="s">
        <v>6589</v>
      </c>
      <c r="C6682" t="str">
        <f>IFERROR(__xludf.DUMMYFUNCTION("GOOGLETRANSLATE(B6682, ""fr"", ""en"")"),"Good attention to product earrings, compact and efficient ... except that the headphones are a bit small and could hurt the ears for extended use (travel by plane). Also no airline adapter (to predict).")</f>
        <v>Good attention to product earrings, compact and efficient ... except that the headphones are a bit small and could hurt the ears for extended use (travel by plane). Also no airline adapter (to predict).</v>
      </c>
    </row>
    <row r="6683">
      <c r="A6683" s="1">
        <v>4.0</v>
      </c>
      <c r="B6683" s="1" t="s">
        <v>6590</v>
      </c>
      <c r="C6683" t="str">
        <f>IFERROR(__xludf.DUMMYFUNCTION("GOOGLETRANSLATE(B6683, ""fr"", ""en"")"),"Very top. I use it for over a month and am satisfied. It heats the water in 45 seconds. If you do not stop when the water boils it stops automatically. Easy to maintain a small white glass vinegre once a week. Very good quality for the price.")</f>
        <v>Very top. I use it for over a month and am satisfied. It heats the water in 45 seconds. If you do not stop when the water boils it stops automatically. Easy to maintain a small white glass vinegre once a week. Very good quality for the price.</v>
      </c>
    </row>
    <row r="6684">
      <c r="A6684" s="1">
        <v>4.0</v>
      </c>
      <c r="B6684" s="1" t="s">
        <v>6591</v>
      </c>
      <c r="C6684" t="str">
        <f>IFERROR(__xludf.DUMMYFUNCTION("GOOGLETRANSLATE(B6684, ""fr"", ""en"")"),"At the top After nearly two weeks of daily use Goodies: impressive noise -Reduced -Battery more than perfect flawless -Tenu -Quality exceptional sound in the ear -Small size -Application dedicated useful -Bluetooth 5.2 And plenty of other things ! Cons: V"&amp;"oice -Assistance not terrible .. Alexa in ""crippled"" because the Jabra does not connect Wifi uses are limited .. -The button on the Jabra are an evil fucking hair to my taste .. J 'would have preferred certain actions elsewhere .. But it's very personal"&amp;"! As a whole, these are probably the best Jabra market to price point (as direct competition to the Samsung Gear IconX) We are three friends in the assets and we sum absolutely not disappointed! I highly recommend !")</f>
        <v>At the top After nearly two weeks of daily use Goodies: impressive noise -Reduced -Battery more than perfect flawless -Tenu -Quality exceptional sound in the ear -Small size -Application dedicated useful -Bluetooth 5.2 And plenty of other things ! Cons: Voice -Assistance not terrible .. Alexa in "crippled" because the Jabra does not connect Wifi uses are limited .. -The button on the Jabra are an evil fucking hair to my taste .. J 'would have preferred certain actions elsewhere .. But it's very personal! As a whole, these are probably the best Jabra market to price point (as direct competition to the Samsung Gear IconX) We are three friends in the assets and we sum absolutely not disappointed! I highly recommend !</v>
      </c>
    </row>
    <row r="6685">
      <c r="A6685" s="1">
        <v>4.0</v>
      </c>
      <c r="B6685" s="1" t="s">
        <v>6592</v>
      </c>
      <c r="C6685" t="str">
        <f>IFERROR(__xludf.DUMMYFUNCTION("GOOGLETRANSLATE(B6685, ""fr"", ""en"")"),"used for jogging Works perfectly with my sports watch tomtom. The holding is correct, used for jogging only. the sound quality is sufficient for my use")</f>
        <v>used for jogging Works perfectly with my sports watch tomtom. The holding is correct, used for jogging only. the sound quality is sufficient for my use</v>
      </c>
    </row>
    <row r="6686">
      <c r="A6686" s="1">
        <v>4.0</v>
      </c>
      <c r="B6686" s="1" t="s">
        <v>6593</v>
      </c>
      <c r="C6686" t="str">
        <f>IFERROR(__xludf.DUMMYFUNCTION("GOOGLETRANSLATE(B6686, ""fr"", ""en"")"),"Good product The product was slow to arrive and the material is not very good")</f>
        <v>Good product The product was slow to arrive and the material is not very good</v>
      </c>
    </row>
    <row r="6687">
      <c r="A6687" s="1">
        <v>5.0</v>
      </c>
      <c r="B6687" s="1" t="s">
        <v>6594</v>
      </c>
      <c r="C6687" t="str">
        <f>IFERROR(__xludf.DUMMYFUNCTION("GOOGLETRANSLATE(B6687, ""fr"", ""en"")"),"Very good listener, quality! I just received my ear and I can confirm that for the price, these headphones are a marvel! Nice design, ergonomic earphones, practical and hygienic, the sound quality is good too. There is a button to turn on or off the music"&amp;" to answer or end a call. It is compatible with all devices with the 3.5mm jack. And fast delivery and éfficace.")</f>
        <v>Very good listener, quality! I just received my ear and I can confirm that for the price, these headphones are a marvel! Nice design, ergonomic earphones, practical and hygienic, the sound quality is good too. There is a button to turn on or off the music to answer or end a call. It is compatible with all devices with the 3.5mm jack. And fast delivery and éfficace.</v>
      </c>
    </row>
    <row r="6688">
      <c r="A6688" s="1">
        <v>5.0</v>
      </c>
      <c r="B6688" s="1" t="s">
        <v>6595</v>
      </c>
      <c r="C6688" t="str">
        <f>IFERROR(__xludf.DUMMYFUNCTION("GOOGLETRANSLATE(B6688, ""fr"", ""en"")"),"The paper simply very decent price, good quality, Amazon products as usual at the top I love this site")</f>
        <v>The paper simply very decent price, good quality, Amazon products as usual at the top I love this site</v>
      </c>
    </row>
    <row r="6689">
      <c r="A6689" s="1">
        <v>5.0</v>
      </c>
      <c r="B6689" s="1" t="s">
        <v>6596</v>
      </c>
      <c r="C6689" t="str">
        <f>IFERROR(__xludf.DUMMYFUNCTION("GOOGLETRANSLATE(B6689, ""fr"", ""en"")"),"I love good they are comfortable I advise")</f>
        <v>I love good they are comfortable I advise</v>
      </c>
    </row>
    <row r="6690">
      <c r="A6690" s="1">
        <v>5.0</v>
      </c>
      <c r="B6690" s="1" t="s">
        <v>6597</v>
      </c>
      <c r="C6690" t="str">
        <f>IFERROR(__xludf.DUMMYFUNCTION("GOOGLETRANSLATE(B6690, ""fr"", ""en"")"),"Good quality Pack 2 protections for cell phone, very thick and very good protection for the screen. Low price and good quality")</f>
        <v>Good quality Pack 2 protections for cell phone, very thick and very good protection for the screen. Low price and good quality</v>
      </c>
    </row>
    <row r="6691">
      <c r="A6691" s="1">
        <v>5.0</v>
      </c>
      <c r="B6691" s="1" t="s">
        <v>6598</v>
      </c>
      <c r="C6691" t="str">
        <f>IFERROR(__xludf.DUMMYFUNCTION("GOOGLETRANSLATE(B6691, ""fr"", ""en"")"),"To warm hot water bottle I highly recommend this. It is actually environmentally friendly since it uses no water, but what I like is that it is ready very quickly in the microwave and it does not burn (but in general, with a hot water bottle and a classic"&amp;" one tends tea put water too hot in the kettle which, in addition to burn us, pierces the very fast). The lifetime of this water bottle with intensive use is approximately one year after the inner bag is torn and sowing linseed")</f>
        <v>To warm hot water bottle I highly recommend this. It is actually environmentally friendly since it uses no water, but what I like is that it is ready very quickly in the microwave and it does not burn (but in general, with a hot water bottle and a classic one tends tea put water too hot in the kettle which, in addition to burn us, pierces the very fast). The lifetime of this water bottle with intensive use is approximately one year after the inner bag is torn and sowing linseed</v>
      </c>
    </row>
    <row r="6692">
      <c r="A6692" s="1">
        <v>5.0</v>
      </c>
      <c r="B6692" s="1" t="s">
        <v>6599</v>
      </c>
      <c r="C6692" t="str">
        <f>IFERROR(__xludf.DUMMYFUNCTION("GOOGLETRANSLATE(B6692, ""fr"", ""en"")"),"Super Robot masseur head a little heavy to carry")</f>
        <v>Super Robot masseur head a little heavy to carry</v>
      </c>
    </row>
    <row r="6693">
      <c r="A6693" s="1">
        <v>5.0</v>
      </c>
      <c r="B6693" s="1" t="s">
        <v>6600</v>
      </c>
      <c r="C6693" t="str">
        <f>IFERROR(__xludf.DUMMYFUNCTION("GOOGLETRANSLATE(B6693, ""fr"", ""en"")"),"I love these bracelets are perfect. They are strong, beautiful. I buy shower since I have them and they have not moved. They arrived well packed in a beautiful bag. I do not regret at all.")</f>
        <v>I love these bracelets are perfect. They are strong, beautiful. I buy shower since I have them and they have not moved. They arrived well packed in a beautiful bag. I do not regret at all.</v>
      </c>
    </row>
    <row r="6694">
      <c r="A6694" s="1">
        <v>5.0</v>
      </c>
      <c r="B6694" s="1" t="s">
        <v>6601</v>
      </c>
      <c r="C6694" t="str">
        <f>IFERROR(__xludf.DUMMYFUNCTION("GOOGLETRANSLATE(B6694, ""fr"", ""en"")"),"Excellent product I recommend excellent product I recommend")</f>
        <v>Excellent product I recommend excellent product I recommend</v>
      </c>
    </row>
    <row r="6695">
      <c r="A6695" s="1">
        <v>5.0</v>
      </c>
      <c r="B6695" s="1" t="s">
        <v>6602</v>
      </c>
      <c r="C6695" t="str">
        <f>IFERROR(__xludf.DUMMYFUNCTION("GOOGLETRANSLATE(B6695, ""fr"", ""en"")"),"sending fast efficaité product but you should wash the stains in the day, do not expect I made from dirty white shorts on!")</f>
        <v>sending fast efficaité product but you should wash the stains in the day, do not expect I made from dirty white shorts on!</v>
      </c>
    </row>
    <row r="6696">
      <c r="A6696" s="1">
        <v>5.0</v>
      </c>
      <c r="B6696" s="1" t="s">
        <v>6603</v>
      </c>
      <c r="C6696" t="str">
        <f>IFERROR(__xludf.DUMMYFUNCTION("GOOGLETRANSLATE(B6696, ""fr"", ""en"")"),"we do a lot of things with that shipment is quick and neat, everyone should have in her care products baking soda, I cleaned a lot of things and it works very well.")</f>
        <v>we do a lot of things with that shipment is quick and neat, everyone should have in her care products baking soda, I cleaned a lot of things and it works very well.</v>
      </c>
    </row>
    <row r="6697">
      <c r="A6697" s="1">
        <v>5.0</v>
      </c>
      <c r="B6697" s="1" t="s">
        <v>6604</v>
      </c>
      <c r="C6697" t="str">
        <f>IFERROR(__xludf.DUMMYFUNCTION("GOOGLETRANSLATE(B6697, ""fr"", ""en"")"),"perfect good right size shoes perfect, conforms to what I really happy and comfortable control, to test the trails now lol")</f>
        <v>perfect good right size shoes perfect, conforms to what I really happy and comfortable control, to test the trails now lol</v>
      </c>
    </row>
    <row r="6698">
      <c r="A6698" s="1">
        <v>5.0</v>
      </c>
      <c r="B6698" s="1" t="s">
        <v>6605</v>
      </c>
      <c r="C6698" t="str">
        <f>IFERROR(__xludf.DUMMYFUNCTION("GOOGLETRANSLATE(B6698, ""fr"", ""en"")"),"great product after several hesitation I ended up getting started. Aillant of difficulty finding good models yours good ear with Jabra no worries. Simply we must have the well blow for them. Level quality excellent nothing wrong in both acute and serious."&amp;" Jabbra little app lets you customize well. Otherwise no latency in sound both on music and film. only downside it is true that the noise reduction is not bad but we still hear what is happening around. Besides the small option to be able to listen what i"&amp;"s happening outside walking nikel.j'ai could test it on my PC and my phone it directly recognizes the disconnection without disruption. Product quality is not fragile. I highly recommend this product. even if we can not put 5 stars for a good 4 4 1/2 view"&amp;" seems to me justified.")</f>
        <v>great product after several hesitation I ended up getting started. Aillant of difficulty finding good models yours good ear with Jabra no worries. Simply we must have the well blow for them. Level quality excellent nothing wrong in both acute and serious. Jabbra little app lets you customize well. Otherwise no latency in sound both on music and film. only downside it is true that the noise reduction is not bad but we still hear what is happening around. Besides the small option to be able to listen what is happening outside walking nikel.j'ai could test it on my PC and my phone it directly recognizes the disconnection without disruption. Product quality is not fragile. I highly recommend this product. even if we can not put 5 stars for a good 4 4 1/2 view seems to me justified.</v>
      </c>
    </row>
    <row r="6699">
      <c r="A6699" s="1">
        <v>5.0</v>
      </c>
      <c r="B6699" s="1" t="s">
        <v>6606</v>
      </c>
      <c r="C6699" t="str">
        <f>IFERROR(__xludf.DUMMYFUNCTION("GOOGLETRANSLATE(B6699, ""fr"", ""en"")"),"At the top I am delighted with my purchase, my daughter has no electrical outlet near his office and it's a great alternative. It is easy to install thanks to its clip system. The lighting is very good and adjustable at will. So I plugged into an external"&amp;" battery through the USB port and my little girl now working at his desk with a light.")</f>
        <v>At the top I am delighted with my purchase, my daughter has no electrical outlet near his office and it's a great alternative. It is easy to install thanks to its clip system. The lighting is very good and adjustable at will. So I plugged into an external battery through the USB port and my little girl now working at his desk with a light.</v>
      </c>
    </row>
    <row r="6700">
      <c r="A6700" s="1">
        <v>5.0</v>
      </c>
      <c r="B6700" s="1" t="s">
        <v>6607</v>
      </c>
      <c r="C6700" t="str">
        <f>IFERROR(__xludf.DUMMYFUNCTION("GOOGLETRANSLATE(B6700, ""fr"", ""en"")"),"Great design for this and other tea kettle")</f>
        <v>Great design for this and other tea kettle</v>
      </c>
    </row>
    <row r="6701">
      <c r="A6701" s="1">
        <v>5.0</v>
      </c>
      <c r="B6701" s="1" t="s">
        <v>6608</v>
      </c>
      <c r="C6701" t="str">
        <f>IFERROR(__xludf.DUMMYFUNCTION("GOOGLETRANSLATE(B6701, ""fr"", ""en"")"),"good sound and very excellent value for money. very good sound and volume loud enough. comes with small pouch that goes. I highly recommend for the price.")</f>
        <v>good sound and very excellent value for money. very good sound and volume loud enough. comes with small pouch that goes. I highly recommend for the price.</v>
      </c>
    </row>
    <row r="6702">
      <c r="A6702" s="1">
        <v>2.0</v>
      </c>
      <c r="B6702" s="1" t="s">
        <v>6609</v>
      </c>
      <c r="C6702" t="str">
        <f>IFERROR(__xludf.DUMMYFUNCTION("GOOGLETRANSLATE(B6702, ""fr"", ""en"")"),"Do not work 100% No sound, lights yes yes Bluetooth connection. Disappointed to have to order and wait ...")</f>
        <v>Do not work 100% No sound, lights yes yes Bluetooth connection. Disappointed to have to order and wait ...</v>
      </c>
    </row>
    <row r="6703">
      <c r="A6703" s="1">
        <v>1.0</v>
      </c>
      <c r="B6703" s="1" t="s">
        <v>6610</v>
      </c>
      <c r="C6703" t="str">
        <f>IFERROR(__xludf.DUMMYFUNCTION("GOOGLETRANSLATE(B6703, ""fr"", ""en"")"),"This is to drink mashed! The hole is huge. It is not suitable for the milk enriched infant cereals.")</f>
        <v>This is to drink mashed! The hole is huge. It is not suitable for the milk enriched infant cereals.</v>
      </c>
    </row>
    <row r="6704">
      <c r="A6704" s="1">
        <v>1.0</v>
      </c>
      <c r="B6704" s="1" t="s">
        <v>6611</v>
      </c>
      <c r="C6704" t="str">
        <f>IFERROR(__xludf.DUMMYFUNCTION("GOOGLETRANSLATE(B6704, ""fr"", ""en"")"),"Disappointed All functions do not work correctements")</f>
        <v>Disappointed All functions do not work correctements</v>
      </c>
    </row>
    <row r="6705">
      <c r="A6705" s="1">
        <v>3.0</v>
      </c>
      <c r="B6705" s="1" t="s">
        <v>6612</v>
      </c>
      <c r="C6705" t="str">
        <f>IFERROR(__xludf.DUMMYFUNCTION("GOOGLETRANSLATE(B6705, ""fr"", ""en"")"),"not great not great but considering the price .... or the second hand gets ahead (2 sec in 48h) the digital is delayed .... no tool to reduce the size of the bracelet which is very large (I removed 3 links with a tool I had, fortunately). no instructions,"&amp;" the watch beeps every hour, I do not find to remove it So okay but not great.")</f>
        <v>not great not great but considering the price .... or the second hand gets ahead (2 sec in 48h) the digital is delayed .... no tool to reduce the size of the bracelet which is very large (I removed 3 links with a tool I had, fortunately). no instructions, the watch beeps every hour, I do not find to remove it So okay but not great.</v>
      </c>
    </row>
    <row r="6706">
      <c r="A6706" s="1">
        <v>4.0</v>
      </c>
      <c r="B6706" s="1" t="s">
        <v>6613</v>
      </c>
      <c r="C6706" t="str">
        <f>IFERROR(__xludf.DUMMYFUNCTION("GOOGLETRANSLATE(B6706, ""fr"", ""en"")"),"Good product The product complies; point of attention: the headphones are large so be on the head of a child, it happens just between the car seat of the ear; my daughter is often forced to move his head a little to loosen. Used on a car seat to 18kg so I"&amp;" guess that with a less enveloping seat no this slight problem.")</f>
        <v>Good product The product complies; point of attention: the headphones are large so be on the head of a child, it happens just between the car seat of the ear; my daughter is often forced to move his head a little to loosen. Used on a car seat to 18kg so I guess that with a less enveloping seat no this slight problem.</v>
      </c>
    </row>
    <row r="6707">
      <c r="A6707" s="1">
        <v>4.0</v>
      </c>
      <c r="B6707" s="1" t="s">
        <v>6614</v>
      </c>
      <c r="C6707" t="str">
        <f>IFERROR(__xludf.DUMMYFUNCTION("GOOGLETRANSLATE(B6707, ""fr"", ""en"")"),"Happy Very good article, I recommend!")</f>
        <v>Happy Very good article, I recommend!</v>
      </c>
    </row>
    <row r="6708">
      <c r="A6708" s="1">
        <v>4.0</v>
      </c>
      <c r="B6708" s="1" t="s">
        <v>6615</v>
      </c>
      <c r="C6708" t="str">
        <f>IFERROR(__xludf.DUMMYFUNCTION("GOOGLETRANSLATE(B6708, ""fr"", ""en"")"),"effective product, low odor following the renewal in single septic system to use")</f>
        <v>effective product, low odor following the renewal in single septic system to use</v>
      </c>
    </row>
    <row r="6709">
      <c r="A6709" s="1">
        <v>4.0</v>
      </c>
      <c r="B6709" s="1" t="s">
        <v>6616</v>
      </c>
      <c r="C6709" t="str">
        <f>IFERROR(__xludf.DUMMYFUNCTION("GOOGLETRANSLATE(B6709, ""fr"", ""en"")"),"Take usual size Legging a little too long, white parties are very thin and transparent. Otherwise good material and correct size.")</f>
        <v>Take usual size Legging a little too long, white parties are very thin and transparent. Otherwise good material and correct size.</v>
      </c>
    </row>
    <row r="6710">
      <c r="A6710" s="1">
        <v>4.0</v>
      </c>
      <c r="B6710" s="1" t="s">
        <v>6617</v>
      </c>
      <c r="C6710" t="str">
        <f>IFERROR(__xludf.DUMMYFUNCTION("GOOGLETRANSLATE(B6710, ""fr"", ""en"")"),"Good size small overall quality for the price, do not hesitate to take two sizes larger.")</f>
        <v>Good size small overall quality for the price, do not hesitate to take two sizes larger.</v>
      </c>
    </row>
    <row r="6711">
      <c r="A6711" s="1">
        <v>5.0</v>
      </c>
      <c r="B6711" s="1" t="s">
        <v>6618</v>
      </c>
      <c r="C6711" t="str">
        <f>IFERROR(__xludf.DUMMYFUNCTION("GOOGLETRANSLATE(B6711, ""fr"", ""en"")"),"Enchanting for a little girl! Very nice album with beautiful decorations and stickers that sparkle for some. plasticized pages and double coverage, it's great. What unleash their imagination and creativity to create their own scenes.")</f>
        <v>Enchanting for a little girl! Very nice album with beautiful decorations and stickers that sparkle for some. plasticized pages and double coverage, it's great. What unleash their imagination and creativity to create their own scenes.</v>
      </c>
    </row>
    <row r="6712">
      <c r="A6712" s="1">
        <v>5.0</v>
      </c>
      <c r="B6712" s="1" t="s">
        <v>6619</v>
      </c>
      <c r="C6712" t="str">
        <f>IFERROR(__xludf.DUMMYFUNCTION("GOOGLETRANSLATE(B6712, ""fr"", ""en"")"),"Very nice, I recommend Super happy, pretty necklace with earrings that are an adornment. The record is perfect, I hope the quality will be as the RDV.")</f>
        <v>Very nice, I recommend Super happy, pretty necklace with earrings that are an adornment. The record is perfect, I hope the quality will be as the RDV.</v>
      </c>
    </row>
    <row r="6713">
      <c r="A6713" s="1">
        <v>5.0</v>
      </c>
      <c r="B6713" s="1" t="s">
        <v>6620</v>
      </c>
      <c r="C6713" t="str">
        <f>IFERROR(__xludf.DUMMYFUNCTION("GOOGLETRANSLATE(B6713, ""fr"", ""en"")"),"Casio - LCW-M170TD-1AER - Waveceptor - Watch ... Watch me very réussi.Pour no défaut.Cadran very readable, Standby automatique.En putting the Spanish language, the names of the days are easier to distinguish. So for the strap adjustment, (You need the dev"&amp;"ice of the photo) it is sufficient to recover the small ring when we remove an axis of one or more links and put inside the big hole link to corner with the next link, to drive the shaft with a hammer and it is ok, no need to bend the pins to make it your"&amp;"s. I did it and it's great. For features, nothing to say, everything is there: -Rechargeable by light source. - Update of the automatic and reliable time. - All needles are bright, practice night. - Time schedule of several global cities. - Stopwatch. - C"&amp;"ountdown. - load level indicator of the battery. - Dial lighting. I highly recommend this watch.")</f>
        <v>Casio - LCW-M170TD-1AER - Waveceptor - Watch ... Watch me very réussi.Pour no défaut.Cadran very readable, Standby automatique.En putting the Spanish language, the names of the days are easier to distinguish. So for the strap adjustment, (You need the device of the photo) it is sufficient to recover the small ring when we remove an axis of one or more links and put inside the big hole link to corner with the next link, to drive the shaft with a hammer and it is ok, no need to bend the pins to make it yours. I did it and it's great. For features, nothing to say, everything is there: -Rechargeable by light source. - Update of the automatic and reliable time. - All needles are bright, practice night. - Time schedule of several global cities. - Stopwatch. - Countdown. - load level indicator of the battery. - Dial lighting. I highly recommend this watch.</v>
      </c>
    </row>
    <row r="6714">
      <c r="A6714" s="1">
        <v>5.0</v>
      </c>
      <c r="B6714" s="1" t="s">
        <v>6621</v>
      </c>
      <c r="C6714" t="str">
        <f>IFERROR(__xludf.DUMMYFUNCTION("GOOGLETRANSLATE(B6714, ""fr"", ""en"")"),"laundry super happy with my purchase")</f>
        <v>laundry super happy with my purchase</v>
      </c>
    </row>
    <row r="6715">
      <c r="A6715" s="1">
        <v>5.0</v>
      </c>
      <c r="B6715" s="1" t="s">
        <v>6622</v>
      </c>
      <c r="C6715" t="str">
        <f>IFERROR(__xludf.DUMMYFUNCTION("GOOGLETRANSLATE(B6715, ""fr"", ""en"")"),"Perfect !!!! I order all the years this model and everything is always perfect. I recommend this product !")</f>
        <v>Perfect !!!! I order all the years this model and everything is always perfect. I recommend this product !</v>
      </c>
    </row>
    <row r="6716">
      <c r="A6716" s="1">
        <v>5.0</v>
      </c>
      <c r="B6716" s="1" t="s">
        <v>6623</v>
      </c>
      <c r="C6716" t="str">
        <f>IFERROR(__xludf.DUMMYFUNCTION("GOOGLETRANSLATE(B6716, ""fr"", ""en"")"),"Adorable Little gem necklace end and cute.")</f>
        <v>Adorable Little gem necklace end and cute.</v>
      </c>
    </row>
    <row r="6717">
      <c r="A6717" s="1">
        <v>5.0</v>
      </c>
      <c r="B6717" s="1" t="s">
        <v>6624</v>
      </c>
      <c r="C6717" t="str">
        <f>IFERROR(__xludf.DUMMYFUNCTION("GOOGLETRANSLATE(B6717, ""fr"", ""en"")"),"Article Perfect very good quality. Perfect size. I highly recommend this product !!")</f>
        <v>Article Perfect very good quality. Perfect size. I highly recommend this product !!</v>
      </c>
    </row>
    <row r="6718">
      <c r="A6718" s="1">
        <v>5.0</v>
      </c>
      <c r="B6718" s="1" t="s">
        <v>6625</v>
      </c>
      <c r="C6718" t="str">
        <f>IFERROR(__xludf.DUMMYFUNCTION("GOOGLETRANSLATE(B6718, ""fr"", ""en"")"),"Laminator laminator practical and simple to use and very easy pray quick start. It comes well packaged and complete with more pockets of different formats A3 A4 A5, a foil cutter, a hole punch etc ... Good value.")</f>
        <v>Laminator laminator practical and simple to use and very easy pray quick start. It comes well packaged and complete with more pockets of different formats A3 A4 A5, a foil cutter, a hole punch etc ... Good value.</v>
      </c>
    </row>
    <row r="6719">
      <c r="A6719" s="1">
        <v>5.0</v>
      </c>
      <c r="B6719" s="1" t="s">
        <v>6626</v>
      </c>
      <c r="C6719" t="str">
        <f>IFERROR(__xludf.DUMMYFUNCTION("GOOGLETRANSLATE(B6719, ""fr"", ""en"")"),"satisfying product I like my house to be healthy and feel good. So I bought this diffuser for it. Booklet provides explanation with in many languages. The downside is that the cover does not take if you want to move")</f>
        <v>satisfying product I like my house to be healthy and feel good. So I bought this diffuser for it. Booklet provides explanation with in many languages. The downside is that the cover does not take if you want to move</v>
      </c>
    </row>
    <row r="6720">
      <c r="A6720" s="1">
        <v>5.0</v>
      </c>
      <c r="B6720" s="1" t="s">
        <v>6627</v>
      </c>
      <c r="C6720" t="str">
        <f>IFERROR(__xludf.DUMMYFUNCTION("GOOGLETRANSLATE(B6720, ""fr"", ""en"")"),"Perfect This is the second order I performed at Danish Endurance and I'm not disappointed. These socks are indicated as, unsurprisingly, sleazy and hot. Perfect for my use.")</f>
        <v>Perfect This is the second order I performed at Danish Endurance and I'm not disappointed. These socks are indicated as, unsurprisingly, sleazy and hot. Perfect for my use.</v>
      </c>
    </row>
    <row r="6721">
      <c r="A6721" s="1">
        <v>5.0</v>
      </c>
      <c r="B6721" s="1" t="s">
        <v>6628</v>
      </c>
      <c r="C6721" t="str">
        <f>IFERROR(__xludf.DUMMYFUNCTION("GOOGLETRANSLATE(B6721, ""fr"", ""en"")"),"Casio Vintage Excellent product I recommend to everyone for those wishing to relive the magical moments of watches 70/80 ...")</f>
        <v>Casio Vintage Excellent product I recommend to everyone for those wishing to relive the magical moments of watches 70/80 ...</v>
      </c>
    </row>
    <row r="6722">
      <c r="A6722" s="1">
        <v>5.0</v>
      </c>
      <c r="B6722" s="1" t="s">
        <v>6629</v>
      </c>
      <c r="C6722" t="str">
        <f>IFERROR(__xludf.DUMMYFUNCTION("GOOGLETRANSLATE(B6722, ""fr"", ""en"")"),"Very good socks Finally socks that hold the foot and that are not found within 5 minutes at the bottom of shoes, size 43/46 suits me (I am the 44) and the cut is good it possible to wash 40 ° without fear. Info: the cotton content is 72%.")</f>
        <v>Very good socks Finally socks that hold the foot and that are not found within 5 minutes at the bottom of shoes, size 43/46 suits me (I am the 44) and the cut is good it possible to wash 40 ° without fear. Info: the cotton content is 72%.</v>
      </c>
    </row>
    <row r="6723">
      <c r="A6723" s="1">
        <v>5.0</v>
      </c>
      <c r="B6723" s="1" t="s">
        <v>6630</v>
      </c>
      <c r="C6723" t="str">
        <f>IFERROR(__xludf.DUMMYFUNCTION("GOOGLETRANSLATE(B6723, ""fr"", ""en"")"),"Satisfied amplifier connection cable guitare.bon product")</f>
        <v>Satisfied amplifier connection cable guitare.bon product</v>
      </c>
    </row>
    <row r="6724">
      <c r="A6724" s="1">
        <v>5.0</v>
      </c>
      <c r="B6724" s="1" t="s">
        <v>6631</v>
      </c>
      <c r="C6724" t="str">
        <f>IFERROR(__xludf.DUMMYFUNCTION("GOOGLETRANSLATE(B6724, ""fr"", ""en"")"),"Perfect small kitchen can be installed between the lever and the wall is ideal for small spaces unlike trees that take too much space on a work plan")</f>
        <v>Perfect small kitchen can be installed between the lever and the wall is ideal for small spaces unlike trees that take too much space on a work plan</v>
      </c>
    </row>
    <row r="6725">
      <c r="A6725" s="1">
        <v>5.0</v>
      </c>
      <c r="B6725" s="1" t="s">
        <v>6632</v>
      </c>
      <c r="C6725" t="str">
        <f>IFERROR(__xludf.DUMMYFUNCTION("GOOGLETRANSLATE(B6725, ""fr"", ""en"")"),"beautiful product conformity, proposed size is perfect for me and I love the color blue.")</f>
        <v>beautiful product conformity, proposed size is perfect for me and I love the color blue.</v>
      </c>
    </row>
    <row r="6726">
      <c r="A6726" s="1">
        <v>5.0</v>
      </c>
      <c r="B6726" s="1" t="s">
        <v>6633</v>
      </c>
      <c r="C6726" t="str">
        <f>IFERROR(__xludf.DUMMYFUNCTION("GOOGLETRANSLATE(B6726, ""fr"", ""en"")"),"Ideal for autumn Parcel received in advance! Jolie material conforms to the picture, I have ordered my size but slightly off a bit after that does not bother me. Pockets on the side, does not wrinkle. Top for mid season because light but keeps you warm!")</f>
        <v>Ideal for autumn Parcel received in advance! Jolie material conforms to the picture, I have ordered my size but slightly off a bit after that does not bother me. Pockets on the side, does not wrinkle. Top for mid season because light but keeps you warm!</v>
      </c>
    </row>
    <row r="6727">
      <c r="A6727" s="1">
        <v>2.0</v>
      </c>
      <c r="B6727" s="1" t="s">
        <v>6634</v>
      </c>
      <c r="C6727" t="str">
        <f>IFERROR(__xludf.DUMMYFUNCTION("GOOGLETRANSLATE(B6727, ""fr"", ""en"")"),"rachetterai did not I did not know myself servir.Quand think you put the user guide in French, one in France ici.J'ai cut advanced product out but it spurted from partout.Le product may be good but the approach does not have it.")</f>
        <v>rachetterai did not I did not know myself servir.Quand think you put the user guide in French, one in France ici.J'ai cut advanced product out but it spurted from partout.Le product may be good but the approach does not have it.</v>
      </c>
    </row>
    <row r="6728">
      <c r="A6728" s="1">
        <v>1.0</v>
      </c>
      <c r="B6728" s="1" t="s">
        <v>6635</v>
      </c>
      <c r="C6728" t="str">
        <f>IFERROR(__xludf.DUMMYFUNCTION("GOOGLETRANSLATE(B6728, ""fr"", ""en"")"),"sweet size not top falls badly on the body")</f>
        <v>sweet size not top falls badly on the body</v>
      </c>
    </row>
    <row r="6729">
      <c r="A6729" s="1">
        <v>3.0</v>
      </c>
      <c r="B6729" s="1" t="s">
        <v>6636</v>
      </c>
      <c r="C6729" t="str">
        <f>IFERROR(__xludf.DUMMYFUNCTION("GOOGLETRANSLATE(B6729, ""fr"", ""en"")"),"Autonomy lower than expected. I use it for a little while, wandering in the street or do housework. He does not very well fit on the head, a bit heavy sometimes slips. But especially in the Bluetooth range is approximately 6H. Filliaire can be around 20h."&amp;" But overall I do not regret my purchase !. the sound is good, it is comfortable although a little hot.")</f>
        <v>Autonomy lower than expected. I use it for a little while, wandering in the street or do housework. He does not very well fit on the head, a bit heavy sometimes slips. But especially in the Bluetooth range is approximately 6H. Filliaire can be around 20h. But overall I do not regret my purchase !. the sound is good, it is comfortable although a little hot.</v>
      </c>
    </row>
    <row r="6730">
      <c r="A6730" s="1">
        <v>3.0</v>
      </c>
      <c r="B6730" s="1" t="s">
        <v>6637</v>
      </c>
      <c r="C6730" t="str">
        <f>IFERROR(__xludf.DUMMYFUNCTION("GOOGLETRANSLATE(B6730, ""fr"", ""en"")"),"Converse but .... Nothing to say in particular still converse converse and I just love ic Only with this seller is the delivery that is a long hair and the box was awfully small compared to usual (we would say was a box ballerina!) and the smell reminded "&amp;"me of a low-end therefore ask myself some questions when was the origin and authenticity of the product!")</f>
        <v>Converse but .... Nothing to say in particular still converse converse and I just love ic Only with this seller is the delivery that is a long hair and the box was awfully small compared to usual (we would say was a box ballerina!) and the smell reminded me of a low-end therefore ask myself some questions when was the origin and authenticity of the product!</v>
      </c>
    </row>
    <row r="6731">
      <c r="A6731" s="1">
        <v>4.0</v>
      </c>
      <c r="B6731" s="1" t="s">
        <v>6638</v>
      </c>
      <c r="C6731" t="str">
        <f>IFERROR(__xludf.DUMMYFUNCTION("GOOGLETRANSLATE(B6731, ""fr"", ""en"")"),"Product in accordance product according")</f>
        <v>Product in accordance product according</v>
      </c>
    </row>
    <row r="6732">
      <c r="A6732" s="1">
        <v>4.0</v>
      </c>
      <c r="B6732" s="1" t="s">
        <v>6451</v>
      </c>
      <c r="C6732" t="str">
        <f>IFERROR(__xludf.DUMMYFUNCTION("GOOGLETRANSLATE(B6732, ""fr"", ""en"")"),"Right Right")</f>
        <v>Right Right</v>
      </c>
    </row>
    <row r="6733">
      <c r="A6733" s="1">
        <v>4.0</v>
      </c>
      <c r="B6733" s="1" t="s">
        <v>6639</v>
      </c>
      <c r="C6733" t="str">
        <f>IFERROR(__xludf.DUMMYFUNCTION("GOOGLETRANSLATE(B6733, ""fr"", ""en"")"),"Very good I highly recommend")</f>
        <v>Very good I highly recommend</v>
      </c>
    </row>
    <row r="6734">
      <c r="A6734" s="1">
        <v>4.0</v>
      </c>
      <c r="B6734" s="1" t="s">
        <v>6640</v>
      </c>
      <c r="C6734" t="str">
        <f>IFERROR(__xludf.DUMMYFUNCTION("GOOGLETRANSLATE(B6734, ""fr"", ""en"")"),"good product flush")</f>
        <v>good product flush</v>
      </c>
    </row>
    <row r="6735">
      <c r="A6735" s="1">
        <v>5.0</v>
      </c>
      <c r="B6735" s="1" t="s">
        <v>6641</v>
      </c>
      <c r="C6735" t="str">
        <f>IFERROR(__xludf.DUMMYFUNCTION("GOOGLETRANSLATE(B6735, ""fr"", ""en"")"),"Top for chickens I deal regularly, once or twice a year, for my chickens galls paws. this product is very effective in two spaced applications a week. Consider using the product for brushing perches. 9a dries quickly. I took this little test format. Bette"&amp;"r I think to buy the special chicken version with the integrated brush to cover, it's easier to use. This is also what I will next time.")</f>
        <v>Top for chickens I deal regularly, once or twice a year, for my chickens galls paws. this product is very effective in two spaced applications a week. Consider using the product for brushing perches. 9a dries quickly. I took this little test format. Better I think to buy the special chicken version with the integrated brush to cover, it's easier to use. This is also what I will next time.</v>
      </c>
    </row>
    <row r="6736">
      <c r="A6736" s="1">
        <v>5.0</v>
      </c>
      <c r="B6736" s="1" t="s">
        <v>6642</v>
      </c>
      <c r="C6736" t="str">
        <f>IFERROR(__xludf.DUMMYFUNCTION("GOOGLETRANSLATE(B6736, ""fr"", ""en"")"),"Amazon customer Beautiful earrings j ears love I m not tired")</f>
        <v>Amazon customer Beautiful earrings j ears love I m not tired</v>
      </c>
    </row>
    <row r="6737">
      <c r="A6737" s="1">
        <v>5.0</v>
      </c>
      <c r="B6737" s="1" t="s">
        <v>6643</v>
      </c>
      <c r="C6737" t="str">
        <f>IFERROR(__xludf.DUMMYFUNCTION("GOOGLETRANSLATE(B6737, ""fr"", ""en"")"),"Very satisfied Superb watch brand Casio vintage golden. It is not too big to nice wrist worn. The bracelet, time and date are easy to adjust. No regrets I recommend the purchase.")</f>
        <v>Very satisfied Superb watch brand Casio vintage golden. It is not too big to nice wrist worn. The bracelet, time and date are easy to adjust. No regrets I recommend the purchase.</v>
      </c>
    </row>
    <row r="6738">
      <c r="A6738" s="1">
        <v>5.0</v>
      </c>
      <c r="B6738" s="1" t="s">
        <v>6644</v>
      </c>
      <c r="C6738" t="str">
        <f>IFERROR(__xludf.DUMMYFUNCTION("GOOGLETRANSLATE(B6738, ""fr"", ""en"")"),"Recommend Very good understanding for the new born")</f>
        <v>Recommend Very good understanding for the new born</v>
      </c>
    </row>
    <row r="6739">
      <c r="A6739" s="1">
        <v>5.0</v>
      </c>
      <c r="B6739" s="1" t="s">
        <v>6645</v>
      </c>
      <c r="C6739" t="str">
        <f>IFERROR(__xludf.DUMMYFUNCTION("GOOGLETRANSLATE(B6739, ""fr"", ""en"")"),"In order Nickel")</f>
        <v>In order Nickel</v>
      </c>
    </row>
    <row r="6740">
      <c r="A6740" s="1">
        <v>5.0</v>
      </c>
      <c r="B6740" s="1" t="s">
        <v>6646</v>
      </c>
      <c r="C6740" t="str">
        <f>IFERROR(__xludf.DUMMYFUNCTION("GOOGLETRANSLATE(B6740, ""fr"", ""en"")"),"From high school to higher education. I acquired this calculator a little late. Having started my BTS with the model below (Casio Graph 25+), my operations were, however, limited. Having no way ""Review"" specified by a small ""E"" on the calculator model"&amp;", I could be denied to certain examinations in view of the new regulation of 2018. exams Moreover, in my studies we need matrix calculation was not available on the Graph 25+ and is available on the Graph 35+ E. If you want to change from 25 to 35, be awa"&amp;"re that you can not transfer your information to a calculator to another, because the cables and types of connectors on both calculators are different. However, you can connect the calculator to your computer, because to me it seems, you need to connect t"&amp;"he calculator to your computer to exit the review mode. Casio is becoming a brand relatively popular in France in the educational environment. Personally, I'm not disappointed, she did what I asked and I find the features I need on the calculator. Regardi"&amp;"ng the review mode, I talked with my teacher of mathematics, he said he had no news about the requirement to put in exam mode. Moreover, many are those who do not have a calculator that has a review mode and there is never a problem with this in my educat"&amp;"ion and in my surroundings. This is to have the exams approach. My calculator was delivered with AA batteries. Thanks for reading me. :)")</f>
        <v>From high school to higher education. I acquired this calculator a little late. Having started my BTS with the model below (Casio Graph 25+), my operations were, however, limited. Having no way "Review" specified by a small "E" on the calculator model, I could be denied to certain examinations in view of the new regulation of 2018. exams Moreover, in my studies we need matrix calculation was not available on the Graph 25+ and is available on the Graph 35+ E. If you want to change from 25 to 35, be aware that you can not transfer your information to a calculator to another, because the cables and types of connectors on both calculators are different. However, you can connect the calculator to your computer, because to me it seems, you need to connect the calculator to your computer to exit the review mode. Casio is becoming a brand relatively popular in France in the educational environment. Personally, I'm not disappointed, she did what I asked and I find the features I need on the calculator. Regarding the review mode, I talked with my teacher of mathematics, he said he had no news about the requirement to put in exam mode. Moreover, many are those who do not have a calculator that has a review mode and there is never a problem with this in my education and in my surroundings. This is to have the exams approach. My calculator was delivered with AA batteries. Thanks for reading me. :)</v>
      </c>
    </row>
    <row r="6741">
      <c r="A6741" s="1">
        <v>5.0</v>
      </c>
      <c r="B6741" s="1" t="s">
        <v>6647</v>
      </c>
      <c r="C6741" t="str">
        <f>IFERROR(__xludf.DUMMYFUNCTION("GOOGLETRANSLATE(B6741, ""fr"", ""en"")"),"Super recommended")</f>
        <v>Super recommended</v>
      </c>
    </row>
    <row r="6742">
      <c r="A6742" s="1">
        <v>5.0</v>
      </c>
      <c r="B6742" s="1" t="s">
        <v>6648</v>
      </c>
      <c r="C6742" t="str">
        <f>IFERROR(__xludf.DUMMYFUNCTION("GOOGLETRANSLATE(B6742, ""fr"", ""en"")"),"Super Heated Blanket product, I have used all winter every day and night, I can spend more m, I've ordered another for my son who never left 👍je also recommended 👍 EXTRA")</f>
        <v>Super Heated Blanket product, I have used all winter every day and night, I can spend more m, I've ordered another for my son who never left 👍je also recommended 👍 EXTRA</v>
      </c>
    </row>
    <row r="6743">
      <c r="A6743" s="1">
        <v>5.0</v>
      </c>
      <c r="B6743" s="1" t="s">
        <v>6649</v>
      </c>
      <c r="C6743" t="str">
        <f>IFERROR(__xludf.DUMMYFUNCTION("GOOGLETRANSLATE(B6743, ""fr"", ""en"")"),"Decue Not at all !! Very comfortable. Size very well. J have recommended the same pattern in white")</f>
        <v>Decue Not at all !! Very comfortable. Size very well. J have recommended the same pattern in white</v>
      </c>
    </row>
    <row r="6744">
      <c r="A6744" s="1">
        <v>5.0</v>
      </c>
      <c r="B6744" s="1" t="s">
        <v>5230</v>
      </c>
      <c r="C6744" t="str">
        <f>IFERROR(__xludf.DUMMYFUNCTION("GOOGLETRANSLATE(B6744, ""fr"", ""en"")"),"Perfect Very good")</f>
        <v>Perfect Very good</v>
      </c>
    </row>
    <row r="6745">
      <c r="A6745" s="1">
        <v>5.0</v>
      </c>
      <c r="B6745" s="1" t="s">
        <v>6650</v>
      </c>
      <c r="C6745" t="str">
        <f>IFERROR(__xludf.DUMMYFUNCTION("GOOGLETRANSLATE(B6745, ""fr"", ""en"")"),"A good helmet reduces price a bulky helmet but light and comfortable, which is not exaggerated bass. It is a model farm, not half-open. After, I'm not a big melomane, so not many reviews for sound reproduction. At 85 euros, it's a good deal, this model ob"&amp;"viously being the end of commercial life, a recent model being equivalent to 200 euros.")</f>
        <v>A good helmet reduces price a bulky helmet but light and comfortable, which is not exaggerated bass. It is a model farm, not half-open. After, I'm not a big melomane, so not many reviews for sound reproduction. At 85 euros, it's a good deal, this model obviously being the end of commercial life, a recent model being equivalent to 200 euros.</v>
      </c>
    </row>
    <row r="6746">
      <c r="A6746" s="1">
        <v>5.0</v>
      </c>
      <c r="B6746" s="1" t="s">
        <v>6651</v>
      </c>
      <c r="C6746" t="str">
        <f>IFERROR(__xludf.DUMMYFUNCTION("GOOGLETRANSLATE(B6746, ""fr"", ""en"")"),"I love Perfectly in line with the photo and super lightweight! I recommend because they are so comfortable!")</f>
        <v>I love Perfectly in line with the photo and super lightweight! I recommend because they are so comfortable!</v>
      </c>
    </row>
    <row r="6747">
      <c r="A6747" s="1">
        <v>5.0</v>
      </c>
      <c r="B6747" s="1" t="s">
        <v>6652</v>
      </c>
      <c r="C6747" t="str">
        <f>IFERROR(__xludf.DUMMYFUNCTION("GOOGLETRANSLATE(B6747, ""fr"", ""en"")"),"Nothing to say This clothing is consistent with the image of the more pleasant to wear and nothing in the long run.")</f>
        <v>Nothing to say This clothing is consistent with the image of the more pleasant to wear and nothing in the long run.</v>
      </c>
    </row>
    <row r="6748">
      <c r="A6748" s="1">
        <v>5.0</v>
      </c>
      <c r="B6748" s="1" t="s">
        <v>6653</v>
      </c>
      <c r="C6748" t="str">
        <f>IFERROR(__xludf.DUMMYFUNCTION("GOOGLETRANSLATE(B6748, ""fr"", ""en"")"),"satisfactory fits the description, meets expectations")</f>
        <v>satisfactory fits the description, meets expectations</v>
      </c>
    </row>
    <row r="6749">
      <c r="A6749" s="1">
        <v>5.0</v>
      </c>
      <c r="B6749" s="1" t="s">
        <v>6654</v>
      </c>
      <c r="C6749" t="str">
        <f>IFERROR(__xludf.DUMMYFUNCTION("GOOGLETRANSLATE(B6749, ""fr"", ""en"")"),"Meets Very happy super comfortable")</f>
        <v>Meets Very happy super comfortable</v>
      </c>
    </row>
    <row r="6750">
      <c r="A6750" s="1">
        <v>2.0</v>
      </c>
      <c r="B6750" s="1" t="s">
        <v>6655</v>
      </c>
      <c r="C6750" t="str">
        <f>IFERROR(__xludf.DUMMYFUNCTION("GOOGLETRANSLATE(B6750, ""fr"", ""en"")"),"Closes evil. Closes evil.")</f>
        <v>Closes evil. Closes evil.</v>
      </c>
    </row>
    <row r="6751">
      <c r="A6751" s="1">
        <v>1.0</v>
      </c>
      <c r="B6751" s="1" t="s">
        <v>6656</v>
      </c>
      <c r="C6751" t="str">
        <f>IFERROR(__xludf.DUMMYFUNCTION("GOOGLETRANSLATE(B6751, ""fr"", ""en"")"),"Blah blah .... Good shoes .... but prendee 47 to 45 ... and after sewing responsible toe injury model ... not great ..")</f>
        <v>Blah blah .... Good shoes .... but prendee 47 to 45 ... and after sewing responsible toe injury model ... not great ..</v>
      </c>
    </row>
    <row r="6752">
      <c r="A6752" s="1">
        <v>1.0</v>
      </c>
      <c r="B6752" s="1" t="s">
        <v>6657</v>
      </c>
      <c r="C6752" t="str">
        <f>IFERROR(__xludf.DUMMYFUNCTION("GOOGLETRANSLATE(B6752, ""fr"", ""en"")"),"The article does not function properly Poor copy")</f>
        <v>The article does not function properly Poor copy</v>
      </c>
    </row>
    <row r="6753">
      <c r="A6753" s="1">
        <v>3.0</v>
      </c>
      <c r="B6753" s="1" t="s">
        <v>6658</v>
      </c>
      <c r="C6753" t="str">
        <f>IFERROR(__xludf.DUMMYFUNCTION("GOOGLETRANSLATE(B6753, ""fr"", ""en"")"),"Good quality product and size consistent good quality product and size in line for sneakers The top is very nice and not too messy Supplied with 2 pairs of white laces and gray see in time whether they will hold and will not come off. Well damped shocks f"&amp;"or long walk into town or driving, not to use for sports.")</f>
        <v>Good quality product and size consistent good quality product and size in line for sneakers The top is very nice and not too messy Supplied with 2 pairs of white laces and gray see in time whether they will hold and will not come off. Well damped shocks for long walk into town or driving, not to use for sports.</v>
      </c>
    </row>
    <row r="6754">
      <c r="A6754" s="1">
        <v>3.0</v>
      </c>
      <c r="B6754" s="1" t="s">
        <v>6659</v>
      </c>
      <c r="C6754" t="str">
        <f>IFERROR(__xludf.DUMMYFUNCTION("GOOGLETRANSLATE(B6754, ""fr"", ""en"")"),"Yeah Where's the scoop? Impractical without shame the price is interesting ..")</f>
        <v>Yeah Where's the scoop? Impractical without shame the price is interesting ..</v>
      </c>
    </row>
    <row r="6755">
      <c r="A6755" s="1">
        <v>4.0</v>
      </c>
      <c r="B6755" s="1" t="s">
        <v>6660</v>
      </c>
      <c r="C6755" t="str">
        <f>IFERROR(__xludf.DUMMYFUNCTION("GOOGLETRANSLATE(B6755, ""fr"", ""en"")"),"I recommend because the large size model you must take the size below I am a regular Slim soles but I am accustomed to this final not so imposing sole Color is top")</f>
        <v>I recommend because the large size model you must take the size below I am a regular Slim soles but I am accustomed to this final not so imposing sole Color is top</v>
      </c>
    </row>
    <row r="6756">
      <c r="A6756" s="1">
        <v>4.0</v>
      </c>
      <c r="B6756" s="1" t="s">
        <v>6661</v>
      </c>
      <c r="C6756" t="str">
        <f>IFERROR(__xludf.DUMMYFUNCTION("GOOGLETRANSLATE(B6756, ""fr"", ""en"")"),"Good shoe right shoe for the price by quite fragile against time")</f>
        <v>Good shoe right shoe for the price by quite fragile against time</v>
      </c>
    </row>
    <row r="6757">
      <c r="A6757" s="1">
        <v>4.0</v>
      </c>
      <c r="B6757" s="1" t="s">
        <v>6662</v>
      </c>
      <c r="C6757" t="str">
        <f>IFERROR(__xludf.DUMMYFUNCTION("GOOGLETRANSLATE(B6757, ""fr"", ""en"")"),"Super washable My little three love exercise his artistic talents, and with this painting, she is having a heart joy. No maintenance problem if removal tasks on, however to watch on some clothes.")</f>
        <v>Super washable My little three love exercise his artistic talents, and with this painting, she is having a heart joy. No maintenance problem if removal tasks on, however to watch on some clothes.</v>
      </c>
    </row>
    <row r="6758">
      <c r="A6758" s="1">
        <v>4.0</v>
      </c>
      <c r="B6758" s="1" t="s">
        <v>6663</v>
      </c>
      <c r="C6758" t="str">
        <f>IFERROR(__xludf.DUMMYFUNCTION("GOOGLETRANSLATE(B6758, ""fr"", ""en"")"),"Great product shame that there are only two levels of water and more, not easily visible because they are located inside. Double wall very effective to avoid burning !!!")</f>
        <v>Great product shame that there are only two levels of water and more, not easily visible because they are located inside. Double wall very effective to avoid burning !!!</v>
      </c>
    </row>
    <row r="6759">
      <c r="A6759" s="1">
        <v>5.0</v>
      </c>
      <c r="B6759" s="1" t="s">
        <v>1547</v>
      </c>
      <c r="C6759" t="str">
        <f>IFERROR(__xludf.DUMMYFUNCTION("GOOGLETRANSLATE(B6759, ""fr"", ""en"")"),"Ras Ras")</f>
        <v>Ras Ras</v>
      </c>
    </row>
    <row r="6760">
      <c r="A6760" s="1">
        <v>5.0</v>
      </c>
      <c r="B6760" s="1" t="s">
        <v>6664</v>
      </c>
      <c r="C6760" t="str">
        <f>IFERROR(__xludf.DUMMYFUNCTION("GOOGLETRANSLATE(B6760, ""fr"", ""en"")"),"Very well bienk")</f>
        <v>Very well bienk</v>
      </c>
    </row>
    <row r="6761">
      <c r="A6761" s="1">
        <v>5.0</v>
      </c>
      <c r="B6761" s="1" t="s">
        <v>6665</v>
      </c>
      <c r="C6761" t="str">
        <f>IFERROR(__xludf.DUMMYFUNCTION("GOOGLETRANSLATE(B6761, ""fr"", ""en"")"),"Very easy to use I have used this product for listening to music during my walks. The sound is very good")</f>
        <v>Very easy to use I have used this product for listening to music during my walks. The sound is very good</v>
      </c>
    </row>
    <row r="6762">
      <c r="A6762" s="1">
        <v>5.0</v>
      </c>
      <c r="B6762" s="1" t="s">
        <v>6666</v>
      </c>
      <c r="C6762" t="str">
        <f>IFERROR(__xludf.DUMMYFUNCTION("GOOGLETRANSLATE(B6762, ""fr"", ""en"")"),"Delighted! Very satisfied with my purchase Value best I could hope felts do not hang Colors are well balanced and all different I also took the box of 120 crayons to complete my equipment I am very well equipped A colo offered week what more thanks to the"&amp;"m")</f>
        <v>Delighted! Very satisfied with my purchase Value best I could hope felts do not hang Colors are well balanced and all different I also took the box of 120 crayons to complete my equipment I am very well equipped A colo offered week what more thanks to them</v>
      </c>
    </row>
    <row r="6763">
      <c r="A6763" s="1">
        <v>5.0</v>
      </c>
      <c r="B6763" s="1" t="s">
        <v>6667</v>
      </c>
      <c r="C6763" t="str">
        <f>IFERROR(__xludf.DUMMYFUNCTION("GOOGLETRANSLATE(B6763, ""fr"", ""en"")"),"bought perfect for the job because I work all the time, comfortable and strong ...")</f>
        <v>bought perfect for the job because I work all the time, comfortable and strong ...</v>
      </c>
    </row>
    <row r="6764">
      <c r="A6764" s="1">
        <v>5.0</v>
      </c>
      <c r="B6764" s="1" t="s">
        <v>6668</v>
      </c>
      <c r="C6764" t="str">
        <f>IFERROR(__xludf.DUMMYFUNCTION("GOOGLETRANSLATE(B6764, ""fr"", ""en"")"),"solid product received in excellent condition. Very happy with my purchase.")</f>
        <v>solid product received in excellent condition. Very happy with my purchase.</v>
      </c>
    </row>
    <row r="6765">
      <c r="A6765" s="1">
        <v>5.0</v>
      </c>
      <c r="B6765" s="1" t="s">
        <v>6669</v>
      </c>
      <c r="C6765" t="str">
        <f>IFERROR(__xludf.DUMMYFUNCTION("GOOGLETRANSLATE(B6765, ""fr"", ""en"")"),"Unbeatable Value Perfect I'm very happy, unbeatable value price. Recommend 👍")</f>
        <v>Unbeatable Value Perfect I'm very happy, unbeatable value price. Recommend 👍</v>
      </c>
    </row>
    <row r="6766">
      <c r="A6766" s="1">
        <v>5.0</v>
      </c>
      <c r="B6766" s="1" t="s">
        <v>6670</v>
      </c>
      <c r="C6766" t="str">
        <f>IFERROR(__xludf.DUMMYFUNCTION("GOOGLETRANSLATE(B6766, ""fr"", ""en"")"),"Very comfortable for the Lightweight race, flexible and very comfortable, they are my new references for the race - 5 times 7-8 km / week. The cushioning gel seems correct. I do not have experience on more than 10km outputs.")</f>
        <v>Very comfortable for the Lightweight race, flexible and very comfortable, they are my new references for the race - 5 times 7-8 km / week. The cushioning gel seems correct. I do not have experience on more than 10km outputs.</v>
      </c>
    </row>
    <row r="6767">
      <c r="A6767" s="1">
        <v>5.0</v>
      </c>
      <c r="B6767" s="1" t="s">
        <v>6671</v>
      </c>
      <c r="C6767" t="str">
        <f>IFERROR(__xludf.DUMMYFUNCTION("GOOGLETRANSLATE(B6767, ""fr"", ""en"")"),"Perfect. This Sennheiser has a very good sound. It is ""richer"" than Sony MDR-7506 (I also), but less comfortable. It provides more bass and more balanced in frequency level. More dynamic than the Sony (which is already, itself, a very good headphones). "&amp;"It is in some way more Hi-Fi, but with a lot of dynamics and responsiveness. The Sony MDR-7506, would be headphones for studio musician (many medium) and Sennheiser HD25 headphones plus a mix itself and for non-professional, the comfort of the Sennheiser "&amp;"Sound wins.")</f>
        <v>Perfect. This Sennheiser has a very good sound. It is "richer" than Sony MDR-7506 (I also), but less comfortable. It provides more bass and more balanced in frequency level. More dynamic than the Sony (which is already, itself, a very good headphones). It is in some way more Hi-Fi, but with a lot of dynamics and responsiveness. The Sony MDR-7506, would be headphones for studio musician (many medium) and Sennheiser HD25 headphones plus a mix itself and for non-professional, the comfort of the Sennheiser Sound wins.</v>
      </c>
    </row>
    <row r="6768">
      <c r="A6768" s="1">
        <v>5.0</v>
      </c>
      <c r="B6768" s="1" t="s">
        <v>6672</v>
      </c>
      <c r="C6768" t="str">
        <f>IFERROR(__xludf.DUMMYFUNCTION("GOOGLETRANSLATE(B6768, ""fr"", ""en"")"),"Very good considering the price. soft and comfortable sweater to wear. Of course, it is not suitable for all occasions ... but is perfect for an evening ""ugly sweater Christmas""!")</f>
        <v>Very good considering the price. soft and comfortable sweater to wear. Of course, it is not suitable for all occasions ... but is perfect for an evening "ugly sweater Christmas"!</v>
      </c>
    </row>
    <row r="6769">
      <c r="A6769" s="1">
        <v>5.0</v>
      </c>
      <c r="B6769" s="1" t="s">
        <v>6673</v>
      </c>
      <c r="C6769" t="str">
        <f>IFERROR(__xludf.DUMMYFUNCTION("GOOGLETRANSLATE(B6769, ""fr"", ""en"")"),"Superb perfect either for sports or pretend to do ...")</f>
        <v>Superb perfect either for sports or pretend to do ...</v>
      </c>
    </row>
    <row r="6770">
      <c r="A6770" s="1">
        <v>5.0</v>
      </c>
      <c r="B6770" s="1" t="s">
        <v>6674</v>
      </c>
      <c r="C6770" t="str">
        <f>IFERROR(__xludf.DUMMYFUNCTION("GOOGLETRANSLATE(B6770, ""fr"", ""en"")"),"Excellent product corresponds to the picture, very qualitative")</f>
        <v>Excellent product corresponds to the picture, very qualitative</v>
      </c>
    </row>
    <row r="6771">
      <c r="A6771" s="1">
        <v>5.0</v>
      </c>
      <c r="B6771" s="1" t="s">
        <v>6675</v>
      </c>
      <c r="C6771" t="str">
        <f>IFERROR(__xludf.DUMMYFUNCTION("GOOGLETRANSLATE(B6771, ""fr"", ""en"")"),"Watch connect Superb quality consistent with the description")</f>
        <v>Watch connect Superb quality consistent with the description</v>
      </c>
    </row>
    <row r="6772">
      <c r="A6772" s="1">
        <v>5.0</v>
      </c>
      <c r="B6772" s="1" t="s">
        <v>6676</v>
      </c>
      <c r="C6772" t="str">
        <f>IFERROR(__xludf.DUMMYFUNCTION("GOOGLETRANSLATE(B6772, ""fr"", ""en"")"),"great product for a first purchase shoe internet I am very satisfied")</f>
        <v>great product for a first purchase shoe internet I am very satisfied</v>
      </c>
    </row>
    <row r="6773">
      <c r="A6773" s="1">
        <v>5.0</v>
      </c>
      <c r="B6773" s="1" t="s">
        <v>6677</v>
      </c>
      <c r="C6773" t="str">
        <f>IFERROR(__xludf.DUMMYFUNCTION("GOOGLETRANSLATE(B6773, ""fr"", ""en"")"),"Product from France product conformity. Received without original packaging, but it is good to HP cartridges. In addition to the value pack photo, you have a number of HP photo paper 10x15 gift. It's cool.")</f>
        <v>Product from France product conformity. Received without original packaging, but it is good to HP cartridges. In addition to the value pack photo, you have a number of HP photo paper 10x15 gift. It's cool.</v>
      </c>
    </row>
    <row r="6774">
      <c r="A6774" s="1">
        <v>2.0</v>
      </c>
      <c r="B6774" s="1" t="s">
        <v>6678</v>
      </c>
      <c r="C6774" t="str">
        <f>IFERROR(__xludf.DUMMYFUNCTION("GOOGLETRANSLATE(B6774, ""fr"", ""en"")"),"Disappointed disappointed packaging, poor plastic box. No charger included !!!! there is the USB cable, but no AC adapter. For part provided, a USB cable with a disc after charging by induction, there is no 'system' lock, not practical at all. And the app"&amp;"lication there is not enough available dials.")</f>
        <v>Disappointed disappointed packaging, poor plastic box. No charger included !!!! there is the USB cable, but no AC adapter. For part provided, a USB cable with a disc after charging by induction, there is no 'system' lock, not practical at all. And the application there is not enough available dials.</v>
      </c>
    </row>
    <row r="6775">
      <c r="A6775" s="1">
        <v>1.0</v>
      </c>
      <c r="B6775" s="1" t="s">
        <v>6679</v>
      </c>
      <c r="C6775" t="str">
        <f>IFERROR(__xludf.DUMMYFUNCTION("GOOGLETRANSLATE(B6775, ""fr"", ""en"")"),"average quality average quality, very light ... low quality plastic = I have returned")</f>
        <v>average quality average quality, very light ... low quality plastic = I have returned</v>
      </c>
    </row>
    <row r="6776">
      <c r="A6776" s="1">
        <v>1.0</v>
      </c>
      <c r="B6776" s="1" t="s">
        <v>6680</v>
      </c>
      <c r="C6776" t="str">
        <f>IFERROR(__xludf.DUMMYFUNCTION("GOOGLETRANSLATE(B6776, ""fr"", ""en"")"),"Do unusable useless. Unable to undo the clip to put pendant.")</f>
        <v>Do unusable useless. Unable to undo the clip to put pendant.</v>
      </c>
    </row>
    <row r="6777">
      <c r="A6777" s="1">
        <v>3.0</v>
      </c>
      <c r="B6777" s="1" t="s">
        <v>6681</v>
      </c>
      <c r="C6777" t="str">
        <f>IFERROR(__xludf.DUMMYFUNCTION("GOOGLETRANSLATE(B6777, ""fr"", ""en"")"),"Generic Cartridges ok but .... Very good but only work if they are compatible !! Even if they fit well, only one of my printers recognized the so watch ⚠️ very decent price if they are good, decent print quality .... but if they are not recognized, it is "&amp;"money down the drain, check well depending on the model. Otherwise pretty cartridges, transparent tank to keep the remaining stock, practical and consistent colors")</f>
        <v>Generic Cartridges ok but .... Very good but only work if they are compatible !! Even if they fit well, only one of my printers recognized the so watch ⚠️ very decent price if they are good, decent print quality .... but if they are not recognized, it is money down the drain, check well depending on the model. Otherwise pretty cartridges, transparent tank to keep the remaining stock, practical and consistent colors</v>
      </c>
    </row>
    <row r="6778">
      <c r="A6778" s="1">
        <v>3.0</v>
      </c>
      <c r="B6778" s="1" t="s">
        <v>6682</v>
      </c>
      <c r="C6778" t="str">
        <f>IFERROR(__xludf.DUMMYFUNCTION("GOOGLETRANSLATE(B6778, ""fr"", ""en"")"),"BAD CLOSURE AT THE BRACELET. DAMAGE CAR DESIGN NICE Very nice design. However bad closing of the watch strap level (my husband ended up losing, having detached)")</f>
        <v>BAD CLOSURE AT THE BRACELET. DAMAGE CAR DESIGN NICE Very nice design. However bad closing of the watch strap level (my husband ended up losing, having detached)</v>
      </c>
    </row>
    <row r="6779">
      <c r="A6779" s="1">
        <v>4.0</v>
      </c>
      <c r="B6779" s="1" t="s">
        <v>6683</v>
      </c>
      <c r="C6779" t="str">
        <f>IFERROR(__xludf.DUMMYFUNCTION("GOOGLETRANSLATE(B6779, ""fr"", ""en"")"),"aesthetic and efficient and effective aesthetic Kettle Kettle but a bit noisy - there is no level to see the capacity of the kettle. - well keeps the heat and the walls remain cool even with water heated to 100 °. Great deal")</f>
        <v>aesthetic and efficient and effective aesthetic Kettle Kettle but a bit noisy - there is no level to see the capacity of the kettle. - well keeps the heat and the walls remain cool even with water heated to 100 °. Great deal</v>
      </c>
    </row>
    <row r="6780">
      <c r="A6780" s="1">
        <v>4.0</v>
      </c>
      <c r="B6780" s="1" t="s">
        <v>6684</v>
      </c>
      <c r="C6780" t="str">
        <f>IFERROR(__xludf.DUMMYFUNCTION("GOOGLETRANSLATE(B6780, ""fr"", ""en"")"),"Good product ! Of good quality ! My son is very happy!")</f>
        <v>Good product ! Of good quality ! My son is very happy!</v>
      </c>
    </row>
    <row r="6781">
      <c r="A6781" s="1">
        <v>4.0</v>
      </c>
      <c r="B6781" s="1" t="s">
        <v>6685</v>
      </c>
      <c r="C6781" t="str">
        <f>IFERROR(__xludf.DUMMYFUNCTION("GOOGLETRANSLATE(B6781, ""fr"", ""en"")"),"Nickel except pacifiers I bought a classic bottle brush that dropped after one month (he was losing his hair). So I bought one that had a coupon and was the same price as the conventional brush. It is great, very solid, very clean. Oops, this is not obvio"&amp;"us to wash nipples. I do so with the classic small brush my previous purchase.")</f>
        <v>Nickel except pacifiers I bought a classic bottle brush that dropped after one month (he was losing his hair). So I bought one that had a coupon and was the same price as the conventional brush. It is great, very solid, very clean. Oops, this is not obvious to wash nipples. I do so with the classic small brush my previous purchase.</v>
      </c>
    </row>
    <row r="6782">
      <c r="A6782" s="1">
        <v>4.0</v>
      </c>
      <c r="B6782" s="1" t="s">
        <v>6686</v>
      </c>
      <c r="C6782" t="str">
        <f>IFERROR(__xludf.DUMMYFUNCTION("GOOGLETRANSLATE(B6782, ""fr"", ""en"")"),"New user ! Received yesterday) Having had for many years a Sennheiser PC 350 which I TERS TERS glad I chose this new helmet. FOr the moment I'm not disappointed. The sound is finer, more accurate, more incisive, it routed a little face to a PC 350 which h"&amp;"as a more rounded, wider with some basic more bass, which made it more fun thing. But ultimately the MMX 300 is simply more precise in its rentranscription sound where my old model was the most fun and the general public in his proposed. It is also a matt"&amp;"er of habit, I spent gaming or multimedia bcp tps 350 with my PC so I have to re-educate myself with this new material, finer and more accurate in sound rendered. But I am surprised to hear a more distinct sound of small details that I had not seen before"&amp;". The helmet is relatively light and very comfortable. The only downside, no user manual in the box and not (more) available online either because the product page is not (more) available on the manufacturer website. I fumbled a bit to run the microwave b"&amp;"ecause the jack that attaches to the helmet must be pressed and turned at the same time to ensure the smooth operation of the mic and stereo. The jack has a small insulating seal, so we have to push slowly turning up the feel into place. Remains to be see"&amp;"n over time! ^^")</f>
        <v>New user ! Received yesterday) Having had for many years a Sennheiser PC 350 which I TERS TERS glad I chose this new helmet. FOr the moment I'm not disappointed. The sound is finer, more accurate, more incisive, it routed a little face to a PC 350 which has a more rounded, wider with some basic more bass, which made it more fun thing. But ultimately the MMX 300 is simply more precise in its rentranscription sound where my old model was the most fun and the general public in his proposed. It is also a matter of habit, I spent gaming or multimedia bcp tps 350 with my PC so I have to re-educate myself with this new material, finer and more accurate in sound rendered. But I am surprised to hear a more distinct sound of small details that I had not seen before. The helmet is relatively light and very comfortable. The only downside, no user manual in the box and not (more) available online either because the product page is not (more) available on the manufacturer website. I fumbled a bit to run the microwave because the jack that attaches to the helmet must be pressed and turned at the same time to ensure the smooth operation of the mic and stereo. The jack has a small insulating seal, so we have to push slowly turning up the feel into place. Remains to be seen over time! ^^</v>
      </c>
    </row>
    <row r="6783">
      <c r="A6783" s="1">
        <v>5.0</v>
      </c>
      <c r="B6783" s="1" t="s">
        <v>6687</v>
      </c>
      <c r="C6783" t="str">
        <f>IFERROR(__xludf.DUMMYFUNCTION("GOOGLETRANSLATE(B6783, ""fr"", ""en"")"),"good teats, which have not disrupted the nipples breastfeeding easily accepted by my son, who is breastfed, after the failure of other bottles (Avent Medela Calma). Note that I have tried other teats to 2 months and Lasinoh teats to 5 month (I do not know"&amp;" whether age played a role in the acceptance of bottles). Breastfeeding was not disrupted by the occasional bottles, teats with Lasinoh. Easy to clean.")</f>
        <v>good teats, which have not disrupted the nipples breastfeeding easily accepted by my son, who is breastfed, after the failure of other bottles (Avent Medela Calma). Note that I have tried other teats to 2 months and Lasinoh teats to 5 month (I do not know whether age played a role in the acceptance of bottles). Breastfeeding was not disrupted by the occasional bottles, teats with Lasinoh. Easy to clean.</v>
      </c>
    </row>
    <row r="6784">
      <c r="A6784" s="1">
        <v>5.0</v>
      </c>
      <c r="B6784" s="1" t="s">
        <v>6688</v>
      </c>
      <c r="C6784" t="str">
        <f>IFERROR(__xludf.DUMMYFUNCTION("GOOGLETRANSLATE(B6784, ""fr"", ""en"")"),"Size although Basketball purchased for indoor sports, my son is very happy")</f>
        <v>Size although Basketball purchased for indoor sports, my son is very happy</v>
      </c>
    </row>
    <row r="6785">
      <c r="A6785" s="1">
        <v>5.0</v>
      </c>
      <c r="B6785" s="1" t="s">
        <v>4554</v>
      </c>
      <c r="C6785" t="str">
        <f>IFERROR(__xludf.DUMMYFUNCTION("GOOGLETRANSLATE(B6785, ""fr"", ""en"")"),"Ras Ras")</f>
        <v>Ras Ras</v>
      </c>
    </row>
    <row r="6786">
      <c r="A6786" s="1">
        <v>5.0</v>
      </c>
      <c r="B6786" s="1" t="s">
        <v>6689</v>
      </c>
      <c r="C6786" t="str">
        <f>IFERROR(__xludf.DUMMYFUNCTION("GOOGLETRANSLATE(B6786, ""fr"", ""en"")"),"original product. Product conforms to the description and truly home H.P .. I recommend this seller.")</f>
        <v>original product. Product conforms to the description and truly home H.P .. I recommend this seller.</v>
      </c>
    </row>
    <row r="6787">
      <c r="A6787" s="1">
        <v>5.0</v>
      </c>
      <c r="B6787" s="1" t="s">
        <v>6690</v>
      </c>
      <c r="C6787" t="str">
        <f>IFERROR(__xludf.DUMMYFUNCTION("GOOGLETRANSLATE(B6787, ""fr"", ""en"")"),"Very good shoes very comfortable, I recommend, I even ordered another pair. For small size against take one size bigger.")</f>
        <v>Very good shoes very comfortable, I recommend, I even ordered another pair. For small size against take one size bigger.</v>
      </c>
    </row>
    <row r="6788">
      <c r="A6788" s="1">
        <v>5.0</v>
      </c>
      <c r="B6788" s="1" t="s">
        <v>6691</v>
      </c>
      <c r="C6788" t="str">
        <f>IFERROR(__xludf.DUMMYFUNCTION("GOOGLETRANSLATE(B6788, ""fr"", ""en"")"),"I recommend super, very well")</f>
        <v>I recommend super, very well</v>
      </c>
    </row>
    <row r="6789">
      <c r="A6789" s="1">
        <v>5.0</v>
      </c>
      <c r="B6789" s="1" t="s">
        <v>6692</v>
      </c>
      <c r="C6789" t="str">
        <f>IFERROR(__xludf.DUMMYFUNCTION("GOOGLETRANSLATE(B6789, ""fr"", ""en"")"),"Super Very comfortable to wear, keeps you warm, light enough, I took the same size as usual and I am very happy.")</f>
        <v>Super Very comfortable to wear, keeps you warm, light enough, I took the same size as usual and I am very happy.</v>
      </c>
    </row>
    <row r="6790">
      <c r="A6790" s="1">
        <v>5.0</v>
      </c>
      <c r="B6790" s="1" t="s">
        <v>6693</v>
      </c>
      <c r="C6790" t="str">
        <f>IFERROR(__xludf.DUMMYFUNCTION("GOOGLETRANSLATE(B6790, ""fr"", ""en"")"),"Very comfortable I do not use it for sports, but they could do the trick. I just use them with jeans as they have in the mouth and are very comfortable.")</f>
        <v>Very comfortable I do not use it for sports, but they could do the trick. I just use them with jeans as they have in the mouth and are very comfortable.</v>
      </c>
    </row>
    <row r="6791">
      <c r="A6791" s="1">
        <v>5.0</v>
      </c>
      <c r="B6791" s="1" t="s">
        <v>6694</v>
      </c>
      <c r="C6791" t="str">
        <f>IFERROR(__xludf.DUMMYFUNCTION("GOOGLETRANSLATE(B6791, ""fr"", ""en"")"),"Super Class &lt;div id = ""video-block-R1JXY44LXW9SVI"" class = ""a-section-spacing-small in-spacing-top mini video-block""&gt; &lt;div tabindex = ""0"" class = ""airy airy-svg vmin-unsupported airy-skin-beacon ""style ="" background-color: rgb (0, 0, 0); position"&amp;": relative; width: 100%; height: 100%; font-size: 0px; overflow: hidden; outline : none; ""&gt; &lt;div class ="" airy-renderer-container ""style ="" position: relative; height: 100%; width: 100%; ""&gt; &lt;video id ="" 7 ""preload ="" auto ""src ="" https://images-"&amp;"eu.ssl-images-amazon.com/images/I/91oac2bJAkS.mp4 ""style ="" position: absolute; left: 0px; top: 0px; overflow: hidden; height: 1px; width: 1px ; ""&gt; &lt;/ video&gt; &lt;/ div&gt; &lt;div id ="" airy-slate-preload ""style ="" background-color: rgb (0, 0, 0); background"&amp;"-image: url (&amp; quot; https: // images-eu.ssl-images-amazon.com/images/I/A18-rsYsLTS.png&amp;quot;); background-size: contain; background-position: center center; background-repeat: no-repeat; position: absolute; top : 0px; left: 0px; visibility: visible; widt"&amp;"h: 100%; height: 100% ""&gt; &lt;/ div&gt; &lt;iframe scrolling ="" n o ""frameborder ="" 0 ""src ="" about: blank ""style ="" display: none; ""&gt; &lt;/ iframe&gt; &lt;div tabindex ="" - 1 ""class ="" airy-controls-container ""style ="" opacity: 0 ; visibility: hidden; ""&gt; &lt;di"&amp;"v tabindex ="" - 1 ""class ="" airy-screen-size-toggle airy-fullscreen ""&gt; &lt;/ div&gt; &lt;div tabindex ="" - 1 ""class ="" airy-container-bottom "" &gt; &lt;div tabindex = ""- 1"" class = ""airy-track-bar spacer-left"" style = ""width: 11px;""&gt; &lt;/ div&gt; &lt;div tabindex "&amp;"= ""- 1"" class = ""airy-play- toggle airy-play ""style ="" width: 12px; margin-right: 12px; ""&gt; &lt;/ div&gt; &lt;div tabindex ="" - 1 ""class ="" airy-audio-elements ""style ="" float: right; width: 34px; ""&gt; &lt;div tabindex ="" - 1 ""class ="" airy-audio-toggle a"&amp;"iry-on ""&gt; &lt;/ div&gt; &lt;div tabindex ="" - 1 ""class ="" airy-audio-container ""style = ""opacity: 0; visibility: hidden; ""&gt; &lt;div tabindex ="" - 1 ""class ="" airy-audio-track-bar ""style ="" height: 80%; ""&gt; &lt;div tabindex ="" - 1 ""class ="" airy-audio- scr"&amp;"ubber bar ""style ="" height: 85% ""&gt; &lt;/ div&gt; &lt;div tabindex ="" - 1 ""class ="" airy-audio-scrubber ""style ="" height: 12px; bottom: 85% ""&gt; &lt;/ div&gt; &lt;/ div&gt; &lt;/ div&gt; &lt;/ div&gt; &lt;div tabindex ="" - 1 ""class ="" airy-duration-label ""style ="" float: right; w"&amp;"idth: 26px; margin-right: 4px; text-align: center; ""&gt; 0:00 &lt;/ div&gt; &lt;div tabindex ="" - 1 ""class ="" airy-track-bar spacer-right ""style ="" float: right; width: 11px; ""&gt; &lt;/ div&gt; &lt;div tabindex ="" - 1 ""class ="" airy-track-bar-container ""style ="" mar"&amp;"gin-left: 35px; margin-right: 75px; ""&gt; &lt;div tabindex ="" - 1 ""class ="" airy-airy-track-bar vertical-centering-table ""&gt; &lt;div tabindex ="" - 1 ""class ="" airy-vertical-centering- table-cell ""&gt; &lt;div tabindex ="" - 1 ""class ="" airy-track-bar elements "&amp;"""&gt; &lt;div tabindex ="" - 1 ""class ="" airy-progress bar ""&gt; &lt;/ div&gt; &lt;div tabindex = ""- 1"" class = ""airy-scrubber bar""&gt; &lt;/ div&gt; &lt;div tabindex = ""- 1"" class = ""airy-scrubber""&gt; &lt;div tabindex = ""- 1"" class = ""airy-scrubber- icon ""&gt; &lt;/ div&gt; &lt;div ta"&amp;"bindex ="" - 1 ""class ="" airy-adjusted-aui-tooltip ""style ="" opacity: 0; visibility: hidden; ""&gt; &lt;div tabindex ="" - 1 ""class ="" airy-adjusted-aui-tooltip-inner ""&gt; &lt;div tabindex ="" - 1 ""class ="" airy-current-time-label ""&gt; 0 00 &lt;/ div&gt; &lt;/ div&gt; &lt;"&amp;"div tabindex = ""- 1"" class = ""airy-adjusted-aui-arrow-border""&gt; &lt;div tabindex = ""- 1"" class = ""airy-adjusted-aui-arrow"" &gt; &lt;/ div&gt; &lt;/ div&gt; &lt;/ div&gt; &lt;/ div&gt; &lt;/ div&gt; &lt;/ div&gt; &lt;/ div&gt; &lt;/ div&gt; &lt;/ div&gt; &lt;/ div&gt; &lt;div tabindex = ""- 1"" class = ""airy-airy-ag"&amp;"e-gate course airy-vertical-centering table-airy-dialog"" style = ""opacity: 0; visibility: hidden; ""&gt; &lt;div tabindex ="" - 1 ""class ="" airy-age-gate-vertical-centering-table-cell airy-vertical-centering-table-cell ""&gt; &lt;div tabindex ="" - 1 ""class = """&amp;"airy-vertical-centering-wrapper airy-age-gate-elements-wrapper""&gt; &lt;div tabindex = ""- 1"" class = ""airy-age-gate-elements airy-dialog-elements""&gt; &lt;div tabindex = "" -1 ""class ="" airy-age-gate-prompt ""&gt; This video is not Intended for all audiences What"&amp;" time were you born &lt;/ div&gt; &lt;div tabindex =.?"" - 1 ""class ="" airy-age-gate -inputs airy-dialog-inner-elements ""&gt; &lt;select tabindex ="" - 1 ""class ="" airy-age-gate-month ""&gt; &lt;option value ="" 1 ""&gt; January &lt;/ option&gt; &lt;option value ="" 2 ""&gt; February &lt;"&amp;"/ option&gt; &lt;option value ="" 3 ""&gt; March &lt;/ option&gt; &lt;option value ="" 4 ""&gt; April &lt;/ option&gt; &lt;option value ="" 5 ""&gt; May &lt;/ option&gt; &lt;option value = ""6""&gt; June &lt;/ option&gt; &lt;option value = ""7""&gt; July &lt;/ option&gt; &lt;option value = ""8""&gt; August &lt;/ option&gt; &lt;opti"&amp;"on value = ""9""&gt; September &lt;/ option&gt; &lt;option value = ""10""&gt; October &lt;/ option&gt; &lt;option value = ""11""&gt; November &lt;/ option&gt; &lt;option value = ""12""&gt; December &lt;/ option&gt; &lt;/ select&gt; &lt;select tabindex = ""- 1"" class = ""airy-age-gate-day""&gt; &lt;opti = One valu"&amp;"e ""1""&gt;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"&amp;"value = ""15""&gt; 15 &lt;/ option&gt; &lt;option value = ""16 ""&gt; 16 &lt;/ option&gt; &lt;option value ="" 17 ""&gt; 17 &lt;/ option&gt; &lt;option value ="" 18 ""&gt; 18 &lt;/ option&gt; &lt;option value ="" 19 ""&gt; 19 &lt;/ option&gt; &lt;option value = ""20""&gt; 20 &lt;/ option&gt; &lt;option value = ""21""&gt; 21 &lt;/ o"&amp;"ption&gt;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va"&amp;"lue = ""2018""&gt; 2018 &lt;/ option&gt; &lt;option value = ""2017""&gt; 2017 &lt;/ option&gt; &lt;option value = ""2016""&gt; ​​2016 &lt;/ option&gt; &lt;option value = ""2015""&gt; 2015 &lt;/ option &gt; &lt;option value = ""2014""&gt; 2014 &lt;/ option&gt; &lt;option value = ""2013""&gt; 2013 &lt;/ option&gt; &lt;option va"&amp;"lue = ""2012""&gt; 2012 &lt;/ option&gt; &lt;option value = ""2011""&gt; 2011 &lt; / option&gt; &lt;option value = ""2010""&gt; 2010 &lt;/ option&gt; &lt;option value = ""2009""&gt; 2009 &lt;/ option&gt; &lt;option value = ""2008""&gt; 2008 &lt;/ option&gt; &lt;option value = ""2007""&gt; 2007 &lt;/ option&gt; &lt;option valu"&amp;"e = ""2006""&gt; 2006 &lt;/ option&gt; &lt;option value = ""2005""&gt; 2005 &lt;/ option&gt; &lt;option value = ""2004""&gt; 2004 &lt;/ option&gt; &lt;option value = ""2003 ""&gt; 2003 &lt;/ option&gt; &lt;option value ="" 2002 ""&gt; 2002 &lt;/ option&gt; &lt;option value ="" 2001 ""&gt; 2001 &lt;/ option&gt; &lt;option valu"&amp;"e ="" 2000 ""&gt; 2000 &lt;/ option&gt; &lt;option value = ""1999""&gt; 1999 &lt;/ option&gt; &lt;option value = ""1998""&gt; 1998 &lt;/ option&gt; &lt;option value = ""1997""&gt; 1997 &lt;/ option&gt; &lt;option value = ""1996""&gt; 1996 &lt;/ option&gt; &lt;option value = ""1995""&gt; 1995 &lt;/ option&gt; &lt;option value "&amp;"= ""1994""&gt;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&lt;option value = ""1985""&gt; 1985 &lt;/ option&gt; &lt;option value = ""1984""&gt; 1984 &lt;/ option&gt; &lt;option value = ""1983""&gt; 1983 &lt;/ option&gt; &lt;option value ="&amp;" ""1982""&gt;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&lt;option value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&lt;option value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airy-course airy -Vertical-centering-table dialog airy-airy-denied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 tabindex."" - 1 ""class ="" airy-install-flash-"&amp;"button-wrapper airy -dialog-inner-elements ""&gt; &lt;div tabindex ="" - 1 ""class ="" airy-install-flash-button airy-button ""&gt; install Flash Player &lt;/ div&gt; &lt;/ div&gt; &lt;/ div&gt; &lt;/ div&gt; &lt;/ div&gt; &lt;/ div&gt; &lt;div tabindex = ""- 1"" class = ""airy-video-unsupported-dialog"&amp;" airy-course airy-vertical-centering table-airy-dialog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 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 airy-fullscreen ""style ="" visibility: hidden; ""&gt; &lt;/ div&gt; &lt;div tabindex = ""-1"" class = ""airy-ad-prompt-contain"&amp;"er"" style = ""visibility: hidden;""&gt; &lt;div tabindex = ""- 1"" class = ""airy-ad-prompt-vertical-centering table-airy-vertical-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a"&amp;"iry-audio-toggle airy-on ""style ="" visibility: hidden; ""&gt; &lt;/ div&gt; &lt;div tabindex ="" - 1 ""class ="" airy-time-remaining-label-container ""&gt; &lt;div tabindex ="" - 1 ""class ="" airy-time-remaining-vertical-centering table-airy-vertical-centering-table ""&gt;"&amp;" &lt;div tabindex = ""- 1"" class = ""airy-time-remaining-vertical-centering-table-cell airy-vertical-centering-table-cell""&gt; &lt;div tabindex = ""- 1"" class = ""airy-vertical-centering-wrapper airy-time-remaining-label-wrapper ""&gt; &lt;div tabindex ="" - 1 ""clas"&amp;"s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airy-course airy-cursor""&gt; &lt;div tabindex = ""- 1"" class "&amp;"= ""airy-play -toggle-hint-vertical-centering-table-cell airy-vertical-centering-table-cell airy-cursor ""&gt; &lt;div tabindex ="" - 1 ""class ="" airy-play-toggle-hint-container airy-scalable- hint-container ""&gt; &lt;div tabindex ="" - 1 ""class ="" airy-play-tog"&amp;"gle-hint-dummy airy-scalable-dummy ""&gt; &lt;/ div&gt; &lt;div tabindex ="" - 1 ""class ="" airy-play -toggle airy-hint-hint-hint airy-play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ai"&amp;"ry-scalable-hint-container""&gt; &lt;div tabindex = ""- 1"" class = ""airy-replay-hint-dummy airy-scalable-dummy""&gt; &lt;/ div&gt; &lt;div tabindex = ""- 1"" class = ""airy-replay-hint airy-hint""&gt; &lt;/ div&gt; &lt;/ div&gt; &lt;/ div&gt; &lt;/ div&gt; &lt;div tabindex = ""- 1"" class = ""airy-au"&amp;"toplay-hint -stage airy-stage ""style ="" visibility: hidden; ""&gt; &lt;div tabindex ="" - 1 ""class ="" airy-autoplay-hint-vertical-centering-table-cell airy-vertical-centering-table-cell airy- cursor ""&gt; &lt;div tabindex ="" - 1 ""class ="" autoplay airy-airy-h"&amp;"int-container-scalable-hint-container ""&gt; &lt;div tabindex ="" - 1 ""class ="" airy-autoplay-hint-dummy airy- scalable-dummy ""&gt; &lt;/ div&gt; &lt;/ div&gt; &lt;/ div&gt; &lt;/ div&gt; &lt;/ div&gt; &lt;/ div&gt; &lt;input type ="" hidden ""name ="" ""value ="" https: // pictures-eu .ssl-image am"&amp;"azon.com / images / I / 91oac2bJAkS.mp4 ""Class ="" video-url ""&gt; &lt;input type ="" hidden ""name ="" ""value ="" https://images-eu.ssl-images-amazon.com/images/I/A18-rsYsLTS.png ""class = ""video-slate-img-url""&gt; &amp; nbsp; I find only qualities to this kettl"&amp;"e first it takes much less space than others on my ability to work plan equal One button opens the hood is the has posed very easily on the base it turns blue when it is running, but mostly what I like best is watching the water boil inside !!! It's beaut"&amp;"iful and ultra design. Of course the water will cool more quickly than in a fully insulated kettle but frankly I do it again boil to resume anyway It will also require regular cleaning with vinegar to prevent lime scale, but somehow I do in my plastic ket"&amp;"tle I am delighted this beautiful kettle")</f>
        <v>Super Class &lt;div id = "video-block-R1JXY44LXW9SVI" class = "a-section-spacing-small in-spacing-top mini video-block"&gt; &lt;div tabindex = "0" class = "airy airy-svg vmin-unsupported airy-skin-beacon "style =" background-color: rgb (0, 0, 0); position: relative; width: 100%; height: 100%; font-size: 0px; overflow: hidden; outline : none; "&gt; &lt;div class =" airy-renderer-container "style =" position: relative; height: 100%; width: 100%; "&gt; &lt;video id =" 7 "preload =" auto "src =" https://images-eu.ssl-images-amazon.com/images/I/91oac2bJAkS.mp4 "style =" position: absolute; left: 0px; top: 0px; overflow: hidden; height: 1px; width: 1px ; "&gt; &lt;/ video&gt; &lt;/ div&gt; &lt;div id =" airy-slate-preload "style =" background-color: rgb (0, 0, 0); background-image: url (&amp; quot; https: // images-eu.ssl-images-amazon.com/images/I/A18-rsYsLTS.png&amp;quot;); background-size: contain; background-position: center center; background-repeat: no-repeat; position: absolute; top : 0px; left: 0px; visibility: visible; width: 100%; height: 100% "&gt; &lt;/ div&gt; &lt;iframe scrolling =" n o "frameborder =" 0 "src =" about: blank "style =" display: none; "&gt; &lt;/ iframe&gt; &lt;div tabindex =" - 1 "class =" airy-controls-container "style =" opacity: 0 ;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91oac2bJAkS.mp4 "Class =" video-url "&gt; &lt;input type =" hidden "name =" "value =" https://images-eu.ssl-images-amazon.com/images/I/A18-rsYsLTS.png "class = "video-slate-img-url"&gt; &amp; nbsp; I find only qualities to this kettle first it takes much less space than others on my ability to work plan equal One button opens the hood is the has posed very easily on the base it turns blue when it is running, but mostly what I like best is watching the water boil inside !!! It's beautiful and ultra design. Of course the water will cool more quickly than in a fully insulated kettle but frankly I do it again boil to resume anyway It will also require regular cleaning with vinegar to prevent lime scale, but somehow I do in my plastic kettle I am delighted this beautiful kettle</v>
      </c>
    </row>
    <row r="6792">
      <c r="A6792" s="1">
        <v>5.0</v>
      </c>
      <c r="B6792" s="1" t="s">
        <v>6695</v>
      </c>
      <c r="C6792" t="str">
        <f>IFERROR(__xludf.DUMMYFUNCTION("GOOGLETRANSLATE(B6792, ""fr"", ""en"")"),"Perfect for everyday damage. This is a great vacuum cleaner for everyday use. I have a toddler who puts everything in his mouth and so I need to vacuum frequently. I had intended to complete my central vacuum because I do not like to hang around the pipe "&amp;"every day. Needless to stress my wood tile to carpet. I can then remove the extension and use only handheld on the stairs, all without worrying about a cord. I use it for a month without suction problems.")</f>
        <v>Perfect for everyday damage. This is a great vacuum cleaner for everyday use. I have a toddler who puts everything in his mouth and so I need to vacuum frequently. I had intended to complete my central vacuum because I do not like to hang around the pipe every day. Needless to stress my wood tile to carpet. I can then remove the extension and use only handheld on the stairs, all without worrying about a cord. I use it for a month without suction problems.</v>
      </c>
    </row>
    <row r="6793">
      <c r="A6793" s="1">
        <v>5.0</v>
      </c>
      <c r="B6793" s="1" t="s">
        <v>6696</v>
      </c>
      <c r="C6793" t="str">
        <f>IFERROR(__xludf.DUMMYFUNCTION("GOOGLETRANSLATE(B6793, ""fr"", ""en"")"),"Size perfect, flexible and lightweight trainer size corresponds exactly to the measures announced. Good finish, great price. Great for walking in Asia. I recommend")</f>
        <v>Size perfect, flexible and lightweight trainer size corresponds exactly to the measures announced. Good finish, great price. Great for walking in Asia. I recommend</v>
      </c>
    </row>
    <row r="6794">
      <c r="A6794" s="1">
        <v>5.0</v>
      </c>
      <c r="B6794" s="1" t="s">
        <v>6697</v>
      </c>
      <c r="C6794" t="str">
        <f>IFERROR(__xludf.DUMMYFUNCTION("GOOGLETRANSLATE(B6794, ""fr"", ""en"")"),"Super quality super comfortable I love")</f>
        <v>Super quality super comfortable I love</v>
      </c>
    </row>
    <row r="6795">
      <c r="A6795" s="1">
        <v>5.0</v>
      </c>
      <c r="B6795" s="1" t="s">
        <v>6698</v>
      </c>
      <c r="C6795" t="str">
        <f>IFERROR(__xludf.DUMMYFUNCTION("GOOGLETRANSLATE(B6795, ""fr"", ""en"")"),"incredible price compared to the supermarket! interesting Quantity")</f>
        <v>incredible price compared to the supermarket! interesting Quantity</v>
      </c>
    </row>
    <row r="6796">
      <c r="A6796" s="1">
        <v>5.0</v>
      </c>
      <c r="B6796" s="1" t="s">
        <v>6699</v>
      </c>
      <c r="C6796" t="str">
        <f>IFERROR(__xludf.DUMMYFUNCTION("GOOGLETRANSLATE(B6796, ""fr"", ""en"")"),"Great, finally, the large size is good but it takes about opening and suddenly the foot. A little but just fits. Good finish, nice sole.")</f>
        <v>Great, finally, the large size is good but it takes about opening and suddenly the foot. A little but just fits. Good finish, nice sole.</v>
      </c>
    </row>
    <row r="6797">
      <c r="A6797" s="1">
        <v>5.0</v>
      </c>
      <c r="B6797" s="1" t="s">
        <v>6700</v>
      </c>
      <c r="C6797" t="str">
        <f>IFERROR(__xludf.DUMMYFUNCTION("GOOGLETRANSLATE(B6797, ""fr"", ""en"")"),"comfortable and solid I am very satisfied with the basketball, they are really nice and super comfortable, equivalent to me with all sports brands in store for a much better price. providing a size above when ordering.")</f>
        <v>comfortable and solid I am very satisfied with the basketball, they are really nice and super comfortable, equivalent to me with all sports brands in store for a much better price. providing a size above when ordering.</v>
      </c>
    </row>
    <row r="6798">
      <c r="A6798" s="1">
        <v>2.0</v>
      </c>
      <c r="B6798" s="1" t="s">
        <v>6701</v>
      </c>
      <c r="C6798" t="str">
        <f>IFERROR(__xludf.DUMMYFUNCTION("GOOGLETRANSLATE(B6798, ""fr"", ""en"")"),"to see ... a little disappointed, I find that the photo does not match the product received, I'll see to use it is ...")</f>
        <v>to see ... a little disappointed, I find that the photo does not match the product received, I'll see to use it is ...</v>
      </c>
    </row>
    <row r="6799">
      <c r="A6799" s="1">
        <v>1.0</v>
      </c>
      <c r="B6799" s="1" t="s">
        <v>6702</v>
      </c>
      <c r="C6799" t="str">
        <f>IFERROR(__xludf.DUMMYFUNCTION("GOOGLETRANSLATE(B6799, ""fr"", ""en"")"),"failure the ring and glue set and not as state and after 4 or 5 stone harbor Avon detach these bankrupt we lose very disappointed for once ....")</f>
        <v>failure the ring and glue set and not as state and after 4 or 5 stone harbor Avon detach these bankrupt we lose very disappointed for once ....</v>
      </c>
    </row>
    <row r="6800">
      <c r="A6800" s="1">
        <v>1.0</v>
      </c>
      <c r="B6800" s="1" t="s">
        <v>6703</v>
      </c>
      <c r="C6800" t="str">
        <f>IFERROR(__xludf.DUMMYFUNCTION("GOOGLETRANSLATE(B6800, ""fr"", ""en"")"),"white vinegar nothing special, a basic vinegar in supermarkets. with such a price, I thought to buy some special household;")</f>
        <v>white vinegar nothing special, a basic vinegar in supermarkets. with such a price, I thought to buy some special household;</v>
      </c>
    </row>
    <row r="6801">
      <c r="A6801" s="1">
        <v>3.0</v>
      </c>
      <c r="B6801" s="1" t="s">
        <v>6704</v>
      </c>
      <c r="C6801" t="str">
        <f>IFERROR(__xludf.DUMMYFUNCTION("GOOGLETRANSLATE(B6801, ""fr"", ""en"")"),"Nice but a bit short Earrings lovely ears and well drawn. Only bé soft for me, I would have preferred them to be a little longer")</f>
        <v>Nice but a bit short Earrings lovely ears and well drawn. Only bé soft for me, I would have preferred them to be a little longer</v>
      </c>
    </row>
    <row r="6802">
      <c r="A6802" s="1">
        <v>4.0</v>
      </c>
      <c r="B6802" s="1" t="s">
        <v>6705</v>
      </c>
      <c r="C6802" t="str">
        <f>IFERROR(__xludf.DUMMYFUNCTION("GOOGLETRANSLATE(B6802, ""fr"", ""en"")"),"A basic classic for young right now, especially for young girls. A little shaky for my taste (especially rubber tip) and inevitably messy, these Converses nevertheless have a good behavior and are particularly comfortable to use.")</f>
        <v>A basic classic for young right now, especially for young girls. A little shaky for my taste (especially rubber tip) and inevitably messy, these Converses nevertheless have a good behavior and are particularly comfortable to use.</v>
      </c>
    </row>
    <row r="6803">
      <c r="A6803" s="1">
        <v>4.0</v>
      </c>
      <c r="B6803" s="1" t="s">
        <v>6706</v>
      </c>
      <c r="C6803" t="str">
        <f>IFERROR(__xludf.DUMMYFUNCTION("GOOGLETRANSLATE(B6803, ""fr"", ""en"")"),"Nickel Frankly, it's perfect! Sound, connectivity, aesthetics, price, you can hardly do better. Now we have only the use I could actually say")</f>
        <v>Nickel Frankly, it's perfect! Sound, connectivity, aesthetics, price, you can hardly do better. Now we have only the use I could actually say</v>
      </c>
    </row>
    <row r="6804">
      <c r="A6804" s="1">
        <v>4.0</v>
      </c>
      <c r="B6804" s="1" t="s">
        <v>6707</v>
      </c>
      <c r="C6804" t="str">
        <f>IFERROR(__xludf.DUMMYFUNCTION("GOOGLETRANSLATE(B6804, ""fr"", ""en"")"),"First impression I buy for work. The attachment in the ear is average. Perhaps the morphology ear is involved?")</f>
        <v>First impression I buy for work. The attachment in the ear is average. Perhaps the morphology ear is involved?</v>
      </c>
    </row>
    <row r="6805">
      <c r="A6805" s="1">
        <v>4.0</v>
      </c>
      <c r="B6805" s="1" t="s">
        <v>6708</v>
      </c>
      <c r="C6805" t="str">
        <f>IFERROR(__xludf.DUMMYFUNCTION("GOOGLETRANSLATE(B6805, ""fr"", ""en"")"),"Good product packaging, but no traditional black soap, however, arrived with a broken lid can not be closed. Damage (no packing)")</f>
        <v>Good product packaging, but no traditional black soap, however, arrived with a broken lid can not be closed. Damage (no packing)</v>
      </c>
    </row>
    <row r="6806">
      <c r="A6806" s="1">
        <v>5.0</v>
      </c>
      <c r="B6806" s="1" t="s">
        <v>6709</v>
      </c>
      <c r="C6806" t="str">
        <f>IFERROR(__xludf.DUMMYFUNCTION("GOOGLETRANSLATE(B6806, ""fr"", ""en"")"),"Very good condition The object is marked as used for the packaging of the toy was slightly damaged but the toy is intact.")</f>
        <v>Very good condition The object is marked as used for the packaging of the toy was slightly damaged but the toy is intact.</v>
      </c>
    </row>
    <row r="6807">
      <c r="A6807" s="1">
        <v>5.0</v>
      </c>
      <c r="B6807" s="1" t="s">
        <v>6710</v>
      </c>
      <c r="C6807" t="str">
        <f>IFERROR(__xludf.DUMMYFUNCTION("GOOGLETRANSLATE(B6807, ""fr"", ""en"")"),"Super Collier. worn all day résistante.je quality recommend")</f>
        <v>Super Collier. worn all day résistante.je quality recommend</v>
      </c>
    </row>
    <row r="6808">
      <c r="A6808" s="1">
        <v>5.0</v>
      </c>
      <c r="B6808" s="1" t="s">
        <v>1417</v>
      </c>
      <c r="C6808" t="str">
        <f>IFERROR(__xludf.DUMMYFUNCTION("GOOGLETRANSLATE(B6808, ""fr"", ""en"")"),"ras ras")</f>
        <v>ras ras</v>
      </c>
    </row>
    <row r="6809">
      <c r="A6809" s="1">
        <v>5.0</v>
      </c>
      <c r="B6809" s="1" t="s">
        <v>6711</v>
      </c>
      <c r="C6809" t="str">
        <f>IFERROR(__xludf.DUMMYFUNCTION("GOOGLETRANSLATE(B6809, ""fr"", ""en"")"),"As good as the promise testbeds My first AKG headphones, acquired following the analysis of the tests. For 120 €, a champion of the quality / price: manufacturing in China under the aegis of the Samsung seems to have damaged the quality. Excellent on all "&amp;"styles of music, living, airy, never tiring, does not heat the ears. open headphones, with low quality, not swollen, maybe just a little to some ears accustomed to ITE and some music, but faithful to the classic. Easy to driver: TEAC used directly on my n"&amp;"etwork drive, but poorly suited for listening on smartphone or tablet (I acquired the closed K551 MK3 model for this purpose).")</f>
        <v>As good as the promise testbeds My first AKG headphones, acquired following the analysis of the tests. For 120 €, a champion of the quality / price: manufacturing in China under the aegis of the Samsung seems to have damaged the quality. Excellent on all styles of music, living, airy, never tiring, does not heat the ears. open headphones, with low quality, not swollen, maybe just a little to some ears accustomed to ITE and some music, but faithful to the classic. Easy to driver: TEAC used directly on my network drive, but poorly suited for listening on smartphone or tablet (I acquired the closed K551 MK3 model for this purpose).</v>
      </c>
    </row>
    <row r="6810">
      <c r="A6810" s="1">
        <v>5.0</v>
      </c>
      <c r="B6810" s="1" t="s">
        <v>6712</v>
      </c>
      <c r="C6810" t="str">
        <f>IFERROR(__xludf.DUMMYFUNCTION("GOOGLETRANSLATE(B6810, ""fr"", ""en"")"),"Practical and pretty ideal for Bébaba bottles but adapts perfectly to the other brands of bottles and teats. Cleans very well. Pastel colors - same range as Biboz bottles.")</f>
        <v>Practical and pretty ideal for Bébaba bottles but adapts perfectly to the other brands of bottles and teats. Cleans very well. Pastel colors - same range as Biboz bottles.</v>
      </c>
    </row>
    <row r="6811">
      <c r="A6811" s="1">
        <v>5.0</v>
      </c>
      <c r="B6811" s="1" t="s">
        <v>6713</v>
      </c>
      <c r="C6811" t="str">
        <f>IFERROR(__xludf.DUMMYFUNCTION("GOOGLETRANSLATE(B6811, ""fr"", ""en"")"),"Perfect Shake well before use")</f>
        <v>Perfect Shake well before use</v>
      </c>
    </row>
    <row r="6812">
      <c r="A6812" s="1">
        <v>5.0</v>
      </c>
      <c r="B6812" s="1" t="s">
        <v>6714</v>
      </c>
      <c r="C6812" t="str">
        <f>IFERROR(__xludf.DUMMYFUNCTION("GOOGLETRANSLATE(B6812, ""fr"", ""en"")"),"I recommend I bought it for a gift, sending neat and very fast, I recommend")</f>
        <v>I recommend I bought it for a gift, sending neat and very fast, I recommend</v>
      </c>
    </row>
    <row r="6813">
      <c r="A6813" s="1">
        <v>5.0</v>
      </c>
      <c r="B6813" s="1" t="s">
        <v>6715</v>
      </c>
      <c r="C6813" t="str">
        <f>IFERROR(__xludf.DUMMYFUNCTION("GOOGLETRANSLATE(B6813, ""fr"", ""en"")"),"Top value for money Seeing the comments I'm tempted. Mainly used for listening to music during my sport I have tried are perfect I had a doubt seen the comments on the quality of communication by phone this said, trying them I found perfect for me communi"&amp;"cate my interlocutor said well I m hear conquered by Article")</f>
        <v>Top value for money Seeing the comments I'm tempted. Mainly used for listening to music during my sport I have tried are perfect I had a doubt seen the comments on the quality of communication by phone this said, trying them I found perfect for me communicate my interlocutor said well I m hear conquered by Article</v>
      </c>
    </row>
    <row r="6814">
      <c r="A6814" s="1">
        <v>5.0</v>
      </c>
      <c r="B6814" s="1" t="s">
        <v>6716</v>
      </c>
      <c r="C6814" t="str">
        <f>IFERROR(__xludf.DUMMYFUNCTION("GOOGLETRANSLATE(B6814, ""fr"", ""en"")"),"Well Used to tragus. Well dressed. Not oxidizing.")</f>
        <v>Well Used to tragus. Well dressed. Not oxidizing.</v>
      </c>
    </row>
    <row r="6815">
      <c r="A6815" s="1">
        <v>5.0</v>
      </c>
      <c r="B6815" s="1" t="s">
        <v>6717</v>
      </c>
      <c r="C6815" t="str">
        <f>IFERROR(__xludf.DUMMYFUNCTION("GOOGLETRANSLATE(B6815, ""fr"", ""en"")"),"Watch shows Lige arrived quickly and well packaged single point battery no longer has to market change.")</f>
        <v>Watch shows Lige arrived quickly and well packaged single point battery no longer has to market change.</v>
      </c>
    </row>
    <row r="6816">
      <c r="A6816" s="1">
        <v>5.0</v>
      </c>
      <c r="B6816" s="1" t="s">
        <v>6718</v>
      </c>
      <c r="C6816" t="str">
        <f>IFERROR(__xludf.DUMMYFUNCTION("GOOGLETRANSLATE(B6816, ""fr"", ""en"")"),"Perfect Essential Oil mixed with water and vinegar to clean the tiles.")</f>
        <v>Perfect Essential Oil mixed with water and vinegar to clean the tiles.</v>
      </c>
    </row>
    <row r="6817">
      <c r="A6817" s="1">
        <v>5.0</v>
      </c>
      <c r="B6817" s="1" t="s">
        <v>6719</v>
      </c>
      <c r="C6817" t="str">
        <f>IFERROR(__xludf.DUMMYFUNCTION("GOOGLETRANSLATE(B6817, ""fr"", ""en"")"),"Multifunction Multifunction Device: bottle warmer, sterilizer, heater food, cooked eggs, yogurt. I took it because it gives me a mobile device. And finally he accompanies us every day. The bottle whether Aven or long type is right temperature for our spit"&amp;"z. The same device can sterilize bottles, rather than having a plethora of devices. It can also reheat foods like mashed potatoes and of course thaw before. I have not yet tried the cooked eggs and function making yogurt. A good investment")</f>
        <v>Multifunction Multifunction Device: bottle warmer, sterilizer, heater food, cooked eggs, yogurt. I took it because it gives me a mobile device. And finally he accompanies us every day. The bottle whether Aven or long type is right temperature for our spitz. The same device can sterilize bottles, rather than having a plethora of devices. It can also reheat foods like mashed potatoes and of course thaw before. I have not yet tried the cooked eggs and function making yogurt. A good investment</v>
      </c>
    </row>
    <row r="6818">
      <c r="A6818" s="1">
        <v>5.0</v>
      </c>
      <c r="B6818" s="1" t="s">
        <v>6720</v>
      </c>
      <c r="C6818" t="str">
        <f>IFERROR(__xludf.DUMMYFUNCTION("GOOGLETRANSLATE(B6818, ""fr"", ""en"")"),"good value for money ! perfect ! nothing wrong, sea!")</f>
        <v>good value for money ! perfect ! nothing wrong, sea!</v>
      </c>
    </row>
    <row r="6819">
      <c r="A6819" s="1">
        <v>5.0</v>
      </c>
      <c r="B6819" s="1" t="s">
        <v>6721</v>
      </c>
      <c r="C6819" t="str">
        <f>IFERROR(__xludf.DUMMYFUNCTION("GOOGLETRANSLATE(B6819, ""fr"", ""en"")"),"Long sleeve shirt This shirt is very suitable for my husband Running outputs. Comfortable to wear, the chosen size perfectly matches its caseband (1m75 for 77 kg Size L)")</f>
        <v>Long sleeve shirt This shirt is very suitable for my husband Running outputs. Comfortable to wear, the chosen size perfectly matches its caseband (1m75 for 77 kg Size L)</v>
      </c>
    </row>
    <row r="6820">
      <c r="A6820" s="1">
        <v>5.0</v>
      </c>
      <c r="B6820" s="1" t="s">
        <v>6722</v>
      </c>
      <c r="C6820" t="str">
        <f>IFERROR(__xludf.DUMMYFUNCTION("GOOGLETRANSLATE(B6820, ""fr"", ""en"")"),"Satisfied Great product")</f>
        <v>Satisfied Great product</v>
      </c>
    </row>
    <row r="6821">
      <c r="A6821" s="1">
        <v>2.0</v>
      </c>
      <c r="B6821" s="1" t="s">
        <v>6723</v>
      </c>
      <c r="C6821" t="str">
        <f>IFERROR(__xludf.DUMMYFUNCTION("GOOGLETRANSLATE(B6821, ""fr"", ""en"")"),"Not as I thought genial than expected reading the reviews that this would be better than my famous box or I have to screw each compartment and I can not find. It is difficult to wash, small parts between each color are not easy to come out (and I have nai"&amp;"ls !!), and I do not think it is easier to pay the contrary, I put even more beside. Total .. I returned to my old model no screws. I do not understand the comments if enthusiasm")</f>
        <v>Not as I thought genial than expected reading the reviews that this would be better than my famous box or I have to screw each compartment and I can not find. It is difficult to wash, small parts between each color are not easy to come out (and I have nails !!), and I do not think it is easier to pay the contrary, I put even more beside. Total .. I returned to my old model no screws. I do not understand the comments if enthusiasm</v>
      </c>
    </row>
    <row r="6822">
      <c r="A6822" s="1">
        <v>1.0</v>
      </c>
      <c r="B6822" s="1" t="s">
        <v>6724</v>
      </c>
      <c r="C6822" t="str">
        <f>IFERROR(__xludf.DUMMYFUNCTION("GOOGLETRANSLATE(B6822, ""fr"", ""en"")"),"Discourage heartbreaking !!! Apart from the setting or if you do not have the capabilities of astronauts is not playable ... I have not even tried to trek, hike, or other Speleo just with the kids at the pool and after 20 mn nothing just an aquarium 200 €"&amp;" on the wrist and even a fish !!! Watch casio g-schock reference!")</f>
        <v>Discourage heartbreaking !!! Apart from the setting or if you do not have the capabilities of astronauts is not playable ... I have not even tried to trek, hike, or other Speleo just with the kids at the pool and after 20 mn nothing just an aquarium 200 € on the wrist and even a fish !!! Watch casio g-schock reference!</v>
      </c>
    </row>
    <row r="6823">
      <c r="A6823" s="1">
        <v>3.0</v>
      </c>
      <c r="B6823" s="1" t="s">
        <v>6725</v>
      </c>
      <c r="C6823" t="str">
        <f>IFERROR(__xludf.DUMMYFUNCTION("GOOGLETRANSLATE(B6823, ""fr"", ""en"")"),"practice I had the opportunity to test and I find this complementary product dry toilet paper. when starting, no need to carry around large roll, some leaves and ends with the wet paper that dissolves easily. #MomentLotus")</f>
        <v>practice I had the opportunity to test and I find this complementary product dry toilet paper. when starting, no need to carry around large roll, some leaves and ends with the wet paper that dissolves easily. #MomentLotus</v>
      </c>
    </row>
    <row r="6824">
      <c r="A6824" s="1">
        <v>3.0</v>
      </c>
      <c r="B6824" s="1" t="s">
        <v>6726</v>
      </c>
      <c r="C6824" t="str">
        <f>IFERROR(__xludf.DUMMYFUNCTION("GOOGLETRANSLATE(B6824, ""fr"", ""en"")"),"Addidas Basketball very good but avoid when high heat because plastic of the sole pa tough enough")</f>
        <v>Addidas Basketball very good but avoid when high heat because plastic of the sole pa tough enough</v>
      </c>
    </row>
    <row r="6825">
      <c r="A6825" s="1">
        <v>4.0</v>
      </c>
      <c r="B6825" s="1" t="s">
        <v>6727</v>
      </c>
      <c r="C6825" t="str">
        <f>IFERROR(__xludf.DUMMYFUNCTION("GOOGLETRANSLATE(B6825, ""fr"", ""en"")"),"Satisfied nice gift for the proposed price. It's still pretty and there is no obligation to go to jewelry spending a crazy amount to please.")</f>
        <v>Satisfied nice gift for the proposed price. It's still pretty and there is no obligation to go to jewelry spending a crazy amount to please.</v>
      </c>
    </row>
    <row r="6826">
      <c r="A6826" s="1">
        <v>4.0</v>
      </c>
      <c r="B6826" s="1" t="s">
        <v>6728</v>
      </c>
      <c r="C6826" t="str">
        <f>IFERROR(__xludf.DUMMYFUNCTION("GOOGLETRANSLATE(B6826, ""fr"", ""en"")"),"medium fast empty, but good writing tank barely filled!")</f>
        <v>medium fast empty, but good writing tank barely filled!</v>
      </c>
    </row>
    <row r="6827">
      <c r="A6827" s="1">
        <v>4.0</v>
      </c>
      <c r="B6827" s="1" t="s">
        <v>6729</v>
      </c>
      <c r="C6827" t="str">
        <f>IFERROR(__xludf.DUMMYFUNCTION("GOOGLETRANSLATE(B6827, ""fr"", ""en"")"),"Bottle Practical, solid fast delivery")</f>
        <v>Bottle Practical, solid fast delivery</v>
      </c>
    </row>
    <row r="6828">
      <c r="A6828" s="1">
        <v>4.0</v>
      </c>
      <c r="B6828" s="1" t="s">
        <v>6730</v>
      </c>
      <c r="C6828" t="str">
        <f>IFERROR(__xludf.DUMMYFUNCTION("GOOGLETRANSLATE(B6828, ""fr"", ""en"")"),"Tres Chic Belle shows very perfect class for an interview or if you love beings dress suit her and for you but held to urban deconseiller")</f>
        <v>Tres Chic Belle shows very perfect class for an interview or if you love beings dress suit her and for you but held to urban deconseiller</v>
      </c>
    </row>
    <row r="6829">
      <c r="A6829" s="1">
        <v>5.0</v>
      </c>
      <c r="B6829" s="1" t="s">
        <v>6731</v>
      </c>
      <c r="C6829" t="str">
        <f>IFERROR(__xludf.DUMMYFUNCTION("GOOGLETRANSLATE(B6829, ""fr"", ""en"")"),"Beautiful item Very nice jewelry, fine, elegant, the product complies with the description, ideal to offer")</f>
        <v>Beautiful item Very nice jewelry, fine, elegant, the product complies with the description, ideal to offer</v>
      </c>
    </row>
    <row r="6830">
      <c r="A6830" s="1">
        <v>5.0</v>
      </c>
      <c r="B6830" s="1" t="s">
        <v>6732</v>
      </c>
      <c r="C6830" t="str">
        <f>IFERROR(__xludf.DUMMYFUNCTION("GOOGLETRANSLATE(B6830, ""fr"", ""en"")"),"PERFECT No surprise, it is indeed a Canon product, fast delivery, well packaged, no complaints, maybe its high price but lack of better ....")</f>
        <v>PERFECT No surprise, it is indeed a Canon product, fast delivery, well packaged, no complaints, maybe its high price but lack of better ....</v>
      </c>
    </row>
    <row r="6831">
      <c r="A6831" s="1">
        <v>5.0</v>
      </c>
      <c r="B6831" s="1" t="s">
        <v>6733</v>
      </c>
      <c r="C6831" t="str">
        <f>IFERROR(__xludf.DUMMYFUNCTION("GOOGLETRANSLATE(B6831, ""fr"", ""en"")"),"Very nice bracelet delivered in a timely manner; Perfectly matches my expectations. I had ordered a second that I offer it with pleasure; A highly recommended")</f>
        <v>Very nice bracelet delivered in a timely manner; Perfectly matches my expectations. I had ordered a second that I offer it with pleasure; A highly recommended</v>
      </c>
    </row>
    <row r="6832">
      <c r="A6832" s="1">
        <v>5.0</v>
      </c>
      <c r="B6832" s="1" t="s">
        <v>6734</v>
      </c>
      <c r="C6832" t="str">
        <f>IFERROR(__xludf.DUMMYFUNCTION("GOOGLETRANSLATE(B6832, ""fr"", ""en"")"),"Perfect Perfect for replacement cartridges, they are identical to the gun that I usually use and less expensive. RAS")</f>
        <v>Perfect Perfect for replacement cartridges, they are identical to the gun that I usually use and less expensive. RAS</v>
      </c>
    </row>
    <row r="6833">
      <c r="A6833" s="1">
        <v>5.0</v>
      </c>
      <c r="B6833" s="1" t="s">
        <v>6735</v>
      </c>
      <c r="C6833" t="str">
        <f>IFERROR(__xludf.DUMMYFUNCTION("GOOGLETRANSLATE(B6833, ""fr"", ""en"")"),"Good product, very good product. I use it too. Ien to clean my airbrush to dilute a little paint.")</f>
        <v>Good product, very good product. I use it too. Ien to clean my airbrush to dilute a little paint.</v>
      </c>
    </row>
    <row r="6834">
      <c r="A6834" s="1">
        <v>5.0</v>
      </c>
      <c r="B6834" s="1" t="s">
        <v>6736</v>
      </c>
      <c r="C6834" t="str">
        <f>IFERROR(__xludf.DUMMYFUNCTION("GOOGLETRANSLATE(B6834, ""fr"", ""en"")"),"Quality good size quality price fast delivery well packaged thank you comply with the correct color description.")</f>
        <v>Quality good size quality price fast delivery well packaged thank you comply with the correct color description.</v>
      </c>
    </row>
    <row r="6835">
      <c r="A6835" s="1">
        <v>5.0</v>
      </c>
      <c r="B6835" s="1" t="s">
        <v>6737</v>
      </c>
      <c r="C6835" t="str">
        <f>IFERROR(__xludf.DUMMYFUNCTION("GOOGLETRANSLATE(B6835, ""fr"", ""en"")"),"Take one size up! Great shoes by against I make 37 I had to return and resume the 38 so remember to take a size up because the shoes are narrow")</f>
        <v>Take one size up! Great shoes by against I make 37 I had to return and resume the 38 so remember to take a size up because the shoes are narrow</v>
      </c>
    </row>
    <row r="6836">
      <c r="A6836" s="1">
        <v>5.0</v>
      </c>
      <c r="B6836" s="1" t="s">
        <v>6738</v>
      </c>
      <c r="C6836" t="str">
        <f>IFERROR(__xludf.DUMMYFUNCTION("GOOGLETRANSLATE(B6836, ""fr"", ""en"")"),"Meets jewelery watches bought for the price difference with those jewelers, although small, is not negligible proceeds received on time, and very well packaged! recommended for people who want to save a 10aine of €")</f>
        <v>Meets jewelery watches bought for the price difference with those jewelers, although small, is not negligible proceeds received on time, and very well packaged! recommended for people who want to save a 10aine of €</v>
      </c>
    </row>
    <row r="6837">
      <c r="A6837" s="1">
        <v>5.0</v>
      </c>
      <c r="B6837" s="1" t="s">
        <v>6739</v>
      </c>
      <c r="C6837" t="str">
        <f>IFERROR(__xludf.DUMMYFUNCTION("GOOGLETRANSLATE(B6837, ""fr"", ""en"")"),"For baby becomes large 👶 🍼 I'm pretty picky child care as babies deserve the best. This Nuk cup is impeccable! She was immediately adopted by baby 👶 The handling is easy because the handles are made in a very soft material, the sleeves are ergonomic, b"&amp;"aby guess where to put hands 🖐 🤚. The nipple is made of silicone and good quality baby spends time in nipping it resists. The splash guard is top, nothing tasted, even upside down. 💧 An ideal format, 150 ml, and easy to wear for baby. The design and st"&amp;"yle. in short, the ideal product to learn autonomy 👶 baby.")</f>
        <v>For baby becomes large 👶 🍼 I'm pretty picky child care as babies deserve the best. This Nuk cup is impeccable! She was immediately adopted by baby 👶 The handling is easy because the handles are made in a very soft material, the sleeves are ergonomic, baby guess where to put hands 🖐 🤚. The nipple is made of silicone and good quality baby spends time in nipping it resists. The splash guard is top, nothing tasted, even upside down. 💧 An ideal format, 150 ml, and easy to wear for baby. The design and style. in short, the ideal product to learn autonomy 👶 baby.</v>
      </c>
    </row>
    <row r="6838">
      <c r="A6838" s="1">
        <v>5.0</v>
      </c>
      <c r="B6838" s="1" t="s">
        <v>6740</v>
      </c>
      <c r="C6838" t="str">
        <f>IFERROR(__xludf.DUMMYFUNCTION("GOOGLETRANSLATE(B6838, ""fr"", ""en"")"),"Super truly effective product. actually works and attenuated very quickly the humidity in the room. I'm super happy with my purchase and besides that no noxious odor.")</f>
        <v>Super truly effective product. actually works and attenuated very quickly the humidity in the room. I'm super happy with my purchase and besides that no noxious odor.</v>
      </c>
    </row>
    <row r="6839">
      <c r="A6839" s="1">
        <v>5.0</v>
      </c>
      <c r="B6839" s="1" t="s">
        <v>6741</v>
      </c>
      <c r="C6839" t="str">
        <f>IFERROR(__xludf.DUMMYFUNCTION("GOOGLETRANSLATE(B6839, ""fr"", ""en"")"),"Super Best bottles. She loves not easy to clean but we made it. They hold well in time. Nikel")</f>
        <v>Super Best bottles. She loves not easy to clean but we made it. They hold well in time. Nikel</v>
      </c>
    </row>
    <row r="6840">
      <c r="A6840" s="1">
        <v>5.0</v>
      </c>
      <c r="B6840" s="1" t="s">
        <v>6742</v>
      </c>
      <c r="C6840" t="str">
        <f>IFERROR(__xludf.DUMMYFUNCTION("GOOGLETRANSLATE(B6840, ""fr"", ""en"")"),"Beautiful colors and comfortable for home I love the choice of colors! We do not find it in stores ... that kind of sad colors black, gray or navy blue ... that's not folichon jogging pants (must admit), so it's nice to have nice colors (and even patterns"&amp;" on other models of this brand) to enjoy comfort without seeming depressed either! The fabric is nice, it is not padded inside but upside is still soft. The overall quality and finishes are correct for this price. I would have liked pockets, but instantly"&amp;" I did not think of reading the description. At the same time on such current cut close to the body it might not be pretty. I followed the Manufacturer Size advice (product of another jogging bottoms, I think), I did well because the cut is actually very "&amp;"fit therefore not hesitate to take one size above ( or two, if you like to wear low rise) especially if you are with a silhouette with the hips to prevent up too and molded it to be ugly, and also if it is to be comfortable in the House. Anyway please cut"&amp;" the well to avoid thin that through it the next ""baggy jogging"" - in contrast muscular thighs will be molded, namely ... (this is the type of cut well suited to those threadlike) I think I let me try another model with pockets this time.")</f>
        <v>Beautiful colors and comfortable for home I love the choice of colors! We do not find it in stores ... that kind of sad colors black, gray or navy blue ... that's not folichon jogging pants (must admit), so it's nice to have nice colors (and even patterns on other models of this brand) to enjoy comfort without seeming depressed either! The fabric is nice, it is not padded inside but upside is still soft. The overall quality and finishes are correct for this price. I would have liked pockets, but instantly I did not think of reading the description. At the same time on such current cut close to the body it might not be pretty. I followed the Manufacturer Size advice (product of another jogging bottoms, I think), I did well because the cut is actually very fit therefore not hesitate to take one size above ( or two, if you like to wear low rise) especially if you are with a silhouette with the hips to prevent up too and molded it to be ugly, and also if it is to be comfortable in the House. Anyway please cut the well to avoid thin that through it the next "baggy jogging" - in contrast muscular thighs will be molded, namely ... (this is the type of cut well suited to those threadlike) I think I let me try another model with pockets this time.</v>
      </c>
    </row>
    <row r="6841">
      <c r="A6841" s="1">
        <v>5.0</v>
      </c>
      <c r="B6841" s="1" t="s">
        <v>6743</v>
      </c>
      <c r="C6841" t="str">
        <f>IFERROR(__xludf.DUMMYFUNCTION("GOOGLETRANSLATE(B6841, ""fr"", ""en"")"),"Earpiece bluffing great quality / price listener stunning for the price. They are really very good touch controls respond perfectly. Ultra short practice I highly recommend")</f>
        <v>Earpiece bluffing great quality / price listener stunning for the price. They are really very good touch controls respond perfectly. Ultra short practice I highly recommend</v>
      </c>
    </row>
    <row r="6842">
      <c r="A6842" s="1">
        <v>5.0</v>
      </c>
      <c r="B6842" s="1" t="s">
        <v>6744</v>
      </c>
      <c r="C6842" t="str">
        <f>IFERROR(__xludf.DUMMYFUNCTION("GOOGLETRANSLATE(B6842, ""fr"", ""en"")"),"Impeccable very cumbersome, accurate g in g in 0.1. Very handy for weighing herbs or small parts. The lid is positioned on the balance poir storage. Attention small balance.")</f>
        <v>Impeccable very cumbersome, accurate g in g in 0.1. Very handy for weighing herbs or small parts. The lid is positioned on the balance poir storage. Attention small balance.</v>
      </c>
    </row>
    <row r="6843">
      <c r="A6843" s="1">
        <v>5.0</v>
      </c>
      <c r="B6843" s="1" t="s">
        <v>6745</v>
      </c>
      <c r="C6843" t="str">
        <f>IFERROR(__xludf.DUMMYFUNCTION("GOOGLETRANSLATE(B6843, ""fr"", ""en"")"),"scholl fitness I chose this note, it is a model that shoes very well, and also for its color, it changes from white")</f>
        <v>scholl fitness I chose this note, it is a model that shoes very well, and also for its color, it changes from white</v>
      </c>
    </row>
    <row r="6844">
      <c r="A6844" s="1">
        <v>2.0</v>
      </c>
      <c r="B6844" s="1" t="s">
        <v>6746</v>
      </c>
      <c r="C6844" t="str">
        <f>IFERROR(__xludf.DUMMYFUNCTION("GOOGLETRANSLATE(B6844, ""fr"", ""en"")"),"Strength to review after two strap uses broken / torn plastic very very poor quality I am very disappointed")</f>
        <v>Strength to review after two strap uses broken / torn plastic very very poor quality I am very disappointed</v>
      </c>
    </row>
    <row r="6845">
      <c r="A6845" s="1">
        <v>1.0</v>
      </c>
      <c r="B6845" s="1" t="s">
        <v>6747</v>
      </c>
      <c r="C6845" t="str">
        <f>IFERROR(__xludf.DUMMYFUNCTION("GOOGLETRANSLATE(B6845, ""fr"", ""en"")"),"Tripod break in 1 week The tripod is not solid it is already breaking")</f>
        <v>Tripod break in 1 week The tripod is not solid it is already breaking</v>
      </c>
    </row>
    <row r="6846">
      <c r="A6846" s="1">
        <v>1.0</v>
      </c>
      <c r="B6846" s="1" t="s">
        <v>6748</v>
      </c>
      <c r="C6846" t="str">
        <f>IFERROR(__xludf.DUMMYFUNCTION("GOOGLETRANSLATE(B6846, ""fr"", ""en"")"),"HP cartridges scam Aaah ... a major scam in the world of the printer. Here several times that I buy original cartridges each time, the same conclusion after a few impressions, an error message appears on the printer to tell me that the cartridge is incons"&amp;"istent. I'm not here to buy HP is me telling you! A absolutely avoided!")</f>
        <v>HP cartridges scam Aaah ... a major scam in the world of the printer. Here several times that I buy original cartridges each time, the same conclusion after a few impressions, an error message appears on the printer to tell me that the cartridge is inconsistent. I'm not here to buy HP is me telling you! A absolutely avoided!</v>
      </c>
    </row>
    <row r="6847">
      <c r="A6847" s="1">
        <v>3.0</v>
      </c>
      <c r="B6847" s="1" t="s">
        <v>6749</v>
      </c>
      <c r="C6847" t="str">
        <f>IFERROR(__xludf.DUMMYFUNCTION("GOOGLETRANSLATE(B6847, ""fr"", ""en"")"),"Although small bracelets are not suitable to a man")</f>
        <v>Although small bracelets are not suitable to a man</v>
      </c>
    </row>
    <row r="6848">
      <c r="A6848" s="1">
        <v>3.0</v>
      </c>
      <c r="B6848" s="1" t="s">
        <v>6750</v>
      </c>
      <c r="C6848" t="str">
        <f>IFERROR(__xludf.DUMMYFUNCTION("GOOGLETRANSLATE(B6848, ""fr"", ""en"")"),"setting its tone deaf difficult for a deaf dial setting its difficult access")</f>
        <v>setting its tone deaf difficult for a deaf dial setting its difficult access</v>
      </c>
    </row>
    <row r="6849">
      <c r="A6849" s="1">
        <v>4.0</v>
      </c>
      <c r="B6849" s="1" t="s">
        <v>6751</v>
      </c>
      <c r="C6849" t="str">
        <f>IFERROR(__xludf.DUMMYFUNCTION("GOOGLETRANSLATE(B6849, ""fr"", ""en"")"),"power supply for this microphone allows me to amplify a microphone with his works regarding me with a sound card 5 w I plug my computer via USB and this to make YouTube videos ...")</f>
        <v>power supply for this microphone allows me to amplify a microphone with his works regarding me with a sound card 5 w I plug my computer via USB and this to make YouTube videos ...</v>
      </c>
    </row>
    <row r="6850">
      <c r="A6850" s="1">
        <v>4.0</v>
      </c>
      <c r="B6850" s="1" t="s">
        <v>6752</v>
      </c>
      <c r="C6850" t="str">
        <f>IFERROR(__xludf.DUMMYFUNCTION("GOOGLETRANSLATE(B6850, ""fr"", ""en"")"),"Odlo Warm T-shirt Very good article, warm, strong and good quality! to see how it will evolve over time, but very satisfied for now!")</f>
        <v>Odlo Warm T-shirt Very good article, warm, strong and good quality! to see how it will evolve over time, but very satisfied for now!</v>
      </c>
    </row>
    <row r="6851">
      <c r="A6851" s="1">
        <v>4.0</v>
      </c>
      <c r="B6851" s="1" t="s">
        <v>6753</v>
      </c>
      <c r="C6851" t="str">
        <f>IFERROR(__xludf.DUMMYFUNCTION("GOOGLETRANSLATE(B6851, ""fr"", ""en"")"),"fragile fragile pompoms pompoms otherwise wearable size as it should be neither too large nor too small pity that there is an ear on the hoods")</f>
        <v>fragile fragile pompoms pompoms otherwise wearable size as it should be neither too large nor too small pity that there is an ear on the hoods</v>
      </c>
    </row>
    <row r="6852">
      <c r="A6852" s="1">
        <v>4.0</v>
      </c>
      <c r="B6852" s="1" t="s">
        <v>6754</v>
      </c>
      <c r="C6852" t="str">
        <f>IFERROR(__xludf.DUMMYFUNCTION("GOOGLETRANSLATE(B6852, ""fr"", ""en"")"),"helpful good product")</f>
        <v>helpful good product</v>
      </c>
    </row>
    <row r="6853">
      <c r="A6853" s="1">
        <v>4.0</v>
      </c>
      <c r="B6853" s="1" t="s">
        <v>6755</v>
      </c>
      <c r="C6853" t="str">
        <f>IFERROR(__xludf.DUMMYFUNCTION("GOOGLETRANSLATE(B6853, ""fr"", ""en"")"),"Cartridge HP 350 XL For my HP printer. I struggled to learn my new Visa card; the old wearing a No. dispute is impossible to remove your memory and I received a message telling me that the order was not validated because the number of the card was wrong, "&amp;"although I correctly informed the new card. I still do not know how to remove the old card; So the mistake could happen again, although now it appears in my history the 2 cards. It would be wise to cancel the old card that is no longer valid .Cordialement"&amp;". N Spiquel")</f>
        <v>Cartridge HP 350 XL For my HP printer. I struggled to learn my new Visa card; the old wearing a No. dispute is impossible to remove your memory and I received a message telling me that the order was not validated because the number of the card was wrong, although I correctly informed the new card. I still do not know how to remove the old card; So the mistake could happen again, although now it appears in my history the 2 cards. It would be wise to cancel the old card that is no longer valid .Cordialement. N Spiquel</v>
      </c>
    </row>
    <row r="6854">
      <c r="A6854" s="1">
        <v>5.0</v>
      </c>
      <c r="B6854" s="1" t="s">
        <v>6756</v>
      </c>
      <c r="C6854" t="str">
        <f>IFERROR(__xludf.DUMMYFUNCTION("GOOGLETRANSLATE(B6854, ""fr"", ""en"")"),"Very comfortable I bought these shoes result of blisters caused by being aquabaking. These slippers well protect the feet but remain discreet with their transparency. They are also very practical during the course of water aerobics because they prevent th"&amp;"e foot from slipping on the bottom of the pool. I am very happy with my slippers.")</f>
        <v>Very comfortable I bought these shoes result of blisters caused by being aquabaking. These slippers well protect the feet but remain discreet with their transparency. They are also very practical during the course of water aerobics because they prevent the foot from slipping on the bottom of the pool. I am very happy with my slippers.</v>
      </c>
    </row>
    <row r="6855">
      <c r="A6855" s="1">
        <v>5.0</v>
      </c>
      <c r="B6855" s="1" t="s">
        <v>6757</v>
      </c>
      <c r="C6855" t="str">
        <f>IFERROR(__xludf.DUMMYFUNCTION("GOOGLETRANSLATE(B6855, ""fr"", ""en"")"),"No need to go shopping with a small 3 year boy who does not sit still! Renewal of my old pair of white converse. Saving time and speed of delivery.")</f>
        <v>No need to go shopping with a small 3 year boy who does not sit still! Renewal of my old pair of white converse. Saving time and speed of delivery.</v>
      </c>
    </row>
    <row r="6856">
      <c r="A6856" s="1">
        <v>5.0</v>
      </c>
      <c r="B6856" s="1" t="s">
        <v>6758</v>
      </c>
      <c r="C6856" t="str">
        <f>IFERROR(__xludf.DUMMYFUNCTION("GOOGLETRANSLATE(B6856, ""fr"", ""en"")"),"Super good quality I recommend")</f>
        <v>Super good quality I recommend</v>
      </c>
    </row>
    <row r="6857">
      <c r="A6857" s="1">
        <v>5.0</v>
      </c>
      <c r="B6857" s="1" t="s">
        <v>6759</v>
      </c>
      <c r="C6857" t="str">
        <f>IFERROR(__xludf.DUMMYFUNCTION("GOOGLETRANSLATE(B6857, ""fr"", ""en"")"),"Perfect ! I just love it ! The diffuser is pretty, the color change is super friendly and the remote control is really convenient! I am very happy !")</f>
        <v>Perfect ! I just love it ! The diffuser is pretty, the color change is super friendly and the remote control is really convenient! I am very happy !</v>
      </c>
    </row>
    <row r="6858">
      <c r="A6858" s="1">
        <v>5.0</v>
      </c>
      <c r="B6858" s="1" t="s">
        <v>6760</v>
      </c>
      <c r="C6858" t="str">
        <f>IFERROR(__xludf.DUMMYFUNCTION("GOOGLETRANSLATE(B6858, ""fr"", ""en"")"),"Perfect Perfect consistent fast fast consistent")</f>
        <v>Perfect Perfect consistent fast fast consistent</v>
      </c>
    </row>
    <row r="6859">
      <c r="A6859" s="1">
        <v>5.0</v>
      </c>
      <c r="B6859" s="1" t="s">
        <v>6761</v>
      </c>
      <c r="C6859" t="str">
        <f>IFERROR(__xludf.DUMMYFUNCTION("GOOGLETRANSLATE(B6859, ""fr"", ""en"")"),"Support very nice micro A quality microphone boom. The product is easy to handle, and really allows you to position the microphone at the correct height. Really simple installation. An excellent value for money, to choose !!")</f>
        <v>Support very nice micro A quality microphone boom. The product is easy to handle, and really allows you to position the microphone at the correct height. Really simple installation. An excellent value for money, to choose !!</v>
      </c>
    </row>
    <row r="6860">
      <c r="A6860" s="1">
        <v>5.0</v>
      </c>
      <c r="B6860" s="1" t="s">
        <v>6762</v>
      </c>
      <c r="C6860" t="str">
        <f>IFERROR(__xludf.DUMMYFUNCTION("GOOGLETRANSLATE(B6860, ""fr"", ""en"")"),"The seriousness of this serious Hello distributor, the product used for telescope adjustment referred hunting weapon.")</f>
        <v>The seriousness of this serious Hello distributor, the product used for telescope adjustment referred hunting weapon.</v>
      </c>
    </row>
    <row r="6861">
      <c r="A6861" s="1">
        <v>5.0</v>
      </c>
      <c r="B6861" s="1" t="s">
        <v>6763</v>
      </c>
      <c r="C6861" t="str">
        <f>IFERROR(__xludf.DUMMYFUNCTION("GOOGLETRANSLATE(B6861, ""fr"", ""en"")"),"Complies with photo and description consistent with the description Convenient to walk")</f>
        <v>Complies with photo and description consistent with the description Convenient to walk</v>
      </c>
    </row>
    <row r="6862">
      <c r="A6862" s="1">
        <v>5.0</v>
      </c>
      <c r="B6862" s="1" t="s">
        <v>6764</v>
      </c>
      <c r="C6862" t="str">
        <f>IFERROR(__xludf.DUMMYFUNCTION("GOOGLETRANSLATE(B6862, ""fr"", ""en"")"),"Ok The film itself is very well, the use of the carton requires to have reflected back for positioning the workpiece which cuts. The set is a little light but much more practical than the foils of trade. I use it every day, no problem so far. Value averag"&amp;"e price because I found a little expensive the product. Width a bit tight for large dishes.")</f>
        <v>Ok The film itself is very well, the use of the carton requires to have reflected back for positioning the workpiece which cuts. The set is a little light but much more practical than the foils of trade. I use it every day, no problem so far. Value average price because I found a little expensive the product. Width a bit tight for large dishes.</v>
      </c>
    </row>
    <row r="6863">
      <c r="A6863" s="1">
        <v>5.0</v>
      </c>
      <c r="B6863" s="1" t="s">
        <v>6765</v>
      </c>
      <c r="C6863" t="str">
        <f>IFERROR(__xludf.DUMMYFUNCTION("GOOGLETRANSLATE(B6863, ""fr"", ""en"")"),"single diffuser and pretty buy to spread a sweet smell, I very happy with my purchase. startup is a carry all. two water dose and a little essential oil, connect, and it diffuses !! the remote is super convenient and the possibility to adjust the time of "&amp;"beautiful color random vaporisationEt product at a very good value")</f>
        <v>single diffuser and pretty buy to spread a sweet smell, I very happy with my purchase. startup is a carry all. two water dose and a little essential oil, connect, and it diffuses !! the remote is super convenient and the possibility to adjust the time of beautiful color random vaporisationEt product at a very good value</v>
      </c>
    </row>
    <row r="6864">
      <c r="A6864" s="1">
        <v>5.0</v>
      </c>
      <c r="B6864" s="1" t="s">
        <v>6766</v>
      </c>
      <c r="C6864" t="str">
        <f>IFERROR(__xludf.DUMMYFUNCTION("GOOGLETRANSLATE(B6864, ""fr"", ""en"")"),"PRODUCT DESCRIPTION MEET ITS product used in a room. appeasement some")</f>
        <v>PRODUCT DESCRIPTION MEET ITS product used in a room. appeasement some</v>
      </c>
    </row>
    <row r="6865">
      <c r="A6865" s="1">
        <v>5.0</v>
      </c>
      <c r="B6865" s="1" t="s">
        <v>6767</v>
      </c>
      <c r="C6865" t="str">
        <f>IFERROR(__xludf.DUMMYFUNCTION("GOOGLETRANSLATE(B6865, ""fr"", ""en"")"),"Good walking shoes Buy a year ago to use campaign and hiking in the Vosges. And especially for a stay in August 2015 in Normandy. Still intact. Shoes maintain as leather. Lightest waterproof and I added in 2017 always present at my feet")</f>
        <v>Good walking shoes Buy a year ago to use campaign and hiking in the Vosges. And especially for a stay in August 2015 in Normandy. Still intact. Shoes maintain as leather. Lightest waterproof and I added in 2017 always present at my feet</v>
      </c>
    </row>
    <row r="6866">
      <c r="A6866" s="1">
        <v>5.0</v>
      </c>
      <c r="B6866" s="1" t="s">
        <v>6768</v>
      </c>
      <c r="C6866" t="str">
        <f>IFERROR(__xludf.DUMMYFUNCTION("GOOGLETRANSLATE(B6866, ""fr"", ""en"")"),"Shoes very classy and very comfortable It's been years that I wanted these shoes amazon m allowed to purchase those quality confiance..produit I am very happy")</f>
        <v>Shoes very classy and very comfortable It's been years that I wanted these shoes amazon m allowed to purchase those quality confiance..produit I am very happy</v>
      </c>
    </row>
    <row r="6867">
      <c r="A6867" s="1">
        <v>5.0</v>
      </c>
      <c r="B6867" s="1" t="s">
        <v>6769</v>
      </c>
      <c r="C6867" t="str">
        <f>IFERROR(__xludf.DUMMYFUNCTION("GOOGLETRANSLATE(B6867, ""fr"", ""en"")"),"Perfect Dress very satisfying product and good size. true")</f>
        <v>Perfect Dress very satisfying product and good size. true</v>
      </c>
    </row>
    <row r="6868">
      <c r="A6868" s="1">
        <v>5.0</v>
      </c>
      <c r="B6868" s="1" t="s">
        <v>6770</v>
      </c>
      <c r="C6868" t="str">
        <f>IFERROR(__xludf.DUMMYFUNCTION("GOOGLETRANSLATE(B6868, ""fr"", ""en"")"),"Good Very comfortable and lightweight shoe Product received yesterday as planned. Tried this morning for my morning walk very good shoes, lightweight and highly impermeable. Hot, soft because after an hour of walking not just one bulb. Good size of the sh"&amp;"oes I 36 and I ordered a 36 I recommend this product")</f>
        <v>Good Very comfortable and lightweight shoe Product received yesterday as planned. Tried this morning for my morning walk very good shoes, lightweight and highly impermeable. Hot, soft because after an hour of walking not just one bulb. Good size of the shoes I 36 and I ordered a 36 I recommend this product</v>
      </c>
    </row>
    <row r="6869">
      <c r="A6869" s="1">
        <v>2.0</v>
      </c>
      <c r="B6869" s="1" t="s">
        <v>6771</v>
      </c>
      <c r="C6869" t="str">
        <f>IFERROR(__xludf.DUMMYFUNCTION("GOOGLETRANSLATE(B6869, ""fr"", ""en"")"),"attention to the packaging paper is intact and it is a miracle: the package arrived extremely torn paper surrounding the reams happily tore the paper itself was not")</f>
        <v>attention to the packaging paper is intact and it is a miracle: the package arrived extremely torn paper surrounding the reams happily tore the paper itself was not</v>
      </c>
    </row>
    <row r="6870">
      <c r="A6870" s="1">
        <v>1.0</v>
      </c>
      <c r="B6870" s="1" t="s">
        <v>6772</v>
      </c>
      <c r="C6870" t="str">
        <f>IFERROR(__xludf.DUMMYFUNCTION("GOOGLETRANSLATE(B6870, ""fr"", ""en"")"),"This small size is 180 I 80 kg not such big arms that much, but it shook me a lot ...")</f>
        <v>This small size is 180 I 80 kg not such big arms that much, but it shook me a lot ...</v>
      </c>
    </row>
    <row r="6871">
      <c r="A6871" s="1">
        <v>1.0</v>
      </c>
      <c r="B6871" s="1" t="s">
        <v>6773</v>
      </c>
      <c r="C6871" t="str">
        <f>IFERROR(__xludf.DUMMYFUNCTION("GOOGLETRANSLATE(B6871, ""fr"", ""en"")"),"Do not buy ! The material is not Sweat! The hood too small and more despite being black is transparent!")</f>
        <v>Do not buy ! The material is not Sweat! The hood too small and more despite being black is transparent!</v>
      </c>
    </row>
    <row r="6872">
      <c r="A6872" s="1">
        <v>3.0</v>
      </c>
      <c r="B6872" s="1" t="s">
        <v>6774</v>
      </c>
      <c r="C6872" t="str">
        <f>IFERROR(__xludf.DUMMYFUNCTION("GOOGLETRANSLATE(B6872, ""fr"", ""en"")"),"A lot more fun shows its colors. By cons I did not think the dial is so small ...")</f>
        <v>A lot more fun shows its colors. By cons I did not think the dial is so small ...</v>
      </c>
    </row>
    <row r="6873">
      <c r="A6873" s="1">
        <v>3.0</v>
      </c>
      <c r="B6873" s="1" t="s">
        <v>6775</v>
      </c>
      <c r="C6873" t="str">
        <f>IFERROR(__xludf.DUMMYFUNCTION("GOOGLETRANSLATE(B6873, ""fr"", ""en"")"),"Beautiful yellow zippo but inside Superb 1941 Replica more classy than standard zippo. However part of the case is turned yellow from the inside (top and bottom), rather ugly yellow stains that disappoint for a new product but fortunately are not noticeab"&amp;"le once the Zippo closed.")</f>
        <v>Beautiful yellow zippo but inside Superb 1941 Replica more classy than standard zippo. However part of the case is turned yellow from the inside (top and bottom), rather ugly yellow stains that disappoint for a new product but fortunately are not noticeable once the Zippo closed.</v>
      </c>
    </row>
    <row r="6874">
      <c r="A6874" s="1">
        <v>4.0</v>
      </c>
      <c r="B6874" s="1" t="s">
        <v>6776</v>
      </c>
      <c r="C6874" t="str">
        <f>IFERROR(__xludf.DUMMYFUNCTION("GOOGLETRANSLATE(B6874, ""fr"", ""en"")"),"Basketball Black Basketball received consistent quickly. they are comfortable .I have it recommeded for sport sole focus was the previous slides are the only downside shoe.")</f>
        <v>Basketball Black Basketball received consistent quickly. they are comfortable .I have it recommeded for sport sole focus was the previous slides are the only downside shoe.</v>
      </c>
    </row>
    <row r="6875">
      <c r="A6875" s="1">
        <v>4.0</v>
      </c>
      <c r="B6875" s="1" t="s">
        <v>6777</v>
      </c>
      <c r="C6875" t="str">
        <f>IFERROR(__xludf.DUMMYFUNCTION("GOOGLETRANSLATE(B6875, ""fr"", ""en"")"),"Comfortable I'm in the mountains, on a t-shirt long sleeve, Impeccable on leggings!")</f>
        <v>Comfortable I'm in the mountains, on a t-shirt long sleeve, Impeccable on leggings!</v>
      </c>
    </row>
    <row r="6876">
      <c r="A6876" s="1">
        <v>4.0</v>
      </c>
      <c r="B6876" s="1" t="s">
        <v>6778</v>
      </c>
      <c r="C6876" t="str">
        <f>IFERROR(__xludf.DUMMYFUNCTION("GOOGLETRANSLATE(B6876, ""fr"", ""en"")"),"Solomon Speedcross 4 note, after six months of use I made some 550km crampons are gone. a little disappointed.")</f>
        <v>Solomon Speedcross 4 note, after six months of use I made some 550km crampons are gone. a little disappointed.</v>
      </c>
    </row>
    <row r="6877">
      <c r="A6877" s="1">
        <v>4.0</v>
      </c>
      <c r="B6877" s="1" t="s">
        <v>6779</v>
      </c>
      <c r="C6877" t="str">
        <f>IFERROR(__xludf.DUMMYFUNCTION("GOOGLETRANSLATE(B6877, ""fr"", ""en"")"),"rest of the forearm 2 If like me you have recurrent pain in the forearm, due to prolonged use of the mouse, buy this and more ergonomic mouse. For me it works.")</f>
        <v>rest of the forearm 2 If like me you have recurrent pain in the forearm, due to prolonged use of the mouse, buy this and more ergonomic mouse. For me it works.</v>
      </c>
    </row>
    <row r="6878">
      <c r="A6878" s="1">
        <v>5.0</v>
      </c>
      <c r="B6878" s="1" t="s">
        <v>508</v>
      </c>
      <c r="C6878" t="str">
        <f>IFERROR(__xludf.DUMMYFUNCTION("GOOGLETRANSLATE(B6878, ""fr"", ""en"")"),"Very well very well")</f>
        <v>Very well very well</v>
      </c>
    </row>
    <row r="6879">
      <c r="A6879" s="1">
        <v>5.0</v>
      </c>
      <c r="B6879" s="1" t="s">
        <v>6780</v>
      </c>
      <c r="C6879" t="str">
        <f>IFERROR(__xludf.DUMMYFUNCTION("GOOGLETRANSLATE(B6879, ""fr"", ""en"")"),"Excellent balance Very convenient, easy to use, deserve a just a little stronger adhesive;).")</f>
        <v>Excellent balance Very convenient, easy to use, deserve a just a little stronger adhesive;).</v>
      </c>
    </row>
    <row r="6880">
      <c r="A6880" s="1">
        <v>5.0</v>
      </c>
      <c r="B6880" s="1" t="s">
        <v>6781</v>
      </c>
      <c r="C6880" t="str">
        <f>IFERROR(__xludf.DUMMYFUNCTION("GOOGLETRANSLATE(B6880, ""fr"", ""en"")"),"Quality and Delivery robustness consistent with the description.")</f>
        <v>Quality and Delivery robustness consistent with the description.</v>
      </c>
    </row>
    <row r="6881">
      <c r="A6881" s="1">
        <v>5.0</v>
      </c>
      <c r="B6881" s="1" t="s">
        <v>6782</v>
      </c>
      <c r="C6881" t="str">
        <f>IFERROR(__xludf.DUMMYFUNCTION("GOOGLETRANSLATE(B6881, ""fr"", ""en"")"),"super super fast no regret for this purchase I recommend it without a doubt")</f>
        <v>super super fast no regret for this purchase I recommend it without a doubt</v>
      </c>
    </row>
    <row r="6882">
      <c r="A6882" s="1">
        <v>5.0</v>
      </c>
      <c r="B6882" s="1" t="s">
        <v>6783</v>
      </c>
      <c r="C6882" t="str">
        <f>IFERROR(__xludf.DUMMYFUNCTION("GOOGLETRANSLATE(B6882, ""fr"", ""en"")"),"Super Vans")</f>
        <v>Super Vans</v>
      </c>
    </row>
    <row r="6883">
      <c r="A6883" s="1">
        <v>5.0</v>
      </c>
      <c r="B6883" s="1" t="s">
        <v>6784</v>
      </c>
      <c r="C6883" t="str">
        <f>IFERROR(__xludf.DUMMYFUNCTION("GOOGLETRANSLATE(B6883, ""fr"", ""en"")"),"Beautiful basketball sneakers")</f>
        <v>Beautiful basketball sneakers</v>
      </c>
    </row>
    <row r="6884">
      <c r="A6884" s="1">
        <v>5.0</v>
      </c>
      <c r="B6884" s="1" t="s">
        <v>6785</v>
      </c>
      <c r="C6884" t="str">
        <f>IFERROR(__xludf.DUMMYFUNCTION("GOOGLETRANSLATE(B6884, ""fr"", ""en"")"),"soap flakes chat great product for a machine fragrant, soft .., I recommend it, especially for the baby ... but happiness, and woollens, takes care of the machine")</f>
        <v>soap flakes chat great product for a machine fragrant, soft .., I recommend it, especially for the baby ... but happiness, and woollens, takes care of the machine</v>
      </c>
    </row>
    <row r="6885">
      <c r="A6885" s="1">
        <v>5.0</v>
      </c>
      <c r="B6885" s="1" t="s">
        <v>6786</v>
      </c>
      <c r="C6885" t="str">
        <f>IFERROR(__xludf.DUMMYFUNCTION("GOOGLETRANSLATE(B6885, ""fr"", ""en"")"),"Good sound ! Headphones used occasionally, kind during races or household to listen to TV or radio broadcasts. So I have an expert opinion but I am very satisfied with these Bluetooth headsets: good sound, not sizzle, does not disconnect constantly. They "&amp;"take well to my ear. I used to be 2 together or is only 1 at a time. Level autonomy for now it's okay: 2h30! touch side that requires little learning but it's coming soon. In short I recommend! In addition they are super pretty.")</f>
        <v>Good sound ! Headphones used occasionally, kind during races or household to listen to TV or radio broadcasts. So I have an expert opinion but I am very satisfied with these Bluetooth headsets: good sound, not sizzle, does not disconnect constantly. They take well to my ear. I used to be 2 together or is only 1 at a time. Level autonomy for now it's okay: 2h30! touch side that requires little learning but it's coming soon. In short I recommend! In addition they are super pretty.</v>
      </c>
    </row>
    <row r="6886">
      <c r="A6886" s="1">
        <v>5.0</v>
      </c>
      <c r="B6886" s="1" t="s">
        <v>6787</v>
      </c>
      <c r="C6886" t="str">
        <f>IFERROR(__xludf.DUMMYFUNCTION("GOOGLETRANSLATE(B6886, ""fr"", ""en"")"),"Superb Very good product, 2 week wait but disappointed on the contrary it is perfect!")</f>
        <v>Superb Very good product, 2 week wait but disappointed on the contrary it is perfect!</v>
      </c>
    </row>
    <row r="6887">
      <c r="A6887" s="1">
        <v>5.0</v>
      </c>
      <c r="B6887" s="1" t="s">
        <v>6788</v>
      </c>
      <c r="C6887" t="str">
        <f>IFERROR(__xludf.DUMMYFUNCTION("GOOGLETRANSLATE(B6887, ""fr"", ""en"")"),"A plush Softly")</f>
        <v>A plush Softly</v>
      </c>
    </row>
    <row r="6888">
      <c r="A6888" s="1">
        <v>5.0</v>
      </c>
      <c r="B6888" s="1" t="s">
        <v>6789</v>
      </c>
      <c r="C6888" t="str">
        <f>IFERROR(__xludf.DUMMYFUNCTION("GOOGLETRANSLATE(B6888, ""fr"", ""en"")"),"Good quality fabric Small sport socks for women of good quality. The fabric is - thick, the mesh is solid and elastic. - Breathable, no smells - Do not scratch Perfect for sports, but also for everyday life. I'm happy with this product that perfectly matc"&amp;"hes the ad. I recommend.")</f>
        <v>Good quality fabric Small sport socks for women of good quality. The fabric is - thick, the mesh is solid and elastic. - Breathable, no smells - Do not scratch Perfect for sports, but also for everyday life. I'm happy with this product that perfectly matches the ad. I recommend.</v>
      </c>
    </row>
    <row r="6889">
      <c r="A6889" s="1">
        <v>5.0</v>
      </c>
      <c r="B6889" s="1" t="s">
        <v>6790</v>
      </c>
      <c r="C6889" t="str">
        <f>IFERROR(__xludf.DUMMYFUNCTION("GOOGLETRANSLATE(B6889, ""fr"", ""en"")"),"VERY PRACTICAL Do not always know the wishes of the people to whom we want to make a gift, this gift card makes good service.")</f>
        <v>VERY PRACTICAL Do not always know the wishes of the people to whom we want to make a gift, this gift card makes good service.</v>
      </c>
    </row>
    <row r="6890">
      <c r="A6890" s="1">
        <v>5.0</v>
      </c>
      <c r="B6890" s="1" t="s">
        <v>969</v>
      </c>
      <c r="C6890" t="str">
        <f>IFERROR(__xludf.DUMMYFUNCTION("GOOGLETRANSLATE(B6890, ""fr"", ""en"")"),"compliant compliant")</f>
        <v>compliant compliant</v>
      </c>
    </row>
    <row r="6891">
      <c r="A6891" s="1">
        <v>5.0</v>
      </c>
      <c r="B6891" s="1" t="s">
        <v>6791</v>
      </c>
      <c r="C6891" t="str">
        <f>IFERROR(__xludf.DUMMYFUNCTION("GOOGLETRANSLATE(B6891, ""fr"", ""en"")"),"a classic dr Marteens are for me a classic. This size a little big but is really at the top! super quality! super durable and offers a truly crazy style")</f>
        <v>a classic dr Marteens are for me a classic. This size a little big but is really at the top! super quality! super durable and offers a truly crazy style</v>
      </c>
    </row>
    <row r="6892">
      <c r="A6892" s="1">
        <v>5.0</v>
      </c>
      <c r="B6892" s="1" t="s">
        <v>6792</v>
      </c>
      <c r="C6892" t="str">
        <f>IFERROR(__xludf.DUMMYFUNCTION("GOOGLETRANSLATE(B6892, ""fr"", ""en"")"),"Comfort Practicing sports regularly I wanted to barter my wired headphones (for disturbing activities) against a pair of Bluetooth headphones for greater freedom. Great ergonomics and battery yours long enough. I recommend this product to my delivered qui"&amp;"ckly and carefully. Seller at the top!")</f>
        <v>Comfort Practicing sports regularly I wanted to barter my wired headphones (for disturbing activities) against a pair of Bluetooth headphones for greater freedom. Great ergonomics and battery yours long enough. I recommend this product to my delivered quickly and carefully. Seller at the top!</v>
      </c>
    </row>
    <row r="6893">
      <c r="A6893" s="1">
        <v>2.0</v>
      </c>
      <c r="B6893" s="1" t="s">
        <v>6793</v>
      </c>
      <c r="C6893" t="str">
        <f>IFERROR(__xludf.DUMMYFUNCTION("GOOGLETRANSLATE(B6893, ""fr"", ""en"")"),"The item descriptions should be more precise and give the compositions of materials The material is special. ... The descriptions of the items should be more precise and give the compositions of materials A little disappointed")</f>
        <v>The item descriptions should be more precise and give the compositions of materials The material is special. ... The descriptions of the items should be more precise and give the compositions of materials A little disappointed</v>
      </c>
    </row>
    <row r="6894">
      <c r="A6894" s="1">
        <v>1.0</v>
      </c>
      <c r="B6894" s="1" t="s">
        <v>6794</v>
      </c>
      <c r="C6894" t="str">
        <f>IFERROR(__xludf.DUMMYFUNCTION("GOOGLETRANSLATE(B6894, ""fr"", ""en"")"),"big problem I'm angry I have bought this article November 9, I do not often use I printed up to 60 sheets from which 5 or 6 color and there the 2 black and color are empty !!!! ! unheard I'll make a claim and I hope that I meet")</f>
        <v>big problem I'm angry I have bought this article November 9, I do not often use I printed up to 60 sheets from which 5 or 6 color and there the 2 black and color are empty !!!! ! unheard I'll make a claim and I hope that I meet</v>
      </c>
    </row>
    <row r="6895">
      <c r="A6895" s="1">
        <v>1.0</v>
      </c>
      <c r="B6895" s="1" t="s">
        <v>6795</v>
      </c>
      <c r="C6895" t="str">
        <f>IFERROR(__xludf.DUMMYFUNCTION("GOOGLETRANSLATE(B6895, ""fr"", ""en"")"),"chain regret")</f>
        <v>chain regret</v>
      </c>
    </row>
    <row r="6896">
      <c r="A6896" s="1">
        <v>3.0</v>
      </c>
      <c r="B6896" s="1" t="s">
        <v>6796</v>
      </c>
      <c r="C6896" t="str">
        <f>IFERROR(__xludf.DUMMYFUNCTION("GOOGLETRANSLATE(B6896, ""fr"", ""en"")"),"Zbra bra size too small but the size above does not exist, I could not return it for exchange. Too bad because the quality is great, it also was recommended to me by my daughter who carries that kind of article for maintaining")</f>
        <v>Zbra bra size too small but the size above does not exist, I could not return it for exchange. Too bad because the quality is great, it also was recommended to me by my daughter who carries that kind of article for maintaining</v>
      </c>
    </row>
    <row r="6897">
      <c r="A6897" s="1">
        <v>4.0</v>
      </c>
      <c r="B6897" s="1" t="s">
        <v>6797</v>
      </c>
      <c r="C6897" t="str">
        <f>IFERROR(__xludf.DUMMYFUNCTION("GOOGLETRANSLATE(B6897, ""fr"", ""en"")"),"Watch Pretty nice watch from the bracelet which in my opinion is not going to last long at worst it turns")</f>
        <v>Watch Pretty nice watch from the bracelet which in my opinion is not going to last long at worst it turns</v>
      </c>
    </row>
    <row r="6898">
      <c r="A6898" s="1">
        <v>4.0</v>
      </c>
      <c r="B6898" s="1" t="s">
        <v>6798</v>
      </c>
      <c r="C6898" t="str">
        <f>IFERROR(__xludf.DUMMYFUNCTION("GOOGLETRANSLATE(B6898, ""fr"", ""en"")"),"Good quality product of very good quality. The strap could have been a little longer.")</f>
        <v>Good quality product of very good quality. The strap could have been a little longer.</v>
      </c>
    </row>
    <row r="6899">
      <c r="A6899" s="1">
        <v>4.0</v>
      </c>
      <c r="B6899" s="1" t="s">
        <v>6799</v>
      </c>
      <c r="C6899" t="str">
        <f>IFERROR(__xludf.DUMMYFUNCTION("GOOGLETRANSLATE(B6899, ""fr"", ""en"")"),"Good lightweight autonomy and remains in place. Daily use for running no complaints. Easy to connect")</f>
        <v>Good lightweight autonomy and remains in place. Daily use for running no complaints. Easy to connect</v>
      </c>
    </row>
    <row r="6900">
      <c r="A6900" s="1">
        <v>4.0</v>
      </c>
      <c r="B6900" s="1" t="s">
        <v>6800</v>
      </c>
      <c r="C6900" t="str">
        <f>IFERROR(__xludf.DUMMYFUNCTION("GOOGLETRANSLATE(B6900, ""fr"", ""en"")"),"Practical and beautiful refreshing. I expect to see the use")</f>
        <v>Practical and beautiful refreshing. I expect to see the use</v>
      </c>
    </row>
    <row r="6901">
      <c r="A6901" s="1">
        <v>5.0</v>
      </c>
      <c r="B6901" s="1" t="s">
        <v>6801</v>
      </c>
      <c r="C6901" t="str">
        <f>IFERROR(__xludf.DUMMYFUNCTION("GOOGLETRANSLATE(B6901, ""fr"", ""en"")"),"Super quality Felts with a very bright color and supported - perfect to ensure legibility even in the back of the class")</f>
        <v>Super quality Felts with a very bright color and supported - perfect to ensure legibility even in the back of the class</v>
      </c>
    </row>
    <row r="6902">
      <c r="A6902" s="1">
        <v>5.0</v>
      </c>
      <c r="B6902" s="1" t="s">
        <v>6802</v>
      </c>
      <c r="C6902" t="str">
        <f>IFERROR(__xludf.DUMMYFUNCTION("GOOGLETRANSLATE(B6902, ""fr"", ""en"")"),"Frankly good for the price! It's a quality / very good price. The sound is quite good, the bass is objectively a bit too present, but personally I have: p The headset folds for storage. It is mostly very, very light, very comfortable to wear, and convenie"&amp;"nt to carry.")</f>
        <v>Frankly good for the price! It's a quality / very good price. The sound is quite good, the bass is objectively a bit too present, but personally I have: p The headset folds for storage. It is mostly very, very light, very comfortable to wear, and convenient to carry.</v>
      </c>
    </row>
    <row r="6903">
      <c r="A6903" s="1">
        <v>5.0</v>
      </c>
      <c r="B6903" s="1" t="s">
        <v>6803</v>
      </c>
      <c r="C6903" t="str">
        <f>IFERROR(__xludf.DUMMYFUNCTION("GOOGLETRANSLATE(B6903, ""fr"", ""en"")"),"Handy Offered a pro rider going up in all weathers. After 1 month of use is delighted. Heat diffuses well. The model is perfect for the sport as well as in training in competition because it fits under the curved jacket. Just a pity that the adjustment kn"&amp;"ob is not higher because the chest must take the time to unbutton the top layers for use setting especially in training for competitions there are no worries. A size women will be welcome.")</f>
        <v>Handy Offered a pro rider going up in all weathers. After 1 month of use is delighted. Heat diffuses well. The model is perfect for the sport as well as in training in competition because it fits under the curved jacket. Just a pity that the adjustment knob is not higher because the chest must take the time to unbutton the top layers for use setting especially in training for competitions there are no worries. A size women will be welcome.</v>
      </c>
    </row>
    <row r="6904">
      <c r="A6904" s="1">
        <v>5.0</v>
      </c>
      <c r="B6904" s="1" t="s">
        <v>6804</v>
      </c>
      <c r="C6904" t="str">
        <f>IFERROR(__xludf.DUMMYFUNCTION("GOOGLETRANSLATE(B6904, ""fr"", ""en"")"),"Very nice watch very nice steel watch. The bracelet is adjustable. The dial is relatively large and there are the minutes indicated in the small board. There is also a tool to open the watch in case of battery change. I find this very show class so I am v"&amp;"ery happy.")</f>
        <v>Very nice watch very nice steel watch. The bracelet is adjustable. The dial is relatively large and there are the minutes indicated in the small board. There is also a tool to open the watch in case of battery change. I find this very show class so I am very happy.</v>
      </c>
    </row>
    <row r="6905">
      <c r="A6905" s="1">
        <v>5.0</v>
      </c>
      <c r="B6905" s="1" t="s">
        <v>6805</v>
      </c>
      <c r="C6905" t="str">
        <f>IFERROR(__xludf.DUMMYFUNCTION("GOOGLETRANSLATE(B6905, ""fr"", ""en"")"),"Perfect I loved this first for its beautiful design and also for its very attractive price! Installation and connection on my computer very easy and very simple mounting on my desktop, it still takes a lot of space but can be set quite easily. I use it to"&amp;" chat online and make videos, the sound is very good. This mic is totally my expectations. I recommend it, really professional microphone!")</f>
        <v>Perfect I loved this first for its beautiful design and also for its very attractive price! Installation and connection on my computer very easy and very simple mounting on my desktop, it still takes a lot of space but can be set quite easily. I use it to chat online and make videos, the sound is very good. This mic is totally my expectations. I recommend it, really professional microphone!</v>
      </c>
    </row>
    <row r="6906">
      <c r="A6906" s="1">
        <v>5.0</v>
      </c>
      <c r="B6906" s="1" t="s">
        <v>6806</v>
      </c>
      <c r="C6906" t="str">
        <f>IFERROR(__xludf.DUMMYFUNCTION("GOOGLETRANSLATE(B6906, ""fr"", ""en"")"),"Doing his Job Good quality, these cables are very good especially for the home studio. For an internship use, I think they are not sufficiently strengthened")</f>
        <v>Doing his Job Good quality, these cables are very good especially for the home studio. For an internship use, I think they are not sufficiently strengthened</v>
      </c>
    </row>
    <row r="6907">
      <c r="A6907" s="1">
        <v>5.0</v>
      </c>
      <c r="B6907" s="1" t="s">
        <v>6807</v>
      </c>
      <c r="C6907" t="str">
        <f>IFERROR(__xludf.DUMMYFUNCTION("GOOGLETRANSLATE(B6907, ""fr"", ""en"")"),"Pleasantly surprised ! I bought these headphones in order to listen to music and play video games with good comfort. I was formerly a gaming headset that is, fails to guarantee much I learned about the helmets in general and I discovered this headset with"&amp;" good advice. I hesitated and then I started. Here is my understanding: -A very good sound even on my phone! (On songs I know, I happened to hear the instruments that I had not heard before) -An extraordinary comfort poor external noise -Reduced -Can not "&amp;"made to be mobile This helmet by compared to its price, is just perfect for my use. That is, the Gaming and music good on computers (the sound is good on Smartphone).")</f>
        <v>Pleasantly surprised ! I bought these headphones in order to listen to music and play video games with good comfort. I was formerly a gaming headset that is, fails to guarantee much I learned about the helmets in general and I discovered this headset with good advice. I hesitated and then I started. Here is my understanding: -A very good sound even on my phone! (On songs I know, I happened to hear the instruments that I had not heard before) -An extraordinary comfort poor external noise -Reduced -Can not made to be mobile This helmet by compared to its price, is just perfect for my use. That is, the Gaming and music good on computers (the sound is good on Smartphone).</v>
      </c>
    </row>
    <row r="6908">
      <c r="A6908" s="1">
        <v>5.0</v>
      </c>
      <c r="B6908" s="1" t="s">
        <v>6808</v>
      </c>
      <c r="C6908" t="str">
        <f>IFERROR(__xludf.DUMMYFUNCTION("GOOGLETRANSLATE(B6908, ""fr"", ""en"")"),"this super gun cartridge matches the description. 100% satisfied I recommend this purchase. I personally recommend my cartridges soon Amazon")</f>
        <v>this super gun cartridge matches the description. 100% satisfied I recommend this purchase. I personally recommend my cartridges soon Amazon</v>
      </c>
    </row>
    <row r="6909">
      <c r="A6909" s="1">
        <v>5.0</v>
      </c>
      <c r="B6909" s="1" t="s">
        <v>6809</v>
      </c>
      <c r="C6909" t="str">
        <f>IFERROR(__xludf.DUMMYFUNCTION("GOOGLETRANSLATE(B6909, ""fr"", ""en"")"),"well &lt;div id = ""video-block-RMO0IDBDN5SCH"" class = ""a-section-spacing-small in-spacing-top mini video-block""&gt; &lt;div tabindex = ""0"" class = ""airy airy-svg vmin -supported airy-skin-beacon ""category ="" background-color: rgb (0, 0, 0); position: rela"&amp;"tive; width: 100%; height: 100%; font-size: 0px; overflow: hidden; outline: none; ""&gt; &lt;div class ="" airy-renderer-container ""style ="" position: relative; height: 100%; width: 100%; ""&gt; &lt;video id ="" 7 ""preload ="" auto ""src ="" https : //images-eu.ss"&amp;"l-images-amazon.com/images/I/A10UHrxFl8S.mp4 ""style ="" position: absolute; left: 0px; top: 0px; overflow: hidden; height: 1px; width: 1px; ""&gt; &lt;/ video&gt; &lt;/ div&gt; &lt;div id ="" airy-slate-preload ""style ="" background-color: rgb (0, 0, 0); background-image"&amp;": url (&amp; quot; https: // pictures -eu.ssl-images-amazon.com/images/I/91tfJ3f3u9S.png&amp;quot;); background-size: contain; background-position: center center; background-repeat: no-repeat; position: absolute; top: 0px; left: 0px; visibility: visible; width: 1"&amp;"00%; height: 100% ""&gt; &lt;/ div&gt; &lt;iframe scrolling ="" no ""framebor der = ""0"" src = ""about: blank"" style = ""display: none;""&gt; &lt;/ iframe&gt; &lt;div tabindex = ""- 1"" class = ""airy-controls-container"" style = ""opacity: 0; visibility: hidden; ""&gt; &lt;div tabi"&amp;"ndex ="" - 1 ""class ="" airy-screen-size-toggle airy-fullscreen ""&gt; &lt;/ div&gt; &lt;div tabindex ="" - 1 ""class ="" airy-container-bottom "" &gt; &lt;div tabindex = ""- 1"" class = ""airy-track-bar spacer-left"" style = ""width: 11px;""&gt; &lt;/ div&gt; &lt;div tabindex = ""- "&amp;"1"" class = ""airy-play- toggle airy-play ""style ="" width: 12px; margin-right: 12px; ""&gt; &lt;/ div&gt; &lt;div tabindex ="" - 1 ""class ="" airy-audio-elements ""style ="" float: right; width: 34px; ""&gt; &lt;div tabindex ="" - 1 ""class ="" airy-audio-toggle airy-on"&amp;" ""&gt; &lt;/ div&gt; &lt;div tabindex ="" - 1 ""class ="" airy-audio-container ""style = ""opacity: 0; visibility: hidden; ""&gt; &lt;div tabindex ="" - 1 ""class ="" airy-audio-track-bar ""style ="" height: 80%; ""&gt; &lt;div tabindex ="" - 1 ""class ="" airy-audio- scrubber "&amp;"bar ""style ="" height: 85% ""&gt; &lt;/ div&gt; &lt;div tabindex ="" - 1 ""class ="" airy-audio-scrubber ""style ="" height: 12px; bottom: 85% ""&gt; &lt;/ div&gt; &lt;/ div&gt; &lt;/ div&gt; &lt;/ div&gt; &lt;div tabindex ="" - 1 ""class ="" airy-duration-label ""style ="" float: right; width: "&amp;"26px; margin-right: 4px; text-align: center; ""&gt; 0:00 &lt;/ div&gt; &lt;div tabindex ="" - 1 ""class ="" airy-track-bar spacer-right ""style ="" float: right; width: 11px; ""&gt; &lt;/ div&gt; &lt;div tabindex ="" - 1 ""class ="" airy-track-bar-container ""style ="" margin-le"&amp;"ft: 35px; margin-right: 75px; ""&gt; &lt;div tabindex ="" - 1 ""class ="" airy-airy-track-bar vertical-centering-table ""&gt; &lt;div tabindex ="" - 1 ""class ="" airy-vertical-centering- table-cell ""&gt; &lt;div tabindex ="" - 1 ""class ="" airy-track-bar elements ""&gt; &lt;d"&amp;"iv tabindex ="" - 1 ""class ="" airy-progress bar ""&gt; &lt;/ div&gt; &lt;div tabindex = ""- 1"" class = ""airy-scrubber bar""&gt; &lt;/ div&gt; &lt;div tabindex = ""- 1"" class = ""airy-scrubber""&gt; &lt;div tabindex = ""- 1"" class = ""airy-scrubber- icon ""&gt; &lt;/ div&gt; &lt;div tabindex"&amp;" ="" - 1 ""class ="" airy-adjusted-aui-tooltip ""style ="" opacity: 0; visibility: hidden; ""&gt; &lt;div tabindex ="" - 1 ""class ="" airy-adjusted-aui-tooltip-inner ""&gt; &lt;div tabindex ="" - 1 ""class ="" airy-current-time-label ""&gt; 0 00 &lt;/ div&gt; &lt;/ div&gt; &lt;div ta"&amp;"bindex = ""- 1"" class = ""airy-adjusted-aui-arrow-border""&gt; &lt;div tabindex = ""- 1"" class = ""airy-adjusted-aui-arrow"" &gt; &lt;/ div&gt; &lt;/ div&gt; &lt;/ div&gt; &lt;/ div&gt; &lt;/ div&gt; &lt;/ div&gt; &lt;/ div&gt; &lt;/ div&gt; &lt;/ div&gt; &lt;/ div&gt; &lt;div tabindex = ""- 1"" class = ""airy-airy-age-gate"&amp;" course airy-vertical-centering table-airy-dialog"" style = ""opacity: 0; visibility: hidden; ""&gt; &lt;div tabindex ="" - 1 ""class ="" airy-age-gate-vertical-centering-table-cell airy-vertical-centering-table-cell ""&gt; &lt;div tabindex ="" - 1 ""class = ""airy-v"&amp;"ertical-centering-wrapper airy-age-gate-elements-wrapper""&gt; &lt;div tabindex = ""- 1"" class = ""airy-age-gate-elements airy-dialog-elements""&gt; &lt;div tabindex = "" -1 ""class ="" airy-age-gate-prompt ""&gt; This video is not Intended for all audiences What time "&amp;"were you born &lt;/ div&gt; &lt;div tabindex =.?"" - 1 ""class ="" airy-age-gate -inputs airy-dialog-inner-elements ""&gt; &lt;select tabindex ="" - 1 ""class ="" airy-age-gate-month ""&gt; &lt;option value ="" 1 ""&gt; January &lt;/ option&gt; &lt;option value ="" 2 ""&gt; February &lt;/ opti"&amp;"on&gt; &lt;option value ="" 3 ""&gt; March &lt;/ option&gt; &lt;option value ="" 4 ""&gt; April &lt;/ option&gt; &lt;option value ="" 5 ""&gt; May &lt;/ option&gt; &lt;option value = ""6""&gt; June &lt;/ option&gt; &lt;option value = ""7""&gt; July &lt;/ option&gt; &lt;option value = ""8""&gt; August &lt;/ option&gt; &lt;option val"&amp;"ue = ""9""&gt; September &lt;/ option&gt; &lt;option value = ""10""&gt; October &lt;/ option&gt; &lt;option value = ""11""&gt; November &lt;/ option&gt; &lt;option value = ""12""&gt; December &lt;/ option&gt; &lt;/ select&gt; &lt;select tabindex = ""- 1"" class = ""airy-age-gate-day""&gt; &lt;opti = One value ""1"&amp;"""&gt; 1 &lt;/ option&gt; &lt;option value = ""2""&gt; 2 &lt;/ option&gt; &lt;option value = ""3""&gt; 3 &lt;/ option&gt; &lt;option value = ""4""&gt; 4 &lt;/ option &gt; &lt;option value = ""5""&gt; 5 &lt;/ option&gt; &lt;option value = ""6""&gt; 6 &lt;/ option&gt; &lt;option value = ""7""&gt; 7 &lt;/ option&gt; &lt;option value = ""8"""&amp;"&gt; 8 &lt; / option&gt; &lt;option value = ""9""&gt; 9 &lt;/ option&gt; &lt;option value = ""10""&gt; 10 &lt;/ option&gt; &lt;option value = ""11""&gt; 11 &lt;/ option&gt; &lt;option value = ""12""&gt; 12 &lt;/ option&gt; &lt;option value = ""13""&gt; 13 &lt;/ option&gt; &lt;option value = ""14""&gt; 14 &lt;/ option&gt; &lt;option value"&amp;" = ""15""&gt; 15 &lt;/ option&gt; &lt;option value = ""16 ""&gt; 16 &lt;/ option&gt; &lt;option value ="" 17 ""&gt; 17 &lt;/ option&gt; &lt;option value ="" 18 ""&gt; 18 &lt;/ option&gt; &lt;option value ="" 19 ""&gt; 19 &lt;/ option&gt; &lt;option value = ""20""&gt; 20 &lt;/ option&gt; &lt;option value = ""21""&gt; 21 &lt;/ option"&amp;"&gt; &lt;option value = ""22""&gt; 22 &lt;/ option&gt; &lt;option value = ""23""&gt; 23 &lt;/ option&gt; &lt;option value = ""24""&gt; 24 &lt;/ option&gt; &lt;option value = ""25""&gt; 25 &lt;/ option&gt; &lt;option value = ""26""&gt; 26 &lt;/ option&gt; &lt;option value = ""27""&gt; 27 &lt;/ option&gt; &lt;option value = ""28""&gt; 2"&amp;"8 &lt;/ option&gt; &lt;option value = ""29""&gt; 29 &lt;/ option&gt; &lt;option value = ""30""&gt; 30 &lt;/ option&gt; &lt;option value = ""31""&gt; 31 &lt;/ option&gt; &lt;/ select&gt; &lt;select tabindex = ""- 1"" class = ""airy-age-gate-year""&gt; &lt;option value = ""2019""&gt; 2019 &lt;/ option&gt; &lt; option value ="&amp;" ""2018""&gt; 2018 &lt;/ option&gt; &lt;option value = ""2017""&gt; 2017 &lt;/ option&gt; &lt;option value = ""2016""&gt; ​​2016 &lt;/ option&gt; &lt;option value = ""2015""&gt; 2015 &lt;/ option &gt; &lt;option value = ""2014""&gt; 2014 &lt;/ option&gt; &lt;option value = ""2013""&gt; 2013 &lt;/ option&gt; &lt;option value ="&amp;" ""2012""&gt; 2012 &lt;/ option&gt; &lt;option value = ""2011""&gt; 2011 &lt; / option&gt; &lt;option value = ""2010""&gt; 2010 &lt;/ option&gt; &lt;option value = ""2009""&gt; 2009 &lt;/ option&gt; &lt;option value = ""2008""&gt; 2008 &lt;/ option&gt; &lt;option value = ""2007""&gt; 2007 &lt;/ option&gt; &lt;option value = "&amp;"""2006""&gt; 2006 &lt;/ option&gt; &lt;option value = ""2005""&gt; 2005 &lt;/ option&gt; &lt;option value = ""2004""&gt; 2004 &lt;/ option&gt; &lt;option value = ""2003 ""&gt; 2003 &lt;/ option&gt; &lt;option value ="" 2002 ""&gt; 2002 &lt;/ option&gt; &lt;option value ="" 2001 ""&gt; 2001 &lt;/ option&gt; &lt;option value ="&amp;""" 2000 ""&gt; 2000 &lt;/ option&gt; &lt;option value = ""1999""&gt; 1999 &lt;/ option&gt; &lt;option value = ""1998""&gt; 1998 &lt;/ option&gt; &lt;option value = ""1997""&gt; 1997 &lt;/ option&gt; &lt;option value = ""1996""&gt; 1996 &lt;/ option&gt; &lt;option value = ""1995""&gt; 1995 &lt;/ option&gt; &lt;option value = "&amp;"""1994""&gt;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&lt;option value = ""1985""&gt; 1985 &lt;/ option&gt; &lt;option value = ""1984""&gt; 1984 &lt;/ option&gt; &lt;option value = ""1983""&gt; 1983 &lt;/ option&gt; &lt;option value = "&amp;"""1982""&gt;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&lt;option value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&lt;option value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airy-course airy -Vertical-centering-table dialog airy-airy-denied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 tabindex."" - 1 ""class ="" airy-install-flash-"&amp;"button-wrapper airy -dialog-inner-elements ""&gt; &lt;div tabindex ="" - 1 ""class ="" airy-install-flash-button airy-button ""&gt; install Flash Player &lt;/ div&gt; &lt;/ div&gt; &lt;/ div&gt; &lt;/ div&gt; &lt;/ div&gt; &lt;/ div&gt; &lt;div tabindex = ""- 1"" class = ""airy-video-unsupported-dialog"&amp;" airy-course airy-vertical-centering table-airy-dialog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 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 airy-fullscreen ""style ="" visibility: hidden; ""&gt; &lt;/ div&gt; &lt;div tabindex = ""-1"" class = ""airy-ad-prompt-contain"&amp;"er"" style = ""visibility: hidden;""&gt; &lt;div tabindex = ""- 1"" class = ""airy-ad-prompt-vertical-centering table-airy-vertical-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a"&amp;"iry-audio-toggle airy-on ""style ="" visibility: hidden; ""&gt; &lt;/ div&gt; &lt;div tabindex ="" - 1 ""class ="" airy-time-remaining-label-container ""&gt; &lt;div tabindex ="" - 1 ""class ="" airy-time-remaining-vertical-centering table-airy-vertical-centering-table ""&gt;"&amp;" &lt;div tabindex = ""- 1"" class = ""airy-time-remaining-vertical-centering-table-cell airy-vertical-centering-table-cell""&gt; &lt;div tabindex = ""- 1"" class = ""airy-vertical-centering-wrapper airy-time-remaining-label-wrapper ""&gt; &lt;div tabindex ="" - 1 ""clas"&amp;"s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airy-course airy-cursor""&gt; &lt;div tabindex = ""- 1"" class "&amp;"= ""airy-play -toggle-hint-vertical-centering-table-cell airy-vertical-centering-table-cell airy-cursor ""&gt; &lt;div tabindex ="" - 1 ""class ="" airy-play-toggle-hint-container airy-scalable- hint-container ""&gt; &lt;div tabindex ="" - 1 ""class ="" airy-play-tog"&amp;"gle-hint-dummy airy-scalable-dummy ""&gt; &lt;/ div&gt; &lt;div tabindex ="" - 1 ""class ="" airy-play -toggle airy-hint-hint-hint airy-play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ai"&amp;"ry-scalable-hint-container""&gt; &lt;div tabindex = ""- 1"" class = ""airy-replay-hint-dummy airy-scalable-dummy""&gt; &lt;/ div&gt; &lt;div tabindex = ""- 1"" class = ""airy-replay-hint airy-hint""&gt; &lt;/ div&gt; &lt;/ div&gt; &lt;/ div&gt; &lt;/ div&gt; &lt;div tabindex = ""- 1"" class = ""airy-au"&amp;"toplay-hint -stage airy-stage ""style ="" visibility: hidden; ""&gt; &lt;div tabindex ="" - 1 ""class ="" airy-autoplay-hint-vertical-centering-table-cell airy-vertical-centering-table-cell airy- cursor ""&gt; &lt;div tabindex ="" - 1 ""class ="" autoplay airy-airy-h"&amp;"int-container-scalable-hint-container ""&gt; &lt;div tabindex ="" - 1 ""class ="" airy-autoplay-hint-dummy airy- scalable-dummy ""&gt; &lt;/ div&gt; &lt;/ div&gt; &lt;/ div&gt; &lt;/ div&gt; &lt;/ div&gt; &lt;/ div&gt; &lt;input type ="" hidden ""name ="" ""value ="" https: // pictures-eu .ssl-image am"&amp;"azon.com / images / I / A10UHrxFl8S.mp4 ""Class ="" video-url ""&gt; &lt;input type ="" hidden ""name ="" ""value ="" https://images-eu.ssl-images-amazon.com/images/I/91tfJ3f3u9S.png ""class ="" video-slate-img-url ""&gt; &amp; nbsp; this watch is very good and comfor"&amp;"table to carry, the dial is very large and it is clear, beautiful learning time with hands and numbers")</f>
        <v>well &lt;div id = "video-block-RMO0IDBDN5SCH" class = "a-section-spacing-small in-spacing-top mini video-block"&gt; &lt;div tabindex = "0" class = "airy airy-svg vmin -supported airy-skin-beacon "category =" background-color: rgb (0, 0, 0); position: relative; width: 100%; height: 100%; font-size: 0px; overflow: hidden; outline: none; "&gt; &lt;div class =" airy-renderer-container "style =" position: relative; height: 100%; width: 100%; "&gt; &lt;video id =" 7 "preload =" auto "src =" https : //images-eu.ssl-images-amazon.com/images/I/A10UHrxFl8S.mp4 "style =" position: absolute; left: 0px; top: 0px; overflow: hidden; height: 1px; width: 1px; "&gt; &lt;/ video&gt; &lt;/ div&gt; &lt;div id =" airy-slate-preload "style =" background-color: rgb (0, 0, 0); background-image: url (&amp; quot; https: // pictures -eu.ssl-images-amazon.com/images/I/91tfJ3f3u9S.png&amp;quot;); background-size: contain; background-position: center center; background-repeat: no-repeat; position: absolute; top: 0px; left: 0px; visibility: visible; width: 100%; height: 100% "&gt; &lt;/ div&gt; &lt;iframe scrolling =" no "framebor 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A10UHrxFl8S.mp4 "Class =" video-url "&gt; &lt;input type =" hidden "name =" "value =" https://images-eu.ssl-images-amazon.com/images/I/91tfJ3f3u9S.png "class =" video-slate-img-url "&gt; &amp; nbsp; this watch is very good and comfortable to carry, the dial is very large and it is clear, beautiful learning time with hands and numbers</v>
      </c>
    </row>
    <row r="6910">
      <c r="A6910" s="1">
        <v>5.0</v>
      </c>
      <c r="B6910" s="1" t="s">
        <v>6810</v>
      </c>
      <c r="C6910" t="str">
        <f>IFERROR(__xludf.DUMMYFUNCTION("GOOGLETRANSLATE(B6910, ""fr"", ""en"")"),"very good very good product")</f>
        <v>very good very good product</v>
      </c>
    </row>
    <row r="6911">
      <c r="A6911" s="1">
        <v>5.0</v>
      </c>
      <c r="B6911" s="1" t="s">
        <v>6811</v>
      </c>
      <c r="C6911" t="str">
        <f>IFERROR(__xludf.DUMMYFUNCTION("GOOGLETRANSLATE(B6911, ""fr"", ""en"")"),"Philips HD4646 / 20 Kettle 1.5 L Black Great product value. I recommand it. light, only small problem, not easy to see the level. It's a small detail")</f>
        <v>Philips HD4646 / 20 Kettle 1.5 L Black Great product value. I recommand it. light, only small problem, not easy to see the level. It's a small detail</v>
      </c>
    </row>
    <row r="6912">
      <c r="A6912" s="1">
        <v>5.0</v>
      </c>
      <c r="B6912" s="1" t="s">
        <v>6812</v>
      </c>
      <c r="C6912" t="str">
        <f>IFERROR(__xludf.DUMMYFUNCTION("GOOGLETRANSLATE(B6912, ""fr"", ""en"")"),"Niquelle the top I'd recommend manific Top sest but a great watch")</f>
        <v>Niquelle the top I'd recommend manific Top sest but a great watch</v>
      </c>
    </row>
    <row r="6913">
      <c r="A6913" s="1">
        <v>5.0</v>
      </c>
      <c r="B6913" s="1" t="s">
        <v>6813</v>
      </c>
      <c r="C6913" t="str">
        <f>IFERROR(__xludf.DUMMYFUNCTION("GOOGLETRANSLATE(B6913, ""fr"", ""en"")"),"great product line with my expectations")</f>
        <v>great product line with my expectations</v>
      </c>
    </row>
    <row r="6914">
      <c r="A6914" s="1">
        <v>5.0</v>
      </c>
      <c r="B6914" s="1" t="s">
        <v>6814</v>
      </c>
      <c r="C6914" t="str">
        <f>IFERROR(__xludf.DUMMYFUNCTION("GOOGLETRANSLATE(B6914, ""fr"", ""en"")"),"Extra great product when you have animals that are nonsense. The pine scent remains long and smells all maion")</f>
        <v>Extra great product when you have animals that are nonsense. The pine scent remains long and smells all maion</v>
      </c>
    </row>
    <row r="6915">
      <c r="A6915" s="1">
        <v>5.0</v>
      </c>
      <c r="B6915" s="1" t="s">
        <v>6815</v>
      </c>
      <c r="C6915" t="str">
        <f>IFERROR(__xludf.DUMMYFUNCTION("GOOGLETRANSLATE(B6915, ""fr"", ""en"")"),"very good value Very good unit price for that price. Clear and detailed highs, much better than the original cell (entry deck of the time). FYI, fits a TSB IP-P1 platinum, but we must reverse the small colored cables red blue green and white, otherwise bi"&amp;"g buzz.")</f>
        <v>very good value Very good unit price for that price. Clear and detailed highs, much better than the original cell (entry deck of the time). FYI, fits a TSB IP-P1 platinum, but we must reverse the small colored cables red blue green and white, otherwise big buzz.</v>
      </c>
    </row>
    <row r="6916">
      <c r="A6916" s="1">
        <v>5.0</v>
      </c>
      <c r="B6916" s="1" t="s">
        <v>6816</v>
      </c>
      <c r="C6916" t="str">
        <f>IFERROR(__xludf.DUMMYFUNCTION("GOOGLETRANSLATE(B6916, ""fr"", ""en"")"),"Super Frankly they are top. I have taken navy for my 13 year old daughter. She adores. The shoes of the 36 and the 36 suits him with a margin in case she grows. It's perfect !!!!")</f>
        <v>Super Frankly they are top. I have taken navy for my 13 year old daughter. She adores. The shoes of the 36 and the 36 suits him with a margin in case she grows. It's perfect !!!!</v>
      </c>
    </row>
    <row r="6917">
      <c r="A6917" s="1">
        <v>2.0</v>
      </c>
      <c r="B6917" s="1" t="s">
        <v>6817</v>
      </c>
      <c r="C6917" t="str">
        <f>IFERROR(__xludf.DUMMYFUNCTION("GOOGLETRANSLATE(B6917, ""fr"", ""en"")"),"get used to this lining in the lining shoe maker Down in the synthetic shoe that was not in the previous model, suddenly his hot feet. unpleasant for a high price this liver so I am very disappointed .......")</f>
        <v>get used to this lining in the lining shoe maker Down in the synthetic shoe that was not in the previous model, suddenly his hot feet. unpleasant for a high price this liver so I am very disappointed .......</v>
      </c>
    </row>
    <row r="6918">
      <c r="A6918" s="1">
        <v>1.0</v>
      </c>
      <c r="B6918" s="1" t="s">
        <v>6818</v>
      </c>
      <c r="C6918" t="str">
        <f>IFERROR(__xludf.DUMMYFUNCTION("GOOGLETRANSLATE(B6918, ""fr"", ""en"")"),"Delivered late and not controlled color Comes with the delay, narrow at the waist and especially not the right color. Disappointed.")</f>
        <v>Delivered late and not controlled color Comes with the delay, narrow at the waist and especially not the right color. Disappointed.</v>
      </c>
    </row>
    <row r="6919">
      <c r="A6919" s="1">
        <v>3.0</v>
      </c>
      <c r="B6919" s="1" t="s">
        <v>6819</v>
      </c>
      <c r="C6919" t="str">
        <f>IFERROR(__xludf.DUMMYFUNCTION("GOOGLETRANSLATE(B6919, ""fr"", ""en"")"),"WELL By cons are already cracked under the sole so they will only damage a few months !!! and too late to return")</f>
        <v>WELL By cons are already cracked under the sole so they will only damage a few months !!! and too late to return</v>
      </c>
    </row>
    <row r="6920">
      <c r="A6920" s="1">
        <v>3.0</v>
      </c>
      <c r="B6920" s="1" t="s">
        <v>6820</v>
      </c>
      <c r="C6920" t="str">
        <f>IFERROR(__xludf.DUMMYFUNCTION("GOOGLETRANSLATE(B6920, ""fr"", ""en"")"),"Shirt leaf Nelson arrived on time, correct quality! Having in time ...")</f>
        <v>Shirt leaf Nelson arrived on time, correct quality! Having in time ...</v>
      </c>
    </row>
    <row r="6921">
      <c r="A6921" s="1">
        <v>4.0</v>
      </c>
      <c r="B6921" s="1" t="s">
        <v>6821</v>
      </c>
      <c r="C6921" t="str">
        <f>IFERROR(__xludf.DUMMYFUNCTION("GOOGLETRANSLATE(B6921, ""fr"", ""en"")"),"Conforms to WF-2660 For the moment I use a black cartridge, it will not work too bad, but if you normally print there are some small light gaps. Perhaps the influence of old cartridges for it was even worse. It is better than the old generic and that is w"&amp;"hy I give this note.")</f>
        <v>Conforms to WF-2660 For the moment I use a black cartridge, it will not work too bad, but if you normally print there are some small light gaps. Perhaps the influence of old cartridges for it was even worse. It is better than the old generic and that is why I give this note.</v>
      </c>
    </row>
    <row r="6922">
      <c r="A6922" s="1">
        <v>4.0</v>
      </c>
      <c r="B6922" s="1" t="s">
        <v>6822</v>
      </c>
      <c r="C6922" t="str">
        <f>IFERROR(__xludf.DUMMYFUNCTION("GOOGLETRANSLATE(B6922, ""fr"", ""en"")"),"Fine coats I just got it and really like the picture I tried on it going very well jen am very happy and very level size")</f>
        <v>Fine coats I just got it and really like the picture I tried on it going very well jen am very happy and very level size</v>
      </c>
    </row>
    <row r="6923">
      <c r="A6923" s="1">
        <v>4.0</v>
      </c>
      <c r="B6923" s="1" t="s">
        <v>6823</v>
      </c>
      <c r="C6923" t="str">
        <f>IFERROR(__xludf.DUMMYFUNCTION("GOOGLETRANSLATE(B6923, ""fr"", ""en"")"),"nickel Ok")</f>
        <v>nickel Ok</v>
      </c>
    </row>
    <row r="6924">
      <c r="A6924" s="1">
        <v>4.0</v>
      </c>
      <c r="B6924" s="1" t="s">
        <v>6824</v>
      </c>
      <c r="C6924" t="str">
        <f>IFERROR(__xludf.DUMMYFUNCTION("GOOGLETRANSLATE(B6924, ""fr"", ""en"")"),"good product good polish with a pleasant texture, color leather light enough so ... easy to use on shoes and even a jacket.")</f>
        <v>good product good polish with a pleasant texture, color leather light enough so ... easy to use on shoes and even a jacket.</v>
      </c>
    </row>
    <row r="6925">
      <c r="A6925" s="1">
        <v>5.0</v>
      </c>
      <c r="B6925" s="1" t="s">
        <v>6825</v>
      </c>
      <c r="C6925" t="str">
        <f>IFERROR(__xludf.DUMMYFUNCTION("GOOGLETRANSLATE(B6925, ""fr"", ""en"")"),"Slippers I feel like slippers! I love them ! I repeat the same when this one will be ruined.")</f>
        <v>Slippers I feel like slippers! I love them ! I repeat the same when this one will be ruined.</v>
      </c>
    </row>
    <row r="6926">
      <c r="A6926" s="1">
        <v>5.0</v>
      </c>
      <c r="B6926" s="1" t="s">
        <v>6826</v>
      </c>
      <c r="C6926" t="str">
        <f>IFERROR(__xludf.DUMMYFUNCTION("GOOGLETRANSLATE(B6926, ""fr"", ""en"")"),"Top Excellent perfect outfit and stylish for a sports bra")</f>
        <v>Top Excellent perfect outfit and stylish for a sports bra</v>
      </c>
    </row>
    <row r="6927">
      <c r="A6927" s="1">
        <v>5.0</v>
      </c>
      <c r="B6927" s="1" t="s">
        <v>6827</v>
      </c>
      <c r="C6927" t="str">
        <f>IFERROR(__xludf.DUMMYFUNCTION("GOOGLETRANSLATE(B6927, ""fr"", ""en"")"),"RAS Air travel with Ryanair, tip top level measurement, strength and closet space.")</f>
        <v>RAS Air travel with Ryanair, tip top level measurement, strength and closet space.</v>
      </c>
    </row>
    <row r="6928">
      <c r="A6928" s="1">
        <v>5.0</v>
      </c>
      <c r="B6928" s="1" t="s">
        <v>6828</v>
      </c>
      <c r="C6928" t="str">
        <f>IFERROR(__xludf.DUMMYFUNCTION("GOOGLETRANSLATE(B6928, ""fr"", ""en"")"),"Anti smell natural 👍produit Article 4 received well packaged small bags of 100g individual use Very convenient with the suspension integrate instant use A used in the car, bedroom, kitchen, fridge even shoes gentleman after a long work day 🤣🤣")</f>
        <v>Anti smell natural 👍produit Article 4 received well packaged small bags of 100g individual use Very convenient with the suspension integrate instant use A used in the car, bedroom, kitchen, fridge even shoes gentleman after a long work day 🤣🤣</v>
      </c>
    </row>
    <row r="6929">
      <c r="A6929" s="1">
        <v>5.0</v>
      </c>
      <c r="B6929" s="1" t="s">
        <v>6829</v>
      </c>
      <c r="C6929" t="str">
        <f>IFERROR(__xludf.DUMMYFUNCTION("GOOGLETRANSLATE(B6929, ""fr"", ""en"")"),"No doubt professional! I bought this wireless microphone system for karaoke my little girl who loves to sing. Until then, she used poor mivrophone and very childish. At first glance, we see that the product is of good quality and very professional because"&amp;" its manufacture is made of good materials, aluminum (aluminum) very resistant. The settings are many, but very easy to understand and useful. The sound is really good and justice to the description by the seller. &amp; Nbsp; The rest is the responsibility of"&amp;" your artistic creativity!")</f>
        <v>No doubt professional! I bought this wireless microphone system for karaoke my little girl who loves to sing. Until then, she used poor mivrophone and very childish. At first glance, we see that the product is of good quality and very professional because its manufacture is made of good materials, aluminum (aluminum) very resistant. The settings are many, but very easy to understand and useful. The sound is really good and justice to the description by the seller. &amp; Nbsp; The rest is the responsibility of your artistic creativity!</v>
      </c>
    </row>
    <row r="6930">
      <c r="A6930" s="1">
        <v>5.0</v>
      </c>
      <c r="B6930" s="1" t="s">
        <v>6830</v>
      </c>
      <c r="C6930" t="str">
        <f>IFERROR(__xludf.DUMMYFUNCTION("GOOGLETRANSLATE(B6930, ""fr"", ""en"")"),"Bracelet very nice article I recommend thank you")</f>
        <v>Bracelet very nice article I recommend thank you</v>
      </c>
    </row>
    <row r="6931">
      <c r="A6931" s="1">
        <v>5.0</v>
      </c>
      <c r="B6931" s="1" t="s">
        <v>6831</v>
      </c>
      <c r="C6931" t="str">
        <f>IFERROR(__xludf.DUMMYFUNCTION("GOOGLETRANSLATE(B6931, ""fr"", ""en"")"),"RAPORT good value for domestic use")</f>
        <v>RAPORT good value for domestic use</v>
      </c>
    </row>
    <row r="6932">
      <c r="A6932" s="1">
        <v>5.0</v>
      </c>
      <c r="B6932" s="1" t="s">
        <v>6832</v>
      </c>
      <c r="C6932" t="str">
        <f>IFERROR(__xludf.DUMMYFUNCTION("GOOGLETRANSLATE(B6932, ""fr"", ""en"")"),"Perfect! Never change a winning team at the top for years! This shoe is very comfortable. I recommend")</f>
        <v>Perfect! Never change a winning team at the top for years! This shoe is very comfortable. I recommend</v>
      </c>
    </row>
    <row r="6933">
      <c r="A6933" s="1">
        <v>5.0</v>
      </c>
      <c r="B6933" s="1" t="s">
        <v>6833</v>
      </c>
      <c r="C6933" t="str">
        <f>IFERROR(__xludf.DUMMYFUNCTION("GOOGLETRANSLATE(B6933, ""fr"", ""en"")"),"I use it every day It's been almost 1 year that I have, I bought it because I have a desk at work without windows, I was sick all the time. At first I used it there, but I was tired of the remarks of my colleagues, so I do it every morning taking my break"&amp;"fast for 20min. This winter I have hardly been sick, I have less trouble getting up in the morning I can not prove it's serious effects of the lamp, but I continue!")</f>
        <v>I use it every day It's been almost 1 year that I have, I bought it because I have a desk at work without windows, I was sick all the time. At first I used it there, but I was tired of the remarks of my colleagues, so I do it every morning taking my breakfast for 20min. This winter I have hardly been sick, I have less trouble getting up in the morning I can not prove it's serious effects of the lamp, but I continue!</v>
      </c>
    </row>
    <row r="6934">
      <c r="A6934" s="1">
        <v>5.0</v>
      </c>
      <c r="B6934" s="1" t="s">
        <v>6834</v>
      </c>
      <c r="C6934" t="str">
        <f>IFERROR(__xludf.DUMMYFUNCTION("GOOGLETRANSLATE(B6934, ""fr"", ""en"")"),"I recommend this product Very nice design and very effective I am delighted with my purchase !!!!!!")</f>
        <v>I recommend this product Very nice design and very effective I am delighted with my purchase !!!!!!</v>
      </c>
    </row>
    <row r="6935">
      <c r="A6935" s="1">
        <v>5.0</v>
      </c>
      <c r="B6935" s="1" t="s">
        <v>6835</v>
      </c>
      <c r="C6935" t="str">
        <f>IFERROR(__xludf.DUMMYFUNCTION("GOOGLETRANSLATE(B6935, ""fr"", ""en"")"),"Very good compact and good quality very good compact and good quality. It's very easy to use. I liked their usage patterns and colors of light. I use it in a room of 8 meters and it works very well with the species. He arrived on time. I recommend")</f>
        <v>Very good compact and good quality very good compact and good quality. It's very easy to use. I liked their usage patterns and colors of light. I use it in a room of 8 meters and it works very well with the species. He arrived on time. I recommend</v>
      </c>
    </row>
    <row r="6936">
      <c r="A6936" s="1">
        <v>5.0</v>
      </c>
      <c r="B6936" s="1" t="s">
        <v>6836</v>
      </c>
      <c r="C6936" t="str">
        <f>IFERROR(__xludf.DUMMYFUNCTION("GOOGLETRANSLATE(B6936, ""fr"", ""en"")"),"top top Lightweight and frankly beautiful these safety shoes have the advantage of forgetting do this. They are very light and frankly it changes the conventional models.")</f>
        <v>top top Lightweight and frankly beautiful these safety shoes have the advantage of forgetting do this. They are very light and frankly it changes the conventional models.</v>
      </c>
    </row>
    <row r="6937">
      <c r="A6937" s="1">
        <v>5.0</v>
      </c>
      <c r="B6937" s="1" t="s">
        <v>6837</v>
      </c>
      <c r="C6937" t="str">
        <f>IFERROR(__xludf.DUMMYFUNCTION("GOOGLETRANSLATE(B6937, ""fr"", ""en"")"),"A pen gadget super nice idea for DIY fathers!")</f>
        <v>A pen gadget super nice idea for DIY fathers!</v>
      </c>
    </row>
    <row r="6938">
      <c r="A6938" s="1">
        <v>5.0</v>
      </c>
      <c r="B6938" s="1" t="s">
        <v>6838</v>
      </c>
      <c r="C6938" t="str">
        <f>IFERROR(__xludf.DUMMYFUNCTION("GOOGLETRANSLATE(B6938, ""fr"", ""en"")"),"electric blanket Hi, great product, great heaters in position 3, has put half hour before going to bed. I recommend this coverage. (LED on the 3-position)")</f>
        <v>electric blanket Hi, great product, great heaters in position 3, has put half hour before going to bed. I recommend this coverage. (LED on the 3-position)</v>
      </c>
    </row>
    <row r="6939">
      <c r="A6939" s="1">
        <v>5.0</v>
      </c>
      <c r="B6939" s="1" t="s">
        <v>6839</v>
      </c>
      <c r="C6939" t="str">
        <f>IFERROR(__xludf.DUMMYFUNCTION("GOOGLETRANSLATE(B6939, ""fr"", ""en"")"),"Super great product section comes with rechargeable storage box on which there is the battery level. In the box there is also a handy storage case for storing the housing and prevent its abyss. the charging cable is also of course and change those caps to"&amp;" install when they are worn Easy to pair with my iPhone and my iPad They hold great at ear level. In general for me the earphones never held because of my ear canal I am super happy Good sound and volume management is simple left to lower right to increas"&amp;"e To stop or start the music simply pressing stop Good music starts or alternative to expensive headphones like airpods or beats")</f>
        <v>Super great product section comes with rechargeable storage box on which there is the battery level. In the box there is also a handy storage case for storing the housing and prevent its abyss. the charging cable is also of course and change those caps to install when they are worn Easy to pair with my iPhone and my iPad They hold great at ear level. In general for me the earphones never held because of my ear canal I am super happy Good sound and volume management is simple left to lower right to increase To stop or start the music simply pressing stop Good music starts or alternative to expensive headphones like airpods or beats</v>
      </c>
    </row>
    <row r="6940">
      <c r="A6940" s="1">
        <v>2.0</v>
      </c>
      <c r="B6940" s="1" t="s">
        <v>6840</v>
      </c>
      <c r="C6940" t="str">
        <f>IFERROR(__xludf.DUMMYFUNCTION("GOOGLETRANSLATE(B6940, ""fr"", ""en"")"),"This is not a coat ... Taken as a size, the Bust length is correct but the sleeves are a bit short. This is not a coat. But a jacket like a coat. Only the hood is lined polar, the rest is a simple cotton fluid jacket. Very nice to wear, but should keep ho"&amp;"t pack saw the matter. I put 2 stars, because it is well cut, pretty, but that's not what is on offer in the ad.")</f>
        <v>This is not a coat ... Taken as a size, the Bust length is correct but the sleeves are a bit short. This is not a coat. But a jacket like a coat. Only the hood is lined polar, the rest is a simple cotton fluid jacket. Very nice to wear, but should keep hot pack saw the matter. I put 2 stars, because it is well cut, pretty, but that's not what is on offer in the ad.</v>
      </c>
    </row>
    <row r="6941">
      <c r="A6941" s="1">
        <v>1.0</v>
      </c>
      <c r="B6941" s="1" t="s">
        <v>6841</v>
      </c>
      <c r="C6941" t="str">
        <f>IFERROR(__xludf.DUMMYFUNCTION("GOOGLETRANSLATE(B6941, ""fr"", ""en"")"),"This is not AKG as the photos show. The seller claims to be samsung official and there is no logo on the product. I tested the product and its quality is much lower than headphones AKG original came with my phone.")</f>
        <v>This is not AKG as the photos show. The seller claims to be samsung official and there is no logo on the product. I tested the product and its quality is much lower than headphones AKG original came with my phone.</v>
      </c>
    </row>
    <row r="6942">
      <c r="A6942" s="1">
        <v>1.0</v>
      </c>
      <c r="B6942" s="1" t="s">
        <v>6842</v>
      </c>
      <c r="C6942" t="str">
        <f>IFERROR(__xludf.DUMMYFUNCTION("GOOGLETRANSLATE(B6942, ""fr"", ""en"")"),"very poor quality of product purchased in April .3 months of normal use .8H fully décollé.je jours.semelle regret not having read the commentaires.pouvez you back the information from the manufacturer? this is not the first fois.je strongly discourages th"&amp;"is")</f>
        <v>very poor quality of product purchased in April .3 months of normal use .8H fully décollé.je jours.semelle regret not having read the commentaires.pouvez you back the information from the manufacturer? this is not the first fois.je strongly discourages this</v>
      </c>
    </row>
    <row r="6943">
      <c r="A6943" s="1">
        <v>3.0</v>
      </c>
      <c r="B6943" s="1" t="s">
        <v>6843</v>
      </c>
      <c r="C6943" t="str">
        <f>IFERROR(__xludf.DUMMYFUNCTION("GOOGLETRANSLATE(B6943, ""fr"", ""en"")"),"Reveil very nice but questionable reliability I bought this Reveil Philips Awakening light here nearly a year now. (It was a gift) As I often do, I wait several months to issue an opinion. And on this Reveil, I think I did well. I was quite surprised on t"&amp;"he day of the delivery of the receiving unprotected. (That is to say only with his box of original packaging, without overpack) The box was a little damaged. (Nice when it is a gift.) The trouble is that a month ago, the relative who has received this gif"&amp;"t from me my expressed a malfunction on the integrated music Reveil. (The few songs to wake up in the morning) I glimpse despite the guaranteed one year, it was extremely difficult to make a comeback ... And even, you must of course pay the postage . (For"&amp;" a small failure, it is not very practical) Anyway! My closest is therefore with an alarm clock with missing music in the morning to wake up. For a device sold 142 euros (price that I bought), it makes a little task. I put 3 stars because the product coul"&amp;"d have been perfect but I fear greatly that it does not last in time ... And at this price, it's not normal.")</f>
        <v>Reveil very nice but questionable reliability I bought this Reveil Philips Awakening light here nearly a year now. (It was a gift) As I often do, I wait several months to issue an opinion. And on this Reveil, I think I did well. I was quite surprised on the day of the delivery of the receiving unprotected. (That is to say only with his box of original packaging, without overpack) The box was a little damaged. (Nice when it is a gift.) The trouble is that a month ago, the relative who has received this gift from me my expressed a malfunction on the integrated music Reveil. (The few songs to wake up in the morning) I glimpse despite the guaranteed one year, it was extremely difficult to make a comeback ... And even, you must of course pay the postage . (For a small failure, it is not very practical) Anyway! My closest is therefore with an alarm clock with missing music in the morning to wake up. For a device sold 142 euros (price that I bought), it makes a little task. I put 3 stars because the product could have been perfect but I fear greatly that it does not last in time ... And at this price, it's not normal.</v>
      </c>
    </row>
    <row r="6944">
      <c r="A6944" s="1">
        <v>3.0</v>
      </c>
      <c r="B6944" s="1" t="s">
        <v>6844</v>
      </c>
      <c r="C6944" t="str">
        <f>IFERROR(__xludf.DUMMYFUNCTION("GOOGLETRANSLATE(B6944, ""fr"", ""en"")"),"Great for the price they are very beautiful")</f>
        <v>Great for the price they are very beautiful</v>
      </c>
    </row>
    <row r="6945">
      <c r="A6945" s="1">
        <v>4.0</v>
      </c>
      <c r="B6945" s="1" t="s">
        <v>6845</v>
      </c>
      <c r="C6945" t="str">
        <f>IFERROR(__xludf.DUMMYFUNCTION("GOOGLETRANSLATE(B6945, ""fr"", ""en"")"),"Dry without swag Very fast delivery, appropriate packaging. I normally shoe size 43-44, and the boot fits me perfectly 9UK. By cons, it is not very pretty, admittedly, I finally, for the price ...")</f>
        <v>Dry without swag Very fast delivery, appropriate packaging. I normally shoe size 43-44, and the boot fits me perfectly 9UK. By cons, it is not very pretty, admittedly, I finally, for the price ...</v>
      </c>
    </row>
    <row r="6946">
      <c r="A6946" s="1">
        <v>4.0</v>
      </c>
      <c r="B6946" s="1" t="s">
        <v>6846</v>
      </c>
      <c r="C6946" t="str">
        <f>IFERROR(__xludf.DUMMYFUNCTION("GOOGLETRANSLATE(B6946, ""fr"", ""en"")"),"J good value I bought it for my son and it suits him perfectly")</f>
        <v>J good value I bought it for my son and it suits him perfectly</v>
      </c>
    </row>
    <row r="6947">
      <c r="A6947" s="1">
        <v>4.0</v>
      </c>
      <c r="B6947" s="1" t="s">
        <v>6847</v>
      </c>
      <c r="C6947" t="str">
        <f>IFERROR(__xludf.DUMMYFUNCTION("GOOGLETRANSLATE(B6947, ""fr"", ""en"")"),"Solid and comfortable satisfied with my purchase. Worn every day, they are comfortable although a bit hot. For now, the plastic tip seems to hold good and if this is confirmed, it is useful because it protects leather friction when working on knees.")</f>
        <v>Solid and comfortable satisfied with my purchase. Worn every day, they are comfortable although a bit hot. For now, the plastic tip seems to hold good and if this is confirmed, it is useful because it protects leather friction when working on knees.</v>
      </c>
    </row>
    <row r="6948">
      <c r="A6948" s="1">
        <v>4.0</v>
      </c>
      <c r="B6948" s="1" t="s">
        <v>6848</v>
      </c>
      <c r="C6948" t="str">
        <f>IFERROR(__xludf.DUMMYFUNCTION("GOOGLETRANSLATE(B6948, ""fr"", ""en"")"),"A device whose tip seems a little large for a baby, but effective beyond 2 to 3 years. Presentation: 7/10 It is contained in a plastic case / cardboard and accompanying documentation and a small box 21 bits. 2 - Documentation: 8/10 A quick reading plug, m"&amp;"ade of explanatory drawings can cover the entire field of use and change batteries. Attention to what can influence the temperature measurement. So if you wear a prosthetic ear where you take the temperature, remove it a few minutes ago, as the tip of you"&amp;"r hearing aid, prevents heat from the inner ear to drain easily. If you rested your head on a pillow on the side of the ear that will be used to take the measurement, turn your head a few minutes before to restore normal temperature. Finally, if you have "&amp;"a temperature in the room of 16 °, you will not get the same extent as if you have a room that is 23 °. Indeed, room temperature cools or heats the body. 3 - Use: 9/10 tip gets into the ear, and there it is hard to think of introducing it into an ear of a"&amp;" child up to 3 or 4 years. Personally, it seems to me too much. Do not forget to change the mouthpiece for reasons of hygiene or efficiency if this tip was used because the thermometer was preheated to 34 ° for the measure in the ear is the most accurate."&amp;" If the tip was cold, the temperature is more bass. Conversely, this preheating is also involved on the quality of the mouthpiece. Can be changed without having to touch it (an ejection button is provided and the new one can be clipped by lightly pressing"&amp;" the thermometer when introducing the nozzle into the new cap). The decision is easy: 1 to 2 seconds maximum. Beeps tell you if the temperature is normal (1 beep), beyond 38 ° to 39 °, 2 beeps (high) and above 39 °: high temperature (4 bits). 4 - Accuracy"&amp;": 9/10 If you follow the instructions, if you consider all parameters before taking your temperature, the device is accurate. You can monitor in parallel, the first time with a traditional rectal thermometer, that to reassure you. 5 - price / quality rati"&amp;"o: 7/10 The price of this model is correct. Replacement tips are not given, almost 10 cent piece. Global Average rating: 8/10: a good useful product but I prefer the 6020 model for a price of 4 to 5 euros higher.")</f>
        <v>A device whose tip seems a little large for a baby, but effective beyond 2 to 3 years. Presentation: 7/10 It is contained in a plastic case / cardboard and accompanying documentation and a small box 21 bits. 2 - Documentation: 8/10 A quick reading plug, made of explanatory drawings can cover the entire field of use and change batteries. Attention to what can influence the temperature measurement. So if you wear a prosthetic ear where you take the temperature, remove it a few minutes ago, as the tip of your hearing aid, prevents heat from the inner ear to drain easily. If you rested your head on a pillow on the side of the ear that will be used to take the measurement, turn your head a few minutes before to restore normal temperature. Finally, if you have a temperature in the room of 16 °, you will not get the same extent as if you have a room that is 23 °. Indeed, room temperature cools or heats the body. 3 - Use: 9/10 tip gets into the ear, and there it is hard to think of introducing it into an ear of a child up to 3 or 4 years. Personally, it seems to me too much. Do not forget to change the mouthpiece for reasons of hygiene or efficiency if this tip was used because the thermometer was preheated to 34 ° for the measure in the ear is the most accurate. If the tip was cold, the temperature is more bass. Conversely, this preheating is also involved on the quality of the mouthpiece. Can be changed without having to touch it (an ejection button is provided and the new one can be clipped by lightly pressing the thermometer when introducing the nozzle into the new cap). The decision is easy: 1 to 2 seconds maximum. Beeps tell you if the temperature is normal (1 beep), beyond 38 ° to 39 °, 2 beeps (high) and above 39 °: high temperature (4 bits). 4 - Accuracy: 9/10 If you follow the instructions, if you consider all parameters before taking your temperature, the device is accurate. You can monitor in parallel, the first time with a traditional rectal thermometer, that to reassure you. 5 - price / quality ratio: 7/10 The price of this model is correct. Replacement tips are not given, almost 10 cent piece. Global Average rating: 8/10: a good useful product but I prefer the 6020 model for a price of 4 to 5 euros higher.</v>
      </c>
    </row>
    <row r="6949">
      <c r="A6949" s="1">
        <v>5.0</v>
      </c>
      <c r="B6949" s="1" t="s">
        <v>6849</v>
      </c>
      <c r="C6949" t="str">
        <f>IFERROR(__xludf.DUMMYFUNCTION("GOOGLETRANSLATE(B6949, ""fr"", ""en"")"),"Nice for winter evenings. If like me, you have a partner who is chilly and you have big pond pajamas, this coverage is for you! ;) Seriously coverage is very soft and it's nice to have the evening watching TV. Little more interesting is that you can easil"&amp;"y detach the power cable and put the washing machine.")</f>
        <v>Nice for winter evenings. If like me, you have a partner who is chilly and you have big pond pajamas, this coverage is for you! ;) Seriously coverage is very soft and it's nice to have the evening watching TV. Little more interesting is that you can easily detach the power cable and put the washing machine.</v>
      </c>
    </row>
    <row r="6950">
      <c r="A6950" s="1">
        <v>5.0</v>
      </c>
      <c r="B6950" s="1" t="s">
        <v>6850</v>
      </c>
      <c r="C6950" t="str">
        <f>IFERROR(__xludf.DUMMYFUNCTION("GOOGLETRANSLATE(B6950, ""fr"", ""en"")"),"Excellent hardware. Excellent equipment, meeting my expectations. Thank you for Rodes and Amazon. Cordially.")</f>
        <v>Excellent hardware. Excellent equipment, meeting my expectations. Thank you for Rodes and Amazon. Cordially.</v>
      </c>
    </row>
    <row r="6951">
      <c r="A6951" s="1">
        <v>5.0</v>
      </c>
      <c r="B6951" s="1" t="s">
        <v>6851</v>
      </c>
      <c r="C6951" t="str">
        <f>IFERROR(__xludf.DUMMYFUNCTION("GOOGLETRANSLATE(B6951, ""fr"", ""en"")"),"very comfortable frid winter")</f>
        <v>very comfortable frid winter</v>
      </c>
    </row>
    <row r="6952">
      <c r="A6952" s="1">
        <v>5.0</v>
      </c>
      <c r="B6952" s="1" t="s">
        <v>6852</v>
      </c>
      <c r="C6952" t="str">
        <f>IFERROR(__xludf.DUMMYFUNCTION("GOOGLETRANSLATE(B6952, ""fr"", ""en"")"),"What awesome helmet SON! Excellent article Officer, he held long and the music cuts us all in the subway. I highly recommend quality / price")</f>
        <v>What awesome helmet SON! Excellent article Officer, he held long and the music cuts us all in the subway. I highly recommend quality / price</v>
      </c>
    </row>
    <row r="6953">
      <c r="A6953" s="1">
        <v>5.0</v>
      </c>
      <c r="B6953" s="1" t="s">
        <v>6853</v>
      </c>
      <c r="C6953" t="str">
        <f>IFERROR(__xludf.DUMMYFUNCTION("GOOGLETRANSLATE(B6953, ""fr"", ""en"")"),"Compatible cartridges cartridges are very cheap unlike the original cartridges and they work great. I recommend 100%.")</f>
        <v>Compatible cartridges cartridges are very cheap unlike the original cartridges and they work great. I recommend 100%.</v>
      </c>
    </row>
    <row r="6954">
      <c r="A6954" s="1">
        <v>5.0</v>
      </c>
      <c r="B6954" s="1" t="s">
        <v>6854</v>
      </c>
      <c r="C6954" t="str">
        <f>IFERROR(__xludf.DUMMYFUNCTION("GOOGLETRANSLATE(B6954, ""fr"", ""en"")"),"Parfais! Quite worried at first I size L size is as expected very good material I recommend Feel free")</f>
        <v>Parfais! Quite worried at first I size L size is as expected very good material I recommend Feel free</v>
      </c>
    </row>
    <row r="6955">
      <c r="A6955" s="1">
        <v>5.0</v>
      </c>
      <c r="B6955" s="1" t="s">
        <v>6855</v>
      </c>
      <c r="C6955" t="str">
        <f>IFERROR(__xludf.DUMMYFUNCTION("GOOGLETRANSLATE(B6955, ""fr"", ""en"")"),"very good quality after 6 months of daily use, the product is nickel !!! My son has the backpack of the same brand and this is the first time that the life of his school bag exceeds 2 years. So they are very good products with a quality / excellent price")</f>
        <v>very good quality after 6 months of daily use, the product is nickel !!! My son has the backpack of the same brand and this is the first time that the life of his school bag exceeds 2 years. So they are very good products with a quality / excellent price</v>
      </c>
    </row>
    <row r="6956">
      <c r="A6956" s="1">
        <v>5.0</v>
      </c>
      <c r="B6956" s="1" t="s">
        <v>6856</v>
      </c>
      <c r="C6956" t="str">
        <f>IFERROR(__xludf.DUMMYFUNCTION("GOOGLETRANSLATE(B6956, ""fr"", ""en"")"),"Super adhesive! Super adhesive! Used to stick blinds guides on PVC frames, collage is perfect. It is advisable to follow the instructions for use and for better bonding, wait 24 hours before commissioning. Clean bonding surfaces with alcohol to burn or ac"&amp;"etone (moderately on PVC), especially not for White spirit. Recommended product.")</f>
        <v>Super adhesive! Super adhesive! Used to stick blinds guides on PVC frames, collage is perfect. It is advisable to follow the instructions for use and for better bonding, wait 24 hours before commissioning. Clean bonding surfaces with alcohol to burn or acetone (moderately on PVC), especially not for White spirit. Recommended product.</v>
      </c>
    </row>
    <row r="6957">
      <c r="A6957" s="1">
        <v>5.0</v>
      </c>
      <c r="B6957" s="1" t="s">
        <v>6857</v>
      </c>
      <c r="C6957" t="str">
        <f>IFERROR(__xludf.DUMMYFUNCTION("GOOGLETRANSLATE(B6957, ""fr"", ""en"")"),"Very good shoes! Honestly I'm so happy! Since the time I wanted and I am not at all disappointed! I was afraid that either false or imitation but not all and all for an unbeatable price! Do not hesitate !")</f>
        <v>Very good shoes! Honestly I'm so happy! Since the time I wanted and I am not at all disappointed! I was afraid that either false or imitation but not all and all for an unbeatable price! Do not hesitate !</v>
      </c>
    </row>
    <row r="6958">
      <c r="A6958" s="1">
        <v>5.0</v>
      </c>
      <c r="B6958" s="1" t="s">
        <v>6858</v>
      </c>
      <c r="C6958" t="str">
        <f>IFERROR(__xludf.DUMMYFUNCTION("GOOGLETRANSLATE(B6958, ""fr"", ""en"")"),"Why pay more !! A nice watch very good quality for a cheap price regarder..De ..")</f>
        <v>Why pay more !! A nice watch very good quality for a cheap price regarder..De ..</v>
      </c>
    </row>
    <row r="6959">
      <c r="A6959" s="1">
        <v>5.0</v>
      </c>
      <c r="B6959" s="1" t="s">
        <v>6859</v>
      </c>
      <c r="C6959" t="str">
        <f>IFERROR(__xludf.DUMMYFUNCTION("GOOGLETRANSLATE(B6959, ""fr"", ""en"")"),"Very good product My son suffers from a physical handicap that made the transition to hard toilet. Since we found this is much easier. And it is hard to find on the market, so I am delighted to be able to order on Amazon")</f>
        <v>Very good product My son suffers from a physical handicap that made the transition to hard toilet. Since we found this is much easier. And it is hard to find on the market, so I am delighted to be able to order on Amazon</v>
      </c>
    </row>
    <row r="6960">
      <c r="A6960" s="1">
        <v>5.0</v>
      </c>
      <c r="B6960" s="1" t="s">
        <v>6860</v>
      </c>
      <c r="C6960" t="str">
        <f>IFERROR(__xludf.DUMMYFUNCTION("GOOGLETRANSLATE(B6960, ""fr"", ""en"")"),"comfortable Great for relaxing the eyes when they are tired, it can be folded so easy to put in the fridge.")</f>
        <v>comfortable Great for relaxing the eyes when they are tired, it can be folded so easy to put in the fridge.</v>
      </c>
    </row>
    <row r="6961">
      <c r="A6961" s="1">
        <v>5.0</v>
      </c>
      <c r="B6961" s="1" t="s">
        <v>6861</v>
      </c>
      <c r="C6961" t="str">
        <f>IFERROR(__xludf.DUMMYFUNCTION("GOOGLETRANSLATE(B6961, ""fr"", ""en"")"),"did the job. I bought this speaker that was not working. The customer service was very responsive and sent me another in exchange. Thanks to them. The enclosure is large enough and the sound is quite powerful and clear. The range of light the pilot light "&amp;"is wide and soft enough not to get tired. The gadget light rhythm of the music is nice enough for a child. I recommend buying a phone charger because the type for use as mine (musical nightlight for a child at night and listening to music on the day) it d"&amp;"ischarges relatively quickly (about two days or less). The only downside is actually as I have seen in other reviews, a slight hiss when it is dormant mode only. However this is not unbearable. I have not tested the Bluetooth feature. I'm happy with this "&amp;"speaker.")</f>
        <v>did the job. I bought this speaker that was not working. The customer service was very responsive and sent me another in exchange. Thanks to them. The enclosure is large enough and the sound is quite powerful and clear. The range of light the pilot light is wide and soft enough not to get tired. The gadget light rhythm of the music is nice enough for a child. I recommend buying a phone charger because the type for use as mine (musical nightlight for a child at night and listening to music on the day) it discharges relatively quickly (about two days or less). The only downside is actually as I have seen in other reviews, a slight hiss when it is dormant mode only. However this is not unbearable. I have not tested the Bluetooth feature. I'm happy with this speaker.</v>
      </c>
    </row>
    <row r="6962">
      <c r="A6962" s="1">
        <v>5.0</v>
      </c>
      <c r="B6962" s="1" t="s">
        <v>6862</v>
      </c>
      <c r="C6962" t="str">
        <f>IFERROR(__xludf.DUMMYFUNCTION("GOOGLETRANSLATE(B6962, ""fr"", ""en"")"),"Very happy with my purchase Wonderful! Confirms my expectations ... very classy and very convenient ... I recommend this purchase ample. I use it for talks")</f>
        <v>Very happy with my purchase Wonderful! Confirms my expectations ... very classy and very convenient ... I recommend this purchase ample. I use it for talks</v>
      </c>
    </row>
    <row r="6963">
      <c r="A6963" s="1">
        <v>5.0</v>
      </c>
      <c r="B6963" s="1" t="s">
        <v>6863</v>
      </c>
      <c r="C6963" t="str">
        <f>IFERROR(__xludf.DUMMYFUNCTION("GOOGLETRANSLATE(B6963, ""fr"", ""en"")"),"Although for work or out for this man bag is great, upper body works well, give a very gentlemanly feeling, the interior is also quite large, many small objects can accommodate, color is also very popular, as whether for work or out is very appropriate, h"&amp;"igh-quality product")</f>
        <v>Although for work or out for this man bag is great, upper body works well, give a very gentlemanly feeling, the interior is also quite large, many small objects can accommodate, color is also very popular, as whether for work or out is very appropriate, high-quality product</v>
      </c>
    </row>
    <row r="6964">
      <c r="A6964" s="1">
        <v>2.0</v>
      </c>
      <c r="B6964" s="1" t="s">
        <v>6864</v>
      </c>
      <c r="C6964" t="str">
        <f>IFERROR(__xludf.DUMMYFUNCTION("GOOGLETRANSLATE(B6964, ""fr"", ""en"")"),"disappointing sounds that this cutting proceeds received in due time, great my ears of men fleet, I have to try twice and both times the sounds that cut (though the phone was in my shorts pocket) so I jardinais no Recousse (I was sitting on the ground) ex"&amp;"tremely disappointed by the product if this sounds without moving the cup current c is worse, the next I would put the price for not having a useless product for sports")</f>
        <v>disappointing sounds that this cutting proceeds received in due time, great my ears of men fleet, I have to try twice and both times the sounds that cut (though the phone was in my shorts pocket) so I jardinais no Recousse (I was sitting on the ground) extremely disappointed by the product if this sounds without moving the cup current c is worse, the next I would put the price for not having a useless product for sports</v>
      </c>
    </row>
    <row r="6965">
      <c r="A6965" s="1">
        <v>1.0</v>
      </c>
      <c r="B6965" s="1" t="s">
        <v>6865</v>
      </c>
      <c r="C6965" t="str">
        <f>IFERROR(__xludf.DUMMYFUNCTION("GOOGLETRANSLATE(B6965, ""fr"", ""en"")"),"Spend your way Do not do at all, it looks like a toy as it appears to be cheap plastic. The bottles are overheated, at least for breast milk, I do not know what happens with powdered milk. The small house pots, it's worse, it was stopped before it burns b"&amp;"ut it may be the small industrial jars, I have not wanted to test, I stopped expenses. As much put hot water in a jar with a bottle in and use the microwave for small pots.")</f>
        <v>Spend your way Do not do at all, it looks like a toy as it appears to be cheap plastic. The bottles are overheated, at least for breast milk, I do not know what happens with powdered milk. The small house pots, it's worse, it was stopped before it burns but it may be the small industrial jars, I have not wanted to test, I stopped expenses. As much put hot water in a jar with a bottle in and use the microwave for small pots.</v>
      </c>
    </row>
    <row r="6966">
      <c r="A6966" s="1">
        <v>1.0</v>
      </c>
      <c r="B6966" s="1" t="s">
        <v>6866</v>
      </c>
      <c r="C6966" t="str">
        <f>IFERROR(__xludf.DUMMYFUNCTION("GOOGLETRANSLATE(B6966, ""fr"", ""en"")"),"Style very well, solidity review !! The style is very modern and despite its sporty appearance, it can take anywhere. Alas, the canvas is a real dustpan and most serious is that the internal seams do not take! This photo after three months of use! Unaccep"&amp;"table. How to get service?")</f>
        <v>Style very well, solidity review !! The style is very modern and despite its sporty appearance, it can take anywhere. Alas, the canvas is a real dustpan and most serious is that the internal seams do not take! This photo after three months of use! Unacceptable. How to get service?</v>
      </c>
    </row>
    <row r="6967">
      <c r="A6967" s="1">
        <v>3.0</v>
      </c>
      <c r="B6967" s="1" t="s">
        <v>6867</v>
      </c>
      <c r="C6967" t="str">
        <f>IFERROR(__xludf.DUMMYFUNCTION("GOOGLETRANSLATE(B6967, ""fr"", ""en"")"),"This is way above the a little tight")</f>
        <v>This is way above the a little tight</v>
      </c>
    </row>
    <row r="6968">
      <c r="A6968" s="1">
        <v>4.0</v>
      </c>
      <c r="B6968" s="1" t="s">
        <v>6868</v>
      </c>
      <c r="C6968" t="str">
        <f>IFERROR(__xludf.DUMMYFUNCTION("GOOGLETRANSLATE(B6968, ""fr"", ""en"")"),"super good basketball for now nothing to say we'll see in time")</f>
        <v>super good basketball for now nothing to say we'll see in time</v>
      </c>
    </row>
    <row r="6969">
      <c r="A6969" s="1">
        <v>4.0</v>
      </c>
      <c r="B6969" s="1" t="s">
        <v>6869</v>
      </c>
      <c r="C6969" t="str">
        <f>IFERROR(__xludf.DUMMYFUNCTION("GOOGLETRANSLATE(B6969, ""fr"", ""en"")"),"The practice allows large tray ask stably containers. the small problem: it would provide the reference weight to calibrate the balance.")</f>
        <v>The practice allows large tray ask stably containers. the small problem: it would provide the reference weight to calibrate the balance.</v>
      </c>
    </row>
    <row r="6970">
      <c r="A6970" s="1">
        <v>4.0</v>
      </c>
      <c r="B6970" s="1" t="s">
        <v>6870</v>
      </c>
      <c r="C6970" t="str">
        <f>IFERROR(__xludf.DUMMYFUNCTION("GOOGLETRANSLATE(B6970, ""fr"", ""en"")"),"Article Dr Martens embroidered image similar and very well made with quality finishes. As for me, as they are new, I have a seam on top of the left foot bothers me a bit and that's why I took a star.")</f>
        <v>Article Dr Martens embroidered image similar and very well made with quality finishes. As for me, as they are new, I have a seam on top of the left foot bothers me a bit and that's why I took a star.</v>
      </c>
    </row>
    <row r="6971">
      <c r="A6971" s="1">
        <v>4.0</v>
      </c>
      <c r="B6971" s="1" t="s">
        <v>6871</v>
      </c>
      <c r="C6971" t="str">
        <f>IFERROR(__xludf.DUMMYFUNCTION("GOOGLETRANSLATE(B6971, ""fr"", ""en"")"),"good quality cable .... good quality cable I blame him rigidity as plugged into a mobile instrument such as a guitar, is not comfortable. He tends to curl. But may well agree on a fixed gear.")</f>
        <v>good quality cable .... good quality cable I blame him rigidity as plugged into a mobile instrument such as a guitar, is not comfortable. He tends to curl. But may well agree on a fixed gear.</v>
      </c>
    </row>
    <row r="6972">
      <c r="A6972" s="1">
        <v>5.0</v>
      </c>
      <c r="B6972" s="1" t="s">
        <v>6872</v>
      </c>
      <c r="C6972" t="str">
        <f>IFERROR(__xludf.DUMMYFUNCTION("GOOGLETRANSLATE(B6972, ""fr"", ""en"")"),"Good A large opening. The form should")</f>
        <v>Good A large opening. The form should</v>
      </c>
    </row>
    <row r="6973">
      <c r="A6973" s="1">
        <v>5.0</v>
      </c>
      <c r="B6973" s="1" t="s">
        <v>6873</v>
      </c>
      <c r="C6973" t="str">
        <f>IFERROR(__xludf.DUMMYFUNCTION("GOOGLETRANSLATE(B6973, ""fr"", ""en"")"),"Brilliant Simplicity and so comfy. I love and I will shortly be recommended in other colors")</f>
        <v>Brilliant Simplicity and so comfy. I love and I will shortly be recommended in other colors</v>
      </c>
    </row>
    <row r="6974">
      <c r="A6974" s="1">
        <v>5.0</v>
      </c>
      <c r="B6974" s="1" t="s">
        <v>6874</v>
      </c>
      <c r="C6974" t="str">
        <f>IFERROR(__xludf.DUMMYFUNCTION("GOOGLETRANSLATE(B6974, ""fr"", ""en"")"),"Good product correct size, quality Levi's")</f>
        <v>Good product correct size, quality Levi's</v>
      </c>
    </row>
    <row r="6975">
      <c r="A6975" s="1">
        <v>5.0</v>
      </c>
      <c r="B6975" s="1" t="s">
        <v>6875</v>
      </c>
      <c r="C6975" t="str">
        <f>IFERROR(__xludf.DUMMYFUNCTION("GOOGLETRANSLATE(B6975, ""fr"", ""en"")"),"effective not jam if one complies with the rules (to put twice more paper than what is indicated) product really small, practical and aesthetic mounts and moved more easily than bin large enough, although I would have liked a little more room to be able t"&amp;"o ""cram"" manually chips in the trash (easy to halve the waste volume by compressing some)")</f>
        <v>effective not jam if one complies with the rules (to put twice more paper than what is indicated) product really small, practical and aesthetic mounts and moved more easily than bin large enough, although I would have liked a little more room to be able to "cram" manually chips in the trash (easy to halve the waste volume by compressing some)</v>
      </c>
    </row>
    <row r="6976">
      <c r="A6976" s="1">
        <v>5.0</v>
      </c>
      <c r="B6976" s="1" t="s">
        <v>6876</v>
      </c>
      <c r="C6976" t="str">
        <f>IFERROR(__xludf.DUMMYFUNCTION("GOOGLETRANSLATE(B6976, ""fr"", ""en"")"),"Super Book Book great for training to read without putting its troubled child")</f>
        <v>Super Book Book great for training to read without putting its troubled child</v>
      </c>
    </row>
    <row r="6977">
      <c r="A6977" s="1">
        <v>5.0</v>
      </c>
      <c r="B6977" s="1" t="s">
        <v>6877</v>
      </c>
      <c r="C6977" t="str">
        <f>IFERROR(__xludf.DUMMYFUNCTION("GOOGLETRANSLATE(B6977, ""fr"", ""en"")"),"Good cut and comfortable! This Levi's 511 is super comfortable, the cut and color are very classy, ​​just like on the photo and all for a price quite reasonable. Very good purchase that I recommend without problem.")</f>
        <v>Good cut and comfortable! This Levi's 511 is super comfortable, the cut and color are very classy, ​​just like on the photo and all for a price quite reasonable. Very good purchase that I recommend without problem.</v>
      </c>
    </row>
    <row r="6978">
      <c r="A6978" s="1">
        <v>5.0</v>
      </c>
      <c r="B6978" s="1" t="s">
        <v>6878</v>
      </c>
      <c r="C6978" t="str">
        <f>IFERROR(__xludf.DUMMYFUNCTION("GOOGLETRANSLATE(B6978, ""fr"", ""en"")"),"DIESEL WATCH IT IS GORGEOUS !! NOTHING TO SAY, I AM VERY HAPPY MY AMAZON shopping. I RECOMMEND THIS WATCH, THE PRICE WAS VERY AFFORDABLE.")</f>
        <v>DIESEL WATCH IT IS GORGEOUS !! NOTHING TO SAY, I AM VERY HAPPY MY AMAZON shopping. I RECOMMEND THIS WATCH, THE PRICE WAS VERY AFFORDABLE.</v>
      </c>
    </row>
    <row r="6979">
      <c r="A6979" s="1">
        <v>5.0</v>
      </c>
      <c r="B6979" s="1" t="s">
        <v>6879</v>
      </c>
      <c r="C6979" t="str">
        <f>IFERROR(__xludf.DUMMYFUNCTION("GOOGLETRANSLATE(B6979, ""fr"", ""en"")"),"Light compression ideal to go running. Simple and effective, I use it as first technical layer under a shirt or jacket windbreaker to go running. The compression is felt but not excessive, freedom of movement is really preserved. In short, you feel suppor"&amp;"ted but not embarrassed, and sweat is effectively removed.")</f>
        <v>Light compression ideal to go running. Simple and effective, I use it as first technical layer under a shirt or jacket windbreaker to go running. The compression is felt but not excessive, freedom of movement is really preserved. In short, you feel supported but not embarrassed, and sweat is effectively removed.</v>
      </c>
    </row>
    <row r="6980">
      <c r="A6980" s="1">
        <v>5.0</v>
      </c>
      <c r="B6980" s="1" t="s">
        <v>6880</v>
      </c>
      <c r="C6980" t="str">
        <f>IFERROR(__xludf.DUMMYFUNCTION("GOOGLETRANSLATE(B6980, ""fr"", ""en"")"),"Perfect Very good quality, size a little big my daughter loves them, comfortable")</f>
        <v>Perfect Very good quality, size a little big my daughter loves them, comfortable</v>
      </c>
    </row>
    <row r="6981">
      <c r="A6981" s="1">
        <v>5.0</v>
      </c>
      <c r="B6981" s="1" t="s">
        <v>6881</v>
      </c>
      <c r="C6981" t="str">
        <f>IFERROR(__xludf.DUMMYFUNCTION("GOOGLETRANSLATE(B6981, ""fr"", ""en"")"),"Strength Nice finish and very robust value for money ..")</f>
        <v>Strength Nice finish and very robust value for money ..</v>
      </c>
    </row>
    <row r="6982">
      <c r="A6982" s="1">
        <v>5.0</v>
      </c>
      <c r="B6982" s="1" t="s">
        <v>6882</v>
      </c>
      <c r="C6982" t="str">
        <f>IFERROR(__xludf.DUMMYFUNCTION("GOOGLETRANSLATE(B6982, ""fr"", ""en"")"),"Good headphones Good helmet, good microphone, it gives a solid appearance even though I think it is very fragile when transporting Very good value for money")</f>
        <v>Good headphones Good helmet, good microphone, it gives a solid appearance even though I think it is very fragile when transporting Very good value for money</v>
      </c>
    </row>
    <row r="6983">
      <c r="A6983" s="1">
        <v>5.0</v>
      </c>
      <c r="B6983" s="1" t="s">
        <v>1261</v>
      </c>
      <c r="C6983" t="str">
        <f>IFERROR(__xludf.DUMMYFUNCTION("GOOGLETRANSLATE(B6983, ""fr"", ""en"")"),"good good")</f>
        <v>good good</v>
      </c>
    </row>
    <row r="6984">
      <c r="A6984" s="1">
        <v>5.0</v>
      </c>
      <c r="B6984" s="1" t="s">
        <v>6883</v>
      </c>
      <c r="C6984" t="str">
        <f>IFERROR(__xludf.DUMMYFUNCTION("GOOGLETRANSLATE(B6984, ""fr"", ""en"")"),"Satisfied Very nice vintage watch that fits very well to my wrist! I recommend very fast delivery received over 2 days. Really not dessu this purchase")</f>
        <v>Satisfied Very nice vintage watch that fits very well to my wrist! I recommend very fast delivery received over 2 days. Really not dessu this purchase</v>
      </c>
    </row>
    <row r="6985">
      <c r="A6985" s="1">
        <v>5.0</v>
      </c>
      <c r="B6985" s="1" t="s">
        <v>6884</v>
      </c>
      <c r="C6985" t="str">
        <f>IFERROR(__xludf.DUMMYFUNCTION("GOOGLETRANSLATE(B6985, ""fr"", ""en"")"),"Perfect little printer! I bought this little portable printer for Polaroid style photographs (for the size). I found that taking such a big machine for a photo or two in the evening was binding. Now I take photos with my phone and then print them later. M"&amp;"uch easier! And even when I take him with me mostly much smaller that I can select the picture to print for maximum rendering! In addition to the price of the photo to the unit twice cheaper than a classic Polaroid. As for the rendering of the image is no"&amp;"t found that aged effect like a Polaroid. However the impression is really correct! See the attached photo, at night, in the day and under artificial light Reef aquarium (photos still hard to take for rendering top). I am very pleased with this purchase!")</f>
        <v>Perfect little printer! I bought this little portable printer for Polaroid style photographs (for the size). I found that taking such a big machine for a photo or two in the evening was binding. Now I take photos with my phone and then print them later. Much easier! And even when I take him with me mostly much smaller that I can select the picture to print for maximum rendering! In addition to the price of the photo to the unit twice cheaper than a classic Polaroid. As for the rendering of the image is not found that aged effect like a Polaroid. However the impression is really correct! See the attached photo, at night, in the day and under artificial light Reef aquarium (photos still hard to take for rendering top). I am very pleased with this purchase!</v>
      </c>
    </row>
    <row r="6986">
      <c r="A6986" s="1">
        <v>5.0</v>
      </c>
      <c r="B6986" s="1" t="s">
        <v>6885</v>
      </c>
      <c r="C6986" t="str">
        <f>IFERROR(__xludf.DUMMYFUNCTION("GOOGLETRANSLATE(B6986, ""fr"", ""en"")"),"Top Do the job")</f>
        <v>Top Do the job</v>
      </c>
    </row>
    <row r="6987">
      <c r="A6987" s="1">
        <v>2.0</v>
      </c>
      <c r="B6987" s="1" t="s">
        <v>6886</v>
      </c>
      <c r="C6987" t="str">
        <f>IFERROR(__xludf.DUMMYFUNCTION("GOOGLETRANSLATE(B6987, ""fr"", ""en"")"),"Bib mam Unhappy with the package containing not as expected 2 bib 130 and 2 160 160 but 4, after comparison had been chosen for this batch 2 of each. Otherwise everything else is good.")</f>
        <v>Bib mam Unhappy with the package containing not as expected 2 bib 130 and 2 160 160 but 4, after comparison had been chosen for this batch 2 of each. Otherwise everything else is good.</v>
      </c>
    </row>
    <row r="6988">
      <c r="A6988" s="1">
        <v>1.0</v>
      </c>
      <c r="B6988" s="1" t="s">
        <v>6887</v>
      </c>
      <c r="C6988" t="str">
        <f>IFERROR(__xludf.DUMMYFUNCTION("GOOGLETRANSLATE(B6988, ""fr"", ""en"")"),"Really Beautiful little bag the only problem is too small")</f>
        <v>Really Beautiful little bag the only problem is too small</v>
      </c>
    </row>
    <row r="6989">
      <c r="A6989" s="1">
        <v>3.0</v>
      </c>
      <c r="B6989" s="1" t="s">
        <v>6888</v>
      </c>
      <c r="C6989" t="str">
        <f>IFERROR(__xludf.DUMMYFUNCTION("GOOGLETRANSLATE(B6989, ""fr"", ""en"")"),"The packaging is not bad Trainers security received a few days ago and: too beautiful, but especially comfortable for direct assay, eager to work with because it will change the big shoes of heavy and uncomfortable securities. Breakfast + a pair of socks "&amp;"delivered with.")</f>
        <v>The packaging is not bad Trainers security received a few days ago and: too beautiful, but especially comfortable for direct assay, eager to work with because it will change the big shoes of heavy and uncomfortable securities. Breakfast + a pair of socks delivered with.</v>
      </c>
    </row>
    <row r="6990">
      <c r="A6990" s="1">
        <v>3.0</v>
      </c>
      <c r="B6990" s="1" t="s">
        <v>6889</v>
      </c>
      <c r="C6990" t="str">
        <f>IFERROR(__xludf.DUMMYFUNCTION("GOOGLETRANSLATE(B6990, ""fr"", ""en"")"),"Good material too small, nice color and pattern, but as a size M instead of an L. I am disappointed because I have to return it")</f>
        <v>Good material too small, nice color and pattern, but as a size M instead of an L. I am disappointed because I have to return it</v>
      </c>
    </row>
    <row r="6991">
      <c r="A6991" s="1">
        <v>4.0</v>
      </c>
      <c r="B6991" s="1" t="s">
        <v>6890</v>
      </c>
      <c r="C6991" t="str">
        <f>IFERROR(__xludf.DUMMYFUNCTION("GOOGLETRANSLATE(B6991, ""fr"", ""en"")"),"product conforming product according to the description, no complaints. Do not expect the quality of a real compressor, such as Under Armor product but very good for its price.")</f>
        <v>product conforming product according to the description, no complaints. Do not expect the quality of a real compressor, such as Under Armor product but very good for its price.</v>
      </c>
    </row>
    <row r="6992">
      <c r="A6992" s="1">
        <v>4.0</v>
      </c>
      <c r="B6992" s="1" t="s">
        <v>6891</v>
      </c>
      <c r="C6992" t="str">
        <f>IFERROR(__xludf.DUMMYFUNCTION("GOOGLETRANSLATE(B6992, ""fr"", ""en"")"),"Good wipes ass! Product conforms to the announcement. The size is perfect. Very good quality. I tested several brands and this one is among the best. If we do not use it regularly, tends to dry: So keep away in a closed box. I recommend.")</f>
        <v>Good wipes ass! Product conforms to the announcement. The size is perfect. Very good quality. I tested several brands and this one is among the best. If we do not use it regularly, tends to dry: So keep away in a closed box. I recommend.</v>
      </c>
    </row>
    <row r="6993">
      <c r="A6993" s="1">
        <v>4.0</v>
      </c>
      <c r="B6993" s="1" t="s">
        <v>6892</v>
      </c>
      <c r="C6993" t="str">
        <f>IFERROR(__xludf.DUMMYFUNCTION("GOOGLETRANSLATE(B6993, ""fr"", ""en"")"),"Speed ​​The price of delivery is high.")</f>
        <v>Speed ​​The price of delivery is high.</v>
      </c>
    </row>
    <row r="6994">
      <c r="A6994" s="1">
        <v>4.0</v>
      </c>
      <c r="B6994" s="1" t="s">
        <v>6893</v>
      </c>
      <c r="C6994" t="str">
        <f>IFERROR(__xludf.DUMMYFUNCTION("GOOGLETRANSLATE(B6994, ""fr"", ""en"")"),"Effective pilot Wake to top 👌🏼")</f>
        <v>Effective pilot Wake to top 👌🏼</v>
      </c>
    </row>
    <row r="6995">
      <c r="A6995" s="1">
        <v>4.0</v>
      </c>
      <c r="B6995" s="1" t="s">
        <v>6894</v>
      </c>
      <c r="C6995" t="str">
        <f>IFERROR(__xludf.DUMMYFUNCTION("GOOGLETRANSLATE(B6995, ""fr"", ""en"")"),"fair price and good product Nothing to say I'd recommend it. Perfume various smells wonderful. Packaging and not bad. A bit pricey but reasonable")</f>
        <v>fair price and good product Nothing to say I'd recommend it. Perfume various smells wonderful. Packaging and not bad. A bit pricey but reasonable</v>
      </c>
    </row>
    <row r="6996">
      <c r="A6996" s="1">
        <v>5.0</v>
      </c>
      <c r="B6996" s="1" t="s">
        <v>6895</v>
      </c>
      <c r="C6996" t="str">
        <f>IFERROR(__xludf.DUMMYFUNCTION("GOOGLETRANSLATE(B6996, ""fr"", ""en"")"),"Wear NO SOCKS, please! These are not copies but original Birkenstock. A controlling one size smaller than its usual size. Ultra comfortable, this model is much less tacky than other brand, it is downright nice if worn without socks (small message to young"&amp;" people who understand their ridiculous that in 2 or 3 years, when this vile fashion is over, and the Germans have recovered the preserve). The cheapest version with the upper band faux leather is perfect, because it goes into machine without problem. Fin"&amp;"ally sandals that allow the feet to breathe really, tan, while browsing for kilometers without any suffering. The band is adjustable, everyone will find his account, even large feet footballers. Birkenstock, you have not invented the taste, but you invent"&amp;"ed comfort, and for that, my feet still feel good at the end of day you say DANKE! (And those who lick me, too: p)")</f>
        <v>Wear NO SOCKS, please! These are not copies but original Birkenstock. A controlling one size smaller than its usual size. Ultra comfortable, this model is much less tacky than other brand, it is downright nice if worn without socks (small message to young people who understand their ridiculous that in 2 or 3 years, when this vile fashion is over, and the Germans have recovered the preserve). The cheapest version with the upper band faux leather is perfect, because it goes into machine without problem. Finally sandals that allow the feet to breathe really, tan, while browsing for kilometers without any suffering. The band is adjustable, everyone will find his account, even large feet footballers. Birkenstock, you have not invented the taste, but you invented comfort, and for that, my feet still feel good at the end of day you say DANKE! (And those who lick me, too: p)</v>
      </c>
    </row>
    <row r="6997">
      <c r="A6997" s="1">
        <v>5.0</v>
      </c>
      <c r="B6997" s="1" t="s">
        <v>6896</v>
      </c>
      <c r="C6997" t="str">
        <f>IFERROR(__xludf.DUMMYFUNCTION("GOOGLETRANSLATE(B6997, ""fr"", ""en"")"),"Perfect One gift was a success")</f>
        <v>Perfect One gift was a success</v>
      </c>
    </row>
    <row r="6998">
      <c r="A6998" s="1">
        <v>5.0</v>
      </c>
      <c r="B6998" s="1" t="s">
        <v>6897</v>
      </c>
      <c r="C6998" t="str">
        <f>IFERROR(__xludf.DUMMYFUNCTION("GOOGLETRANSLATE(B6998, ""fr"", ""en"")"),"Good quality, good size !!")</f>
        <v>Good quality, good size !!</v>
      </c>
    </row>
    <row r="6999">
      <c r="A6999" s="1">
        <v>5.0</v>
      </c>
      <c r="B6999" s="1" t="s">
        <v>6898</v>
      </c>
      <c r="C6999" t="str">
        <f>IFERROR(__xludf.DUMMYFUNCTION("GOOGLETRANSLATE(B6999, ""fr"", ""en"")"),"great for the price bought as Zippo survival, it is small and .... it is a zippo, indestructible, reliable, ignitable even in high winds, no frills. I already had the Zippo and it ''s a safe bet, excellent price for the services offered. buy eyes closed.")</f>
        <v>great for the price bought as Zippo survival, it is small and .... it is a zippo, indestructible, reliable, ignitable even in high winds, no frills. I already had the Zippo and it ''s a safe bet, excellent price for the services offered. buy eyes closed.</v>
      </c>
    </row>
    <row r="7000">
      <c r="A7000" s="1">
        <v>5.0</v>
      </c>
      <c r="B7000" s="1" t="s">
        <v>6899</v>
      </c>
      <c r="C7000" t="str">
        <f>IFERROR(__xludf.DUMMYFUNCTION("GOOGLETRANSLATE(B7000, ""fr"", ""en"")"),"Beautiful slim Beautiful well-cut trousers and no need to fashion")</f>
        <v>Beautiful slim Beautiful well-cut trousers and no need to fashion</v>
      </c>
    </row>
    <row r="7001">
      <c r="A7001" s="1">
        <v>5.0</v>
      </c>
      <c r="B7001" s="1" t="s">
        <v>6900</v>
      </c>
      <c r="C7001" t="str">
        <f>IFERROR(__xludf.DUMMYFUNCTION("GOOGLETRANSLATE(B7001, ""fr"", ""en"")"),"Super Nice pair of basketball I took the 37 I put on the 38 but they are nickels no regrets for 35 euros I am delighted")</f>
        <v>Super Nice pair of basketball I took the 37 I put on the 38 but they are nickels no regrets for 35 euros I am delighted</v>
      </c>
    </row>
    <row r="7002">
      <c r="A7002" s="1">
        <v>5.0</v>
      </c>
      <c r="B7002" s="1" t="s">
        <v>6901</v>
      </c>
      <c r="C7002" t="str">
        <f>IFERROR(__xludf.DUMMYFUNCTION("GOOGLETRANSLATE(B7002, ""fr"", ""en"")"),"Good product, me gusta The product arrived on time, good quality and size is perfect here merciiii!")</f>
        <v>Good product, me gusta The product arrived on time, good quality and size is perfect here merciiii!</v>
      </c>
    </row>
    <row r="7003">
      <c r="A7003" s="1">
        <v>5.0</v>
      </c>
      <c r="B7003" s="1" t="s">
        <v>6902</v>
      </c>
      <c r="C7003" t="str">
        <f>IFERROR(__xludf.DUMMYFUNCTION("GOOGLETRANSLATE(B7003, ""fr"", ""en"")"),"Super good cleaner")</f>
        <v>Super good cleaner</v>
      </c>
    </row>
    <row r="7004">
      <c r="A7004" s="1">
        <v>5.0</v>
      </c>
      <c r="B7004" s="1" t="s">
        <v>6903</v>
      </c>
      <c r="C7004" t="str">
        <f>IFERROR(__xludf.DUMMYFUNCTION("GOOGLETRANSLATE(B7004, ""fr"", ""en"")"),"Very good quality Used to classify my documents, it suits me perfectly")</f>
        <v>Very good quality Used to classify my documents, it suits me perfectly</v>
      </c>
    </row>
    <row r="7005">
      <c r="A7005" s="1">
        <v>5.0</v>
      </c>
      <c r="B7005" s="1" t="s">
        <v>6904</v>
      </c>
      <c r="C7005" t="str">
        <f>IFERROR(__xludf.DUMMYFUNCTION("GOOGLETRANSLATE(B7005, ""fr"", ""en"")"),"Good quality / price ratio Purchased as a 2nd pair for sports, I must say I am pleasantly surprised by the quality / price ratio. Well finished and pretty, the blue color is bright. They are very comfortable every day as to the effort. The cushioning is c"&amp;"orrect especially for a pair that price. perfect!")</f>
        <v>Good quality / price ratio Purchased as a 2nd pair for sports, I must say I am pleasantly surprised by the quality / price ratio. Well finished and pretty, the blue color is bright. They are very comfortable every day as to the effort. The cushioning is correct especially for a pair that price. perfect!</v>
      </c>
    </row>
    <row r="7006">
      <c r="A7006" s="1">
        <v>5.0</v>
      </c>
      <c r="B7006" s="1" t="s">
        <v>6905</v>
      </c>
      <c r="C7006" t="str">
        <f>IFERROR(__xludf.DUMMYFUNCTION("GOOGLETRANSLATE(B7006, ""fr"", ""en"")"),"This is perfect Initially I received the product on time. The product has no defect! After a few uses I still have not had a problem. I am very happy with my purchase.")</f>
        <v>This is perfect Initially I received the product on time. The product has no defect! After a few uses I still have not had a problem. I am very happy with my purchase.</v>
      </c>
    </row>
    <row r="7007">
      <c r="A7007" s="1">
        <v>5.0</v>
      </c>
      <c r="B7007" s="1" t="s">
        <v>6906</v>
      </c>
      <c r="C7007" t="str">
        <f>IFERROR(__xludf.DUMMYFUNCTION("GOOGLETRANSLATE(B7007, ""fr"", ""en"")"),"Unsurprisingly Perfect Complete, work, nothing to say. Delivery worry I am fully satisfied. The pack is quite expensive but unless the individual consumables")</f>
        <v>Unsurprisingly Perfect Complete, work, nothing to say. Delivery worry I am fully satisfied. The pack is quite expensive but unless the individual consumables</v>
      </c>
    </row>
    <row r="7008">
      <c r="A7008" s="1">
        <v>5.0</v>
      </c>
      <c r="B7008" s="1" t="s">
        <v>6907</v>
      </c>
      <c r="C7008" t="str">
        <f>IFERROR(__xludf.DUMMYFUNCTION("GOOGLETRANSLATE(B7008, ""fr"", ""en"")"),"Complies in all respects to the description and photo Used daily, this bag is perfect for me. Only regret, no internal separation, just a small independent zippered pocket that should be a little larger.")</f>
        <v>Complies in all respects to the description and photo Used daily, this bag is perfect for me. Only regret, no internal separation, just a small independent zippered pocket that should be a little larger.</v>
      </c>
    </row>
    <row r="7009">
      <c r="A7009" s="1">
        <v>5.0</v>
      </c>
      <c r="B7009" s="1" t="s">
        <v>6908</v>
      </c>
      <c r="C7009" t="str">
        <f>IFERROR(__xludf.DUMMYFUNCTION("GOOGLETRANSLATE(B7009, ""fr"", ""en"")"),"Gift great gift pleases whenever women and girls quality very good price")</f>
        <v>Gift great gift pleases whenever women and girls quality very good price</v>
      </c>
    </row>
    <row r="7010">
      <c r="A7010" s="1">
        <v>5.0</v>
      </c>
      <c r="B7010" s="1" t="s">
        <v>6909</v>
      </c>
      <c r="C7010" t="str">
        <f>IFERROR(__xludf.DUMMYFUNCTION("GOOGLETRANSLATE(B7010, ""fr"", ""en"")"),"Over just a myth! No installation required, immediate connection by USB, microphone and recognized and quality sound recording is incredible, pro level. It can connect headphones directly to the microphone to listen in real time the microphone output. The"&amp;"re are 4 modes available with a rotary knob. Otherwise, it is aptly named, it is big and heavy, incredibly strong too. 5 years that I have and it still works as well! Instabuy if you need a mic of good quality for a reasonable price!")</f>
        <v>Over just a myth! No installation required, immediate connection by USB, microphone and recognized and quality sound recording is incredible, pro level. It can connect headphones directly to the microphone to listen in real time the microphone output. There are 4 modes available with a rotary knob. Otherwise, it is aptly named, it is big and heavy, incredibly strong too. 5 years that I have and it still works as well! Instabuy if you need a mic of good quality for a reasonable price!</v>
      </c>
    </row>
    <row r="7011">
      <c r="A7011" s="1">
        <v>2.0</v>
      </c>
      <c r="B7011" s="1" t="s">
        <v>6910</v>
      </c>
      <c r="C7011" t="str">
        <f>IFERROR(__xludf.DUMMYFUNCTION("GOOGLETRANSLATE(B7011, ""fr"", ""en"")"),"This poor quality brush is not really effective .. But considering the price can not be difficult. I recommend you put aside a few euros and take a superior brush.")</f>
        <v>This poor quality brush is not really effective .. But considering the price can not be difficult. I recommend you put aside a few euros and take a superior brush.</v>
      </c>
    </row>
    <row r="7012">
      <c r="A7012" s="1">
        <v>1.0</v>
      </c>
      <c r="B7012" s="1" t="s">
        <v>6911</v>
      </c>
      <c r="C7012" t="str">
        <f>IFERROR(__xludf.DUMMYFUNCTION("GOOGLETRANSLATE(B7012, ""fr"", ""en"")"),"very bad too little book (Asian size) and very very VERY late !!!")</f>
        <v>very bad too little book (Asian size) and very very VERY late !!!</v>
      </c>
    </row>
    <row r="7013">
      <c r="A7013" s="1">
        <v>1.0</v>
      </c>
      <c r="B7013" s="1" t="s">
        <v>6912</v>
      </c>
      <c r="C7013" t="str">
        <f>IFERROR(__xludf.DUMMYFUNCTION("GOOGLETRANSLATE(B7013, ""fr"", ""en"")"),"cracked a sock in the package It's the quality damage is quite good at first glance but a sock was cracked unpacking, it spoils the overall impression.")</f>
        <v>cracked a sock in the package It's the quality damage is quite good at first glance but a sock was cracked unpacking, it spoils the overall impression.</v>
      </c>
    </row>
    <row r="7014">
      <c r="A7014" s="1">
        <v>3.0</v>
      </c>
      <c r="B7014" s="1" t="s">
        <v>6913</v>
      </c>
      <c r="C7014" t="str">
        <f>IFERROR(__xludf.DUMMYFUNCTION("GOOGLETRANSLATE(B7014, ""fr"", ""en"")"),"Send me a lace a shoelace broke once defeat box, no original box but not directly Adidas.")</f>
        <v>Send me a lace a shoelace broke once defeat box, no original box but not directly Adidas.</v>
      </c>
    </row>
    <row r="7015">
      <c r="A7015" s="1">
        <v>3.0</v>
      </c>
      <c r="B7015" s="1" t="s">
        <v>6914</v>
      </c>
      <c r="C7015" t="str">
        <f>IFERROR(__xludf.DUMMYFUNCTION("GOOGLETRANSLATE(B7015, ""fr"", ""en"")"),"Good quality and flexible I tried everything with a breastfed baby in addition to the nursery, although these bottles are qualities my daughter refuses categorically bottles, spoons etc ..")</f>
        <v>Good quality and flexible I tried everything with a breastfed baby in addition to the nursery, although these bottles are qualities my daughter refuses categorically bottles, spoons etc ..</v>
      </c>
    </row>
    <row r="7016">
      <c r="A7016" s="1">
        <v>4.0</v>
      </c>
      <c r="B7016" s="1" t="s">
        <v>6915</v>
      </c>
      <c r="C7016" t="str">
        <f>IFERROR(__xludf.DUMMYFUNCTION("GOOGLETRANSLATE(B7016, ""fr"", ""en"")"),"Quick flush very precise have to see over time but this la.dificile price of having better")</f>
        <v>Quick flush very precise have to see over time but this la.dificile price of having better</v>
      </c>
    </row>
    <row r="7017">
      <c r="A7017" s="1">
        <v>4.0</v>
      </c>
      <c r="B7017" s="1" t="s">
        <v>6916</v>
      </c>
      <c r="C7017" t="str">
        <f>IFERROR(__xludf.DUMMYFUNCTION("GOOGLETRANSLATE(B7017, ""fr"", ""en"")"),"This is so cute ! I am very satisfied with my purchase ! The noise is very pleasant and the chain length is adjustable! You can buy this product without problem!")</f>
        <v>This is so cute ! I am very satisfied with my purchase ! The noise is very pleasant and the chain length is adjustable! You can buy this product without problem!</v>
      </c>
    </row>
    <row r="7018">
      <c r="A7018" s="1">
        <v>4.0</v>
      </c>
      <c r="B7018" s="1" t="s">
        <v>6917</v>
      </c>
      <c r="C7018" t="str">
        <f>IFERROR(__xludf.DUMMYFUNCTION("GOOGLETRANSLATE(B7018, ""fr"", ""en"")"),"A good product! The watch perfectly matches my expectations. It fits perfectly to the wrist Quality is good. Time delivery and the product is very well packed. Only small problem: the watch is already activated ... so it is not known how long the batterie"&amp;"s are used.")</f>
        <v>A good product! The watch perfectly matches my expectations. It fits perfectly to the wrist Quality is good. Time delivery and the product is very well packed. Only small problem: the watch is already activated ... so it is not known how long the batteries are used.</v>
      </c>
    </row>
    <row r="7019">
      <c r="A7019" s="1">
        <v>4.0</v>
      </c>
      <c r="B7019" s="1" t="s">
        <v>6918</v>
      </c>
      <c r="C7019" t="str">
        <f>IFERROR(__xludf.DUMMYFUNCTION("GOOGLETRANSLATE(B7019, ""fr"", ""en"")"),"Product convenient This product is very practical, easy to use and carry, it could have been slightly larger to hold all the parts of a bottle MAM Anti-Colic without juxtapose. Apart this detail aside, this is fine!")</f>
        <v>Product convenient This product is very practical, easy to use and carry, it could have been slightly larger to hold all the parts of a bottle MAM Anti-Colic without juxtapose. Apart this detail aside, this is fine!</v>
      </c>
    </row>
    <row r="7020">
      <c r="A7020" s="1">
        <v>5.0</v>
      </c>
      <c r="B7020" s="1" t="s">
        <v>6919</v>
      </c>
      <c r="C7020" t="str">
        <f>IFERROR(__xludf.DUMMYFUNCTION("GOOGLETRANSLATE(B7020, ""fr"", ""en"")"),"Basketball child Enough for my children")</f>
        <v>Basketball child Enough for my children</v>
      </c>
    </row>
    <row r="7021">
      <c r="A7021" s="1">
        <v>5.0</v>
      </c>
      <c r="B7021" s="1" t="s">
        <v>6920</v>
      </c>
      <c r="C7021" t="str">
        <f>IFERROR(__xludf.DUMMYFUNCTION("GOOGLETRANSLATE(B7021, ""fr"", ""en"")"),"Great I love his style and obviously very effective as all zippos")</f>
        <v>Great I love his style and obviously very effective as all zippos</v>
      </c>
    </row>
    <row r="7022">
      <c r="A7022" s="1">
        <v>5.0</v>
      </c>
      <c r="B7022" s="1" t="s">
        <v>6921</v>
      </c>
      <c r="C7022" t="str">
        <f>IFERROR(__xludf.DUMMYFUNCTION("GOOGLETRANSLATE(B7022, ""fr"", ""en"")"),"Excellent product! I wrote a comment about the model Taotronics mist humidifier that I consider an excellent product! I bought the 2 models including this one for a baby room and later to the interior design because very beautiful effect woodwork we decei"&amp;"ve them! Led fixed impeccable beautiful light effect or random delay .. 1, 2 or 3 hours smoke thick enough and more than correct for a small 300ml model .. this is little compared to TaotroniCs or it can operate at bottom a day .. But a problem without di"&amp;"ffusion chamber logic 3h maxi same time .. So very good product to buy without worry.")</f>
        <v>Excellent product! I wrote a comment about the model Taotronics mist humidifier that I consider an excellent product! I bought the 2 models including this one for a baby room and later to the interior design because very beautiful effect woodwork we deceive them! Led fixed impeccable beautiful light effect or random delay .. 1, 2 or 3 hours smoke thick enough and more than correct for a small 300ml model .. this is little compared to TaotroniCs or it can operate at bottom a day .. But a problem without diffusion chamber logic 3h maxi same time .. So very good product to buy without worry.</v>
      </c>
    </row>
    <row r="7023">
      <c r="A7023" s="1">
        <v>5.0</v>
      </c>
      <c r="B7023" s="1" t="s">
        <v>6922</v>
      </c>
      <c r="C7023" t="str">
        <f>IFERROR(__xludf.DUMMYFUNCTION("GOOGLETRANSLATE(B7023, ""fr"", ""en"")"),"R.A.S. R.A.S.")</f>
        <v>R.A.S. R.A.S.</v>
      </c>
    </row>
    <row r="7024">
      <c r="A7024" s="1">
        <v>5.0</v>
      </c>
      <c r="B7024" s="1" t="s">
        <v>6923</v>
      </c>
      <c r="C7024" t="str">
        <f>IFERROR(__xludf.DUMMYFUNCTION("GOOGLETRANSLATE(B7024, ""fr"", ""en"")"),"great my baby was crying every bib and once changed the teats, more pleurt, he drinks his bottle quietly without fretting milk arrives without have to suck too")</f>
        <v>great my baby was crying every bib and once changed the teats, more pleurt, he drinks his bottle quietly without fretting milk arrives without have to suck too</v>
      </c>
    </row>
    <row r="7025">
      <c r="A7025" s="1">
        <v>5.0</v>
      </c>
      <c r="B7025" s="1" t="s">
        <v>6924</v>
      </c>
      <c r="C7025" t="str">
        <f>IFERROR(__xludf.DUMMYFUNCTION("GOOGLETRANSLATE(B7025, ""fr"", ""en"")"),"surprisingly good for 20 balls Frankly I expected much. It is clear that the sound is quite good, and they are ideal for children heads and ears. The ability of the interconnect is a sacred more")</f>
        <v>surprisingly good for 20 balls Frankly I expected much. It is clear that the sound is quite good, and they are ideal for children heads and ears. The ability of the interconnect is a sacred more</v>
      </c>
    </row>
    <row r="7026">
      <c r="A7026" s="1">
        <v>5.0</v>
      </c>
      <c r="B7026" s="1" t="s">
        <v>6925</v>
      </c>
      <c r="C7026" t="str">
        <f>IFERROR(__xludf.DUMMYFUNCTION("GOOGLETRANSLATE(B7026, ""fr"", ""en"")"),"Effective pleasant sole. Complies with the product description.")</f>
        <v>Effective pleasant sole. Complies with the product description.</v>
      </c>
    </row>
    <row r="7027">
      <c r="A7027" s="1">
        <v>5.0</v>
      </c>
      <c r="B7027" s="1" t="s">
        <v>6926</v>
      </c>
      <c r="C7027" t="str">
        <f>IFERROR(__xludf.DUMMYFUNCTION("GOOGLETRANSLATE(B7027, ""fr"", ""en"")"),"Spacious and quality handy bag. There bcp space and 3 storage different spaces in large part and one on the front. I wanted a larger bag a small shoulder bag but smaller than a backpack. There is perfect. The closures and seams looks solid and fabric as w"&amp;"ell I think it will resist in time. I also like the case and the strap are padded and antiperspirant.")</f>
        <v>Spacious and quality handy bag. There bcp space and 3 storage different spaces in large part and one on the front. I wanted a larger bag a small shoulder bag but smaller than a backpack. There is perfect. The closures and seams looks solid and fabric as well I think it will resist in time. I also like the case and the strap are padded and antiperspirant.</v>
      </c>
    </row>
    <row r="7028">
      <c r="A7028" s="1">
        <v>5.0</v>
      </c>
      <c r="B7028" s="1" t="s">
        <v>6927</v>
      </c>
      <c r="C7028" t="str">
        <f>IFERROR(__xludf.DUMMYFUNCTION("GOOGLETRANSLATE(B7028, ""fr"", ""en"")"),"Powerful paste outside in balcony and window after rain or hot weather after 10 days it's not moving it sticks very hard to see to wear if it's still like that. I have pasted slight thing I have no idea for heavier things.")</f>
        <v>Powerful paste outside in balcony and window after rain or hot weather after 10 days it's not moving it sticks very hard to see to wear if it's still like that. I have pasted slight thing I have no idea for heavier things.</v>
      </c>
    </row>
    <row r="7029">
      <c r="A7029" s="1">
        <v>5.0</v>
      </c>
      <c r="B7029" s="1" t="s">
        <v>6928</v>
      </c>
      <c r="C7029" t="str">
        <f>IFERROR(__xludf.DUMMYFUNCTION("GOOGLETRANSLATE(B7029, ""fr"", ""en"")"),"Too good .... Bought to group the necessary exit my dog, I found this bag too well, too pretty for that daily use. So NICE become my wallet, I have to find something else once. Quality and aesthetics are really present. Bravo")</f>
        <v>Too good .... Bought to group the necessary exit my dog, I found this bag too well, too pretty for that daily use. So NICE become my wallet, I have to find something else once. Quality and aesthetics are really present. Bravo</v>
      </c>
    </row>
    <row r="7030">
      <c r="A7030" s="1">
        <v>5.0</v>
      </c>
      <c r="B7030" s="1" t="s">
        <v>6929</v>
      </c>
      <c r="C7030" t="str">
        <f>IFERROR(__xludf.DUMMYFUNCTION("GOOGLETRANSLATE(B7030, ""fr"", ""en"")"),"Lightness I wear these shoes every day from morning to night. Frankly they are super light and very comfortable ... I highly recommend this model.")</f>
        <v>Lightness I wear these shoes every day from morning to night. Frankly they are super light and very comfortable ... I highly recommend this model.</v>
      </c>
    </row>
    <row r="7031">
      <c r="A7031" s="1">
        <v>5.0</v>
      </c>
      <c r="B7031" s="1" t="s">
        <v>6930</v>
      </c>
      <c r="C7031" t="str">
        <f>IFERROR(__xludf.DUMMYFUNCTION("GOOGLETRANSLATE(B7031, ""fr"", ""en"")"),"On a perfectly washable cloth, clothing, skin, this painting is really easy to clean. Beautiful colors, thick enough, suitable for small and larger (my 2 year old daughter willingly shares his painting workshop with his older cousins)")</f>
        <v>On a perfectly washable cloth, clothing, skin, this painting is really easy to clean. Beautiful colors, thick enough, suitable for small and larger (my 2 year old daughter willingly shares his painting workshop with his older cousins)</v>
      </c>
    </row>
    <row r="7032">
      <c r="A7032" s="1">
        <v>5.0</v>
      </c>
      <c r="B7032" s="1" t="s">
        <v>6931</v>
      </c>
      <c r="C7032" t="str">
        <f>IFERROR(__xludf.DUMMYFUNCTION("GOOGLETRANSLATE(B7032, ""fr"", ""en"")"),"Wonderful Wonderful diffuser diffuser with beautiful colors on top for decoration. Very easy to use, perfectly diffused into the room, do not make noise. Very quickly delivered. J love and recommend.")</f>
        <v>Wonderful Wonderful diffuser diffuser with beautiful colors on top for decoration. Very easy to use, perfectly diffused into the room, do not make noise. Very quickly delivered. J love and recommend.</v>
      </c>
    </row>
    <row r="7033">
      <c r="A7033" s="1">
        <v>5.0</v>
      </c>
      <c r="B7033" s="1" t="s">
        <v>6932</v>
      </c>
      <c r="C7033" t="str">
        <f>IFERROR(__xludf.DUMMYFUNCTION("GOOGLETRANSLATE(B7033, ""fr"", ""en"")"),"great for work")</f>
        <v>great for work</v>
      </c>
    </row>
    <row r="7034">
      <c r="A7034" s="1">
        <v>5.0</v>
      </c>
      <c r="B7034" s="1" t="s">
        <v>6933</v>
      </c>
      <c r="C7034" t="str">
        <f>IFERROR(__xludf.DUMMYFUNCTION("GOOGLETRANSLATE(B7034, ""fr"", ""en"")"),"Philips SHP2500 Headphones Corded TV Very useful at night not to disturb the household at las 22 hours of this helmet is fine to me and does not make me the ears like the one I had before. 20/20 is the note that I put. Now, if I had any advice to give is "&amp;"wireless headsets should be interesting. Next time maybe.")</f>
        <v>Philips SHP2500 Headphones Corded TV Very useful at night not to disturb the household at las 22 hours of this helmet is fine to me and does not make me the ears like the one I had before. 20/20 is the note that I put. Now, if I had any advice to give is wireless headsets should be interesting. Next time maybe.</v>
      </c>
    </row>
    <row r="7035">
      <c r="A7035" s="1">
        <v>2.0</v>
      </c>
      <c r="B7035" s="1" t="s">
        <v>6934</v>
      </c>
      <c r="C7035" t="str">
        <f>IFERROR(__xludf.DUMMYFUNCTION("GOOGLETRANSLATE(B7035, ""fr"", ""en"")"),"No flexibility for Nike, comfort is not found. These shoes are too rigid both in the sole as ankle circumference.")</f>
        <v>No flexibility for Nike, comfort is not found. These shoes are too rigid both in the sole as ankle circumference.</v>
      </c>
    </row>
    <row r="7036">
      <c r="A7036" s="1">
        <v>1.0</v>
      </c>
      <c r="B7036" s="1" t="s">
        <v>6935</v>
      </c>
      <c r="C7036" t="str">
        <f>IFERROR(__xludf.DUMMYFUNCTION("GOOGLETRANSLATE(B7036, ""fr"", ""en"")"),"The Bluetooth connection does not work anymore after 2 months After two months of use impossible to connect to my Samsung S8 and thus the utilisers very disappointed with this product.")</f>
        <v>The Bluetooth connection does not work anymore after 2 months After two months of use impossible to connect to my Samsung S8 and thus the utilisers very disappointed with this product.</v>
      </c>
    </row>
    <row r="7037">
      <c r="A7037" s="1">
        <v>1.0</v>
      </c>
      <c r="B7037" s="1" t="s">
        <v>6936</v>
      </c>
      <c r="C7037" t="str">
        <f>IFERROR(__xludf.DUMMYFUNCTION("GOOGLETRANSLATE(B7037, ""fr"", ""en"")"),"I thought purchased single loop earrings c but a single loop Not very wearable Poor")</f>
        <v>I thought purchased single loop earrings c but a single loop Not very wearable Poor</v>
      </c>
    </row>
    <row r="7038">
      <c r="A7038" s="1">
        <v>3.0</v>
      </c>
      <c r="B7038" s="1" t="s">
        <v>6937</v>
      </c>
      <c r="C7038" t="str">
        <f>IFERROR(__xludf.DUMMYFUNCTION("GOOGLETRANSLATE(B7038, ""fr"", ""en"")"),"Done the job, but tends to fall off in use Swimming The product is of good quality, with controls that fall well enough on hand. Specific headphones ensure a good seal. The sound is obviously attenuated (which can be compensated by processing files to inc"&amp;"rease the amplitude sound, there are plenty of free sites online for this) By cons pool headphones tend to get out from under the ear water pressure when we advance, the headset is fixed or not glasses, and regardless of the size of nozzle used.")</f>
        <v>Done the job, but tends to fall off in use Swimming The product is of good quality, with controls that fall well enough on hand. Specific headphones ensure a good seal. The sound is obviously attenuated (which can be compensated by processing files to increase the amplitude sound, there are plenty of free sites online for this) By cons pool headphones tend to get out from under the ear water pressure when we advance, the headset is fixed or not glasses, and regardless of the size of nozzle used.</v>
      </c>
    </row>
    <row r="7039">
      <c r="A7039" s="1">
        <v>3.0</v>
      </c>
      <c r="B7039" s="1" t="s">
        <v>6938</v>
      </c>
      <c r="C7039" t="str">
        <f>IFERROR(__xludf.DUMMYFUNCTION("GOOGLETRANSLATE(B7039, ""fr"", ""en"")"),"very good material in good compression cotton g calf but strong so its helps me too")</f>
        <v>very good material in good compression cotton g calf but strong so its helps me too</v>
      </c>
    </row>
    <row r="7040">
      <c r="A7040" s="1">
        <v>4.0</v>
      </c>
      <c r="B7040" s="1" t="s">
        <v>6939</v>
      </c>
      <c r="C7040" t="str">
        <f>IFERROR(__xludf.DUMMYFUNCTION("GOOGLETRANSLATE(B7040, ""fr"", ""en"")"),"Nice product quality / price satisfactory, beautiful finished product well.")</f>
        <v>Nice product quality / price satisfactory, beautiful finished product well.</v>
      </c>
    </row>
    <row r="7041">
      <c r="A7041" s="1">
        <v>4.0</v>
      </c>
      <c r="B7041" s="1" t="s">
        <v>6940</v>
      </c>
      <c r="C7041" t="str">
        <f>IFERROR(__xludf.DUMMYFUNCTION("GOOGLETRANSLATE(B7041, ""fr"", ""en"")"),"to do with the time filled his role perfectly but does not give a solid feel and good finish")</f>
        <v>to do with the time filled his role perfectly but does not give a solid feel and good finish</v>
      </c>
    </row>
    <row r="7042">
      <c r="A7042" s="1">
        <v>4.0</v>
      </c>
      <c r="B7042" s="1" t="s">
        <v>6941</v>
      </c>
      <c r="C7042" t="str">
        <f>IFERROR(__xludf.DUMMYFUNCTION("GOOGLETRANSLATE(B7042, ""fr"", ""en"")"),"My usual sneakers They are practical, durable, fashion. Warning take a size below that you take on the same canvas model release.")</f>
        <v>My usual sneakers They are practical, durable, fashion. Warning take a size below that you take on the same canvas model release.</v>
      </c>
    </row>
    <row r="7043">
      <c r="A7043" s="1">
        <v>4.0</v>
      </c>
      <c r="B7043" s="1" t="s">
        <v>6942</v>
      </c>
      <c r="C7043" t="str">
        <f>IFERROR(__xludf.DUMMYFUNCTION("GOOGLETRANSLATE(B7043, ""fr"", ""en"")"),"CAUTION it is not sold with the head clamp as pictured Being professional sound this is a good product and not too expensive !! very low compression chamber and not worth especially not a Sennheiser AVX-MKE2 Ecmft5bmp or Sony ... but it does the job CAUTI"&amp;"ON it is not sold with the clamp head as the picture")</f>
        <v>CAUTION it is not sold with the head clamp as pictured Being professional sound this is a good product and not too expensive !! very low compression chamber and not worth especially not a Sennheiser AVX-MKE2 Ecmft5bmp or Sony ... but it does the job CAUTION it is not sold with the clamp head as the picture</v>
      </c>
    </row>
    <row r="7044">
      <c r="A7044" s="1">
        <v>5.0</v>
      </c>
      <c r="B7044" s="1" t="s">
        <v>6943</v>
      </c>
      <c r="C7044" t="str">
        <f>IFERROR(__xludf.DUMMYFUNCTION("GOOGLETRANSLATE(B7044, ""fr"", ""en"")"),"This mic is great, I'm thrilled! Package Contents: - A microphone - A USB cable for charging the device - An audio / recording 3.5mm cable to connect the microphone to your phone or tablet in English instructions I was surprised elegance this microphone, "&amp;"pink is soft and slightly shiny, it is light, with a good grip, it allows great freedom. The microphone has two integrated speakers which allows to use it for many things, karaoke, microphone, speaker, it is very versatile and easy to use, just turn on Bl"&amp;"uetooth and connect with your phone is very quickly. more if you wished you hear him sing you can connect headphones to the jack which is very useful if one wishes to find, there is a very good return. The Bluetooth connection is very convenient but it ca"&amp;"n also be done through the audio cable. Two buttons let you scroll through the following piece of music before or without having to touch the phone or tablet suddenly it makes it even better. The microphone is rechargeable, the cable is provided, it has a"&amp;" very good battery life, 6/8 which made for a great evening. I bring this microphone to the wedding of my best friend, he helped make the speeches, karaoke and all the ads it served us all night. The rendering sound of this karaoke microphone is very surp"&amp;"rising, it is of very high quality and it does not whistle as some microphones when connected to a speaker. The sound is clean and smooth and adjustable by a button. This wireless microphone, Bluetooth speaker and recorder has a very good price / quality,"&amp;" easy to use, fun to use and effective so without hesitation, I recommend this product.")</f>
        <v>This mic is great, I'm thrilled! Package Contents: - A microphone - A USB cable for charging the device - An audio / recording 3.5mm cable to connect the microphone to your phone or tablet in English instructions I was surprised elegance this microphone, pink is soft and slightly shiny, it is light, with a good grip, it allows great freedom. The microphone has two integrated speakers which allows to use it for many things, karaoke, microphone, speaker, it is very versatile and easy to use, just turn on Bluetooth and connect with your phone is very quickly. more if you wished you hear him sing you can connect headphones to the jack which is very useful if one wishes to find, there is a very good return. The Bluetooth connection is very convenient but it can also be done through the audio cable. Two buttons let you scroll through the following piece of music before or without having to touch the phone or tablet suddenly it makes it even better. The microphone is rechargeable, the cable is provided, it has a very good battery life, 6/8 which made for a great evening. I bring this microphone to the wedding of my best friend, he helped make the speeches, karaoke and all the ads it served us all night. The rendering sound of this karaoke microphone is very surprising, it is of very high quality and it does not whistle as some microphones when connected to a speaker. The sound is clean and smooth and adjustable by a button. This wireless microphone, Bluetooth speaker and recorder has a very good price / quality, easy to use, fun to use and effective so without hesitation, I recommend this product.</v>
      </c>
    </row>
    <row r="7045">
      <c r="A7045" s="1">
        <v>5.0</v>
      </c>
      <c r="B7045" s="1" t="s">
        <v>6944</v>
      </c>
      <c r="C7045" t="str">
        <f>IFERROR(__xludf.DUMMYFUNCTION("GOOGLETRANSLATE(B7045, ""fr"", ""en"")"),"hot to be good with")</f>
        <v>hot to be good with</v>
      </c>
    </row>
    <row r="7046">
      <c r="A7046" s="1">
        <v>5.0</v>
      </c>
      <c r="B7046" s="1" t="s">
        <v>6945</v>
      </c>
      <c r="C7046" t="str">
        <f>IFERROR(__xludf.DUMMYFUNCTION("GOOGLETRANSLATE(B7046, ""fr"", ""en"")"),"Nothing to say nice to this watch. It corresponds in every respect to my expectations. Elegant and feminine. Quick delivery . I recommend .")</f>
        <v>Nothing to say nice to this watch. It corresponds in every respect to my expectations. Elegant and feminine. Quick delivery . I recommend .</v>
      </c>
    </row>
    <row r="7047">
      <c r="A7047" s="1">
        <v>5.0</v>
      </c>
      <c r="B7047" s="1" t="s">
        <v>6946</v>
      </c>
      <c r="C7047" t="str">
        <f>IFERROR(__xludf.DUMMYFUNCTION("GOOGLETRANSLATE(B7047, ""fr"", ""en"")"),"Supert My 3 month old son did not want to take a bottle i try almost everything as bottle and two attempts supert he took")</f>
        <v>Supert My 3 month old son did not want to take a bottle i try almost everything as bottle and two attempts supert he took</v>
      </c>
    </row>
    <row r="7048">
      <c r="A7048" s="1">
        <v>5.0</v>
      </c>
      <c r="B7048" s="1" t="s">
        <v>6947</v>
      </c>
      <c r="C7048" t="str">
        <f>IFERROR(__xludf.DUMMYFUNCTION("GOOGLETRANSLATE(B7048, ""fr"", ""en"")"),"beautiful gift that has more to my darling are me even really very beautiful super light and resistant thank you b")</f>
        <v>beautiful gift that has more to my darling are me even really very beautiful super light and resistant thank you b</v>
      </c>
    </row>
    <row r="7049">
      <c r="A7049" s="1">
        <v>5.0</v>
      </c>
      <c r="B7049" s="1" t="s">
        <v>6948</v>
      </c>
      <c r="C7049" t="str">
        <f>IFERROR(__xludf.DUMMYFUNCTION("GOOGLETRANSLATE(B7049, ""fr"", ""en"")"),"RAS, nickel Nothing to say. Good product. Quick delivery. Very well.")</f>
        <v>RAS, nickel Nothing to say. Good product. Quick delivery. Very well.</v>
      </c>
    </row>
    <row r="7050">
      <c r="A7050" s="1">
        <v>5.0</v>
      </c>
      <c r="B7050" s="1" t="s">
        <v>6949</v>
      </c>
      <c r="C7050" t="str">
        <f>IFERROR(__xludf.DUMMYFUNCTION("GOOGLETRANSLATE(B7050, ""fr"", ""en"")"),"delivery time not tried gift for Christmas")</f>
        <v>delivery time not tried gift for Christmas</v>
      </c>
    </row>
    <row r="7051">
      <c r="A7051" s="1">
        <v>5.0</v>
      </c>
      <c r="B7051" s="1" t="s">
        <v>6950</v>
      </c>
      <c r="C7051" t="str">
        <f>IFERROR(__xludf.DUMMYFUNCTION("GOOGLETRANSLATE(B7051, ""fr"", ""en"")"),"Really handy little bag very successful this small bag that can be worn in three ways shoulder, waist or arm by scratches had prévus.bien practice for the phone. A hole in the back allows the passage of the earphone cable (to respond to possible calls or "&amp;"when the music chosen leaving the smartphone away in the bag). The bag is well finished and is solid except perhaps closing magnetic rivet the central pouch that looks fragile especially when you want to open it but for now it holds. A shoulder pad on the"&amp;" strap would have been welcome because the strap tends to twist and force to reposition before each use. But this is a very minor fault. Very good buy I recommend it.")</f>
        <v>Really handy little bag very successful this small bag that can be worn in three ways shoulder, waist or arm by scratches had prévus.bien practice for the phone. A hole in the back allows the passage of the earphone cable (to respond to possible calls or when the music chosen leaving the smartphone away in the bag). The bag is well finished and is solid except perhaps closing magnetic rivet the central pouch that looks fragile especially when you want to open it but for now it holds. A shoulder pad on the strap would have been welcome because the strap tends to twist and force to reposition before each use. But this is a very minor fault. Very good buy I recommend it.</v>
      </c>
    </row>
    <row r="7052">
      <c r="A7052" s="1">
        <v>5.0</v>
      </c>
      <c r="B7052" s="1" t="s">
        <v>6951</v>
      </c>
      <c r="C7052" t="str">
        <f>IFERROR(__xludf.DUMMYFUNCTION("GOOGLETRANSLATE(B7052, ""fr"", ""en"")"),"Ideal gift Small gift for my wife, pretty box packing, silver bracelet with Swarovski crystal is very elegant, most important is that she likes")</f>
        <v>Ideal gift Small gift for my wife, pretty box packing, silver bracelet with Swarovski crystal is very elegant, most important is that she likes</v>
      </c>
    </row>
    <row r="7053">
      <c r="A7053" s="1">
        <v>5.0</v>
      </c>
      <c r="B7053" s="1" t="s">
        <v>6952</v>
      </c>
      <c r="C7053" t="str">
        <f>IFERROR(__xludf.DUMMYFUNCTION("GOOGLETRANSLATE(B7053, ""fr"", ""en"")"),"Very beautiful bag is a great product in all respects. I highly recommend it. I do not regret my choice.")</f>
        <v>Very beautiful bag is a great product in all respects. I highly recommend it. I do not regret my choice.</v>
      </c>
    </row>
    <row r="7054">
      <c r="A7054" s="1">
        <v>5.0</v>
      </c>
      <c r="B7054" s="1" t="s">
        <v>6953</v>
      </c>
      <c r="C7054" t="str">
        <f>IFERROR(__xludf.DUMMYFUNCTION("GOOGLETRANSLATE(B7054, ""fr"", ""en"")"),"Several effective ordered and never disappointed. Effective, highly heating. I suffer from cervical brachial neuralgia and there Those here who Relieve me.")</f>
        <v>Several effective ordered and never disappointed. Effective, highly heating. I suffer from cervical brachial neuralgia and there Those here who Relieve me.</v>
      </c>
    </row>
    <row r="7055">
      <c r="A7055" s="1">
        <v>5.0</v>
      </c>
      <c r="B7055" s="1" t="s">
        <v>6954</v>
      </c>
      <c r="C7055" t="str">
        <f>IFERROR(__xludf.DUMMYFUNCTION("GOOGLETRANSLATE(B7055, ""fr"", ""en"")"),"Okay Fast Shipping my daughter loves the collection. Explanation early to help with reading. stop playing games. explained complicated words. And termination and written a different color to help the child. I showed it to the mistress of PC for my daughte"&amp;"r and she are very nice as well.")</f>
        <v>Okay Fast Shipping my daughter loves the collection. Explanation early to help with reading. stop playing games. explained complicated words. And termination and written a different color to help the child. I showed it to the mistress of PC for my daughter and she are very nice as well.</v>
      </c>
    </row>
    <row r="7056">
      <c r="A7056" s="1">
        <v>5.0</v>
      </c>
      <c r="B7056" s="1" t="s">
        <v>6955</v>
      </c>
      <c r="C7056" t="str">
        <f>IFERROR(__xludf.DUMMYFUNCTION("GOOGLETRANSLATE(B7056, ""fr"", ""en"")"),"A product still perfect ... Always reliable and strong with an incomparable sporty look. No complaints about this product that has proven itself over the years.")</f>
        <v>A product still perfect ... Always reliable and strong with an incomparable sporty look. No complaints about this product that has proven itself over the years.</v>
      </c>
    </row>
    <row r="7057">
      <c r="A7057" s="1">
        <v>5.0</v>
      </c>
      <c r="B7057" s="1" t="s">
        <v>6956</v>
      </c>
      <c r="C7057" t="str">
        <f>IFERROR(__xludf.DUMMYFUNCTION("GOOGLETRANSLATE(B7057, ""fr"", ""en"")"),"DANISH ENDURANCE wool hiking socks Merino Lightweight, Men excellent viewpoint comfort randonnée.le only advice to future buyers c never choose the size juste.moi example I put on the 43 so my first purchase was the 39-43 and it was not like that when I w"&amp;"et my feet so I bought the 43-47 and there even c super wet hiking c top.")</f>
        <v>DANISH ENDURANCE wool hiking socks Merino Lightweight, Men excellent viewpoint comfort randonnée.le only advice to future buyers c never choose the size juste.moi example I put on the 43 so my first purchase was the 39-43 and it was not like that when I wet my feet so I bought the 43-47 and there even c super wet hiking c top.</v>
      </c>
    </row>
    <row r="7058">
      <c r="A7058" s="1">
        <v>5.0</v>
      </c>
      <c r="B7058" s="1" t="s">
        <v>6957</v>
      </c>
      <c r="C7058" t="str">
        <f>IFERROR(__xludf.DUMMYFUNCTION("GOOGLETRANSLATE(B7058, ""fr"", ""en"")"),"The walking distance to good baby final height with two steps for our small shrimp.")</f>
        <v>The walking distance to good baby final height with two steps for our small shrimp.</v>
      </c>
    </row>
    <row r="7059">
      <c r="A7059" s="1">
        <v>2.0</v>
      </c>
      <c r="B7059" s="1" t="s">
        <v>6958</v>
      </c>
      <c r="C7059" t="str">
        <f>IFERROR(__xludf.DUMMYFUNCTION("GOOGLETRANSLATE(B7059, ""fr"", ""en"")"),"The concept is good but well made easy to use and very constraining the only problem is that unlike e as indicated in the manual use, there was no carry pouch in my box.")</f>
        <v>The concept is good but well made easy to use and very constraining the only problem is that unlike e as indicated in the manual use, there was no carry pouch in my box.</v>
      </c>
    </row>
    <row r="7060">
      <c r="A7060" s="1">
        <v>1.0</v>
      </c>
      <c r="B7060" s="1" t="s">
        <v>6959</v>
      </c>
      <c r="C7060" t="str">
        <f>IFERROR(__xludf.DUMMYFUNCTION("GOOGLETRANSLATE(B7060, ""fr"", ""en"")"),"BIG DOUBT ... For several G shock, upon opening the box I had a very big doubt as to the origin of this watch. -The color already not match the photos of real model because it is more burgundy than red glass is plastic -the vulgar, scratched immediately, "&amp;"not mineral glass as well REAL G shock -connaissant resistance of these watches, I tested the strap just trying to tweak it a bit, he pulled off instantly. -The booklet that came with does not match the same model but a 110 ga !!! a shame to receive this "&amp;"kind of product. photo following evidenced, right true g shock (red), left a ""copy"" sold 58.69")</f>
        <v>BIG DOUBT ... For several G shock, upon opening the box I had a very big doubt as to the origin of this watch. -The color already not match the photos of real model because it is more burgundy than red glass is plastic -the vulgar, scratched immediately, not mineral glass as well REAL G shock -connaissant resistance of these watches, I tested the strap just trying to tweak it a bit, he pulled off instantly. -The booklet that came with does not match the same model but a 110 ga !!! a shame to receive this kind of product. photo following evidenced, right true g shock (red), left a "copy" sold 58.69</v>
      </c>
    </row>
    <row r="7061">
      <c r="A7061" s="1">
        <v>1.0</v>
      </c>
      <c r="B7061" s="1" t="s">
        <v>6960</v>
      </c>
      <c r="C7061" t="str">
        <f>IFERROR(__xludf.DUMMYFUNCTION("GOOGLETRANSLATE(B7061, ""fr"", ""en"")"),"Quality is poor A lost needle of first use ..... and without shock! Not terrible !")</f>
        <v>Quality is poor A lost needle of first use ..... and without shock! Not terrible !</v>
      </c>
    </row>
    <row r="7062">
      <c r="A7062" s="1">
        <v>3.0</v>
      </c>
      <c r="B7062" s="1" t="s">
        <v>6961</v>
      </c>
      <c r="C7062" t="str">
        <f>IFERROR(__xludf.DUMMYFUNCTION("GOOGLETRANSLATE(B7062, ""fr"", ""en"")"),"I love ! I see this lovely watch. But I do not really open because it is to give as a Christmas gift. I hope the person will love and it would be a solid product.")</f>
        <v>I love ! I see this lovely watch. But I do not really open because it is to give as a Christmas gift. I hope the person will love and it would be a solid product.</v>
      </c>
    </row>
    <row r="7063">
      <c r="A7063" s="1">
        <v>4.0</v>
      </c>
      <c r="B7063" s="1" t="s">
        <v>6962</v>
      </c>
      <c r="C7063" t="str">
        <f>IFERROR(__xludf.DUMMYFUNCTION("GOOGLETRANSLATE(B7063, ""fr"", ""en"")"),"Nice effect Gives a nice effect but seems a bit fragile to do with time")</f>
        <v>Nice effect Gives a nice effect but seems a bit fragile to do with time</v>
      </c>
    </row>
    <row r="7064">
      <c r="A7064" s="1">
        <v>4.0</v>
      </c>
      <c r="B7064" s="1" t="s">
        <v>6963</v>
      </c>
      <c r="C7064" t="str">
        <f>IFERROR(__xludf.DUMMYFUNCTION("GOOGLETRANSLATE(B7064, ""fr"", ""en"")"),"A handle without brutality Article delivered quickly and consistent with the description. Cheap and you get what you pay for. Hoop plastic: His frail +++ very good in absolute excellent for this price range. Radio forget. Batteries discharged very quickly"&amp;", do not rely on Bluetooth.")</f>
        <v>A handle without brutality Article delivered quickly and consistent with the description. Cheap and you get what you pay for. Hoop plastic: His frail +++ very good in absolute excellent for this price range. Radio forget. Batteries discharged very quickly, do not rely on Bluetooth.</v>
      </c>
    </row>
    <row r="7065">
      <c r="A7065" s="1">
        <v>4.0</v>
      </c>
      <c r="B7065" s="1" t="s">
        <v>6964</v>
      </c>
      <c r="C7065" t="str">
        <f>IFERROR(__xludf.DUMMYFUNCTION("GOOGLETRANSLATE(B7065, ""fr"", ""en"")"),"Good product but ... The product is beautiful, easy to use but it's a shame that we can not completely stop. The permanent presence of the blue LED on the switch is we have never completely certain that the resistance of the boiler does not heat. otherwis"&amp;"e RAS")</f>
        <v>Good product but ... The product is beautiful, easy to use but it's a shame that we can not completely stop. The permanent presence of the blue LED on the switch is we have never completely certain that the resistance of the boiler does not heat. otherwise RAS</v>
      </c>
    </row>
    <row r="7066">
      <c r="A7066" s="1">
        <v>4.0</v>
      </c>
      <c r="B7066" s="1" t="s">
        <v>6965</v>
      </c>
      <c r="C7066" t="str">
        <f>IFERROR(__xludf.DUMMYFUNCTION("GOOGLETRANSLATE(B7066, ""fr"", ""en"")"),"Convenient use for my 12 years. In line with expectations although we do not sound quite amplified")</f>
        <v>Convenient use for my 12 years. In line with expectations although we do not sound quite amplified</v>
      </c>
    </row>
    <row r="7067">
      <c r="A7067" s="1">
        <v>5.0</v>
      </c>
      <c r="B7067" s="1" t="s">
        <v>6966</v>
      </c>
      <c r="C7067" t="str">
        <f>IFERROR(__xludf.DUMMYFUNCTION("GOOGLETRANSLATE(B7067, ""fr"", ""en"")"),"very pretty satisfied with my purchase I recommend")</f>
        <v>very pretty satisfied with my purchase I recommend</v>
      </c>
    </row>
    <row r="7068">
      <c r="A7068" s="1">
        <v>5.0</v>
      </c>
      <c r="B7068" s="1" t="s">
        <v>6967</v>
      </c>
      <c r="C7068" t="str">
        <f>IFERROR(__xludf.DUMMYFUNCTION("GOOGLETRANSLATE(B7068, ""fr"", ""en"")"),"Very nice dress dress super nice, good quality price ratio. The size matches. The shipping was fast. Thank you!")</f>
        <v>Very nice dress dress super nice, good quality price ratio. The size matches. The shipping was fast. Thank you!</v>
      </c>
    </row>
    <row r="7069">
      <c r="A7069" s="1">
        <v>5.0</v>
      </c>
      <c r="B7069" s="1" t="s">
        <v>6968</v>
      </c>
      <c r="C7069" t="str">
        <f>IFERROR(__xludf.DUMMYFUNCTION("GOOGLETRANSLATE(B7069, ""fr"", ""en"")"),"Lightweight and warm for winter takes Roger thank you")</f>
        <v>Lightweight and warm for winter takes Roger thank you</v>
      </c>
    </row>
    <row r="7070">
      <c r="A7070" s="1">
        <v>5.0</v>
      </c>
      <c r="B7070" s="1" t="s">
        <v>6969</v>
      </c>
      <c r="C7070" t="str">
        <f>IFERROR(__xludf.DUMMYFUNCTION("GOOGLETRANSLATE(B7070, ""fr"", ""en"")"),"I'm glad I'm very satisfied with this headset MPOW .it is in the condition it works well and I hope it'll last and above all it is resistant.")</f>
        <v>I'm glad I'm very satisfied with this headset MPOW .it is in the condition it works well and I hope it'll last and above all it is resistant.</v>
      </c>
    </row>
    <row r="7071">
      <c r="A7071" s="1">
        <v>5.0</v>
      </c>
      <c r="B7071" s="1" t="s">
        <v>6970</v>
      </c>
      <c r="C7071" t="str">
        <f>IFERROR(__xludf.DUMMYFUNCTION("GOOGLETRANSLATE(B7071, ""fr"", ""en"")"),"VERY PRETTY This is one gift for my daughter and I'm sure she will not be disappointed with the small box that contains the loop, there is 1 cardboard box with 1 small maintenance cloth, tags I am very happy with this purchase")</f>
        <v>VERY PRETTY This is one gift for my daughter and I'm sure she will not be disappointed with the small box that contains the loop, there is 1 cardboard box with 1 small maintenance cloth, tags I am very happy with this purchase</v>
      </c>
    </row>
    <row r="7072">
      <c r="A7072" s="1">
        <v>5.0</v>
      </c>
      <c r="B7072" s="1" t="s">
        <v>6971</v>
      </c>
      <c r="C7072" t="str">
        <f>IFERROR(__xludf.DUMMYFUNCTION("GOOGLETRANSLATE(B7072, ""fr"", ""en"")"),"Ras Shoes")</f>
        <v>Ras Shoes</v>
      </c>
    </row>
    <row r="7073">
      <c r="A7073" s="1">
        <v>5.0</v>
      </c>
      <c r="B7073" s="1" t="s">
        <v>6972</v>
      </c>
      <c r="C7073" t="str">
        <f>IFERROR(__xludf.DUMMYFUNCTION("GOOGLETRANSLATE(B7073, ""fr"", ""en"")"),"PRODUCT VERY EFFICIENT AND ECONOMIC Bicarbonate is perfect for cleaning !!!! Mixed in white vinegar he blasted the ""sink and unclog drains")</f>
        <v>PRODUCT VERY EFFICIENT AND ECONOMIC Bicarbonate is perfect for cleaning !!!! Mixed in white vinegar he blasted the "sink and unclog drains</v>
      </c>
    </row>
    <row r="7074">
      <c r="A7074" s="1">
        <v>5.0</v>
      </c>
      <c r="B7074" s="1" t="s">
        <v>6973</v>
      </c>
      <c r="C7074" t="str">
        <f>IFERROR(__xludf.DUMMYFUNCTION("GOOGLETRANSLATE(B7074, ""fr"", ""en"")"),"Perfect very happy with product mob Super nothing wrong")</f>
        <v>Perfect very happy with product mob Super nothing wrong</v>
      </c>
    </row>
    <row r="7075">
      <c r="A7075" s="1">
        <v>5.0</v>
      </c>
      <c r="B7075" s="1" t="s">
        <v>6974</v>
      </c>
      <c r="C7075" t="str">
        <f>IFERROR(__xludf.DUMMYFUNCTION("GOOGLETRANSLATE(B7075, ""fr"", ""en"")"),"Product great product arrived very quickly in perfect condition. Perfect for HP sproket, and little more is the possibility of using paper as decoration! To stick everywhere!")</f>
        <v>Product great product arrived very quickly in perfect condition. Perfect for HP sproket, and little more is the possibility of using paper as decoration! To stick everywhere!</v>
      </c>
    </row>
    <row r="7076">
      <c r="A7076" s="1">
        <v>5.0</v>
      </c>
      <c r="B7076" s="1" t="s">
        <v>6975</v>
      </c>
      <c r="C7076" t="str">
        <f>IFERROR(__xludf.DUMMYFUNCTION("GOOGLETRANSLATE(B7076, ""fr"", ""en"")"),"Beautiful jewel good 'Invoice Received quickly, jewel of very good quality and very fine. It was to offer and the person who received it was very happy.")</f>
        <v>Beautiful jewel good 'Invoice Received quickly, jewel of very good quality and very fine. It was to offer and the person who received it was very happy.</v>
      </c>
    </row>
    <row r="7077">
      <c r="A7077" s="1">
        <v>5.0</v>
      </c>
      <c r="B7077" s="1" t="s">
        <v>6976</v>
      </c>
      <c r="C7077" t="str">
        <f>IFERROR(__xludf.DUMMYFUNCTION("GOOGLETRANSLATE(B7077, ""fr"", ""en"")"),"Lotus toilet paper I knew this I use a long time, and as I had to complete my order, I chose one that I already knew.")</f>
        <v>Lotus toilet paper I knew this I use a long time, and as I had to complete my order, I chose one that I already knew.</v>
      </c>
    </row>
    <row r="7078">
      <c r="A7078" s="1">
        <v>5.0</v>
      </c>
      <c r="B7078" s="1" t="s">
        <v>6977</v>
      </c>
      <c r="C7078" t="str">
        <f>IFERROR(__xludf.DUMMYFUNCTION("GOOGLETRANSLATE(B7078, ""fr"", ""en"")"),"the must (at least for me) is better understood the price given the quality of materials (solid stainless steel and glass). The automatic function works great and the design is neat. Until then I am very satisfied.")</f>
        <v>the must (at least for me) is better understood the price given the quality of materials (solid stainless steel and glass). The automatic function works great and the design is neat. Until then I am very satisfied.</v>
      </c>
    </row>
    <row r="7079">
      <c r="A7079" s="1">
        <v>5.0</v>
      </c>
      <c r="B7079" s="1" t="s">
        <v>6978</v>
      </c>
      <c r="C7079" t="str">
        <f>IFERROR(__xludf.DUMMYFUNCTION("GOOGLETRANSLATE(B7079, ""fr"", ""en"")"),"Necklace effective Since my son put it I feel he has more toothache. My son is 15 months and 6 teeth. I'm satisfied")</f>
        <v>Necklace effective Since my son put it I feel he has more toothache. My son is 15 months and 6 teeth. I'm satisfied</v>
      </c>
    </row>
    <row r="7080">
      <c r="A7080" s="1">
        <v>5.0</v>
      </c>
      <c r="B7080" s="1" t="s">
        <v>6979</v>
      </c>
      <c r="C7080" t="str">
        <f>IFERROR(__xludf.DUMMYFUNCTION("GOOGLETRANSLATE(B7080, ""fr"", ""en"")"),"Bottle too pretty and super love with her Mam bottles anti colic really works I took it because I was already two but not green and I wanted for my son of 2 months is too good and more with his pacifier it is really cheap and cleaning level is just the to"&amp;"p 'and I love my baby is happy so perfect")</f>
        <v>Bottle too pretty and super love with her Mam bottles anti colic really works I took it because I was already two but not green and I wanted for my son of 2 months is too good and more with his pacifier it is really cheap and cleaning level is just the top 'and I love my baby is happy so perfect</v>
      </c>
    </row>
    <row r="7081">
      <c r="A7081" s="1">
        <v>5.0</v>
      </c>
      <c r="B7081" s="1" t="s">
        <v>6980</v>
      </c>
      <c r="C7081" t="str">
        <f>IFERROR(__xludf.DUMMYFUNCTION("GOOGLETRANSLATE(B7081, ""fr"", ""en"")"),"Cattier Ready Clay Pot 1.350 kg Employment Weekly, on Sunday, it's relaxing day, I take care of myself and this is a delight in the matter, soft for my skin after use I put moisturizer and it is left for a week with a skin soft and non-greasy!")</f>
        <v>Cattier Ready Clay Pot 1.350 kg Employment Weekly, on Sunday, it's relaxing day, I take care of myself and this is a delight in the matter, soft for my skin after use I put moisturizer and it is left for a week with a skin soft and non-greasy!</v>
      </c>
    </row>
    <row r="7082">
      <c r="A7082" s="1">
        <v>2.0</v>
      </c>
      <c r="B7082" s="1" t="s">
        <v>6981</v>
      </c>
      <c r="C7082" t="str">
        <f>IFERROR(__xludf.DUMMYFUNCTION("GOOGLETRANSLATE(B7082, ""fr"", ""en"")"),"Bad product I did not trust its quality sound is no I do not think either his original JBL")</f>
        <v>Bad product I did not trust its quality sound is no I do not think either his original JBL</v>
      </c>
    </row>
    <row r="7083">
      <c r="A7083" s="1">
        <v>1.0</v>
      </c>
      <c r="B7083" s="1" t="s">
        <v>6982</v>
      </c>
      <c r="C7083" t="str">
        <f>IFERROR(__xludf.DUMMYFUNCTION("GOOGLETRANSLATE(B7083, ""fr"", ""en"")"),"discoloration of flocking on the shirt Very disappointed with this purchase .it was a gift, and after the first washing, the shirt has blue spots despite the use of an anti discoloration wipe!")</f>
        <v>discoloration of flocking on the shirt Very disappointed with this purchase .it was a gift, and after the first washing, the shirt has blue spots despite the use of an anti discoloration wipe!</v>
      </c>
    </row>
    <row r="7084">
      <c r="A7084" s="1">
        <v>3.0</v>
      </c>
      <c r="B7084" s="1" t="s">
        <v>6983</v>
      </c>
      <c r="C7084" t="str">
        <f>IFERROR(__xludf.DUMMYFUNCTION("GOOGLETRANSLATE(B7084, ""fr"", ""en"")"),"Very good very good teat for my 3 month old baby I still use sizes 1! Good catch in the mouth after feeding.")</f>
        <v>Very good very good teat for my 3 month old baby I still use sizes 1! Good catch in the mouth after feeding.</v>
      </c>
    </row>
    <row r="7085">
      <c r="A7085" s="1">
        <v>3.0</v>
      </c>
      <c r="B7085" s="1" t="s">
        <v>6984</v>
      </c>
      <c r="C7085" t="str">
        <f>IFERROR(__xludf.DUMMYFUNCTION("GOOGLETRANSLATE(B7085, ""fr"", ""en"")"),"Nice watch Man watch is beautiful, not too heavy but I'm afraid that with time the black paint of the bracelet go. There are already some scratch marks on the bracelet ...")</f>
        <v>Nice watch Man watch is beautiful, not too heavy but I'm afraid that with time the black paint of the bracelet go. There are already some scratch marks on the bracelet ...</v>
      </c>
    </row>
    <row r="7086">
      <c r="A7086" s="1">
        <v>4.0</v>
      </c>
      <c r="B7086" s="1" t="s">
        <v>6985</v>
      </c>
      <c r="C7086" t="str">
        <f>IFERROR(__xludf.DUMMYFUNCTION("GOOGLETRANSLATE(B7086, ""fr"", ""en"")"),"relieves neck pain I have neck pain for several tamps I use it at night watching TV very easy to implement and very pleasant has uriliser")</f>
        <v>relieves neck pain I have neck pain for several tamps I use it at night watching TV very easy to implement and very pleasant has uriliser</v>
      </c>
    </row>
    <row r="7087">
      <c r="A7087" s="1">
        <v>4.0</v>
      </c>
      <c r="B7087" s="1" t="s">
        <v>6986</v>
      </c>
      <c r="C7087" t="str">
        <f>IFERROR(__xludf.DUMMYFUNCTION("GOOGLETRANSLATE(B7087, ""fr"", ""en"")"),"Buy Super wide but there is now some months I am very happy with my purchase. Color is like the picture. The sweater size but well made extensive effect it must be said! photo on visible. However there are very comfortable and soft. I recommend if my revi"&amp;"ew was helpful to say thank you;)")</f>
        <v>Buy Super wide but there is now some months I am very happy with my purchase. Color is like the picture. The sweater size but well made extensive effect it must be said! photo on visible. However there are very comfortable and soft. I recommend if my review was helpful to say thank you;)</v>
      </c>
    </row>
    <row r="7088">
      <c r="A7088" s="1">
        <v>4.0</v>
      </c>
      <c r="B7088" s="1" t="s">
        <v>6987</v>
      </c>
      <c r="C7088" t="str">
        <f>IFERROR(__xludf.DUMMYFUNCTION("GOOGLETRANSLATE(B7088, ""fr"", ""en"")"),"Price Good value. Does not sound good but very attractive price !!")</f>
        <v>Price Good value. Does not sound good but very attractive price !!</v>
      </c>
    </row>
    <row r="7089">
      <c r="A7089" s="1">
        <v>4.0</v>
      </c>
      <c r="B7089" s="1" t="s">
        <v>6988</v>
      </c>
      <c r="C7089" t="str">
        <f>IFERROR(__xludf.DUMMYFUNCTION("GOOGLETRANSLATE(B7089, ""fr"", ""en"")"),"Bag Practical strong and super convenient styler bag, solid and connect steed style. Several pockets for organizer office. Perfect for business one day.")</f>
        <v>Bag Practical strong and super convenient styler bag, solid and connect steed style. Several pockets for organizer office. Perfect for business one day.</v>
      </c>
    </row>
    <row r="7090">
      <c r="A7090" s="1">
        <v>5.0</v>
      </c>
      <c r="B7090" s="1" t="s">
        <v>6989</v>
      </c>
      <c r="C7090" t="str">
        <f>IFERROR(__xludf.DUMMYFUNCTION("GOOGLETRANSLATE(B7090, ""fr"", ""en"")"),"tai chi shoes I put them to tai chi, good product")</f>
        <v>tai chi shoes I put them to tai chi, good product</v>
      </c>
    </row>
    <row r="7091">
      <c r="A7091" s="1">
        <v>5.0</v>
      </c>
      <c r="B7091" s="1" t="s">
        <v>6990</v>
      </c>
      <c r="C7091" t="str">
        <f>IFERROR(__xludf.DUMMYFUNCTION("GOOGLETRANSLATE(B7091, ""fr"", ""en"")"),"Practice Super bottle heater that fits perfectly to the car through the cigarette lighter, just like on a normal outlet. Tip that turns easily. MAM bottles (which are wider at the bottom) will return no problem! To clean after each use to bones that have "&amp;"traces but otherwise works great and is easy to transport.")</f>
        <v>Practice Super bottle heater that fits perfectly to the car through the cigarette lighter, just like on a normal outlet. Tip that turns easily. MAM bottles (which are wider at the bottom) will return no problem! To clean after each use to bones that have traces but otherwise works great and is easy to transport.</v>
      </c>
    </row>
    <row r="7092">
      <c r="A7092" s="1">
        <v>5.0</v>
      </c>
      <c r="B7092" s="1" t="s">
        <v>6991</v>
      </c>
      <c r="C7092" t="str">
        <f>IFERROR(__xludf.DUMMYFUNCTION("GOOGLETRANSLATE(B7092, ""fr"", ""en"")"),"Super I took the microphone for evenings with friends when making blindtests and sung thereafter. The sound is powerful and clear. It ects very good factory, we see that it is solid. The big plus is its voice effects, what have we laughed. I also love the"&amp;" lighting effects. You can connect the music e Bluetooth etbzinsi sing over top and even register. there is little insert a USB key or memory card. A must for successful evenings. I took pink gold and it is really nice.")</f>
        <v>Super I took the microphone for evenings with friends when making blindtests and sung thereafter. The sound is powerful and clear. It ects very good factory, we see that it is solid. The big plus is its voice effects, what have we laughed. I also love the lighting effects. You can connect the music e Bluetooth etbzinsi sing over top and even register. there is little insert a USB key or memory card. A must for successful evenings. I took pink gold and it is really nice.</v>
      </c>
    </row>
    <row r="7093">
      <c r="A7093" s="1">
        <v>5.0</v>
      </c>
      <c r="B7093" s="1" t="s">
        <v>6992</v>
      </c>
      <c r="C7093" t="str">
        <f>IFERROR(__xludf.DUMMYFUNCTION("GOOGLETRANSLATE(B7093, ""fr"", ""en"")"),"Wonderful shows Hugo boss I bought this watch to give to my husband it's just beautiful and classy My husband was thrilled I highly recommend especially for the great price !!!")</f>
        <v>Wonderful shows Hugo boss I bought this watch to give to my husband it's just beautiful and classy My husband was thrilled I highly recommend especially for the great price !!!</v>
      </c>
    </row>
    <row r="7094">
      <c r="A7094" s="1">
        <v>5.0</v>
      </c>
      <c r="B7094" s="1" t="s">
        <v>6993</v>
      </c>
      <c r="C7094" t="str">
        <f>IFERROR(__xludf.DUMMYFUNCTION("GOOGLETRANSLATE(B7094, ""fr"", ""en"")"),"Excellent wireless headphones Excellent product, either in sound (balanced sound with good bass, especially with the dynamic mode), finish, or use (easier if you have a Samsung smartphone)")</f>
        <v>Excellent wireless headphones Excellent product, either in sound (balanced sound with good bass, especially with the dynamic mode), finish, or use (easier if you have a Samsung smartphone)</v>
      </c>
    </row>
    <row r="7095">
      <c r="A7095" s="1">
        <v>5.0</v>
      </c>
      <c r="B7095" s="1" t="s">
        <v>6994</v>
      </c>
      <c r="C7095" t="str">
        <f>IFERROR(__xludf.DUMMYFUNCTION("GOOGLETRANSLATE(B7095, ""fr"", ""en"")"),"Perfect True to the description. No complaints")</f>
        <v>Perfect True to the description. No complaints</v>
      </c>
    </row>
    <row r="7096">
      <c r="A7096" s="1">
        <v>5.0</v>
      </c>
      <c r="B7096" s="1" t="s">
        <v>6995</v>
      </c>
      <c r="C7096" t="str">
        <f>IFERROR(__xludf.DUMMYFUNCTION("GOOGLETRANSLATE(B7096, ""fr"", ""en"")"),"Very good value at the perfect size. Very comfortable and very warm. I recommand it. It is ideal for the observation telescope evenings.")</f>
        <v>Very good value at the perfect size. Very comfortable and very warm. I recommand it. It is ideal for the observation telescope evenings.</v>
      </c>
    </row>
    <row r="7097">
      <c r="A7097" s="1">
        <v>5.0</v>
      </c>
      <c r="B7097" s="1" t="s">
        <v>6996</v>
      </c>
      <c r="C7097" t="str">
        <f>IFERROR(__xludf.DUMMYFUNCTION("GOOGLETRANSLATE(B7097, ""fr"", ""en"")"),"Good Quality Board I deliver quickly Moin of 15 days at home Well I advise strongly Delivered in less than 15 days at home product very well I strongly advise")</f>
        <v>Good Quality Board I deliver quickly Moin of 15 days at home Well I advise strongly Delivered in less than 15 days at home product very well I strongly advise</v>
      </c>
    </row>
    <row r="7098">
      <c r="A7098" s="1">
        <v>5.0</v>
      </c>
      <c r="B7098" s="1" t="s">
        <v>6997</v>
      </c>
      <c r="C7098" t="str">
        <f>IFERROR(__xludf.DUMMYFUNCTION("GOOGLETRANSLATE(B7098, ""fr"", ""en"")"),"My sneakers are perfect like new")</f>
        <v>My sneakers are perfect like new</v>
      </c>
    </row>
    <row r="7099">
      <c r="A7099" s="1">
        <v>5.0</v>
      </c>
      <c r="B7099" s="1" t="s">
        <v>6998</v>
      </c>
      <c r="C7099" t="str">
        <f>IFERROR(__xludf.DUMMYFUNCTION("GOOGLETRANSLATE(B7099, ""fr"", ""en"")"),"Good product Beautiful shoes ..... Not wide enough for a foot strong enough")</f>
        <v>Good product Beautiful shoes ..... Not wide enough for a foot strong enough</v>
      </c>
    </row>
    <row r="7100">
      <c r="A7100" s="1">
        <v>5.0</v>
      </c>
      <c r="B7100" s="1" t="s">
        <v>6999</v>
      </c>
      <c r="C7100" t="str">
        <f>IFERROR(__xludf.DUMMYFUNCTION("GOOGLETRANSLATE(B7100, ""fr"", ""en"")"),"Very glad I was afraid of taking the wrong model for my Akai but it is perfectly suited")</f>
        <v>Very glad I was afraid of taking the wrong model for my Akai but it is perfectly suited</v>
      </c>
    </row>
    <row r="7101">
      <c r="A7101" s="1">
        <v>5.0</v>
      </c>
      <c r="B7101" s="1" t="s">
        <v>7000</v>
      </c>
      <c r="C7101" t="str">
        <f>IFERROR(__xludf.DUMMYFUNCTION("GOOGLETRANSLATE(B7101, ""fr"", ""en"")"),"Great helmet at this price At such prices JBL proposes headphones look great, aesthetic and solid. The sound is very correct, if the source is quality then you'll never disappointed by this article ...")</f>
        <v>Great helmet at this price At such prices JBL proposes headphones look great, aesthetic and solid. The sound is very correct, if the source is quality then you'll never disappointed by this article ...</v>
      </c>
    </row>
    <row r="7102">
      <c r="A7102" s="1">
        <v>5.0</v>
      </c>
      <c r="B7102" s="1" t="s">
        <v>7001</v>
      </c>
      <c r="C7102" t="str">
        <f>IFERROR(__xludf.DUMMYFUNCTION("GOOGLETRANSLATE(B7102, ""fr"", ""en"")"),"I recommend Received quickly, great basketball, good value")</f>
        <v>I recommend Received quickly, great basketball, good value</v>
      </c>
    </row>
    <row r="7103">
      <c r="A7103" s="1">
        <v>5.0</v>
      </c>
      <c r="B7103" s="1" t="s">
        <v>7002</v>
      </c>
      <c r="C7103" t="str">
        <f>IFERROR(__xludf.DUMMYFUNCTION("GOOGLETRANSLATE(B7103, ""fr"", ""en"")"),"Super ink cartridge product")</f>
        <v>Super ink cartridge product</v>
      </c>
    </row>
    <row r="7104">
      <c r="A7104" s="1">
        <v>5.0</v>
      </c>
      <c r="B7104" s="1" t="s">
        <v>7003</v>
      </c>
      <c r="C7104" t="str">
        <f>IFERROR(__xludf.DUMMYFUNCTION("GOOGLETRANSLATE(B7104, ""fr"", ""en"")"),"coffee machine brand grain has arrived klartein very beautiful machine has scheduled dates * well packed a little trouble no instruction in French to print the instructions that I could get on the internet I recommend this product * I take the coffee bean"&amp;"s Italian for its aroma ** I would like to know whether to leave the filter coal inside if qu'elqun can answer me this would be nice thank you")</f>
        <v>coffee machine brand grain has arrived klartein very beautiful machine has scheduled dates * well packed a little trouble no instruction in French to print the instructions that I could get on the internet I recommend this product * I take the coffee beans Italian for its aroma ** I would like to know whether to leave the filter coal inside if qu'elqun can answer me this would be nice thank you</v>
      </c>
    </row>
    <row r="7105">
      <c r="A7105" s="1">
        <v>5.0</v>
      </c>
      <c r="B7105" s="1" t="s">
        <v>7004</v>
      </c>
      <c r="C7105" t="str">
        <f>IFERROR(__xludf.DUMMYFUNCTION("GOOGLETRANSLATE(B7105, ""fr"", ""en"")"),"good product. too wide")</f>
        <v>good product. too wide</v>
      </c>
    </row>
    <row r="7106">
      <c r="A7106" s="1">
        <v>2.0</v>
      </c>
      <c r="B7106" s="1" t="s">
        <v>7005</v>
      </c>
      <c r="C7106" t="str">
        <f>IFERROR(__xludf.DUMMYFUNCTION("GOOGLETRANSLATE(B7106, ""fr"", ""en"")"),"not at all pretty slip shoes, warm but then absolutely not slip as stated in the description of the product therefore not the top in the mountains, I could not enjoy beautiful ballads Christmas because too afraid of slipping. Well after reflection, I shou"&amp;"ld have seen the price wary!")</f>
        <v>not at all pretty slip shoes, warm but then absolutely not slip as stated in the description of the product therefore not the top in the mountains, I could not enjoy beautiful ballads Christmas because too afraid of slipping. Well after reflection, I should have seen the price wary!</v>
      </c>
    </row>
    <row r="7107">
      <c r="A7107" s="1">
        <v>1.0</v>
      </c>
      <c r="B7107" s="1" t="s">
        <v>7006</v>
      </c>
      <c r="C7107" t="str">
        <f>IFERROR(__xludf.DUMMYFUNCTION("GOOGLETRANSLATE(B7107, ""fr"", ""en"")"),"Unreliable The time and one of the dials longer work after 4 months of use only .. I will try to obtain warranty.")</f>
        <v>Unreliable The time and one of the dials longer work after 4 months of use only .. I will try to obtain warranty.</v>
      </c>
    </row>
    <row r="7108">
      <c r="A7108" s="1">
        <v>1.0</v>
      </c>
      <c r="B7108" s="1" t="s">
        <v>7007</v>
      </c>
      <c r="C7108" t="str">
        <f>IFERROR(__xludf.DUMMYFUNCTION("GOOGLETRANSLATE(B7108, ""fr"", ""en"")"),"Product disappointing product does not conform to the description Not enough glitter not easy to use the bad have opened because I have the back I do not advise")</f>
        <v>Product disappointing product does not conform to the description Not enough glitter not easy to use the bad have opened because I have the back I do not advise</v>
      </c>
    </row>
    <row r="7109">
      <c r="A7109" s="1">
        <v>3.0</v>
      </c>
      <c r="B7109" s="1" t="s">
        <v>7008</v>
      </c>
      <c r="C7109" t="str">
        <f>IFERROR(__xludf.DUMMYFUNCTION("GOOGLETRANSLATE(B7109, ""fr"", ""en"")"),"Size too small smallest size announced")</f>
        <v>Size too small smallest size announced</v>
      </c>
    </row>
    <row r="7110">
      <c r="A7110" s="1">
        <v>3.0</v>
      </c>
      <c r="B7110" s="1" t="s">
        <v>7009</v>
      </c>
      <c r="C7110" t="str">
        <f>IFERROR(__xludf.DUMMYFUNCTION("GOOGLETRANSLATE(B7110, ""fr"", ""en"")"),"Sweat Man Meets description, to move slightly in the wash.")</f>
        <v>Sweat Man Meets description, to move slightly in the wash.</v>
      </c>
    </row>
    <row r="7111">
      <c r="A7111" s="1">
        <v>4.0</v>
      </c>
      <c r="B7111" s="1" t="s">
        <v>7010</v>
      </c>
      <c r="C7111" t="str">
        <f>IFERROR(__xludf.DUMMYFUNCTION("GOOGLETRANSLATE(B7111, ""fr"", ""en"")"),"Good Great look and looks solid")</f>
        <v>Good Great look and looks solid</v>
      </c>
    </row>
    <row r="7112">
      <c r="A7112" s="1">
        <v>4.0</v>
      </c>
      <c r="B7112" s="1" t="s">
        <v>7011</v>
      </c>
      <c r="C7112" t="str">
        <f>IFERROR(__xludf.DUMMYFUNCTION("GOOGLETRANSLATE(B7112, ""fr"", ""en"")"),"Its quality but little noise reduction Sound quality is excellent. A helmet ""all terrain"" that suits all styles of music. However, the noise reduction is almost zero. It is difficult to properly hear the sound by plane or subway, for example.")</f>
        <v>Its quality but little noise reduction Sound quality is excellent. A helmet "all terrain" that suits all styles of music. However, the noise reduction is almost zero. It is difficult to properly hear the sound by plane or subway, for example.</v>
      </c>
    </row>
    <row r="7113">
      <c r="A7113" s="1">
        <v>4.0</v>
      </c>
      <c r="B7113" s="1" t="s">
        <v>7012</v>
      </c>
      <c r="C7113" t="str">
        <f>IFERROR(__xludf.DUMMYFUNCTION("GOOGLETRANSLATE(B7113, ""fr"", ""en"")"),"Exactly what I expected the product I expected. The size is perfect and the description given by Amazon loyal to the product. A model very soft leather compared to other Doc Martens models so quickly comfortable. After a first package that strayed, the se"&amp;"cond delivery was made on time. I recommend this product especially as the price is significantly lower than on other sites or in stores. Accustomed to the brand, are usually quality shoes.")</f>
        <v>Exactly what I expected the product I expected. The size is perfect and the description given by Amazon loyal to the product. A model very soft leather compared to other Doc Martens models so quickly comfortable. After a first package that strayed, the second delivery was made on time. I recommend this product especially as the price is significantly lower than on other sites or in stores. Accustomed to the brand, are usually quality shoes.</v>
      </c>
    </row>
    <row r="7114">
      <c r="A7114" s="1">
        <v>4.0</v>
      </c>
      <c r="B7114" s="1" t="s">
        <v>7013</v>
      </c>
      <c r="C7114" t="str">
        <f>IFERROR(__xludf.DUMMYFUNCTION("GOOGLETRANSLATE(B7114, ""fr"", ""en"")"),"To discover. An excellent price / quality ratio. It is considered as brushes study. Can be used for watercolor (medium), gouache (good) and acrylic (good).")</f>
        <v>To discover. An excellent price / quality ratio. It is considered as brushes study. Can be used for watercolor (medium), gouache (good) and acrylic (good).</v>
      </c>
    </row>
    <row r="7115">
      <c r="A7115" s="1">
        <v>5.0</v>
      </c>
      <c r="B7115" s="1" t="s">
        <v>7014</v>
      </c>
      <c r="C7115" t="str">
        <f>IFERROR(__xludf.DUMMYFUNCTION("GOOGLETRANSLATE(B7115, ""fr"", ""en"")"),"Satisfied Very satisfied would recommend in that I need")</f>
        <v>Satisfied Very satisfied would recommend in that I need</v>
      </c>
    </row>
    <row r="7116">
      <c r="A7116" s="1">
        <v>5.0</v>
      </c>
      <c r="B7116" s="1" t="s">
        <v>7015</v>
      </c>
      <c r="C7116" t="str">
        <f>IFERROR(__xludf.DUMMYFUNCTION("GOOGLETRANSLATE(B7116, ""fr"", ""en"")"),"good cover of good product lamination was waiting for my plastitifier of very good pictures made the leaves are good qualities auré I liked that it is enveloped by a small number compared to other models that proposed")</f>
        <v>good cover of good product lamination was waiting for my plastitifier of very good pictures made the leaves are good qualities auré I liked that it is enveloped by a small number compared to other models that proposed</v>
      </c>
    </row>
    <row r="7117">
      <c r="A7117" s="1">
        <v>5.0</v>
      </c>
      <c r="B7117" s="1" t="s">
        <v>7016</v>
      </c>
      <c r="C7117" t="str">
        <f>IFERROR(__xludf.DUMMYFUNCTION("GOOGLETRANSLATE(B7117, ""fr"", ""en"")"),"Ras Ras Compliance")</f>
        <v>Ras Ras Compliance</v>
      </c>
    </row>
    <row r="7118">
      <c r="A7118" s="1">
        <v>5.0</v>
      </c>
      <c r="B7118" s="1" t="s">
        <v>7017</v>
      </c>
      <c r="C7118" t="str">
        <f>IFERROR(__xludf.DUMMYFUNCTION("GOOGLETRANSLATE(B7118, ""fr"", ""en"")"),"Strong, effective! Excellent cable, very solid. It restores the sound of my electronic drum clearly without background noise. I recommend !")</f>
        <v>Strong, effective! Excellent cable, very solid. It restores the sound of my electronic drum clearly without background noise. I recommend !</v>
      </c>
    </row>
    <row r="7119">
      <c r="A7119" s="1">
        <v>5.0</v>
      </c>
      <c r="B7119" s="1" t="s">
        <v>7018</v>
      </c>
      <c r="C7119" t="str">
        <f>IFERROR(__xludf.DUMMYFUNCTION("GOOGLETRANSLATE(B7119, ""fr"", ""en"")"),"Excellent! Commissioned for the presentation of a power point during the oral patent, easy operation, good ergonomics, very good control remotely. Doosl Wireless Presenter greatly facilitates the presentation.")</f>
        <v>Excellent! Commissioned for the presentation of a power point during the oral patent, easy operation, good ergonomics, very good control remotely. Doosl Wireless Presenter greatly facilitates the presentation.</v>
      </c>
    </row>
    <row r="7120">
      <c r="A7120" s="1">
        <v>5.0</v>
      </c>
      <c r="B7120" s="1" t="s">
        <v>7019</v>
      </c>
      <c r="C7120" t="str">
        <f>IFERROR(__xludf.DUMMYFUNCTION("GOOGLETRANSLATE(B7120, ""fr"", ""en"")"),"In the top ! My son of 10 months are accustomed to natural Advent since childhood I was afraid to change. Indeed, I needed a bedtime bottle in 330ml (AVENT unfortunately stops 270ml). My son took it very easily. Easy to clean. Great price / quality ratio."&amp;" So Advent day and night Mam;)")</f>
        <v>In the top ! My son of 10 months are accustomed to natural Advent since childhood I was afraid to change. Indeed, I needed a bedtime bottle in 330ml (AVENT unfortunately stops 270ml). My son took it very easily. Easy to clean. Great price / quality ratio. So Advent day and night Mam;)</v>
      </c>
    </row>
    <row r="7121">
      <c r="A7121" s="1">
        <v>5.0</v>
      </c>
      <c r="B7121" s="1" t="s">
        <v>7020</v>
      </c>
      <c r="C7121" t="str">
        <f>IFERROR(__xludf.DUMMYFUNCTION("GOOGLETRANSLATE(B7121, ""fr"", ""en"")"),"On top Genial")</f>
        <v>On top Genial</v>
      </c>
    </row>
    <row r="7122">
      <c r="A7122" s="1">
        <v>5.0</v>
      </c>
      <c r="B7122" s="1" t="s">
        <v>7021</v>
      </c>
      <c r="C7122" t="str">
        <f>IFERROR(__xludf.DUMMYFUNCTION("GOOGLETRANSLATE(B7122, ""fr"", ""en"")"),"Thank you frankly they are too pretty good light I'm very happy")</f>
        <v>Thank you frankly they are too pretty good light I'm very happy</v>
      </c>
    </row>
    <row r="7123">
      <c r="A7123" s="1">
        <v>5.0</v>
      </c>
      <c r="B7123" s="1" t="s">
        <v>224</v>
      </c>
      <c r="C7123" t="str">
        <f>IFERROR(__xludf.DUMMYFUNCTION("GOOGLETRANSLATE(B7123, ""fr"", ""en"")"),"perfect perfect")</f>
        <v>perfect perfect</v>
      </c>
    </row>
    <row r="7124">
      <c r="A7124" s="1">
        <v>5.0</v>
      </c>
      <c r="B7124" s="1" t="s">
        <v>7022</v>
      </c>
      <c r="C7124" t="str">
        <f>IFERROR(__xludf.DUMMYFUNCTION("GOOGLETRANSLATE(B7124, ""fr"", ""en"")"),"Good product Produced entirely consistent with the description! imitation wood coating is finished, the colors are nice, you can select or scroll through")</f>
        <v>Good product Produced entirely consistent with the description! imitation wood coating is finished, the colors are nice, you can select or scroll through</v>
      </c>
    </row>
    <row r="7125">
      <c r="A7125" s="1">
        <v>5.0</v>
      </c>
      <c r="B7125" s="1" t="s">
        <v>7023</v>
      </c>
      <c r="C7125" t="str">
        <f>IFERROR(__xludf.DUMMYFUNCTION("GOOGLETRANSLATE(B7125, ""fr"", ""en"")"),"Perfect Tailored to my Selphy CP 1300 number allows me to keep long without repurchase. Good value for money")</f>
        <v>Perfect Tailored to my Selphy CP 1300 number allows me to keep long without repurchase. Good value for money</v>
      </c>
    </row>
    <row r="7126">
      <c r="A7126" s="1">
        <v>5.0</v>
      </c>
      <c r="B7126" s="1" t="s">
        <v>7024</v>
      </c>
      <c r="C7126" t="str">
        <f>IFERROR(__xludf.DUMMYFUNCTION("GOOGLETRANSLATE(B7126, ""fr"", ""en"")"),"Beautiful gift idea this pretty box will make a great gift idea for birth. Consisting of 3 glass bottles, they are of undeniable quality. The two large bottles of 270 ml and a small 150 ml are equipped with anti-colic teats flat. Caps and clamping rings a"&amp;"re plastic transparent salmon color. The caps withdraw a thumb pressure, which is handy when baby already occupies the second arm! Measurements are shown clearly on the glass bottles. They are easily readable. Small blue and salmon animal drawings decorat"&amp;"e one side of the 3 bottles. An anatomical pacifier infancy completes the package quality. Pretty box wrapped in a decorated cardboard.")</f>
        <v>Beautiful gift idea this pretty box will make a great gift idea for birth. Consisting of 3 glass bottles, they are of undeniable quality. The two large bottles of 270 ml and a small 150 ml are equipped with anti-colic teats flat. Caps and clamping rings are plastic transparent salmon color. The caps withdraw a thumb pressure, which is handy when baby already occupies the second arm! Measurements are shown clearly on the glass bottles. They are easily readable. Small blue and salmon animal drawings decorate one side of the 3 bottles. An anatomical pacifier infancy completes the package quality. Pretty box wrapped in a decorated cardboard.</v>
      </c>
    </row>
    <row r="7127">
      <c r="A7127" s="1">
        <v>5.0</v>
      </c>
      <c r="B7127" s="1" t="s">
        <v>7025</v>
      </c>
      <c r="C7127" t="str">
        <f>IFERROR(__xludf.DUMMYFUNCTION("GOOGLETRANSLATE(B7127, ""fr"", ""en"")"),"sound very good level of isolation I use it for several weeks and I am very happy. The sound of the restitution level is the highest level and ambient sounds its very lessened. Comes with a hard plastic oval-shaped rigid shell-like casing and also for the"&amp;" transport of good quality carabiner. A jack and a USB cable, all stored in the case protected by a transportation thread for the maintenance. Use bluetooth or jack. PC / Smartphone / Tablet / Stereo / TV ...... Very satisfied with my purchase.")</f>
        <v>sound very good level of isolation I use it for several weeks and I am very happy. The sound of the restitution level is the highest level and ambient sounds its very lessened. Comes with a hard plastic oval-shaped rigid shell-like casing and also for the transport of good quality carabiner. A jack and a USB cable, all stored in the case protected by a transportation thread for the maintenance. Use bluetooth or jack. PC / Smartphone / Tablet / Stereo / TV ...... Very satisfied with my purchase.</v>
      </c>
    </row>
    <row r="7128">
      <c r="A7128" s="1">
        <v>5.0</v>
      </c>
      <c r="B7128" s="1" t="s">
        <v>7026</v>
      </c>
      <c r="C7128" t="str">
        <f>IFERROR(__xludf.DUMMYFUNCTION("GOOGLETRANSLATE(B7128, ""fr"", ""en"")"),"Vans My son happy in myself and have said they are very comfortable so I recommend this product aus buyers!")</f>
        <v>Vans My son happy in myself and have said they are very comfortable so I recommend this product aus buyers!</v>
      </c>
    </row>
    <row r="7129">
      <c r="A7129" s="1">
        <v>5.0</v>
      </c>
      <c r="B7129" s="1" t="s">
        <v>7027</v>
      </c>
      <c r="C7129" t="str">
        <f>IFERROR(__xludf.DUMMYFUNCTION("GOOGLETRANSLATE(B7129, ""fr"", ""en"")"),"good product good rpoduit")</f>
        <v>good product good rpoduit</v>
      </c>
    </row>
    <row r="7130">
      <c r="A7130" s="1">
        <v>2.0</v>
      </c>
      <c r="B7130" s="1" t="s">
        <v>7028</v>
      </c>
      <c r="C7130" t="str">
        <f>IFERROR(__xludf.DUMMYFUNCTION("GOOGLETRANSLATE(B7130, ""fr"", ""en"")"),"Warning Warning when you take the pack xl there are only 6 background bottles and 6 rings from the top with nipple and cap and not 12 it is not specified in the description. This return money to get to the final 6 full bottles, just the middle 6 1 2 pacif"&amp;"ier teats size 2 and 2 accessories. It should be noted in description me")</f>
        <v>Warning Warning when you take the pack xl there are only 6 background bottles and 6 rings from the top with nipple and cap and not 12 it is not specified in the description. This return money to get to the final 6 full bottles, just the middle 6 1 2 pacifier teats size 2 and 2 accessories. It should be noted in description me</v>
      </c>
    </row>
    <row r="7131">
      <c r="A7131" s="1">
        <v>1.0</v>
      </c>
      <c r="B7131" s="1" t="s">
        <v>7029</v>
      </c>
      <c r="C7131" t="str">
        <f>IFERROR(__xludf.DUMMYFUNCTION("GOOGLETRANSLATE(B7131, ""fr"", ""en"")"),"As poorly finished sweater")</f>
        <v>As poorly finished sweater</v>
      </c>
    </row>
    <row r="7132">
      <c r="A7132" s="1">
        <v>1.0</v>
      </c>
      <c r="B7132" s="1" t="s">
        <v>7030</v>
      </c>
      <c r="C7132" t="str">
        <f>IFERROR(__xludf.DUMMYFUNCTION("GOOGLETRANSLATE(B7132, ""fr"", ""en"")"),"Damage Good quality unfortunately too small, my husband could not carry it and I was not able to return, too high postage")</f>
        <v>Damage Good quality unfortunately too small, my husband could not carry it and I was not able to return, too high postage</v>
      </c>
    </row>
    <row r="7133">
      <c r="A7133" s="1">
        <v>3.0</v>
      </c>
      <c r="B7133" s="1" t="s">
        <v>7031</v>
      </c>
      <c r="C7133" t="str">
        <f>IFERROR(__xludf.DUMMYFUNCTION("GOOGLETRANSLATE(B7133, ""fr"", ""en"")"),"Watch teen Good value. Watch faithful to the picture but attention to small diameter. Very quickly delivered. Watch to offer its children.")</f>
        <v>Watch teen Good value. Watch faithful to the picture but attention to small diameter. Very quickly delivered. Watch to offer its children.</v>
      </c>
    </row>
    <row r="7134">
      <c r="A7134" s="1">
        <v>4.0</v>
      </c>
      <c r="B7134" s="1" t="s">
        <v>7032</v>
      </c>
      <c r="C7134" t="str">
        <f>IFERROR(__xludf.DUMMYFUNCTION("GOOGLETRANSLATE(B7134, ""fr"", ""en"")"),"Overall assessment with VIDEO / TUTO &lt;div id = ""video-block-R31F3WWPKLHUSG"" class = ""a-section-spacing-small in-spacing-top mini video-block""&gt; &lt;div tabindex = ""0"" class = "" airy airy-svg vmin-unsupported airy-skin-beacon ""style ="" background-colo"&amp;"r: rgb (0, 0, 0); position: relative; width: 100%; height: 100%; font-size: 0px; overflow : hidden; outline: none; ""&gt; &lt;div class ="" airy-renderer-container ""style ="" position: relative; height: 100%; width: 100%; ""&gt; &lt;video id ="" 7 ""preload ="" auto"&amp;" ""src ="" https://images-eu.ssl-images-amazon.com/images/I/E1ndPlpVDiS.mp4 ""style ="" position: absolute; left: 0px; top: 0px; overflow: hidden; height: 1px ; width: 1px; ""&gt; &lt;/ video&gt; &lt;/ div&gt; &lt;div id ="" airy-slate-preload ""style ="" background-color:"&amp;" rgb (0, 0, 0); background-image: url (&amp; quot; https://images-eu.ssl-images-amazon.com/images/I/A1kXlF0IVLS.png&amp;quot;); background-size: contain; background-position: center center; background-repeat: no-repeat; position: absolute ; top: 0px; left: 0px; v"&amp;"isibility: visible; width: 100%; height: 100% ""&gt; &lt;/ div&gt; &lt;iframe scrolling = ""no"" frameborder = ""0"" src = ""about: blank"" style = ""display: none;""&gt; &lt;/ iframe&gt; &lt;div tabindex = ""- 1"" class = ""airy-controls-container ""style ="" opacity: 0; visibi"&amp;"lity: hidden; ""&gt; &lt;div tabindex ="" - 1 ""class ="" airy-screen-size-toggle airy-fullscreen ""&gt; &lt;/ div&gt; &lt;div tabindex ="" - 1 ""class ="" airy-container-bottom "" &gt; &lt;div tabindex = ""- 1"" class = ""airy-track-bar spacer-left"" style = ""width: 11px;""&gt; &lt;"&amp;"/ div&gt; &lt;div tabindex = ""- 1"" class = ""airy-play- toggle airy-play ""style ="" width: 12px; margin-right: 12px; ""&gt; &lt;/ div&gt; &lt;div tabindex ="" - 1 ""class ="" airy-audio-elements ""style ="" float: right; width: 34px; ""&gt; &lt;div tabindex ="" - 1 ""class ="&amp;""" airy-audio-toggle airy-on ""&gt; &lt;/ div&gt; &lt;div tabindex ="" - 1 ""class ="" airy-audio-container ""style = ""opacity: 0; visibility: hidden; ""&gt; &lt;div tabindex ="" - 1 ""class ="" airy-audio-track-bar ""style ="" height: 80%; ""&gt; &lt;div tabindex ="" - 1 ""cla"&amp;"ss ="" airy-audio- scrubber bar ""style ="" height: 85% ""&gt; &lt;/ div&gt; &lt;div tabindex ="" - 1 ""class ="" airy-audio-scrubber ""style ="" height: 12px; bottom: 85% ""&gt; &lt;/ div&gt; &lt;/ div&gt; &lt;/ div&gt; &lt;/ div&gt; &lt;div tabindex ="" - 1 ""class ="" airy-duration-label ""sty"&amp;"le ="" float: right; width: 26px; margin-right: 4px; text-align: center; ""&gt; 0:00 &lt;/ div&gt; &lt;div tabindex ="" - 1 ""class ="" airy-track-bar spacer-right ""style ="" float: right; width: 11px; ""&gt; &lt;/ div&gt; &lt;div tabindex ="" - 1 ""class ="" airy-track-bar-con"&amp;"tainer ""style ="" margin-left: 35px; margin-right: 75px; ""&gt; &lt;div tabindex ="" - 1 ""class ="" airy-airy-track-bar vertical-centering-table ""&gt; &lt;div tabindex ="" - 1 ""class ="" airy-vertical-centering- table-cell ""&gt; &lt;div tabindex ="" - 1 ""class ="" ai"&amp;"ry-track-bar elements ""&gt; &lt;div tabindex ="" - 1 ""class ="" airy-progress bar ""&gt; &lt;/ div&gt; &lt;div tabindex = ""- 1"" class = ""airy-scrubber bar""&gt; &lt;/ div&gt; &lt;div tabindex = ""- 1"" class = ""airy-scrubber""&gt; &lt;div tabindex = ""- 1"" class = ""airy-scrubber- ic"&amp;"on ""&gt; &lt;/ div&gt; &lt;div tabindex ="" - 1 ""class ="" airy-adjusted-aui-tooltip ""style ="" opacity: 0; visibility: hidden; ""&gt; &lt;div tabindex ="" - 1 ""class ="" airy-adjusted-aui-tooltip-inner ""&gt; &lt;div tabindex ="" - 1 ""class ="" airy-current-time-label ""&gt; "&amp;"0 00 &lt;/ div&gt; &lt;/ div&gt; &lt;div tabindex = ""- 1"" class = ""airy-adjusted-aui-arrow-border""&gt; &lt;div tabindex = ""- 1"" class = ""airy-adjusted-aui-arrow"" &gt; &lt;/ div&gt; &lt;/ div&gt; &lt;/ div&gt; &lt;/ div&gt; &lt;/ div&gt; &lt;/ div&gt; &lt;/ div&gt; &lt;/ div&gt; &lt;/ div&gt; &lt;/ div&gt; &lt;div tabindex = ""- 1"" "&amp;"class = ""airy-airy-age-gate course airy-vertical-centering table-airy-dialog"" style = ""opacity: 0; visibility: hidden; ""&gt; &lt;div tabindex ="" - 1 ""class ="" airy-age-gate-vertical-centering-table-cell airy-vertical-centering-table-cell ""&gt; &lt;div tabinde"&amp;"x ="" - 1 ""class = ""airy-vertical-centering-wrapper airy-age-gate-elements-wrapper""&gt; &lt;div tabindex = ""- 1"" class = ""airy-age-gate-elements airy-dialog-elements""&gt; &lt;div tabindex = "" -1 ""class ="" airy-age-gate-prompt ""&gt; This video is not Intended "&amp;"for all audiences What time were you born &lt;/ div&gt; &lt;div tabindex =.?"" - 1 ""class ="" airy-age-gate -inputs airy-dialog-inner-elements ""&gt; &lt;select tabindex ="" - 1 ""class ="" airy-age-gate-month ""&gt; &lt;option value ="" 1 ""&gt; January &lt;/ option&gt; &lt;option valu"&amp;"e ="" 2 ""&gt; February &lt;/ option&gt; &lt;option value ="" 3 ""&gt; March &lt;/ option&gt; &lt;option value ="" 4 ""&gt; April &lt;/ option&gt; &lt;option value ="" 5 ""&gt; May &lt;/ option&gt; &lt;option value = ""6""&gt; June &lt;/ option&gt; &lt;option value = ""7""&gt; July &lt;/ option&gt; &lt;option value = ""8""&gt; A"&amp;"ugust &lt;/ option&gt; &lt;option value = ""9""&gt; September &lt;/ option&gt; &lt;option value = ""10""&gt; October &lt;/ option&gt; &lt;option value = ""11""&gt; November &lt;/ option&gt; &lt;option value = ""12""&gt; December &lt;/ option&gt; &lt;/ select&gt; &lt;select tabindex = ""- 1"" class = ""airy-age-gate-d"&amp;"ay""&gt; &lt;opti = One value ""1""&gt; 1 &lt;/ option&gt; &lt;option value = ""2""&gt; 2 &lt;/ option&gt; &lt;option value = ""3""&gt; 3 &lt;/ option&gt; &lt;option value = ""4""&gt; 4 &lt;/ option &gt; &lt;option value = ""5""&gt; 5 &lt;/ option&gt; &lt;option value = ""6""&gt; 6 &lt;/ option&gt; &lt;option value = ""7""&gt; 7 &lt;/ op"&amp;"tion&gt; &lt;option value = ""8""&gt; 8 &lt; / option&gt; &lt;option value = ""9""&gt; 9 &lt;/ option&gt; &lt;option value = ""10""&gt; 10 &lt;/ option&gt; &lt;option value = ""11""&gt; 11 &lt;/ option&gt; &lt;option value = ""12""&gt; 12 &lt;/ option&gt; &lt;option value = ""13""&gt; 13 &lt;/ option&gt; &lt;option value = ""14""&gt; "&amp;"14 &lt;/ option&gt; &lt;option value = ""15""&gt; 15 &lt;/ option&gt; &lt;option value = ""16 ""&gt; 16 &lt;/ option&gt; &lt;option value ="" 17 ""&gt; 17 &lt;/ option&gt; &lt;option value ="" 18 ""&gt; 18 &lt;/ option&gt; &lt;option value ="" 19 ""&gt; 19 &lt;/ option&gt; &lt;option value = ""20""&gt; 20 &lt;/ option&gt; &lt;option v"&amp;"alue = ""21""&gt; 21 &lt;/ option&gt; &lt;option value = ""22""&gt; 22 &lt;/ option&gt; &lt;option value = ""23""&gt; 23 &lt;/ option&gt; &lt;option value = ""24""&gt; 24 &lt;/ option&gt; &lt;option value = ""25""&gt; 25 &lt;/ option&gt; &lt;option value = ""26""&gt; 26 &lt;/ option&gt; &lt;option value = ""27""&gt; 27 &lt;/ option"&amp;"&gt; &lt;option value = ""28""&gt; 28 &lt;/ option&gt; &lt;option value = ""29""&gt; 29 &lt;/ option&gt; &lt;option value = ""30""&gt; 30 &lt;/ option&gt; &lt;option value = ""31""&gt; 31 &lt;/ option&gt; &lt;/ select&gt; &lt;select tabindex = ""- 1"" class = ""airy-age-gate-year""&gt; &lt;option value = ""2019""&gt; 2019 "&amp;"&lt;/ option&gt; &lt; option value = ""2018""&gt; 2018 &lt;/ option&gt; &lt;option value = ""2017""&gt; 2017 &lt;/ option&gt; &lt;option value = ""2016""&gt; ​​2016 &lt;/ option&gt; &lt;option value = ""2015""&gt; 2015 &lt;/ option &gt; &lt;option value = ""2014""&gt; 2014 &lt;/ option&gt; &lt;option value = ""2013""&gt; 2013"&amp;" &lt;/ option&gt; &lt;option value = ""2012""&gt; 2012 &lt;/ option&gt; &lt;option value = ""2011""&gt; 2011 &lt; / option&gt; &lt;option value = ""2010""&gt; 2010 &lt;/ option&gt; &lt;option value = ""2009""&gt; 2009 &lt;/ option&gt; &lt;option value = ""2008""&gt; 2008 &lt;/ option&gt; &lt;option value = ""2007""&gt; 2007 &lt;"&amp;"/ option&gt; &lt;option value = ""2006""&gt; 2006 &lt;/ option&gt; &lt;option value = ""2005""&gt; 2005 &lt;/ option&gt; &lt;option value = ""2004""&gt; 2004 &lt;/ option&gt; &lt;option value = ""2003 ""&gt; 2003 &lt;/ option&gt; &lt;option value ="" 2002 ""&gt; 2002 &lt;/ option&gt; &lt;option value ="" 2001 ""&gt; 2001 &lt;"&amp;"/ option&gt; &lt;option value ="" 2000 ""&gt; 2000 &lt;/ option&gt; &lt;option value = ""1999""&gt; 1999 &lt;/ option&gt; &lt;option value = ""1998""&gt; 1998 &lt;/ option&gt; &lt;option value = ""1997""&gt; 1997 &lt;/ option&gt; &lt;option value = ""1996""&gt; 1996 &lt;/ option&gt; &lt;option value = ""1995""&gt; 1995 &lt;/ "&amp;"option&gt; &lt;option value = ""1994""&gt; 1994 &lt;/ option&gt; &lt;option value = ""1993""&gt; 1993 &lt;/ option&gt; &lt;option value = ""1992""&gt; 1992 &lt;/ option&gt; &lt;option value = ""1991""&gt; 1991 &lt;/ option&gt; &lt;option value = ""1990""&gt; 1990 &lt;/ option&gt; &lt;option value = "" 1989 ""&gt; 1989 &lt;/ o"&amp;"ption&gt; &lt;option value ="" 1988 ""&gt; 1988 &lt;/ option&gt; &lt;option value ="" 1987 ""&gt; 1987 &lt;/ option&gt; &lt;option value ="" 1986 ""&gt; 1986 &lt;/ option&gt; &lt;option value = ""1985""&gt; 1985 &lt;/ option&gt; &lt;option value = ""1984""&gt; 1984 &lt;/ option&gt; &lt;option value = ""1983""&gt; 1983 &lt;/ o"&amp;"ption&gt; &lt;option value = ""1982""&gt; 1982 &lt;/ option&gt; &lt; option value = ""1981""&gt; 1981 &lt;/ option&gt; &lt;option value = ""1980""&gt; 1980 &lt;/ option&gt; &lt;option value = ""1979""&gt; 1979 &lt;/ option&gt; &lt;option value = ""1978""&gt; 1978 &lt;/ option &gt; &lt;option value = ""1977""&gt; 1977 &lt;/ op"&amp;"tion&gt; &lt;option value = ""1976""&gt; 1976 &lt;/ option&gt; &lt;option value = ""1975""&gt; 1975 &lt;/ option&gt; &lt;option value = ""1974""&gt; 1974 &lt; / option&gt; &lt;option value = ""1973""&gt; 1973 &lt;/ option&gt; &lt;option value = ""1972""&gt; 1972 &lt;/ option&gt; &lt;option value = ""1971""&gt; 1971 &lt;/ opti"&amp;"on&gt; &lt;option value = ""1970""&gt; 1970 &lt;/ option&gt; &lt;option value = ""1969""&gt; 1969 &lt;/ option&gt; &lt;option value = ""1968""&gt; 1968 &lt;/ option&gt; &lt;option value = ""1967""&gt; 1967 &lt;/ option&gt; &lt;option value = ""1966 ""&gt; 1966 &lt;/ option&gt; &lt;option value ="" 1965 ""&gt; 1965 &lt;/ optio"&amp;"n&gt; &lt;option value ="" 1964 ""&gt; 1964 &lt;/ option&gt; &lt;option value ="" 1963 ""&gt; 1963 &lt;/ option&gt; &lt;option value = ""1962""&gt; 1962 &lt;/ option&gt; &lt;option value = ""1961""&gt; 1961 &lt;/ option&gt; &lt;option value = ""1960""&gt; 1960 &lt;/ op tion&gt; &lt;option value = ""1959""&gt; 1959 &lt;/ optio"&amp;"n&gt; &lt;option value = ""1958""&gt; 1958 &lt;/ option&gt; &lt;option value = ""1957""&gt; 1957 &lt;/ option&gt; &lt;option value = ""1956""&gt; 1956 &lt;/ option&gt; &lt;option value = ""1955""&gt; 1955 &lt;/ option&gt; &lt;option value = ""1954""&gt; 1954 &lt;/ option&gt; &lt;option value = ""1953""&gt; 1953 &lt;/ option&gt; "&amp;"&lt;option value = ""1952"" &gt; 1952 &lt;/ option&gt; &lt;option value = ""1951""&gt; 1951 &lt;/ option&gt; &lt;option value = ""1950""&gt; 1950 &lt;/ option&gt; &lt;option value = ""1949""&gt; 1949 &lt;/ option&gt; &lt;option value = "" 1948 ""&gt; 1948 &lt;/ option&gt; &lt;option value ="" 1947 ""&gt; 1947 &lt;/ option&gt;"&amp;" &lt;option value ="" 1946 ""&gt; 1946 &lt;/ option&gt; &lt;option value ="" 1945 ""&gt; 1945 &lt;/ option&gt; &lt;option value = ""1944""&gt; 1944 &lt;/ option&gt; &lt;option value = ""1943""&gt; 1943 &lt;/ option&gt; &lt;option value = ""1942""&gt; 1942 &lt;/ option&gt; &lt;option value = ""1941""&gt; 1941 &lt;/ option&gt; "&amp;"&lt; option value = ""1940""&gt; 1940 &lt;/ option&gt; &lt;option value = ""1939""&gt; 1939 &lt;/ option&gt; &lt;option value = ""1938""&gt; 1938 &lt;/ option&gt; &lt;option value = ""1937""&gt; 1937 &lt;/ option &gt; &lt;option value = ""1936""&gt; 1936 &lt;/ option&gt; &lt;option value = ""1935""&gt; 1935 &lt;/ option&gt; &lt;"&amp;"option value = ""1934""&gt; 1934 &lt;/ option&gt; &lt;option value = ""1933""&gt; 1933 &lt; / option&gt; &lt;option value = ""1932""&gt; 1932 &lt;/ option&gt; &lt;option value = ""1931""&gt; 1931 &lt;/ option&gt; &lt;option v alue = ""1930""&gt; 1930 &lt;/ option&gt; &lt;option value = ""1929""&gt; 1929 &lt;/ option&gt; &lt;o"&amp;"ption value = ""1928""&gt; 1928 &lt;/ option&gt; &lt;option value = ""1927""&gt; 1927 &lt;/ option&gt; &lt;option value = ""1926""&gt; 1926 &lt;/ option&gt; &lt;option value = ""1925""&gt; 1925 &lt;/ option&gt; &lt;option value = ""1924""&gt; 1924 &lt;/ option&gt; &lt;option value = ""1923""&gt; 1923 &lt;/ option&gt; &lt;opti"&amp;"on value = ""1922""&gt; 1922 &lt;/ option&gt; &lt;option value = ""1921""&gt; 1921 &lt;/ option&gt; &lt;option value = ""1920""&gt; 1920 &lt;/ option&gt; &lt;option value = ""1919""&gt; 1919 &lt;/ option&gt; &lt;option value = ""1918""&gt; 1918 &lt;/ option&gt; &lt;option value = ""1917""&gt; 1917 &lt;/ option&gt; &lt;option "&amp;"value = ""1916""&gt; 1916 &lt;/ option&gt; &lt;option value = ""1915"" &gt; 1915 &lt;/ option&gt; &lt;option value = ""1914""&gt; 1914 &lt;/ option&gt; &lt;option value = ""1913""&gt; 1913 &lt;/ option&gt; &lt;option value = ""1912""&gt; 1912 &lt;/ option&gt; &lt;option value = "" 1911 ""&gt; 1911 &lt;/ option&gt; &lt;option "&amp;"value ="" 1910 ""&gt; 1910 &lt;/ option&gt; &lt;option value ="" 1909 ""&gt; 1909 &lt;/ option&gt; &lt;option value ="" 1908 ""&gt; 1908 &lt;/ option&gt; &lt;option value = ""1907""&gt; 1907 &lt;/ option&gt; &lt;option value = ""1906""&gt; 1906 &lt;/ option&gt; &lt;option value = ""1905""&gt; 1905 &lt;/ option&gt; &lt;option "&amp;"value = ""1904""&gt; 1904 &lt;/ option&gt; &lt; option value = ""1903""&gt; 1903 &lt;/ option&gt; &lt;option value = ""1902""&gt; 1902 &lt;/ option&gt; &lt;option value = ""1901""&gt; 19 01 &lt;/ option&gt; &lt;option value = ""1900""&gt; 1900 &lt;/ option&gt; &lt;/ select&gt; &lt;div tabindex = ""- 1"" class = ""airy-a"&amp;"ge-gate-submit airy-submit-button airy airy-submit- disabled ""&gt; Submit &lt;/ div&gt; &lt;/ div&gt; &lt;/ div&gt; &lt;/ div&gt; &lt;/ div&gt; &lt;/ div&gt; &lt;div tabindex ="" - 1 ""class ="" airy-install-flash-dialog airy-course airy -Vertical-centering-table dialog airy-airy-denied ""style "&amp;"="" opacity: 0; visibility: hidden; ""&gt; &lt;div tabindex ="" - 1 ""class ="" airy-install-flash-vertical-centering-table-cell airy-vertical-centering-table-cell ""&gt; &lt;div tabindex ="" - 1 ""class = ""airy-vertical-centering-wrapper airy-install-flash-elements"&amp;"-wrapper""&gt; &lt;div tabindex = ""- 1"" class = ""airy-install-flash-elements airy-dialog-elements""&gt; &lt;div tabindex = "" -1 ""class ="" airy-install-flash-prompt ""&gt; Adobe Flash Player is required to watch this video &lt;/ div&gt; &lt;div = tabindex."" - 1 ""class ="""&amp;" airy-install-flash-button-wrapper airy -dialog-inner-elements ""&gt; &lt;div tabindex ="" - 1 ""class ="" airy-install-flash-button airy-button ""&gt; install Flash Player &lt;/ div&gt; &lt;/ div&gt; &lt;/ div&gt; &lt;/ div&gt; &lt;/ div&gt; &lt;/ div&gt; &lt;div tabindex = ""- 1"" class = ""airy-vide"&amp;"o-unsupported-dialog airy-course airy-vertical-centering table-airy-dialog airy-denied"" style = ""opacity: 0; visibility: hidden; ""&gt; &lt;div tabindex ="" - 1 ""class ="" airy-video-unsupported-vertical-centering-table-cell airy-vertical-centering-table-cel"&amp;"l ""&gt; &lt;div tabindex ="" - 1 ""class = ""airy-vertical-centering-wrapper airy-video-unsupported-elements-wrapper""&gt; &lt;div tabindex = ""- 1"" class = ""airy-video-unsupported-elements airy-dialog-elements""&gt; &lt;div tabindex = "" -1 ""class ="" airy-video-unsup"&amp;"ported-prompt ""&gt; &lt;/ div&gt; &lt;/ div&gt; &lt;/ div&gt; &lt;/ div&gt; &lt;/ div&gt; &lt;div tabindex ="" - 1 ""class ="" airy-loading- spinner-stage airy-stage ""&gt; &lt;div tabindex ="" - 1 ""class ="" airy-loading-spinner-vertical-centering-table-cell airy-vertical-centering-table-cell "&amp;"""&gt; &lt;div tabindex ="" - 1 ""class ="" airy-loading-spinner container airy-scalable-hint-container ""&gt; &lt;div tabindex ="" - 1 ""class ="" airy-loading-spinner-dummy airy-scalable-dummy ""&gt; &lt;/ div&gt; &lt; div tabindex = ""- 1"" class = ""airy-loading-spinner airy"&amp;"-hint"" style = ""visibility: hidden;""&gt; &lt;/ div&gt; &lt;/ div&gt; &lt;/ div&gt; &lt;/ div&gt; &lt;div tabindex = ""- 1 ""class ="" airy-ads-screen-size-toggle airy-screen-size-toggle airy-fullscreen ""style ="" visibility: hidden; ""&gt; &lt;/ div&gt; &lt;div tabindex = ""-1"" class = ""air"&amp;"y-ad-prompt-container"" style = ""visibility: hidden;""&gt; &lt;div tabindex = ""- 1"" class = ""airy-ad-prompt-vertical-centering table-airy-vertical- centering-table ""&gt; &lt;div tabindex ="" - 1 ""class ="" airy-ad-prompt-vertical-centering-table-cell airy-verti"&amp;"cal-centering-table-cell ""&gt; &lt;div tabindex ="" - 1 ""class = ""airy-ad-prompt-label""&gt; &lt;/ div&gt; &lt;/ div&gt; &lt;/ div&gt; &lt;/ div&gt; &lt;div tabindex = ""- 1"" class = ""airy-ads-controls-container"" style = ""visibility: hidden; ""&gt; &lt;div tabindex ="" - 1 ""class ="" airy"&amp;"-ads-audio-toggle airy-audio-toggle airy-on ""style ="" visibility: hidden; ""&gt; &lt;/ div&gt; &lt;div tabindex ="" - 1 ""class ="" airy-time-remaining-label-container ""&gt; &lt;div tabindex ="" - 1 ""class ="" airy-time-remaining-vertical-centering table-airy-vertical-"&amp;"centering-table ""&gt; &lt;div tabindex = ""- 1"" class = ""airy-time-remaining-vertical-centering-table-cell airy-vertical-centering-table-cell""&gt; &lt;div tabindex = ""- 1"" class = ""airy-vertical-centering-wrapper airy-time-remaining-label-wrapper ""&gt; &lt;div tabi"&amp;"ndex ="" - 1 ""class ="" airy-time-remaining-label ""style ="" visibility: hidden; ""&gt; &lt;/ div&gt; &lt;div tabi ndex = ""- 1"" class = ""airy-ad-skip"" style = ""visibility: hidden;""&gt; &lt;/ div&gt; &lt;div tabindex = ""- 1"" class = ""airy-ad-end"" style = ""visibility:"&amp;" hidden; ""&gt; &lt;/ div&gt; &lt;/ div&gt; &lt;/ div&gt; &lt;/ div&gt; &lt;/ div&gt; &lt;div tabindex ="" - 1 ""class ="" airy-learn-more ""style ="" visibility: hidden; ""&gt; &lt;/ div&gt; &lt;/ div&gt; &lt;div tabindex = ""- 1"" class = ""airy-play-toggle-hint-stage airy-course airy-cursor""&gt; &lt;div tabind"&amp;"ex = ""- 1"" class = ""airy-play -toggle-hint-vertical-centering-table-cell airy-vertical-centering-table-cell airy-cursor ""&gt; &lt;div tabindex ="" - 1 ""class ="" airy-play-toggle-hint-container airy-scalable- hint-container ""&gt; &lt;div tabindex ="" - 1 ""clas"&amp;"s ="" airy-play-toggle-hint-dummy airy-scalable-dummy ""&gt; &lt;/ div&gt; &lt;div tabindex ="" - 1 ""class ="" airy-play -toggle airy-hint-hint-hint airy-play ""style ="" opacity: 1; visibility: visible; ""&gt; &lt;/ div&gt; &lt;/ div&gt; &lt;/ div&gt; &lt;/ div&gt; &lt;div tabindex ="" - 1 ""cl"&amp;"ass ="" airy-replay-hint-stage airy-stage ""style ="" visibility: hidden ; ""&gt; &lt;div tabindex ="" - 1 ""class ="" airy-replay-hint-vertical-centering-table-cell airy-vertical-centering-table-cell airy-cursor ""&gt; &lt;div tabindex ="" - 1 ""class = ""airy-repla"&amp;"y-hint-container airy-scalable-hint-container""&gt; &lt;div tabindex = ""- 1"" class = ""airy-replay-hint-dummy airy-scalable-dummy""&gt; &lt;/ div&gt; &lt;div tabindex = ""- 1"" class = ""airy-replay-hint airy-hint""&gt; &lt;/ div&gt; &lt;/ div&gt; &lt;/ div&gt; &lt;/ div&gt; &lt;div tabindex = ""- 1"&amp;""" class = ""airy-autoplay-hint -stage airy-stage ""style ="" visibility: hidden; ""&gt; &lt;div tabindex ="" - 1 ""class ="" airy-autoplay-hint-vertical-centering-table-cell airy-vertical-centering-table-cell airy- cursor ""&gt; &lt;div tabindex ="" - 1 ""class ="" "&amp;"autoplay airy-airy-hint-container-scalable-hint-container ""&gt; &lt;div tabindex ="" - 1 ""class ="" airy-autoplay-hint-dummy airy- scalable-dummy ""&gt; &lt;/ div&gt; &lt;/ div&gt; &lt;/ div&gt; &lt;/ div&gt; &lt;/ div&gt; &lt;/ div&gt; &lt;input type ="" hidden ""name ="" ""value ="" https: // pictu"&amp;"res-eu .ssl-image amazon.com / images / I / E1ndPlpVDiS.mp4 ""Class ="" video-url ""&gt; &lt;input type ="" hidden ""name ="" ""value ="" https://images-eu.ssl-images-amazon.com/images/I/A1kXlF0IVLS.png ""class ="" video-slate-img-url ""&gt; &amp; nbsp; This product i"&amp;"s brought to you by vIDEO, I invite you to view Highlights: - Delivery time and time - carefully packed box - Aesthetically pleasing - Small, discreet - Operating very simple and clear job - Ease of use - product connection by the bottom of the base (wire"&amp;" discretion) - Supplied with a graph dosing - easy filling with the dosing, maximum dosage scale marked with a line in the diffuser - a button to the right to broadcast in intermittent mode (operation / 30 seconds off) or continuous hand - a left button f"&amp;"or a random programming or selected contrast colors - Palette enormous colors, many different shades - Use as referred to in mist moistened er as possible (without putting drops of essential oils), for cool summer nights or otherwise moisten a dry air thr"&amp;"ough the radiators in winter - Quiet operation Negatives: - The maximum scale is difficult to achieve precisely because it is so little transparency difficult to see how far we filled the diffuser (generally I always aim below) - it's small so obviously i"&amp;"t will work a few hours but not more, then the water will be consumed - This n has no quantitative adjustment misting force, however the product took preference to rely on the possibility of random mode (see above) - the color of the atomizer is more of a"&amp;" coloring only the diffuser that lighting to talk properly; not counting light up a room with Total: overall satisfaction")</f>
        <v>Overall assessment with VIDEO / TUTO &lt;div id = "video-block-R31F3WWPKLHUSG" class = "a-section-spacing-small in-spacing-top mini video-block"&gt; &lt;div tabindex = "0" class = " airy airy-svg vmin-unsupported airy-skin-beacon "style =" background-color: rgb (0, 0, 0); position: relative; width: 100%; height: 100%; font-size: 0px; overflow : hidden; outline: none; "&gt; &lt;div class =" airy-renderer-container "style =" position: relative; height: 100%; width: 100%; "&gt; &lt;video id =" 7 "preload =" auto "src =" https://images-eu.ssl-images-amazon.com/images/I/E1ndPlpVDiS.mp4 "style =" position: absolute; left: 0px; top: 0px; overflow: hidden; height: 1px ; width: 1px; "&gt; &lt;/ video&gt; &lt;/ div&gt; &lt;div id =" airy-slate-preload "style =" background-color: rgb (0, 0, 0); background-image: url (&amp; quot; https://images-eu.ssl-images-amazon.com/images/I/A1kXlF0IVLS.png&amp;quot;); background-size: contain; background-position: center center; background-repeat: no-repeat; position: absolute ; top: 0px;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E1ndPlpVDiS.mp4 "Class =" video-url "&gt; &lt;input type =" hidden "name =" "value =" https://images-eu.ssl-images-amazon.com/images/I/A1kXlF0IVLS.png "class =" video-slate-img-url "&gt; &amp; nbsp; This product is brought to you by vIDEO, I invite you to view Highlights: - Delivery time and time - carefully packed box - Aesthetically pleasing - Small, discreet - Operating very simple and clear job - Ease of use - product connection by the bottom of the base (wire discretion) - Supplied with a graph dosing - easy filling with the dosing, maximum dosage scale marked with a line in the diffuser - a button to the right to broadcast in intermittent mode (operation / 30 seconds off) or continuous hand - a left button for a random programming or selected contrast colors - Palette enormous colors, many different shades - Use as referred to in mist moistened er as possible (without putting drops of essential oils), for cool summer nights or otherwise moisten a dry air through the radiators in winter - Quiet operation Negatives: - The maximum scale is difficult to achieve precisely because it is so little transparency difficult to see how far we filled the diffuser (generally I always aim below) - it's small so obviously it will work a few hours but not more, then the water will be consumed - This n has no quantitative adjustment misting force, however the product took preference to rely on the possibility of random mode (see above) - the color of the atomizer is more of a coloring only the diffuser that lighting to talk properly; not counting light up a room with Total: overall satisfaction</v>
      </c>
    </row>
    <row r="7135">
      <c r="A7135" s="1">
        <v>4.0</v>
      </c>
      <c r="B7135" s="1" t="s">
        <v>7033</v>
      </c>
      <c r="C7135" t="str">
        <f>IFERROR(__xludf.DUMMYFUNCTION("GOOGLETRANSLATE(B7135, ""fr"", ""en"")"),"TOP ! Despite some vapors Article is top. Highlight: its design, its large capacity, its functions, its ease of use. Weakness: little steam, noise means all the same")</f>
        <v>TOP ! Despite some vapors Article is top. Highlight: its design, its large capacity, its functions, its ease of use. Weakness: little steam, noise means all the same</v>
      </c>
    </row>
    <row r="7136">
      <c r="A7136" s="1">
        <v>4.0</v>
      </c>
      <c r="B7136" s="1" t="s">
        <v>7034</v>
      </c>
      <c r="C7136" t="str">
        <f>IFERROR(__xludf.DUMMYFUNCTION("GOOGLETRANSLATE(B7136, ""fr"", ""en"")"),"very well this is my first diffuser. so my opinion is not necessarily relevant. but the product does the job. 80m² my piece is probably a bit too big, but we feel different moods in the room.")</f>
        <v>very well this is my first diffuser. so my opinion is not necessarily relevant. but the product does the job. 80m² my piece is probably a bit too big, but we feel different moods in the room.</v>
      </c>
    </row>
    <row r="7137">
      <c r="A7137" s="1">
        <v>4.0</v>
      </c>
      <c r="B7137" s="1" t="s">
        <v>7035</v>
      </c>
      <c r="C7137" t="str">
        <f>IFERROR(__xludf.DUMMYFUNCTION("GOOGLETRANSLATE(B7137, ""fr"", ""en"")"),"Super shine. Just polish dispenser does not work well. Otherwise great purchase")</f>
        <v>Super shine. Just polish dispenser does not work well. Otherwise great purchase</v>
      </c>
    </row>
    <row r="7138">
      <c r="A7138" s="1">
        <v>4.0</v>
      </c>
      <c r="B7138" s="1" t="s">
        <v>7036</v>
      </c>
      <c r="C7138" t="str">
        <f>IFERROR(__xludf.DUMMYFUNCTION("GOOGLETRANSLATE(B7138, ""fr"", ""en"")"),"A good discovery Voila stories I discover with our daughter and she loves. Small stories pretty well shot, good length for reading at night and ideal when children begin to read. A good birthday present to offer.")</f>
        <v>A good discovery Voila stories I discover with our daughter and she loves. Small stories pretty well shot, good length for reading at night and ideal when children begin to read. A good birthday present to offer.</v>
      </c>
    </row>
    <row r="7139">
      <c r="A7139" s="1">
        <v>5.0</v>
      </c>
      <c r="B7139" s="1" t="s">
        <v>7037</v>
      </c>
      <c r="C7139" t="str">
        <f>IFERROR(__xludf.DUMMYFUNCTION("GOOGLETRANSLATE(B7139, ""fr"", ""en"")"),"Converse as always No surprises for those who cut converse as usual a good half-size up other brands. The color is soft and well suited to a young girl (11 years and counting).")</f>
        <v>Converse as always No surprises for those who cut converse as usual a good half-size up other brands. The color is soft and well suited to a young girl (11 years and counting).</v>
      </c>
    </row>
    <row r="7140">
      <c r="A7140" s="1">
        <v>5.0</v>
      </c>
      <c r="B7140" s="1" t="s">
        <v>7038</v>
      </c>
      <c r="C7140" t="str">
        <f>IFERROR(__xludf.DUMMYFUNCTION("GOOGLETRANSLATE(B7140, ""fr"", ""en"")"),"Super Pretty good product I am very surprised by the quality of the bracelet it makes a great effect on girls thank you Amazon I recommend super beautiful.")</f>
        <v>Super Pretty good product I am very surprised by the quality of the bracelet it makes a great effect on girls thank you Amazon I recommend super beautiful.</v>
      </c>
    </row>
    <row r="7141">
      <c r="A7141" s="1">
        <v>5.0</v>
      </c>
      <c r="B7141" s="1" t="s">
        <v>7039</v>
      </c>
      <c r="C7141" t="str">
        <f>IFERROR(__xludf.DUMMYFUNCTION("GOOGLETRANSLATE(B7141, ""fr"", ""en"")"),"Nice pair of shoes too cool and stylish")</f>
        <v>Nice pair of shoes too cool and stylish</v>
      </c>
    </row>
    <row r="7142">
      <c r="A7142" s="1">
        <v>5.0</v>
      </c>
      <c r="B7142" s="1" t="s">
        <v>7040</v>
      </c>
      <c r="C7142" t="str">
        <f>IFERROR(__xludf.DUMMYFUNCTION("GOOGLETRANSLATE(B7142, ""fr"", ""en"")"),"Nickel Perfect size, my son is happy with this purchase")</f>
        <v>Nickel Perfect size, my son is happy with this purchase</v>
      </c>
    </row>
    <row r="7143">
      <c r="A7143" s="1">
        <v>5.0</v>
      </c>
      <c r="B7143" s="1" t="s">
        <v>7041</v>
      </c>
      <c r="C7143" t="str">
        <f>IFERROR(__xludf.DUMMYFUNCTION("GOOGLETRANSLATE(B7143, ""fr"", ""en"")"),"I recommend niquel painting for children. Do not stain.")</f>
        <v>I recommend niquel painting for children. Do not stain.</v>
      </c>
    </row>
    <row r="7144">
      <c r="A7144" s="1">
        <v>5.0</v>
      </c>
      <c r="B7144" s="1" t="s">
        <v>7042</v>
      </c>
      <c r="C7144" t="str">
        <f>IFERROR(__xludf.DUMMYFUNCTION("GOOGLETRANSLATE(B7144, ""fr"", ""en"")"),"great product my son carries his watch every day to go to college, he is very happy with its design, color, etc ...")</f>
        <v>great product my son carries his watch every day to go to college, he is very happy with its design, color, etc ...</v>
      </c>
    </row>
    <row r="7145">
      <c r="A7145" s="1">
        <v>5.0</v>
      </c>
      <c r="B7145" s="1" t="s">
        <v>7043</v>
      </c>
      <c r="C7145" t="str">
        <f>IFERROR(__xludf.DUMMYFUNCTION("GOOGLETRANSLATE(B7145, ""fr"", ""en"")"),"I recommend very nice box, bottle suitable for my daughter who only wants the people.")</f>
        <v>I recommend very nice box, bottle suitable for my daughter who only wants the people.</v>
      </c>
    </row>
    <row r="7146">
      <c r="A7146" s="1">
        <v>5.0</v>
      </c>
      <c r="B7146" s="1" t="s">
        <v>7044</v>
      </c>
      <c r="C7146" t="str">
        <f>IFERROR(__xludf.DUMMYFUNCTION("GOOGLETRANSLATE(B7146, ""fr"", ""en"")"),"Excellent headphones I use these headphones on the bus, when I ride my bike or when I'm on the computer. They stand up well to the test of time, I may change almost every year. (3 years after I take the same) These headphones are for me the best in the ma"&amp;"rket: a perfect sound, they are comfortable and you do not hear what listening when in public.")</f>
        <v>Excellent headphones I use these headphones on the bus, when I ride my bike or when I'm on the computer. They stand up well to the test of time, I may change almost every year. (3 years after I take the same) These headphones are for me the best in the market: a perfect sound, they are comfortable and you do not hear what listening when in public.</v>
      </c>
    </row>
    <row r="7147">
      <c r="A7147" s="1">
        <v>5.0</v>
      </c>
      <c r="B7147" s="1" t="s">
        <v>7045</v>
      </c>
      <c r="C7147" t="str">
        <f>IFERROR(__xludf.DUMMYFUNCTION("GOOGLETRANSLATE(B7147, ""fr"", ""en"")"),"Resistant even when wet. I love this paper, it absorbs, I wet and clean with, it is resistant. I had to buy to try, I'm sure. Congratulations Amazon.")</f>
        <v>Resistant even when wet. I love this paper, it absorbs, I wet and clean with, it is resistant. I had to buy to try, I'm sure. Congratulations Amazon.</v>
      </c>
    </row>
    <row r="7148">
      <c r="A7148" s="1">
        <v>5.0</v>
      </c>
      <c r="B7148" s="1" t="s">
        <v>7046</v>
      </c>
      <c r="C7148" t="str">
        <f>IFERROR(__xludf.DUMMYFUNCTION("GOOGLETRANSLATE(B7148, ""fr"", ""en"")"),"Perfect All perfect!")</f>
        <v>Perfect All perfect!</v>
      </c>
    </row>
    <row r="7149">
      <c r="A7149" s="1">
        <v>5.0</v>
      </c>
      <c r="B7149" s="1" t="s">
        <v>7047</v>
      </c>
      <c r="C7149" t="str">
        <f>IFERROR(__xludf.DUMMYFUNCTION("GOOGLETRANSLATE(B7149, ""fr"", ""en"")"),"incredible incredible")</f>
        <v>incredible incredible</v>
      </c>
    </row>
    <row r="7150">
      <c r="A7150" s="1">
        <v>5.0</v>
      </c>
      <c r="B7150" s="1" t="s">
        <v>7048</v>
      </c>
      <c r="C7150" t="str">
        <f>IFERROR(__xludf.DUMMYFUNCTION("GOOGLETRANSLATE(B7150, ""fr"", ""en"")"),"A killing the desing Fast delivery and the sound is top and the battery lasts a long time. also contains spare bits. I recommend")</f>
        <v>A killing the desing Fast delivery and the sound is top and the battery lasts a long time. also contains spare bits. I recommend</v>
      </c>
    </row>
    <row r="7151">
      <c r="A7151" s="1">
        <v>5.0</v>
      </c>
      <c r="B7151" s="1" t="s">
        <v>7049</v>
      </c>
      <c r="C7151" t="str">
        <f>IFERROR(__xludf.DUMMYFUNCTION("GOOGLETRANSLATE(B7151, ""fr"", ""en"")"),"Quality since 2014 fantastic comfortable solid exceptional product purchases ... 6 ordered pairs for friends all satisfied 4 years of faithful service to this day .......")</f>
        <v>Quality since 2014 fantastic comfortable solid exceptional product purchases ... 6 ordered pairs for friends all satisfied 4 years of faithful service to this day .......</v>
      </c>
    </row>
    <row r="7152">
      <c r="A7152" s="1">
        <v>5.0</v>
      </c>
      <c r="B7152" s="1" t="s">
        <v>7050</v>
      </c>
      <c r="C7152" t="str">
        <f>IFERROR(__xludf.DUMMYFUNCTION("GOOGLETRANSLATE(B7152, ""fr"", ""en"")"),"Bag Super good material backpack, it is doing very well on my back l appreciate every pocket: it's everywhere, big, small, hidden It is waterproof and the fact that we must fold to close allows either very secure and you choose the size. The pocket undern"&amp;"eath is very convenient for sports,")</f>
        <v>Bag Super good material backpack, it is doing very well on my back l appreciate every pocket: it's everywhere, big, small, hidden It is waterproof and the fact that we must fold to close allows either very secure and you choose the size. The pocket underneath is very convenient for sports,</v>
      </c>
    </row>
    <row r="7153">
      <c r="A7153" s="1">
        <v>5.0</v>
      </c>
      <c r="B7153" s="1" t="s">
        <v>7051</v>
      </c>
      <c r="C7153" t="str">
        <f>IFERROR(__xludf.DUMMYFUNCTION("GOOGLETRANSLATE(B7153, ""fr"", ""en"")"),"I very valid leap mic I am amazed at the quality really beautiful just the microphone cable to phantom power but let me just buy another one")</f>
        <v>I very valid leap mic I am amazed at the quality really beautiful just the microphone cable to phantom power but let me just buy another one</v>
      </c>
    </row>
    <row r="7154">
      <c r="A7154" s="1">
        <v>2.0</v>
      </c>
      <c r="B7154" s="1" t="s">
        <v>7052</v>
      </c>
      <c r="C7154" t="str">
        <f>IFERROR(__xludf.DUMMYFUNCTION("GOOGLETRANSLATE(B7154, ""fr"", ""en"")"),"No top I did not like the hairs that tend to depart I liked ergonomic handle")</f>
        <v>No top I did not like the hairs that tend to depart I liked ergonomic handle</v>
      </c>
    </row>
    <row r="7155">
      <c r="A7155" s="1">
        <v>1.0</v>
      </c>
      <c r="B7155" s="1" t="s">
        <v>7053</v>
      </c>
      <c r="C7155" t="str">
        <f>IFERROR(__xludf.DUMMYFUNCTION("GOOGLETRANSLATE(B7155, ""fr"", ""en"")"),"Irrelevant My son has not slept better. It was an attempt somewhat desperate ... The necklace is not beautiful, the quality is poor. At the same time, at this price you can not expect much.")</f>
        <v>Irrelevant My son has not slept better. It was an attempt somewhat desperate ... The necklace is not beautiful, the quality is poor. At the same time, at this price you can not expect much.</v>
      </c>
    </row>
    <row r="7156">
      <c r="A7156" s="1">
        <v>3.0</v>
      </c>
      <c r="B7156" s="1" t="s">
        <v>7054</v>
      </c>
      <c r="C7156" t="str">
        <f>IFERROR(__xludf.DUMMYFUNCTION("GOOGLETRANSLATE(B7156, ""fr"", ""en"")"),"different material is that you can see on the image, but not bad, very light Brother")</f>
        <v>different material is that you can see on the image, but not bad, very light Brother</v>
      </c>
    </row>
    <row r="7157">
      <c r="A7157" s="1">
        <v>3.0</v>
      </c>
      <c r="B7157" s="1" t="s">
        <v>7055</v>
      </c>
      <c r="C7157" t="str">
        <f>IFERROR(__xludf.DUMMYFUNCTION("GOOGLETRANSLATE(B7157, ""fr"", ""en"")"),"Twice the helmet was defective. Very good sound Hello, I received two beyerdynamic I tested 1 month each. Both had the same defects: single cable jack''simple '' was creating interference coupled with its Asus phoebus card (properly working I tested other"&amp;" headsets) In addition the two helmets mmx 300 2nd generation had the micro defective for both. A sizzling continues to hear was strongly preventing communication. In terms of sound it is however very good. After 4 hours of playing around you begin to fee"&amp;"l the helmet that compresses a little eardrums but this is normal. I paid € 299 (September 2017) Be luckier than me.")</f>
        <v>Twice the helmet was defective. Very good sound Hello, I received two beyerdynamic I tested 1 month each. Both had the same defects: single cable jack''simple '' was creating interference coupled with its Asus phoebus card (properly working I tested other headsets) In addition the two helmets mmx 300 2nd generation had the micro defective for both. A sizzling continues to hear was strongly preventing communication. In terms of sound it is however very good. After 4 hours of playing around you begin to feel the helmet that compresses a little eardrums but this is normal. I paid € 299 (September 2017) Be luckier than me.</v>
      </c>
    </row>
    <row r="7158">
      <c r="A7158" s="1">
        <v>4.0</v>
      </c>
      <c r="B7158" s="1" t="s">
        <v>7056</v>
      </c>
      <c r="C7158" t="str">
        <f>IFERROR(__xludf.DUMMYFUNCTION("GOOGLETRANSLATE(B7158, ""fr"", ""en"")"),"Model a little female Compliant")</f>
        <v>Model a little female Compliant</v>
      </c>
    </row>
    <row r="7159">
      <c r="A7159" s="1">
        <v>4.0</v>
      </c>
      <c r="B7159" s="1" t="s">
        <v>7057</v>
      </c>
      <c r="C7159" t="str">
        <f>IFERROR(__xludf.DUMMYFUNCTION("GOOGLETRANSLATE(B7159, ""fr"", ""en"")"),"Good product but ... Very nice article visually, although with a cable (short), I think it is more for listening to music on his phone bluetooth. Many functions, discrete keys on the phone. Symbol bright changing colors on the headphones. Even in high win"&amp;"ds, it will remain in place, as it grips well head ... A little too much perhaps! ... Listening is quite good, the atria of larger sizes would be more comfortable. Otherwise rate report it to the top.")</f>
        <v>Good product but ... Very nice article visually, although with a cable (short), I think it is more for listening to music on his phone bluetooth. Many functions, discrete keys on the phone. Symbol bright changing colors on the headphones. Even in high winds, it will remain in place, as it grips well head ... A little too much perhaps! ... Listening is quite good, the atria of larger sizes would be more comfortable. Otherwise rate report it to the top.</v>
      </c>
    </row>
    <row r="7160">
      <c r="A7160" s="1">
        <v>4.0</v>
      </c>
      <c r="B7160" s="1" t="s">
        <v>7058</v>
      </c>
      <c r="C7160" t="str">
        <f>IFERROR(__xludf.DUMMYFUNCTION("GOOGLETRANSLATE(B7160, ""fr"", ""en"")"),"The Adidas sneakers are great, I took in white and silver. In terms of size against, it's small size, or of my withdrawal of a star I took my usual size, I'm a little tight in (fortunately my feet are very thin, so it does anyway) . Rather satisfied with "&amp;"my purchase.")</f>
        <v>The Adidas sneakers are great, I took in white and silver. In terms of size against, it's small size, or of my withdrawal of a star I took my usual size, I'm a little tight in (fortunately my feet are very thin, so it does anyway) . Rather satisfied with my purchase.</v>
      </c>
    </row>
    <row r="7161">
      <c r="A7161" s="1">
        <v>4.0</v>
      </c>
      <c r="B7161" s="1" t="s">
        <v>7059</v>
      </c>
      <c r="C7161" t="str">
        <f>IFERROR(__xludf.DUMMYFUNCTION("GOOGLETRANSLATE(B7161, ""fr"", ""en"")"),"Quality in relation to the price Well, we will not lie to € 130 we do not expect something of very high quality. However the product is of good quality for its price, easy to implement and to book mobile use. Finishing just ok. The headrest and structure "&amp;"are plastic, ""plastoc"" same. The question is how it will age. Unnecessary armrests and the fixing of which is heresy in terms of mechanics are good to put in the trash from the start. We forget the grotesque 1100 kg static load, to 1 ton on the table do"&amp;"es not make sense and be saying 270 kg dynamic within the ridiculous advertising or a real taste for suicide. For medium-weight people up 80-100 kg no problem, beyond it will be vigilant if the massage is vigorous and causes significant movement especiall"&amp;"y repeatedly structure. In summary, I recommend this product to the extent that its use is reasonable if it is to last, namely classical massages on non stratospheric weight people. Stands behind a door, a little painful to hand in its cover but this is a"&amp;"necdotal.")</f>
        <v>Quality in relation to the price Well, we will not lie to € 130 we do not expect something of very high quality. However the product is of good quality for its price, easy to implement and to book mobile use. Finishing just ok. The headrest and structure are plastic, "plastoc" same. The question is how it will age. Unnecessary armrests and the fixing of which is heresy in terms of mechanics are good to put in the trash from the start. We forget the grotesque 1100 kg static load, to 1 ton on the table does not make sense and be saying 270 kg dynamic within the ridiculous advertising or a real taste for suicide. For medium-weight people up 80-100 kg no problem, beyond it will be vigilant if the massage is vigorous and causes significant movement especially repeatedly structure. In summary, I recommend this product to the extent that its use is reasonable if it is to last, namely classical massages on non stratospheric weight people. Stands behind a door, a little painful to hand in its cover but this is anecdotal.</v>
      </c>
    </row>
    <row r="7162">
      <c r="A7162" s="1">
        <v>5.0</v>
      </c>
      <c r="B7162" s="1" t="s">
        <v>7060</v>
      </c>
      <c r="C7162" t="str">
        <f>IFERROR(__xludf.DUMMYFUNCTION("GOOGLETRANSLATE(B7162, ""fr"", ""en"")"),"Basketball Great")</f>
        <v>Basketball Great</v>
      </c>
    </row>
    <row r="7163">
      <c r="A7163" s="1">
        <v>5.0</v>
      </c>
      <c r="B7163" s="1" t="s">
        <v>7061</v>
      </c>
      <c r="C7163" t="str">
        <f>IFERROR(__xludf.DUMMYFUNCTION("GOOGLETRANSLATE(B7163, ""fr"", ""en"")"),"Good quality, really perfect I foresee a size larger than normal, and this is really perfect")</f>
        <v>Good quality, really perfect I foresee a size larger than normal, and this is really perfect</v>
      </c>
    </row>
    <row r="7164">
      <c r="A7164" s="1">
        <v>5.0</v>
      </c>
      <c r="B7164" s="1" t="s">
        <v>7062</v>
      </c>
      <c r="C7164" t="str">
        <f>IFERROR(__xludf.DUMMYFUNCTION("GOOGLETRANSLATE(B7164, ""fr"", ""en"")"),"5 stars Superior Quality. I have my wife and me and it's great - very happy")</f>
        <v>5 stars Superior Quality. I have my wife and me and it's great - very happy</v>
      </c>
    </row>
    <row r="7165">
      <c r="A7165" s="1">
        <v>5.0</v>
      </c>
      <c r="B7165" s="1" t="s">
        <v>7063</v>
      </c>
      <c r="C7165" t="str">
        <f>IFERROR(__xludf.DUMMYFUNCTION("GOOGLETRANSLATE(B7165, ""fr"", ""en"")"),"Cartridge gun original cartridge gun contains a color cartridge and a black cartridge, good quality printing, good value for money. Quick delivery. Well protected in the package. I recommend.")</f>
        <v>Cartridge gun original cartridge gun contains a color cartridge and a black cartridge, good quality printing, good value for money. Quick delivery. Well protected in the package. I recommend.</v>
      </c>
    </row>
    <row r="7166">
      <c r="A7166" s="1">
        <v>5.0</v>
      </c>
      <c r="B7166" s="1" t="s">
        <v>7064</v>
      </c>
      <c r="C7166" t="str">
        <f>IFERROR(__xludf.DUMMYFUNCTION("GOOGLETRANSLATE(B7166, ""fr"", ""en"")"),"Casio Good shows very good easy to use, always on time thanks to its radio-controlled system, I am completely satisfied with my purchase.")</f>
        <v>Casio Good shows very good easy to use, always on time thanks to its radio-controlled system, I am completely satisfied with my purchase.</v>
      </c>
    </row>
    <row r="7167">
      <c r="A7167" s="1">
        <v>5.0</v>
      </c>
      <c r="B7167" s="1" t="s">
        <v>7065</v>
      </c>
      <c r="C7167" t="str">
        <f>IFERROR(__xludf.DUMMYFUNCTION("GOOGLETRANSLATE(B7167, ""fr"", ""en"")"),"Beautiful and comfortable to wear. Very nice shoes.")</f>
        <v>Beautiful and comfortable to wear. Very nice shoes.</v>
      </c>
    </row>
    <row r="7168">
      <c r="A7168" s="1">
        <v>5.0</v>
      </c>
      <c r="B7168" s="1" t="s">
        <v>2612</v>
      </c>
      <c r="C7168" t="str">
        <f>IFERROR(__xludf.DUMMYFUNCTION("GOOGLETRANSLATE(B7168, ""fr"", ""en"")"),"Although Ras")</f>
        <v>Although Ras</v>
      </c>
    </row>
    <row r="7169">
      <c r="A7169" s="1">
        <v>5.0</v>
      </c>
      <c r="B7169" s="1" t="s">
        <v>7066</v>
      </c>
      <c r="C7169" t="str">
        <f>IFERROR(__xludf.DUMMYFUNCTION("GOOGLETRANSLATE(B7169, ""fr"", ""en"")"),"Table top top top top 👌 for the price really top yai easy to install in 5 min very comfortable very good qualities 😍😍😍")</f>
        <v>Table top top top top 👌 for the price really top yai easy to install in 5 min very comfortable very good qualities 😍😍😍</v>
      </c>
    </row>
    <row r="7170">
      <c r="A7170" s="1">
        <v>5.0</v>
      </c>
      <c r="B7170" s="1" t="s">
        <v>7067</v>
      </c>
      <c r="C7170" t="str">
        <f>IFERROR(__xludf.DUMMYFUNCTION("GOOGLETRANSLATE(B7170, ""fr"", ""en"")"),"Nickel Nothing to say. Nike is ""The"" brand! My sister is more than happy to her bra. In addition it is much less expensive here than in store. No transparency. Excellent support (On a bonnet G / A) I RECOMMEND!")</f>
        <v>Nickel Nothing to say. Nike is "The" brand! My sister is more than happy to her bra. In addition it is much less expensive here than in store. No transparency. Excellent support (On a bonnet G / A) I RECOMMEND!</v>
      </c>
    </row>
    <row r="7171">
      <c r="A7171" s="1">
        <v>5.0</v>
      </c>
      <c r="B7171" s="1" t="s">
        <v>7068</v>
      </c>
      <c r="C7171" t="str">
        <f>IFERROR(__xludf.DUMMYFUNCTION("GOOGLETRANSLATE(B7171, ""fr"", ""en"")"),"After some very effective applications only, the legs of my chickens have become much more beautiful.")</f>
        <v>After some very effective applications only, the legs of my chickens have become much more beautiful.</v>
      </c>
    </row>
    <row r="7172">
      <c r="A7172" s="1">
        <v>5.0</v>
      </c>
      <c r="B7172" s="1" t="s">
        <v>7069</v>
      </c>
      <c r="C7172" t="str">
        <f>IFERROR(__xludf.DUMMYFUNCTION("GOOGLETRANSLATE(B7172, ""fr"", ""en"")"),"useful product proceeds received well packaged and earlier rapid Buy for my niece just born 3 in 1 that allows sterilization, drying and heating the milk, easy to use and rapider just a few seconds to heat milk or breast milk and he it has a great capacit"&amp;"y to hold 6 bottle both sterilization and drying can be done at the same time it saves time it's really recommendable")</f>
        <v>useful product proceeds received well packaged and earlier rapid Buy for my niece just born 3 in 1 that allows sterilization, drying and heating the milk, easy to use and rapider just a few seconds to heat milk or breast milk and he it has a great capacity to hold 6 bottle both sterilization and drying can be done at the same time it saves time it's really recommendable</v>
      </c>
    </row>
    <row r="7173">
      <c r="A7173" s="1">
        <v>5.0</v>
      </c>
      <c r="B7173" s="1" t="s">
        <v>7070</v>
      </c>
      <c r="C7173" t="str">
        <f>IFERROR(__xludf.DUMMYFUNCTION("GOOGLETRANSLATE(B7173, ""fr"", ""en"")"),"HP Pack 2 Cartridges Inkjet Originale No. 302 Blist Black Color + Fast Shipping. Value for money impeccable. Thank you !")</f>
        <v>HP Pack 2 Cartridges Inkjet Originale No. 302 Blist Black Color + Fast Shipping. Value for money impeccable. Thank you !</v>
      </c>
    </row>
    <row r="7174">
      <c r="A7174" s="1">
        <v>5.0</v>
      </c>
      <c r="B7174" s="1" t="s">
        <v>7071</v>
      </c>
      <c r="C7174" t="str">
        <f>IFERROR(__xludf.DUMMYFUNCTION("GOOGLETRANSLATE(B7174, ""fr"", ""en"")"),"Great product I love it!")</f>
        <v>Great product I love it!</v>
      </c>
    </row>
    <row r="7175">
      <c r="A7175" s="1">
        <v>5.0</v>
      </c>
      <c r="B7175" s="1" t="s">
        <v>7072</v>
      </c>
      <c r="C7175" t="str">
        <f>IFERROR(__xludf.DUMMYFUNCTION("GOOGLETRANSLATE(B7175, ""fr"", ""en"")"),"they are perfect no complaints. Check with a few days in advance, well packed, very good material, shoe stands, perfect size. I love them")</f>
        <v>they are perfect no complaints. Check with a few days in advance, well packed, very good material, shoe stands, perfect size. I love them</v>
      </c>
    </row>
    <row r="7176">
      <c r="A7176" s="1">
        <v>5.0</v>
      </c>
      <c r="B7176" s="1" t="s">
        <v>7073</v>
      </c>
      <c r="C7176" t="str">
        <f>IFERROR(__xludf.DUMMYFUNCTION("GOOGLETRANSLATE(B7176, ""fr"", ""en"")"),"18272E Exacompta Refill Exatime 17 Weekly EXA10 ... Every year, I take this charge, which contains perfectly everything I need: simplicity, speed reading, reliability, decent price.")</f>
        <v>18272E Exacompta Refill Exatime 17 Weekly EXA10 ... Every year, I take this charge, which contains perfectly everything I need: simplicity, speed reading, reliability, decent price.</v>
      </c>
    </row>
    <row r="7177">
      <c r="A7177" s="1">
        <v>2.0</v>
      </c>
      <c r="B7177" s="1" t="s">
        <v>7074</v>
      </c>
      <c r="C7177" t="str">
        <f>IFERROR(__xludf.DUMMYFUNCTION("GOOGLETRANSLATE(B7177, ""fr"", ""en"")"),"Adidas Stan Smith white Beautiful Stan Smith but did not meet my expectations because too big on front :-(. Anyway Amazon was very pro for the return and refund ultra fast thank you Amazon :-)")</f>
        <v>Adidas Stan Smith white Beautiful Stan Smith but did not meet my expectations because too big on front :-(. Anyway Amazon was very pro for the return and refund ultra fast thank you Amazon :-)</v>
      </c>
    </row>
    <row r="7178">
      <c r="A7178" s="1">
        <v>1.0</v>
      </c>
      <c r="B7178" s="1" t="s">
        <v>7075</v>
      </c>
      <c r="C7178" t="str">
        <f>IFERROR(__xludf.DUMMYFUNCTION("GOOGLETRANSLATE(B7178, ""fr"", ""en"")"),"200 j earrings Hooks have control these hooks ears to manufacture jewelry but unfortunately I have not received the control loops are gray math .Moi think I have now received the shiny silver I have bought another of orelles loops")</f>
        <v>200 j earrings Hooks have control these hooks ears to manufacture jewelry but unfortunately I have not received the control loops are gray math .Moi think I have now received the shiny silver I have bought another of orelles loops</v>
      </c>
    </row>
    <row r="7179">
      <c r="A7179" s="1">
        <v>1.0</v>
      </c>
      <c r="B7179" s="1" t="s">
        <v>7076</v>
      </c>
      <c r="C7179" t="str">
        <f>IFERROR(__xludf.DUMMYFUNCTION("GOOGLETRANSLATE(B7179, ""fr"", ""en"")"),"Standard Size is one color improper Rather a dress a small cloth.")</f>
        <v>Standard Size is one color improper Rather a dress a small cloth.</v>
      </c>
    </row>
    <row r="7180">
      <c r="A7180" s="1">
        <v>3.0</v>
      </c>
      <c r="B7180" s="1" t="s">
        <v>7077</v>
      </c>
      <c r="C7180" t="str">
        <f>IFERROR(__xludf.DUMMYFUNCTION("GOOGLETRANSLATE(B7180, ""fr"", ""en"")"),"Ok Delivery Delivery 2 days later than the maximum specified time. Shoe box exploded even if the final, the shoe had no defects: I was scared! Product in accordance with my order.")</f>
        <v>Ok Delivery Delivery 2 days later than the maximum specified time. Shoe box exploded even if the final, the shoe had no defects: I was scared! Product in accordance with my order.</v>
      </c>
    </row>
    <row r="7181">
      <c r="A7181" s="1">
        <v>3.0</v>
      </c>
      <c r="B7181" s="1" t="s">
        <v>7078</v>
      </c>
      <c r="C7181" t="str">
        <f>IFERROR(__xludf.DUMMYFUNCTION("GOOGLETRANSLATE(B7181, ""fr"", ""en"")"),"Disappointed Chausse too small ... the first to really too small shoe size, returned to my expenses for a size above and still too small .. in short, a useless purchase")</f>
        <v>Disappointed Chausse too small ... the first to really too small shoe size, returned to my expenses for a size above and still too small .. in short, a useless purchase</v>
      </c>
    </row>
    <row r="7182">
      <c r="A7182" s="1">
        <v>4.0</v>
      </c>
      <c r="B7182" s="1" t="s">
        <v>7079</v>
      </c>
      <c r="C7182" t="str">
        <f>IFERROR(__xludf.DUMMYFUNCTION("GOOGLETRANSLATE(B7182, ""fr"", ""en"")"),"Article handy That's exactly what I wanted. Convenient to fill compotes home. I stopped pad to use it since I received it. I recommend.")</f>
        <v>Article handy That's exactly what I wanted. Convenient to fill compotes home. I stopped pad to use it since I received it. I recommend.</v>
      </c>
    </row>
    <row r="7183">
      <c r="A7183" s="1">
        <v>4.0</v>
      </c>
      <c r="B7183" s="1" t="s">
        <v>7080</v>
      </c>
      <c r="C7183" t="str">
        <f>IFERROR(__xludf.DUMMYFUNCTION("GOOGLETRANSLATE(B7183, ""fr"", ""en"")"),"Comfortable and sturdy I'm on all construction sites or archeology, rubble, concrete, mud ... The boots are waterproof, comfortable and warm. I took my usual size and I have not had any problems. We will see over time.")</f>
        <v>Comfortable and sturdy I'm on all construction sites or archeology, rubble, concrete, mud ... The boots are waterproof, comfortable and warm. I took my usual size and I have not had any problems. We will see over time.</v>
      </c>
    </row>
    <row r="7184">
      <c r="A7184" s="1">
        <v>4.0</v>
      </c>
      <c r="B7184" s="1" t="s">
        <v>7081</v>
      </c>
      <c r="C7184" t="str">
        <f>IFERROR(__xludf.DUMMYFUNCTION("GOOGLETRANSLATE(B7184, ""fr"", ""en"")"),"By ordering Reebok shoes I knew I had to take a size smaller because they carve large. They are comfortable right at the tissue it deforms easily, delivery has been on time, I recommend them to anyone despite some flaws.")</f>
        <v>By ordering Reebok shoes I knew I had to take a size smaller because they carve large. They are comfortable right at the tissue it deforms easily, delivery has been on time, I recommend them to anyone despite some flaws.</v>
      </c>
    </row>
    <row r="7185">
      <c r="A7185" s="1">
        <v>4.0</v>
      </c>
      <c r="B7185" s="1" t="s">
        <v>7082</v>
      </c>
      <c r="C7185" t="str">
        <f>IFERROR(__xludf.DUMMYFUNCTION("GOOGLETRANSLATE(B7185, ""fr"", ""en"")"),"A windproof efficient efficient, slightly larger in size M (1.60 m). Green is cool!")</f>
        <v>A windproof efficient efficient, slightly larger in size M (1.60 m). Green is cool!</v>
      </c>
    </row>
    <row r="7186">
      <c r="A7186" s="1">
        <v>5.0</v>
      </c>
      <c r="B7186" s="1" t="s">
        <v>7083</v>
      </c>
      <c r="C7186" t="str">
        <f>IFERROR(__xludf.DUMMYFUNCTION("GOOGLETRANSLATE(B7186, ""fr"", ""en"")"),"Good product good quality product Lack invoice for professional use")</f>
        <v>Good product good quality product Lack invoice for professional use</v>
      </c>
    </row>
    <row r="7187">
      <c r="A7187" s="1">
        <v>5.0</v>
      </c>
      <c r="B7187" s="1" t="s">
        <v>7084</v>
      </c>
      <c r="C7187" t="str">
        <f>IFERROR(__xludf.DUMMYFUNCTION("GOOGLETRANSLATE(B7187, ""fr"", ""en"")"),"Puma however Superb quality and provide a size below")</f>
        <v>Puma however Superb quality and provide a size below</v>
      </c>
    </row>
    <row r="7188">
      <c r="A7188" s="1">
        <v>5.0</v>
      </c>
      <c r="B7188" s="1" t="s">
        <v>7085</v>
      </c>
      <c r="C7188" t="str">
        <f>IFERROR(__xludf.DUMMYFUNCTION("GOOGLETRANSLATE(B7188, ""fr"", ""en"")"),"good quality. This photo paper is very good, not as an HP photo printer but also to other printers of different brands.")</f>
        <v>good quality. This photo paper is very good, not as an HP photo printer but also to other printers of different brands.</v>
      </c>
    </row>
    <row r="7189">
      <c r="A7189" s="1">
        <v>5.0</v>
      </c>
      <c r="B7189" s="1" t="s">
        <v>7086</v>
      </c>
      <c r="C7189" t="str">
        <f>IFERROR(__xludf.DUMMYFUNCTION("GOOGLETRANSLATE(B7189, ""fr"", ""en"")"),"SPEED ++++++++++ identical product to my order, it is true BROTHER cartridges, no surprise if not at the delivery: CAN NOT MAKE FASTER THAT AMAZON !!! !!! I recommend +++++++++++++++++ as fast ULTRA. DELIGHTED!")</f>
        <v>SPEED ++++++++++ identical product to my order, it is true BROTHER cartridges, no surprise if not at the delivery: CAN NOT MAKE FASTER THAT AMAZON !!! !!! I recommend +++++++++++++++++ as fast ULTRA. DELIGHTED!</v>
      </c>
    </row>
    <row r="7190">
      <c r="A7190" s="1">
        <v>5.0</v>
      </c>
      <c r="B7190" s="1" t="s">
        <v>7087</v>
      </c>
      <c r="C7190" t="str">
        <f>IFERROR(__xludf.DUMMYFUNCTION("GOOGLETRANSLATE(B7190, ""fr"", ""en"")"),"10 Ink Cartridges Very good ink cartridges. Durability, color quality, compatibility. For me it is a great choice. I recommend these cartridges at all. ""Works on my Canon TS 5050""")</f>
        <v>10 Ink Cartridges Very good ink cartridges. Durability, color quality, compatibility. For me it is a great choice. I recommend these cartridges at all. "Works on my Canon TS 5050"</v>
      </c>
    </row>
    <row r="7191">
      <c r="A7191" s="1">
        <v>5.0</v>
      </c>
      <c r="B7191" s="1" t="s">
        <v>7088</v>
      </c>
      <c r="C7191" t="str">
        <f>IFERROR(__xludf.DUMMYFUNCTION("GOOGLETRANSLATE(B7191, ""fr"", ""en"")"),"I took the risk for the prix.J'ai was very surprised by its quality and comfort !!! See now if it keeps the temp Super comfortable 😍 I recommend this product. Beautiful cut, very good quality. To see over time if it holds")</f>
        <v>I took the risk for the prix.J'ai was very surprised by its quality and comfort !!! See now if it keeps the temp Super comfortable 😍 I recommend this product. Beautiful cut, very good quality. To see over time if it holds</v>
      </c>
    </row>
    <row r="7192">
      <c r="A7192" s="1">
        <v>5.0</v>
      </c>
      <c r="B7192" s="1" t="s">
        <v>7089</v>
      </c>
      <c r="C7192" t="str">
        <f>IFERROR(__xludf.DUMMYFUNCTION("GOOGLETRANSLATE(B7192, ""fr"", ""en"")"),"Quite what I expected. These brushes are fine for me, quite what I expected.")</f>
        <v>Quite what I expected. These brushes are fine for me, quite what I expected.</v>
      </c>
    </row>
    <row r="7193">
      <c r="A7193" s="1">
        <v>5.0</v>
      </c>
      <c r="B7193" s="1" t="s">
        <v>7090</v>
      </c>
      <c r="C7193" t="str">
        <f>IFERROR(__xludf.DUMMYFUNCTION("GOOGLETRANSLATE(B7193, ""fr"", ""en"")"),"Class Packing in a box c is nice elegant great class and I have also purchased the ring (no damage petitre box)")</f>
        <v>Class Packing in a box c is nice elegant great class and I have also purchased the ring (no damage petitre box)</v>
      </c>
    </row>
    <row r="7194">
      <c r="A7194" s="1">
        <v>5.0</v>
      </c>
      <c r="B7194" s="1" t="s">
        <v>7091</v>
      </c>
      <c r="C7194" t="str">
        <f>IFERROR(__xludf.DUMMYFUNCTION("GOOGLETRANSLATE(B7194, ""fr"", ""en"")"),"Perfect Beautiful design, easy to use in all functions, is easily adjusted and fits snugly over the ears loosely while isolating outside noise - I recommend")</f>
        <v>Perfect Beautiful design, easy to use in all functions, is easily adjusted and fits snugly over the ears loosely while isolating outside noise - I recommend</v>
      </c>
    </row>
    <row r="7195">
      <c r="A7195" s="1">
        <v>5.0</v>
      </c>
      <c r="B7195" s="1" t="s">
        <v>7092</v>
      </c>
      <c r="C7195" t="str">
        <f>IFERROR(__xludf.DUMMYFUNCTION("GOOGLETRANSLATE(B7195, ""fr"", ""en"")"),"Recommended Very consistent")</f>
        <v>Recommended Very consistent</v>
      </c>
    </row>
    <row r="7196">
      <c r="A7196" s="1">
        <v>5.0</v>
      </c>
      <c r="B7196" s="1" t="s">
        <v>7093</v>
      </c>
      <c r="C7196" t="str">
        <f>IFERROR(__xludf.DUMMYFUNCTION("GOOGLETRANSLATE(B7196, ""fr"", ""en"")"),"comfortable very well and comfortable")</f>
        <v>comfortable very well and comfortable</v>
      </c>
    </row>
    <row r="7197">
      <c r="A7197" s="1">
        <v>5.0</v>
      </c>
      <c r="B7197" s="1" t="s">
        <v>7094</v>
      </c>
      <c r="C7197" t="str">
        <f>IFERROR(__xludf.DUMMYFUNCTION("GOOGLETRANSLATE(B7197, ""fr"", ""en"")"),"Practical and resistant Very resistant, suitable for children. Received color conformity within the time")</f>
        <v>Practical and resistant Very resistant, suitable for children. Received color conformity within the time</v>
      </c>
    </row>
    <row r="7198">
      <c r="A7198" s="1">
        <v>5.0</v>
      </c>
      <c r="B7198" s="1" t="s">
        <v>7095</v>
      </c>
      <c r="C7198" t="str">
        <f>IFERROR(__xludf.DUMMYFUNCTION("GOOGLETRANSLATE(B7198, ""fr"", ""en"")"),"Very satisfied !!! I bought this product because I was itching of the scalp, with this brush, my concern is resolved, my hair finally breathe! . In addition to deep clean, it'll massage the scalp in depth which gives little effect in relaxing, Good grip, "&amp;"easy to clean, good value for money !!! I recommend !")</f>
        <v>Very satisfied !!! I bought this product because I was itching of the scalp, with this brush, my concern is resolved, my hair finally breathe! . In addition to deep clean, it'll massage the scalp in depth which gives little effect in relaxing, Good grip, easy to clean, good value for money !!! I recommend !</v>
      </c>
    </row>
    <row r="7199">
      <c r="A7199" s="1">
        <v>5.0</v>
      </c>
      <c r="B7199" s="1" t="s">
        <v>7096</v>
      </c>
      <c r="C7199" t="str">
        <f>IFERROR(__xludf.DUMMYFUNCTION("GOOGLETRANSLATE(B7199, ""fr"", ""en"")"),"Jewel refined This bracelet is very pretty and elegant, Clasp is practical. This gem is in accordance with the announcement. I recommend this product.")</f>
        <v>Jewel refined This bracelet is very pretty and elegant, Clasp is practical. This gem is in accordance with the announcement. I recommend this product.</v>
      </c>
    </row>
    <row r="7200">
      <c r="A7200" s="1">
        <v>5.0</v>
      </c>
      <c r="B7200" s="1" t="s">
        <v>7097</v>
      </c>
      <c r="C7200" t="str">
        <f>IFERROR(__xludf.DUMMYFUNCTION("GOOGLETRANSLATE(B7200, ""fr"", ""en"")"),"Training Size m perfect for teens aged 14 thank you")</f>
        <v>Training Size m perfect for teens aged 14 thank you</v>
      </c>
    </row>
    <row r="7201">
      <c r="A7201" s="1">
        <v>2.0</v>
      </c>
      <c r="B7201" s="1" t="s">
        <v>7098</v>
      </c>
      <c r="C7201" t="str">
        <f>IFERROR(__xludf.DUMMYFUNCTION("GOOGLETRANSLATE(B7201, ""fr"", ""en"")"),"received another model! Disappointed because I find this model very beautiful but got another blue &amp; amp model; pink so pretty!")</f>
        <v>received another model! Disappointed because I find this model very beautiful but got another blue &amp; amp model; pink so pretty!</v>
      </c>
    </row>
    <row r="7202">
      <c r="A7202" s="1">
        <v>1.0</v>
      </c>
      <c r="B7202" s="1" t="s">
        <v>7099</v>
      </c>
      <c r="C7202" t="str">
        <f>IFERROR(__xludf.DUMMYFUNCTION("GOOGLETRANSLATE(B7202, ""fr"", ""en"")"),"Do las satisfied Very Low Quality. I cross this a cheap copy. Ince every shower I oblige dried for half a day ...")</f>
        <v>Do las satisfied Very Low Quality. I cross this a cheap copy. Ince every shower I oblige dried for half a day ...</v>
      </c>
    </row>
    <row r="7203">
      <c r="A7203" s="1">
        <v>1.0</v>
      </c>
      <c r="B7203" s="1" t="s">
        <v>7100</v>
      </c>
      <c r="C7203" t="str">
        <f>IFERROR(__xludf.DUMMYFUNCTION("GOOGLETRANSLATE(B7203, ""fr"", ""en"")"),"no cable adapter received without the adapter 6.5mm jack")</f>
        <v>no cable adapter received without the adapter 6.5mm jack</v>
      </c>
    </row>
    <row r="7204">
      <c r="A7204" s="1">
        <v>3.0</v>
      </c>
      <c r="B7204" s="1" t="s">
        <v>7101</v>
      </c>
      <c r="C7204" t="str">
        <f>IFERROR(__xludf.DUMMYFUNCTION("GOOGLETRANSLATE(B7204, ""fr"", ""en"")"),"Working comfort")</f>
        <v>Working comfort</v>
      </c>
    </row>
    <row r="7205">
      <c r="A7205" s="1">
        <v>3.0</v>
      </c>
      <c r="B7205" s="1" t="s">
        <v>7102</v>
      </c>
      <c r="C7205" t="str">
        <f>IFERROR(__xludf.DUMMYFUNCTION("GOOGLETRANSLATE(B7205, ""fr"", ""en"")"),"Light but not padded enough at the metal shell It is light and pleasant to worn, but the only concern I have is that I feel a little too metal shell on the big toe, so to long it's painful.")</f>
        <v>Light but not padded enough at the metal shell It is light and pleasant to worn, but the only concern I have is that I feel a little too metal shell on the big toe, so to long it's painful.</v>
      </c>
    </row>
    <row r="7206">
      <c r="A7206" s="1">
        <v>4.0</v>
      </c>
      <c r="B7206" s="1" t="s">
        <v>7103</v>
      </c>
      <c r="C7206" t="str">
        <f>IFERROR(__xludf.DUMMYFUNCTION("GOOGLETRANSLATE(B7206, ""fr"", ""en"")"),"Attention to the cable I needed to make voice for models in home studio. I have not watch the cable is good female XLR for the microphone but a 3.5 jack for the sound card. I preferred the XLR quoted 2, including the use of phantom It's my fault because t"&amp;"hat is indicated in the description")</f>
        <v>Attention to the cable I needed to make voice for models in home studio. I have not watch the cable is good female XLR for the microphone but a 3.5 jack for the sound card. I preferred the XLR quoted 2, including the use of phantom It's my fault because that is indicated in the description</v>
      </c>
    </row>
    <row r="7207">
      <c r="A7207" s="1">
        <v>4.0</v>
      </c>
      <c r="B7207" s="1" t="s">
        <v>7104</v>
      </c>
      <c r="C7207" t="str">
        <f>IFERROR(__xludf.DUMMYFUNCTION("GOOGLETRANSLATE(B7207, ""fr"", ""en"")"),"Not bad Good product. received today in operation. Minor drawbacks: - plastic, super lightweight. - the upper part is not fixed, not integral with the bottom. She just asked: handling all quite difficult (and not sliding socket).")</f>
        <v>Not bad Good product. received today in operation. Minor drawbacks: - plastic, super lightweight. - the upper part is not fixed, not integral with the bottom. She just asked: handling all quite difficult (and not sliding socket).</v>
      </c>
    </row>
    <row r="7208">
      <c r="A7208" s="1">
        <v>4.0</v>
      </c>
      <c r="B7208" s="1" t="s">
        <v>7105</v>
      </c>
      <c r="C7208" t="str">
        <f>IFERROR(__xludf.DUMMYFUNCTION("GOOGLETRANSLATE(B7208, ""fr"", ""en"")"),"Pretty cool just a bit small quality")</f>
        <v>Pretty cool just a bit small quality</v>
      </c>
    </row>
    <row r="7209">
      <c r="A7209" s="1">
        <v>4.0</v>
      </c>
      <c r="B7209" s="1" t="s">
        <v>7106</v>
      </c>
      <c r="C7209" t="str">
        <f>IFERROR(__xludf.DUMMYFUNCTION("GOOGLETRANSLATE(B7209, ""fr"", ""en"")"),"good but far from perfect! transport network")</f>
        <v>good but far from perfect! transport network</v>
      </c>
    </row>
    <row r="7210">
      <c r="A7210" s="1">
        <v>5.0</v>
      </c>
      <c r="B7210" s="1" t="s">
        <v>224</v>
      </c>
      <c r="C7210" t="str">
        <f>IFERROR(__xludf.DUMMYFUNCTION("GOOGLETRANSLATE(B7210, ""fr"", ""en"")"),"perfect perfect")</f>
        <v>perfect perfect</v>
      </c>
    </row>
    <row r="7211">
      <c r="A7211" s="1">
        <v>5.0</v>
      </c>
      <c r="B7211" s="1" t="s">
        <v>7107</v>
      </c>
      <c r="C7211" t="str">
        <f>IFERROR(__xludf.DUMMYFUNCTION("GOOGLETRANSLATE(B7211, ""fr"", ""en"")"),"Superb Super Bluetooth headset pairing with iPhone XS Max is quick in seconds, the design is top, the charging port indicates the percentage of battery life, sound quality is good even when pushed her, it is complete you can do anything ... I'm happy with"&amp;" my purchase")</f>
        <v>Superb Super Bluetooth headset pairing with iPhone XS Max is quick in seconds, the design is top, the charging port indicates the percentage of battery life, sound quality is good even when pushed her, it is complete you can do anything ... I'm happy with my purchase</v>
      </c>
    </row>
    <row r="7212">
      <c r="A7212" s="1">
        <v>5.0</v>
      </c>
      <c r="B7212" s="1" t="s">
        <v>7108</v>
      </c>
      <c r="C7212" t="str">
        <f>IFERROR(__xludf.DUMMYFUNCTION("GOOGLETRANSLATE(B7212, ""fr"", ""en"")"),"Pretty box of essential oils Very nice box of essential oils, with 8 bottles and a guide that identifies which case use. I recommend this package, ideal to offer!")</f>
        <v>Pretty box of essential oils Very nice box of essential oils, with 8 bottles and a guide that identifies which case use. I recommend this package, ideal to offer!</v>
      </c>
    </row>
    <row r="7213">
      <c r="A7213" s="1">
        <v>5.0</v>
      </c>
      <c r="B7213" s="1" t="s">
        <v>7109</v>
      </c>
      <c r="C7213" t="str">
        <f>IFERROR(__xludf.DUMMYFUNCTION("GOOGLETRANSLATE(B7213, ""fr"", ""en"")"),"Perfect Very impressed with the quality of its earphones")</f>
        <v>Perfect Very impressed with the quality of its earphones</v>
      </c>
    </row>
    <row r="7214">
      <c r="A7214" s="1">
        <v>5.0</v>
      </c>
      <c r="B7214" s="1" t="s">
        <v>7110</v>
      </c>
      <c r="C7214" t="str">
        <f>IFERROR(__xludf.DUMMYFUNCTION("GOOGLETRANSLATE(B7214, ""fr"", ""en"")"),"well cut and excellent support for large breasts I am delighted that this has an excellent value for money, women need this accessory absolutely no glamor for sports without additional pain! Top !")</f>
        <v>well cut and excellent support for large breasts I am delighted that this has an excellent value for money, women need this accessory absolutely no glamor for sports without additional pain! Top !</v>
      </c>
    </row>
    <row r="7215">
      <c r="A7215" s="1">
        <v>5.0</v>
      </c>
      <c r="B7215" s="1" t="s">
        <v>7111</v>
      </c>
      <c r="C7215" t="str">
        <f>IFERROR(__xludf.DUMMYFUNCTION("GOOGLETRANSLATE(B7215, ""fr"", ""en"")"),"Happy with my purchase! I am completely satisfied with my purchase. I was looking for a waterproof watch for swimming in the sea, with analogue figures clearly legible and light in the darkness. It is not too heavy for a woman. If the wrist is fine, it wi"&amp;"ll take only one hole more in the fabric strap.")</f>
        <v>Happy with my purchase! I am completely satisfied with my purchase. I was looking for a waterproof watch for swimming in the sea, with analogue figures clearly legible and light in the darkness. It is not too heavy for a woman. If the wrist is fine, it will take only one hole more in the fabric strap.</v>
      </c>
    </row>
    <row r="7216">
      <c r="A7216" s="1">
        <v>5.0</v>
      </c>
      <c r="B7216" s="1" t="s">
        <v>7112</v>
      </c>
      <c r="C7216" t="str">
        <f>IFERROR(__xludf.DUMMYFUNCTION("GOOGLETRANSLATE(B7216, ""fr"", ""en"")"),"Magnificent beautiful daughter love them, the laces are great, there is a pair-type tape and a pair-type wide laces ..")</f>
        <v>Magnificent beautiful daughter love them, the laces are great, there is a pair-type tape and a pair-type wide laces ..</v>
      </c>
    </row>
    <row r="7217">
      <c r="A7217" s="1">
        <v>5.0</v>
      </c>
      <c r="B7217" s="1" t="s">
        <v>7113</v>
      </c>
      <c r="C7217" t="str">
        <f>IFERROR(__xludf.DUMMYFUNCTION("GOOGLETRANSLATE(B7217, ""fr"", ""en"")"),"Everything is perfect, they are just PERFECT!")</f>
        <v>Everything is perfect, they are just PERFECT!</v>
      </c>
    </row>
    <row r="7218">
      <c r="A7218" s="1">
        <v>5.0</v>
      </c>
      <c r="B7218" s="1" t="s">
        <v>7114</v>
      </c>
      <c r="C7218" t="str">
        <f>IFERROR(__xludf.DUMMYFUNCTION("GOOGLETRANSLATE(B7218, ""fr"", ""en"")"),"happy! Offered a person to whom it is very suitable. The amount, organic appearance, packaging and usability contributes to a very good value for money.")</f>
        <v>happy! Offered a person to whom it is very suitable. The amount, organic appearance, packaging and usability contributes to a very good value for money.</v>
      </c>
    </row>
    <row r="7219">
      <c r="A7219" s="1">
        <v>5.0</v>
      </c>
      <c r="B7219" s="1" t="s">
        <v>2637</v>
      </c>
      <c r="C7219" t="str">
        <f>IFERROR(__xludf.DUMMYFUNCTION("GOOGLETRANSLATE(B7219, ""fr"", ""en"")"),"satisfied satisfied")</f>
        <v>satisfied satisfied</v>
      </c>
    </row>
    <row r="7220">
      <c r="A7220" s="1">
        <v>5.0</v>
      </c>
      <c r="B7220" s="1" t="s">
        <v>7115</v>
      </c>
      <c r="C7220" t="str">
        <f>IFERROR(__xludf.DUMMYFUNCTION("GOOGLETRANSLATE(B7220, ""fr"", ""en"")"),"Saccoche saccoche This is great. Modern, Compact but incredibly convenient, because many rangements.tres beautiful fabrics. Beautiful gift idea")</f>
        <v>Saccoche saccoche This is great. Modern, Compact but incredibly convenient, because many rangements.tres beautiful fabrics. Beautiful gift idea</v>
      </c>
    </row>
    <row r="7221">
      <c r="A7221" s="1">
        <v>5.0</v>
      </c>
      <c r="B7221" s="1" t="s">
        <v>7116</v>
      </c>
      <c r="C7221" t="str">
        <f>IFERROR(__xludf.DUMMYFUNCTION("GOOGLETRANSLATE(B7221, ""fr"", ""en"")"),"lovely it produced the desired effect.")</f>
        <v>lovely it produced the desired effect.</v>
      </c>
    </row>
    <row r="7222">
      <c r="A7222" s="1">
        <v>5.0</v>
      </c>
      <c r="B7222" s="1" t="s">
        <v>7117</v>
      </c>
      <c r="C7222" t="str">
        <f>IFERROR(__xludf.DUMMYFUNCTION("GOOGLETRANSLATE(B7222, ""fr"", ""en"")"),"Headphone good quality !! They hold a charge well, practical battery box !!")</f>
        <v>Headphone good quality !! They hold a charge well, practical battery box !!</v>
      </c>
    </row>
    <row r="7223">
      <c r="A7223" s="1">
        <v>5.0</v>
      </c>
      <c r="B7223" s="1" t="s">
        <v>7118</v>
      </c>
      <c r="C7223" t="str">
        <f>IFERROR(__xludf.DUMMYFUNCTION("GOOGLETRANSLATE(B7223, ""fr"", ""en"")"),"need information I would buy this kind of nomadic bottle heater, but can we put any of bottle label or only those of the same brand ??")</f>
        <v>need information I would buy this kind of nomadic bottle heater, but can we put any of bottle label or only those of the same brand ??</v>
      </c>
    </row>
    <row r="7224">
      <c r="A7224" s="1">
        <v>5.0</v>
      </c>
      <c r="B7224" s="1" t="s">
        <v>7119</v>
      </c>
      <c r="C7224" t="str">
        <f>IFERROR(__xludf.DUMMYFUNCTION("GOOGLETRANSLATE(B7224, ""fr"", ""en"")"),"Bensimon Bensimon black Ordering black at a price found anywhere else. nickel product and perfect delivery as usual")</f>
        <v>Bensimon Bensimon black Ordering black at a price found anywhere else. nickel product and perfect delivery as usual</v>
      </c>
    </row>
    <row r="7225">
      <c r="A7225" s="1">
        <v>2.0</v>
      </c>
      <c r="B7225" s="1" t="s">
        <v>7120</v>
      </c>
      <c r="C7225" t="str">
        <f>IFERROR(__xludf.DUMMYFUNCTION("GOOGLETRANSLATE(B7225, ""fr"", ""en"")"),"disappointed chain has become all black and is unrecoverable! I was not expecting screwy. I therefore door almost. making it disgusting!")</f>
        <v>disappointed chain has become all black and is unrecoverable! I was not expecting screwy. I therefore door almost. making it disgusting!</v>
      </c>
    </row>
    <row r="7226">
      <c r="A7226" s="1">
        <v>1.0</v>
      </c>
      <c r="B7226" s="1" t="s">
        <v>7121</v>
      </c>
      <c r="C7226" t="str">
        <f>IFERROR(__xludf.DUMMYFUNCTION("GOOGLETRANSLATE(B7226, ""fr"", ""en"")"),"Size too small, the link that connects the pair damage the tissue. I put on the 41, and so I took the 40-41. Size too small, the heel than at the back and I walk on the sole, great! Furthermore the kind of small plastic wire which connects the pair is tak"&amp;"en from the tissue, impossible to remove, and damaging the outdoor fabrics. I find myself with slippers that I will not put, awesome :) I do not recommend.")</f>
        <v>Size too small, the link that connects the pair damage the tissue. I put on the 41, and so I took the 40-41. Size too small, the heel than at the back and I walk on the sole, great! Furthermore the kind of small plastic wire which connects the pair is taken from the tissue, impossible to remove, and damaging the outdoor fabrics. I find myself with slippers that I will not put, awesome :) I do not recommend.</v>
      </c>
    </row>
    <row r="7227">
      <c r="A7227" s="1">
        <v>1.0</v>
      </c>
      <c r="B7227" s="1" t="s">
        <v>7122</v>
      </c>
      <c r="C7227" t="str">
        <f>IFERROR(__xludf.DUMMYFUNCTION("GOOGLETRANSLATE(B7227, ""fr"", ""en"")"),"Nonconforming very poor quality and not stretch it's not a jog")</f>
        <v>Nonconforming very poor quality and not stretch it's not a jog</v>
      </c>
    </row>
    <row r="7228">
      <c r="A7228" s="1">
        <v>3.0</v>
      </c>
      <c r="B7228" s="1" t="s">
        <v>7123</v>
      </c>
      <c r="C7228" t="str">
        <f>IFERROR(__xludf.DUMMYFUNCTION("GOOGLETRANSLATE(B7228, ""fr"", ""en"")"),"Although very wearable sweater, cut as expected. The zipper has a little spoiled washing force that's why I put that 3 * But considering the price, I'll probably buy me one of another color.")</f>
        <v>Although very wearable sweater, cut as expected. The zipper has a little spoiled washing force that's why I put that 3 * But considering the price, I'll probably buy me one of another color.</v>
      </c>
    </row>
    <row r="7229">
      <c r="A7229" s="1">
        <v>4.0</v>
      </c>
      <c r="B7229" s="1" t="s">
        <v>7124</v>
      </c>
      <c r="C7229" t="str">
        <f>IFERROR(__xludf.DUMMYFUNCTION("GOOGLETRANSLATE(B7229, ""fr"", ""en"")"),"Eats Side ..super me pretty retro plaisait..très ..mis apart the chaîne..difficile have everything at a small prix..mais I do not regret my little gift of friendship achat..en it pleased ..merci")</f>
        <v>Eats Side ..super me pretty retro plaisait..très ..mis apart the chaîne..difficile have everything at a small prix..mais I do not regret my little gift of friendship achat..en it pleased ..merci</v>
      </c>
    </row>
    <row r="7230">
      <c r="A7230" s="1">
        <v>4.0</v>
      </c>
      <c r="B7230" s="1" t="s">
        <v>7125</v>
      </c>
      <c r="C7230" t="str">
        <f>IFERROR(__xludf.DUMMYFUNCTION("GOOGLETRANSLATE(B7230, ""fr"", ""en"")"),"Very happy with my purchase I had this pair of shoes during the day -50% premium. They are top and size very well. I have white plug because most women of that color. They are comfortable and appear solid! I am very satisfied with my purchase.")</f>
        <v>Very happy with my purchase I had this pair of shoes during the day -50% premium. They are top and size very well. I have white plug because most women of that color. They are comfortable and appear solid! I am very satisfied with my purchase.</v>
      </c>
    </row>
    <row r="7231">
      <c r="A7231" s="1">
        <v>4.0</v>
      </c>
      <c r="B7231" s="1" t="s">
        <v>7126</v>
      </c>
      <c r="C7231" t="str">
        <f>IFERROR(__xludf.DUMMYFUNCTION("GOOGLETRANSLATE(B7231, ""fr"", ""en"")"),"Comfort I liked the temp indulged in was respected.")</f>
        <v>Comfort I liked the temp indulged in was respected.</v>
      </c>
    </row>
    <row r="7232">
      <c r="A7232" s="1">
        <v>4.0</v>
      </c>
      <c r="B7232" s="1" t="s">
        <v>7127</v>
      </c>
      <c r="C7232" t="str">
        <f>IFERROR(__xludf.DUMMYFUNCTION("GOOGLETRANSLATE(B7232, ""fr"", ""en"")"),"Conforms To my daughter")</f>
        <v>Conforms To my daughter</v>
      </c>
    </row>
    <row r="7233">
      <c r="A7233" s="1">
        <v>5.0</v>
      </c>
      <c r="B7233" s="1" t="s">
        <v>7128</v>
      </c>
      <c r="C7233" t="str">
        <f>IFERROR(__xludf.DUMMYFUNCTION("GOOGLETRANSLATE(B7233, ""fr"", ""en"")"),"I strongly advice Delivery within, high quality product. I strongly advice.")</f>
        <v>I strongly advice Delivery within, high quality product. I strongly advice.</v>
      </c>
    </row>
    <row r="7234">
      <c r="A7234" s="1">
        <v>5.0</v>
      </c>
      <c r="B7234" s="1" t="s">
        <v>7129</v>
      </c>
      <c r="C7234" t="str">
        <f>IFERROR(__xludf.DUMMYFUNCTION("GOOGLETRANSLATE(B7234, ""fr"", ""en"")"),"Ras Product compliant and stiff delivery")</f>
        <v>Ras Product compliant and stiff delivery</v>
      </c>
    </row>
    <row r="7235">
      <c r="A7235" s="1">
        <v>5.0</v>
      </c>
      <c r="B7235" s="1" t="s">
        <v>7130</v>
      </c>
      <c r="C7235" t="str">
        <f>IFERROR(__xludf.DUMMYFUNCTION("GOOGLETRANSLATE(B7235, ""fr"", ""en"")"),"This polishing brush brush, horsehair, as the old brushes is just perfect, the bristles, soft and flexible, are very well suited to the maintenance of leather and glitter are a few movements without damaging .")</f>
        <v>This polishing brush brush, horsehair, as the old brushes is just perfect, the bristles, soft and flexible, are very well suited to the maintenance of leather and glitter are a few movements without damaging .</v>
      </c>
    </row>
    <row r="7236">
      <c r="A7236" s="1">
        <v>5.0</v>
      </c>
      <c r="B7236" s="1" t="s">
        <v>7131</v>
      </c>
      <c r="C7236" t="str">
        <f>IFERROR(__xludf.DUMMYFUNCTION("GOOGLETRANSLATE(B7236, ""fr"", ""en"")"),"Good Product received in good condition and functional! No trace, no task, dial protected by the film.")</f>
        <v>Good Product received in good condition and functional! No trace, no task, dial protected by the film.</v>
      </c>
    </row>
    <row r="7237">
      <c r="A7237" s="1">
        <v>5.0</v>
      </c>
      <c r="B7237" s="1" t="s">
        <v>7132</v>
      </c>
      <c r="C7237" t="str">
        <f>IFERROR(__xludf.DUMMYFUNCTION("GOOGLETRANSLATE(B7237, ""fr"", ""en"")"),"Nickel nickel product all colleagues of my wife envy nickel 👌")</f>
        <v>Nickel nickel product all colleagues of my wife envy nickel 👌</v>
      </c>
    </row>
    <row r="7238">
      <c r="A7238" s="1">
        <v>5.0</v>
      </c>
      <c r="B7238" s="1" t="s">
        <v>7133</v>
      </c>
      <c r="C7238" t="str">
        <f>IFERROR(__xludf.DUMMYFUNCTION("GOOGLETRANSLATE(B7238, ""fr"", ""en"")"),"top super function very well with my xp epson 445 dice setting change cartridge messages road indicating that it is not good ink but after nothing more print top I love thank you")</f>
        <v>top super function very well with my xp epson 445 dice setting change cartridge messages road indicating that it is not good ink but after nothing more print top I love thank you</v>
      </c>
    </row>
    <row r="7239">
      <c r="A7239" s="1">
        <v>5.0</v>
      </c>
      <c r="B7239" s="1" t="s">
        <v>7134</v>
      </c>
      <c r="C7239" t="str">
        <f>IFERROR(__xludf.DUMMYFUNCTION("GOOGLETRANSLATE(B7239, ""fr"", ""en"")"),"Useful to the ferry for my son who is in high school")</f>
        <v>Useful to the ferry for my son who is in high school</v>
      </c>
    </row>
    <row r="7240">
      <c r="A7240" s="1">
        <v>5.0</v>
      </c>
      <c r="B7240" s="1" t="s">
        <v>7135</v>
      </c>
      <c r="C7240" t="str">
        <f>IFERROR(__xludf.DUMMYFUNCTION("GOOGLETRANSLATE(B7240, ""fr"", ""en"")"),"great for keeping warm in winter very good product that does the job being asked, nothing more or less allow to keep feet warm in winter;)")</f>
        <v>great for keeping warm in winter very good product that does the job being asked, nothing more or less allow to keep feet warm in winter;)</v>
      </c>
    </row>
    <row r="7241">
      <c r="A7241" s="1">
        <v>5.0</v>
      </c>
      <c r="B7241" s="1" t="s">
        <v>7136</v>
      </c>
      <c r="C7241" t="str">
        <f>IFERROR(__xludf.DUMMYFUNCTION("GOOGLETRANSLATE(B7241, ""fr"", ""en"")"),"good quality / price My husband and these flip flops shoes 44 43/44 fangs are a good size. They look strong, and the relief patterns in flip flops are very nice feet, according to my husband, the colors are beautiful too.")</f>
        <v>good quality / price My husband and these flip flops shoes 44 43/44 fangs are a good size. They look strong, and the relief patterns in flip flops are very nice feet, according to my husband, the colors are beautiful too.</v>
      </c>
    </row>
    <row r="7242">
      <c r="A7242" s="1">
        <v>5.0</v>
      </c>
      <c r="B7242" s="1" t="s">
        <v>7137</v>
      </c>
      <c r="C7242" t="str">
        <f>IFERROR(__xludf.DUMMYFUNCTION("GOOGLETRANSLATE(B7242, ""fr"", ""en"")"),"Victoria Excellent she is beautiful")</f>
        <v>Victoria Excellent she is beautiful</v>
      </c>
    </row>
    <row r="7243">
      <c r="A7243" s="1">
        <v>5.0</v>
      </c>
      <c r="B7243" s="1" t="s">
        <v>7138</v>
      </c>
      <c r="C7243" t="str">
        <f>IFERROR(__xludf.DUMMYFUNCTION("GOOGLETRANSLATE(B7243, ""fr"", ""en"")"),"Very nice product Very beautiful necklace with beautiful finish that will delight your baby when she finds gift. If you are looking for a gift idea, this necklace is the perfect gift")</f>
        <v>Very nice product Very beautiful necklace with beautiful finish that will delight your baby when she finds gift. If you are looking for a gift idea, this necklace is the perfect gift</v>
      </c>
    </row>
    <row r="7244">
      <c r="A7244" s="1">
        <v>5.0</v>
      </c>
      <c r="B7244" s="1" t="s">
        <v>7139</v>
      </c>
      <c r="C7244" t="str">
        <f>IFERROR(__xludf.DUMMYFUNCTION("GOOGLETRANSLATE(B7244, ""fr"", ""en"")"),"Blown away! These shoes fulfill all their promises! They are warm and comfortable while being lightweight. I recommend chilly feet.")</f>
        <v>Blown away! These shoes fulfill all their promises! They are warm and comfortable while being lightweight. I recommend chilly feet.</v>
      </c>
    </row>
    <row r="7245">
      <c r="A7245" s="1">
        <v>5.0</v>
      </c>
      <c r="B7245" s="1" t="s">
        <v>7140</v>
      </c>
      <c r="C7245" t="str">
        <f>IFERROR(__xludf.DUMMYFUNCTION("GOOGLETRANSLATE(B7245, ""fr"", ""en"")"),"OK, no problem The wristwatch is in line with expectation, and walking correctemenr. No problems with this onjet. This is very correct as price / quality.")</f>
        <v>OK, no problem The wristwatch is in line with expectation, and walking correctemenr. No problems with this onjet. This is very correct as price / quality.</v>
      </c>
    </row>
    <row r="7246">
      <c r="A7246" s="1">
        <v>5.0</v>
      </c>
      <c r="B7246" s="1" t="s">
        <v>7141</v>
      </c>
      <c r="C7246" t="str">
        <f>IFERROR(__xludf.DUMMYFUNCTION("GOOGLETRANSLATE(B7246, ""fr"", ""en"")"),"Perfect Quite in line with expectations")</f>
        <v>Perfect Quite in line with expectations</v>
      </c>
    </row>
    <row r="7247">
      <c r="A7247" s="1">
        <v>5.0</v>
      </c>
      <c r="B7247" s="1" t="s">
        <v>7142</v>
      </c>
      <c r="C7247" t="str">
        <f>IFERROR(__xludf.DUMMYFUNCTION("GOOGLETRANSLATE(B7247, ""fr"", ""en"")"),"I recommend The outer shell is thin, perfectly cut and easy to install. Suitable for mobile phones.")</f>
        <v>I recommend The outer shell is thin, perfectly cut and easy to install. Suitable for mobile phones.</v>
      </c>
    </row>
    <row r="7248">
      <c r="A7248" s="1">
        <v>2.0</v>
      </c>
      <c r="B7248" s="1" t="s">
        <v>7143</v>
      </c>
      <c r="C7248" t="str">
        <f>IFERROR(__xludf.DUMMYFUNCTION("GOOGLETRANSLATE(B7248, ""fr"", ""en"")"),"Made of metal Very simple music sound connection but the music is made metal too bad because this principle of atria is not bad back so at Amazon")</f>
        <v>Made of metal Very simple music sound connection but the music is made metal too bad because this principle of atria is not bad back so at Amazon</v>
      </c>
    </row>
    <row r="7249">
      <c r="A7249" s="1">
        <v>1.0</v>
      </c>
      <c r="B7249" s="1" t="s">
        <v>7144</v>
      </c>
      <c r="C7249" t="str">
        <f>IFERROR(__xludf.DUMMYFUNCTION("GOOGLETRANSLATE(B7249, ""fr"", ""en"")"),"His detaches quickly do not keep in time regained labels off everywhere")</f>
        <v>His detaches quickly do not keep in time regained labels off everywhere</v>
      </c>
    </row>
    <row r="7250">
      <c r="A7250" s="1">
        <v>3.0</v>
      </c>
      <c r="B7250" s="1" t="s">
        <v>7145</v>
      </c>
      <c r="C7250" t="str">
        <f>IFERROR(__xludf.DUMMYFUNCTION("GOOGLETRANSLATE(B7250, ""fr"", ""en"")"),"Well see the characters I did not like the characters they are too small")</f>
        <v>Well see the characters I did not like the characters they are too small</v>
      </c>
    </row>
    <row r="7251">
      <c r="A7251" s="1">
        <v>3.0</v>
      </c>
      <c r="B7251" s="1" t="s">
        <v>7146</v>
      </c>
      <c r="C7251" t="str">
        <f>IFERROR(__xludf.DUMMYFUNCTION("GOOGLETRANSLATE(B7251, ""fr"", ""en"")"),"Good ... for the price just can not expect much for the price but the print quality is not what I imagined, there is a lot of burr and the ink is not dry after printing, so that it can stain clothing, paper, furniture etc ... It takes 2 min drying.")</f>
        <v>Good ... for the price just can not expect much for the price but the print quality is not what I imagined, there is a lot of burr and the ink is not dry after printing, so that it can stain clothing, paper, furniture etc ... It takes 2 min drying.</v>
      </c>
    </row>
    <row r="7252">
      <c r="A7252" s="1">
        <v>4.0</v>
      </c>
      <c r="B7252" s="1" t="s">
        <v>7147</v>
      </c>
      <c r="C7252" t="str">
        <f>IFERROR(__xludf.DUMMYFUNCTION("GOOGLETRANSLATE(B7252, ""fr"", ""en"")"),"galaxy cool buds")</f>
        <v>galaxy cool buds</v>
      </c>
    </row>
    <row r="7253">
      <c r="A7253" s="1">
        <v>4.0</v>
      </c>
      <c r="B7253" s="1" t="s">
        <v>7148</v>
      </c>
      <c r="C7253" t="str">
        <f>IFERROR(__xludf.DUMMYFUNCTION("GOOGLETRANSLATE(B7253, ""fr"", ""en"")"),"xm-8500 Behringer First sturdy and good manufacturing .... the sound is like sour competitor sm 58. ELSEWHERE name looks good-xm sm ... ... 58-85oo seek error ... for a quarter of a price ... just plan to change the media ... (too hard !!!)")</f>
        <v>xm-8500 Behringer First sturdy and good manufacturing .... the sound is like sour competitor sm 58. ELSEWHERE name looks good-xm sm ... ... 58-85oo seek error ... for a quarter of a price ... just plan to change the media ... (too hard !!!)</v>
      </c>
    </row>
    <row r="7254">
      <c r="A7254" s="1">
        <v>4.0</v>
      </c>
      <c r="B7254" s="1" t="s">
        <v>7149</v>
      </c>
      <c r="C7254" t="str">
        <f>IFERROR(__xludf.DUMMYFUNCTION("GOOGLETRANSLATE(B7254, ""fr"", ""en"")"),"warm and cozy comfort, ideal in this Saion")</f>
        <v>warm and cozy comfort, ideal in this Saion</v>
      </c>
    </row>
    <row r="7255">
      <c r="A7255" s="1">
        <v>4.0</v>
      </c>
      <c r="B7255" s="1" t="s">
        <v>7150</v>
      </c>
      <c r="C7255" t="str">
        <f>IFERROR(__xludf.DUMMYFUNCTION("GOOGLETRANSLATE(B7255, ""fr"", ""en"")"),"product as I expected ras")</f>
        <v>product as I expected ras</v>
      </c>
    </row>
    <row r="7256">
      <c r="A7256" s="1">
        <v>5.0</v>
      </c>
      <c r="B7256" s="1" t="s">
        <v>7151</v>
      </c>
      <c r="C7256" t="str">
        <f>IFERROR(__xludf.DUMMYFUNCTION("GOOGLETRANSLATE(B7256, ""fr"", ""en"")"),"Good machine bottle machine bottle handy. The water is heated very quickly. Ideal when the baby is not patient. Nice design.")</f>
        <v>Good machine bottle machine bottle handy. The water is heated very quickly. Ideal when the baby is not patient. Nice design.</v>
      </c>
    </row>
    <row r="7257">
      <c r="A7257" s="1">
        <v>5.0</v>
      </c>
      <c r="B7257" s="1" t="s">
        <v>7152</v>
      </c>
      <c r="C7257" t="str">
        <f>IFERROR(__xludf.DUMMYFUNCTION("GOOGLETRANSLATE(B7257, ""fr"", ""en"")"),"New balance Beautiful very comfortable model.")</f>
        <v>New balance Beautiful very comfortable model.</v>
      </c>
    </row>
    <row r="7258">
      <c r="A7258" s="1">
        <v>5.0</v>
      </c>
      <c r="B7258" s="1" t="s">
        <v>7153</v>
      </c>
      <c r="C7258" t="str">
        <f>IFERROR(__xludf.DUMMYFUNCTION("GOOGLETRANSLATE(B7258, ""fr"", ""en"")"),"Top, perfect size perfect size, very comfortable for everyday use.")</f>
        <v>Top, perfect size perfect size, very comfortable for everyday use.</v>
      </c>
    </row>
    <row r="7259">
      <c r="A7259" s="1">
        <v>5.0</v>
      </c>
      <c r="B7259" s="1" t="s">
        <v>7154</v>
      </c>
      <c r="C7259" t="str">
        <f>IFERROR(__xludf.DUMMYFUNCTION("GOOGLETRANSLATE(B7259, ""fr"", ""en"")"),"Excellent quality Excellent sound quality coupled with an active noise reduction of high performance. the helmet is relatively light, autonomy is excellent, it can be used to make calls and bluetooth frees the wire that can still be used in aircraft that "&amp;"prohibit Bluetooth devices.")</f>
        <v>Excellent quality Excellent sound quality coupled with an active noise reduction of high performance. the helmet is relatively light, autonomy is excellent, it can be used to make calls and bluetooth frees the wire that can still be used in aircraft that prohibit Bluetooth devices.</v>
      </c>
    </row>
    <row r="7260">
      <c r="A7260" s="1">
        <v>5.0</v>
      </c>
      <c r="B7260" s="1" t="s">
        <v>7155</v>
      </c>
      <c r="C7260" t="str">
        <f>IFERROR(__xludf.DUMMYFUNCTION("GOOGLETRANSLATE(B7260, ""fr"", ""en"")"),"I try converted as a heavy drinker of coffee of tea, and as many machines coffee pod are known me all confused model for both the tea ... That's a first. What got me the most shocking is the speed at which the drink is ready, when we know the time to deve"&amp;"lop a good tea. The big strong point is the temperature, have on is that the water is not too hot, the infusion is therefore perfectly controlled, commissioning facility that now the morning that I did not time, I finally decide to take a tea pod, the mac"&amp;"hine does everything for me and I just take my cup. And just the taste, I trèèèèsssss demanding tea, well I was really surprised by the quality and flavor of those contained in the pods of the brand. In the end, that's for coffee pods, always prefer the f"&amp;"reshly brewed coffee or tea in bulk, but when not at the time when many invited, it is something that is quick and easy, possess a much easier life and allows drinking her drink even prefer it when time is short")</f>
        <v>I try converted as a heavy drinker of coffee of tea, and as many machines coffee pod are known me all confused model for both the tea ... That's a first. What got me the most shocking is the speed at which the drink is ready, when we know the time to develop a good tea. The big strong point is the temperature, have on is that the water is not too hot, the infusion is therefore perfectly controlled, commissioning facility that now the morning that I did not time, I finally decide to take a tea pod, the machine does everything for me and I just take my cup. And just the taste, I trèèèèsssss demanding tea, well I was really surprised by the quality and flavor of those contained in the pods of the brand. In the end, that's for coffee pods, always prefer the freshly brewed coffee or tea in bulk, but when not at the time when many invited, it is something that is quick and easy, possess a much easier life and allows drinking her drink even prefer it when time is short</v>
      </c>
    </row>
    <row r="7261">
      <c r="A7261" s="1">
        <v>5.0</v>
      </c>
      <c r="B7261" s="1" t="s">
        <v>7156</v>
      </c>
      <c r="C7261" t="str">
        <f>IFERROR(__xludf.DUMMYFUNCTION("GOOGLETRANSLATE(B7261, ""fr"", ""en"")"),"PERFECT! Really finally I found the watch I was looking for! Versatile, attractive and easy to use I found this really great shows in fact it helped me in my work and in everyday life. I put that out as well at home more you can do absolutely everything f"&amp;"rom your watch without having to use your phone. The bracelet holds very well and I have no problem with. The value is great and the definition of the perfect screen. A product must see I totally recommend!")</f>
        <v>PERFECT! Really finally I found the watch I was looking for! Versatile, attractive and easy to use I found this really great shows in fact it helped me in my work and in everyday life. I put that out as well at home more you can do absolutely everything from your watch without having to use your phone. The bracelet holds very well and I have no problem with. The value is great and the definition of the perfect screen. A product must see I totally recommend!</v>
      </c>
    </row>
    <row r="7262">
      <c r="A7262" s="1">
        <v>5.0</v>
      </c>
      <c r="B7262" s="1" t="s">
        <v>7157</v>
      </c>
      <c r="C7262" t="str">
        <f>IFERROR(__xludf.DUMMYFUNCTION("GOOGLETRANSLATE(B7262, ""fr"", ""en"")"),"Brilliant and accurate My children wanted the princess of colors and there they were satisfied to draw dice rainbow and fantastic castle")</f>
        <v>Brilliant and accurate My children wanted the princess of colors and there they were satisfied to draw dice rainbow and fantastic castle</v>
      </c>
    </row>
    <row r="7263">
      <c r="A7263" s="1">
        <v>5.0</v>
      </c>
      <c r="B7263" s="1" t="s">
        <v>7158</v>
      </c>
      <c r="C7263" t="str">
        <f>IFERROR(__xludf.DUMMYFUNCTION("GOOGLETRANSLATE(B7263, ""fr"", ""en"")"),"Perfect Very good helmet, it had already offered me for Christmas 5 years ago and unfortunately after hours and hours of use, he passed away. So I decided to recommend the same helmet as it delivers great sound and stand well in time. I recommend this art"&amp;"icle eyes closed.")</f>
        <v>Perfect Very good helmet, it had already offered me for Christmas 5 years ago and unfortunately after hours and hours of use, he passed away. So I decided to recommend the same helmet as it delivers great sound and stand well in time. I recommend this article eyes closed.</v>
      </c>
    </row>
    <row r="7264">
      <c r="A7264" s="1">
        <v>5.0</v>
      </c>
      <c r="B7264" s="1" t="s">
        <v>7159</v>
      </c>
      <c r="C7264" t="str">
        <f>IFERROR(__xludf.DUMMYFUNCTION("GOOGLETRANSLATE(B7264, ""fr"", ""en"")"),"It's Lacoste, nothing to say perfect fit, comfort feel good to wear, I like ...")</f>
        <v>It's Lacoste, nothing to say perfect fit, comfort feel good to wear, I like ...</v>
      </c>
    </row>
    <row r="7265">
      <c r="A7265" s="1">
        <v>5.0</v>
      </c>
      <c r="B7265" s="1" t="s">
        <v>7160</v>
      </c>
      <c r="C7265" t="str">
        <f>IFERROR(__xludf.DUMMYFUNCTION("GOOGLETRANSLATE(B7265, ""fr"", ""en"")"),"comfortable boot, typical for the winter normally the size of a boot pa will be 100% adapted. It's a big boot for winter. Thus, There are space inside. The size of my foot is 40, maybe I would have to choose the 39.5, the boot is not 100% tight in my foot"&amp;", by cons, it is comfortable!")</f>
        <v>comfortable boot, typical for the winter normally the size of a boot pa will be 100% adapted. It's a big boot for winter. Thus, There are space inside. The size of my foot is 40, maybe I would have to choose the 39.5, the boot is not 100% tight in my foot, by cons, it is comfortable!</v>
      </c>
    </row>
    <row r="7266">
      <c r="A7266" s="1">
        <v>5.0</v>
      </c>
      <c r="B7266" s="1" t="s">
        <v>7161</v>
      </c>
      <c r="C7266" t="str">
        <f>IFERROR(__xludf.DUMMYFUNCTION("GOOGLETRANSLATE(B7266, ""fr"", ""en"")"),"Sweet bought for my son and he loves because the material is very soft, the color of matches the picture.")</f>
        <v>Sweet bought for my son and he loves because the material is very soft, the color of matches the picture.</v>
      </c>
    </row>
    <row r="7267">
      <c r="A7267" s="1">
        <v>5.0</v>
      </c>
      <c r="B7267" s="1" t="s">
        <v>7162</v>
      </c>
      <c r="C7267" t="str">
        <f>IFERROR(__xludf.DUMMYFUNCTION("GOOGLETRANSLATE(B7267, ""fr"", ""en"")"),"tjrs deadlines met impeccable packaging See in time")</f>
        <v>tjrs deadlines met impeccable packaging See in time</v>
      </c>
    </row>
    <row r="7268">
      <c r="A7268" s="1">
        <v>5.0</v>
      </c>
      <c r="B7268" s="1" t="s">
        <v>7163</v>
      </c>
      <c r="C7268" t="str">
        <f>IFERROR(__xludf.DUMMYFUNCTION("GOOGLETRANSLATE(B7268, ""fr"", ""en"")"),"Very good product great product. The brush is effective, the bristles are flexible and they clean thoroughly all parts of bottle including the nipple quickly.")</f>
        <v>Very good product great product. The brush is effective, the bristles are flexible and they clean thoroughly all parts of bottle including the nipple quickly.</v>
      </c>
    </row>
    <row r="7269">
      <c r="A7269" s="1">
        <v>5.0</v>
      </c>
      <c r="B7269" s="1" t="s">
        <v>7164</v>
      </c>
      <c r="C7269" t="str">
        <f>IFERROR(__xludf.DUMMYFUNCTION("GOOGLETRANSLATE(B7269, ""fr"", ""en"")"),"Pretty watch shows for fine wrist. It works perfectly. Moreover, the watch comes on a display perfectly protected and packaged. I recommend this seller")</f>
        <v>Pretty watch shows for fine wrist. It works perfectly. Moreover, the watch comes on a display perfectly protected and packaged. I recommend this seller</v>
      </c>
    </row>
    <row r="7270">
      <c r="A7270" s="1">
        <v>5.0</v>
      </c>
      <c r="B7270" s="1" t="s">
        <v>7165</v>
      </c>
      <c r="C7270" t="str">
        <f>IFERROR(__xludf.DUMMYFUNCTION("GOOGLETRANSLATE(B7270, ""fr"", ""en"")"),"We are not misled about the quality ... Very beautiful shoes .... very nice quality gift ... it rained a lot ...")</f>
        <v>We are not misled about the quality ... Very beautiful shoes .... very nice quality gift ... it rained a lot ...</v>
      </c>
    </row>
    <row r="7271">
      <c r="A7271" s="1">
        <v>5.0</v>
      </c>
      <c r="B7271" s="1" t="s">
        <v>7166</v>
      </c>
      <c r="C7271" t="str">
        <f>IFERROR(__xludf.DUMMYFUNCTION("GOOGLETRANSLATE(B7271, ""fr"", ""en"")"),"the top 👍 Top ... I was looking for a pair of pretty and comfortable chouze, Geox has done .... the series Nebula is really great, I have my brand shoes ... eyes closed is n 'achète.👍")</f>
        <v>the top 👍 Top ... I was looking for a pair of pretty and comfortable chouze, Geox has done .... the series Nebula is really great, I have my brand shoes ... eyes closed is n 'achète.👍</v>
      </c>
    </row>
    <row r="7272">
      <c r="A7272" s="1">
        <v>2.0</v>
      </c>
      <c r="B7272" s="1" t="s">
        <v>7167</v>
      </c>
      <c r="C7272" t="str">
        <f>IFERROR(__xludf.DUMMYFUNCTION("GOOGLETRANSLATE(B7272, ""fr"", ""en"")"),"uncomfortable shoe very uncomfortable shoe and rigid. disappointing purchase.")</f>
        <v>uncomfortable shoe very uncomfortable shoe and rigid. disappointing purchase.</v>
      </c>
    </row>
    <row r="7273">
      <c r="A7273" s="1">
        <v>1.0</v>
      </c>
      <c r="B7273" s="1" t="s">
        <v>7168</v>
      </c>
      <c r="C7273" t="str">
        <f>IFERROR(__xludf.DUMMYFUNCTION("GOOGLETRANSLATE(B7273, ""fr"", ""en"")"),"It's really money pa This is not a silver It is a simple metal I've lost my money for nothing 😏")</f>
        <v>It's really money pa This is not a silver It is a simple metal I've lost my money for nothing 😏</v>
      </c>
    </row>
    <row r="7274">
      <c r="A7274" s="1">
        <v>1.0</v>
      </c>
      <c r="B7274" s="1" t="s">
        <v>7169</v>
      </c>
      <c r="C7274" t="str">
        <f>IFERROR(__xludf.DUMMYFUNCTION("GOOGLETRANSLATE(B7274, ""fr"", ""en"")"),"too short!!! This towel is too short to stay in place on our lack cou.Il easily 10 good centimètres.A avoid!")</f>
        <v>too short!!! This towel is too short to stay in place on our lack cou.Il easily 10 good centimètres.A avoid!</v>
      </c>
    </row>
    <row r="7275">
      <c r="A7275" s="1">
        <v>3.0</v>
      </c>
      <c r="B7275" s="1" t="s">
        <v>7170</v>
      </c>
      <c r="C7275" t="str">
        <f>IFERROR(__xludf.DUMMYFUNCTION("GOOGLETRANSLATE(B7275, ""fr"", ""en"")"),"Delivered on time and as expected gift that pleased with the matching necklace")</f>
        <v>Delivered on time and as expected gift that pleased with the matching necklace</v>
      </c>
    </row>
    <row r="7276">
      <c r="A7276" s="1">
        <v>3.0</v>
      </c>
      <c r="B7276" s="1" t="s">
        <v>7171</v>
      </c>
      <c r="C7276" t="str">
        <f>IFERROR(__xludf.DUMMYFUNCTION("GOOGLETRANSLATE(B7276, ""fr"", ""en"")"),"completely false Size Guide Size Guide is completely wrong, for my part I took the size 42.5 US which corresponds to 26.2 cm depending on their size guide, unfortunately in truth it corresponds to 42.5 US 27 cm, it's really whatever their size guide ...")</f>
        <v>completely false Size Guide Size Guide is completely wrong, for my part I took the size 42.5 US which corresponds to 26.2 cm depending on their size guide, unfortunately in truth it corresponds to 42.5 US 27 cm, it's really whatever their size guide ...</v>
      </c>
    </row>
    <row r="7277">
      <c r="A7277" s="1">
        <v>4.0</v>
      </c>
      <c r="B7277" s="1" t="s">
        <v>4706</v>
      </c>
      <c r="C7277" t="str">
        <f>IFERROR(__xludf.DUMMYFUNCTION("GOOGLETRANSLATE(B7277, ""fr"", ""en"")"),"Although Fair")</f>
        <v>Although Fair</v>
      </c>
    </row>
    <row r="7278">
      <c r="A7278" s="1">
        <v>4.0</v>
      </c>
      <c r="B7278" s="1" t="s">
        <v>7172</v>
      </c>
      <c r="C7278" t="str">
        <f>IFERROR(__xludf.DUMMYFUNCTION("GOOGLETRANSLATE(B7278, ""fr"", ""en"")"),"Satisfied Very good buy. Received in perfect condition within 3 days. The watch is really beautiful. I recommend this show for those who are brought to work in harsh or outdoor conditions, but also for everyday life. (Nice design)")</f>
        <v>Satisfied Very good buy. Received in perfect condition within 3 days. The watch is really beautiful. I recommend this show for those who are brought to work in harsh or outdoor conditions, but also for everyday life. (Nice design)</v>
      </c>
    </row>
    <row r="7279">
      <c r="A7279" s="1">
        <v>4.0</v>
      </c>
      <c r="B7279" s="1" t="s">
        <v>7173</v>
      </c>
      <c r="C7279" t="str">
        <f>IFERROR(__xludf.DUMMYFUNCTION("GOOGLETRANSLATE(B7279, ""fr"", ""en"")"),"burgundy my daughter vans shoes 39 of the 38 was just too much of it taken from the 38.5 it was perfect; fashionable colors goes everywhere and does not make a great walk through the big soles are quite narrow")</f>
        <v>burgundy my daughter vans shoes 39 of the 38 was just too much of it taken from the 38.5 it was perfect; fashionable colors goes everywhere and does not make a great walk through the big soles are quite narrow</v>
      </c>
    </row>
    <row r="7280">
      <c r="A7280" s="1">
        <v>4.0</v>
      </c>
      <c r="B7280" s="1" t="s">
        <v>7174</v>
      </c>
      <c r="C7280" t="str">
        <f>IFERROR(__xludf.DUMMYFUNCTION("GOOGLETRANSLATE(B7280, ""fr"", ""en"")"),"g shock -g what I wanted to show more beautiful than the picture because the needles and pins are not white and polished stainless prices defying all competition darker gray than black but still really great for the quality I do not worry me in time it wi"&amp;"ll be seen")</f>
        <v>g shock -g what I wanted to show more beautiful than the picture because the needles and pins are not white and polished stainless prices defying all competition darker gray than black but still really great for the quality I do not worry me in time it will be seen</v>
      </c>
    </row>
    <row r="7281">
      <c r="A7281" s="1">
        <v>4.0</v>
      </c>
      <c r="B7281" s="1" t="s">
        <v>7175</v>
      </c>
      <c r="C7281" t="str">
        <f>IFERROR(__xludf.DUMMYFUNCTION("GOOGLETRANSLATE(B7281, ""fr"", ""en"")"),"Simple &amp; amp; The effective loading of the cassette tape is very simple and the handling of the machine is just as easy. The biggest surprise comes from 9V DC external power supply with the positive pole outside (very rare!). I hope that good machine with"&amp;" a long service life !!?!")</f>
        <v>Simple &amp; amp; The effective loading of the cassette tape is very simple and the handling of the machine is just as easy. The biggest surprise comes from 9V DC external power supply with the positive pole outside (very rare!). I hope that good machine with a long service life !!?!</v>
      </c>
    </row>
    <row r="7282">
      <c r="A7282" s="1">
        <v>5.0</v>
      </c>
      <c r="B7282" s="1" t="s">
        <v>7176</v>
      </c>
      <c r="C7282" t="str">
        <f>IFERROR(__xludf.DUMMYFUNCTION("GOOGLETRANSLATE(B7282, ""fr"", ""en"")"),"Nikel My son very happy")</f>
        <v>Nikel My son very happy</v>
      </c>
    </row>
    <row r="7283">
      <c r="A7283" s="1">
        <v>5.0</v>
      </c>
      <c r="B7283" s="1" t="s">
        <v>7177</v>
      </c>
      <c r="C7283" t="str">
        <f>IFERROR(__xludf.DUMMYFUNCTION("GOOGLETRANSLATE(B7283, ""fr"", ""en"")"),"pretty, my husband is telling It's a gift for my husband. It's great but would be worth a little more")</f>
        <v>pretty, my husband is telling It's a gift for my husband. It's great but would be worth a little more</v>
      </c>
    </row>
    <row r="7284">
      <c r="A7284" s="1">
        <v>5.0</v>
      </c>
      <c r="B7284" s="1" t="s">
        <v>7178</v>
      </c>
      <c r="C7284" t="str">
        <f>IFERROR(__xludf.DUMMYFUNCTION("GOOGLETRANSLATE(B7284, ""fr"", ""en"")"),"Super Correct No surprises")</f>
        <v>Super Correct No surprises</v>
      </c>
    </row>
    <row r="7285">
      <c r="A7285" s="1">
        <v>5.0</v>
      </c>
      <c r="B7285" s="1" t="s">
        <v>7179</v>
      </c>
      <c r="C7285" t="str">
        <f>IFERROR(__xludf.DUMMYFUNCTION("GOOGLETRANSLATE(B7285, ""fr"", ""en"")"),"Nice product Referred shoes but of very good quality")</f>
        <v>Nice product Referred shoes but of very good quality</v>
      </c>
    </row>
    <row r="7286">
      <c r="A7286" s="1">
        <v>5.0</v>
      </c>
      <c r="B7286" s="1" t="s">
        <v>7180</v>
      </c>
      <c r="C7286" t="str">
        <f>IFERROR(__xludf.DUMMYFUNCTION("GOOGLETRANSLATE(B7286, ""fr"", ""en"")"),"Klarstein Dr.watsonXXL Hello I thank you present it well it looks very fresh air can not try it because it is a gift for Christmas")</f>
        <v>Klarstein Dr.watsonXXL Hello I thank you present it well it looks very fresh air can not try it because it is a gift for Christmas</v>
      </c>
    </row>
    <row r="7287">
      <c r="A7287" s="1">
        <v>5.0</v>
      </c>
      <c r="B7287" s="1" t="s">
        <v>7181</v>
      </c>
      <c r="C7287" t="str">
        <f>IFERROR(__xludf.DUMMYFUNCTION("GOOGLETRANSLATE(B7287, ""fr"", ""en"")"),"very relaxing and stunning I have a manual comb to massage the scalp but it takes a human action and when one does or even relaxation is not the same that someone we did it and it n is not easy to find volunteers. There I am self, I put it on the head, it"&amp;" fits perfectly and does not fall, I press the top button and choose between the 2 words (jerk or continuous) and the device vibrates, real attorney feeling of relaxation. I have a preference for jerky. Great product that fulfills its promises. I just lov"&amp;"e it")</f>
        <v>very relaxing and stunning I have a manual comb to massage the scalp but it takes a human action and when one does or even relaxation is not the same that someone we did it and it n is not easy to find volunteers. There I am self, I put it on the head, it fits perfectly and does not fall, I press the top button and choose between the 2 words (jerk or continuous) and the device vibrates, real attorney feeling of relaxation. I have a preference for jerky. Great product that fulfills its promises. I just love it</v>
      </c>
    </row>
    <row r="7288">
      <c r="A7288" s="1">
        <v>5.0</v>
      </c>
      <c r="B7288" s="1" t="s">
        <v>7182</v>
      </c>
      <c r="C7288" t="str">
        <f>IFERROR(__xludf.DUMMYFUNCTION("GOOGLETRANSLATE(B7288, ""fr"", ""en"")"),"descaling !! super descaling very effective for coffee pods result has ""seen"" at the tank has water !!")</f>
        <v>descaling !! super descaling very effective for coffee pods result has "seen" at the tank has water !!</v>
      </c>
    </row>
    <row r="7289">
      <c r="A7289" s="1">
        <v>5.0</v>
      </c>
      <c r="B7289" s="1" t="s">
        <v>7183</v>
      </c>
      <c r="C7289" t="str">
        <f>IFERROR(__xludf.DUMMYFUNCTION("GOOGLETRANSLATE(B7289, ""fr"", ""en"")"),"I like! my baby narrive not drink another bottle, that bottle like Mom!")</f>
        <v>I like! my baby narrive not drink another bottle, that bottle like Mom!</v>
      </c>
    </row>
    <row r="7290">
      <c r="A7290" s="1">
        <v>5.0</v>
      </c>
      <c r="B7290" s="1" t="s">
        <v>7184</v>
      </c>
      <c r="C7290" t="str">
        <f>IFERROR(__xludf.DUMMYFUNCTION("GOOGLETRANSLATE(B7290, ""fr"", ""en"")"),"TOP TOP TOP TOP TOP TOP")</f>
        <v>TOP TOP TOP TOP TOP TOP</v>
      </c>
    </row>
    <row r="7291">
      <c r="A7291" s="1">
        <v>5.0</v>
      </c>
      <c r="B7291" s="1" t="s">
        <v>7185</v>
      </c>
      <c r="C7291" t="str">
        <f>IFERROR(__xludf.DUMMYFUNCTION("GOOGLETRANSLATE(B7291, ""fr"", ""en"")"),"Bracelet very flattering. To harmonize a summer outfit. turquoise colors very well for the summer. I do not put them in water, does not affect the elastic.")</f>
        <v>Bracelet very flattering. To harmonize a summer outfit. turquoise colors very well for the summer. I do not put them in water, does not affect the elastic.</v>
      </c>
    </row>
    <row r="7292">
      <c r="A7292" s="1">
        <v>5.0</v>
      </c>
      <c r="B7292" s="1" t="s">
        <v>7186</v>
      </c>
      <c r="C7292" t="str">
        <f>IFERROR(__xludf.DUMMYFUNCTION("GOOGLETRANSLATE(B7292, ""fr"", ""en"")"),"Shoes coupons / Complies elegant photo, take the usual size no concern. beautiful dark brown color, blends easily with heads colors")</f>
        <v>Shoes coupons / Complies elegant photo, take the usual size no concern. beautiful dark brown color, blends easily with heads colors</v>
      </c>
    </row>
    <row r="7293">
      <c r="A7293" s="1">
        <v>5.0</v>
      </c>
      <c r="B7293" s="1" t="s">
        <v>7187</v>
      </c>
      <c r="C7293" t="str">
        <f>IFERROR(__xludf.DUMMYFUNCTION("GOOGLETRANSLATE(B7293, ""fr"", ""en"")"),"To class too! Very good product to recommend to")</f>
        <v>To class too! Very good product to recommend to</v>
      </c>
    </row>
    <row r="7294">
      <c r="A7294" s="1">
        <v>5.0</v>
      </c>
      <c r="B7294" s="1" t="s">
        <v>7188</v>
      </c>
      <c r="C7294" t="str">
        <f>IFERROR(__xludf.DUMMYFUNCTION("GOOGLETRANSLATE(B7294, ""fr"", ""en"")"),"Article that I use long interview he li washing machines and dish")</f>
        <v>Article that I use long interview he li washing machines and dish</v>
      </c>
    </row>
    <row r="7295">
      <c r="A7295" s="1">
        <v>5.0</v>
      </c>
      <c r="B7295" s="1" t="s">
        <v>7189</v>
      </c>
      <c r="C7295" t="str">
        <f>IFERROR(__xludf.DUMMYFUNCTION("GOOGLETRANSLATE(B7295, ""fr"", ""en"")"),"Very cute Very cute I wear it on a necklace of the same brand. Corresponds exactly to the photo.")</f>
        <v>Very cute Very cute I wear it on a necklace of the same brand. Corresponds exactly to the photo.</v>
      </c>
    </row>
    <row r="7296">
      <c r="A7296" s="1">
        <v>5.0</v>
      </c>
      <c r="B7296" s="1" t="s">
        <v>3772</v>
      </c>
      <c r="C7296" t="str">
        <f>IFERROR(__xludf.DUMMYFUNCTION("GOOGLETRANSLATE(B7296, ""fr"", ""en"")"),"Super Great")</f>
        <v>Super Great</v>
      </c>
    </row>
    <row r="7297">
      <c r="A7297" s="1">
        <v>2.0</v>
      </c>
      <c r="B7297" s="1" t="s">
        <v>7190</v>
      </c>
      <c r="C7297" t="str">
        <f>IFERROR(__xludf.DUMMYFUNCTION("GOOGLETRANSLATE(B7297, ""fr"", ""en"")"),"Longt too longt If you are pressed c is not the right plan 10 days to be delivered")</f>
        <v>Longt too longt If you are pressed c is not the right plan 10 days to be delivered</v>
      </c>
    </row>
    <row r="7298">
      <c r="A7298" s="1">
        <v>1.0</v>
      </c>
      <c r="B7298" s="1" t="s">
        <v>7191</v>
      </c>
      <c r="C7298" t="str">
        <f>IFERROR(__xludf.DUMMYFUNCTION("GOOGLETRANSLATE(B7298, ""fr"", ""en"")"),"Scam ... go your way !! Absolutely outrageous to send a necklace also oxidized than the one I received (attached photo) A new chain that? My eye !!! Forced to return !!")</f>
        <v>Scam ... go your way !! Absolutely outrageous to send a necklace also oxidized than the one I received (attached photo) A new chain that? My eye !!! Forced to return !!</v>
      </c>
    </row>
    <row r="7299">
      <c r="A7299" s="1">
        <v>1.0</v>
      </c>
      <c r="B7299" s="1" t="s">
        <v>7192</v>
      </c>
      <c r="C7299" t="str">
        <f>IFERROR(__xludf.DUMMYFUNCTION("GOOGLETRANSLATE(B7299, ""fr"", ""en"")"),"Worked one month ... From poor quality. The battery after being loaded to the max is discharged when the headset is disconnected .. The helmet worked 1 month worth ....")</f>
        <v>Worked one month ... From poor quality. The battery after being loaded to the max is discharged when the headset is disconnected .. The helmet worked 1 month worth ....</v>
      </c>
    </row>
    <row r="7300">
      <c r="A7300" s="1">
        <v>3.0</v>
      </c>
      <c r="B7300" s="1" t="s">
        <v>7193</v>
      </c>
      <c r="C7300" t="str">
        <f>IFERROR(__xludf.DUMMYFUNCTION("GOOGLETRANSLATE(B7300, ""fr"", ""en"")"),"RAS without more cheaply")</f>
        <v>RAS without more cheaply</v>
      </c>
    </row>
    <row r="7301">
      <c r="A7301" s="1">
        <v>3.0</v>
      </c>
      <c r="B7301" s="1" t="s">
        <v>7194</v>
      </c>
      <c r="C7301" t="str">
        <f>IFERROR(__xludf.DUMMYFUNCTION("GOOGLETRANSLATE(B7301, ""fr"", ""en"")"),"Pretty color Indeed it is quite small but the color is really beautiful against by the opening is by the flap which quite complicated because it makes a big portion leather explore before arriving at the bottom .It is nice but if I 'had known I would have"&amp;" requested another.")</f>
        <v>Pretty color Indeed it is quite small but the color is really beautiful against by the opening is by the flap which quite complicated because it makes a big portion leather explore before arriving at the bottom .It is nice but if I 'had known I would have requested another.</v>
      </c>
    </row>
    <row r="7302">
      <c r="A7302" s="1">
        <v>4.0</v>
      </c>
      <c r="B7302" s="1" t="s">
        <v>7195</v>
      </c>
      <c r="C7302" t="str">
        <f>IFERROR(__xludf.DUMMYFUNCTION("GOOGLETRANSLATE(B7302, ""fr"", ""en"")"),"effective product is effective for pain neck level and vetebre. the pot is big enough. I highly recommend it")</f>
        <v>effective product is effective for pain neck level and vetebre. the pot is big enough. I highly recommend it</v>
      </c>
    </row>
    <row r="7303">
      <c r="A7303" s="1">
        <v>4.0</v>
      </c>
      <c r="B7303" s="1" t="s">
        <v>7196</v>
      </c>
      <c r="C7303" t="str">
        <f>IFERROR(__xludf.DUMMYFUNCTION("GOOGLETRANSLATE(B7303, ""fr"", ""en"")"),"Comfortable and good performance. Taule a fair bit, better to take the size up. But it's still a very friendly and comfortable product.")</f>
        <v>Comfortable and good performance. Taule a fair bit, better to take the size up. But it's still a very friendly and comfortable product.</v>
      </c>
    </row>
    <row r="7304">
      <c r="A7304" s="1">
        <v>4.0</v>
      </c>
      <c r="B7304" s="1" t="s">
        <v>7197</v>
      </c>
      <c r="C7304" t="str">
        <f>IFERROR(__xludf.DUMMYFUNCTION("GOOGLETRANSLATE(B7304, ""fr"", ""en"")"),"super enrollment is very fine rhinestones and heart too big perfect great !!!")</f>
        <v>super enrollment is very fine rhinestones and heart too big perfect great !!!</v>
      </c>
    </row>
    <row r="7305">
      <c r="A7305" s="1">
        <v>4.0</v>
      </c>
      <c r="B7305" s="1" t="s">
        <v>7198</v>
      </c>
      <c r="C7305" t="str">
        <f>IFERROR(__xludf.DUMMYFUNCTION("GOOGLETRANSLATE(B7305, ""fr"", ""en"")"),"The size I use for work pity she be a little big but good value")</f>
        <v>The size I use for work pity she be a little big but good value</v>
      </c>
    </row>
    <row r="7306">
      <c r="A7306" s="1">
        <v>5.0</v>
      </c>
      <c r="B7306" s="1" t="s">
        <v>7199</v>
      </c>
      <c r="C7306" t="str">
        <f>IFERROR(__xludf.DUMMYFUNCTION("GOOGLETRANSLATE(B7306, ""fr"", ""en"")"),"Super awesome!!! I love No need to buy a painting, a slate or wasting astronomical amount of sheet to revise my kids at school ... You want to know my secret ??? These super magic pens :) Thanks to them, my bay windows, the kitchen window or child room wi"&amp;"ndow tables serve me to have it reviewed. And when we finished work we just need a dry paper towel paper (no need to wet it) the glass is wiped and nothing remains! It's awesome")</f>
        <v>Super awesome!!! I love No need to buy a painting, a slate or wasting astronomical amount of sheet to revise my kids at school ... You want to know my secret ??? These super magic pens :) Thanks to them, my bay windows, the kitchen window or child room window tables serve me to have it reviewed. And when we finished work we just need a dry paper towel paper (no need to wet it) the glass is wiped and nothing remains! It's awesome</v>
      </c>
    </row>
    <row r="7307">
      <c r="A7307" s="1">
        <v>5.0</v>
      </c>
      <c r="B7307" s="1" t="s">
        <v>7200</v>
      </c>
      <c r="C7307" t="str">
        <f>IFERROR(__xludf.DUMMYFUNCTION("GOOGLETRANSLATE(B7307, ""fr"", ""en"")"),"Lightweight and comfortable to wear shoes I between 42 and 43 according to the marks and there the 43 suits me perfectly. The shoes are lightweight and very comfortable to wear. Very happy with this purchase.")</f>
        <v>Lightweight and comfortable to wear shoes I between 42 and 43 according to the marks and there the 43 suits me perfectly. The shoes are lightweight and very comfortable to wear. Very happy with this purchase.</v>
      </c>
    </row>
    <row r="7308">
      <c r="A7308" s="1">
        <v>5.0</v>
      </c>
      <c r="B7308" s="1" t="s">
        <v>7201</v>
      </c>
      <c r="C7308" t="str">
        <f>IFERROR(__xludf.DUMMYFUNCTION("GOOGLETRANSLATE(B7308, ""fr"", ""en"")"),"Nice and comfortable My daughter is very happy because they are very comfortable and now she asks me snow 😂😂😂😂😂")</f>
        <v>Nice and comfortable My daughter is very happy because they are very comfortable and now she asks me snow 😂😂😂😂😂</v>
      </c>
    </row>
    <row r="7309">
      <c r="A7309" s="1">
        <v>5.0</v>
      </c>
      <c r="B7309" s="1" t="s">
        <v>7202</v>
      </c>
      <c r="C7309" t="str">
        <f>IFERROR(__xludf.DUMMYFUNCTION("GOOGLETRANSLATE(B7309, ""fr"", ""en"")"),"Good product beautiful jogging suit thank you.")</f>
        <v>Good product beautiful jogging suit thank you.</v>
      </c>
    </row>
    <row r="7310">
      <c r="A7310" s="1">
        <v>5.0</v>
      </c>
      <c r="B7310" s="1" t="s">
        <v>7203</v>
      </c>
      <c r="C7310" t="str">
        <f>IFERROR(__xludf.DUMMYFUNCTION("GOOGLETRANSLATE(B7310, ""fr"", ""en"")"),"quality appointments gift to a Spanish friend who was able to take them in hand in minutes. Anti noise function works for trying on a large avenue, outside noise does not stray our music. The charging case is strong and it opens at the touch. To recharge "&amp;"the atria just put them in the box that is strong, easy to use. The use of headsets is really very simple, and instructions in English, Spanish and French is useful. IT simply touch a headset regardless of the side to pause, supports a somewhat longer to "&amp;"answer a call .. No need to take the phone out of his pockets for something.")</f>
        <v>quality appointments gift to a Spanish friend who was able to take them in hand in minutes. Anti noise function works for trying on a large avenue, outside noise does not stray our music. The charging case is strong and it opens at the touch. To recharge the atria just put them in the box that is strong, easy to use. The use of headsets is really very simple, and instructions in English, Spanish and French is useful. IT simply touch a headset regardless of the side to pause, supports a somewhat longer to answer a call .. No need to take the phone out of his pockets for something.</v>
      </c>
    </row>
    <row r="7311">
      <c r="A7311" s="1">
        <v>5.0</v>
      </c>
      <c r="B7311" s="1" t="s">
        <v>7204</v>
      </c>
      <c r="C7311" t="str">
        <f>IFERROR(__xludf.DUMMYFUNCTION("GOOGLETRANSLATE(B7311, ""fr"", ""en"")"),"Marshall Major Headphones III Wired surprised but very happy with my purchase - Quality, Robustness, consistent listening - I use it every day for hours on my TV. Samsung -")</f>
        <v>Marshall Major Headphones III Wired surprised but very happy with my purchase - Quality, Robustness, consistent listening - I use it every day for hours on my TV. Samsung -</v>
      </c>
    </row>
    <row r="7312">
      <c r="A7312" s="1">
        <v>5.0</v>
      </c>
      <c r="B7312" s="1" t="s">
        <v>7205</v>
      </c>
      <c r="C7312" t="str">
        <f>IFERROR(__xludf.DUMMYFUNCTION("GOOGLETRANSLATE(B7312, ""fr"", ""en"")"),"Alarm light I bought this clock for the girl. Reveil ideal for children, very simple to use, and the Rise of ringtones are very pleasant. The lights are super nice night ... a purchase I do not regret! He will have to m a second for my second daughter!")</f>
        <v>Alarm light I bought this clock for the girl. Reveil ideal for children, very simple to use, and the Rise of ringtones are very pleasant. The lights are super nice night ... a purchase I do not regret! He will have to m a second for my second daughter!</v>
      </c>
    </row>
    <row r="7313">
      <c r="A7313" s="1">
        <v>5.0</v>
      </c>
      <c r="B7313" s="1" t="s">
        <v>7206</v>
      </c>
      <c r="C7313" t="str">
        <f>IFERROR(__xludf.DUMMYFUNCTION("GOOGLETRANSLATE(B7313, ""fr"", ""en"")"),"Fun The hood fits snugly on the head.")</f>
        <v>Fun The hood fits snugly on the head.</v>
      </c>
    </row>
    <row r="7314">
      <c r="A7314" s="1">
        <v>5.0</v>
      </c>
      <c r="B7314" s="1" t="s">
        <v>7207</v>
      </c>
      <c r="C7314" t="str">
        <f>IFERROR(__xludf.DUMMYFUNCTION("GOOGLETRANSLATE(B7314, ""fr"", ""en"")"),"Good Very satisfied but a little small")</f>
        <v>Good Very satisfied but a little small</v>
      </c>
    </row>
    <row r="7315">
      <c r="A7315" s="1">
        <v>5.0</v>
      </c>
      <c r="B7315" s="1" t="s">
        <v>7208</v>
      </c>
      <c r="C7315" t="str">
        <f>IFERROR(__xludf.DUMMYFUNCTION("GOOGLETRANSLATE(B7315, ""fr"", ""en"")"),"perfect perfect in size and material")</f>
        <v>perfect perfect in size and material</v>
      </c>
    </row>
    <row r="7316">
      <c r="A7316" s="1">
        <v>5.0</v>
      </c>
      <c r="B7316" s="1" t="s">
        <v>7209</v>
      </c>
      <c r="C7316" t="str">
        <f>IFERROR(__xludf.DUMMYFUNCTION("GOOGLETRANSLATE(B7316, ""fr"", ""en"")"),"Great Books collection extremely well suited to being myself CP mother of a little boy and I Pc mistress CP. These little books are eagerly awaited by our young readers")</f>
        <v>Great Books collection extremely well suited to being myself CP mother of a little boy and I Pc mistress CP. These little books are eagerly awaited by our young readers</v>
      </c>
    </row>
    <row r="7317">
      <c r="A7317" s="1">
        <v>5.0</v>
      </c>
      <c r="B7317" s="1" t="s">
        <v>7210</v>
      </c>
      <c r="C7317" t="str">
        <f>IFERROR(__xludf.DUMMYFUNCTION("GOOGLETRANSLATE(B7317, ""fr"", ""en"")"),"Rémi Note 7 The order is quickly well packaged arrival. It is the global version, with 64GB everything is perfect Regarding the product, the quality / price incredible. The battery lasts up to 2 full days, the camera is of excellent quality with 48mega pi"&amp;"xel cell works very well satisfied with the purchase I would 100%")</f>
        <v>Rémi Note 7 The order is quickly well packaged arrival. It is the global version, with 64GB everything is perfect Regarding the product, the quality / price incredible. The battery lasts up to 2 full days, the camera is of excellent quality with 48mega pixel cell works very well satisfied with the purchase I would 100%</v>
      </c>
    </row>
    <row r="7318">
      <c r="A7318" s="1">
        <v>5.0</v>
      </c>
      <c r="B7318" s="1" t="s">
        <v>7211</v>
      </c>
      <c r="C7318" t="str">
        <f>IFERROR(__xludf.DUMMYFUNCTION("GOOGLETRANSLATE(B7318, ""fr"", ""en"")"),"Article received Item received and consistent with the description of the seller. A big thank-you!")</f>
        <v>Article received Item received and consistent with the description of the seller. A big thank-you!</v>
      </c>
    </row>
    <row r="7319">
      <c r="A7319" s="1">
        <v>5.0</v>
      </c>
      <c r="B7319" s="1" t="s">
        <v>7212</v>
      </c>
      <c r="C7319" t="str">
        <f>IFERROR(__xludf.DUMMYFUNCTION("GOOGLETRANSLATE(B7319, ""fr"", ""en"")"),"Value for money Perfect for my use, small parties with friends ....")</f>
        <v>Value for money Perfect for my use, small parties with friends ....</v>
      </c>
    </row>
    <row r="7320">
      <c r="A7320" s="1">
        <v>5.0</v>
      </c>
      <c r="B7320" s="1" t="s">
        <v>7213</v>
      </c>
      <c r="C7320" t="str">
        <f>IFERROR(__xludf.DUMMYFUNCTION("GOOGLETRANSLATE(B7320, ""fr"", ""en"")"),"I love Terrible, headphones handy with the charging box that shows the charging rate The sound is very good. I love them")</f>
        <v>I love Terrible, headphones handy with the charging box that shows the charging rate The sound is very good. I love them</v>
      </c>
    </row>
    <row r="7321">
      <c r="A7321" s="1">
        <v>2.0</v>
      </c>
      <c r="B7321" s="1" t="s">
        <v>7214</v>
      </c>
      <c r="C7321" t="str">
        <f>IFERROR(__xludf.DUMMYFUNCTION("GOOGLETRANSLATE(B7321, ""fr"", ""en"")"),"not translate into French language the printer works well at the moment but we didnt choice in the parameter of choosing Spanish, Portuguese or Italian, damage.")</f>
        <v>not translate into French language the printer works well at the moment but we didnt choice in the parameter of choosing Spanish, Portuguese or Italian, damage.</v>
      </c>
    </row>
    <row r="7322">
      <c r="A7322" s="1">
        <v>1.0</v>
      </c>
      <c r="B7322" s="1" t="s">
        <v>7215</v>
      </c>
      <c r="C7322" t="str">
        <f>IFERROR(__xludf.DUMMYFUNCTION("GOOGLETRANSLATE(B7322, ""fr"", ""en"")"),"Opinion Disappointed, the product does not reflect the same quality real photo.")</f>
        <v>Opinion Disappointed, the product does not reflect the same quality real photo.</v>
      </c>
    </row>
    <row r="7323">
      <c r="A7323" s="1">
        <v>1.0</v>
      </c>
      <c r="B7323" s="1" t="s">
        <v>7216</v>
      </c>
      <c r="C7323" t="str">
        <f>IFERROR(__xludf.DUMMYFUNCTION("GOOGLETRANSLATE(B7323, ""fr"", ""en"")"),"Not satisfied Malfunctions of bands, poorly sewn.")</f>
        <v>Not satisfied Malfunctions of bands, poorly sewn.</v>
      </c>
    </row>
    <row r="7324">
      <c r="A7324" s="1">
        <v>3.0</v>
      </c>
      <c r="B7324" s="1" t="s">
        <v>7217</v>
      </c>
      <c r="C7324" t="str">
        <f>IFERROR(__xludf.DUMMYFUNCTION("GOOGLETRANSLATE(B7324, ""fr"", ""en"")"),"A nice essential oils pkudieurs sample for you or gift idea of ​​Received in, delays nice assortment there is something for everyone! Gift idea that should appeal to lovers of aromatherapy I do not regret my purchase and I use depending on my mood every d"&amp;"ay, in my diffuser")</f>
        <v>A nice essential oils pkudieurs sample for you or gift idea of ​​Received in, delays nice assortment there is something for everyone! Gift idea that should appeal to lovers of aromatherapy I do not regret my purchase and I use depending on my mood every day, in my diffuser</v>
      </c>
    </row>
    <row r="7325">
      <c r="A7325" s="1">
        <v>4.0</v>
      </c>
      <c r="B7325" s="1" t="s">
        <v>7218</v>
      </c>
      <c r="C7325" t="str">
        <f>IFERROR(__xludf.DUMMYFUNCTION("GOOGLETRANSLATE(B7325, ""fr"", ""en"")"),"A convenient dosing box even every day! This metering box proposed by Philips Avent allows for setting aside three milk powder doses. It is convenient because it is removable: indeed, it is composed of three parts (cover pot with dividers and main pot), t"&amp;"o ensure a perfect cleaning. It does not take a lot of space in the diaper bag. Once a baby has grown up, you can use the main pot to store other food inside (puree, compote ...). Note however that the storage capacity of each distribution: you can put 8/"&amp;"9 spoons of milk per location.")</f>
        <v>A convenient dosing box even every day! This metering box proposed by Philips Avent allows for setting aside three milk powder doses. It is convenient because it is removable: indeed, it is composed of three parts (cover pot with dividers and main pot), to ensure a perfect cleaning. It does not take a lot of space in the diaper bag. Once a baby has grown up, you can use the main pot to store other food inside (puree, compote ...). Note however that the storage capacity of each distribution: you can put 8/9 spoons of milk per location.</v>
      </c>
    </row>
    <row r="7326">
      <c r="A7326" s="1">
        <v>4.0</v>
      </c>
      <c r="B7326" s="1" t="s">
        <v>7219</v>
      </c>
      <c r="C7326" t="str">
        <f>IFERROR(__xludf.DUMMYFUNCTION("GOOGLETRANSLATE(B7326, ""fr"", ""en"")"),"Take one size smaller Good safety shoes that make their job but beware they carve great! Take one size smaller")</f>
        <v>Take one size smaller Good safety shoes that make their job but beware they carve great! Take one size smaller</v>
      </c>
    </row>
    <row r="7327">
      <c r="A7327" s="1">
        <v>4.0</v>
      </c>
      <c r="B7327" s="1" t="s">
        <v>7220</v>
      </c>
      <c r="C7327" t="str">
        <f>IFERROR(__xludf.DUMMYFUNCTION("GOOGLETRANSLATE(B7327, ""fr"", ""en"")"),"Very comfortable really comfortable shoes, it's hard to return to lace shoes after wearing. However, in the color I chose (dark brown) leather brand very quickly, whether in case of abrasions or in folds that develop with use. So the shoes do not stay imp"&amp;"eccable appearance lontemps well, even if the seams and soles seem built to last.")</f>
        <v>Very comfortable really comfortable shoes, it's hard to return to lace shoes after wearing. However, in the color I chose (dark brown) leather brand very quickly, whether in case of abrasions or in folds that develop with use. So the shoes do not stay impeccable appearance lontemps well, even if the seams and soles seem built to last.</v>
      </c>
    </row>
    <row r="7328">
      <c r="A7328" s="1">
        <v>4.0</v>
      </c>
      <c r="B7328" s="1" t="s">
        <v>7221</v>
      </c>
      <c r="C7328" t="str">
        <f>IFERROR(__xludf.DUMMYFUNCTION("GOOGLETRANSLATE(B7328, ""fr"", ""en"")"),"The brand RODE Micro excelled in its kind. I YouTubeur and streameur on Twitch and therefore used for such activities, as well as recording songs. Whether therefore for the podast, the stream gaming or music, it is very effective and versatile. Only flat,"&amp;" but then I 'critical' rather brand directly, the dominant position of RODE inflating the prices of its hardware. Indeed, the supplied tripod is very fine (micro does not fall), but it will be better to have a pole (and only RODE pole is compatible, then "&amp;"costs around 80 € + stand to hold the microphone on boom about 60 €. a total of 140 € for additional accessories, which ultimately gives a total cost quite big. But that does not alter the product, which is of professional quality, and quality is paid to "&amp;"all even.")</f>
        <v>The brand RODE Micro excelled in its kind. I YouTubeur and streameur on Twitch and therefore used for such activities, as well as recording songs. Whether therefore for the podast, the stream gaming or music, it is very effective and versatile. Only flat, but then I 'critical' rather brand directly, the dominant position of RODE inflating the prices of its hardware. Indeed, the supplied tripod is very fine (micro does not fall), but it will be better to have a pole (and only RODE pole is compatible, then costs around 80 € + stand to hold the microphone on boom about 60 €. a total of 140 € for additional accessories, which ultimately gives a total cost quite big. But that does not alter the product, which is of professional quality, and quality is paid to all even.</v>
      </c>
    </row>
    <row r="7329">
      <c r="A7329" s="1">
        <v>5.0</v>
      </c>
      <c r="B7329" s="1" t="s">
        <v>7222</v>
      </c>
      <c r="C7329" t="str">
        <f>IFERROR(__xludf.DUMMYFUNCTION("GOOGLETRANSLATE(B7329, ""fr"", ""en"")"),"Good product .. Satisfied Product !!!")</f>
        <v>Good product .. Satisfied Product !!!</v>
      </c>
    </row>
    <row r="7330">
      <c r="A7330" s="1">
        <v>5.0</v>
      </c>
      <c r="B7330" s="1" t="s">
        <v>7223</v>
      </c>
      <c r="C7330" t="str">
        <f>IFERROR(__xludf.DUMMYFUNCTION("GOOGLETRANSLATE(B7330, ""fr"", ""en"")"),"in the top ! as always amazon and it's good plan! half price than other produce for good quality! I would have had one meter longer but otherwise great!")</f>
        <v>in the top ! as always amazon and it's good plan! half price than other produce for good quality! I would have had one meter longer but otherwise great!</v>
      </c>
    </row>
    <row r="7331">
      <c r="A7331" s="1">
        <v>5.0</v>
      </c>
      <c r="B7331" s="1" t="s">
        <v>7224</v>
      </c>
      <c r="C7331" t="str">
        <f>IFERROR(__xludf.DUMMYFUNCTION("GOOGLETRANSLATE(B7331, ""fr"", ""en"")"),"Let perfect to have a superior sound quality for my iPhone for little investment and space. I suggest you take the cord for freedom of movement because the microphone is not Bluetooth.")</f>
        <v>Let perfect to have a superior sound quality for my iPhone for little investment and space. I suggest you take the cord for freedom of movement because the microphone is not Bluetooth.</v>
      </c>
    </row>
    <row r="7332">
      <c r="A7332" s="1">
        <v>5.0</v>
      </c>
      <c r="B7332" s="1" t="s">
        <v>7225</v>
      </c>
      <c r="C7332" t="str">
        <f>IFERROR(__xludf.DUMMYFUNCTION("GOOGLETRANSLATE(B7332, ""fr"", ""en"")"),"Very comfortable with Headphones jacks, so we are free to add a microphone or other accessories. I use it as much for listening to music to play or watch videos. Nothing to say except great")</f>
        <v>Very comfortable with Headphones jacks, so we are free to add a microphone or other accessories. I use it as much for listening to music to play or watch videos. Nothing to say except great</v>
      </c>
    </row>
    <row r="7333">
      <c r="A7333" s="1">
        <v>5.0</v>
      </c>
      <c r="B7333" s="1" t="s">
        <v>7226</v>
      </c>
      <c r="C7333" t="str">
        <f>IFERROR(__xludf.DUMMYFUNCTION("GOOGLETRANSLATE(B7333, ""fr"", ""en"")"),"Very Good Very cozy for winter. The navy blue is better insight on Superdry page, it is not bright (my preferance). Price was how to balance the store (but not in my size there). Shoulders a little tight, I recommend taking one size bigger if in doubt). p"&amp;"roper packaging and it's original Superdry. Satisfied.")</f>
        <v>Very Good Very cozy for winter. The navy blue is better insight on Superdry page, it is not bright (my preferance). Price was how to balance the store (but not in my size there). Shoulders a little tight, I recommend taking one size bigger if in doubt). proper packaging and it's original Superdry. Satisfied.</v>
      </c>
    </row>
    <row r="7334">
      <c r="A7334" s="1">
        <v>5.0</v>
      </c>
      <c r="B7334" s="1" t="s">
        <v>7227</v>
      </c>
      <c r="C7334" t="str">
        <f>IFERROR(__xludf.DUMMYFUNCTION("GOOGLETRANSLATE(B7334, ""fr"", ""en"")"),"simple book for the beginning of learning to read My 6 year old daughter and a half finishes its Kindergarten and returned to PC next year. These small free are great for early reading. My love smart")</f>
        <v>simple book for the beginning of learning to read My 6 year old daughter and a half finishes its Kindergarten and returned to PC next year. These small free are great for early reading. My love smart</v>
      </c>
    </row>
    <row r="7335">
      <c r="A7335" s="1">
        <v>5.0</v>
      </c>
      <c r="B7335" s="1" t="s">
        <v>7228</v>
      </c>
      <c r="C7335" t="str">
        <f>IFERROR(__xludf.DUMMYFUNCTION("GOOGLETRANSLATE(B7335, ""fr"", ""en"")"),"very good product Cheaper cartridges and Canon as effective document printing. I searched compatible MG 5750 and found this model I hope will be a long time offered for sale.")</f>
        <v>very good product Cheaper cartridges and Canon as effective document printing. I searched compatible MG 5750 and found this model I hope will be a long time offered for sale.</v>
      </c>
    </row>
    <row r="7336">
      <c r="A7336" s="1">
        <v>5.0</v>
      </c>
      <c r="B7336" s="1" t="s">
        <v>7229</v>
      </c>
      <c r="C7336" t="str">
        <f>IFERROR(__xludf.DUMMYFUNCTION("GOOGLETRANSLATE(B7336, ""fr"", ""en"")"),"Earpiece earphone Excellent qualiter the top and the design is and maniabiliter is easy and very fluid")</f>
        <v>Earpiece earphone Excellent qualiter the top and the design is and maniabiliter is easy and very fluid</v>
      </c>
    </row>
    <row r="7337">
      <c r="A7337" s="1">
        <v>5.0</v>
      </c>
      <c r="B7337" s="1" t="s">
        <v>7230</v>
      </c>
      <c r="C7337" t="str">
        <f>IFERROR(__xludf.DUMMYFUNCTION("GOOGLETRANSLATE(B7337, ""fr"", ""en"")"),"Attractive and practical 👌 I hesitated a long time before buying this model because there are always dissatisfied. I do not regret my purchase. This kettle is elegant and modern. Certainly, it is impressive but the dimensions are. I appreciate - the fact"&amp;" that I can choose different temperatures - its keeping warm - its large capacity, compared to my needs. I removed one star because inside is plastic. At that price, maybe we expect stainless steel.")</f>
        <v>Attractive and practical 👌 I hesitated a long time before buying this model because there are always dissatisfied. I do not regret my purchase. This kettle is elegant and modern. Certainly, it is impressive but the dimensions are. I appreciate - the fact that I can choose different temperatures - its keeping warm - its large capacity, compared to my needs. I removed one star because inside is plastic. At that price, maybe we expect stainless steel.</v>
      </c>
    </row>
    <row r="7338">
      <c r="A7338" s="1">
        <v>5.0</v>
      </c>
      <c r="B7338" s="1" t="s">
        <v>7231</v>
      </c>
      <c r="C7338" t="str">
        <f>IFERROR(__xludf.DUMMYFUNCTION("GOOGLETRANSLATE(B7338, ""fr"", ""en"")"),"To buy. invisible and comfortable perfectly.")</f>
        <v>To buy. invisible and comfortable perfectly.</v>
      </c>
    </row>
    <row r="7339">
      <c r="A7339" s="1">
        <v>5.0</v>
      </c>
      <c r="B7339" s="1" t="s">
        <v>7232</v>
      </c>
      <c r="C7339" t="str">
        <f>IFERROR(__xludf.DUMMYFUNCTION("GOOGLETRANSLATE(B7339, ""fr"", ""en"")"),"No complaints Perfectly functional, I use it for a few days, I even feel that my camera better hold a charge than the original charger.")</f>
        <v>No complaints Perfectly functional, I use it for a few days, I even feel that my camera better hold a charge than the original charger.</v>
      </c>
    </row>
    <row r="7340">
      <c r="A7340" s="1">
        <v>5.0</v>
      </c>
      <c r="B7340" s="1" t="s">
        <v>7233</v>
      </c>
      <c r="C7340" t="str">
        <f>IFERROR(__xludf.DUMMYFUNCTION("GOOGLETRANSLATE(B7340, ""fr"", ""en"")"),"I can not say anything Y Very good")</f>
        <v>I can not say anything Y Very good</v>
      </c>
    </row>
    <row r="7341">
      <c r="A7341" s="1">
        <v>5.0</v>
      </c>
      <c r="B7341" s="1" t="s">
        <v>7234</v>
      </c>
      <c r="C7341" t="str">
        <f>IFERROR(__xludf.DUMMYFUNCTION("GOOGLETRANSLATE(B7341, ""fr"", ""en"")"),"Done the job and corresponds very well to what I expected much attention to it really delivers with an output of 50 mm to 250 l / min and they are there, take the advice connector for output with the pump and it seems to me that it is also the pipe")</f>
        <v>Done the job and corresponds very well to what I expected much attention to it really delivers with an output of 50 mm to 250 l / min and they are there, take the advice connector for output with the pump and it seems to me that it is also the pipe</v>
      </c>
    </row>
    <row r="7342">
      <c r="A7342" s="1">
        <v>5.0</v>
      </c>
      <c r="B7342" s="1" t="s">
        <v>7235</v>
      </c>
      <c r="C7342" t="str">
        <f>IFERROR(__xludf.DUMMYFUNCTION("GOOGLETRANSLATE(B7342, ""fr"", ""en"")"),"Super Super lot happened very quickly, the wipes are soaked")</f>
        <v>Super Super lot happened very quickly, the wipes are soaked</v>
      </c>
    </row>
    <row r="7343">
      <c r="A7343" s="1">
        <v>5.0</v>
      </c>
      <c r="B7343" s="1" t="s">
        <v>7236</v>
      </c>
      <c r="C7343" t="str">
        <f>IFERROR(__xludf.DUMMYFUNCTION("GOOGLETRANSLATE(B7343, ""fr"", ""en"")"),"Strong and well adapted Teat perfectly suited to the needs of an infant. Teats very resistant than previous models. Bottles and practice good think !!")</f>
        <v>Strong and well adapted Teat perfectly suited to the needs of an infant. Teats very resistant than previous models. Bottles and practice good think !!</v>
      </c>
    </row>
    <row r="7344">
      <c r="A7344" s="1">
        <v>2.0</v>
      </c>
      <c r="B7344" s="1" t="s">
        <v>7237</v>
      </c>
      <c r="C7344" t="str">
        <f>IFERROR(__xludf.DUMMYFUNCTION("GOOGLETRANSLATE(B7344, ""fr"", ""en"")"),"Shoe shrinking over time Do not wear this kind of shoes in the rain, mine have shrunk because of it and have even distorted. life of this pair of lacoste, about 6 months in standard use (in town).")</f>
        <v>Shoe shrinking over time Do not wear this kind of shoes in the rain, mine have shrunk because of it and have even distorted. life of this pair of lacoste, about 6 months in standard use (in town).</v>
      </c>
    </row>
    <row r="7345">
      <c r="A7345" s="1">
        <v>1.0</v>
      </c>
      <c r="B7345" s="1" t="s">
        <v>7238</v>
      </c>
      <c r="C7345" t="str">
        <f>IFERROR(__xludf.DUMMYFUNCTION("GOOGLETRANSLATE(B7345, ""fr"", ""en"")"),"DECEPTION What a disappointment! Garnet looks like plastic, the flowers monies are arranged on the side of ""&amp; nbsp; &amp; nbsp garnet;"" and therefore we do not see much reason. Like a ring junk .....")</f>
        <v>DECEPTION What a disappointment! Garnet looks like plastic, the flowers monies are arranged on the side of "&amp; nbsp; &amp; nbsp garnet;" and therefore we do not see much reason. Like a ring junk .....</v>
      </c>
    </row>
    <row r="7346">
      <c r="A7346" s="1">
        <v>3.0</v>
      </c>
      <c r="B7346" s="1" t="s">
        <v>7239</v>
      </c>
      <c r="C7346" t="str">
        <f>IFERROR(__xludf.DUMMYFUNCTION("GOOGLETRANSLATE(B7346, ""fr"", ""en"")"),"Jacket and thin jacket is nice but very fine ... shame")</f>
        <v>Jacket and thin jacket is nice but very fine ... shame</v>
      </c>
    </row>
    <row r="7347">
      <c r="A7347" s="1">
        <v>3.0</v>
      </c>
      <c r="B7347" s="1" t="s">
        <v>7240</v>
      </c>
      <c r="C7347" t="str">
        <f>IFERROR(__xludf.DUMMYFUNCTION("GOOGLETRANSLATE(B7347, ""fr"", ""en"")"),"Special iPhone Adapter X I am rather Apple on smartphone as they are very ergonomic but their specific ports are very distressing. The EarPod are not bad but this model only helps to adpater has this type of iPhone. And we lose or he abyss must redeem the"&amp;" same. I recommend instead the adapter of this specific port Mini USB jack (I also) for any variety helmets (and costs less)")</f>
        <v>Special iPhone Adapter X I am rather Apple on smartphone as they are very ergonomic but their specific ports are very distressing. The EarPod are not bad but this model only helps to adpater has this type of iPhone. And we lose or he abyss must redeem the same. I recommend instead the adapter of this specific port Mini USB jack (I also) for any variety helmets (and costs less)</v>
      </c>
    </row>
    <row r="7348">
      <c r="A7348" s="1">
        <v>4.0</v>
      </c>
      <c r="B7348" s="1" t="s">
        <v>7241</v>
      </c>
      <c r="C7348" t="str">
        <f>IFERROR(__xludf.DUMMYFUNCTION("GOOGLETRANSLATE(B7348, ""fr"", ""en"")"),"Bottle warmer heats well. Very convenient. Heater bottles of any size and potty. Too big for the car. Do not make noise it stops.")</f>
        <v>Bottle warmer heats well. Very convenient. Heater bottles of any size and potty. Too big for the car. Do not make noise it stops.</v>
      </c>
    </row>
    <row r="7349">
      <c r="A7349" s="1">
        <v>4.0</v>
      </c>
      <c r="B7349" s="1" t="s">
        <v>7242</v>
      </c>
      <c r="C7349" t="str">
        <f>IFERROR(__xludf.DUMMYFUNCTION("GOOGLETRANSLATE(B7349, ""fr"", ""en"")"),"Not good value for money for sports. Elastic too tight over")</f>
        <v>Not good value for money for sports. Elastic too tight over</v>
      </c>
    </row>
    <row r="7350">
      <c r="A7350" s="1">
        <v>4.0</v>
      </c>
      <c r="B7350" s="1" t="s">
        <v>7243</v>
      </c>
      <c r="C7350" t="str">
        <f>IFERROR(__xludf.DUMMYFUNCTION("GOOGLETRANSLATE(B7350, ""fr"", ""en"")"),"Although history Please lot to children and illustrations are beautiful.")</f>
        <v>Although history Please lot to children and illustrations are beautiful.</v>
      </c>
    </row>
    <row r="7351">
      <c r="A7351" s="1">
        <v>4.0</v>
      </c>
      <c r="B7351" s="1" t="s">
        <v>7244</v>
      </c>
      <c r="C7351" t="str">
        <f>IFERROR(__xludf.DUMMYFUNCTION("GOOGLETRANSLATE(B7351, ""fr"", ""en"")"),"Very good Very well prepared cereals but do not put the dose indicated in a box if it always does not flow or abec difficulties.")</f>
        <v>Very good Very well prepared cereals but do not put the dose indicated in a box if it always does not flow or abec difficulties.</v>
      </c>
    </row>
    <row r="7352">
      <c r="A7352" s="1">
        <v>5.0</v>
      </c>
      <c r="B7352" s="1" t="s">
        <v>7245</v>
      </c>
      <c r="C7352" t="str">
        <f>IFERROR(__xludf.DUMMYFUNCTION("GOOGLETRANSLATE(B7352, ""fr"", ""en"")"),"Product according to the original description, perfect.")</f>
        <v>Product according to the original description, perfect.</v>
      </c>
    </row>
    <row r="7353">
      <c r="A7353" s="1">
        <v>5.0</v>
      </c>
      <c r="B7353" s="1" t="s">
        <v>7246</v>
      </c>
      <c r="C7353" t="str">
        <f>IFERROR(__xludf.DUMMYFUNCTION("GOOGLETRANSLATE(B7353, ""fr"", ""en"")"),"Perfectly perfect !!!!!!!! great great great !!!!! I recommend 200% for AC ground really well after a day of work where I'm just trample !!! It really relaxes well as AC and heat diffuses really light")</f>
        <v>Perfectly perfect !!!!!!!! great great great !!!!! I recommend 200% for AC ground really well after a day of work where I'm just trample !!! It really relaxes well as AC and heat diffuses really light</v>
      </c>
    </row>
    <row r="7354">
      <c r="A7354" s="1">
        <v>5.0</v>
      </c>
      <c r="B7354" s="1" t="s">
        <v>7247</v>
      </c>
      <c r="C7354" t="str">
        <f>IFERROR(__xludf.DUMMYFUNCTION("GOOGLETRANSLATE(B7354, ""fr"", ""en"")"),"Original nice, pretty, pretty flexible, strong")</f>
        <v>Original nice, pretty, pretty flexible, strong</v>
      </c>
    </row>
    <row r="7355">
      <c r="A7355" s="1">
        <v>5.0</v>
      </c>
      <c r="B7355" s="1" t="s">
        <v>7248</v>
      </c>
      <c r="C7355" t="str">
        <f>IFERROR(__xludf.DUMMYFUNCTION("GOOGLETRANSLATE(B7355, ""fr"", ""en"")"),"Compliant, comfortable, team listens Product in accordance with what is written on the site. Very nice product, very comfortable. As for customer service, quick response and very knowledgeable. I highly recommend to everyone. I would do use this site whic"&amp;"h offers very beautiful products")</f>
        <v>Compliant, comfortable, team listens Product in accordance with what is written on the site. Very nice product, very comfortable. As for customer service, quick response and very knowledgeable. I highly recommend to everyone. I would do use this site which offers very beautiful products</v>
      </c>
    </row>
    <row r="7356">
      <c r="A7356" s="1">
        <v>5.0</v>
      </c>
      <c r="B7356" s="1" t="s">
        <v>7249</v>
      </c>
      <c r="C7356" t="str">
        <f>IFERROR(__xludf.DUMMYFUNCTION("GOOGLETRANSLATE(B7356, ""fr"", ""en"")"),"Perfect !! Received very fast very good packaging. Very comfortable comfortable to wear for long ballad. Happy to know it !!")</f>
        <v>Perfect !! Received very fast very good packaging. Very comfortable comfortable to wear for long ballad. Happy to know it !!</v>
      </c>
    </row>
    <row r="7357">
      <c r="A7357" s="1">
        <v>5.0</v>
      </c>
      <c r="B7357" s="1" t="s">
        <v>7250</v>
      </c>
      <c r="C7357" t="str">
        <f>IFERROR(__xludf.DUMMYFUNCTION("GOOGLETRANSLATE(B7357, ""fr"", ""en"")"),"Super small encyclopedia .... consistent with the description, perfect for a small useful gift!")</f>
        <v>Super small encyclopedia .... consistent with the description, perfect for a small useful gift!</v>
      </c>
    </row>
    <row r="7358">
      <c r="A7358" s="1">
        <v>5.0</v>
      </c>
      <c r="B7358" s="1" t="s">
        <v>7251</v>
      </c>
      <c r="C7358" t="str">
        <f>IFERROR(__xludf.DUMMYFUNCTION("GOOGLETRANSLATE(B7358, ""fr"", ""en"")"),"Very good Teats MAM pacifiers, flexible silicone. Baby likes drinking his bottles with the nipples. Mom really is a great brand for baby accessories. Fits perfectly with our bottles purchased in pharmacies. Feel free to tell me if just below my review hel"&amp;"pful to you :)")</f>
        <v>Very good Teats MAM pacifiers, flexible silicone. Baby likes drinking his bottles with the nipples. Mom really is a great brand for baby accessories. Fits perfectly with our bottles purchased in pharmacies. Feel free to tell me if just below my review helpful to you :)</v>
      </c>
    </row>
    <row r="7359">
      <c r="A7359" s="1">
        <v>5.0</v>
      </c>
      <c r="B7359" s="1" t="s">
        <v>7252</v>
      </c>
      <c r="C7359" t="str">
        <f>IFERROR(__xludf.DUMMYFUNCTION("GOOGLETRANSLATE(B7359, ""fr"", ""en"")"),"Very good value Good size ... we must trust in the sizes of the table")</f>
        <v>Very good value Good size ... we must trust in the sizes of the table</v>
      </c>
    </row>
    <row r="7360">
      <c r="A7360" s="1">
        <v>5.0</v>
      </c>
      <c r="B7360" s="1" t="s">
        <v>7253</v>
      </c>
      <c r="C7360" t="str">
        <f>IFERROR(__xludf.DUMMYFUNCTION("GOOGLETRANSLATE(B7360, ""fr"", ""en"")"),"Very good tennis Good product, very nice and convenient without laces")</f>
        <v>Very good tennis Good product, very nice and convenient without laces</v>
      </c>
    </row>
    <row r="7361">
      <c r="A7361" s="1">
        <v>5.0</v>
      </c>
      <c r="B7361" s="1" t="s">
        <v>7254</v>
      </c>
      <c r="C7361" t="str">
        <f>IFERROR(__xludf.DUMMYFUNCTION("GOOGLETRANSLATE(B7361, ""fr"", ""en"")"),"SU-PER Teat very thin and pliable with lots of small holes so baby can have fun chew to easily take out the food scraps (I tested with small pieces of banana) After the dishwasher without problems and cleans quickly hand also in short, super gadget baby t"&amp;"o make him taste a whole lot of things where we would be afraid he's choking when he does not have enough teeth, satisfied!")</f>
        <v>SU-PER Teat very thin and pliable with lots of small holes so baby can have fun chew to easily take out the food scraps (I tested with small pieces of banana) After the dishwasher without problems and cleans quickly hand also in short, super gadget baby to make him taste a whole lot of things where we would be afraid he's choking when he does not have enough teeth, satisfied!</v>
      </c>
    </row>
    <row r="7362">
      <c r="A7362" s="1">
        <v>5.0</v>
      </c>
      <c r="B7362" s="1" t="s">
        <v>7255</v>
      </c>
      <c r="C7362" t="str">
        <f>IFERROR(__xludf.DUMMYFUNCTION("GOOGLETRANSLATE(B7362, ""fr"", ""en"")"),"BEL ALBUM FOR SMALL CHRISTMAS A beautiful story with a graphics quality! A nice tale without Santa. To advise all children.")</f>
        <v>BEL ALBUM FOR SMALL CHRISTMAS A beautiful story with a graphics quality! A nice tale without Santa. To advise all children.</v>
      </c>
    </row>
    <row r="7363">
      <c r="A7363" s="1">
        <v>5.0</v>
      </c>
      <c r="B7363" s="1" t="s">
        <v>7256</v>
      </c>
      <c r="C7363" t="str">
        <f>IFERROR(__xludf.DUMMYFUNCTION("GOOGLETRANSLATE(B7363, ""fr"", ""en"")"),"Practice I bought to practice sports, the size I asked fits perfectly (I am size 40/42, I ordered size L), the fabric is soft to the touch and stretch. To recommend.")</f>
        <v>Practice I bought to practice sports, the size I asked fits perfectly (I am size 40/42, I ordered size L), the fabric is soft to the touch and stretch. To recommend.</v>
      </c>
    </row>
    <row r="7364">
      <c r="A7364" s="1">
        <v>5.0</v>
      </c>
      <c r="B7364" s="1" t="s">
        <v>7257</v>
      </c>
      <c r="C7364" t="str">
        <f>IFERROR(__xludf.DUMMYFUNCTION("GOOGLETRANSLATE(B7364, ""fr"", ""en"")"),"Very satisfied My husband was looking for a watch with a digital display and bracelet steel, not always easy to find! This is nice, not too big, light, easy to use and set for a very affordable price. This gift has been highly appreciated!")</f>
        <v>Very satisfied My husband was looking for a watch with a digital display and bracelet steel, not always easy to find! This is nice, not too big, light, easy to use and set for a very affordable price. This gift has been highly appreciated!</v>
      </c>
    </row>
    <row r="7365">
      <c r="A7365" s="1">
        <v>5.0</v>
      </c>
      <c r="B7365" s="1" t="s">
        <v>7258</v>
      </c>
      <c r="C7365" t="str">
        <f>IFERROR(__xludf.DUMMYFUNCTION("GOOGLETRANSLATE(B7365, ""fr"", ""en"")"),"EXCELLENT Good sweater.")</f>
        <v>EXCELLENT Good sweater.</v>
      </c>
    </row>
    <row r="7366">
      <c r="A7366" s="1">
        <v>5.0</v>
      </c>
      <c r="B7366" s="1" t="s">
        <v>7259</v>
      </c>
      <c r="C7366" t="str">
        <f>IFERROR(__xludf.DUMMYFUNCTION("GOOGLETRANSLATE(B7366, ""fr"", ""en"")"),"Comfortable Very Comfortable")</f>
        <v>Comfortable Very Comfortable</v>
      </c>
    </row>
    <row r="7367">
      <c r="A7367" s="1">
        <v>2.0</v>
      </c>
      <c r="B7367" s="1" t="s">
        <v>7260</v>
      </c>
      <c r="C7367" t="str">
        <f>IFERROR(__xludf.DUMMYFUNCTION("GOOGLETRANSLATE(B7367, ""fr"", ""en"")"),"Not convinced Do not take up, slips and pulls ... shame because the feeling of freshness is there.")</f>
        <v>Not convinced Do not take up, slips and pulls ... shame because the feeling of freshness is there.</v>
      </c>
    </row>
    <row r="7368">
      <c r="A7368" s="1">
        <v>1.0</v>
      </c>
      <c r="B7368" s="1" t="s">
        <v>7261</v>
      </c>
      <c r="C7368" t="str">
        <f>IFERROR(__xludf.DUMMYFUNCTION("GOOGLETRANSLATE(B7368, ""fr"", ""en"")"),"Low-end heel have not aligned with the rest of the shoe")</f>
        <v>Low-end heel have not aligned with the rest of the shoe</v>
      </c>
    </row>
    <row r="7369">
      <c r="A7369" s="1">
        <v>1.0</v>
      </c>
      <c r="B7369" s="1" t="s">
        <v>7262</v>
      </c>
      <c r="C7369" t="str">
        <f>IFERROR(__xludf.DUMMYFUNCTION("GOOGLETRANSLATE(B7369, ""fr"", ""en"")"),"Socks quite ordinary These socks are just ordinary (besides their high price). I have the same problem of bulbs than standard low-end socks")</f>
        <v>Socks quite ordinary These socks are just ordinary (besides their high price). I have the same problem of bulbs than standard low-end socks</v>
      </c>
    </row>
    <row r="7370">
      <c r="A7370" s="1">
        <v>3.0</v>
      </c>
      <c r="B7370" s="1" t="s">
        <v>7263</v>
      </c>
      <c r="C7370" t="str">
        <f>IFERROR(__xludf.DUMMYFUNCTION("GOOGLETRANSLATE(B7370, ""fr"", ""en"")"),"Bad For home, a little late for a sweater ""&amp; nbsp; Winter &amp; nbsp;"" there are pockets which is a positive and a hood")</f>
        <v>Bad For home, a little late for a sweater "&amp; nbsp; Winter &amp; nbsp;" there are pockets which is a positive and a hood</v>
      </c>
    </row>
    <row r="7371">
      <c r="A7371" s="1">
        <v>3.0</v>
      </c>
      <c r="B7371" s="1" t="s">
        <v>7264</v>
      </c>
      <c r="C7371" t="str">
        <f>IFERROR(__xludf.DUMMYFUNCTION("GOOGLETRANSLATE(B7371, ""fr"", ""en"")"),"Mixed experience Sympas an aesthetic point of view and comfortable once they are ""data"". Small wound rubbing the back because the shoe is very stiff in the heel of achile. We had to insist and I put tape to avoid injury for some time. comfort level the "&amp;"roadway is but I do not recommend for long walks. The sole is a little thin. Shoes for me below the standard Puma to which I am accustomed.")</f>
        <v>Mixed experience Sympas an aesthetic point of view and comfortable once they are "data". Small wound rubbing the back because the shoe is very stiff in the heel of achile. We had to insist and I put tape to avoid injury for some time. comfort level the roadway is but I do not recommend for long walks. The sole is a little thin. Shoes for me below the standard Puma to which I am accustomed.</v>
      </c>
    </row>
    <row r="7372">
      <c r="A7372" s="1">
        <v>4.0</v>
      </c>
      <c r="B7372" s="1" t="s">
        <v>7265</v>
      </c>
      <c r="C7372" t="str">
        <f>IFERROR(__xludf.DUMMYFUNCTION("GOOGLETRANSLATE(B7372, ""fr"", ""en"")"),"Sport pants The material is very thick, but it is too large!")</f>
        <v>Sport pants The material is very thick, but it is too large!</v>
      </c>
    </row>
    <row r="7373">
      <c r="A7373" s="1">
        <v>4.0</v>
      </c>
      <c r="B7373" s="1" t="s">
        <v>7266</v>
      </c>
      <c r="C7373" t="str">
        <f>IFERROR(__xludf.DUMMYFUNCTION("GOOGLETRANSLATE(B7373, ""fr"", ""en"")"),"They are not suitable for driving, because a little heavy for walking, flawless against a little heavy for offset and especially the disadvantage is not suitable too for driving in the car, because we do not feel the pedals too. Otherwise they are very pr"&amp;"etty and beautifully shaped feet.")</f>
        <v>They are not suitable for driving, because a little heavy for walking, flawless against a little heavy for offset and especially the disadvantage is not suitable too for driving in the car, because we do not feel the pedals too. Otherwise they are very pretty and beautifully shaped feet.</v>
      </c>
    </row>
    <row r="7374">
      <c r="A7374" s="1">
        <v>4.0</v>
      </c>
      <c r="B7374" s="1" t="s">
        <v>7267</v>
      </c>
      <c r="C7374" t="str">
        <f>IFERROR(__xludf.DUMMYFUNCTION("GOOGLETRANSLATE(B7374, ""fr"", ""en"")"),"Meets expectation consistent with the expectation")</f>
        <v>Meets expectation consistent with the expectation</v>
      </c>
    </row>
    <row r="7375">
      <c r="A7375" s="1">
        <v>4.0</v>
      </c>
      <c r="B7375" s="1" t="s">
        <v>7268</v>
      </c>
      <c r="C7375" t="str">
        <f>IFERROR(__xludf.DUMMYFUNCTION("GOOGLETRANSLATE(B7375, ""fr"", ""en"")"),"J adore Parcel received in time little bag with a black jacket but no more breaks if see if the quality that last over time. Just the Scriptures hardly see themselves")</f>
        <v>J adore Parcel received in time little bag with a black jacket but no more breaks if see if the quality that last over time. Just the Scriptures hardly see themselves</v>
      </c>
    </row>
    <row r="7376">
      <c r="A7376" s="1">
        <v>5.0</v>
      </c>
      <c r="B7376" s="1" t="s">
        <v>7269</v>
      </c>
      <c r="C7376" t="str">
        <f>IFERROR(__xludf.DUMMYFUNCTION("GOOGLETRANSLATE(B7376, ""fr"", ""en"")"),"I recommend not at all disappointed with the shoes and the Amazon service. I recommend taking a size below its usual size.")</f>
        <v>I recommend not at all disappointed with the shoes and the Amazon service. I recommend taking a size below its usual size.</v>
      </c>
    </row>
    <row r="7377">
      <c r="A7377" s="1">
        <v>5.0</v>
      </c>
      <c r="B7377" s="1" t="s">
        <v>7270</v>
      </c>
      <c r="C7377" t="str">
        <f>IFERROR(__xludf.DUMMYFUNCTION("GOOGLETRANSLATE(B7377, ""fr"", ""en"")"),"I wanted good sound quality to try a different model and as I saw many of my friends with headphones I decided to opt for this model that seemed pretty design and not too expensive. This helmet is very pleasant to wear and is adjustable for small and big "&amp;"heads, """" pads "","" coat well my small ears. Level sound quality is more than satisfactory, the bass is very present and immersion is not bad at all. The soundproofing is good and the neighbors can not hear what you listen to when you are in public tra"&amp;"nsport for example. As for the place it folds very very easily and can put in the bag without taking up space. Is that it can be wired or wireless, charging for 3 hours, I can use it for long. A good price / quality, I recommend it.")</f>
        <v>I wanted good sound quality to try a different model and as I saw many of my friends with headphones I decided to opt for this model that seemed pretty design and not too expensive. This helmet is very pleasant to wear and is adjustable for small and big heads, "" pads "," coat well my small ears. Level sound quality is more than satisfactory, the bass is very present and immersion is not bad at all. The soundproofing is good and the neighbors can not hear what you listen to when you are in public transport for example. As for the place it folds very very easily and can put in the bag without taking up space. Is that it can be wired or wireless, charging for 3 hours, I can use it for long. A good price / quality, I recommend it.</v>
      </c>
    </row>
    <row r="7378">
      <c r="A7378" s="1">
        <v>5.0</v>
      </c>
      <c r="B7378" s="1" t="s">
        <v>7271</v>
      </c>
      <c r="C7378" t="str">
        <f>IFERROR(__xludf.DUMMYFUNCTION("GOOGLETRANSLATE(B7378, ""fr"", ""en"")"),"Fast shipping comfortable, nothing to say more comfortable and pleasant hot to walk cheap price of course nothing more to say")</f>
        <v>Fast shipping comfortable, nothing to say more comfortable and pleasant hot to walk cheap price of course nothing more to say</v>
      </c>
    </row>
    <row r="7379">
      <c r="A7379" s="1">
        <v>5.0</v>
      </c>
      <c r="B7379" s="1" t="s">
        <v>7272</v>
      </c>
      <c r="C7379" t="str">
        <f>IFERROR(__xludf.DUMMYFUNCTION("GOOGLETRANSLATE(B7379, ""fr"", ""en"")"),"For a machine that smells This product is natural and environmentally friendly. it feels really good. Now online you can order best softening and effective in-store. I did not know this brand and now I'm delighted. It is sold in packs of 3 and is highly c"&amp;"oncentrated there is no need to put a lot for laundry.")</f>
        <v>For a machine that smells This product is natural and environmentally friendly. it feels really good. Now online you can order best softening and effective in-store. I did not know this brand and now I'm delighted. It is sold in packs of 3 and is highly concentrated there is no need to put a lot for laundry.</v>
      </c>
    </row>
    <row r="7380">
      <c r="A7380" s="1">
        <v>5.0</v>
      </c>
      <c r="B7380" s="1" t="s">
        <v>7273</v>
      </c>
      <c r="C7380" t="str">
        <f>IFERROR(__xludf.DUMMYFUNCTION("GOOGLETRANSLATE(B7380, ""fr"", ""en"")"),"Connect a PC to a TV monitor professional quality Material.")</f>
        <v>Connect a PC to a TV monitor professional quality Material.</v>
      </c>
    </row>
    <row r="7381">
      <c r="A7381" s="1">
        <v>5.0</v>
      </c>
      <c r="B7381" s="1" t="s">
        <v>7274</v>
      </c>
      <c r="C7381" t="str">
        <f>IFERROR(__xludf.DUMMYFUNCTION("GOOGLETRANSLATE(B7381, ""fr"", ""en"")"),"Many blessings on the house since we burn regularly papaier Armenian family friendly soothes considerably. We burn with love for the people who lived there so that they continue their life on their side")</f>
        <v>Many blessings on the house since we burn regularly papaier Armenian family friendly soothes considerably. We burn with love for the people who lived there so that they continue their life on their side</v>
      </c>
    </row>
    <row r="7382">
      <c r="A7382" s="1">
        <v>5.0</v>
      </c>
      <c r="B7382" s="1" t="s">
        <v>7275</v>
      </c>
      <c r="C7382" t="str">
        <f>IFERROR(__xludf.DUMMYFUNCTION("GOOGLETRANSLATE(B7382, ""fr"", ""en"")"),"Good listening Despite its massiveness it is lightweight and has good sound quality ......")</f>
        <v>Good listening Despite its massiveness it is lightweight and has good sound quality ......</v>
      </c>
    </row>
    <row r="7383">
      <c r="A7383" s="1">
        <v>5.0</v>
      </c>
      <c r="B7383" s="1" t="s">
        <v>7276</v>
      </c>
      <c r="C7383" t="str">
        <f>IFERROR(__xludf.DUMMYFUNCTION("GOOGLETRANSLATE(B7383, ""fr"", ""en"")"),"Trainers Received quickly these sneakers seem to be robust ... see over time. My son is very good inside. Size ok. Bel aspet do very good effect on the feet. Just a little heavy but does not interfere with.")</f>
        <v>Trainers Received quickly these sneakers seem to be robust ... see over time. My son is very good inside. Size ok. Bel aspet do very good effect on the feet. Just a little heavy but does not interfere with.</v>
      </c>
    </row>
    <row r="7384">
      <c r="A7384" s="1">
        <v>5.0</v>
      </c>
      <c r="B7384" s="1" t="s">
        <v>7277</v>
      </c>
      <c r="C7384" t="str">
        <f>IFERROR(__xludf.DUMMYFUNCTION("GOOGLETRANSLATE(B7384, ""fr"", ""en"")"),"Over the top Over the top")</f>
        <v>Over the top Over the top</v>
      </c>
    </row>
    <row r="7385">
      <c r="A7385" s="1">
        <v>5.0</v>
      </c>
      <c r="B7385" s="1" t="s">
        <v>7278</v>
      </c>
      <c r="C7385" t="str">
        <f>IFERROR(__xludf.DUMMYFUNCTION("GOOGLETRANSLATE(B7385, ""fr"", ""en"")"),"Fast and neat Fast shipping. I recommend.")</f>
        <v>Fast and neat Fast shipping. I recommend.</v>
      </c>
    </row>
    <row r="7386">
      <c r="A7386" s="1">
        <v>5.0</v>
      </c>
      <c r="B7386" s="1" t="s">
        <v>1261</v>
      </c>
      <c r="C7386" t="str">
        <f>IFERROR(__xludf.DUMMYFUNCTION("GOOGLETRANSLATE(B7386, ""fr"", ""en"")"),"good good")</f>
        <v>good good</v>
      </c>
    </row>
    <row r="7387">
      <c r="A7387" s="1">
        <v>5.0</v>
      </c>
      <c r="B7387" s="1" t="s">
        <v>7279</v>
      </c>
      <c r="C7387" t="str">
        <f>IFERROR(__xludf.DUMMYFUNCTION("GOOGLETRANSLATE(B7387, ""fr"", ""en"")"),"Very beautiful high Belles vans vans. My son is delighted and will be beautiful this winter. Color consistent with the published photograph.")</f>
        <v>Very beautiful high Belles vans vans. My son is delighted and will be beautiful this winter. Color consistent with the published photograph.</v>
      </c>
    </row>
    <row r="7388">
      <c r="A7388" s="1">
        <v>5.0</v>
      </c>
      <c r="B7388" s="1" t="s">
        <v>7280</v>
      </c>
      <c r="C7388" t="str">
        <f>IFERROR(__xludf.DUMMYFUNCTION("GOOGLETRANSLATE(B7388, ""fr"", ""en"")"),"safe easy to clean and sterilize. solid. can be given to baby with confidence. Fits comfortably in the hands. The interface is very well done")</f>
        <v>safe easy to clean and sterilize. solid. can be given to baby with confidence. Fits comfortably in the hands. The interface is very well done</v>
      </c>
    </row>
    <row r="7389">
      <c r="A7389" s="1">
        <v>5.0</v>
      </c>
      <c r="B7389" s="1" t="s">
        <v>7281</v>
      </c>
      <c r="C7389" t="str">
        <f>IFERROR(__xludf.DUMMYFUNCTION("GOOGLETRANSLATE(B7389, ""fr"", ""en"")"),"Not bad at all Very nice small kettle, ideal in my bathroom to heat water to shave, the cherry on the cake several different temperatures and automatic temperature each with a different color.")</f>
        <v>Not bad at all Very nice small kettle, ideal in my bathroom to heat water to shave, the cherry on the cake several different temperatures and automatic temperature each with a different color.</v>
      </c>
    </row>
    <row r="7390">
      <c r="A7390" s="1">
        <v>5.0</v>
      </c>
      <c r="B7390" s="1" t="s">
        <v>7282</v>
      </c>
      <c r="C7390" t="str">
        <f>IFERROR(__xludf.DUMMYFUNCTION("GOOGLETRANSLATE(B7390, ""fr"", ""en"")"),"Very good cable! Despite poor reviews, this cable has none for me. It meets my expectations and filled its function perfectly! I recommend.")</f>
        <v>Very good cable! Despite poor reviews, this cable has none for me. It meets my expectations and filled its function perfectly! I recommend.</v>
      </c>
    </row>
    <row r="7391">
      <c r="A7391" s="1">
        <v>2.0</v>
      </c>
      <c r="B7391" s="1" t="s">
        <v>7283</v>
      </c>
      <c r="C7391" t="str">
        <f>IFERROR(__xludf.DUMMYFUNCTION("GOOGLETRANSLATE(B7391, ""fr"", ""en"")"),"Disappointment pairing extremely random or impossible. Helmet plastic low end. Big headphones format that becomes uncomfortable in 30 minutes. I do not recommend.")</f>
        <v>Disappointment pairing extremely random or impossible. Helmet plastic low end. Big headphones format that becomes uncomfortable in 30 minutes. I do not recommend.</v>
      </c>
    </row>
    <row r="7392">
      <c r="A7392" s="1">
        <v>1.0</v>
      </c>
      <c r="B7392" s="1" t="s">
        <v>4492</v>
      </c>
      <c r="C7392" t="str">
        <f>IFERROR(__xludf.DUMMYFUNCTION("GOOGLETRANSLATE(B7392, ""fr"", ""en"")"),"nil nil")</f>
        <v>nil nil</v>
      </c>
    </row>
    <row r="7393">
      <c r="A7393" s="1">
        <v>1.0</v>
      </c>
      <c r="B7393" s="1" t="s">
        <v>7284</v>
      </c>
      <c r="C7393" t="str">
        <f>IFERROR(__xludf.DUMMYFUNCTION("GOOGLETRANSLATE(B7393, ""fr"", ""en"")"),"Very disappointed, very disappointed too small size does not correspond to the size.")</f>
        <v>Very disappointed, very disappointed too small size does not correspond to the size.</v>
      </c>
    </row>
    <row r="7394">
      <c r="A7394" s="1">
        <v>3.0</v>
      </c>
      <c r="B7394" s="1" t="s">
        <v>7285</v>
      </c>
      <c r="C7394" t="str">
        <f>IFERROR(__xludf.DUMMYFUNCTION("GOOGLETRANSLATE(B7394, ""fr"", ""en"")"),"Good headphones but there is a but ... Curious to use bone conduction headphones I buy it twice for what it worth, and to do testing. The sound is good but not all the time, you feel the helmet weighed but it is passable. Take into account the fact that t"&amp;"he helmet will not go to anyone and everyone hears differently. I would say that the good points are: being able to continue to listen to the world around (advantage of bone conduction) of boulquies are provided (but feel in a bubble), the sound is not to"&amp;"o bad. Bad points: the sound is almost inaudible low inaudible see (disadvantages of bone conduction tell me or my big head) at the high contrariot his means far, it put me in mind the image of massaging listener who only vibrate unfortunately. In conclus"&amp;"ion this is a good product but your best interest to find the middle (in every sense) to use it properly.")</f>
        <v>Good headphones but there is a but ... Curious to use bone conduction headphones I buy it twice for what it worth, and to do testing. The sound is good but not all the time, you feel the helmet weighed but it is passable. Take into account the fact that the helmet will not go to anyone and everyone hears differently. I would say that the good points are: being able to continue to listen to the world around (advantage of bone conduction) of boulquies are provided (but feel in a bubble), the sound is not too bad. Bad points: the sound is almost inaudible low inaudible see (disadvantages of bone conduction tell me or my big head) at the high contrariot his means far, it put me in mind the image of massaging listener who only vibrate unfortunately. In conclusion this is a good product but your best interest to find the middle (in every sense) to use it properly.</v>
      </c>
    </row>
    <row r="7395">
      <c r="A7395" s="1">
        <v>4.0</v>
      </c>
      <c r="B7395" s="1" t="s">
        <v>7286</v>
      </c>
      <c r="C7395" t="str">
        <f>IFERROR(__xludf.DUMMYFUNCTION("GOOGLETRANSLATE(B7395, ""fr"", ""en"")"),"Good product sportswear good product. Bellesbroderies. Attention hair cell size. If voud're between M and L for example ... take pity L. manqud lightweight class with huge colorful cords green red hood.")</f>
        <v>Good product sportswear good product. Bellesbroderies. Attention hair cell size. If voud're between M and L for example ... take pity L. manqud lightweight class with huge colorful cords green red hood.</v>
      </c>
    </row>
    <row r="7396">
      <c r="A7396" s="1">
        <v>4.0</v>
      </c>
      <c r="B7396" s="1" t="s">
        <v>7287</v>
      </c>
      <c r="C7396" t="str">
        <f>IFERROR(__xludf.DUMMYFUNCTION("GOOGLETRANSLATE(B7396, ""fr"", ""en"")"),"Good Meets bag")</f>
        <v>Good Meets bag</v>
      </c>
    </row>
    <row r="7397">
      <c r="A7397" s="1">
        <v>4.0</v>
      </c>
      <c r="B7397" s="1" t="s">
        <v>7288</v>
      </c>
      <c r="C7397" t="str">
        <f>IFERROR(__xludf.DUMMYFUNCTION("GOOGLETRANSLATE(B7397, ""fr"", ""en"")"),"Good Good Slight feeling plits underfoot when I walk with")</f>
        <v>Good Good Slight feeling plits underfoot when I walk with</v>
      </c>
    </row>
    <row r="7398">
      <c r="A7398" s="1">
        <v>4.0</v>
      </c>
      <c r="B7398" s="1" t="s">
        <v>7289</v>
      </c>
      <c r="C7398" t="str">
        <f>IFERROR(__xludf.DUMMYFUNCTION("GOOGLETRANSLATE(B7398, ""fr"", ""en"")"),"beautiful sandals I am delighted with my order, the size is perfect, good quality, simple but nice model I recommend the product.")</f>
        <v>beautiful sandals I am delighted with my order, the size is perfect, good quality, simple but nice model I recommend the product.</v>
      </c>
    </row>
    <row r="7399">
      <c r="A7399" s="1">
        <v>5.0</v>
      </c>
      <c r="B7399" s="1" t="s">
        <v>7290</v>
      </c>
      <c r="C7399" t="str">
        <f>IFERROR(__xludf.DUMMYFUNCTION("GOOGLETRANSLATE(B7399, ""fr"", ""en"")"),"Awesome I just barely use it already I'm a fan too good practice is to use already playing its role Highly recommend")</f>
        <v>Awesome I just barely use it already I'm a fan too good practice is to use already playing its role Highly recommend</v>
      </c>
    </row>
    <row r="7400">
      <c r="A7400" s="1">
        <v>5.0</v>
      </c>
      <c r="B7400" s="1" t="s">
        <v>7291</v>
      </c>
      <c r="C7400" t="str">
        <f>IFERROR(__xludf.DUMMYFUNCTION("GOOGLETRANSLATE(B7400, ""fr"", ""en"")"),"top top")</f>
        <v>top top</v>
      </c>
    </row>
    <row r="7401">
      <c r="A7401" s="1">
        <v>5.0</v>
      </c>
      <c r="B7401" s="1" t="s">
        <v>7292</v>
      </c>
      <c r="C7401" t="str">
        <f>IFERROR(__xludf.DUMMYFUNCTION("GOOGLETRANSLATE(B7401, ""fr"", ""en"")"),"Very nice product Perfect")</f>
        <v>Very nice product Perfect</v>
      </c>
    </row>
    <row r="7402">
      <c r="A7402" s="1">
        <v>5.0</v>
      </c>
      <c r="B7402" s="1" t="s">
        <v>7293</v>
      </c>
      <c r="C7402" t="str">
        <f>IFERROR(__xludf.DUMMYFUNCTION("GOOGLETRANSLATE(B7402, ""fr"", ""en"")"),"Quality product I'm afraid for her life, but in fact the product is really quality for the price, I am pleasantly surprised")</f>
        <v>Quality product I'm afraid for her life, but in fact the product is really quality for the price, I am pleasantly surprised</v>
      </c>
    </row>
    <row r="7403">
      <c r="A7403" s="1">
        <v>5.0</v>
      </c>
      <c r="B7403" s="1" t="s">
        <v>7294</v>
      </c>
      <c r="C7403" t="str">
        <f>IFERROR(__xludf.DUMMYFUNCTION("GOOGLETRANSLATE(B7403, ""fr"", ""en"")"),"Perfect Very happy with this watch, which changes from time alone, no problem. The bracelet setting is very simple. The dial is easy to read")</f>
        <v>Perfect Very happy with this watch, which changes from time alone, no problem. The bracelet setting is very simple. The dial is easy to read</v>
      </c>
    </row>
    <row r="7404">
      <c r="A7404" s="1">
        <v>5.0</v>
      </c>
      <c r="B7404" s="1" t="s">
        <v>7295</v>
      </c>
      <c r="C7404" t="str">
        <f>IFERROR(__xludf.DUMMYFUNCTION("GOOGLETRANSLATE(B7404, ""fr"", ""en"")"),"comfortable Very comfortable, no problem washing, size is suitable, nothing to say except to advise this model,")</f>
        <v>comfortable Very comfortable, no problem washing, size is suitable, nothing to say except to advise this model,</v>
      </c>
    </row>
    <row r="7405">
      <c r="A7405" s="1">
        <v>5.0</v>
      </c>
      <c r="B7405" s="1" t="s">
        <v>7296</v>
      </c>
      <c r="C7405" t="str">
        <f>IFERROR(__xludf.DUMMYFUNCTION("GOOGLETRANSLATE(B7405, ""fr"", ""en"")"),"Complies with my order. Good value for money. Setting quiet spot ... affordable product. Very good quality / price. discreet remains after editing. The sound is very good. I recommend this product.")</f>
        <v>Complies with my order. Good value for money. Setting quiet spot ... affordable product. Very good quality / price. discreet remains after editing. The sound is very good. I recommend this product.</v>
      </c>
    </row>
    <row r="7406">
      <c r="A7406" s="1">
        <v>5.0</v>
      </c>
      <c r="B7406" s="1" t="s">
        <v>7297</v>
      </c>
      <c r="C7406" t="str">
        <f>IFERROR(__xludf.DUMMYFUNCTION("GOOGLETRANSLATE(B7406, ""fr"", ""en"")"),"Nice product nice product, easy to use")</f>
        <v>Nice product nice product, easy to use</v>
      </c>
    </row>
    <row r="7407">
      <c r="A7407" s="1">
        <v>5.0</v>
      </c>
      <c r="B7407" s="1" t="s">
        <v>7298</v>
      </c>
      <c r="C7407" t="str">
        <f>IFERROR(__xludf.DUMMYFUNCTION("GOOGLETRANSLATE(B7407, ""fr"", ""en"")"),"My husband's super appreciate it are comfortable and pretty tough even with jeans he is very satisfied")</f>
        <v>My husband's super appreciate it are comfortable and pretty tough even with jeans he is very satisfied</v>
      </c>
    </row>
    <row r="7408">
      <c r="A7408" s="1">
        <v>5.0</v>
      </c>
      <c r="B7408" s="1" t="s">
        <v>7299</v>
      </c>
      <c r="C7408" t="str">
        <f>IFERROR(__xludf.DUMMYFUNCTION("GOOGLETRANSLATE(B7408, ""fr"", ""en"")"),"Powerful but complex Super calculator, very powerful but cons must read the manual to use it")</f>
        <v>Powerful but complex Super calculator, very powerful but cons must read the manual to use it</v>
      </c>
    </row>
    <row r="7409">
      <c r="A7409" s="1">
        <v>5.0</v>
      </c>
      <c r="B7409" s="1" t="s">
        <v>7300</v>
      </c>
      <c r="C7409" t="str">
        <f>IFERROR(__xludf.DUMMYFUNCTION("GOOGLETRANSLATE(B7409, ""fr"", ""en"")"),"Size impeccable No fault really perfect size")</f>
        <v>Size impeccable No fault really perfect size</v>
      </c>
    </row>
    <row r="7410">
      <c r="A7410" s="1">
        <v>5.0</v>
      </c>
      <c r="B7410" s="1" t="s">
        <v>7301</v>
      </c>
      <c r="C7410" t="str">
        <f>IFERROR(__xludf.DUMMYFUNCTION("GOOGLETRANSLATE(B7410, ""fr"", ""en"")"),"These are beautiful chooses Converse, timeless style. I love them and my daughter is jealous, so it was ordered the same. White is messy, but so elegant.")</f>
        <v>These are beautiful chooses Converse, timeless style. I love them and my daughter is jealous, so it was ordered the same. White is messy, but so elegant.</v>
      </c>
    </row>
    <row r="7411">
      <c r="A7411" s="1">
        <v>5.0</v>
      </c>
      <c r="B7411" s="1" t="s">
        <v>7302</v>
      </c>
      <c r="C7411" t="str">
        <f>IFERROR(__xludf.DUMMYFUNCTION("GOOGLETRANSLATE(B7411, ""fr"", ""en"")"),"Philips, the best? Yes outright, for me there is no better than Advent for everything related baby business. No crap in, solid, efficient, and pretty, what more! The price stings a little, but the quality is paid.")</f>
        <v>Philips, the best? Yes outright, for me there is no better than Advent for everything related baby business. No crap in, solid, efficient, and pretty, what more! The price stings a little, but the quality is paid.</v>
      </c>
    </row>
    <row r="7412">
      <c r="A7412" s="1">
        <v>5.0</v>
      </c>
      <c r="B7412" s="1" t="s">
        <v>7303</v>
      </c>
      <c r="C7412" t="str">
        <f>IFERROR(__xludf.DUMMYFUNCTION("GOOGLETRANSLATE(B7412, ""fr"", ""en"")"),"Elegant and discreet Super diffuser, discreet and compact and above all elegant with its wood appearance. To use it, is simple, remove the lid, put water with a few drops of oil (enough 3-4), start and fragrance diffuses itself The + is the auto stop when"&amp;" there is more water and multi-colored lighting. If you want a cheap diffuser adopt it.")</f>
        <v>Elegant and discreet Super diffuser, discreet and compact and above all elegant with its wood appearance. To use it, is simple, remove the lid, put water with a few drops of oil (enough 3-4), start and fragrance diffuses itself The + is the auto stop when there is more water and multi-colored lighting. If you want a cheap diffuser adopt it.</v>
      </c>
    </row>
    <row r="7413">
      <c r="A7413" s="1">
        <v>5.0</v>
      </c>
      <c r="B7413" s="1" t="s">
        <v>7304</v>
      </c>
      <c r="C7413" t="str">
        <f>IFERROR(__xludf.DUMMYFUNCTION("GOOGLETRANSLATE(B7413, ""fr"", ""en"")"),"Nickel and Super Fast purchase for min son")</f>
        <v>Nickel and Super Fast purchase for min son</v>
      </c>
    </row>
    <row r="7414">
      <c r="A7414" s="1">
        <v>2.0</v>
      </c>
      <c r="B7414" s="1" t="s">
        <v>7305</v>
      </c>
      <c r="C7414" t="str">
        <f>IFERROR(__xludf.DUMMYFUNCTION("GOOGLETRANSLATE(B7414, ""fr"", ""en"")"),"Lack of quality! Very disappointed with this kit !!!! Some pens have broken mine and other shorter than the other as if they had already served !!! I expected more quality and serious !!!")</f>
        <v>Lack of quality! Very disappointed with this kit !!!! Some pens have broken mine and other shorter than the other as if they had already served !!! I expected more quality and serious !!!</v>
      </c>
    </row>
    <row r="7415">
      <c r="A7415" s="1">
        <v>1.0</v>
      </c>
      <c r="B7415" s="1" t="s">
        <v>7306</v>
      </c>
      <c r="C7415" t="str">
        <f>IFERROR(__xludf.DUMMYFUNCTION("GOOGLETRANSLATE(B7415, ""fr"", ""en"")"),"Unsuitable shoes Unfortunately, these shoes do not suit me at all. After having worn one hour, they hurt my feet. Unable to walk with.")</f>
        <v>Unsuitable shoes Unfortunately, these shoes do not suit me at all. After having worn one hour, they hurt my feet. Unable to walk with.</v>
      </c>
    </row>
    <row r="7416">
      <c r="A7416" s="1">
        <v>3.0</v>
      </c>
      <c r="B7416" s="1" t="s">
        <v>7307</v>
      </c>
      <c r="C7416" t="str">
        <f>IFERROR(__xludf.DUMMYFUNCTION("GOOGLETRANSLATE(B7416, ""fr"", ""en"")"),"Not adapted. very nice and comfortable shoe. But these are the only qualities for kitchen shoes. Indeed the latter slides lot which is not at all suitable when working in the kitchen")</f>
        <v>Not adapted. very nice and comfortable shoe. But these are the only qualities for kitchen shoes. Indeed the latter slides lot which is not at all suitable when working in the kitchen</v>
      </c>
    </row>
    <row r="7417">
      <c r="A7417" s="1">
        <v>3.0</v>
      </c>
      <c r="B7417" s="1" t="s">
        <v>7308</v>
      </c>
      <c r="C7417" t="str">
        <f>IFERROR(__xludf.DUMMYFUNCTION("GOOGLETRANSLATE(B7417, ""fr"", ""en"")"),"impeccable agenda agenda very well arranged, one small defect cover in black plastic too mince.je think it dureras pâs year")</f>
        <v>impeccable agenda agenda very well arranged, one small defect cover in black plastic too mince.je think it dureras pâs year</v>
      </c>
    </row>
    <row r="7418">
      <c r="A7418" s="1">
        <v>4.0</v>
      </c>
      <c r="B7418" s="1" t="s">
        <v>7309</v>
      </c>
      <c r="C7418" t="str">
        <f>IFERROR(__xludf.DUMMYFUNCTION("GOOGLETRANSLATE(B7418, ""fr"", ""en"")"),"Class A and functional mix of elegance and practicality. Very good bag for the job (administrative), provided several storage compartments without being bulky either. I recommand it.")</f>
        <v>Class A and functional mix of elegance and practicality. Very good bag for the job (administrative), provided several storage compartments without being bulky either. I recommand it.</v>
      </c>
    </row>
    <row r="7419">
      <c r="A7419" s="1">
        <v>4.0</v>
      </c>
      <c r="B7419" s="1" t="s">
        <v>7310</v>
      </c>
      <c r="C7419" t="str">
        <f>IFERROR(__xludf.DUMMYFUNCTION("GOOGLETRANSLATE(B7419, ""fr"", ""en"")"),"Not bad Good size logo on the left pec against reversed by closing galley otherwise good pr Price")</f>
        <v>Not bad Good size logo on the left pec against reversed by closing galley otherwise good pr Price</v>
      </c>
    </row>
    <row r="7420">
      <c r="A7420" s="1">
        <v>4.0</v>
      </c>
      <c r="B7420" s="1" t="s">
        <v>7311</v>
      </c>
      <c r="C7420" t="str">
        <f>IFERROR(__xludf.DUMMYFUNCTION("GOOGLETRANSLATE(B7420, ""fr"", ""en"")"),"autrocollantes labels Easy to use, they easily stick to the cotton clothes, nylon and synthetic. Not enough perspective to judge this article after several washing.")</f>
        <v>autrocollantes labels Easy to use, they easily stick to the cotton clothes, nylon and synthetic. Not enough perspective to judge this article after several washing.</v>
      </c>
    </row>
    <row r="7421">
      <c r="A7421" s="1">
        <v>4.0</v>
      </c>
      <c r="B7421" s="1" t="s">
        <v>7312</v>
      </c>
      <c r="C7421" t="str">
        <f>IFERROR(__xludf.DUMMYFUNCTION("GOOGLETRANSLATE(B7421, ""fr"", ""en"")"),"good sound quality ok prices")</f>
        <v>good sound quality ok prices</v>
      </c>
    </row>
    <row r="7422">
      <c r="A7422" s="1">
        <v>5.0</v>
      </c>
      <c r="B7422" s="1" t="s">
        <v>7313</v>
      </c>
      <c r="C7422" t="str">
        <f>IFERROR(__xludf.DUMMYFUNCTION("GOOGLETRANSLATE(B7422, ""fr"", ""en"")"),"You will not be disappointed in this product sterilizer at the top. Suitable to any type of bottle. I am delighted this purchase")</f>
        <v>You will not be disappointed in this product sterilizer at the top. Suitable to any type of bottle. I am delighted this purchase</v>
      </c>
    </row>
    <row r="7423">
      <c r="A7423" s="1">
        <v>5.0</v>
      </c>
      <c r="B7423" s="1" t="s">
        <v>7314</v>
      </c>
      <c r="C7423" t="str">
        <f>IFERROR(__xludf.DUMMYFUNCTION("GOOGLETRANSLATE(B7423, ""fr"", ""en"")"),"Perfect Good value, large roller bought last year remains in me again this year to see next year")</f>
        <v>Perfect Good value, large roller bought last year remains in me again this year to see next year</v>
      </c>
    </row>
    <row r="7424">
      <c r="A7424" s="1">
        <v>5.0</v>
      </c>
      <c r="B7424" s="1" t="s">
        <v>7315</v>
      </c>
      <c r="C7424" t="str">
        <f>IFERROR(__xludf.DUMMYFUNCTION("GOOGLETRANSLATE(B7424, ""fr"", ""en"")"),"pretty! beautiful, impeccable quality. little flat ... dimensions. A little bit ...: a wallet, a Kleenex packet key home and car, and is full ... The same bigger! :)")</f>
        <v>pretty! beautiful, impeccable quality. little flat ... dimensions. A little bit ...: a wallet, a Kleenex packet key home and car, and is full ... The same bigger! :)</v>
      </c>
    </row>
    <row r="7425">
      <c r="A7425" s="1">
        <v>5.0</v>
      </c>
      <c r="B7425" s="1" t="s">
        <v>7316</v>
      </c>
      <c r="C7425" t="str">
        <f>IFERROR(__xludf.DUMMYFUNCTION("GOOGLETRANSLATE(B7425, ""fr"", ""en"")"),"Super Super color, beautiful product, well suited to the children's heads, easy adjustment, very well and some adults may also use it when they bite the player of their child!")</f>
        <v>Super Super color, beautiful product, well suited to the children's heads, easy adjustment, very well and some adults may also use it when they bite the player of their child!</v>
      </c>
    </row>
    <row r="7426">
      <c r="A7426" s="1">
        <v>5.0</v>
      </c>
      <c r="B7426" s="1" t="s">
        <v>7317</v>
      </c>
      <c r="C7426" t="str">
        <f>IFERROR(__xludf.DUMMYFUNCTION("GOOGLETRANSLATE(B7426, ""fr"", ""en"")"),"Okay, thank you tee shirt is like the picture. perfect size")</f>
        <v>Okay, thank you tee shirt is like the picture. perfect size</v>
      </c>
    </row>
    <row r="7427">
      <c r="A7427" s="1">
        <v>5.0</v>
      </c>
      <c r="B7427" s="1" t="s">
        <v>7318</v>
      </c>
      <c r="C7427" t="str">
        <f>IFERROR(__xludf.DUMMYFUNCTION("GOOGLETRANSLATE(B7427, ""fr"", ""en"")"),"Pointer very light, compact and powerful. I quickly adopted this device because it meets my expectations in terms of features and usability. It is super light and compact, discreet remaining and holding easily in one hand. Its handling is quick and easy B"&amp;"achelor. Best of all: its unbeatable price!")</f>
        <v>Pointer very light, compact and powerful. I quickly adopted this device because it meets my expectations in terms of features and usability. It is super light and compact, discreet remaining and holding easily in one hand. Its handling is quick and easy Bachelor. Best of all: its unbeatable price!</v>
      </c>
    </row>
    <row r="7428">
      <c r="A7428" s="1">
        <v>5.0</v>
      </c>
      <c r="B7428" s="1" t="s">
        <v>7319</v>
      </c>
      <c r="C7428" t="str">
        <f>IFERROR(__xludf.DUMMYFUNCTION("GOOGLETRANSLATE(B7428, ""fr"", ""en"")"),"Top Too much. Comfortable. It does not take water during rain unlike my old of a famous brand. These slippers. Another plus is the reflection of light air. Very good quality pr 1 so small I adore price;)")</f>
        <v>Top Too much. Comfortable. It does not take water during rain unlike my old of a famous brand. These slippers. Another plus is the reflection of light air. Very good quality pr 1 so small I adore price;)</v>
      </c>
    </row>
    <row r="7429">
      <c r="A7429" s="1">
        <v>5.0</v>
      </c>
      <c r="B7429" s="1" t="s">
        <v>7320</v>
      </c>
      <c r="C7429" t="str">
        <f>IFERROR(__xludf.DUMMYFUNCTION("GOOGLETRANSLATE(B7429, ""fr"", ""en"")"),"Well I bought these cartridges instead of the original, and it works very well.")</f>
        <v>Well I bought these cartridges instead of the original, and it works very well.</v>
      </c>
    </row>
    <row r="7430">
      <c r="A7430" s="1">
        <v>5.0</v>
      </c>
      <c r="B7430" s="1" t="s">
        <v>7321</v>
      </c>
      <c r="C7430" t="str">
        <f>IFERROR(__xludf.DUMMYFUNCTION("GOOGLETRANSLATE(B7430, ""fr"", ""en"")"),"Magnificent It is just beautiful and the noise and adorable")</f>
        <v>Magnificent It is just beautiful and the noise and adorable</v>
      </c>
    </row>
    <row r="7431">
      <c r="A7431" s="1">
        <v>5.0</v>
      </c>
      <c r="B7431" s="1" t="s">
        <v>7322</v>
      </c>
      <c r="C7431" t="str">
        <f>IFERROR(__xludf.DUMMYFUNCTION("GOOGLETRANSLATE(B7431, ""fr"", ""en"")"),"Okay Excellent quality, very easy to use. The device is not very bulky and plasticized in A3 and A4. There is only one button command with two positions and the ""off"" position: Laminating hot or cold (in the latter case, you have apparently use special "&amp;"pockets for cold lamination, I have not tried) lamination is fast and quality. Accessories are useful, perhaps a little ""cheap"" but for an extra use it's perfect. Plasticized very good, recommended.")</f>
        <v>Okay Excellent quality, very easy to use. The device is not very bulky and plasticized in A3 and A4. There is only one button command with two positions and the "off" position: Laminating hot or cold (in the latter case, you have apparently use special pockets for cold lamination, I have not tried) lamination is fast and quality. Accessories are useful, perhaps a little "cheap" but for an extra use it's perfect. Plasticized very good, recommended.</v>
      </c>
    </row>
    <row r="7432">
      <c r="A7432" s="1">
        <v>5.0</v>
      </c>
      <c r="B7432" s="1" t="s">
        <v>7323</v>
      </c>
      <c r="C7432" t="str">
        <f>IFERROR(__xludf.DUMMYFUNCTION("GOOGLETRANSLATE(B7432, ""fr"", ""en"")"),"Satisfied with my purchase. Helmet Bluetoot, who does his job well, the sound quality is great, we hear more outside noise once the music started really have projected in our music is extra. The box contains the USB cable to recharge the batteries and a j"&amp;"ack two-way engagement with a manual of use in French, English, Japanese, Spanish and Italian. As soon as I'm satisfied with my purchase, bid farewell to the headphone lines.")</f>
        <v>Satisfied with my purchase. Helmet Bluetoot, who does his job well, the sound quality is great, we hear more outside noise once the music started really have projected in our music is extra. The box contains the USB cable to recharge the batteries and a jack two-way engagement with a manual of use in French, English, Japanese, Spanish and Italian. As soon as I'm satisfied with my purchase, bid farewell to the headphone lines.</v>
      </c>
    </row>
    <row r="7433">
      <c r="A7433" s="1">
        <v>5.0</v>
      </c>
      <c r="B7433" s="1" t="s">
        <v>7324</v>
      </c>
      <c r="C7433" t="str">
        <f>IFERROR(__xludf.DUMMYFUNCTION("GOOGLETRANSLATE(B7433, ""fr"", ""en"")"),"Very satisfied! I am very satisfied with this little jacket is very comfortable to wear. I recommend !")</f>
        <v>Very satisfied! I am very satisfied with this little jacket is very comfortable to wear. I recommend !</v>
      </c>
    </row>
    <row r="7434">
      <c r="A7434" s="1">
        <v>5.0</v>
      </c>
      <c r="B7434" s="1" t="s">
        <v>7325</v>
      </c>
      <c r="C7434" t="str">
        <f>IFERROR(__xludf.DUMMYFUNCTION("GOOGLETRANSLATE(B7434, ""fr"", ""en"")"),"Price interesting offer! Odor intense even several weeks after use")</f>
        <v>Price interesting offer! Odor intense even several weeks after use</v>
      </c>
    </row>
    <row r="7435">
      <c r="A7435" s="1">
        <v>5.0</v>
      </c>
      <c r="B7435" s="1" t="s">
        <v>7326</v>
      </c>
      <c r="C7435" t="str">
        <f>IFERROR(__xludf.DUMMYFUNCTION("GOOGLETRANSLATE(B7435, ""fr"", ""en"")"),"Quality / Price Good price / quality small bag that will follow me everywhere. To see the length but it corresponds to what was looking;)")</f>
        <v>Quality / Price Good price / quality small bag that will follow me everywhere. To see the length but it corresponds to what was looking;)</v>
      </c>
    </row>
    <row r="7436">
      <c r="A7436" s="1">
        <v>5.0</v>
      </c>
      <c r="B7436" s="1" t="s">
        <v>7327</v>
      </c>
      <c r="C7436" t="str">
        <f>IFERROR(__xludf.DUMMYFUNCTION("GOOGLETRANSLATE(B7436, ""fr"", ""en"")"),"Very naughty XD delivery too good that can beautify my day I'm very ticklish bcp and it makes me laugh I love very efficient pleasant to use I use for my hair and neck")</f>
        <v>Very naughty XD delivery too good that can beautify my day I'm very ticklish bcp and it makes me laugh I love very efficient pleasant to use I use for my hair and neck</v>
      </c>
    </row>
    <row r="7437">
      <c r="A7437" s="1">
        <v>2.0</v>
      </c>
      <c r="B7437" s="1" t="s">
        <v>7328</v>
      </c>
      <c r="C7437" t="str">
        <f>IFERROR(__xludf.DUMMYFUNCTION("GOOGLETRANSLATE(B7437, ""fr"", ""en"")"),"Mediocre Bought PIUR sport produces very mefoicre quality.")</f>
        <v>Mediocre Bought PIUR sport produces very mefoicre quality.</v>
      </c>
    </row>
    <row r="7438">
      <c r="A7438" s="1">
        <v>1.0</v>
      </c>
      <c r="B7438" s="1" t="s">
        <v>7329</v>
      </c>
      <c r="C7438" t="str">
        <f>IFERROR(__xludf.DUMMYFUNCTION("GOOGLETRANSLATE(B7438, ""fr"", ""en"")"),"Too Small Warning small size")</f>
        <v>Too Small Warning small size</v>
      </c>
    </row>
    <row r="7439">
      <c r="A7439" s="1">
        <v>1.0</v>
      </c>
      <c r="B7439" s="1" t="s">
        <v>7330</v>
      </c>
      <c r="C7439" t="str">
        <f>IFERROR(__xludf.DUMMYFUNCTION("GOOGLETRANSLATE(B7439, ""fr"", ""en"")"),"No premium product Announced in Prime, this n not benefit. A week to be delivered. Please note this bag is small. Remember to check the dimensions")</f>
        <v>No premium product Announced in Prime, this n not benefit. A week to be delivered. Please note this bag is small. Remember to check the dimensions</v>
      </c>
    </row>
    <row r="7440">
      <c r="A7440" s="1">
        <v>3.0</v>
      </c>
      <c r="B7440" s="1" t="s">
        <v>7331</v>
      </c>
      <c r="C7440" t="str">
        <f>IFERROR(__xludf.DUMMYFUNCTION("GOOGLETRANSLATE(B7440, ""fr"", ""en"")"),"Warning size Make careful to take the brazilian size .. If the shoes take 37/38 37/38 brazil I have not eu..car order 37/38 EU and I have received the 35/36 ..")</f>
        <v>Warning size Make careful to take the brazilian size .. If the shoes take 37/38 37/38 brazil I have not eu..car order 37/38 EU and I have received the 35/36 ..</v>
      </c>
    </row>
    <row r="7441">
      <c r="A7441" s="1">
        <v>3.0</v>
      </c>
      <c r="B7441" s="1" t="s">
        <v>7332</v>
      </c>
      <c r="C7441" t="str">
        <f>IFERROR(__xludf.DUMMYFUNCTION("GOOGLETRANSLATE(B7441, ""fr"", ""en"")"),"too big carve the Converse, take a size above what you usually put otherwise the product is perfect and perfectly matches the photo")</f>
        <v>too big carve the Converse, take a size above what you usually put otherwise the product is perfect and perfectly matches the photo</v>
      </c>
    </row>
    <row r="7442">
      <c r="A7442" s="1">
        <v>4.0</v>
      </c>
      <c r="B7442" s="1" t="s">
        <v>7333</v>
      </c>
      <c r="C7442" t="str">
        <f>IFERROR(__xludf.DUMMYFUNCTION("GOOGLETRANSLATE(B7442, ""fr"", ""en"")"),"Beautiful but cut big They are very beautiful but unfortunately it big size")</f>
        <v>Beautiful but cut big They are very beautiful but unfortunately it big size</v>
      </c>
    </row>
    <row r="7443">
      <c r="A7443" s="1">
        <v>4.0</v>
      </c>
      <c r="B7443" s="1" t="s">
        <v>7334</v>
      </c>
      <c r="C7443" t="str">
        <f>IFERROR(__xludf.DUMMYFUNCTION("GOOGLETRANSLATE(B7443, ""fr"", ""en"")"),"Very nice Beautiful basketball very lightweight comfortable to wear it looks to be in slippers are very comfortable.")</f>
        <v>Very nice Beautiful basketball very lightweight comfortable to wear it looks to be in slippers are very comfortable.</v>
      </c>
    </row>
    <row r="7444">
      <c r="A7444" s="1">
        <v>4.0</v>
      </c>
      <c r="B7444" s="1" t="s">
        <v>7335</v>
      </c>
      <c r="C7444" t="str">
        <f>IFERROR(__xludf.DUMMYFUNCTION("GOOGLETRANSLATE(B7444, ""fr"", ""en"")"),"Ink side by price and perfect composure against the level of printing color his bland I'll see about the time because I just install them and made some impressions")</f>
        <v>Ink side by price and perfect composure against the level of printing color his bland I'll see about the time because I just install them and made some impressions</v>
      </c>
    </row>
    <row r="7445">
      <c r="A7445" s="1">
        <v>4.0</v>
      </c>
      <c r="B7445" s="1" t="s">
        <v>7336</v>
      </c>
      <c r="C7445" t="str">
        <f>IFERROR(__xludf.DUMMYFUNCTION("GOOGLETRANSLATE(B7445, ""fr"", ""en"")"),"The price and style Elastic weak")</f>
        <v>The price and style Elastic weak</v>
      </c>
    </row>
    <row r="7446">
      <c r="A7446" s="1">
        <v>5.0</v>
      </c>
      <c r="B7446" s="1" t="s">
        <v>7337</v>
      </c>
      <c r="C7446" t="str">
        <f>IFERROR(__xludf.DUMMYFUNCTION("GOOGLETRANSLATE(B7446, ""fr"", ""en"")"),"Happy with my purchase The product complies with what I ordered. It completely please my mother, but beware it can shoe a big but nothing too")</f>
        <v>Happy with my purchase The product complies with what I ordered. It completely please my mother, but beware it can shoe a big but nothing too</v>
      </c>
    </row>
    <row r="7447">
      <c r="A7447" s="1">
        <v>5.0</v>
      </c>
      <c r="B7447" s="1" t="s">
        <v>7338</v>
      </c>
      <c r="C7447" t="str">
        <f>IFERROR(__xludf.DUMMYFUNCTION("GOOGLETRANSLATE(B7447, ""fr"", ""en"")"),"Super comfortable! I bought a pair of slippers for myself and slippers of the same style for my husband, but I was not disappointed: the soles were very comfortable, soft and hot. Style is also nice, my husband loves!")</f>
        <v>Super comfortable! I bought a pair of slippers for myself and slippers of the same style for my husband, but I was not disappointed: the soles were very comfortable, soft and hot. Style is also nice, my husband loves!</v>
      </c>
    </row>
    <row r="7448">
      <c r="A7448" s="1">
        <v>5.0</v>
      </c>
      <c r="B7448" s="1" t="s">
        <v>1261</v>
      </c>
      <c r="C7448" t="str">
        <f>IFERROR(__xludf.DUMMYFUNCTION("GOOGLETRANSLATE(B7448, ""fr"", ""en"")"),"good good")</f>
        <v>good good</v>
      </c>
    </row>
    <row r="7449">
      <c r="A7449" s="1">
        <v>5.0</v>
      </c>
      <c r="B7449" s="1" t="s">
        <v>7339</v>
      </c>
      <c r="C7449" t="str">
        <f>IFERROR(__xludf.DUMMYFUNCTION("GOOGLETRANSLATE(B7449, ""fr"", ""en"")"),"Thank you Hello I would like to say that it happened as expected that it is the right size there is no concern no error. Very good quality and then they are super nice in real life. Thank you")</f>
        <v>Thank you Hello I would like to say that it happened as expected that it is the right size there is no concern no error. Very good quality and then they are super nice in real life. Thank you</v>
      </c>
    </row>
    <row r="7450">
      <c r="A7450" s="1">
        <v>5.0</v>
      </c>
      <c r="B7450" s="1" t="s">
        <v>7340</v>
      </c>
      <c r="C7450" t="str">
        <f>IFERROR(__xludf.DUMMYFUNCTION("GOOGLETRANSLATE(B7450, ""fr"", ""en"")"),"Super ... BUT !!! I love these sprinklers! The great turning, it's very convenient! And small for teats, quite suitable. Here they serve for our MAM bottles. But then the price variations on amazon ... hello! I got to 4 euros. I wanted to take one but I s"&amp;"ee that as the color is between 9 and 15 euros now !!! So without me! I'll take it elsewhere, to 4 euros.")</f>
        <v>Super ... BUT !!! I love these sprinklers! The great turning, it's very convenient! And small for teats, quite suitable. Here they serve for our MAM bottles. But then the price variations on amazon ... hello! I got to 4 euros. I wanted to take one but I see that as the color is between 9 and 15 euros now !!! So without me! I'll take it elsewhere, to 4 euros.</v>
      </c>
    </row>
    <row r="7451">
      <c r="A7451" s="1">
        <v>5.0</v>
      </c>
      <c r="B7451" s="1" t="s">
        <v>7341</v>
      </c>
      <c r="C7451" t="str">
        <f>IFERROR(__xludf.DUMMYFUNCTION("GOOGLETRANSLATE(B7451, ""fr"", ""en"")"),"Perfect I see no real difference with the cartridges manufacturer ...... except the price !!!!")</f>
        <v>Perfect I see no real difference with the cartridges manufacturer ...... except the price !!!!</v>
      </c>
    </row>
    <row r="7452">
      <c r="A7452" s="1">
        <v>5.0</v>
      </c>
      <c r="B7452" s="1" t="s">
        <v>7342</v>
      </c>
      <c r="C7452" t="str">
        <f>IFERROR(__xludf.DUMMYFUNCTION("GOOGLETRANSLATE(B7452, ""fr"", ""en"")"),"The best for my tea at the right temperature I wanted to finally enjoy a kettle able to prepare my water at the right temperature teas, and Kitchenaid is always the vintage style service quality! buy eyes closed. Having already bought products from this b"&amp;"rand, it is an investment initially but worth it: p")</f>
        <v>The best for my tea at the right temperature I wanted to finally enjoy a kettle able to prepare my water at the right temperature teas, and Kitchenaid is always the vintage style service quality! buy eyes closed. Having already bought products from this brand, it is an investment initially but worth it: p</v>
      </c>
    </row>
    <row r="7453">
      <c r="A7453" s="1">
        <v>5.0</v>
      </c>
      <c r="B7453" s="1" t="s">
        <v>7343</v>
      </c>
      <c r="C7453" t="str">
        <f>IFERROR(__xludf.DUMMYFUNCTION("GOOGLETRANSLATE(B7453, ""fr"", ""en"")"),"Nickel Top 2nd pair I bought and never disappointed")</f>
        <v>Nickel Top 2nd pair I bought and never disappointed</v>
      </c>
    </row>
    <row r="7454">
      <c r="A7454" s="1">
        <v>5.0</v>
      </c>
      <c r="B7454" s="1" t="s">
        <v>7344</v>
      </c>
      <c r="C7454" t="str">
        <f>IFERROR(__xludf.DUMMYFUNCTION("GOOGLETRANSLATE(B7454, ""fr"", ""en"")"),"RAS product conforms to the description I recommend this article against it n not remove external noise such as headphones with earpieces")</f>
        <v>RAS product conforms to the description I recommend this article against it n not remove external noise such as headphones with earpieces</v>
      </c>
    </row>
    <row r="7455">
      <c r="A7455" s="1">
        <v>5.0</v>
      </c>
      <c r="B7455" s="1" t="s">
        <v>7345</v>
      </c>
      <c r="C7455" t="str">
        <f>IFERROR(__xludf.DUMMYFUNCTION("GOOGLETRANSLATE(B7455, ""fr"", ""en"")"),"great pass very well in the laminator with a perfect result. My tired documents were revived. you can even fold the document after.")</f>
        <v>great pass very well in the laminator with a perfect result. My tired documents were revived. you can even fold the document after.</v>
      </c>
    </row>
    <row r="7456">
      <c r="A7456" s="1">
        <v>5.0</v>
      </c>
      <c r="B7456" s="1" t="s">
        <v>7346</v>
      </c>
      <c r="C7456" t="str">
        <f>IFERROR(__xludf.DUMMYFUNCTION("GOOGLETRANSLATE(B7456, ""fr"", ""en"")"),"Beautiful Beautiful product corresponding to the picture and description. Light, so take care and most of all, do not forget to buy with, back to safety hook earrings: I have bought a second pair for losing a night loop yet very quiet .. . I recommend!")</f>
        <v>Beautiful Beautiful product corresponding to the picture and description. Light, so take care and most of all, do not forget to buy with, back to safety hook earrings: I have bought a second pair for losing a night loop yet very quiet .. . I recommend!</v>
      </c>
    </row>
    <row r="7457">
      <c r="A7457" s="1">
        <v>5.0</v>
      </c>
      <c r="B7457" s="1" t="s">
        <v>7347</v>
      </c>
      <c r="C7457" t="str">
        <f>IFERROR(__xludf.DUMMYFUNCTION("GOOGLETRANSLATE(B7457, ""fr"", ""en"")"),"Good impression Good print quality. Orders received quickly")</f>
        <v>Good impression Good print quality. Orders received quickly</v>
      </c>
    </row>
    <row r="7458">
      <c r="A7458" s="1">
        <v>5.0</v>
      </c>
      <c r="B7458" s="1" t="s">
        <v>7348</v>
      </c>
      <c r="C7458" t="str">
        <f>IFERROR(__xludf.DUMMYFUNCTION("GOOGLETRANSLATE(B7458, ""fr"", ""en"")"),"Perfect Pacifier original Advent. Book quickly.")</f>
        <v>Perfect Pacifier original Advent. Book quickly.</v>
      </c>
    </row>
    <row r="7459">
      <c r="A7459" s="1">
        <v>5.0</v>
      </c>
      <c r="B7459" s="1" t="s">
        <v>7349</v>
      </c>
      <c r="C7459" t="str">
        <f>IFERROR(__xludf.DUMMYFUNCTION("GOOGLETRANSLATE(B7459, ""fr"", ""en"")"),"Great product Nickel")</f>
        <v>Great product Nickel</v>
      </c>
    </row>
    <row r="7460">
      <c r="A7460" s="1">
        <v>5.0</v>
      </c>
      <c r="B7460" s="1" t="s">
        <v>7350</v>
      </c>
      <c r="C7460" t="str">
        <f>IFERROR(__xludf.DUMMYFUNCTION("GOOGLETRANSLATE(B7460, ""fr"", ""en"")"),"Beautiful pretty model quality, simple, elegant, suitable for all young and old Belle statement bracelet offer easy to adjust long-term View")</f>
        <v>Beautiful pretty model quality, simple, elegant, suitable for all young and old Belle statement bracelet offer easy to adjust long-term View</v>
      </c>
    </row>
    <row r="7461">
      <c r="A7461" s="1">
        <v>5.0</v>
      </c>
      <c r="B7461" s="1" t="s">
        <v>7351</v>
      </c>
      <c r="C7461" t="str">
        <f>IFERROR(__xludf.DUMMYFUNCTION("GOOGLETRANSLATE(B7461, ""fr"", ""en"")"),"As picture Very nice necklace. Discreet as I like. The nylon cord looks pretty solid and air stone is beautiful.")</f>
        <v>As picture Very nice necklace. Discreet as I like. The nylon cord looks pretty solid and air stone is beautiful.</v>
      </c>
    </row>
    <row r="7462">
      <c r="A7462" s="1">
        <v>2.0</v>
      </c>
      <c r="B7462" s="1" t="s">
        <v>7352</v>
      </c>
      <c r="C7462" t="str">
        <f>IFERROR(__xludf.DUMMYFUNCTION("GOOGLETRANSLATE(B7462, ""fr"", ""en"")"),"Disappointed I have bought these for my wingtips bullet. I am disappointed, they score poorly")</f>
        <v>Disappointed I have bought these for my wingtips bullet. I am disappointed, they score poorly</v>
      </c>
    </row>
    <row r="7463">
      <c r="A7463" s="1">
        <v>1.0</v>
      </c>
      <c r="B7463" s="1" t="s">
        <v>7353</v>
      </c>
      <c r="C7463" t="str">
        <f>IFERROR(__xludf.DUMMYFUNCTION("GOOGLETRANSLATE(B7463, ""fr"", ""en"")"),"Bad nice shoes but after It.s day door rings laces already remove it is a pity")</f>
        <v>Bad nice shoes but after It.s day door rings laces already remove it is a pity</v>
      </c>
    </row>
    <row r="7464">
      <c r="A7464" s="1">
        <v>1.0</v>
      </c>
      <c r="B7464" s="1" t="s">
        <v>7354</v>
      </c>
      <c r="C7464" t="str">
        <f>IFERROR(__xludf.DUMMYFUNCTION("GOOGLETRANSLATE(B7464, ""fr"", ""en"")"),"2 Control bracelet female bracelet and 2 very disappointed of the product is a c badge and other pearls. (Not even in a week !!)")</f>
        <v>2 Control bracelet female bracelet and 2 very disappointed of the product is a c badge and other pearls. (Not even in a week !!)</v>
      </c>
    </row>
    <row r="7465">
      <c r="A7465" s="1">
        <v>3.0</v>
      </c>
      <c r="B7465" s="1" t="s">
        <v>7355</v>
      </c>
      <c r="C7465" t="str">
        <f>IFERROR(__xludf.DUMMYFUNCTION("GOOGLETRANSLATE(B7465, ""fr"", ""en"")"),"The first defective copy received necklace has a fault, one of the smaller stones are missing ... It is immediately much less pretty. I returned and recommended to give it a second chance. This time it is complete.")</f>
        <v>The first defective copy received necklace has a fault, one of the smaller stones are missing ... It is immediately much less pretty. I returned and recommended to give it a second chance. This time it is complete.</v>
      </c>
    </row>
    <row r="7466">
      <c r="A7466" s="1">
        <v>4.0</v>
      </c>
      <c r="B7466" s="1" t="s">
        <v>7356</v>
      </c>
      <c r="C7466" t="str">
        <f>IFERROR(__xludf.DUMMYFUNCTION("GOOGLETRANSLATE(B7466, ""fr"", ""en"")"),"Expensive for what it is but nice buy for a wedding, very pretty. The catch clip wide and long so just for the deco")</f>
        <v>Expensive for what it is but nice buy for a wedding, very pretty. The catch clip wide and long so just for the deco</v>
      </c>
    </row>
    <row r="7467">
      <c r="A7467" s="1">
        <v>4.0</v>
      </c>
      <c r="B7467" s="1" t="s">
        <v>7357</v>
      </c>
      <c r="C7467" t="str">
        <f>IFERROR(__xludf.DUMMYFUNCTION("GOOGLETRANSLATE(B7467, ""fr"", ""en"")"),"The case is actually much larger than expected: it is closer to 25x28x12 (incorporating the front pocket) But it remains good quality: double on before the magnets are great for safely closing the bag; the zipper to the inner solid appears; and what makes"&amp;" it even better, feels good bag the ""real"" leather see in time how it will age.")</f>
        <v>The case is actually much larger than expected: it is closer to 25x28x12 (incorporating the front pocket) But it remains good quality: double on before the magnets are great for safely closing the bag; the zipper to the inner solid appears; and what makes it even better, feels good bag the "real" leather see in time how it will age.</v>
      </c>
    </row>
    <row r="7468">
      <c r="A7468" s="1">
        <v>4.0</v>
      </c>
      <c r="B7468" s="1" t="s">
        <v>7358</v>
      </c>
      <c r="C7468" t="str">
        <f>IFERROR(__xludf.DUMMYFUNCTION("GOOGLETRANSLATE(B7468, ""fr"", ""en"")"),"Original Original. But a loop arrived broken ... shame")</f>
        <v>Original Original. But a loop arrived broken ... shame</v>
      </c>
    </row>
    <row r="7469">
      <c r="A7469" s="1">
        <v>4.0</v>
      </c>
      <c r="B7469" s="1" t="s">
        <v>7359</v>
      </c>
      <c r="C7469" t="str">
        <f>IFERROR(__xludf.DUMMYFUNCTION("GOOGLETRANSLATE(B7469, ""fr"", ""en"")"),"Satisfied Article is in line with my expectations (color dimensions, material). The delivery was a little longer than expected. Nothing serious, I'm satisfied.")</f>
        <v>Satisfied Article is in line with my expectations (color dimensions, material). The delivery was a little longer than expected. Nothing serious, I'm satisfied.</v>
      </c>
    </row>
    <row r="7470">
      <c r="A7470" s="1">
        <v>4.0</v>
      </c>
      <c r="B7470" s="1" t="s">
        <v>7360</v>
      </c>
      <c r="C7470" t="str">
        <f>IFERROR(__xludf.DUMMYFUNCTION("GOOGLETRANSLATE(B7470, ""fr"", ""en"")"),"Good product Bottle warmer practice, that injury does not have the function cigarette lighter, to prevail in the car")</f>
        <v>Good product Bottle warmer practice, that injury does not have the function cigarette lighter, to prevail in the car</v>
      </c>
    </row>
    <row r="7471">
      <c r="A7471" s="1">
        <v>5.0</v>
      </c>
      <c r="B7471" s="1" t="s">
        <v>7361</v>
      </c>
      <c r="C7471" t="str">
        <f>IFERROR(__xludf.DUMMYFUNCTION("GOOGLETRANSLATE(B7471, ""fr"", ""en"")"),"style travel 😌 Boil the 0.8 l after 4min43s. Very happy with my purchase. Time will tell on its solidity.")</f>
        <v>style travel 😌 Boil the 0.8 l after 4min43s. Very happy with my purchase. Time will tell on its solidity.</v>
      </c>
    </row>
    <row r="7472">
      <c r="A7472" s="1">
        <v>5.0</v>
      </c>
      <c r="B7472" s="1" t="s">
        <v>7362</v>
      </c>
      <c r="C7472" t="str">
        <f>IFERROR(__xludf.DUMMYFUNCTION("GOOGLETRANSLATE(B7472, ""fr"", ""en"")"),"Does its job! look stunning! Meets photos, doing its job.")</f>
        <v>Does its job! look stunning! Meets photos, doing its job.</v>
      </c>
    </row>
    <row r="7473">
      <c r="A7473" s="1">
        <v>5.0</v>
      </c>
      <c r="B7473" s="1" t="s">
        <v>7363</v>
      </c>
      <c r="C7473" t="str">
        <f>IFERROR(__xludf.DUMMYFUNCTION("GOOGLETRANSLATE(B7473, ""fr"", ""en"")"),"Nickel The best bottles ...!")</f>
        <v>Nickel The best bottles ...!</v>
      </c>
    </row>
    <row r="7474">
      <c r="A7474" s="1">
        <v>5.0</v>
      </c>
      <c r="B7474" s="1" t="s">
        <v>7364</v>
      </c>
      <c r="C7474" t="str">
        <f>IFERROR(__xludf.DUMMYFUNCTION("GOOGLETRANSLATE(B7474, ""fr"", ""en"")"),"Too cute owl necklace")</f>
        <v>Too cute owl necklace</v>
      </c>
    </row>
    <row r="7475">
      <c r="A7475" s="1">
        <v>5.0</v>
      </c>
      <c r="B7475" s="1" t="s">
        <v>7365</v>
      </c>
      <c r="C7475" t="str">
        <f>IFERROR(__xludf.DUMMYFUNCTION("GOOGLETRANSLATE(B7475, ""fr"", ""en"")"),"Meets the product surface is very good, the material used is of high quality and is very easy to use utiliser.Très well .. I am happy to work with the product and I use it regularly. I recommand it!")</f>
        <v>Meets the product surface is very good, the material used is of high quality and is very easy to use utiliser.Très well .. I am happy to work with the product and I use it regularly. I recommand it!</v>
      </c>
    </row>
    <row r="7476">
      <c r="A7476" s="1">
        <v>5.0</v>
      </c>
      <c r="B7476" s="1" t="s">
        <v>7366</v>
      </c>
      <c r="C7476" t="str">
        <f>IFERROR(__xludf.DUMMYFUNCTION("GOOGLETRANSLATE(B7476, ""fr"", ""en"")"),"Space saving compact This product allows me to carry my external battery, my smartphone, my GPS and thanks to its USB port I can supply all kinds of devices without problems. I do not regret my purchase product of good quality.")</f>
        <v>Space saving compact This product allows me to carry my external battery, my smartphone, my GPS and thanks to its USB port I can supply all kinds of devices without problems. I do not regret my purchase product of good quality.</v>
      </c>
    </row>
    <row r="7477">
      <c r="A7477" s="1">
        <v>5.0</v>
      </c>
      <c r="B7477" s="1" t="s">
        <v>7367</v>
      </c>
      <c r="C7477" t="str">
        <f>IFERROR(__xludf.DUMMYFUNCTION("GOOGLETRANSLATE(B7477, ""fr"", ""en"")"),"perfect a solid article and well appointed. thank you for having sent so quickly and your price is also very interesting, because it provides accompanying saves much more than we think.")</f>
        <v>perfect a solid article and well appointed. thank you for having sent so quickly and your price is also very interesting, because it provides accompanying saves much more than we think.</v>
      </c>
    </row>
    <row r="7478">
      <c r="A7478" s="1">
        <v>5.0</v>
      </c>
      <c r="B7478" s="1" t="s">
        <v>7368</v>
      </c>
      <c r="C7478" t="str">
        <f>IFERROR(__xludf.DUMMYFUNCTION("GOOGLETRANSLATE(B7478, ""fr"", ""en"")"),"Very Pretty earring They are very pretty, elegant, delivered in an ideal setting to offer. The size is neither too big nor too small. The color is really nice and modern. They are quality and comfortable to wear. The delivery is fast. I recommend.")</f>
        <v>Very Pretty earring They are very pretty, elegant, delivered in an ideal setting to offer. The size is neither too big nor too small. The color is really nice and modern. They are quality and comfortable to wear. The delivery is fast. I recommend.</v>
      </c>
    </row>
    <row r="7479">
      <c r="A7479" s="1">
        <v>5.0</v>
      </c>
      <c r="B7479" s="1" t="s">
        <v>7369</v>
      </c>
      <c r="C7479" t="str">
        <f>IFERROR(__xludf.DUMMYFUNCTION("GOOGLETRANSLATE(B7479, ""fr"", ""en"")"),"Quality product. quality product with a resistivity that meets the specified section of pure copper.")</f>
        <v>Quality product. quality product with a resistivity that meets the specified section of pure copper.</v>
      </c>
    </row>
    <row r="7480">
      <c r="A7480" s="1">
        <v>5.0</v>
      </c>
      <c r="B7480" s="1" t="s">
        <v>7370</v>
      </c>
      <c r="C7480" t="str">
        <f>IFERROR(__xludf.DUMMYFUNCTION("GOOGLETRANSLATE(B7480, ""fr"", ""en"")"),"Earring too cute Quickly controlled quickly received. Small earring that I will provide for a birth this weekend. I'm really happy she is too cute. I hope it will appeal to the mom as much as it pleases me to me. Small pouch provided equally good provided"&amp;" for storage. It's really super. I recommend.")</f>
        <v>Earring too cute Quickly controlled quickly received. Small earring that I will provide for a birth this weekend. I'm really happy she is too cute. I hope it will appeal to the mom as much as it pleases me to me. Small pouch provided equally good provided for storage. It's really super. I recommend.</v>
      </c>
    </row>
    <row r="7481">
      <c r="A7481" s="1">
        <v>5.0</v>
      </c>
      <c r="B7481" s="1" t="s">
        <v>7371</v>
      </c>
      <c r="C7481" t="str">
        <f>IFERROR(__xludf.DUMMYFUNCTION("GOOGLETRANSLATE(B7481, ""fr"", ""en"")"),"good product very nice")</f>
        <v>good product very nice</v>
      </c>
    </row>
    <row r="7482">
      <c r="A7482" s="1">
        <v>5.0</v>
      </c>
      <c r="B7482" s="1" t="s">
        <v>7372</v>
      </c>
      <c r="C7482" t="str">
        <f>IFERROR(__xludf.DUMMYFUNCTION("GOOGLETRANSLATE(B7482, ""fr"", ""en"")"),"Received quite quickly, well packaged. Efficient, easy to use. A bit noisy but it is not disturbing. Given the size, we did not really buys its discretion.")</f>
        <v>Received quite quickly, well packaged. Efficient, easy to use. A bit noisy but it is not disturbing. Given the size, we did not really buys its discretion.</v>
      </c>
    </row>
    <row r="7483">
      <c r="A7483" s="1">
        <v>5.0</v>
      </c>
      <c r="B7483" s="1" t="s">
        <v>7373</v>
      </c>
      <c r="C7483" t="str">
        <f>IFERROR(__xludf.DUMMYFUNCTION("GOOGLETRANSLATE(B7483, ""fr"", ""en"")"),"soft material product is good quality, good size, I bought color burgundy for my mother, she liked.")</f>
        <v>soft material product is good quality, good size, I bought color burgundy for my mother, she liked.</v>
      </c>
    </row>
    <row r="7484">
      <c r="A7484" s="1">
        <v>5.0</v>
      </c>
      <c r="B7484" s="1" t="s">
        <v>7374</v>
      </c>
      <c r="C7484" t="str">
        <f>IFERROR(__xludf.DUMMYFUNCTION("GOOGLETRANSLATE(B7484, ""fr"", ""en"")"),"If great place well in the ear, the sound is good. The cases are very beautiful and I like the digital battery display.")</f>
        <v>If great place well in the ear, the sound is good. The cases are very beautiful and I like the digital battery display.</v>
      </c>
    </row>
    <row r="7485">
      <c r="A7485" s="1">
        <v>5.0</v>
      </c>
      <c r="B7485" s="1" t="s">
        <v>7375</v>
      </c>
      <c r="C7485" t="str">
        <f>IFERROR(__xludf.DUMMYFUNCTION("GOOGLETRANSLATE(B7485, ""fr"", ""en"")"),"Refill agenda not worry very good")</f>
        <v>Refill agenda not worry very good</v>
      </c>
    </row>
    <row r="7486">
      <c r="A7486" s="1">
        <v>2.0</v>
      </c>
      <c r="B7486" s="1" t="s">
        <v>7376</v>
      </c>
      <c r="C7486" t="str">
        <f>IFERROR(__xludf.DUMMYFUNCTION("GOOGLETRANSLATE(B7486, ""fr"", ""en"")"),"Battery Battery hs hs after 3 weeks ... Back")</f>
        <v>Battery Battery hs hs after 3 weeks ... Back</v>
      </c>
    </row>
    <row r="7487">
      <c r="A7487" s="1">
        <v>1.0</v>
      </c>
      <c r="B7487" s="1" t="s">
        <v>7377</v>
      </c>
      <c r="C7487" t="str">
        <f>IFERROR(__xludf.DUMMYFUNCTION("GOOGLETRANSLATE(B7487, ""fr"", ""en"")"),"Very little quality Kettle disappointing, despite its nice design. A few days after receiving the LED digital display no longer functioning properly, and a temperature adjustment knobs remained down permanently. But worse, after 6 months of use, without h"&amp;"aving received a blow, the kettle is widely cracked in its lower part, the crack seeming to spring from the junction between the glass and the plastic rim. Kettle therefore unusable. Poor value for money in my eyes. I advise against.")</f>
        <v>Very little quality Kettle disappointing, despite its nice design. A few days after receiving the LED digital display no longer functioning properly, and a temperature adjustment knobs remained down permanently. But worse, after 6 months of use, without having received a blow, the kettle is widely cracked in its lower part, the crack seeming to spring from the junction between the glass and the plastic rim. Kettle therefore unusable. Poor value for money in my eyes. I advise against.</v>
      </c>
    </row>
    <row r="7488">
      <c r="A7488" s="1">
        <v>3.0</v>
      </c>
      <c r="B7488" s="1" t="s">
        <v>7378</v>
      </c>
      <c r="C7488" t="str">
        <f>IFERROR(__xludf.DUMMYFUNCTION("GOOGLETRANSLATE(B7488, ""fr"", ""en"")"),"Although Coloring")</f>
        <v>Although Coloring</v>
      </c>
    </row>
    <row r="7489">
      <c r="A7489" s="1">
        <v>3.0</v>
      </c>
      <c r="B7489" s="1" t="s">
        <v>7379</v>
      </c>
      <c r="C7489" t="str">
        <f>IFERROR(__xludf.DUMMYFUNCTION("GOOGLETRANSLATE(B7489, ""fr"", ""en"")"),"Good but small size. Nice good quality shoes, but small size")</f>
        <v>Good but small size. Nice good quality shoes, but small size</v>
      </c>
    </row>
    <row r="7490">
      <c r="A7490" s="1">
        <v>4.0</v>
      </c>
      <c r="B7490" s="1" t="s">
        <v>7380</v>
      </c>
      <c r="C7490" t="str">
        <f>IFERROR(__xludf.DUMMYFUNCTION("GOOGLETRANSLATE(B7490, ""fr"", ""en"")"),"Although a little small. Consistent with the description.")</f>
        <v>Although a little small. Consistent with the description.</v>
      </c>
    </row>
    <row r="7491">
      <c r="A7491" s="1">
        <v>4.0</v>
      </c>
      <c r="B7491" s="1" t="s">
        <v>7381</v>
      </c>
      <c r="C7491" t="str">
        <f>IFERROR(__xludf.DUMMYFUNCTION("GOOGLETRANSLATE(B7491, ""fr"", ""en"")"),"as usual Amazon book always very fast, nice product to see its behavior in time")</f>
        <v>as usual Amazon book always very fast, nice product to see its behavior in time</v>
      </c>
    </row>
    <row r="7492">
      <c r="A7492" s="1">
        <v>4.0</v>
      </c>
      <c r="B7492" s="1" t="s">
        <v>7382</v>
      </c>
      <c r="C7492" t="str">
        <f>IFERROR(__xludf.DUMMYFUNCTION("GOOGLETRANSLATE(B7492, ""fr"", ""en"")"),"Excellent! I bought this long handle dryfit compression. It was on sale and much cheaper than competitors (Adidas ...) I just try during the heat wave (39Degres). So for compressing it acts more like a sheath than anything else (one can not quibble at thi"&amp;"s price and above a compression garment must be tailored to work). However the anti perspiration system is very efficient. The sweat is not seen at all, the shirt is dry very quickly. We feel the breath of the pleasant wind. The quality seems equivalent t"&amp;"o dry fit adidas. Conclusion: I recommend!")</f>
        <v>Excellent! I bought this long handle dryfit compression. It was on sale and much cheaper than competitors (Adidas ...) I just try during the heat wave (39Degres). So for compressing it acts more like a sheath than anything else (one can not quibble at this price and above a compression garment must be tailored to work). However the anti perspiration system is very efficient. The sweat is not seen at all, the shirt is dry very quickly. We feel the breath of the pleasant wind. The quality seems equivalent to dry fit adidas. Conclusion: I recommend!</v>
      </c>
    </row>
    <row r="7493">
      <c r="A7493" s="1">
        <v>4.0</v>
      </c>
      <c r="B7493" s="1" t="s">
        <v>7383</v>
      </c>
      <c r="C7493" t="str">
        <f>IFERROR(__xludf.DUMMYFUNCTION("GOOGLETRANSLATE(B7493, ""fr"", ""en"")"),"Nice size but just a little. I find this a little shirt just M. It is too close to the body and not necessarily pleasant for the sport, carried that way. If you have a little chest you may feel compressed. I gave my daughter who usually put the XS and she"&amp;" feels comfortable in and therefore has put for sports. It suits her chest level, can be a bit long standard size, but it has come back in the pants. She especially likes the holes for the passage of inch &amp; nbsp ;! This jersey is very light and flexible. "&amp;"It washes easily and dries quickly. The cup is beautiful. So you see, but personally I recommend a size more.")</f>
        <v>Nice size but just a little. I find this a little shirt just M. It is too close to the body and not necessarily pleasant for the sport, carried that way. If you have a little chest you may feel compressed. I gave my daughter who usually put the XS and she feels comfortable in and therefore has put for sports. It suits her chest level, can be a bit long standard size, but it has come back in the pants. She especially likes the holes for the passage of inch &amp; nbsp ;! This jersey is very light and flexible. It washes easily and dries quickly. The cup is beautiful. So you see, but personally I recommend a size more.</v>
      </c>
    </row>
    <row r="7494">
      <c r="A7494" s="1">
        <v>5.0</v>
      </c>
      <c r="B7494" s="1" t="s">
        <v>7384</v>
      </c>
      <c r="C7494" t="str">
        <f>IFERROR(__xludf.DUMMYFUNCTION("GOOGLETRANSLATE(B7494, ""fr"", ""en"")"),"Tasty product: hygienic, solid, handy, easy to use. Brand Philips. Go there with confidence!")</f>
        <v>Tasty product: hygienic, solid, handy, easy to use. Brand Philips. Go there with confidence!</v>
      </c>
    </row>
    <row r="7495">
      <c r="A7495" s="1">
        <v>5.0</v>
      </c>
      <c r="B7495" s="1" t="s">
        <v>7385</v>
      </c>
      <c r="C7495" t="str">
        <f>IFERROR(__xludf.DUMMYFUNCTION("GOOGLETRANSLATE(B7495, ""fr"", ""en"")"),"Good gift idea very beautiful bag .she has plenty of storage neat finish")</f>
        <v>Good gift idea very beautiful bag .she has plenty of storage neat finish</v>
      </c>
    </row>
    <row r="7496">
      <c r="A7496" s="1">
        <v>5.0</v>
      </c>
      <c r="B7496" s="1" t="s">
        <v>7386</v>
      </c>
      <c r="C7496" t="str">
        <f>IFERROR(__xludf.DUMMYFUNCTION("GOOGLETRANSLATE(B7496, ""fr"", ""en"")"),"well rather elegant for a track pants .well cut")</f>
        <v>well rather elegant for a track pants .well cut</v>
      </c>
    </row>
    <row r="7497">
      <c r="A7497" s="1">
        <v>5.0</v>
      </c>
      <c r="B7497" s="1" t="s">
        <v>7387</v>
      </c>
      <c r="C7497" t="str">
        <f>IFERROR(__xludf.DUMMYFUNCTION("GOOGLETRANSLATE(B7497, ""fr"", ""en"")"),"Pretty jewel I'm not disappointed. I bought to wear without charms and makes a beautiful jewel.")</f>
        <v>Pretty jewel I'm not disappointed. I bought to wear without charms and makes a beautiful jewel.</v>
      </c>
    </row>
    <row r="7498">
      <c r="A7498" s="1">
        <v>5.0</v>
      </c>
      <c r="B7498" s="1" t="s">
        <v>7388</v>
      </c>
      <c r="C7498" t="str">
        <f>IFERROR(__xludf.DUMMYFUNCTION("GOOGLETRANSLATE(B7498, ""fr"", ""en"")"),"Very Useful Relieves sciatica enormously after ten minutes stay on I is carpet that really feels better")</f>
        <v>Very Useful Relieves sciatica enormously after ten minutes stay on I is carpet that really feels better</v>
      </c>
    </row>
    <row r="7499">
      <c r="A7499" s="1">
        <v>5.0</v>
      </c>
      <c r="B7499" s="1" t="s">
        <v>7389</v>
      </c>
      <c r="C7499" t="str">
        <f>IFERROR(__xludf.DUMMYFUNCTION("GOOGLETRANSLATE(B7499, ""fr"", ""en"")"),"Slightly stretchy, super cup, beautiful color slightly Stretch Jean, super couleure (dark gray little faded) makes bcp better than in the photo. Jean perfect for a casual or more dressed in a shirt and jacket. I recommend !")</f>
        <v>Slightly stretchy, super cup, beautiful color slightly Stretch Jean, super couleure (dark gray little faded) makes bcp better than in the photo. Jean perfect for a casual or more dressed in a shirt and jacket. I recommend !</v>
      </c>
    </row>
    <row r="7500">
      <c r="A7500" s="1">
        <v>5.0</v>
      </c>
      <c r="B7500" s="1" t="s">
        <v>7390</v>
      </c>
      <c r="C7500" t="str">
        <f>IFERROR(__xludf.DUMMYFUNCTION("GOOGLETRANSLATE(B7500, ""fr"", ""en"")"),"It's perfect canvas shoes are lightweight but strong, very good quality and beautiful. They carve perfectly and I always appreciate the little cherry plastic puts on the laces. This is already my fourth pair so I can say that they really had the time! I r"&amp;"ecommend it 200% Warning remains relatively flat shoes so uncomfortable for long walks, ideal daily, especially in summer. The color is super nice!")</f>
        <v>It's perfect canvas shoes are lightweight but strong, very good quality and beautiful. They carve perfectly and I always appreciate the little cherry plastic puts on the laces. This is already my fourth pair so I can say that they really had the time! I recommend it 200% Warning remains relatively flat shoes so uncomfortable for long walks, ideal daily, especially in summer. The color is super nice!</v>
      </c>
    </row>
    <row r="7501">
      <c r="A7501" s="1">
        <v>5.0</v>
      </c>
      <c r="B7501" s="1" t="s">
        <v>7391</v>
      </c>
      <c r="C7501" t="str">
        <f>IFERROR(__xludf.DUMMYFUNCTION("GOOGLETRANSLATE(B7501, ""fr"", ""en"")"),"a little warmth. excellent resistance to heat with the coating that adorns the contact of the body I particularly recommend this product.")</f>
        <v>a little warmth. excellent resistance to heat with the coating that adorns the contact of the body I particularly recommend this product.</v>
      </c>
    </row>
    <row r="7502">
      <c r="A7502" s="1">
        <v>5.0</v>
      </c>
      <c r="B7502" s="1" t="s">
        <v>7392</v>
      </c>
      <c r="C7502" t="str">
        <f>IFERROR(__xludf.DUMMYFUNCTION("GOOGLETRANSLATE(B7502, ""fr"", ""en"")"),"QUality in top quality table! I recommend")</f>
        <v>QUality in top quality table! I recommend</v>
      </c>
    </row>
    <row r="7503">
      <c r="A7503" s="1">
        <v>5.0</v>
      </c>
      <c r="B7503" s="1" t="s">
        <v>7393</v>
      </c>
      <c r="C7503" t="str">
        <f>IFERROR(__xludf.DUMMYFUNCTION("GOOGLETRANSLATE(B7503, ""fr"", ""en"")"),"comfortable shoes I bought these shoes for my work, it is very light and very pleasant has brought")</f>
        <v>comfortable shoes I bought these shoes for my work, it is very light and very pleasant has brought</v>
      </c>
    </row>
    <row r="7504">
      <c r="A7504" s="1">
        <v>5.0</v>
      </c>
      <c r="B7504" s="1" t="s">
        <v>7394</v>
      </c>
      <c r="C7504" t="str">
        <f>IFERROR(__xludf.DUMMYFUNCTION("GOOGLETRANSLATE(B7504, ""fr"", ""en"")"),"Perfect Perfect size, good value")</f>
        <v>Perfect Perfect size, good value</v>
      </c>
    </row>
    <row r="7505">
      <c r="A7505" s="1">
        <v>5.0</v>
      </c>
      <c r="B7505" s="1" t="s">
        <v>7395</v>
      </c>
      <c r="C7505" t="str">
        <f>IFERROR(__xludf.DUMMYFUNCTION("GOOGLETRANSLATE(B7505, ""fr"", ""en"")"),"Reception great books on time, produced in excellent condition. My daughter loves the Tchoupi ritual. I do not regret my purchase.")</f>
        <v>Reception great books on time, produced in excellent condition. My daughter loves the Tchoupi ritual. I do not regret my purchase.</v>
      </c>
    </row>
    <row r="7506">
      <c r="A7506" s="1">
        <v>5.0</v>
      </c>
      <c r="B7506" s="1" t="s">
        <v>7396</v>
      </c>
      <c r="C7506" t="str">
        <f>IFERROR(__xludf.DUMMYFUNCTION("GOOGLETRANSLATE(B7506, ""fr"", ""en"")"),"Perfect disappointed received on the day of delivery.")</f>
        <v>Perfect disappointed received on the day of delivery.</v>
      </c>
    </row>
    <row r="7507">
      <c r="A7507" s="1">
        <v>5.0</v>
      </c>
      <c r="B7507" s="1" t="s">
        <v>7397</v>
      </c>
      <c r="C7507" t="str">
        <f>IFERROR(__xludf.DUMMYFUNCTION("GOOGLETRANSLATE(B7507, ""fr"", ""en"")"),"Super Super carpet mats very big, nickel pr use I n'ais, nice design, nice to touch, then the rest pr jmet nimp because I lack words 8")</f>
        <v>Super Super carpet mats very big, nickel pr use I n'ais, nice design, nice to touch, then the rest pr jmet nimp because I lack words 8</v>
      </c>
    </row>
    <row r="7508">
      <c r="A7508" s="1">
        <v>5.0</v>
      </c>
      <c r="B7508" s="1" t="s">
        <v>7398</v>
      </c>
      <c r="C7508" t="str">
        <f>IFERROR(__xludf.DUMMYFUNCTION("GOOGLETRANSLATE(B7508, ""fr"", ""en"")"),"Finally a great painting that does not stain the smell is pleasant and has every feature one of our childhood kindergarten, ha nostalgia when you hold us !!!! Perfect for mom conscious of dressed and furniture.")</f>
        <v>Finally a great painting that does not stain the smell is pleasant and has every feature one of our childhood kindergarten, ha nostalgia when you hold us !!!! Perfect for mom conscious of dressed and furniture.</v>
      </c>
    </row>
    <row r="7509">
      <c r="A7509" s="1">
        <v>2.0</v>
      </c>
      <c r="B7509" s="1" t="s">
        <v>7399</v>
      </c>
      <c r="C7509" t="str">
        <f>IFERROR(__xludf.DUMMYFUNCTION("GOOGLETRANSLATE(B7509, ""fr"", ""en"")"),"I use very little concentrated oils with a diffuser heated by a candle (type small candle heats flat), usually 7 or 8 drops with water diffuses me a nice smell that covers the smell of cigarette or frying, etc. with these 6 oils, little perfume, short dis"&amp;"appointed, although it may be natural, I will use other much more ""efficient"" oils")</f>
        <v>I use very little concentrated oils with a diffuser heated by a candle (type small candle heats flat), usually 7 or 8 drops with water diffuses me a nice smell that covers the smell of cigarette or frying, etc. with these 6 oils, little perfume, short disappointed, although it may be natural, I will use other much more "efficient" oils</v>
      </c>
    </row>
    <row r="7510">
      <c r="A7510" s="1">
        <v>1.0</v>
      </c>
      <c r="B7510" s="1" t="s">
        <v>7400</v>
      </c>
      <c r="C7510" t="str">
        <f>IFERROR(__xludf.DUMMYFUNCTION("GOOGLETRANSLATE(B7510, ""fr"", ""en"")"),"Without reinforcement not terrible Maintenance for the price. Too bad. The colors are beautiful and remains beautiful for small chest. If Delache quickly.")</f>
        <v>Without reinforcement not terrible Maintenance for the price. Too bad. The colors are beautiful and remains beautiful for small chest. If Delache quickly.</v>
      </c>
    </row>
    <row r="7511">
      <c r="A7511" s="1">
        <v>1.0</v>
      </c>
      <c r="B7511" s="1" t="s">
        <v>7401</v>
      </c>
      <c r="C7511" t="str">
        <f>IFERROR(__xludf.DUMMYFUNCTION("GOOGLETRANSLATE(B7511, ""fr"", ""en"")"),"Disappointed defective product that spoils very quickly. My shoes have holes on the sides and it is not leather.")</f>
        <v>Disappointed defective product that spoils very quickly. My shoes have holes on the sides and it is not leather.</v>
      </c>
    </row>
    <row r="7512">
      <c r="A7512" s="1">
        <v>3.0</v>
      </c>
      <c r="B7512" s="1" t="s">
        <v>7402</v>
      </c>
      <c r="C7512" t="str">
        <f>IFERROR(__xludf.DUMMYFUNCTION("GOOGLETRANSLATE(B7512, ""fr"", ""en"")"),"good product conforms to what I asked")</f>
        <v>good product conforms to what I asked</v>
      </c>
    </row>
    <row r="7513">
      <c r="A7513" s="1">
        <v>3.0</v>
      </c>
      <c r="B7513" s="1" t="s">
        <v>7403</v>
      </c>
      <c r="C7513" t="str">
        <f>IFERROR(__xludf.DUMMYFUNCTION("GOOGLETRANSLATE(B7513, ""fr"", ""en"")"),"fine fabric and large size Fabric is late making the soft cap. Moreover, it is relatively high: for my part, it ""sinks"" on the head and touch the ears: not very pleasant.")</f>
        <v>fine fabric and large size Fabric is late making the soft cap. Moreover, it is relatively high: for my part, it "sinks" on the head and touch the ears: not very pleasant.</v>
      </c>
    </row>
    <row r="7514">
      <c r="A7514" s="1">
        <v>4.0</v>
      </c>
      <c r="B7514" s="1" t="s">
        <v>7404</v>
      </c>
      <c r="C7514" t="str">
        <f>IFERROR(__xludf.DUMMYFUNCTION("GOOGLETRANSLATE(B7514, ""fr"", ""en"")"),"A priori good product I say a priori as difficult to see what is happening inside the bags (would have been better if they were transparent). The fact is that it seems to me it feels more moisture in the cabinet")</f>
        <v>A priori good product I say a priori as difficult to see what is happening inside the bags (would have been better if they were transparent). The fact is that it seems to me it feels more moisture in the cabinet</v>
      </c>
    </row>
    <row r="7515">
      <c r="A7515" s="1">
        <v>4.0</v>
      </c>
      <c r="B7515" s="1" t="s">
        <v>7405</v>
      </c>
      <c r="C7515" t="str">
        <f>IFERROR(__xludf.DUMMYFUNCTION("GOOGLETRANSLATE(B7515, ""fr"", ""en"")"),"Good value Do not expect the high quality but for perfect extra headphones. No worries and this is the second time I order (I lost the first!)")</f>
        <v>Good value Do not expect the high quality but for perfect extra headphones. No worries and this is the second time I order (I lost the first!)</v>
      </c>
    </row>
    <row r="7516">
      <c r="A7516" s="1">
        <v>4.0</v>
      </c>
      <c r="B7516" s="1" t="s">
        <v>7406</v>
      </c>
      <c r="C7516" t="str">
        <f>IFERROR(__xludf.DUMMYFUNCTION("GOOGLETRANSLATE(B7516, ""fr"", ""en"")"),"Good enough powerful product but cut a little long strips Hello, this is a paper shredder powerful enough, he swallows several sheets at a time but clearly I do not venture to put him 10 or 12 unless it is a weight ultra light. Noise level, it seems right"&amp;" to me, I've seen worse, aesthetically it's not too bad, I like the lights that I find practical, it avoids forget turned bad based on your container, the latch plastic security is also convenient, it must be pressed to slide the documents to be destroyed"&amp;" (safe for children ...), in short it is a good camera, the only fault I could fault it is that the cut strips are long enough (cross confetti Dimensions: 5.5 x 0.6 cm). I recommend this device is a good investment. cordially")</f>
        <v>Good enough powerful product but cut a little long strips Hello, this is a paper shredder powerful enough, he swallows several sheets at a time but clearly I do not venture to put him 10 or 12 unless it is a weight ultra light. Noise level, it seems right to me, I've seen worse, aesthetically it's not too bad, I like the lights that I find practical, it avoids forget turned bad based on your container, the latch plastic security is also convenient, it must be pressed to slide the documents to be destroyed (safe for children ...), in short it is a good camera, the only fault I could fault it is that the cut strips are long enough (cross confetti Dimensions: 5.5 x 0.6 cm). I recommend this device is a good investment. cordially</v>
      </c>
    </row>
    <row r="7517">
      <c r="A7517" s="1">
        <v>4.0</v>
      </c>
      <c r="B7517" s="1" t="s">
        <v>7407</v>
      </c>
      <c r="C7517" t="str">
        <f>IFERROR(__xludf.DUMMYFUNCTION("GOOGLETRANSLATE(B7517, ""fr"", ""en"")"),"Very good product but hard to connected Bluetooth Very good sound quality The only problem is that I n not manage to synchronize the two bluetooth can be an adjustment but the instructions do not say anything over the Always seeking help for this problem")</f>
        <v>Very good product but hard to connected Bluetooth Very good sound quality The only problem is that I n not manage to synchronize the two bluetooth can be an adjustment but the instructions do not say anything over the Always seeking help for this problem</v>
      </c>
    </row>
    <row r="7518">
      <c r="A7518" s="1">
        <v>5.0</v>
      </c>
      <c r="B7518" s="1" t="s">
        <v>7408</v>
      </c>
      <c r="C7518" t="str">
        <f>IFERROR(__xludf.DUMMYFUNCTION("GOOGLETRANSLATE(B7518, ""fr"", ""en"")"),"Perfect Very good very good UALITY")</f>
        <v>Perfect Very good very good UALITY</v>
      </c>
    </row>
    <row r="7519">
      <c r="A7519" s="1">
        <v>5.0</v>
      </c>
      <c r="B7519" s="1" t="s">
        <v>7409</v>
      </c>
      <c r="C7519" t="str">
        <f>IFERROR(__xludf.DUMMYFUNCTION("GOOGLETRANSLATE(B7519, ""fr"", ""en"")"),"Top Perfect does its job")</f>
        <v>Top Perfect does its job</v>
      </c>
    </row>
    <row r="7520">
      <c r="A7520" s="1">
        <v>5.0</v>
      </c>
      <c r="B7520" s="1" t="s">
        <v>7410</v>
      </c>
      <c r="C7520" t="str">
        <f>IFERROR(__xludf.DUMMYFUNCTION("GOOGLETRANSLATE(B7520, ""fr"", ""en"")"),"Watch Pagani design Very Nice shows Met")</f>
        <v>Watch Pagani design Very Nice shows Met</v>
      </c>
    </row>
    <row r="7521">
      <c r="A7521" s="1">
        <v>5.0</v>
      </c>
      <c r="B7521" s="1" t="s">
        <v>7411</v>
      </c>
      <c r="C7521" t="str">
        <f>IFERROR(__xludf.DUMMYFUNCTION("GOOGLETRANSLATE(B7521, ""fr"", ""en"")"),"Beautiful quality Esthetique")</f>
        <v>Beautiful quality Esthetique</v>
      </c>
    </row>
    <row r="7522">
      <c r="A7522" s="1">
        <v>5.0</v>
      </c>
      <c r="B7522" s="1" t="s">
        <v>7412</v>
      </c>
      <c r="C7522" t="str">
        <f>IFERROR(__xludf.DUMMYFUNCTION("GOOGLETRANSLATE(B7522, ""fr"", ""en"")"),"THE TRUE c is real CASIO is not a sea ...... dique infringement as found on ebay so I received it in time and I am several months painting Gold and always certe the watch which may seem a little can but I'm a man who loves the discretion and have a pendul"&amp;"um wrist am interested not ..")</f>
        <v>THE TRUE c is real CASIO is not a sea ...... dique infringement as found on ebay so I received it in time and I am several months painting Gold and always certe the watch which may seem a little can but I'm a man who loves the discretion and have a pendulum wrist am interested not ..</v>
      </c>
    </row>
    <row r="7523">
      <c r="A7523" s="1">
        <v>5.0</v>
      </c>
      <c r="B7523" s="1" t="s">
        <v>7413</v>
      </c>
      <c r="C7523" t="str">
        <f>IFERROR(__xludf.DUMMYFUNCTION("GOOGLETRANSLATE(B7523, ""fr"", ""en"")"),"casio perfect")</f>
        <v>casio perfect</v>
      </c>
    </row>
    <row r="7524">
      <c r="A7524" s="1">
        <v>5.0</v>
      </c>
      <c r="B7524" s="1" t="s">
        <v>7414</v>
      </c>
      <c r="C7524" t="str">
        <f>IFERROR(__xludf.DUMMYFUNCTION("GOOGLETRANSLATE(B7524, ""fr"", ""en"")"),"Close to everything This office supply set is of good quality, the shipment is neat and the person to whom I have offered much appreciated the humor. I'm happy with this purchase.")</f>
        <v>Close to everything This office supply set is of good quality, the shipment is neat and the person to whom I have offered much appreciated the humor. I'm happy with this purchase.</v>
      </c>
    </row>
    <row r="7525">
      <c r="A7525" s="1">
        <v>5.0</v>
      </c>
      <c r="B7525" s="1" t="s">
        <v>7415</v>
      </c>
      <c r="C7525" t="str">
        <f>IFERROR(__xludf.DUMMYFUNCTION("GOOGLETRANSLATE(B7525, ""fr"", ""en"")"),"Okay complete and easy to use")</f>
        <v>Okay complete and easy to use</v>
      </c>
    </row>
    <row r="7526">
      <c r="A7526" s="1">
        <v>5.0</v>
      </c>
      <c r="B7526" s="1" t="s">
        <v>7416</v>
      </c>
      <c r="C7526" t="str">
        <f>IFERROR(__xludf.DUMMYFUNCTION("GOOGLETRANSLATE(B7526, ""fr"", ""en"")"),"VERY WELL Warning take a half size smaller size view! I play 38 and I gained 37, they fit me perfectly")</f>
        <v>VERY WELL Warning take a half size smaller size view! I play 38 and I gained 37, they fit me perfectly</v>
      </c>
    </row>
    <row r="7527">
      <c r="A7527" s="1">
        <v>5.0</v>
      </c>
      <c r="B7527" s="1" t="s">
        <v>7417</v>
      </c>
      <c r="C7527" t="str">
        <f>IFERROR(__xludf.DUMMYFUNCTION("GOOGLETRANSLATE(B7527, ""fr"", ""en"")"),"As wonderful sneakers slippers: the dream !!! :) Also Article received in 24: Extraordinary !!!!")</f>
        <v>As wonderful sneakers slippers: the dream !!! :) Also Article received in 24: Extraordinary !!!!</v>
      </c>
    </row>
    <row r="7528">
      <c r="A7528" s="1">
        <v>5.0</v>
      </c>
      <c r="B7528" s="1" t="s">
        <v>7418</v>
      </c>
      <c r="C7528" t="str">
        <f>IFERROR(__xludf.DUMMYFUNCTION("GOOGLETRANSLATE(B7528, ""fr"", ""en"")"),"perfect Nickel")</f>
        <v>perfect Nickel</v>
      </c>
    </row>
    <row r="7529">
      <c r="A7529" s="1">
        <v>5.0</v>
      </c>
      <c r="B7529" s="1" t="s">
        <v>7419</v>
      </c>
      <c r="C7529" t="str">
        <f>IFERROR(__xludf.DUMMYFUNCTION("GOOGLETRANSLATE(B7529, ""fr"", ""en"")"),"kettle perfect")</f>
        <v>kettle perfect</v>
      </c>
    </row>
    <row r="7530">
      <c r="A7530" s="1">
        <v>5.0</v>
      </c>
      <c r="B7530" s="1" t="s">
        <v>934</v>
      </c>
      <c r="C7530" t="str">
        <f>IFERROR(__xludf.DUMMYFUNCTION("GOOGLETRANSLATE(B7530, ""fr"", ""en"")"),"Very well very well")</f>
        <v>Very well very well</v>
      </c>
    </row>
    <row r="7531">
      <c r="A7531" s="1">
        <v>5.0</v>
      </c>
      <c r="B7531" s="1" t="s">
        <v>7420</v>
      </c>
      <c r="C7531" t="str">
        <f>IFERROR(__xludf.DUMMYFUNCTION("GOOGLETRANSLATE(B7531, ""fr"", ""en"")"),"parfait😍 a gift for my sister who so loved I am. As a sport, she was fed up headphones with the wire constantly hampered, I found him the listener that hold well in the ears and also a very nice design, Bluetooth connection is trivial (single and fast wi"&amp;"thout even needing the manual that comes with it). The touch control adds much simplicity in use. Headphones high quality sound with good sound insulation. The charge level display allows to monitor the load of boxes and headphones. I loved and I recommen"&amp;"d """)</f>
        <v>parfait😍 a gift for my sister who so loved I am. As a sport, she was fed up headphones with the wire constantly hampered, I found him the listener that hold well in the ears and also a very nice design, Bluetooth connection is trivial (single and fast without even needing the manual that comes with it). The touch control adds much simplicity in use. Headphones high quality sound with good sound insulation. The charge level display allows to monitor the load of boxes and headphones. I loved and I recommend "</v>
      </c>
    </row>
    <row r="7532">
      <c r="A7532" s="1">
        <v>5.0</v>
      </c>
      <c r="B7532" s="1" t="s">
        <v>7421</v>
      </c>
      <c r="C7532" t="str">
        <f>IFERROR(__xludf.DUMMYFUNCTION("GOOGLETRANSLATE(B7532, ""fr"", ""en"")"),"Very good quality I will redeem this water bottle, btw I have two")</f>
        <v>Very good quality I will redeem this water bottle, btw I have two</v>
      </c>
    </row>
    <row r="7533">
      <c r="A7533" s="1">
        <v>2.0</v>
      </c>
      <c r="B7533" s="1" t="s">
        <v>7422</v>
      </c>
      <c r="C7533" t="str">
        <f>IFERROR(__xludf.DUMMYFUNCTION("GOOGLETRANSLATE(B7533, ""fr"", ""en"")"),"Bra I had bought this bra XXL and I found it a little too big, but this one in size XL is really too small. I found too much difference. blunt")</f>
        <v>Bra I had bought this bra XXL and I found it a little too big, but this one in size XL is really too small. I found too much difference. blunt</v>
      </c>
    </row>
    <row r="7534">
      <c r="A7534" s="1">
        <v>1.0</v>
      </c>
      <c r="B7534" s="1" t="s">
        <v>7423</v>
      </c>
      <c r="C7534" t="str">
        <f>IFERROR(__xludf.DUMMYFUNCTION("GOOGLETRANSLATE(B7534, ""fr"", ""en"")"),"Very disappointed I was expecting a better home Klim but I was disappointed by the product. -The caps headphones arrived flattened. -Some caps come off when I take them out of my ears and got stuck -When I plug in my phone, the headset are taking ""posses"&amp;"sion"". They activate music, off, launch Google. -The tips in dirty after a time. I do not recommend the product: /")</f>
        <v>Very disappointed I was expecting a better home Klim but I was disappointed by the product. -The caps headphones arrived flattened. -Some caps come off when I take them out of my ears and got stuck -When I plug in my phone, the headset are taking "possession". They activate music, off, launch Google. -The tips in dirty after a time. I do not recommend the product: /</v>
      </c>
    </row>
    <row r="7535">
      <c r="A7535" s="1">
        <v>1.0</v>
      </c>
      <c r="B7535" s="1" t="s">
        <v>7424</v>
      </c>
      <c r="C7535" t="str">
        <f>IFERROR(__xludf.DUMMYFUNCTION("GOOGLETRANSLATE(B7535, ""fr"", ""en"")"),"infernal noise - does not work - To escape !! Honteux..l'article received is not new and has already been opened and it was removed. Also this bottle warmer is a disaster (the third I try ..). When you use it, it makes a loud noise like ""&amp; nbsp; clack cl"&amp;"ack clack .. &amp; nbsp;"" and nothing hot. Obviously I'm not the only one who received the wrong lot, but it would be nice not redirects amazon articles returned, defective and démontés..au new price! TO FLEE")</f>
        <v>infernal noise - does not work - To escape !! Honteux..l'article received is not new and has already been opened and it was removed. Also this bottle warmer is a disaster (the third I try ..). When you use it, it makes a loud noise like "&amp; nbsp; clack clack clack .. &amp; nbsp;" and nothing hot. Obviously I'm not the only one who received the wrong lot, but it would be nice not redirects amazon articles returned, defective and démontés..au new price! TO FLEE</v>
      </c>
    </row>
    <row r="7536">
      <c r="A7536" s="1">
        <v>3.0</v>
      </c>
      <c r="B7536" s="1" t="s">
        <v>7425</v>
      </c>
      <c r="C7536" t="str">
        <f>IFERROR(__xludf.DUMMYFUNCTION("GOOGLETRANSLATE(B7536, ""fr"", ""en"")"),"Bouillotte flaxseed Good for the back, neck, belly .... but it must be heated several times to the heat lasts .... s fading fast enough! Council add a glass of water in the microwave if flaxseed starting to feel burned!")</f>
        <v>Bouillotte flaxseed Good for the back, neck, belly .... but it must be heated several times to the heat lasts .... s fading fast enough! Council add a glass of water in the microwave if flaxseed starting to feel burned!</v>
      </c>
    </row>
    <row r="7537">
      <c r="A7537" s="1">
        <v>3.0</v>
      </c>
      <c r="B7537" s="1" t="s">
        <v>7426</v>
      </c>
      <c r="C7537" t="str">
        <f>IFERROR(__xludf.DUMMYFUNCTION("GOOGLETRANSLATE(B7537, ""fr"", ""en"")"),"Yes .... It's a complete show, but beware: Unlike the ad, it is no barometer. I bought it for snorkeling, She helps me out with his compass function well even if I do not find it convenient: The function remains visible a few seconds and you have to press"&amp;" again on the appropriate button to resume.")</f>
        <v>Yes .... It's a complete show, but beware: Unlike the ad, it is no barometer. I bought it for snorkeling, She helps me out with his compass function well even if I do not find it convenient: The function remains visible a few seconds and you have to press again on the appropriate button to resume.</v>
      </c>
    </row>
    <row r="7538">
      <c r="A7538" s="1">
        <v>4.0</v>
      </c>
      <c r="B7538" s="1" t="s">
        <v>7427</v>
      </c>
      <c r="C7538" t="str">
        <f>IFERROR(__xludf.DUMMYFUNCTION("GOOGLETRANSLATE(B7538, ""fr"", ""en"")"),"good gift size")</f>
        <v>good gift size</v>
      </c>
    </row>
    <row r="7539">
      <c r="A7539" s="1">
        <v>4.0</v>
      </c>
      <c r="B7539" s="1" t="s">
        <v>7428</v>
      </c>
      <c r="C7539" t="str">
        <f>IFERROR(__xludf.DUMMYFUNCTION("GOOGLETRANSLATE(B7539, ""fr"", ""en"")"),"Heart rate monitors Heart rate monitors OK Too bad we can not have the time when the cardio unit operates otherwise perfectly fulfills its mission")</f>
        <v>Heart rate monitors Heart rate monitors OK Too bad we can not have the time when the cardio unit operates otherwise perfectly fulfills its mission</v>
      </c>
    </row>
    <row r="7540">
      <c r="A7540" s="1">
        <v>4.0</v>
      </c>
      <c r="B7540" s="1" t="s">
        <v>7429</v>
      </c>
      <c r="C7540" t="str">
        <f>IFERROR(__xludf.DUMMYFUNCTION("GOOGLETRANSLATE(B7540, ""fr"", ""en"")"),"Very happy with this purchase Very good product. perfect size. Very comfortable like slippers. Fine for every day. Conforms to the photo. Very good value for money.")</f>
        <v>Very happy with this purchase Very good product. perfect size. Very comfortable like slippers. Fine for every day. Conforms to the photo. Very good value for money.</v>
      </c>
    </row>
    <row r="7541">
      <c r="A7541" s="1">
        <v>4.0</v>
      </c>
      <c r="B7541" s="1" t="s">
        <v>7430</v>
      </c>
      <c r="C7541" t="str">
        <f>IFERROR(__xludf.DUMMYFUNCTION("GOOGLETRANSLATE(B7541, ""fr"", ""en"")"),"Practical use handy shelf, modular ... But additional carrier wafer is not provided while present in the pictures; no indication for controlling this very useful element for placing a mouse or external keypad")</f>
        <v>Practical use handy shelf, modular ... But additional carrier wafer is not provided while present in the pictures; no indication for controlling this very useful element for placing a mouse or external keypad</v>
      </c>
    </row>
    <row r="7542">
      <c r="A7542" s="1">
        <v>5.0</v>
      </c>
      <c r="B7542" s="1" t="s">
        <v>7431</v>
      </c>
      <c r="C7542" t="str">
        <f>IFERROR(__xludf.DUMMYFUNCTION("GOOGLETRANSLATE(B7542, ""fr"", ""en"")"),"Excellent Top")</f>
        <v>Excellent Top</v>
      </c>
    </row>
    <row r="7543">
      <c r="A7543" s="1">
        <v>5.0</v>
      </c>
      <c r="B7543" s="1" t="s">
        <v>7432</v>
      </c>
      <c r="C7543" t="str">
        <f>IFERROR(__xludf.DUMMYFUNCTION("GOOGLETRANSLATE(B7543, ""fr"", ""en"")"),"Top super held in hands bottle nipple adapted relay after breastfeeding")</f>
        <v>Top super held in hands bottle nipple adapted relay after breastfeeding</v>
      </c>
    </row>
    <row r="7544">
      <c r="A7544" s="1">
        <v>5.0</v>
      </c>
      <c r="B7544" s="1" t="s">
        <v>7433</v>
      </c>
      <c r="C7544" t="str">
        <f>IFERROR(__xludf.DUMMYFUNCTION("GOOGLETRANSLATE(B7544, ""fr"", ""en"")"),"Comfortable and pretty soon received immediately adopted. Very comfortable and make a nice walk. I took a size smaller than my shoe size (39 instead of 40) because I had tried before in store. I admit that with 1/2 size smaller it would have been perfect "&amp;"but the 39.5 does not exist, so they are fair but with thin socks, it works well. See over time how they ""age"" but right now, I recommend this product.")</f>
        <v>Comfortable and pretty soon received immediately adopted. Very comfortable and make a nice walk. I took a size smaller than my shoe size (39 instead of 40) because I had tried before in store. I admit that with 1/2 size smaller it would have been perfect but the 39.5 does not exist, so they are fair but with thin socks, it works well. See over time how they "age" but right now, I recommend this product.</v>
      </c>
    </row>
    <row r="7545">
      <c r="A7545" s="1">
        <v>5.0</v>
      </c>
      <c r="B7545" s="1" t="s">
        <v>7434</v>
      </c>
      <c r="C7545" t="str">
        <f>IFERROR(__xludf.DUMMYFUNCTION("GOOGLETRANSLATE(B7545, ""fr"", ""en"")"),"Okay Super handkerchiefs very soft")</f>
        <v>Okay Super handkerchiefs very soft</v>
      </c>
    </row>
    <row r="7546">
      <c r="A7546" s="1">
        <v>5.0</v>
      </c>
      <c r="B7546" s="1" t="s">
        <v>7435</v>
      </c>
      <c r="C7546" t="str">
        <f>IFERROR(__xludf.DUMMYFUNCTION("GOOGLETRANSLATE(B7546, ""fr"", ""en"")"),"Very. Handsome. Very heart. Handsome. Heart. Familly, I recommend it. For a gift. AT. To do. Or simply. For himself. Even, I love ♥")</f>
        <v>Very. Handsome. Very heart. Handsome. Heart. Familly, I recommend it. For a gift. AT. To do. Or simply. For himself. Even, I love ♥</v>
      </c>
    </row>
    <row r="7547">
      <c r="A7547" s="1">
        <v>5.0</v>
      </c>
      <c r="B7547" s="1" t="s">
        <v>7436</v>
      </c>
      <c r="C7547" t="str">
        <f>IFERROR(__xludf.DUMMYFUNCTION("GOOGLETRANSLATE(B7547, ""fr"", ""en"")"),"Complete Complete pack largely composed of foam footprints remains to be seen how long in time, but for the price I'm not disappointed")</f>
        <v>Complete Complete pack largely composed of foam footprints remains to be seen how long in time, but for the price I'm not disappointed</v>
      </c>
    </row>
    <row r="7548">
      <c r="A7548" s="1">
        <v>5.0</v>
      </c>
      <c r="B7548" s="1" t="s">
        <v>7437</v>
      </c>
      <c r="C7548" t="str">
        <f>IFERROR(__xludf.DUMMYFUNCTION("GOOGLETRANSLATE(B7548, ""fr"", ""en"")"),"Okay Good size takes Although foot nothing to say")</f>
        <v>Okay Good size takes Although foot nothing to say</v>
      </c>
    </row>
    <row r="7549">
      <c r="A7549" s="1">
        <v>5.0</v>
      </c>
      <c r="B7549" s="1" t="s">
        <v>7438</v>
      </c>
      <c r="C7549" t="str">
        <f>IFERROR(__xludf.DUMMYFUNCTION("GOOGLETRANSLATE(B7549, ""fr"", ""en"")"),"Flawless I had a 37 as usual and no worries, they fit me perfectly! Very comfortable to wear, but it does not surprise me, I bought to replace old Puma which I was a big fan. The model is a bit different but very similar so I found the same rendering.")</f>
        <v>Flawless I had a 37 as usual and no worries, they fit me perfectly! Very comfortable to wear, but it does not surprise me, I bought to replace old Puma which I was a big fan. The model is a bit different but very similar so I found the same rendering.</v>
      </c>
    </row>
    <row r="7550">
      <c r="A7550" s="1">
        <v>5.0</v>
      </c>
      <c r="B7550" s="1" t="s">
        <v>7439</v>
      </c>
      <c r="C7550" t="str">
        <f>IFERROR(__xludf.DUMMYFUNCTION("GOOGLETRANSLATE(B7550, ""fr"", ""en"")"),"Very good pairs of shoes very comfortable shoe. A lighter poile would have been the top. I really recommend.")</f>
        <v>Very good pairs of shoes very comfortable shoe. A lighter poile would have been the top. I really recommend.</v>
      </c>
    </row>
    <row r="7551">
      <c r="A7551" s="1">
        <v>5.0</v>
      </c>
      <c r="B7551" s="1" t="s">
        <v>7440</v>
      </c>
      <c r="C7551" t="str">
        <f>IFERROR(__xludf.DUMMYFUNCTION("GOOGLETRANSLATE(B7551, ""fr"", ""en"")"),"Size 39 These shoes size perfectly, we are very well in it seems to be in slippers. I highly recommend this product and for the price there is no hesitation")</f>
        <v>Size 39 These shoes size perfectly, we are very well in it seems to be in slippers. I highly recommend this product and for the price there is no hesitation</v>
      </c>
    </row>
    <row r="7552">
      <c r="A7552" s="1">
        <v>5.0</v>
      </c>
      <c r="B7552" s="1" t="s">
        <v>7441</v>
      </c>
      <c r="C7552" t="str">
        <f>IFERROR(__xludf.DUMMYFUNCTION("GOOGLETRANSLATE(B7552, ""fr"", ""en"")"),"Excellent Very satisfied with this product. Easy to apply. I recommend it.")</f>
        <v>Excellent Very satisfied with this product. Easy to apply. I recommend it.</v>
      </c>
    </row>
    <row r="7553">
      <c r="A7553" s="1">
        <v>5.0</v>
      </c>
      <c r="B7553" s="1" t="s">
        <v>7442</v>
      </c>
      <c r="C7553" t="str">
        <f>IFERROR(__xludf.DUMMYFUNCTION("GOOGLETRANSLATE(B7553, ""fr"", ""en"")"),"Bra with a perfect even for a busty dress I am very very happy with my bra impeccable maintenance very wearable even to sleep, I just had a breast lift to the clinic, I had but it was bad qualitée, I advise you this one more and the price nothing to say v"&amp;"ery affordable, short I have found my reference mark,")</f>
        <v>Bra with a perfect even for a busty dress I am very very happy with my bra impeccable maintenance very wearable even to sleep, I just had a breast lift to the clinic, I had but it was bad qualitée, I advise you this one more and the price nothing to say very affordable, short I have found my reference mark,</v>
      </c>
    </row>
    <row r="7554">
      <c r="A7554" s="1">
        <v>5.0</v>
      </c>
      <c r="B7554" s="1" t="s">
        <v>7443</v>
      </c>
      <c r="C7554" t="str">
        <f>IFERROR(__xludf.DUMMYFUNCTION("GOOGLETRANSLATE(B7554, ""fr"", ""en"")"),"Indispe sand for chilly Allows to lie in a warm bed in winter. Very effective and energy efficient")</f>
        <v>Indispe sand for chilly Allows to lie in a warm bed in winter. Very effective and energy efficient</v>
      </c>
    </row>
    <row r="7555">
      <c r="A7555" s="1">
        <v>5.0</v>
      </c>
      <c r="B7555" s="1" t="s">
        <v>7444</v>
      </c>
      <c r="C7555" t="str">
        <f>IFERROR(__xludf.DUMMYFUNCTION("GOOGLETRANSLATE(B7555, ""fr"", ""en"")"),"Okay Simple and nice")</f>
        <v>Okay Simple and nice</v>
      </c>
    </row>
    <row r="7556">
      <c r="A7556" s="1">
        <v>5.0</v>
      </c>
      <c r="B7556" s="1" t="s">
        <v>7445</v>
      </c>
      <c r="C7556" t="str">
        <f>IFERROR(__xludf.DUMMYFUNCTION("GOOGLETRANSLATE(B7556, ""fr"", ""en"")"),"Product high quality and consistent with the product description and quality consistent with the description. Comes in very good condition. Works great with the blue yeti.")</f>
        <v>Product high quality and consistent with the product description and quality consistent with the description. Comes in very good condition. Works great with the blue yeti.</v>
      </c>
    </row>
    <row r="7557">
      <c r="A7557" s="1">
        <v>2.0</v>
      </c>
      <c r="B7557" s="1" t="s">
        <v>7446</v>
      </c>
      <c r="C7557" t="str">
        <f>IFERROR(__xludf.DUMMYFUNCTION("GOOGLETRANSLATE(B7557, ""fr"", ""en"")"),"Please check the model of the bottle Warning. These teats does not fit the advent conventional bottle. Therefore, you have to invest in baby bottles of the same brand, but ""natural."" Regardless, the nipple is not bad, but given that they are not univers"&amp;"al lowers rating!")</f>
        <v>Please check the model of the bottle Warning. These teats does not fit the advent conventional bottle. Therefore, you have to invest in baby bottles of the same brand, but "natural." Regardless, the nipple is not bad, but given that they are not universal lowers rating!</v>
      </c>
    </row>
    <row r="7558">
      <c r="A7558" s="1">
        <v>1.0</v>
      </c>
      <c r="B7558" s="1" t="s">
        <v>7447</v>
      </c>
      <c r="C7558" t="str">
        <f>IFERROR(__xludf.DUMMYFUNCTION("GOOGLETRANSLATE(B7558, ""fr"", ""en"")"),"hello I just insert the cartridge in my printer cartridge for HP 2480. F has this printer and I use since it is in my possession .... I never encounter problems either for the color or black. My documents are printed in pink colors seen my black cartridge"&amp;" is defective. This printer is recent, I can only say that it comes from the black cartridge. Hoping your good faith please send me soon enough a new cartridge or refund of this one so I can use it quickly to my printer. Sincerely MME LEBLONDEL")</f>
        <v>hello I just insert the cartridge in my printer cartridge for HP 2480. F has this printer and I use since it is in my possession .... I never encounter problems either for the color or black. My documents are printed in pink colors seen my black cartridge is defective. This printer is recent, I can only say that it comes from the black cartridge. Hoping your good faith please send me soon enough a new cartridge or refund of this one so I can use it quickly to my printer. Sincerely MME LEBLONDEL</v>
      </c>
    </row>
    <row r="7559">
      <c r="A7559" s="1">
        <v>1.0</v>
      </c>
      <c r="B7559" s="1" t="s">
        <v>7448</v>
      </c>
      <c r="C7559" t="str">
        <f>IFERROR(__xludf.DUMMYFUNCTION("GOOGLETRANSLATE(B7559, ""fr"", ""en"")"),"The too small size do not match")</f>
        <v>The too small size do not match</v>
      </c>
    </row>
    <row r="7560">
      <c r="A7560" s="1">
        <v>3.0</v>
      </c>
      <c r="B7560" s="1" t="s">
        <v>7449</v>
      </c>
      <c r="C7560" t="str">
        <f>IFERROR(__xludf.DUMMYFUNCTION("GOOGLETRANSLATE(B7560, ""fr"", ""en"")"),"Traces on the reels during the delivery rollers had to be exposed to different temperatures, which has left its mark on the beginning of each roller. They are still usable")</f>
        <v>Traces on the reels during the delivery rollers had to be exposed to different temperatures, which has left its mark on the beginning of each roller. They are still usable</v>
      </c>
    </row>
    <row r="7561">
      <c r="A7561" s="1">
        <v>4.0</v>
      </c>
      <c r="B7561" s="1" t="s">
        <v>7450</v>
      </c>
      <c r="C7561" t="str">
        <f>IFERROR(__xludf.DUMMYFUNCTION("GOOGLETRANSLATE(B7561, ""fr"", ""en"")"),"Super Super cushion cushion ... he's massaging and heating ..on can use it for dos.le cou.les legs and even feet ... I recommend ... top.")</f>
        <v>Super Super cushion cushion ... he's massaging and heating ..on can use it for dos.le cou.les legs and even feet ... I recommend ... top.</v>
      </c>
    </row>
    <row r="7562">
      <c r="A7562" s="1">
        <v>4.0</v>
      </c>
      <c r="B7562" s="1" t="s">
        <v>7451</v>
      </c>
      <c r="C7562" t="str">
        <f>IFERROR(__xludf.DUMMYFUNCTION("GOOGLETRANSLATE(B7562, ""fr"", ""en"")"),"Size Contrary to what I read, it is better to choose size and not one size smaller (I was forced to return the first pair). Good shoes, lightweight (for metal hulls). Only flat, a little hot under foot.")</f>
        <v>Size Contrary to what I read, it is better to choose size and not one size smaller (I was forced to return the first pair). Good shoes, lightweight (for metal hulls). Only flat, a little hot under foot.</v>
      </c>
    </row>
    <row r="7563">
      <c r="A7563" s="1">
        <v>4.0</v>
      </c>
      <c r="B7563" s="1" t="s">
        <v>7452</v>
      </c>
      <c r="C7563" t="str">
        <f>IFERROR(__xludf.DUMMYFUNCTION("GOOGLETRANSLATE(B7563, ""fr"", ""en"")"),"Stability and comfort during the race This is my second pair of Asics Nimbus 20: the first having made its use: for running are great: only down a few pegs pain: I think it's the fact that 'they are new (at least I hope because I did not have with my old)")</f>
        <v>Stability and comfort during the race This is my second pair of Asics Nimbus 20: the first having made its use: for running are great: only down a few pegs pain: I think it's the fact that 'they are new (at least I hope because I did not have with my old)</v>
      </c>
    </row>
    <row r="7564">
      <c r="A7564" s="1">
        <v>4.0</v>
      </c>
      <c r="B7564" s="1" t="s">
        <v>7453</v>
      </c>
      <c r="C7564" t="str">
        <f>IFERROR(__xludf.DUMMYFUNCTION("GOOGLETRANSLATE(B7564, ""fr"", ""en"")"),"Beautiful little jewelry price mini beautiful little jewelry. Consistent with the description.")</f>
        <v>Beautiful little jewelry price mini beautiful little jewelry. Consistent with the description.</v>
      </c>
    </row>
    <row r="7565">
      <c r="A7565" s="1">
        <v>5.0</v>
      </c>
      <c r="B7565" s="1" t="s">
        <v>7454</v>
      </c>
      <c r="C7565" t="str">
        <f>IFERROR(__xludf.DUMMYFUNCTION("GOOGLETRANSLATE(B7565, ""fr"", ""en"")"),"I recommend Very good product. Excellent quality / taken. Very happy with my purchase. I recommend. I recommend this product if needed.")</f>
        <v>I recommend Very good product. Excellent quality / taken. Very happy with my purchase. I recommend. I recommend this product if needed.</v>
      </c>
    </row>
    <row r="7566">
      <c r="A7566" s="1">
        <v>5.0</v>
      </c>
      <c r="B7566" s="1" t="s">
        <v>7455</v>
      </c>
      <c r="C7566" t="str">
        <f>IFERROR(__xludf.DUMMYFUNCTION("GOOGLETRANSLATE(B7566, ""fr"", ""en"")"),"Super Hi Top")</f>
        <v>Super Hi Top</v>
      </c>
    </row>
    <row r="7567">
      <c r="A7567" s="1">
        <v>5.0</v>
      </c>
      <c r="B7567" s="1" t="s">
        <v>7456</v>
      </c>
      <c r="C7567" t="str">
        <f>IFERROR(__xludf.DUMMYFUNCTION("GOOGLETRANSLATE(B7567, ""fr"", ""en"")"),"Good product Good quality, fits perfectly. Little more, the tool to remove the links provided")</f>
        <v>Good product Good quality, fits perfectly. Little more, the tool to remove the links provided</v>
      </c>
    </row>
    <row r="7568">
      <c r="A7568" s="1">
        <v>5.0</v>
      </c>
      <c r="B7568" s="1" t="s">
        <v>7457</v>
      </c>
      <c r="C7568" t="str">
        <f>IFERROR(__xludf.DUMMYFUNCTION("GOOGLETRANSLATE(B7568, ""fr"", ""en"")"),"A beautiful pendant Very pretty jewel that blends easily with all the colors of clothing, the article is true to the photo I recommend either for or a gift")</f>
        <v>A beautiful pendant Very pretty jewel that blends easily with all the colors of clothing, the article is true to the photo I recommend either for or a gift</v>
      </c>
    </row>
    <row r="7569">
      <c r="A7569" s="1">
        <v>5.0</v>
      </c>
      <c r="B7569" s="1" t="s">
        <v>7458</v>
      </c>
      <c r="C7569" t="str">
        <f>IFERROR(__xludf.DUMMYFUNCTION("GOOGLETRANSLATE(B7569, ""fr"", ""en"")"),"I just love it!! Holds great! I do not use it!")</f>
        <v>I just love it!! Holds great! I do not use it!</v>
      </c>
    </row>
    <row r="7570">
      <c r="A7570" s="1">
        <v>5.0</v>
      </c>
      <c r="B7570" s="1" t="s">
        <v>7459</v>
      </c>
      <c r="C7570" t="str">
        <f>IFERROR(__xludf.DUMMYFUNCTION("GOOGLETRANSLATE(B7570, ""fr"", ""en"")"),"Perfect Perfect can be sure the extent to dishes the oven remains clean and the meat still tender .a example zucchini into large slices of onions garlic and a delicious barbecue at rouelle best.")</f>
        <v>Perfect Perfect can be sure the extent to dishes the oven remains clean and the meat still tender .a example zucchini into large slices of onions garlic and a delicious barbecue at rouelle best.</v>
      </c>
    </row>
    <row r="7571">
      <c r="A7571" s="1">
        <v>5.0</v>
      </c>
      <c r="B7571" s="1" t="s">
        <v>7460</v>
      </c>
      <c r="C7571" t="str">
        <f>IFERROR(__xludf.DUMMYFUNCTION("GOOGLETRANSLATE(B7571, ""fr"", ""en"")"),"tof very good shoe")</f>
        <v>tof very good shoe</v>
      </c>
    </row>
    <row r="7572">
      <c r="A7572" s="1">
        <v>5.0</v>
      </c>
      <c r="B7572" s="1" t="s">
        <v>3359</v>
      </c>
      <c r="C7572" t="str">
        <f>IFERROR(__xludf.DUMMYFUNCTION("GOOGLETRANSLATE(B7572, ""fr"", ""en"")"),"👍 👍")</f>
        <v>👍 👍</v>
      </c>
    </row>
    <row r="7573">
      <c r="A7573" s="1">
        <v>5.0</v>
      </c>
      <c r="B7573" s="1" t="s">
        <v>7461</v>
      </c>
      <c r="C7573" t="str">
        <f>IFERROR(__xludf.DUMMYFUNCTION("GOOGLETRANSLATE(B7573, ""fr"", ""en"")"),"Perfect Very good value for money.")</f>
        <v>Perfect Very good value for money.</v>
      </c>
    </row>
    <row r="7574">
      <c r="A7574" s="1">
        <v>5.0</v>
      </c>
      <c r="B7574" s="1" t="s">
        <v>7462</v>
      </c>
      <c r="C7574" t="str">
        <f>IFERROR(__xludf.DUMMYFUNCTION("GOOGLETRANSLATE(B7574, ""fr"", ""en"")"),"Top I do not pass me the ET. Warning dosing ...")</f>
        <v>Top I do not pass me the ET. Warning dosing ...</v>
      </c>
    </row>
    <row r="7575">
      <c r="A7575" s="1">
        <v>5.0</v>
      </c>
      <c r="B7575" s="1" t="s">
        <v>7463</v>
      </c>
      <c r="C7575" t="str">
        <f>IFERROR(__xludf.DUMMYFUNCTION("GOOGLETRANSLATE(B7575, ""fr"", ""en"")"),"Very satisfied Very satisfied with my purchase Size fine")</f>
        <v>Very satisfied Very satisfied with my purchase Size fine</v>
      </c>
    </row>
    <row r="7576">
      <c r="A7576" s="1">
        <v>5.0</v>
      </c>
      <c r="B7576" s="1" t="s">
        <v>7464</v>
      </c>
      <c r="C7576" t="str">
        <f>IFERROR(__xludf.DUMMYFUNCTION("GOOGLETRANSLATE(B7576, ""fr"", ""en"")"),"Okay Fast delivery and very good product")</f>
        <v>Okay Fast delivery and very good product</v>
      </c>
    </row>
    <row r="7577">
      <c r="A7577" s="1">
        <v>5.0</v>
      </c>
      <c r="B7577" s="1" t="s">
        <v>7465</v>
      </c>
      <c r="C7577" t="str">
        <f>IFERROR(__xludf.DUMMYFUNCTION("GOOGLETRANSLATE(B7577, ""fr"", ""en"")"),"Good product great product that well'm walking happy with my purchase")</f>
        <v>Good product great product that well'm walking happy with my purchase</v>
      </c>
    </row>
    <row r="7578">
      <c r="A7578" s="1">
        <v>5.0</v>
      </c>
      <c r="B7578" s="1" t="s">
        <v>7466</v>
      </c>
      <c r="C7578" t="str">
        <f>IFERROR(__xludf.DUMMYFUNCTION("GOOGLETRANSLATE(B7578, ""fr"", ""en"")"),"Solid Cable Product with beautiful material consistent with the description, AC works perfectly, stereo cable of very good quality with no signal loss, no crackle, the sound is very good and clear. Very good cable lossless and welded symmetrical, the prod"&amp;"uct is great!")</f>
        <v>Solid Cable Product with beautiful material consistent with the description, AC works perfectly, stereo cable of very good quality with no signal loss, no crackle, the sound is very good and clear. Very good cable lossless and welded symmetrical, the product is great!</v>
      </c>
    </row>
    <row r="7579">
      <c r="A7579" s="1">
        <v>5.0</v>
      </c>
      <c r="B7579" s="1" t="s">
        <v>7467</v>
      </c>
      <c r="C7579" t="str">
        <f>IFERROR(__xludf.DUMMYFUNCTION("GOOGLETRANSLATE(B7579, ""fr"", ""en"")"),"Very good value Upon receipt of these headphones, I was surprised by the quality of the product. Pleasant to the touch. Very easy to fit in the ears. Do not slip and the sound is quite decent for the price. A great choice for small budget. To spoil anythi"&amp;"ng headphones are not cheap at all. One can even wonder how much technology can be concentrated and aestheticism for such a small price.")</f>
        <v>Very good value Upon receipt of these headphones, I was surprised by the quality of the product. Pleasant to the touch. Very easy to fit in the ears. Do not slip and the sound is quite decent for the price. A great choice for small budget. To spoil anything headphones are not cheap at all. One can even wonder how much technology can be concentrated and aestheticism for such a small price.</v>
      </c>
    </row>
    <row r="7580">
      <c r="A7580" s="1">
        <v>2.0</v>
      </c>
      <c r="B7580" s="1" t="s">
        <v>7468</v>
      </c>
      <c r="C7580" t="str">
        <f>IFERROR(__xludf.DUMMYFUNCTION("GOOGLETRANSLATE(B7580, ""fr"", ""en"")"),"Do not go in the microwave Beautiful quality but it is not specified in the purchase that you can not put them in the microwave.")</f>
        <v>Do not go in the microwave Beautiful quality but it is not specified in the purchase that you can not put them in the microwave.</v>
      </c>
    </row>
    <row r="7581">
      <c r="A7581" s="1">
        <v>1.0</v>
      </c>
      <c r="B7581" s="1" t="s">
        <v>7469</v>
      </c>
      <c r="C7581" t="str">
        <f>IFERROR(__xludf.DUMMYFUNCTION("GOOGLETRANSLATE(B7581, ""fr"", ""en"")"),"Bottle anti colic I ordered this handy bottle against by the pattern on the bottle is not the one I ordered, it had to be a little squirrel and there is Sophie the Giraffe that does not like the all.")</f>
        <v>Bottle anti colic I ordered this handy bottle against by the pattern on the bottle is not the one I ordered, it had to be a little squirrel and there is Sophie the Giraffe that does not like the all.</v>
      </c>
    </row>
    <row r="7582">
      <c r="A7582" s="1">
        <v>3.0</v>
      </c>
      <c r="B7582" s="1" t="s">
        <v>7470</v>
      </c>
      <c r="C7582" t="str">
        <f>IFERROR(__xludf.DUMMYFUNCTION("GOOGLETRANSLATE(B7582, ""fr"", ""en"")"),"Waterproof THE problem is that it is sealed in the two day hike direction the program pool ....")</f>
        <v>Waterproof THE problem is that it is sealed in the two day hike direction the program pool ....</v>
      </c>
    </row>
    <row r="7583">
      <c r="A7583" s="1">
        <v>3.0</v>
      </c>
      <c r="B7583" s="1" t="s">
        <v>7471</v>
      </c>
      <c r="C7583" t="str">
        <f>IFERROR(__xludf.DUMMYFUNCTION("GOOGLETRANSLATE(B7583, ""fr"", ""en"")"),"Conforms Nickel for music but not on appeal at the micro")</f>
        <v>Conforms Nickel for music but not on appeal at the micro</v>
      </c>
    </row>
    <row r="7584">
      <c r="A7584" s="1">
        <v>4.0</v>
      </c>
      <c r="B7584" s="1" t="s">
        <v>7472</v>
      </c>
      <c r="C7584" t="str">
        <f>IFERROR(__xludf.DUMMYFUNCTION("GOOGLETRANSLATE(B7584, ""fr"", ""en"")"),"Good value 3 Toilet paper white folds Amazon brand, durable and does not pill, without being as soft as other brands this paper is rough and gentle enough on the whole, does not irritate the skin , disintegrates without problems in the septic tank.")</f>
        <v>Good value 3 Toilet paper white folds Amazon brand, durable and does not pill, without being as soft as other brands this paper is rough and gentle enough on the whole, does not irritate the skin , disintegrates without problems in the septic tank.</v>
      </c>
    </row>
    <row r="7585">
      <c r="A7585" s="1">
        <v>4.0</v>
      </c>
      <c r="B7585" s="1" t="s">
        <v>7473</v>
      </c>
      <c r="C7585" t="str">
        <f>IFERROR(__xludf.DUMMYFUNCTION("GOOGLETRANSLATE(B7585, ""fr"", ""en"")"),"I recommend the more delivery is fast Good product")</f>
        <v>I recommend the more delivery is fast Good product</v>
      </c>
    </row>
    <row r="7586">
      <c r="A7586" s="1">
        <v>4.0</v>
      </c>
      <c r="B7586" s="1" t="s">
        <v>7474</v>
      </c>
      <c r="C7586" t="str">
        <f>IFERROR(__xludf.DUMMYFUNCTION("GOOGLETRANSLATE(B7586, ""fr"", ""en"")"),"Size 43.5 Footwear small, I had to take one size above (44.5). Otherwise comfortable product and design.")</f>
        <v>Size 43.5 Footwear small, I had to take one size above (44.5). Otherwise comfortable product and design.</v>
      </c>
    </row>
    <row r="7587">
      <c r="A7587" s="1">
        <v>4.0</v>
      </c>
      <c r="B7587" s="1" t="s">
        <v>7475</v>
      </c>
      <c r="C7587" t="str">
        <f>IFERROR(__xludf.DUMMYFUNCTION("GOOGLETRANSLATE(B7587, ""fr"", ""en"")"),"Pretty but ... A little heavy to carry")</f>
        <v>Pretty but ... A little heavy to carry</v>
      </c>
    </row>
    <row r="7588">
      <c r="A7588" s="1">
        <v>5.0</v>
      </c>
      <c r="B7588" s="1" t="s">
        <v>7476</v>
      </c>
      <c r="C7588" t="str">
        <f>IFERROR(__xludf.DUMMYFUNCTION("GOOGLETRANSLATE(B7588, ""fr"", ""en"")"),"The laundry detergent Ecolabel This actually feels very good, the presence of essential oils is probably for many. It is also effective from 30 ° (wool and silk remaining to avoid) Hypoallergenic? We are willing to believe given the history of Green House"&amp;". Its composition does not really think organic. However, this product boasts the European Ecolabel, then, since the experts say ... The format in a resealable bag planned for 30 washes is handy.")</f>
        <v>The laundry detergent Ecolabel This actually feels very good, the presence of essential oils is probably for many. It is also effective from 30 ° (wool and silk remaining to avoid) Hypoallergenic? We are willing to believe given the history of Green House. Its composition does not really think organic. However, this product boasts the European Ecolabel, then, since the experts say ... The format in a resealable bag planned for 30 washes is handy.</v>
      </c>
    </row>
    <row r="7589">
      <c r="A7589" s="1">
        <v>5.0</v>
      </c>
      <c r="B7589" s="1" t="s">
        <v>7477</v>
      </c>
      <c r="C7589" t="str">
        <f>IFERROR(__xludf.DUMMYFUNCTION("GOOGLETRANSLATE(B7589, ""fr"", ""en"")"),"Same as pleasant flawless photo is wearing his at home or outside. and the sole is non-slip. Perfect in size, neither too big nor too small, size it properly. Perfect, no complaints, quality cheaper elsewhere, and fast delivery!")</f>
        <v>Same as pleasant flawless photo is wearing his at home or outside. and the sole is non-slip. Perfect in size, neither too big nor too small, size it properly. Perfect, no complaints, quality cheaper elsewhere, and fast delivery!</v>
      </c>
    </row>
    <row r="7590">
      <c r="A7590" s="1">
        <v>5.0</v>
      </c>
      <c r="B7590" s="1" t="s">
        <v>7478</v>
      </c>
      <c r="C7590" t="str">
        <f>IFERROR(__xludf.DUMMYFUNCTION("GOOGLETRANSLATE(B7590, ""fr"", ""en"")"),"Bra I love !! the size is suitable, very pretty colors and I am very well dedans.Franchement at this price, why hesitate?")</f>
        <v>Bra I love !! the size is suitable, very pretty colors and I am very well dedans.Franchement at this price, why hesitate?</v>
      </c>
    </row>
    <row r="7591">
      <c r="A7591" s="1">
        <v>5.0</v>
      </c>
      <c r="B7591" s="1" t="s">
        <v>7479</v>
      </c>
      <c r="C7591" t="str">
        <f>IFERROR(__xludf.DUMMYFUNCTION("GOOGLETRANSLATE(B7591, ""fr"", ""en"")"),"Perfect I play 39 and 4 to 5 hours of intensive sport (basketball) per week. These socks are very good, good size, good performance, pleasant to skin contact. The material is a little thick, but does not sweat. Great deal")</f>
        <v>Perfect I play 39 and 4 to 5 hours of intensive sport (basketball) per week. These socks are very good, good size, good performance, pleasant to skin contact. The material is a little thick, but does not sweat. Great deal</v>
      </c>
    </row>
    <row r="7592">
      <c r="A7592" s="1">
        <v>5.0</v>
      </c>
      <c r="B7592" s="1" t="s">
        <v>7480</v>
      </c>
      <c r="C7592" t="str">
        <f>IFERROR(__xludf.DUMMYFUNCTION("GOOGLETRANSLATE(B7592, ""fr"", ""en"")"),"Solid Very well made! Beautiful leather finishes are really good. It is very convenient, a good bag.")</f>
        <v>Solid Very well made! Beautiful leather finishes are really good. It is very convenient, a good bag.</v>
      </c>
    </row>
    <row r="7593">
      <c r="A7593" s="1">
        <v>5.0</v>
      </c>
      <c r="B7593" s="1" t="s">
        <v>7481</v>
      </c>
      <c r="C7593" t="str">
        <f>IFERROR(__xludf.DUMMYFUNCTION("GOOGLETRANSLATE(B7593, ""fr"", ""en"")"),"The ""&amp; nbsp; true &amp; nbsp;"" smell of paper armenie! Very satisfied with my purchase")</f>
        <v>The "&amp; nbsp; true &amp; nbsp;" smell of paper armenie! Very satisfied with my purchase</v>
      </c>
    </row>
    <row r="7594">
      <c r="A7594" s="1">
        <v>5.0</v>
      </c>
      <c r="B7594" s="1" t="s">
        <v>7482</v>
      </c>
      <c r="C7594" t="str">
        <f>IFERROR(__xludf.DUMMYFUNCTION("GOOGLETRANSLATE(B7594, ""fr"", ""en"")"),"This parfair broom vacuum cleaner has a beautiful appearance. It's red. Vacuum cleaners are easy to use. Use it now to clean the floor. Very clean, very aspiring, very quiet. There are also several alternative models that can be used in cars and suction b"&amp;"eds. My son can also help. I am very satisfied with these purchases.")</f>
        <v>This parfair broom vacuum cleaner has a beautiful appearance. It's red. Vacuum cleaners are easy to use. Use it now to clean the floor. Very clean, very aspiring, very quiet. There are also several alternative models that can be used in cars and suction beds. My son can also help. I am very satisfied with these purchases.</v>
      </c>
    </row>
    <row r="7595">
      <c r="A7595" s="1">
        <v>5.0</v>
      </c>
      <c r="B7595" s="1" t="s">
        <v>7483</v>
      </c>
      <c r="C7595" t="str">
        <f>IFERROR(__xludf.DUMMYFUNCTION("GOOGLETRANSLATE(B7595, ""fr"", ""en"")"),"Excellent high quality reliable product quality for a teenager Resistance exceptionally requirements Used for daily impeccable Remains Very well that happiness 😊")</f>
        <v>Excellent high quality reliable product quality for a teenager Resistance exceptionally requirements Used for daily impeccable Remains Very well that happiness 😊</v>
      </c>
    </row>
    <row r="7596">
      <c r="A7596" s="1">
        <v>5.0</v>
      </c>
      <c r="B7596" s="1" t="s">
        <v>7484</v>
      </c>
      <c r="C7596" t="str">
        <f>IFERROR(__xludf.DUMMYFUNCTION("GOOGLETRANSLATE(B7596, ""fr"", ""en"")"),"very beautiful material consistent with the description. Perfect for sports and avoids sweating")</f>
        <v>very beautiful material consistent with the description. Perfect for sports and avoids sweating</v>
      </c>
    </row>
    <row r="7597">
      <c r="A7597" s="1">
        <v>5.0</v>
      </c>
      <c r="B7597" s="1" t="s">
        <v>7485</v>
      </c>
      <c r="C7597" t="str">
        <f>IFERROR(__xludf.DUMMYFUNCTION("GOOGLETRANSLATE(B7597, ""fr"", ""en"")"),"Super Good Quality")</f>
        <v>Super Good Quality</v>
      </c>
    </row>
    <row r="7598">
      <c r="A7598" s="1">
        <v>5.0</v>
      </c>
      <c r="B7598" s="1" t="s">
        <v>7486</v>
      </c>
      <c r="C7598" t="str">
        <f>IFERROR(__xludf.DUMMYFUNCTION("GOOGLETRANSLATE(B7598, ""fr"", ""en"")"),"Not disappointed That was the only tea without negative opinion. I am not disappointed. Nice element in my kitchen and robust appearance. Easy to use.")</f>
        <v>Not disappointed That was the only tea without negative opinion. I am not disappointed. Nice element in my kitchen and robust appearance. Easy to use.</v>
      </c>
    </row>
    <row r="7599">
      <c r="A7599" s="1">
        <v>5.0</v>
      </c>
      <c r="B7599" s="1" t="s">
        <v>7487</v>
      </c>
      <c r="C7599" t="str">
        <f>IFERROR(__xludf.DUMMYFUNCTION("GOOGLETRANSLATE(B7599, ""fr"", ""en"")"),"Teat bottle Product consistent with the description!")</f>
        <v>Teat bottle Product consistent with the description!</v>
      </c>
    </row>
    <row r="7600">
      <c r="A7600" s="1">
        <v>5.0</v>
      </c>
      <c r="B7600" s="1" t="s">
        <v>7488</v>
      </c>
      <c r="C7600" t="str">
        <f>IFERROR(__xludf.DUMMYFUNCTION("GOOGLETRANSLATE(B7600, ""fr"", ""en"")"),"effective this work light LED is very efficient. It is small, about 10x10cm, but is as effective as a work light type heavyweight. it is made of die-cast aluminum with a black epoxy treatment. the plate containing the diodes is in turn embedded between th"&amp;"e shell and the cast plastic pane which is glued inside the same shell for sealing. product to have high quality in appearance. That said you will find exactly the same fire in Scania for only 49 € so to speak. I recommend this product. product obtained b"&amp;"y reduction in exchange for an impartial comment")</f>
        <v>effective this work light LED is very efficient. It is small, about 10x10cm, but is as effective as a work light type heavyweight. it is made of die-cast aluminum with a black epoxy treatment. the plate containing the diodes is in turn embedded between the shell and the cast plastic pane which is glued inside the same shell for sealing. product to have high quality in appearance. That said you will find exactly the same fire in Scania for only 49 € so to speak. I recommend this product. product obtained by reduction in exchange for an impartial comment</v>
      </c>
    </row>
    <row r="7601">
      <c r="A7601" s="1">
        <v>5.0</v>
      </c>
      <c r="B7601" s="1" t="s">
        <v>7489</v>
      </c>
      <c r="C7601" t="str">
        <f>IFERROR(__xludf.DUMMYFUNCTION("GOOGLETRANSLATE(B7601, ""fr"", ""en"")"),"Value, Excellent Aesthetics Robustness and strap replacement of the original model. Very good safety clasp. Superior comfort and excellent value for money.")</f>
        <v>Value, Excellent Aesthetics Robustness and strap replacement of the original model. Very good safety clasp. Superior comfort and excellent value for money.</v>
      </c>
    </row>
    <row r="7602">
      <c r="A7602" s="1">
        <v>5.0</v>
      </c>
      <c r="B7602" s="1" t="s">
        <v>7490</v>
      </c>
      <c r="C7602" t="str">
        <f>IFERROR(__xludf.DUMMYFUNCTION("GOOGLETRANSLATE(B7602, ""fr"", ""en"")"),"Super Super quality I recommend. Cup very well getting stuck even on thick or thin fabrics")</f>
        <v>Super Super quality I recommend. Cup very well getting stuck even on thick or thin fabrics</v>
      </c>
    </row>
    <row r="7603">
      <c r="A7603" s="1">
        <v>2.0</v>
      </c>
      <c r="B7603" s="1" t="s">
        <v>7491</v>
      </c>
      <c r="C7603" t="str">
        <f>IFERROR(__xludf.DUMMYFUNCTION("GOOGLETRANSLATE(B7603, ""fr"", ""en"")"),"Machine 5mn breath tested, repackaged and sent back for a refund. Big gain (too well) but the wind up with. Not quite directive, too we hear the sound of the room. At this price, this is disappointing.")</f>
        <v>Machine 5mn breath tested, repackaged and sent back for a refund. Big gain (too well) but the wind up with. Not quite directive, too we hear the sound of the room. At this price, this is disappointing.</v>
      </c>
    </row>
    <row r="7604">
      <c r="A7604" s="1">
        <v>1.0</v>
      </c>
      <c r="B7604" s="1" t="s">
        <v>7492</v>
      </c>
      <c r="C7604" t="str">
        <f>IFERROR(__xludf.DUMMYFUNCTION("GOOGLETRANSLATE(B7604, ""fr"", ""en"")"),"To avoid absolutely! Shoes very lourdes.Grincent each pas.N'ont of ""Air"" as compared to real name sneakers Nike.La insole tore down a painful heure.Talons in half a day despite purchase of inappropriate confort.Tailles soles, even in one fleet with comp"&amp;"ensatory soles. Commissioned Jan. 14 .... received on 23 with 3 day late. Flee, there is still time to cancel this commande.A avoid at all costs.")</f>
        <v>To avoid absolutely! Shoes very lourdes.Grincent each pas.N'ont of "Air" as compared to real name sneakers Nike.La insole tore down a painful heure.Talons in half a day despite purchase of inappropriate confort.Tailles soles, even in one fleet with compensatory soles. Commissioned Jan. 14 .... received on 23 with 3 day late. Flee, there is still time to cancel this commande.A avoid at all costs.</v>
      </c>
    </row>
    <row r="7605">
      <c r="A7605" s="1">
        <v>1.0</v>
      </c>
      <c r="B7605" s="1" t="s">
        <v>7493</v>
      </c>
      <c r="C7605" t="str">
        <f>IFERROR(__xludf.DUMMYFUNCTION("GOOGLETRANSLATE(B7605, ""fr"", ""en"")"),"Vacuum ? No power. useless")</f>
        <v>Vacuum ? No power. useless</v>
      </c>
    </row>
    <row r="7606">
      <c r="A7606" s="1">
        <v>3.0</v>
      </c>
      <c r="B7606" s="1" t="s">
        <v>7494</v>
      </c>
      <c r="C7606" t="str">
        <f>IFERROR(__xludf.DUMMYFUNCTION("GOOGLETRANSLATE(B7606, ""fr"", ""en"")"),"Practice and holds perfectly but more limited range than expected Bought for sport, I ended up returning. No problem to use straight 3-4 hours but it is far from 10-11am announced. The sound is good, the outfit is perfect even for a workout, no problem it"&amp;" does not move. The thread between the two headphones keeps them around your neck when you want to temporarily remove it before hand but in the end it is sometimes annoying, they slide from one side or the other even on the ears so it pulls in the neck an"&amp;"d during exercises in the classroom, for example, we find ourselves having to regularly replace, be it more comfortable. Overall good product but the long battery life was for me a necessity and therefore does not keep its promises, damages.")</f>
        <v>Practice and holds perfectly but more limited range than expected Bought for sport, I ended up returning. No problem to use straight 3-4 hours but it is far from 10-11am announced. The sound is good, the outfit is perfect even for a workout, no problem it does not move. The thread between the two headphones keeps them around your neck when you want to temporarily remove it before hand but in the end it is sometimes annoying, they slide from one side or the other even on the ears so it pulls in the neck and during exercises in the classroom, for example, we find ourselves having to regularly replace, be it more comfortable. Overall good product but the long battery life was for me a necessity and therefore does not keep its promises, damages.</v>
      </c>
    </row>
    <row r="7607">
      <c r="A7607" s="1">
        <v>3.0</v>
      </c>
      <c r="B7607" s="1" t="s">
        <v>7495</v>
      </c>
      <c r="C7607" t="str">
        <f>IFERROR(__xludf.DUMMYFUNCTION("GOOGLETRANSLATE(B7607, ""fr"", ""en"")"),"Do not suit me Quality is at the appointment for this small massage cushion. Nice finish and sturdy. As against the heat is so light it does not feel. Ear tested lying and not appreciate as much too hard.")</f>
        <v>Do not suit me Quality is at the appointment for this small massage cushion. Nice finish and sturdy. As against the heat is so light it does not feel. Ear tested lying and not appreciate as much too hard.</v>
      </c>
    </row>
    <row r="7608">
      <c r="A7608" s="1">
        <v>4.0</v>
      </c>
      <c r="B7608" s="1" t="s">
        <v>7496</v>
      </c>
      <c r="C7608" t="str">
        <f>IFERROR(__xludf.DUMMYFUNCTION("GOOGLETRANSLATE(B7608, ""fr"", ""en"")"),"Satisfied Very comfortable to wear Price a bit high but nice product")</f>
        <v>Satisfied Very comfortable to wear Price a bit high but nice product</v>
      </c>
    </row>
    <row r="7609">
      <c r="A7609" s="1">
        <v>4.0</v>
      </c>
      <c r="B7609" s="1" t="s">
        <v>7497</v>
      </c>
      <c r="C7609" t="str">
        <f>IFERROR(__xludf.DUMMYFUNCTION("GOOGLETRANSLATE(B7609, ""fr"", ""en"")"),"match my criteria that pairs of shoes are really nice! Indeed, they are not safety boots but basketball. takes good foot shape.")</f>
        <v>match my criteria that pairs of shoes are really nice! Indeed, they are not safety boots but basketball. takes good foot shape.</v>
      </c>
    </row>
    <row r="7610">
      <c r="A7610" s="1">
        <v>4.0</v>
      </c>
      <c r="B7610" s="1" t="s">
        <v>7498</v>
      </c>
      <c r="C7610" t="str">
        <f>IFERROR(__xludf.DUMMYFUNCTION("GOOGLETRANSLATE(B7610, ""fr"", ""en"")"),"Support micro This is exactly what my daughter wanted as a Christmas gift!")</f>
        <v>Support micro This is exactly what my daughter wanted as a Christmas gift!</v>
      </c>
    </row>
    <row r="7611">
      <c r="A7611" s="1">
        <v>4.0</v>
      </c>
      <c r="B7611" s="1" t="s">
        <v>7499</v>
      </c>
      <c r="C7611" t="str">
        <f>IFERROR(__xludf.DUMMYFUNCTION("GOOGLETRANSLATE(B7611, ""fr"", ""en"")"),"Plug and play Works")</f>
        <v>Plug and play Works</v>
      </c>
    </row>
    <row r="7612">
      <c r="A7612" s="1">
        <v>4.0</v>
      </c>
      <c r="B7612" s="1" t="s">
        <v>7500</v>
      </c>
      <c r="C7612" t="str">
        <f>IFERROR(__xludf.DUMMYFUNCTION("GOOGLETRANSLATE(B7612, ""fr"", ""en"")"),"Good quality / price prune properly, take your usual size. I put 4 stars because I do not know if the tasks correctly depart on these shoes.")</f>
        <v>Good quality / price prune properly, take your usual size. I put 4 stars because I do not know if the tasks correctly depart on these shoes.</v>
      </c>
    </row>
    <row r="7613">
      <c r="A7613" s="1">
        <v>5.0</v>
      </c>
      <c r="B7613" s="1" t="s">
        <v>7501</v>
      </c>
      <c r="C7613" t="str">
        <f>IFERROR(__xludf.DUMMYFUNCTION("GOOGLETRANSLATE(B7613, ""fr"", ""en"")"),"J'adoooore Great buy! I love this coffee! Quality is at the appointment melant glass and plastic: have a kettle glass is much better! She immediately effect with its bright feature everyone wants the same! I was afraid to see a bottom with a metal rod whi"&amp;"ch is not great but not esthetic: a plate of metal surrounded by light to finish it's great. normal noise for a kettle. Easy to maintain, easy to use with graduation on glass, design, what more? Thank you !")</f>
        <v>J'adoooore Great buy! I love this coffee! Quality is at the appointment melant glass and plastic: have a kettle glass is much better! She immediately effect with its bright feature everyone wants the same! I was afraid to see a bottom with a metal rod which is not great but not esthetic: a plate of metal surrounded by light to finish it's great. normal noise for a kettle. Easy to maintain, easy to use with graduation on glass, design, what more? Thank you !</v>
      </c>
    </row>
    <row r="7614">
      <c r="A7614" s="1">
        <v>5.0</v>
      </c>
      <c r="B7614" s="1" t="s">
        <v>7502</v>
      </c>
      <c r="C7614" t="str">
        <f>IFERROR(__xludf.DUMMYFUNCTION("GOOGLETRANSLATE(B7614, ""fr"", ""en"")"),"The product is actually pretty consistent with the description, sent in the small box, good packaging. I bought this for my friend as a gift. It's pretty!")</f>
        <v>The product is actually pretty consistent with the description, sent in the small box, good packaging. I bought this for my friend as a gift. It's pretty!</v>
      </c>
    </row>
    <row r="7615">
      <c r="A7615" s="1">
        <v>5.0</v>
      </c>
      <c r="B7615" s="1" t="s">
        <v>7503</v>
      </c>
      <c r="C7615" t="str">
        <f>IFERROR(__xludf.DUMMYFUNCTION("GOOGLETRANSLATE(B7615, ""fr"", ""en"")"),"Perfect Beautiful elastic material but not too comfortable enough at the size appropriate size I am happy with this purchase.")</f>
        <v>Perfect Beautiful elastic material but not too comfortable enough at the size appropriate size I am happy with this purchase.</v>
      </c>
    </row>
    <row r="7616">
      <c r="A7616" s="1">
        <v>5.0</v>
      </c>
      <c r="B7616" s="1" t="s">
        <v>7504</v>
      </c>
      <c r="C7616" t="str">
        <f>IFERROR(__xludf.DUMMYFUNCTION("GOOGLETRANSLATE(B7616, ""fr"", ""en"")"),"I like the look it has only been used a few times, but the effect is very good. Easily connect to Apple devices. Very similar to the expensive stolen. Easy to use. Unfortunately, my ears are small. The hands work great. The delivery takes time. Easy to co"&amp;"nnect The sound quality is good. The last battery was more than what I expected.")</f>
        <v>I like the look it has only been used a few times, but the effect is very good. Easily connect to Apple devices. Very similar to the expensive stolen. Easy to use. Unfortunately, my ears are small. The hands work great. The delivery takes time. Easy to connect The sound quality is good. The last battery was more than what I expected.</v>
      </c>
    </row>
    <row r="7617">
      <c r="A7617" s="1">
        <v>5.0</v>
      </c>
      <c r="B7617" s="1" t="s">
        <v>7505</v>
      </c>
      <c r="C7617" t="str">
        <f>IFERROR(__xludf.DUMMYFUNCTION("GOOGLETRANSLATE(B7617, ""fr"", ""en"")"),"This colorful set of two boxes of pens is interesting for children. In, fact, felts have a good grip, a rather large tip that glides well and beautiful was support, the tip does not sink. Side color, the range of choice is great and the colors are bright,"&amp;" which is notable for leachable felts. The real plus, in fact, this product is its ability to go to the water (in any case, even without detaching the blow of untimely felt the shirt was gone to the machine at 30 °) it is a product suitable for children a"&amp;"nd enjoyable for the parents!")</f>
        <v>This colorful set of two boxes of pens is interesting for children. In, fact, felts have a good grip, a rather large tip that glides well and beautiful was support, the tip does not sink. Side color, the range of choice is great and the colors are bright, which is notable for leachable felts. The real plus, in fact, this product is its ability to go to the water (in any case, even without detaching the blow of untimely felt the shirt was gone to the machine at 30 °) it is a product suitable for children and enjoyable for the parents!</v>
      </c>
    </row>
    <row r="7618">
      <c r="A7618" s="1">
        <v>5.0</v>
      </c>
      <c r="B7618" s="1" t="s">
        <v>7506</v>
      </c>
      <c r="C7618" t="str">
        <f>IFERROR(__xludf.DUMMYFUNCTION("GOOGLETRANSLATE(B7618, ""fr"", ""en"")"),"PAT 89 BEAUTIFUL WATCH PRECISE")</f>
        <v>PAT 89 BEAUTIFUL WATCH PRECISE</v>
      </c>
    </row>
    <row r="7619">
      <c r="A7619" s="1">
        <v>5.0</v>
      </c>
      <c r="B7619" s="1" t="s">
        <v>7507</v>
      </c>
      <c r="C7619" t="str">
        <f>IFERROR(__xludf.DUMMYFUNCTION("GOOGLETRANSLATE(B7619, ""fr"", ""en"")"),"Perfect We get a very good result with electric polisher. We also use it for manual maintenance ... delighted with this acquisition.")</f>
        <v>Perfect We get a very good result with electric polisher. We also use it for manual maintenance ... delighted with this acquisition.</v>
      </c>
    </row>
    <row r="7620">
      <c r="A7620" s="1">
        <v>5.0</v>
      </c>
      <c r="B7620" s="1" t="s">
        <v>7508</v>
      </c>
      <c r="C7620" t="str">
        <f>IFERROR(__xludf.DUMMYFUNCTION("GOOGLETRANSLATE(B7620, ""fr"", ""en"")"),"received very quickly - very quickly received consistent - consistent")</f>
        <v>received very quickly - very quickly received consistent - consistent</v>
      </c>
    </row>
    <row r="7621">
      <c r="A7621" s="1">
        <v>5.0</v>
      </c>
      <c r="B7621" s="1" t="s">
        <v>7509</v>
      </c>
      <c r="C7621" t="str">
        <f>IFERROR(__xludf.DUMMYFUNCTION("GOOGLETRANSLATE(B7621, ""fr"", ""en"")"),"great purchase. Used for running. Seem heavy in hand, but very light on his feet. Very comfortable and stylish. Small height, excellent cushioning. Take your usual size.")</f>
        <v>great purchase. Used for running. Seem heavy in hand, but very light on his feet. Very comfortable and stylish. Small height, excellent cushioning. Take your usual size.</v>
      </c>
    </row>
    <row r="7622">
      <c r="A7622" s="1">
        <v>5.0</v>
      </c>
      <c r="B7622" s="1" t="s">
        <v>7510</v>
      </c>
      <c r="C7622" t="str">
        <f>IFERROR(__xludf.DUMMYFUNCTION("GOOGLETRANSLATE(B7622, ""fr"", ""en"")"),"Very Good Good product, good value for money and super comfort and opaque! I just love it! I hesitate to recommend me")</f>
        <v>Very Good Good product, good value for money and super comfort and opaque! I just love it! I hesitate to recommend me</v>
      </c>
    </row>
    <row r="7623">
      <c r="A7623" s="1">
        <v>5.0</v>
      </c>
      <c r="B7623" s="1" t="s">
        <v>7511</v>
      </c>
      <c r="C7623" t="str">
        <f>IFERROR(__xludf.DUMMYFUNCTION("GOOGLETRANSLATE(B7623, ""fr"", ""en"")"),"Owl and convenient Great! Quality at the rendezvous, well designed, very convenient with multiple storage pockets. .Do not hesitate Treaty tight I highly recommend it.")</f>
        <v>Owl and convenient Great! Quality at the rendezvous, well designed, very convenient with multiple storage pockets. .Do not hesitate Treaty tight I highly recommend it.</v>
      </c>
    </row>
    <row r="7624">
      <c r="A7624" s="1">
        <v>5.0</v>
      </c>
      <c r="B7624" s="1" t="s">
        <v>7512</v>
      </c>
      <c r="C7624" t="str">
        <f>IFERROR(__xludf.DUMMYFUNCTION("GOOGLETRANSLATE(B7624, ""fr"", ""en"")"),"Sweat Bolf product according.")</f>
        <v>Sweat Bolf product according.</v>
      </c>
    </row>
    <row r="7625">
      <c r="A7625" s="1">
        <v>5.0</v>
      </c>
      <c r="B7625" s="1" t="s">
        <v>7513</v>
      </c>
      <c r="C7625" t="str">
        <f>IFERROR(__xludf.DUMMYFUNCTION("GOOGLETRANSLATE(B7625, ""fr"", ""en"")"),"great dish great but the little brush stands and must be glued to the cup! pity !! otherwise it is the only brush I like!")</f>
        <v>great dish great but the little brush stands and must be glued to the cup! pity !! otherwise it is the only brush I like!</v>
      </c>
    </row>
    <row r="7626">
      <c r="A7626" s="1">
        <v>5.0</v>
      </c>
      <c r="B7626" s="1" t="s">
        <v>7514</v>
      </c>
      <c r="C7626" t="str">
        <f>IFERROR(__xludf.DUMMYFUNCTION("GOOGLETRANSLATE(B7626, ""fr"", ""en"")"),"Kettle Electric &lt;div id = ""video-block-R1IUAZ6S9K8ASA"" class = ""a-section-spacing-small in-spacing-top mini video-block""&gt; &lt;/ div&gt; &lt;input type = ""hidden"" name = "" ""value ="" https://images-eu.ssl-images-amazon.com/images/I/A1GtYKpBUjS.mp4 ""class ="&amp;""" video-url ""&gt; &lt;input type ="" hidden ""name ="" ""value ="" https://images-eu.ssl-images-amazon.com/images/I/91XQzO2eSeS.png ""class ="" video-slate-img-url ""&gt; &amp; nbsp; Kettle received in perfect condition and fully consistent with the descriptions. Th"&amp;"is glass kettle is easy to use and works great. Aesthetically, functional and reliable, which has a large capacity of one liter 700. The water heats quickly and I appreciate the fact that it is transparent unlike other opaque kettles. I will hope it lasts"&amp;" over time. Hopefully you have been ""&amp; nbsp; useful &amp; nbsp;"" with my comment.")</f>
        <v>Kettle Electric &lt;div id = "video-block-R1IUAZ6S9K8ASA" class = "a-section-spacing-small in-spacing-top mini video-block"&gt; &lt;/ div&gt; &lt;input type = "hidden" name = " "value =" https://images-eu.ssl-images-amazon.com/images/I/A1GtYKpBUjS.mp4 "class =" video-url "&gt; &lt;input type =" hidden "name =" "value =" https://images-eu.ssl-images-amazon.com/images/I/91XQzO2eSeS.png "class =" video-slate-img-url "&gt; &amp; nbsp; Kettle received in perfect condition and fully consistent with the descriptions. This glass kettle is easy to use and works great. Aesthetically, functional and reliable, which has a large capacity of one liter 700. The water heats quickly and I appreciate the fact that it is transparent unlike other opaque kettles. I will hope it lasts over time. Hopefully you have been "&amp; nbsp; useful &amp; nbsp;" with my comment.</v>
      </c>
    </row>
    <row r="7627">
      <c r="A7627" s="1">
        <v>5.0</v>
      </c>
      <c r="B7627" s="1" t="s">
        <v>7515</v>
      </c>
      <c r="C7627" t="str">
        <f>IFERROR(__xludf.DUMMYFUNCTION("GOOGLETRANSLATE(B7627, ""fr"", ""en"")"),"Excellent longuettes wipes soaked in cleaning solution and textured to clean the toughest stains and even the tissues !! ideal individual laundry format always carry !!")</f>
        <v>Excellent longuettes wipes soaked in cleaning solution and textured to clean the toughest stains and even the tissues !! ideal individual laundry format always carry !!</v>
      </c>
    </row>
    <row r="7628">
      <c r="A7628" s="1">
        <v>2.0</v>
      </c>
      <c r="B7628" s="1" t="s">
        <v>7516</v>
      </c>
      <c r="C7628" t="str">
        <f>IFERROR(__xludf.DUMMYFUNCTION("GOOGLETRANSLATE(B7628, ""fr"", ""en"")"),"Wears too fast Good quality, but as always with Hewlett-Packard, the cartridge empties wind speed, XL or not. Consumables are expensive, it's annoying, I should remember every time I opted for HP")</f>
        <v>Wears too fast Good quality, but as always with Hewlett-Packard, the cartridge empties wind speed, XL or not. Consumables are expensive, it's annoying, I should remember every time I opted for HP</v>
      </c>
    </row>
    <row r="7629">
      <c r="A7629" s="1">
        <v>1.0</v>
      </c>
      <c r="B7629" s="1" t="s">
        <v>7517</v>
      </c>
      <c r="C7629" t="str">
        <f>IFERROR(__xludf.DUMMYFUNCTION("GOOGLETRANSLATE(B7629, ""fr"", ""en"")"),"poor quality product too complicated for the return address not recognized by the mail I have kept the article !!!")</f>
        <v>poor quality product too complicated for the return address not recognized by the mail I have kept the article !!!</v>
      </c>
    </row>
    <row r="7630">
      <c r="A7630" s="1">
        <v>1.0</v>
      </c>
      <c r="B7630" s="1" t="s">
        <v>7518</v>
      </c>
      <c r="C7630" t="str">
        <f>IFERROR(__xludf.DUMMYFUNCTION("GOOGLETRANSLATE(B7630, ""fr"", ""en"")"),"The poor quality of the boot was torn after only one week of use. Quality deplorable and unacceptable considering the price of the shoe.")</f>
        <v>The poor quality of the boot was torn after only one week of use. Quality deplorable and unacceptable considering the price of the shoe.</v>
      </c>
    </row>
    <row r="7631">
      <c r="A7631" s="1">
        <v>3.0</v>
      </c>
      <c r="B7631" s="1" t="s">
        <v>7519</v>
      </c>
      <c r="C7631" t="str">
        <f>IFERROR(__xludf.DUMMYFUNCTION("GOOGLETRANSLATE(B7631, ""fr"", ""en"")"),"Comfort is not the appointment regarding me disappointed size small. I had read it then as I do the 36/37 I took 37, but it's right. I thought the 38 would be too great ... but ultimately foot Spikes tight. Buttress very hard. Not very comfortable in the "&amp;"end. Beautiful color against: old rose.")</f>
        <v>Comfort is not the appointment regarding me disappointed size small. I had read it then as I do the 36/37 I took 37, but it's right. I thought the 38 would be too great ... but ultimately foot Spikes tight. Buttress very hard. Not very comfortable in the end. Beautiful color against: old rose.</v>
      </c>
    </row>
    <row r="7632">
      <c r="A7632" s="1">
        <v>3.0</v>
      </c>
      <c r="B7632" s="1" t="s">
        <v>7520</v>
      </c>
      <c r="C7632" t="str">
        <f>IFERROR(__xludf.DUMMYFUNCTION("GOOGLETRANSLATE(B7632, ""fr"", ""en"")"),"Could be better A slight foot articulated shortly be a bit much for a micro filter with Bird anti pop, loud must be tightened on the joints so that everything does not fall. Too light for my taste")</f>
        <v>Could be better A slight foot articulated shortly be a bit much for a micro filter with Bird anti pop, loud must be tightened on the joints so that everything does not fall. Too light for my taste</v>
      </c>
    </row>
    <row r="7633">
      <c r="A7633" s="1">
        <v>4.0</v>
      </c>
      <c r="B7633" s="1" t="s">
        <v>7521</v>
      </c>
      <c r="C7633" t="str">
        <f>IFERROR(__xludf.DUMMYFUNCTION("GOOGLETRANSLATE(B7633, ""fr"", ""en"")"),"Salomon Trail man xa pro 3d gtx A bit heavy but perfect for the trail with a good balance amorti.tres especially in rocky descents and tricky")</f>
        <v>Salomon Trail man xa pro 3d gtx A bit heavy but perfect for the trail with a good balance amorti.tres especially in rocky descents and tricky</v>
      </c>
    </row>
    <row r="7634">
      <c r="A7634" s="1">
        <v>4.0</v>
      </c>
      <c r="B7634" s="1" t="s">
        <v>7522</v>
      </c>
      <c r="C7634" t="str">
        <f>IFERROR(__xludf.DUMMYFUNCTION("GOOGLETRANSLATE(B7634, ""fr"", ""en"")"),"I really like ! Good choice for those warm and comfortable shoes. Although not suitable for rain, they are perfect when it's cold and dry. Do not forget to waterproof them to preserve this beautiful gray color that coordinates perfectly with my fleece. Ve"&amp;"ry happy with my purchase")</f>
        <v>I really like ! Good choice for those warm and comfortable shoes. Although not suitable for rain, they are perfect when it's cold and dry. Do not forget to waterproof them to preserve this beautiful gray color that coordinates perfectly with my fleece. Very happy with my purchase</v>
      </c>
    </row>
    <row r="7635">
      <c r="A7635" s="1">
        <v>4.0</v>
      </c>
      <c r="B7635" s="1" t="s">
        <v>7523</v>
      </c>
      <c r="C7635" t="str">
        <f>IFERROR(__xludf.DUMMYFUNCTION("GOOGLETRANSLATE(B7635, ""fr"", ""en"")"),"Of Pretty Bracelet")</f>
        <v>Of Pretty Bracelet</v>
      </c>
    </row>
    <row r="7636">
      <c r="A7636" s="1">
        <v>4.0</v>
      </c>
      <c r="B7636" s="1" t="s">
        <v>369</v>
      </c>
      <c r="C7636" t="str">
        <f>IFERROR(__xludf.DUMMYFUNCTION("GOOGLETRANSLATE(B7636, ""fr"", ""en"")"),"Good product Good product")</f>
        <v>Good product Good product</v>
      </c>
    </row>
    <row r="7637">
      <c r="A7637" s="1">
        <v>5.0</v>
      </c>
      <c r="B7637" s="1" t="s">
        <v>7524</v>
      </c>
      <c r="C7637" t="str">
        <f>IFERROR(__xludf.DUMMYFUNCTION("GOOGLETRANSLATE(B7637, ""fr"", ""en"")"),"Compliant product. Good sheets. I wanted to improve a little my impressions, it's done. Not much to say ...")</f>
        <v>Compliant product. Good sheets. I wanted to improve a little my impressions, it's done. Not much to say ...</v>
      </c>
    </row>
    <row r="7638">
      <c r="A7638" s="1">
        <v>5.0</v>
      </c>
      <c r="B7638" s="1" t="s">
        <v>7525</v>
      </c>
      <c r="C7638" t="str">
        <f>IFERROR(__xludf.DUMMYFUNCTION("GOOGLETRANSLATE(B7638, ""fr"", ""en"")"),"Very good product and fast delivery product for what was planned. I have tested 3 times in hot weather. It is quite tight and provides good compression")</f>
        <v>Very good product and fast delivery product for what was planned. I have tested 3 times in hot weather. It is quite tight and provides good compression</v>
      </c>
    </row>
    <row r="7639">
      <c r="A7639" s="1">
        <v>5.0</v>
      </c>
      <c r="B7639" s="1" t="s">
        <v>7526</v>
      </c>
      <c r="C7639" t="str">
        <f>IFERROR(__xludf.DUMMYFUNCTION("GOOGLETRANSLATE(B7639, ""fr"", ""en"")"),"Always on top ! I order every year this batch of two pens that I love! The price is right. The smooth writing according to the paper. I just love it !")</f>
        <v>Always on top ! I order every year this batch of two pens that I love! The price is right. The smooth writing according to the paper. I just love it !</v>
      </c>
    </row>
    <row r="7640">
      <c r="A7640" s="1">
        <v>5.0</v>
      </c>
      <c r="B7640" s="1" t="s">
        <v>7527</v>
      </c>
      <c r="C7640" t="str">
        <f>IFERROR(__xludf.DUMMYFUNCTION("GOOGLETRANSLATE(B7640, ""fr"", ""en"")"),"Pants sports and output As I said in the title, this pant is well suited for sports or to go out or go to a formal occasion, I like the style and color, almost involves all styles sneakers, I highly recommend it.")</f>
        <v>Pants sports and output As I said in the title, this pant is well suited for sports or to go out or go to a formal occasion, I like the style and color, almost involves all styles sneakers, I highly recommend it.</v>
      </c>
    </row>
    <row r="7641">
      <c r="A7641" s="1">
        <v>5.0</v>
      </c>
      <c r="B7641" s="1" t="s">
        <v>7528</v>
      </c>
      <c r="C7641" t="str">
        <f>IFERROR(__xludf.DUMMYFUNCTION("GOOGLETRANSLATE(B7641, ""fr"", ""en"")"),"Very pretty solid shoulder bag, free with Father's Day. Eastpak the strength and quality feel. And then there are the 30 year warranty!")</f>
        <v>Very pretty solid shoulder bag, free with Father's Day. Eastpak the strength and quality feel. And then there are the 30 year warranty!</v>
      </c>
    </row>
    <row r="7642">
      <c r="A7642" s="1">
        <v>5.0</v>
      </c>
      <c r="B7642" s="1" t="s">
        <v>7529</v>
      </c>
      <c r="C7642" t="str">
        <f>IFERROR(__xludf.DUMMYFUNCTION("GOOGLETRANSLATE(B7642, ""fr"", ""en"")"),"Human breast Bag Excellent product, consistent with the picture and quality. Very convenient to wear and does not hinder the movements!")</f>
        <v>Human breast Bag Excellent product, consistent with the picture and quality. Very convenient to wear and does not hinder the movements!</v>
      </c>
    </row>
    <row r="7643">
      <c r="A7643" s="1">
        <v>5.0</v>
      </c>
      <c r="B7643" s="1" t="s">
        <v>7530</v>
      </c>
      <c r="C7643" t="str">
        <f>IFERROR(__xludf.DUMMYFUNCTION("GOOGLETRANSLATE(B7643, ""fr"", ""en"")"),"Ok I'm glad occurs entirely sastifer I recommend")</f>
        <v>Ok I'm glad occurs entirely sastifer I recommend</v>
      </c>
    </row>
    <row r="7644">
      <c r="A7644" s="1">
        <v>5.0</v>
      </c>
      <c r="B7644" s="1" t="s">
        <v>7531</v>
      </c>
      <c r="C7644" t="str">
        <f>IFERROR(__xludf.DUMMYFUNCTION("GOOGLETRANSLATE(B7644, ""fr"", ""en"")"),"Excellent Product Very convenient as fully removable for transport. Very easy to clean and compact. Suitable for all brands of bottles. cool colors.")</f>
        <v>Excellent Product Very convenient as fully removable for transport. Very easy to clean and compact. Suitable for all brands of bottles. cool colors.</v>
      </c>
    </row>
    <row r="7645">
      <c r="A7645" s="1">
        <v>5.0</v>
      </c>
      <c r="B7645" s="1" t="s">
        <v>7532</v>
      </c>
      <c r="C7645" t="str">
        <f>IFERROR(__xludf.DUMMYFUNCTION("GOOGLETRANSLATE(B7645, ""fr"", ""en"")"),"Perfect perfect product. I left them more. Good performance of the foot. very comfortable sole. Corresponds to my order. Size matches.")</f>
        <v>Perfect perfect product. I left them more. Good performance of the foot. very comfortable sole. Corresponds to my order. Size matches.</v>
      </c>
    </row>
    <row r="7646">
      <c r="A7646" s="1">
        <v>5.0</v>
      </c>
      <c r="B7646" s="1" t="s">
        <v>7533</v>
      </c>
      <c r="C7646" t="str">
        <f>IFERROR(__xludf.DUMMYFUNCTION("GOOGLETRANSLATE(B7646, ""fr"", ""en"")"),"Pleased with my purchase Feet imposing but very nice.")</f>
        <v>Pleased with my purchase Feet imposing but very nice.</v>
      </c>
    </row>
    <row r="7647">
      <c r="A7647" s="1">
        <v>5.0</v>
      </c>
      <c r="B7647" s="1" t="s">
        <v>7534</v>
      </c>
      <c r="C7647" t="str">
        <f>IFERROR(__xludf.DUMMYFUNCTION("GOOGLETRANSLATE(B7647, ""fr"", ""en"")"),"RODE NT USB good Supert Produce the first had broken but it's good")</f>
        <v>RODE NT USB good Supert Produce the first had broken but it's good</v>
      </c>
    </row>
    <row r="7648">
      <c r="A7648" s="1">
        <v>5.0</v>
      </c>
      <c r="B7648" s="1" t="s">
        <v>7535</v>
      </c>
      <c r="C7648" t="str">
        <f>IFERROR(__xludf.DUMMYFUNCTION("GOOGLETRANSLATE(B7648, ""fr"", ""en"")"),"Good value good product at a good price")</f>
        <v>Good value good product at a good price</v>
      </c>
    </row>
    <row r="7649">
      <c r="A7649" s="1">
        <v>5.0</v>
      </c>
      <c r="B7649" s="1" t="s">
        <v>7536</v>
      </c>
      <c r="C7649" t="str">
        <f>IFERROR(__xludf.DUMMYFUNCTION("GOOGLETRANSLATE(B7649, ""fr"", ""en"")"),"first bottle Fast delivery and adapted. Size adapted to the first feedings. Look and ergonomics nice. Cleaning super easy. System effective anti colic. The plus self sterilization.")</f>
        <v>first bottle Fast delivery and adapted. Size adapted to the first feedings. Look and ergonomics nice. Cleaning super easy. System effective anti colic. The plus self sterilization.</v>
      </c>
    </row>
    <row r="7650">
      <c r="A7650" s="1">
        <v>5.0</v>
      </c>
      <c r="B7650" s="1" t="s">
        <v>7537</v>
      </c>
      <c r="C7650" t="str">
        <f>IFERROR(__xludf.DUMMYFUNCTION("GOOGLETRANSLATE(B7650, ""fr"", ""en"")"),"Buy Very nice for christmas, fast delivery. I tested it before, the same as Nature and D. The heat is nice, and bearings as well. In addition they change automatically. What relax!")</f>
        <v>Buy Very nice for christmas, fast delivery. I tested it before, the same as Nature and D. The heat is nice, and bearings as well. In addition they change automatically. What relax!</v>
      </c>
    </row>
    <row r="7651">
      <c r="A7651" s="1">
        <v>5.0</v>
      </c>
      <c r="B7651" s="1" t="s">
        <v>7538</v>
      </c>
      <c r="C7651" t="str">
        <f>IFERROR(__xludf.DUMMYFUNCTION("GOOGLETRANSLATE(B7651, ""fr"", ""en"")"),"I love this sweater is really great! The size is best and it is soft and warm :) I took in gray and the color is the same as the picture! Small flat, the sleeves are too long but it's not embarrassing!")</f>
        <v>I love this sweater is really great! The size is best and it is soft and warm :) I took in gray and the color is the same as the picture! Small flat, the sleeves are too long but it's not embarrassing!</v>
      </c>
    </row>
    <row r="7652">
      <c r="A7652" s="1">
        <v>5.0</v>
      </c>
      <c r="B7652" s="1" t="s">
        <v>7539</v>
      </c>
      <c r="C7652" t="str">
        <f>IFERROR(__xludf.DUMMYFUNCTION("GOOGLETRANSLATE(B7652, ""fr"", ""en"")"),"nice arrived in good condition, nice and original!")</f>
        <v>nice arrived in good condition, nice and original!</v>
      </c>
    </row>
    <row r="7653">
      <c r="A7653" s="1">
        <v>2.0</v>
      </c>
      <c r="B7653" s="1" t="s">
        <v>7540</v>
      </c>
      <c r="C7653" t="str">
        <f>IFERROR(__xludf.DUMMYFUNCTION("GOOGLETRANSLATE(B7653, ""fr"", ""en"")"),"Gone is the sound HD600 and HD650, alas! I had a HD 600 in the 2000s but has aged badly. Recently acquired an HD 598SE, I could listen to music without disturbing my new home. Wanting to try the wireless in the brand I reading comments and essays on the N"&amp;"et try their luck with a wireless of the same brand. What a desappointment ! After the first few minutes of euphoria related to novelty. I quickly became disillusioned. They have no ears at Sennheiser? The bass is prominent and hides the voice. A test wit"&amp;"h my wired headset HD589Se shows better curve. Is this related to the closed helmet? Still, the lower midrange is hidden and night really a qualitative listening. Also between each track recorded my CD (XLD bit software perfect for Mac) and integrated wit"&amp;"h iTunes in AIFF and sent to the iPhone, I have a beep between each track !!! Beep does not exist when I go to my wired headset. Decidedly internet tests are really sloppy. I refer the product")</f>
        <v>Gone is the sound HD600 and HD650, alas! I had a HD 600 in the 2000s but has aged badly. Recently acquired an HD 598SE, I could listen to music without disturbing my new home. Wanting to try the wireless in the brand I reading comments and essays on the Net try their luck with a wireless of the same brand. What a desappointment ! After the first few minutes of euphoria related to novelty. I quickly became disillusioned. They have no ears at Sennheiser? The bass is prominent and hides the voice. A test with my wired headset HD589Se shows better curve. Is this related to the closed helmet? Still, the lower midrange is hidden and night really a qualitative listening. Also between each track recorded my CD (XLD bit software perfect for Mac) and integrated with iTunes in AIFF and sent to the iPhone, I have a beep between each track !!! Beep does not exist when I go to my wired headset. Decidedly internet tests are really sloppy. I refer the product</v>
      </c>
    </row>
    <row r="7654">
      <c r="A7654" s="1">
        <v>1.0</v>
      </c>
      <c r="B7654" s="1" t="s">
        <v>7541</v>
      </c>
      <c r="C7654" t="str">
        <f>IFERROR(__xludf.DUMMYFUNCTION("GOOGLETRANSLATE(B7654, ""fr"", ""en"")"),"Leaking After two months of use, water leaks from the water level window. My kitchen is flooded with boiling water. This is very dangerous for children or pets. To run the warranty, Tefal sends a list of approved repairers. I have to contact and move me t"&amp;"o repair the product which is in my opinion irreparable. Tefal is certainly aware that there is the problem with this tea because there are other reviews and pictures that show the detached window. Instead of replacing the product as would many other bran"&amp;"ds, Tefal wants me to lose time. Never Tefal in my house.")</f>
        <v>Leaking After two months of use, water leaks from the water level window. My kitchen is flooded with boiling water. This is very dangerous for children or pets. To run the warranty, Tefal sends a list of approved repairers. I have to contact and move me to repair the product which is in my opinion irreparable. Tefal is certainly aware that there is the problem with this tea because there are other reviews and pictures that show the detached window. Instead of replacing the product as would many other brands, Tefal wants me to lose time. Never Tefal in my house.</v>
      </c>
    </row>
    <row r="7655">
      <c r="A7655" s="1">
        <v>1.0</v>
      </c>
      <c r="B7655" s="1" t="s">
        <v>7542</v>
      </c>
      <c r="C7655" t="str">
        <f>IFERROR(__xludf.DUMMYFUNCTION("GOOGLETRANSLATE(B7655, ""fr"", ""en"")"),"there is no cotton !!! I ordered the band because they were sold for cotton lie they are acrylic !!! not great summer !!")</f>
        <v>there is no cotton !!! I ordered the band because they were sold for cotton lie they are acrylic !!! not great summer !!</v>
      </c>
    </row>
    <row r="7656">
      <c r="A7656" s="1">
        <v>3.0</v>
      </c>
      <c r="B7656" s="1" t="s">
        <v>7543</v>
      </c>
      <c r="C7656" t="str">
        <f>IFERROR(__xludf.DUMMYFUNCTION("GOOGLETRANSLATE(B7656, ""fr"", ""en"")"),"insect not convinced of the effectiveness to repel moths, for example. pleasant odor")</f>
        <v>insect not convinced of the effectiveness to repel moths, for example. pleasant odor</v>
      </c>
    </row>
    <row r="7657">
      <c r="A7657" s="1">
        <v>4.0</v>
      </c>
      <c r="B7657" s="1" t="s">
        <v>7544</v>
      </c>
      <c r="C7657" t="str">
        <f>IFERROR(__xludf.DUMMYFUNCTION("GOOGLETRANSLATE(B7657, ""fr"", ""en"")"),"Low rise is well sweat in the pants, that's what I wanted. Too bad he has a low rise because the shirt sweating it leaves a small day.")</f>
        <v>Low rise is well sweat in the pants, that's what I wanted. Too bad he has a low rise because the shirt sweating it leaves a small day.</v>
      </c>
    </row>
    <row r="7658">
      <c r="A7658" s="1">
        <v>4.0</v>
      </c>
      <c r="B7658" s="1" t="s">
        <v>7545</v>
      </c>
      <c r="C7658" t="str">
        <f>IFERROR(__xludf.DUMMYFUNCTION("GOOGLETRANSLATE(B7658, ""fr"", ""en"")"),"Earpiece Samsung I do not know the longevity but good sound")</f>
        <v>Earpiece Samsung I do not know the longevity but good sound</v>
      </c>
    </row>
    <row r="7659">
      <c r="A7659" s="1">
        <v>4.0</v>
      </c>
      <c r="B7659" s="1" t="s">
        <v>7546</v>
      </c>
      <c r="C7659" t="str">
        <f>IFERROR(__xludf.DUMMYFUNCTION("GOOGLETRANSLATE(B7659, ""fr"", ""en"")"),"Good maintenance Take 2 sizes bigger. Otherwise very comfortable")</f>
        <v>Good maintenance Take 2 sizes bigger. Otherwise very comfortable</v>
      </c>
    </row>
    <row r="7660">
      <c r="A7660" s="1">
        <v>4.0</v>
      </c>
      <c r="B7660" s="1" t="s">
        <v>7547</v>
      </c>
      <c r="C7660" t="str">
        <f>IFERROR(__xludf.DUMMYFUNCTION("GOOGLETRANSLATE(B7660, ""fr"", ""en"")"),"bjr fully satisfied satisfaction of my purchases, I do not miss to come back and recommend to my friends vs. good to you")</f>
        <v>bjr fully satisfied satisfaction of my purchases, I do not miss to come back and recommend to my friends vs. good to you</v>
      </c>
    </row>
    <row r="7661">
      <c r="A7661" s="1">
        <v>5.0</v>
      </c>
      <c r="B7661" s="1" t="s">
        <v>7548</v>
      </c>
      <c r="C7661" t="str">
        <f>IFERROR(__xludf.DUMMYFUNCTION("GOOGLETRANSLATE(B7661, ""fr"", ""en"")"),"Top Perfect")</f>
        <v>Top Perfect</v>
      </c>
    </row>
    <row r="7662">
      <c r="A7662" s="1">
        <v>5.0</v>
      </c>
      <c r="B7662" s="1" t="s">
        <v>7549</v>
      </c>
      <c r="C7662" t="str">
        <f>IFERROR(__xludf.DUMMYFUNCTION("GOOGLETRANSLATE(B7662, ""fr"", ""en"")"),"Although perfect for my 9 year old girl learning to tell time with the needles whistling but it prefers a digital watch")</f>
        <v>Although perfect for my 9 year old girl learning to tell time with the needles whistling but it prefers a digital watch</v>
      </c>
    </row>
    <row r="7663">
      <c r="A7663" s="1">
        <v>5.0</v>
      </c>
      <c r="B7663" s="1" t="s">
        <v>7550</v>
      </c>
      <c r="C7663" t="str">
        <f>IFERROR(__xludf.DUMMYFUNCTION("GOOGLETRANSLATE(B7663, ""fr"", ""en"")"),"Super grip and lightweight Very very good walking shoes used the summer. Very good breathing and excellent grip on any terrain. Good performance of the ankle for low shoes. Look Extra happening everywhere")</f>
        <v>Super grip and lightweight Very very good walking shoes used the summer. Very good breathing and excellent grip on any terrain. Good performance of the ankle for low shoes. Look Extra happening everywhere</v>
      </c>
    </row>
    <row r="7664">
      <c r="A7664" s="1">
        <v>5.0</v>
      </c>
      <c r="B7664" s="1" t="s">
        <v>7551</v>
      </c>
      <c r="C7664" t="str">
        <f>IFERROR(__xludf.DUMMYFUNCTION("GOOGLETRANSLATE(B7664, ""fr"", ""en"")"),"fast and consistent order received quickly and in line with my expectations. Quality / Price articles satisfying, remains to be seen if the quality of items held over time.")</f>
        <v>fast and consistent order received quickly and in line with my expectations. Quality / Price articles satisfying, remains to be seen if the quality of items held over time.</v>
      </c>
    </row>
    <row r="7665">
      <c r="A7665" s="1">
        <v>5.0</v>
      </c>
      <c r="B7665" s="1" t="s">
        <v>7552</v>
      </c>
      <c r="C7665" t="str">
        <f>IFERROR(__xludf.DUMMYFUNCTION("GOOGLETRANSLATE(B7665, ""fr"", ""en"")"),"Top Quality Comes in a zippered pouch identical to photos or even better. This brand is a great discovery!")</f>
        <v>Top Quality Comes in a zippered pouch identical to photos or even better. This brand is a great discovery!</v>
      </c>
    </row>
    <row r="7666">
      <c r="A7666" s="1">
        <v>5.0</v>
      </c>
      <c r="B7666" s="1" t="s">
        <v>7553</v>
      </c>
      <c r="C7666" t="str">
        <f>IFERROR(__xludf.DUMMYFUNCTION("GOOGLETRANSLATE(B7666, ""fr"", ""en"")"),"The bensimons satisfied are great for summer and mid-season, as they are in the store Bensimon. Same package and same quality!")</f>
        <v>The bensimons satisfied are great for summer and mid-season, as they are in the store Bensimon. Same package and same quality!</v>
      </c>
    </row>
    <row r="7667">
      <c r="A7667" s="1">
        <v>5.0</v>
      </c>
      <c r="B7667" s="1" t="s">
        <v>7554</v>
      </c>
      <c r="C7667" t="str">
        <f>IFERROR(__xludf.DUMMYFUNCTION("GOOGLETRANSLATE(B7667, ""fr"", ""en"")"),"Very good quality product super satisfied very happy thank you")</f>
        <v>Very good quality product super satisfied very happy thank you</v>
      </c>
    </row>
    <row r="7668">
      <c r="A7668" s="1">
        <v>5.0</v>
      </c>
      <c r="B7668" s="1" t="s">
        <v>7555</v>
      </c>
      <c r="C7668" t="str">
        <f>IFERROR(__xludf.DUMMYFUNCTION("GOOGLETRANSLATE(B7668, ""fr"", ""en"")"),"Satisfied slippers for guests. Ideally suited for this purpose. Satisfied and product delivery.")</f>
        <v>Satisfied slippers for guests. Ideally suited for this purpose. Satisfied and product delivery.</v>
      </c>
    </row>
    <row r="7669">
      <c r="A7669" s="1">
        <v>5.0</v>
      </c>
      <c r="B7669" s="1" t="s">
        <v>7556</v>
      </c>
      <c r="C7669" t="str">
        <f>IFERROR(__xludf.DUMMYFUNCTION("GOOGLETRANSLATE(B7669, ""fr"", ""en"")"),"The top casio sports the top of the top of Casio !!! And express delivery !! THANKS .. the most useful features !! And easy to use !!")</f>
        <v>The top casio sports the top of the top of Casio !!! And express delivery !! THANKS .. the most useful features !! And easy to use !!</v>
      </c>
    </row>
    <row r="7670">
      <c r="A7670" s="1">
        <v>5.0</v>
      </c>
      <c r="B7670" s="1" t="s">
        <v>7557</v>
      </c>
      <c r="C7670" t="str">
        <f>IFERROR(__xludf.DUMMYFUNCTION("GOOGLETRANSLATE(B7670, ""fr"", ""en"")"),"Very good shoes for hiking on the flat These hiking boots are lightweight and are perfect for hiking on the flat, walking into town. The shoes are simple to use as town shoes. For hiking with altitude, it is better to take semi-ascending or ankle boots. T"&amp;"he laces are easily undone if one makes a simple knot, we must make a double knot and it's perfect.")</f>
        <v>Very good shoes for hiking on the flat These hiking boots are lightweight and are perfect for hiking on the flat, walking into town. The shoes are simple to use as town shoes. For hiking with altitude, it is better to take semi-ascending or ankle boots. The laces are easily undone if one makes a simple knot, we must make a double knot and it's perfect.</v>
      </c>
    </row>
    <row r="7671">
      <c r="A7671" s="1">
        <v>5.0</v>
      </c>
      <c r="B7671" s="1" t="s">
        <v>7558</v>
      </c>
      <c r="C7671" t="str">
        <f>IFERROR(__xludf.DUMMYFUNCTION("GOOGLETRANSLATE(B7671, ""fr"", ""en"")"),"That the product must conform to the announcement Beautiful bracelet .... there is no plastic ..... beautiful ... Too bad the manual is in English for chakras ...")</f>
        <v>That the product must conform to the announcement Beautiful bracelet .... there is no plastic ..... beautiful ... Too bad the manual is in English for chakras ...</v>
      </c>
    </row>
    <row r="7672">
      <c r="A7672" s="1">
        <v>5.0</v>
      </c>
      <c r="B7672" s="1" t="s">
        <v>7559</v>
      </c>
      <c r="C7672" t="str">
        <f>IFERROR(__xludf.DUMMYFUNCTION("GOOGLETRANSLATE(B7672, ""fr"", ""en"")"),"Basketball Very good size, comfortable I adore")</f>
        <v>Basketball Very good size, comfortable I adore</v>
      </c>
    </row>
    <row r="7673">
      <c r="A7673" s="1">
        <v>5.0</v>
      </c>
      <c r="B7673" s="1" t="s">
        <v>7560</v>
      </c>
      <c r="C7673" t="str">
        <f>IFERROR(__xludf.DUMMYFUNCTION("GOOGLETRANSLATE(B7673, ""fr"", ""en"")"),"Okay Our daughter takes her best bib but with slightly thickened milk ....")</f>
        <v>Okay Our daughter takes her best bib but with slightly thickened milk ....</v>
      </c>
    </row>
    <row r="7674">
      <c r="A7674" s="1">
        <v>5.0</v>
      </c>
      <c r="B7674" s="1" t="s">
        <v>7561</v>
      </c>
      <c r="C7674" t="str">
        <f>IFERROR(__xludf.DUMMYFUNCTION("GOOGLETRANSLATE(B7674, ""fr"", ""en"")"),"Very good value A very good quality, I am very satisfied with my purchase. It was a very good deal ^^")</f>
        <v>Very good value A very good quality, I am very satisfied with my purchase. It was a very good deal ^^</v>
      </c>
    </row>
    <row r="7675">
      <c r="A7675" s="1">
        <v>5.0</v>
      </c>
      <c r="B7675" s="1" t="s">
        <v>7562</v>
      </c>
      <c r="C7675" t="str">
        <f>IFERROR(__xludf.DUMMYFUNCTION("GOOGLETRANSLATE(B7675, ""fr"", ""en"")"),"Very happy with my purchase happy with my order. Delivery fast enough. Soft material and good quality. Adjustable straps, delivered with the frames apart. I recommend this product")</f>
        <v>Very happy with my purchase happy with my order. Delivery fast enough. Soft material and good quality. Adjustable straps, delivered with the frames apart. I recommend this product</v>
      </c>
    </row>
    <row r="7676">
      <c r="A7676" s="1">
        <v>2.0</v>
      </c>
      <c r="B7676" s="1" t="s">
        <v>7563</v>
      </c>
      <c r="C7676" t="str">
        <f>IFERROR(__xludf.DUMMYFUNCTION("GOOGLETRANSLATE(B7676, ""fr"", ""en"")"),"Different colors very disappointing picture. It was ugly. I made it. Unwearable. It's a big disappointment. No bright color. Very dull and lackluster")</f>
        <v>Different colors very disappointing picture. It was ugly. I made it. Unwearable. It's a big disappointment. No bright color. Very dull and lackluster</v>
      </c>
    </row>
    <row r="7677">
      <c r="A7677" s="1">
        <v>1.0</v>
      </c>
      <c r="B7677" s="1" t="s">
        <v>7564</v>
      </c>
      <c r="C7677" t="str">
        <f>IFERROR(__xludf.DUMMYFUNCTION("GOOGLETRANSLATE(B7677, ""fr"", ""en"")"),"Product broken on arrival Arriving broken")</f>
        <v>Product broken on arrival Arriving broken</v>
      </c>
    </row>
    <row r="7678">
      <c r="A7678" s="1">
        <v>3.0</v>
      </c>
      <c r="B7678" s="1" t="s">
        <v>7565</v>
      </c>
      <c r="C7678" t="str">
        <f>IFERROR(__xludf.DUMMYFUNCTION("GOOGLETRANSLATE(B7678, ""fr"", ""en"")"),"Kettle This is more than a kettle of tea. The bubbly infused tea but after a moment. The block in which the tea is not flustered and puts it is not easy to clean")</f>
        <v>Kettle This is more than a kettle of tea. The bubbly infused tea but after a moment. The block in which the tea is not flustered and puts it is not easy to clean</v>
      </c>
    </row>
    <row r="7679">
      <c r="A7679" s="1">
        <v>3.0</v>
      </c>
      <c r="B7679" s="1" t="s">
        <v>7566</v>
      </c>
      <c r="C7679" t="str">
        <f>IFERROR(__xludf.DUMMYFUNCTION("GOOGLETRANSLATE(B7679, ""fr"", ""en"")"),"Good Good practice")</f>
        <v>Good Good practice</v>
      </c>
    </row>
    <row r="7680">
      <c r="A7680" s="1">
        <v>4.0</v>
      </c>
      <c r="B7680" s="1" t="s">
        <v>7567</v>
      </c>
      <c r="C7680" t="str">
        <f>IFERROR(__xludf.DUMMYFUNCTION("GOOGLETRANSLATE(B7680, ""fr"", ""en"")"),"Genial AWESOME !!!! I used the milk to the rear of my son and it works better that a blender !!! Very simple to use Disadvantage: break if you wet white base ... And in the kitchen it poses some problems ... But even if I have a broken, I bought the same "&amp;"for what it is really useful,")</f>
        <v>Genial AWESOME !!!! I used the milk to the rear of my son and it works better that a blender !!! Very simple to use Disadvantage: break if you wet white base ... And in the kitchen it poses some problems ... But even if I have a broken, I bought the same for what it is really useful,</v>
      </c>
    </row>
    <row r="7681">
      <c r="A7681" s="1">
        <v>4.0</v>
      </c>
      <c r="B7681" s="1" t="s">
        <v>7568</v>
      </c>
      <c r="C7681" t="str">
        <f>IFERROR(__xludf.DUMMYFUNCTION("GOOGLETRANSLATE(B7681, ""fr"", ""en"")"),"Sleeves too short too short, soft and warm")</f>
        <v>Sleeves too short too short, soft and warm</v>
      </c>
    </row>
    <row r="7682">
      <c r="A7682" s="1">
        <v>4.0</v>
      </c>
      <c r="B7682" s="1" t="s">
        <v>7569</v>
      </c>
      <c r="C7682" t="str">
        <f>IFERROR(__xludf.DUMMYFUNCTION("GOOGLETRANSLATE(B7682, ""fr"", ""en"")"),"Maintenance Product conforms to the announcement")</f>
        <v>Maintenance Product conforms to the announcement</v>
      </c>
    </row>
    <row r="7683">
      <c r="A7683" s="1">
        <v>4.0</v>
      </c>
      <c r="B7683" s="1" t="s">
        <v>7570</v>
      </c>
      <c r="C7683" t="str">
        <f>IFERROR(__xludf.DUMMYFUNCTION("GOOGLETRANSLATE(B7683, ""fr"", ""en"")"),"Good buy despite the negative reviews. I read the reviews and I hesitated because many buyers have had a negative opinion. The package arrived quickly, packaged very well and is consistent and identical to the Samsung product given with the phone ... and "&amp;"much cheaper than on the official website.")</f>
        <v>Good buy despite the negative reviews. I read the reviews and I hesitated because many buyers have had a negative opinion. The package arrived quickly, packaged very well and is consistent and identical to the Samsung product given with the phone ... and much cheaper than on the official website.</v>
      </c>
    </row>
    <row r="7684">
      <c r="A7684" s="1">
        <v>5.0</v>
      </c>
      <c r="B7684" s="1" t="s">
        <v>7571</v>
      </c>
      <c r="C7684" t="str">
        <f>IFERROR(__xludf.DUMMYFUNCTION("GOOGLETRANSLATE(B7684, ""fr"", ""en"")"),"No surprise! Provided to know the 511, no surprise at cutting, size, color and material consistent with other 511 brand already in my possession. To avoid unpleasant surprises, it is essential to have tried different models of this brand before purchase.")</f>
        <v>No surprise! Provided to know the 511, no surprise at cutting, size, color and material consistent with other 511 brand already in my possession. To avoid unpleasant surprises, it is essential to have tried different models of this brand before purchase.</v>
      </c>
    </row>
    <row r="7685">
      <c r="A7685" s="1">
        <v>5.0</v>
      </c>
      <c r="B7685" s="1" t="s">
        <v>7572</v>
      </c>
      <c r="C7685" t="str">
        <f>IFERROR(__xludf.DUMMYFUNCTION("GOOGLETRANSLATE(B7685, ""fr"", ""en"")"),"Is what we expected Easy to use, fast delivery, nothing to say.")</f>
        <v>Is what we expected Easy to use, fast delivery, nothing to say.</v>
      </c>
    </row>
    <row r="7686">
      <c r="A7686" s="1">
        <v>5.0</v>
      </c>
      <c r="B7686" s="1" t="s">
        <v>7573</v>
      </c>
      <c r="C7686" t="str">
        <f>IFERROR(__xludf.DUMMYFUNCTION("GOOGLETRANSLATE(B7686, ""fr"", ""en"")"),"Second pair of earphone This is my second pair of bluetooth headset, the former are of a different brand but unfortunately I have lost. I find those at the top another in almost all areas. What is ca sound is great Pairing is even simpler and especially c"&amp;"omfortable! The other was bigger, this is really great!")</f>
        <v>Second pair of earphone This is my second pair of bluetooth headset, the former are of a different brand but unfortunately I have lost. I find those at the top another in almost all areas. What is ca sound is great Pairing is even simpler and especially comfortable! The other was bigger, this is really great!</v>
      </c>
    </row>
    <row r="7687">
      <c r="A7687" s="1">
        <v>5.0</v>
      </c>
      <c r="B7687" s="1" t="s">
        <v>7574</v>
      </c>
      <c r="C7687" t="str">
        <f>IFERROR(__xludf.DUMMYFUNCTION("GOOGLETRANSLATE(B7687, ""fr"", ""en"")"),"Superb Very good coffee. Very nice design. Small flat for the price but my old kettle was a Russell Hobbs and I kept it for over 10 years so it's an investment that pays off in time")</f>
        <v>Superb Very good coffee. Very nice design. Small flat for the price but my old kettle was a Russell Hobbs and I kept it for over 10 years so it's an investment that pays off in time</v>
      </c>
    </row>
    <row r="7688">
      <c r="A7688" s="1">
        <v>5.0</v>
      </c>
      <c r="B7688" s="1" t="s">
        <v>7575</v>
      </c>
      <c r="C7688" t="str">
        <f>IFERROR(__xludf.DUMMYFUNCTION("GOOGLETRANSLATE(B7688, ""fr"", ""en"")"),"super man bag Very good product capacity solidegrande my husband the adopted")</f>
        <v>super man bag Very good product capacity solidegrande my husband the adopted</v>
      </c>
    </row>
    <row r="7689">
      <c r="A7689" s="1">
        <v>5.0</v>
      </c>
      <c r="B7689" s="1" t="s">
        <v>7576</v>
      </c>
      <c r="C7689" t="str">
        <f>IFERROR(__xludf.DUMMYFUNCTION("GOOGLETRANSLATE(B7689, ""fr"", ""en"")"),"No more cold feet !! Comfortable and durable heat, very easy to use. 1 min 30 in the microwave and finish frozen feet !! Feeling of walking on sand.")</f>
        <v>No more cold feet !! Comfortable and durable heat, very easy to use. 1 min 30 in the microwave and finish frozen feet !! Feeling of walking on sand.</v>
      </c>
    </row>
    <row r="7690">
      <c r="A7690" s="1">
        <v>5.0</v>
      </c>
      <c r="B7690" s="1" t="s">
        <v>1261</v>
      </c>
      <c r="C7690" t="str">
        <f>IFERROR(__xludf.DUMMYFUNCTION("GOOGLETRANSLATE(B7690, ""fr"", ""en"")"),"good good")</f>
        <v>good good</v>
      </c>
    </row>
    <row r="7691">
      <c r="A7691" s="1">
        <v>5.0</v>
      </c>
      <c r="B7691" s="1" t="s">
        <v>7577</v>
      </c>
      <c r="C7691" t="str">
        <f>IFERROR(__xludf.DUMMYFUNCTION("GOOGLETRANSLATE(B7691, ""fr"", ""en"")"),"Perfect Very good very comfortable basketball cleans very well so I recommend")</f>
        <v>Perfect Very good very comfortable basketball cleans very well so I recommend</v>
      </c>
    </row>
    <row r="7692">
      <c r="A7692" s="1">
        <v>5.0</v>
      </c>
      <c r="B7692" s="1" t="s">
        <v>7578</v>
      </c>
      <c r="C7692" t="str">
        <f>IFERROR(__xludf.DUMMYFUNCTION("GOOGLETRANSLATE(B7692, ""fr"", ""en"")"),"Great product Very easy to use and grip, I write this comment using them. charging stand that can recharge them anywhere anytime convenient. Log almost immediately on Xiaomi, Samsung and Huawei. Small flat on lack of detailed instructions, be it in Englis"&amp;"h. In short, for a purchase made it two weeks ago, very good investment")</f>
        <v>Great product Very easy to use and grip, I write this comment using them. charging stand that can recharge them anywhere anytime convenient. Log almost immediately on Xiaomi, Samsung and Huawei. Small flat on lack of detailed instructions, be it in English. In short, for a purchase made it two weeks ago, very good investment</v>
      </c>
    </row>
    <row r="7693">
      <c r="A7693" s="1">
        <v>5.0</v>
      </c>
      <c r="B7693" s="1" t="s">
        <v>7579</v>
      </c>
      <c r="C7693" t="str">
        <f>IFERROR(__xludf.DUMMYFUNCTION("GOOGLETRANSLATE(B7693, ""fr"", ""en"")"),"Great product great product!")</f>
        <v>Great product great product!</v>
      </c>
    </row>
    <row r="7694">
      <c r="A7694" s="1">
        <v>5.0</v>
      </c>
      <c r="B7694" s="1" t="s">
        <v>7580</v>
      </c>
      <c r="C7694" t="str">
        <f>IFERROR(__xludf.DUMMYFUNCTION("GOOGLETRANSLATE(B7694, ""fr"", ""en"")"),"Good experience Bouillotte arrived the day after the order. Cover soft, but can be removed. More color to white / blue ice as gray. Grand gouleau for easy pouring water. Perfect.")</f>
        <v>Good experience Bouillotte arrived the day after the order. Cover soft, but can be removed. More color to white / blue ice as gray. Grand gouleau for easy pouring water. Perfect.</v>
      </c>
    </row>
    <row r="7695">
      <c r="A7695" s="1">
        <v>5.0</v>
      </c>
      <c r="B7695" s="1" t="s">
        <v>7581</v>
      </c>
      <c r="C7695" t="str">
        <f>IFERROR(__xludf.DUMMYFUNCTION("GOOGLETRANSLATE(B7695, ""fr"", ""en"")"),"Pretty nice and comfortable color. The usual size suitable. The shoes are authentic. I am satisfied with the product. No problem with this purchase. I will continue to buy it.")</f>
        <v>Pretty nice and comfortable color. The usual size suitable. The shoes are authentic. I am satisfied with the product. No problem with this purchase. I will continue to buy it.</v>
      </c>
    </row>
    <row r="7696">
      <c r="A7696" s="1">
        <v>5.0</v>
      </c>
      <c r="B7696" s="1" t="s">
        <v>7582</v>
      </c>
      <c r="C7696" t="str">
        <f>IFERROR(__xludf.DUMMYFUNCTION("GOOGLETRANSLATE(B7696, ""fr"", ""en"")"),"Super small bag Everything is in the title, well designed with clever zipped pockets and a neat finish.")</f>
        <v>Super small bag Everything is in the title, well designed with clever zipped pockets and a neat finish.</v>
      </c>
    </row>
    <row r="7697">
      <c r="A7697" s="1">
        <v>5.0</v>
      </c>
      <c r="B7697" s="1" t="s">
        <v>7583</v>
      </c>
      <c r="C7697" t="str">
        <f>IFERROR(__xludf.DUMMYFUNCTION("GOOGLETRANSLATE(B7697, ""fr"", ""en"")"),"100% satisfied Beautiful, elegant navy blue, very comfortable")</f>
        <v>100% satisfied Beautiful, elegant navy blue, very comfortable</v>
      </c>
    </row>
    <row r="7698">
      <c r="A7698" s="1">
        <v>5.0</v>
      </c>
      <c r="B7698" s="1" t="s">
        <v>7584</v>
      </c>
      <c r="C7698" t="str">
        <f>IFERROR(__xludf.DUMMYFUNCTION("GOOGLETRANSLATE(B7698, ""fr"", ""en"")"),"Beauty To make a gift")</f>
        <v>Beauty To make a gift</v>
      </c>
    </row>
    <row r="7699">
      <c r="A7699" s="1">
        <v>2.0</v>
      </c>
      <c r="B7699" s="1" t="s">
        <v>7585</v>
      </c>
      <c r="C7699" t="str">
        <f>IFERROR(__xludf.DUMMYFUNCTION("GOOGLETRANSLATE(B7699, ""fr"", ""en"")"),"Synthetic! A little disappointed by these sneakers ... I wore a full day for ""them"" ... to end up with swollen feet, too tight, and the realization that these plastics are definitely not synonymous with well- to be.")</f>
        <v>Synthetic! A little disappointed by these sneakers ... I wore a full day for "them" ... to end up with swollen feet, too tight, and the realization that these plastics are definitely not synonymous with well- to be.</v>
      </c>
    </row>
    <row r="7700">
      <c r="A7700" s="1">
        <v>1.0</v>
      </c>
      <c r="B7700" s="1" t="s">
        <v>7586</v>
      </c>
      <c r="C7700" t="str">
        <f>IFERROR(__xludf.DUMMYFUNCTION("GOOGLETRANSLATE(B7700, ""fr"", ""en"")"),"price bulky device for work requested not easy to handle daily No great performance considering its size")</f>
        <v>price bulky device for work requested not easy to handle daily No great performance considering its size</v>
      </c>
    </row>
    <row r="7701">
      <c r="A7701" s="1">
        <v>1.0</v>
      </c>
      <c r="B7701" s="1" t="s">
        <v>7587</v>
      </c>
      <c r="C7701" t="str">
        <f>IFERROR(__xludf.DUMMYFUNCTION("GOOGLETRANSLATE(B7701, ""fr"", ""en"")"),"Size really too big too .. really disappointed I can use ps. Buy pr nothing is really damage !!")</f>
        <v>Size really too big too .. really disappointed I can use ps. Buy pr nothing is really damage !!</v>
      </c>
    </row>
    <row r="7702">
      <c r="A7702" s="1">
        <v>3.0</v>
      </c>
      <c r="B7702" s="1" t="s">
        <v>7588</v>
      </c>
      <c r="C7702" t="str">
        <f>IFERROR(__xludf.DUMMYFUNCTION("GOOGLETRANSLATE(B7702, ""fr"", ""en"")"),"kickers kick collar Very nice shoe, the only concern is the most important ...... it is too small! Forced to make a return and recommend the same size again. Point possitif, Amazon is still very responsive to trade.")</f>
        <v>kickers kick collar Very nice shoe, the only concern is the most important ...... it is too small! Forced to make a return and recommend the same size again. Point possitif, Amazon is still very responsive to trade.</v>
      </c>
    </row>
    <row r="7703">
      <c r="A7703" s="1">
        <v>3.0</v>
      </c>
      <c r="B7703" s="1" t="s">
        <v>7589</v>
      </c>
      <c r="C7703" t="str">
        <f>IFERROR(__xludf.DUMMYFUNCTION("GOOGLETRANSLATE(B7703, ""fr"", ""en"")"),"pretty shoe size too large to take a pair below where my return amazon pity that the times were so long about 3semaines")</f>
        <v>pretty shoe size too large to take a pair below where my return amazon pity that the times were so long about 3semaines</v>
      </c>
    </row>
    <row r="7704">
      <c r="A7704" s="1">
        <v>4.0</v>
      </c>
      <c r="B7704" s="1" t="s">
        <v>7590</v>
      </c>
      <c r="C7704" t="str">
        <f>IFERROR(__xludf.DUMMYFUNCTION("GOOGLETRANSLATE(B7704, ""fr"", ""en"")"),"Article sufficient share its low price for running. These headphones are used when running. Just for sport. Could have better grip to run. Very suitable for indoor sports.")</f>
        <v>Article sufficient share its low price for running. These headphones are used when running. Just for sport. Could have better grip to run. Very suitable for indoor sports.</v>
      </c>
    </row>
    <row r="7705">
      <c r="A7705" s="1">
        <v>4.0</v>
      </c>
      <c r="B7705" s="1" t="s">
        <v>7591</v>
      </c>
      <c r="C7705" t="str">
        <f>IFERROR(__xludf.DUMMYFUNCTION("GOOGLETRANSLATE(B7705, ""fr"", ""en"")"),"Nice sneakers in Wedge canvas sneakers canvas Sympas these heels! Warning wear socks pure protect the ankles, they hurt a bit otherwise! Convenient for maintenance, they can be machine.")</f>
        <v>Nice sneakers in Wedge canvas sneakers canvas Sympas these heels! Warning wear socks pure protect the ankles, they hurt a bit otherwise! Convenient for maintenance, they can be machine.</v>
      </c>
    </row>
    <row r="7706">
      <c r="A7706" s="1">
        <v>4.0</v>
      </c>
      <c r="B7706" s="1" t="s">
        <v>7592</v>
      </c>
      <c r="C7706" t="str">
        <f>IFERROR(__xludf.DUMMYFUNCTION("GOOGLETRANSLATE(B7706, ""fr"", ""en"")"),"perfect size walking qotidienne")</f>
        <v>perfect size walking qotidienne</v>
      </c>
    </row>
    <row r="7707">
      <c r="A7707" s="1">
        <v>4.0</v>
      </c>
      <c r="B7707" s="1" t="s">
        <v>7593</v>
      </c>
      <c r="C7707" t="str">
        <f>IFERROR(__xludf.DUMMYFUNCTION("GOOGLETRANSLATE(B7707, ""fr"", ""en"")"),"I trzs happy with my purchase because it is very nice there is quite a picture Very nice chain very refined it really is as nice as I was hoping I will have the pleasure to wear thank you")</f>
        <v>I trzs happy with my purchase because it is very nice there is quite a picture Very nice chain very refined it really is as nice as I was hoping I will have the pleasure to wear thank you</v>
      </c>
    </row>
    <row r="7708">
      <c r="A7708" s="1">
        <v>5.0</v>
      </c>
      <c r="B7708" s="1" t="s">
        <v>7594</v>
      </c>
      <c r="C7708" t="str">
        <f>IFERROR(__xludf.DUMMYFUNCTION("GOOGLETRANSLATE(B7708, ""fr"", ""en"")"),"Bracelet Break 1 of 2")</f>
        <v>Bracelet Break 1 of 2</v>
      </c>
    </row>
    <row r="7709">
      <c r="A7709" s="1">
        <v>5.0</v>
      </c>
      <c r="B7709" s="1" t="s">
        <v>7595</v>
      </c>
      <c r="C7709" t="str">
        <f>IFERROR(__xludf.DUMMYFUNCTION("GOOGLETRANSLATE(B7709, ""fr"", ""en"")"),"cool sneakers really good quality invincible super wild and shoes are very soft and comfortable. No pain in operation")</f>
        <v>cool sneakers really good quality invincible super wild and shoes are very soft and comfortable. No pain in operation</v>
      </c>
    </row>
    <row r="7710">
      <c r="A7710" s="1">
        <v>5.0</v>
      </c>
      <c r="B7710" s="1" t="s">
        <v>7596</v>
      </c>
      <c r="C7710" t="str">
        <f>IFERROR(__xludf.DUMMYFUNCTION("GOOGLETRANSLATE(B7710, ""fr"", ""en"")"),"A comfortable and opaque leggings I play 42 pant size. I ordered size L. The legging is impeccable size as indicated. Its fabric is soft so nice and very opaque. His tall clears out the stomach. This legging does not compress me and does not slip. The fir"&amp;"st machine washing at 40º went well. I'm so glad of my purchase.")</f>
        <v>A comfortable and opaque leggings I play 42 pant size. I ordered size L. The legging is impeccable size as indicated. Its fabric is soft so nice and very opaque. His tall clears out the stomach. This legging does not compress me and does not slip. The first machine washing at 40º went well. I'm so glad of my purchase.</v>
      </c>
    </row>
    <row r="7711">
      <c r="A7711" s="1">
        <v>5.0</v>
      </c>
      <c r="B7711" s="1" t="s">
        <v>7597</v>
      </c>
      <c r="C7711" t="str">
        <f>IFERROR(__xludf.DUMMYFUNCTION("GOOGLETRANSLATE(B7711, ""fr"", ""en"")"),"Top as always with Nike. Cap with a beautiful shape. Easy to adjust.")</f>
        <v>Top as always with Nike. Cap with a beautiful shape. Easy to adjust.</v>
      </c>
    </row>
    <row r="7712">
      <c r="A7712" s="1">
        <v>5.0</v>
      </c>
      <c r="B7712" s="1" t="s">
        <v>7598</v>
      </c>
      <c r="C7712" t="str">
        <f>IFERROR(__xludf.DUMMYFUNCTION("GOOGLETRANSLATE(B7712, ""fr"", ""en"")"),"Same as the original quality change cartridge operated during a printing made initially with the original cartridges: no difference to the output. The printer ""rattle"" a bit to install because it detects that it is not original cartridges but once he sa"&amp;"id that it is wished to use these cartridges works")</f>
        <v>Same as the original quality change cartridge operated during a printing made initially with the original cartridges: no difference to the output. The printer "rattle" a bit to install because it detects that it is not original cartridges but once he said that it is wished to use these cartridges works</v>
      </c>
    </row>
    <row r="7713">
      <c r="A7713" s="1">
        <v>5.0</v>
      </c>
      <c r="B7713" s="1" t="s">
        <v>7599</v>
      </c>
      <c r="C7713" t="str">
        <f>IFERROR(__xludf.DUMMYFUNCTION("GOOGLETRANSLATE(B7713, ""fr"", ""en"")"),"stylish shoes light shoes, soft sole and elastic. Solid, low weight and very elegant.")</f>
        <v>stylish shoes light shoes, soft sole and elastic. Solid, low weight and very elegant.</v>
      </c>
    </row>
    <row r="7714">
      <c r="A7714" s="1">
        <v>5.0</v>
      </c>
      <c r="B7714" s="1" t="s">
        <v>7600</v>
      </c>
      <c r="C7714" t="str">
        <f>IFERROR(__xludf.DUMMYFUNCTION("GOOGLETRANSLATE(B7714, ""fr"", ""en"")"),"Very nice watch I bought on Amazon because it was here that I found the best price. Watch not too big and comfortable strap, more gear is visible and the second hand will have a continuous speed (it was not the classic ""Tic Tac"", and that's cool!) ... V"&amp;"ery good price for a automatic watch, even if it is ""old collection"" Fossil. The watch should be worn regularly enough (if it stops after about 48 hours without wrist). Excellent value !")</f>
        <v>Very nice watch I bought on Amazon because it was here that I found the best price. Watch not too big and comfortable strap, more gear is visible and the second hand will have a continuous speed (it was not the classic "Tic Tac", and that's cool!) ... Very good price for a automatic watch, even if it is "old collection" Fossil. The watch should be worn regularly enough (if it stops after about 48 hours without wrist). Excellent value !</v>
      </c>
    </row>
    <row r="7715">
      <c r="A7715" s="1">
        <v>5.0</v>
      </c>
      <c r="B7715" s="1" t="s">
        <v>7601</v>
      </c>
      <c r="C7715" t="str">
        <f>IFERROR(__xludf.DUMMYFUNCTION("GOOGLETRANSLATE(B7715, ""fr"", ""en"")"),"sports socks thin and lightweight socks that produce the expected effect .It say comfortable socks.")</f>
        <v>sports socks thin and lightweight socks that produce the expected effect .It say comfortable socks.</v>
      </c>
    </row>
    <row r="7716">
      <c r="A7716" s="1">
        <v>5.0</v>
      </c>
      <c r="B7716" s="1" t="s">
        <v>7602</v>
      </c>
      <c r="C7716" t="str">
        <f>IFERROR(__xludf.DUMMYFUNCTION("GOOGLETRANSLATE(B7716, ""fr"", ""en"")"),"Super efficient Bought to get baby clothes super efficient")</f>
        <v>Super efficient Bought to get baby clothes super efficient</v>
      </c>
    </row>
    <row r="7717">
      <c r="A7717" s="1">
        <v>5.0</v>
      </c>
      <c r="B7717" s="1" t="s">
        <v>7603</v>
      </c>
      <c r="C7717" t="str">
        <f>IFERROR(__xludf.DUMMYFUNCTION("GOOGLETRANSLATE(B7717, ""fr"", ""en"")"),"Good product good, very good performance, do not dry up quickly and does not bleed. I highly recommend to everyone !!")</f>
        <v>Good product good, very good performance, do not dry up quickly and does not bleed. I highly recommend to everyone !!</v>
      </c>
    </row>
    <row r="7718">
      <c r="A7718" s="1">
        <v>5.0</v>
      </c>
      <c r="B7718" s="1" t="s">
        <v>7604</v>
      </c>
      <c r="C7718" t="str">
        <f>IFERROR(__xludf.DUMMYFUNCTION("GOOGLETRANSLATE(B7718, ""fr"", ""en"")"),"Just as present The jacket is perfectly identical to the description, light and comfortable to wear.")</f>
        <v>Just as present The jacket is perfectly identical to the description, light and comfortable to wear.</v>
      </c>
    </row>
    <row r="7719">
      <c r="A7719" s="1">
        <v>5.0</v>
      </c>
      <c r="B7719" s="1" t="s">
        <v>7605</v>
      </c>
      <c r="C7719" t="str">
        <f>IFERROR(__xludf.DUMMYFUNCTION("GOOGLETRANSLATE(B7719, ""fr"", ""en"")"),"Stunning stylish basketball I find, really friendly, very fashion, going with everyone, jeans etc. Comfortable also, I'll order another peer. Size exactly. Delivered earlier than expected. I recommend.")</f>
        <v>Stunning stylish basketball I find, really friendly, very fashion, going with everyone, jeans etc. Comfortable also, I'll order another peer. Size exactly. Delivered earlier than expected. I recommend.</v>
      </c>
    </row>
    <row r="7720">
      <c r="A7720" s="1">
        <v>5.0</v>
      </c>
      <c r="B7720" s="1" t="s">
        <v>7606</v>
      </c>
      <c r="C7720" t="str">
        <f>IFERROR(__xludf.DUMMYFUNCTION("GOOGLETRANSLATE(B7720, ""fr"", ""en"")"),"Top tip for a jogger. I run about two hours a jog, and I tried everything in terms of listener. The son without bluetooth: this is clearly what is best. There is the Apple airpods that are really good, but the price can be scary. Especially for a sports a"&amp;"ccessory. I ordered more, but the branch of the earpiece was far too long. There, the length is perfect. A little longer than the airpods but not bothersome at tout.Le sound is really nice, and autonomy supports my two hours jogging.Pour terms of the char"&amp;"ging box.")</f>
        <v>Top tip for a jogger. I run about two hours a jog, and I tried everything in terms of listener. The son without bluetooth: this is clearly what is best. There is the Apple airpods that are really good, but the price can be scary. Especially for a sports accessory. I ordered more, but the branch of the earpiece was far too long. There, the length is perfect. A little longer than the airpods but not bothersome at tout.Le sound is really nice, and autonomy supports my two hours jogging.Pour terms of the charging box.</v>
      </c>
    </row>
    <row r="7721">
      <c r="A7721" s="1">
        <v>5.0</v>
      </c>
      <c r="B7721" s="1" t="s">
        <v>7607</v>
      </c>
      <c r="C7721" t="str">
        <f>IFERROR(__xludf.DUMMYFUNCTION("GOOGLETRANSLATE(B7721, ""fr"", ""en"")"),"Nothing to say Nothing to say.")</f>
        <v>Nothing to say Nothing to say.</v>
      </c>
    </row>
    <row r="7722">
      <c r="A7722" s="1">
        <v>5.0</v>
      </c>
      <c r="B7722" s="1" t="s">
        <v>7608</v>
      </c>
      <c r="C7722" t="str">
        <f>IFERROR(__xludf.DUMMYFUNCTION("GOOGLETRANSLATE(B7722, ""fr"", ""en"")"),"Great gift I offered this surprise box for a birthday. Original and full of mischief with the pictures to place. It's beautiful and really fun. So yes everything must be same assembly, the little extra it comes with stickers.")</f>
        <v>Great gift I offered this surprise box for a birthday. Original and full of mischief with the pictures to place. It's beautiful and really fun. So yes everything must be same assembly, the little extra it comes with stickers.</v>
      </c>
    </row>
    <row r="7723">
      <c r="A7723" s="1">
        <v>2.0</v>
      </c>
      <c r="B7723" s="1" t="s">
        <v>7609</v>
      </c>
      <c r="C7723" t="str">
        <f>IFERROR(__xludf.DUMMYFUNCTION("GOOGLETRANSLATE(B7723, ""fr"", ""en"")"),"Size really big I bought the shoes in 44 (my size), it is one or two sizes bigger than the lop shoes. Even with a sole that is too large. So I gave the pair")</f>
        <v>Size really big I bought the shoes in 44 (my size), it is one or two sizes bigger than the lop shoes. Even with a sole that is too large. So I gave the pair</v>
      </c>
    </row>
    <row r="7724">
      <c r="A7724" s="1">
        <v>1.0</v>
      </c>
      <c r="B7724" s="1" t="s">
        <v>7610</v>
      </c>
      <c r="C7724" t="str">
        <f>IFERROR(__xludf.DUMMYFUNCTION("GOOGLETRANSLATE(B7724, ""fr"", ""en"")"),"Very disappointed with the package sent Wake consistent and very pretty. I nevertheless notes a widely perfectible ergonomics. indeed impossible to maintain an active alarm for the week. When you cut waking in the morning, do not forget to re-enable it fo"&amp;"r the next day .... while a button ""stop"" would have been enough to stop the alarm while maintaining the alarm ""active"". The buttons are very small and frankly we look for in the morning ... so for me the awakening that's 3 stars .... I have bad 1 sta"&amp;"r because I received a package WITHOUT ANY PACKING AMAZON .... so the box of alarm clock with a label on Amazon and a scotch to close the box ... EVER VI CA from Amazon !!!!")</f>
        <v>Very disappointed with the package sent Wake consistent and very pretty. I nevertheless notes a widely perfectible ergonomics. indeed impossible to maintain an active alarm for the week. When you cut waking in the morning, do not forget to re-enable it for the next day .... while a button "stop" would have been enough to stop the alarm while maintaining the alarm "active". The buttons are very small and frankly we look for in the morning ... so for me the awakening that's 3 stars .... I have bad 1 star because I received a package WITHOUT ANY PACKING AMAZON .... so the box of alarm clock with a label on Amazon and a scotch to close the box ... EVER VI CA from Amazon !!!!</v>
      </c>
    </row>
    <row r="7725">
      <c r="A7725" s="1">
        <v>1.0</v>
      </c>
      <c r="B7725" s="1" t="s">
        <v>7611</v>
      </c>
      <c r="C7725" t="str">
        <f>IFERROR(__xludf.DUMMYFUNCTION("GOOGLETRANSLATE(B7725, ""fr"", ""en"")"),"Disappointing imperfect product. When it works, it is amazing to swim with. M1 Unfortunately jump the tracks, sound is lost when the water goes a bit in the auditory behavior ... I am very skeptical about the existence of a financially affordable headphon"&amp;"es for swimming really well fonctonnerait")</f>
        <v>Disappointing imperfect product. When it works, it is amazing to swim with. M1 Unfortunately jump the tracks, sound is lost when the water goes a bit in the auditory behavior ... I am very skeptical about the existence of a financially affordable headphones for swimming really well fonctonnerait</v>
      </c>
    </row>
    <row r="7726">
      <c r="A7726" s="1">
        <v>3.0</v>
      </c>
      <c r="B7726" s="1" t="s">
        <v>7612</v>
      </c>
      <c r="C7726" t="str">
        <f>IFERROR(__xludf.DUMMYFUNCTION("GOOGLETRANSLATE(B7726, ""fr"", ""en"")"),"Comfortable Shoes respected .légère.pointure respectée.mais coarse for female feet.")</f>
        <v>Comfortable Shoes respected .légère.pointure respectée.mais coarse for female feet.</v>
      </c>
    </row>
    <row r="7727">
      <c r="A7727" s="1">
        <v>4.0</v>
      </c>
      <c r="B7727" s="1" t="s">
        <v>7613</v>
      </c>
      <c r="C7727" t="str">
        <f>IFERROR(__xludf.DUMMYFUNCTION("GOOGLETRANSLATE(B7727, ""fr"", ""en"")"),"Bespectacled happy, good headphones if you install the driver software Finally! A helmet that does not ruin me behind the ears! In return, the noise reduction is not necessarily to go ... But I prefer to type my fridge in the background that bleed and hav"&amp;"e a headache. So comfort level is ... almost top. The ""padding"" braided style on the hoop causes me rashes as lack of padding. Who knows why. The sound is another story. The left / right balance fails on my helmet, so I adjusted via the Windows settings"&amp;". By default, it lacks relief and spatial sucks. So installing the driver software corsair.com ... and in my case it completely kills the sound. Nothing, anywhere, even after a reboot. So I unplugged the headphones, rebooted, reconnected and still nothing"&amp;". So I uninstall the driver, and still no sound. OKAY. I uninstall the helmet itself and RealTek audio driver via Device Manager, I reboot and it works but the sound is gross. So here's how to make this moron driver, otherwise this helmet has no interest:"&amp;" - Install iCUE unmanned restart at the end - Right click on My Computer or This PC &amp; gt; Manage &amp; gt; Device Manager &amp; gt; Audio controller, video and game - Uninstall the helmet (Corsair HS60 Surround Adapter) and basic audio driver (in my case RealTek "&amp;"(R) Audio - Restart - Miracle Besides this sincere approach break-up, it'll But it takes. find the parameters of its less rotten than the default ones. I found with google, to reproduce the eye. Do not forget to click ""Surround"", so that it is active. T"&amp;"hese are the only that I liked, including the ones I've tried it myself, because yes, we must tweak. in this, I am disappointed to have paid that price, since there is much work to do-it -even to operate the bousin. But as it is difficult to find a helmet"&amp;" bespectacled, well I'm happy anyway.")</f>
        <v>Bespectacled happy, good headphones if you install the driver software Finally! A helmet that does not ruin me behind the ears! In return, the noise reduction is not necessarily to go ... But I prefer to type my fridge in the background that bleed and have a headache. So comfort level is ... almost top. The "padding" braided style on the hoop causes me rashes as lack of padding. Who knows why. The sound is another story. The left / right balance fails on my helmet, so I adjusted via the Windows settings. By default, it lacks relief and spatial sucks. So installing the driver software corsair.com ... and in my case it completely kills the sound. Nothing, anywhere, even after a reboot. So I unplugged the headphones, rebooted, reconnected and still nothing. So I uninstall the driver, and still no sound. OKAY. I uninstall the helmet itself and RealTek audio driver via Device Manager, I reboot and it works but the sound is gross. So here's how to make this moron driver, otherwise this helmet has no interest: - Install iCUE unmanned restart at the end - Right click on My Computer or This PC &amp; gt; Manage &amp; gt; Device Manager &amp; gt; Audio controller, video and game - Uninstall the helmet (Corsair HS60 Surround Adapter) and basic audio driver (in my case RealTek (R) Audio - Restart - Miracle Besides this sincere approach break-up, it'll But it takes. find the parameters of its less rotten than the default ones. I found with google, to reproduce the eye. Do not forget to click "Surround", so that it is active. These are the only that I liked, including the ones I've tried it myself, because yes, we must tweak. in this, I am disappointed to have paid that price, since there is much work to do-it -even to operate the bousin. But as it is difficult to find a helmet bespectacled, well I'm happy anyway.</v>
      </c>
    </row>
    <row r="7728">
      <c r="A7728" s="1">
        <v>4.0</v>
      </c>
      <c r="B7728" s="1" t="s">
        <v>7614</v>
      </c>
      <c r="C7728" t="str">
        <f>IFERROR(__xludf.DUMMYFUNCTION("GOOGLETRANSLATE(B7728, ""fr"", ""en"")"),"Very good headphone purchased in order to watch TV quietly without wake the family in the evening. For the price, it fulfilled its role very well. The rapid installation. It is plugged into the headphone output of the TV and hop ca works. The sound is per"&amp;"fect Two remarks however: - There is still a crackling sound if you put the helmet thoroughly. Rather Increase the volume of the TV and turn down the headphone and be quiet. - It is often difficult to properly rest the headset in the cradle to recharge th"&amp;"e battery (the battery indicator should alluemer) This is really the negative point for me. In short, for the price, it's great!")</f>
        <v>Very good headphone purchased in order to watch TV quietly without wake the family in the evening. For the price, it fulfilled its role very well. The rapid installation. It is plugged into the headphone output of the TV and hop ca works. The sound is perfect Two remarks however: - There is still a crackling sound if you put the helmet thoroughly. Rather Increase the volume of the TV and turn down the headphone and be quiet. - It is often difficult to properly rest the headset in the cradle to recharge the battery (the battery indicator should alluemer) This is really the negative point for me. In short, for the price, it's great!</v>
      </c>
    </row>
    <row r="7729">
      <c r="A7729" s="1">
        <v>4.0</v>
      </c>
      <c r="B7729" s="1" t="s">
        <v>7615</v>
      </c>
      <c r="C7729" t="str">
        <f>IFERROR(__xludf.DUMMYFUNCTION("GOOGLETRANSLATE(B7729, ""fr"", ""en"")"),"good quality tap, satisfied, identical size to normal size")</f>
        <v>good quality tap, satisfied, identical size to normal size</v>
      </c>
    </row>
    <row r="7730">
      <c r="A7730" s="1">
        <v>4.0</v>
      </c>
      <c r="B7730" s="1" t="s">
        <v>7616</v>
      </c>
      <c r="C7730" t="str">
        <f>IFERROR(__xludf.DUMMYFUNCTION("GOOGLETRANSLATE(B7730, ""fr"", ""en"")"),"Good Very good size but small so take a size bigger and model did a little foot or they are comfortable")</f>
        <v>Good Very good size but small so take a size bigger and model did a little foot or they are comfortable</v>
      </c>
    </row>
    <row r="7731">
      <c r="A7731" s="1">
        <v>5.0</v>
      </c>
      <c r="B7731" s="1" t="s">
        <v>7617</v>
      </c>
      <c r="C7731" t="str">
        <f>IFERROR(__xludf.DUMMYFUNCTION("GOOGLETRANSLATE(B7731, ""fr"", ""en"")"),"Perfect Unbeatable price for these Vans! Beautiful and super comfortable as is the mark ... I love them and carries them regularly")</f>
        <v>Perfect Unbeatable price for these Vans! Beautiful and super comfortable as is the mark ... I love them and carries them regularly</v>
      </c>
    </row>
    <row r="7732">
      <c r="A7732" s="1">
        <v>5.0</v>
      </c>
      <c r="B7732" s="1" t="s">
        <v>7618</v>
      </c>
      <c r="C7732" t="str">
        <f>IFERROR(__xludf.DUMMYFUNCTION("GOOGLETRANSLATE(B7732, ""fr"", ""en"")"),"Me gusta For Calita and for the price ...")</f>
        <v>Me gusta For Calita and for the price ...</v>
      </c>
    </row>
    <row r="7733">
      <c r="A7733" s="1">
        <v>5.0</v>
      </c>
      <c r="B7733" s="1" t="s">
        <v>7619</v>
      </c>
      <c r="C7733" t="str">
        <f>IFERROR(__xludf.DUMMYFUNCTION("GOOGLETRANSLATE(B7733, ""fr"", ""en"")"),"Very nice I bought this sweater for my husband I find it really very beautiful and I look forward to seeing the inside")</f>
        <v>Very nice I bought this sweater for my husband I find it really very beautiful and I look forward to seeing the inside</v>
      </c>
    </row>
    <row r="7734">
      <c r="A7734" s="1">
        <v>5.0</v>
      </c>
      <c r="B7734" s="1" t="s">
        <v>7620</v>
      </c>
      <c r="C7734" t="str">
        <f>IFERROR(__xludf.DUMMYFUNCTION("GOOGLETRANSLATE(B7734, ""fr"", ""en"")"),"Compact, efficient and clear sound This microphone is ideal for compact camera expert. With 3.5 jack cable, the connection to the case is immediate and without intermediary, and direct supply by the jack avoids asking any questions. Indoors, the sound is "&amp;"clear, almost the same level of return with the pro Videomic I also. Outside, the supplied windscreen allows a good record, a little bit off but excellent considering the size. Everything folds to save space in the bag. All designed and manufactured in Au"&amp;"stralia. I just regret the lack of cover, which would have justified a price even a little higher.")</f>
        <v>Compact, efficient and clear sound This microphone is ideal for compact camera expert. With 3.5 jack cable, the connection to the case is immediate and without intermediary, and direct supply by the jack avoids asking any questions. Indoors, the sound is clear, almost the same level of return with the pro Videomic I also. Outside, the supplied windscreen allows a good record, a little bit off but excellent considering the size. Everything folds to save space in the bag. All designed and manufactured in Australia. I just regret the lack of cover, which would have justified a price even a little higher.</v>
      </c>
    </row>
    <row r="7735">
      <c r="A7735" s="1">
        <v>5.0</v>
      </c>
      <c r="B7735" s="1" t="s">
        <v>7621</v>
      </c>
      <c r="C7735" t="str">
        <f>IFERROR(__xludf.DUMMYFUNCTION("GOOGLETRANSLATE(B7735, ""fr"", ""en"")"),"Good shoes Nothing to say")</f>
        <v>Good shoes Nothing to say</v>
      </c>
    </row>
    <row r="7736">
      <c r="A7736" s="1">
        <v>5.0</v>
      </c>
      <c r="B7736" s="1" t="s">
        <v>7622</v>
      </c>
      <c r="C7736" t="str">
        <f>IFERROR(__xludf.DUMMYFUNCTION("GOOGLETRANSLATE(B7736, ""fr"", ""en"")"),"Done the job done the job")</f>
        <v>Done the job done the job</v>
      </c>
    </row>
    <row r="7737">
      <c r="A7737" s="1">
        <v>5.0</v>
      </c>
      <c r="B7737" s="1" t="s">
        <v>7623</v>
      </c>
      <c r="C7737" t="str">
        <f>IFERROR(__xludf.DUMMYFUNCTION("GOOGLETRANSLATE(B7737, ""fr"", ""en"")"),"Heating pad for neck, neck, shoulders back, legs This cushion-shaped shawl is great! * It has 3 different heating temperatures 34 ℃, 39 ℃ 42 ℃ ,, that simply rule with built in cord wheel and more if you made this moment of relaxation in the dark, the scr"&amp;"een is backlit; * The texture of the pad is shaped shawl that made it take great neck, shoulders and upper back and tires at the front by a snap system; * You can also put it flat on the top of your thighs as you sit when you read, for example; * The powe"&amp;"r cord measuring 2.38 meters must therefore not be too far from a power outlet")</f>
        <v>Heating pad for neck, neck, shoulders back, legs This cushion-shaped shawl is great! * It has 3 different heating temperatures 34 ℃, 39 ℃ 42 ℃ ,, that simply rule with built in cord wheel and more if you made this moment of relaxation in the dark, the screen is backlit; * The texture of the pad is shaped shawl that made it take great neck, shoulders and upper back and tires at the front by a snap system; * You can also put it flat on the top of your thighs as you sit when you read, for example; * The power cord measuring 2.38 meters must therefore not be too far from a power outlet</v>
      </c>
    </row>
    <row r="7738">
      <c r="A7738" s="1">
        <v>5.0</v>
      </c>
      <c r="B7738" s="1" t="s">
        <v>7624</v>
      </c>
      <c r="C7738" t="str">
        <f>IFERROR(__xludf.DUMMYFUNCTION("GOOGLETRANSLATE(B7738, ""fr"", ""en"")"),"Very nice watch very neat packaging, the watch is a beautiful little pochette.Très shows, j'adore !!! She classe.Elle has 3 dials and blue hands that I like bien.En addition, it comes with a tool to shorten the bracelet, which is handy. Very good quality "&amp;"/ prix.Rien wrong, I'm not disappointed, I recommend !!! My husband does not loose more")</f>
        <v>Very nice watch very neat packaging, the watch is a beautiful little pochette.Très shows, j'adore !!! She classe.Elle has 3 dials and blue hands that I like bien.En addition, it comes with a tool to shorten the bracelet, which is handy. Very good quality / prix.Rien wrong, I'm not disappointed, I recommend !!! My husband does not loose more</v>
      </c>
    </row>
    <row r="7739">
      <c r="A7739" s="1">
        <v>5.0</v>
      </c>
      <c r="B7739" s="1" t="s">
        <v>7625</v>
      </c>
      <c r="C7739" t="str">
        <f>IFERROR(__xludf.DUMMYFUNCTION("GOOGLETRANSLATE(B7739, ""fr"", ""en"")"),"fast Aesthetics")</f>
        <v>fast Aesthetics</v>
      </c>
    </row>
    <row r="7740">
      <c r="A7740" s="1">
        <v>5.0</v>
      </c>
      <c r="B7740" s="1" t="s">
        <v>7626</v>
      </c>
      <c r="C7740" t="str">
        <f>IFERROR(__xludf.DUMMYFUNCTION("GOOGLETRANSLATE(B7740, ""fr"", ""en"")"),"use paper to color support to learn to color")</f>
        <v>use paper to color support to learn to color</v>
      </c>
    </row>
    <row r="7741">
      <c r="A7741" s="1">
        <v>5.0</v>
      </c>
      <c r="B7741" s="1" t="s">
        <v>7627</v>
      </c>
      <c r="C7741" t="str">
        <f>IFERROR(__xludf.DUMMYFUNCTION("GOOGLETRANSLATE(B7741, ""fr"", ""en"")"),"Good keeps the helmet Buy to watch TV without the other gene, for value for money expected over time")</f>
        <v>Good keeps the helmet Buy to watch TV without the other gene, for value for money expected over time</v>
      </c>
    </row>
    <row r="7742">
      <c r="A7742" s="1">
        <v>5.0</v>
      </c>
      <c r="B7742" s="1" t="s">
        <v>7628</v>
      </c>
      <c r="C7742" t="str">
        <f>IFERROR(__xludf.DUMMYFUNCTION("GOOGLETRANSLATE(B7742, ""fr"", ""en"")"),"Perfect ! Excellent value. Size quite correctly. Very soft fabric. I am very satisfied with my purchase. Thank you.")</f>
        <v>Perfect ! Excellent value. Size quite correctly. Very soft fabric. I am very satisfied with my purchase. Thank you.</v>
      </c>
    </row>
    <row r="7743">
      <c r="A7743" s="1">
        <v>5.0</v>
      </c>
      <c r="B7743" s="1" t="s">
        <v>7629</v>
      </c>
      <c r="C7743" t="str">
        <f>IFERROR(__xludf.DUMMYFUNCTION("GOOGLETRANSLATE(B7743, ""fr"", ""en"")"),"Excellent price / quality ratio at Timberland As always, we have a product of high quality and with a really nice style. I gave those shoes to my brother in law who works in the building (outside); after several months of use, these shoes are very resilie"&amp;"nt, though some snags begin to appear. Anyway, if you make more use ""classic"", you will have really nothing to fear! I recommend !")</f>
        <v>Excellent price / quality ratio at Timberland As always, we have a product of high quality and with a really nice style. I gave those shoes to my brother in law who works in the building (outside); after several months of use, these shoes are very resilient, though some snags begin to appear. Anyway, if you make more use "classic", you will have really nothing to fear! I recommend !</v>
      </c>
    </row>
    <row r="7744">
      <c r="A7744" s="1">
        <v>5.0</v>
      </c>
      <c r="B7744" s="1" t="s">
        <v>7630</v>
      </c>
      <c r="C7744" t="str">
        <f>IFERROR(__xludf.DUMMYFUNCTION("GOOGLETRANSLATE(B7744, ""fr"", ""en"")"),"very good article purchase lameme game for years, always satisfied")</f>
        <v>very good article purchase lameme game for years, always satisfied</v>
      </c>
    </row>
    <row r="7745">
      <c r="A7745" s="1">
        <v>5.0</v>
      </c>
      <c r="B7745" s="1" t="s">
        <v>7631</v>
      </c>
      <c r="C7745" t="str">
        <f>IFERROR(__xludf.DUMMYFUNCTION("GOOGLETRANSLATE(B7745, ""fr"", ""en"")"),"To buy eyes closed! muscle aches, stomach aches or simply to warm hot water bottle that flaxseed is just great! The fabric is nice 2 minutes in the microwave for a baby 4 minutes for an adult hot it gives off a delicious scent that I find soothing, but it"&amp;" can also be used to cool a bruise, strain or sprain! Adopted by the whole family !!!!")</f>
        <v>To buy eyes closed! muscle aches, stomach aches or simply to warm hot water bottle that flaxseed is just great! The fabric is nice 2 minutes in the microwave for a baby 4 minutes for an adult hot it gives off a delicious scent that I find soothing, but it can also be used to cool a bruise, strain or sprain! Adopted by the whole family !!!!</v>
      </c>
    </row>
    <row r="7746">
      <c r="A7746" s="1">
        <v>2.0</v>
      </c>
      <c r="B7746" s="1" t="s">
        <v>7632</v>
      </c>
      <c r="C7746" t="str">
        <f>IFERROR(__xludf.DUMMYFUNCTION("GOOGLETRANSLATE(B7746, ""fr"", ""en"")"),"It smells a bit expensive but very good pity that does not last")</f>
        <v>It smells a bit expensive but very good pity that does not last</v>
      </c>
    </row>
    <row r="7747">
      <c r="A7747" s="1">
        <v>1.0</v>
      </c>
      <c r="B7747" s="1" t="s">
        <v>7633</v>
      </c>
      <c r="C7747" t="str">
        <f>IFERROR(__xludf.DUMMYFUNCTION("GOOGLETRANSLATE(B7747, ""fr"", ""en"")"),"Cartridge HP 302 Black Ink Hello, I received my ink cartridge, I have a problem that cartridge is wrong, this is the first time this happens to me, I have always the same printer HP envy 4520, shook it possible to have a return label, and have a replaceme"&amp;"nt. Thank you for your understanding. D. Otuszewski")</f>
        <v>Cartridge HP 302 Black Ink Hello, I received my ink cartridge, I have a problem that cartridge is wrong, this is the first time this happens to me, I have always the same printer HP envy 4520, shook it possible to have a return label, and have a replacement. Thank you for your understanding. D. Otuszewski</v>
      </c>
    </row>
    <row r="7748">
      <c r="A7748" s="1">
        <v>3.0</v>
      </c>
      <c r="B7748" s="1" t="s">
        <v>7634</v>
      </c>
      <c r="C7748" t="str">
        <f>IFERROR(__xludf.DUMMYFUNCTION("GOOGLETRANSLATE(B7748, ""fr"", ""en"")"),"Plated silverware ?? The seller claims on its description that it is a gem in 925, however, it is just silver plated. Would have to be very clear descriptions not to mislead customers")</f>
        <v>Plated silverware ?? The seller claims on its description that it is a gem in 925, however, it is just silver plated. Would have to be very clear descriptions not to mislead customers</v>
      </c>
    </row>
    <row r="7749">
      <c r="A7749" s="1">
        <v>3.0</v>
      </c>
      <c r="B7749" s="1" t="s">
        <v>7635</v>
      </c>
      <c r="C7749" t="str">
        <f>IFERROR(__xludf.DUMMYFUNCTION("GOOGLETRANSLATE(B7749, ""fr"", ""en"")"),"after one year of use size, pockets, look, perfect practicality. But after two days of use the leather was marked and after a month the seams begin to let go. Very disappointing, it is still a Chinese counterfeiting? Well, I repaired to the hand sewing wh"&amp;"ich had dropped. A year after it holds and I have no other surprises. Hope it lasts...")</f>
        <v>after one year of use size, pockets, look, perfect practicality. But after two days of use the leather was marked and after a month the seams begin to let go. Very disappointing, it is still a Chinese counterfeiting? Well, I repaired to the hand sewing which had dropped. A year after it holds and I have no other surprises. Hope it lasts...</v>
      </c>
    </row>
    <row r="7750">
      <c r="A7750" s="1">
        <v>4.0</v>
      </c>
      <c r="B7750" s="1" t="s">
        <v>7636</v>
      </c>
      <c r="C7750" t="str">
        <f>IFERROR(__xludf.DUMMYFUNCTION("GOOGLETRANSLATE(B7750, ""fr"", ""en"")"),"Satisfied Comvient quite that's what my husband wanted rigid large enough élégnant leather is perfect I recommend")</f>
        <v>Satisfied Comvient quite that's what my husband wanted rigid large enough élégnant leather is perfect I recommend</v>
      </c>
    </row>
    <row r="7751">
      <c r="A7751" s="1">
        <v>4.0</v>
      </c>
      <c r="B7751" s="1" t="s">
        <v>7637</v>
      </c>
      <c r="C7751" t="str">
        <f>IFERROR(__xludf.DUMMYFUNCTION("GOOGLETRANSLATE(B7751, ""fr"", ""en"")"),"Very Good Very beautiful spot just difficult impeut clasp")</f>
        <v>Very Good Very beautiful spot just difficult impeut clasp</v>
      </c>
    </row>
    <row r="7752">
      <c r="A7752" s="1">
        <v>4.0</v>
      </c>
      <c r="B7752" s="1" t="s">
        <v>7638</v>
      </c>
      <c r="C7752" t="str">
        <f>IFERROR(__xludf.DUMMYFUNCTION("GOOGLETRANSLATE(B7752, ""fr"", ""en"")"),"Practical and cheap! Purchased for children 3 to 6 years that I welcome, they are having fun with it! Sometimes a little difficult to take off, but nothing too serious. Arrivals on time.")</f>
        <v>Practical and cheap! Purchased for children 3 to 6 years that I welcome, they are having fun with it! Sometimes a little difficult to take off, but nothing too serious. Arrivals on time.</v>
      </c>
    </row>
    <row r="7753">
      <c r="A7753" s="1">
        <v>4.0</v>
      </c>
      <c r="B7753" s="1" t="s">
        <v>7639</v>
      </c>
      <c r="C7753" t="str">
        <f>IFERROR(__xludf.DUMMYFUNCTION("GOOGLETRANSLATE(B7753, ""fr"", ""en"")"),"Beautiful and aesthetic automatic watch Very happy with my purchase, matches the description. Bracelet easily shortened by indications from the Internet.")</f>
        <v>Beautiful and aesthetic automatic watch Very happy with my purchase, matches the description. Bracelet easily shortened by indications from the Internet.</v>
      </c>
    </row>
    <row r="7754">
      <c r="A7754" s="1">
        <v>4.0</v>
      </c>
      <c r="B7754" s="1" t="s">
        <v>7640</v>
      </c>
      <c r="C7754" t="str">
        <f>IFERROR(__xludf.DUMMYFUNCTION("GOOGLETRANSLATE(B7754, ""fr"", ""en"")"),"Product I offered Good product, the colors are beautiful, it meets expectations, consistent with the description. The principle of dismantling strap to fit the wrist is great. I recommend this product")</f>
        <v>Product I offered Good product, the colors are beautiful, it meets expectations, consistent with the description. The principle of dismantling strap to fit the wrist is great. I recommend this product</v>
      </c>
    </row>
    <row r="7755">
      <c r="A7755" s="1">
        <v>5.0</v>
      </c>
      <c r="B7755" s="1" t="s">
        <v>7641</v>
      </c>
      <c r="C7755" t="str">
        <f>IFERROR(__xludf.DUMMYFUNCTION("GOOGLETRANSLATE(B7755, ""fr"", ""en"")"),"Perfect Size nikel 👌🏾")</f>
        <v>Perfect Size nikel 👌🏾</v>
      </c>
    </row>
    <row r="7756">
      <c r="A7756" s="1">
        <v>5.0</v>
      </c>
      <c r="B7756" s="1" t="s">
        <v>7642</v>
      </c>
      <c r="C7756" t="str">
        <f>IFERROR(__xludf.DUMMYFUNCTION("GOOGLETRANSLATE(B7756, ""fr"", ""en"")"),"I recommend ! Bine and the watch is VERY high compared to other Casio. To my way handful of women .. I almost make it but ultimately shortening the bracelet is beautiful! I recommend !")</f>
        <v>I recommend ! Bine and the watch is VERY high compared to other Casio. To my way handful of women .. I almost make it but ultimately shortening the bracelet is beautiful! I recommend !</v>
      </c>
    </row>
    <row r="7757">
      <c r="A7757" s="1">
        <v>5.0</v>
      </c>
      <c r="B7757" s="1" t="s">
        <v>7643</v>
      </c>
      <c r="C7757" t="str">
        <f>IFERROR(__xludf.DUMMYFUNCTION("GOOGLETRANSLATE(B7757, ""fr"", ""en"")"),"Cute Frankly, for a small price, I received a silver bracelet the most beautiful effect. I recommend this product.")</f>
        <v>Cute Frankly, for a small price, I received a silver bracelet the most beautiful effect. I recommend this product.</v>
      </c>
    </row>
    <row r="7758">
      <c r="A7758" s="1">
        <v>5.0</v>
      </c>
      <c r="B7758" s="1" t="s">
        <v>7644</v>
      </c>
      <c r="C7758" t="str">
        <f>IFERROR(__xludf.DUMMYFUNCTION("GOOGLETRANSLATE(B7758, ""fr"", ""en"")"),"good value I bought this projector for my daughter's birthday. I was looking for a video projector not too expensive. After some days of using my daughter is happy. I received the projector quickly ... Conforms to the description, it is a good quality pro"&amp;"duct with good design and neat. Very simple to use and adjust. The video quality is good, bright color, good size, good brightness even by projecting directly onto the wall. The package is truly complete, projector well packaged, well protected while a bo"&amp;"x with accessories: remote control (without batteries), HDMI cable, RCA cable. The inputs are the same: RCA, HDMI and VGA. The more reading via USB and audio input. The sound is powerful enough. The projector and small in size. A keystone adjustment in tr"&amp;"apeze. The LED bulb, the setting, the depth Briefly at this price a great projector to create cinema at home in very good conditions.")</f>
        <v>good value I bought this projector for my daughter's birthday. I was looking for a video projector not too expensive. After some days of using my daughter is happy. I received the projector quickly ... Conforms to the description, it is a good quality product with good design and neat. Very simple to use and adjust. The video quality is good, bright color, good size, good brightness even by projecting directly onto the wall. The package is truly complete, projector well packaged, well protected while a box with accessories: remote control (without batteries), HDMI cable, RCA cable. The inputs are the same: RCA, HDMI and VGA. The more reading via USB and audio input. The sound is powerful enough. The projector and small in size. A keystone adjustment in trapeze. The LED bulb, the setting, the depth Briefly at this price a great projector to create cinema at home in very good conditions.</v>
      </c>
    </row>
    <row r="7759">
      <c r="A7759" s="1">
        <v>5.0</v>
      </c>
      <c r="B7759" s="1" t="s">
        <v>7645</v>
      </c>
      <c r="C7759" t="str">
        <f>IFERROR(__xludf.DUMMYFUNCTION("GOOGLETRANSLATE(B7759, ""fr"", ""en"")"),"Perfect No complaints especially for the price!")</f>
        <v>Perfect No complaints especially for the price!</v>
      </c>
    </row>
    <row r="7760">
      <c r="A7760" s="1">
        <v>5.0</v>
      </c>
      <c r="B7760" s="1" t="s">
        <v>7646</v>
      </c>
      <c r="C7760" t="str">
        <f>IFERROR(__xludf.DUMMYFUNCTION("GOOGLETRANSLATE(B7760, ""fr"", ""en"")"),"Supee They are great. 1 year that we use. They do not move. The quality is the same at the beginning. Great.")</f>
        <v>Supee They are great. 1 year that we use. They do not move. The quality is the same at the beginning. Great.</v>
      </c>
    </row>
    <row r="7761">
      <c r="A7761" s="1">
        <v>5.0</v>
      </c>
      <c r="B7761" s="1" t="s">
        <v>7647</v>
      </c>
      <c r="C7761" t="str">
        <f>IFERROR(__xludf.DUMMYFUNCTION("GOOGLETRANSLATE(B7761, ""fr"", ""en"")"),"Fast delivery, perfect engraving ideal product for fun to write personal messages.")</f>
        <v>Fast delivery, perfect engraving ideal product for fun to write personal messages.</v>
      </c>
    </row>
    <row r="7762">
      <c r="A7762" s="1">
        <v>5.0</v>
      </c>
      <c r="B7762" s="1" t="s">
        <v>2457</v>
      </c>
      <c r="C7762" t="str">
        <f>IFERROR(__xludf.DUMMYFUNCTION("GOOGLETRANSLATE(B7762, ""fr"", ""en"")"),"Ok Ok")</f>
        <v>Ok Ok</v>
      </c>
    </row>
    <row r="7763">
      <c r="A7763" s="1">
        <v>5.0</v>
      </c>
      <c r="B7763" s="1" t="s">
        <v>7648</v>
      </c>
      <c r="C7763" t="str">
        <f>IFERROR(__xludf.DUMMYFUNCTION("GOOGLETRANSLATE(B7763, ""fr"", ""en"")"),"Helmet qulité A truly lightweight headset with good sound. You should know that there are two exits a cat and a game which then allows thanks to a dial directly adjust the sound of the game and skype (for example) by adjusting the dial.")</f>
        <v>Helmet qulité A truly lightweight headset with good sound. You should know that there are two exits a cat and a game which then allows thanks to a dial directly adjust the sound of the game and skype (for example) by adjusting the dial.</v>
      </c>
    </row>
    <row r="7764">
      <c r="A7764" s="1">
        <v>5.0</v>
      </c>
      <c r="B7764" s="1" t="s">
        <v>7649</v>
      </c>
      <c r="C7764" t="str">
        <f>IFERROR(__xludf.DUMMYFUNCTION("GOOGLETRANSLATE(B7764, ""fr"", ""en"")"),"A great sound at an affordable price. The exceptional comfort of the helmet. I do not like the cable connection there is a drizzle listening disappearing Bluetooth otherwise superb sound balanced sound and harmonious without exaggeration in the low")</f>
        <v>A great sound at an affordable price. The exceptional comfort of the helmet. I do not like the cable connection there is a drizzle listening disappearing Bluetooth otherwise superb sound balanced sound and harmonious without exaggeration in the low</v>
      </c>
    </row>
    <row r="7765">
      <c r="A7765" s="1">
        <v>5.0</v>
      </c>
      <c r="B7765" s="1" t="s">
        <v>7650</v>
      </c>
      <c r="C7765" t="str">
        <f>IFERROR(__xludf.DUMMYFUNCTION("GOOGLETRANSLATE(B7765, ""fr"", ""en"")"),"Electric kettle thermostat variable. &lt;Div id = ""video-block-R3N6IEK11FB4S7"" class = ""a-section-spacing-small in-spacing-top mini video-block""&gt; &lt;/ div&gt; &lt;input type = ""hidden"" name = """" value = ""https://images-eu.ssl-images-amazon.com/images/I/917T"&amp;"+51v7cS.mp4"" class = ""video-url""&gt; &lt;input type = ""hidden"" name = """" value = "" https://images-eu.ssl-images-amazon.com/images/I/A18wCGlHWHS.png ""class ="" video-slate-img-url ""&gt; &amp; nbsp; A cordless kettle to change my old gift recipient at a comman"&amp;"d but had a thread and that was just 1 liter capacity. The 1.7-liter and the top wireless, adjustable thermostat more than expect. I've seen comments saying she gently heated or me to move from water to 13 ° to 100 ° it not take 5 minutes. What I find dec"&amp;"ent enough for 1.7 liters of water. The water stays warm long time I empty the water 2 hours after she was always hot. Frankly I'm happy with my purchase, which is used to renew my old equipment.")</f>
        <v>Electric kettle thermostat variable. &lt;Div id = "video-block-R3N6IEK11FB4S7" class = "a-section-spacing-small in-spacing-top mini video-block"&gt; &lt;/ div&gt; &lt;input type = "hidden" name = "" value = "https://images-eu.ssl-images-amazon.com/images/I/917T+51v7cS.mp4" class = "video-url"&gt; &lt;input type = "hidden" name = "" value = " https://images-eu.ssl-images-amazon.com/images/I/A18wCGlHWHS.png "class =" video-slate-img-url "&gt; &amp; nbsp; A cordless kettle to change my old gift recipient at a command but had a thread and that was just 1 liter capacity. The 1.7-liter and the top wireless, adjustable thermostat more than expect. I've seen comments saying she gently heated or me to move from water to 13 ° to 100 ° it not take 5 minutes. What I find decent enough for 1.7 liters of water. The water stays warm long time I empty the water 2 hours after she was always hot. Frankly I'm happy with my purchase, which is used to renew my old equipment.</v>
      </c>
    </row>
    <row r="7766">
      <c r="A7766" s="1">
        <v>5.0</v>
      </c>
      <c r="B7766" s="1" t="s">
        <v>7651</v>
      </c>
      <c r="C7766" t="str">
        <f>IFERROR(__xludf.DUMMYFUNCTION("GOOGLETRANSLATE(B7766, ""fr"", ""en"")"),"Although cool")</f>
        <v>Although cool</v>
      </c>
    </row>
    <row r="7767">
      <c r="A7767" s="1">
        <v>5.0</v>
      </c>
      <c r="B7767" s="1" t="s">
        <v>7652</v>
      </c>
      <c r="C7767" t="str">
        <f>IFERROR(__xludf.DUMMYFUNCTION("GOOGLETRANSLATE(B7767, ""fr"", ""en"")"),"Very nice little shoes right shoes for everyday, simple but effective. They carve a bit small, the size above allows you to be more comfortable, and it's not too big either.")</f>
        <v>Very nice little shoes right shoes for everyday, simple but effective. They carve a bit small, the size above allows you to be more comfortable, and it's not too big either.</v>
      </c>
    </row>
    <row r="7768">
      <c r="A7768" s="1">
        <v>5.0</v>
      </c>
      <c r="B7768" s="1" t="s">
        <v>7653</v>
      </c>
      <c r="C7768" t="str">
        <f>IFERROR(__xludf.DUMMYFUNCTION("GOOGLETRANSLATE(B7768, ""fr"", ""en"")"),"Perfect Perfect for its price but do not expect the quality of beats")</f>
        <v>Perfect Perfect for its price but do not expect the quality of beats</v>
      </c>
    </row>
    <row r="7769">
      <c r="A7769" s="1">
        <v>5.0</v>
      </c>
      <c r="B7769" s="1" t="s">
        <v>7654</v>
      </c>
      <c r="C7769" t="str">
        <f>IFERROR(__xludf.DUMMYFUNCTION("GOOGLETRANSLATE(B7769, ""fr"", ""en"")"),"Good product resistant resistant Product not need to pay attention, both in town that walk during trekking or swimming. The product met all my expectations, it's been over a year since I use it every day.")</f>
        <v>Good product resistant resistant Product not need to pay attention, both in town that walk during trekking or swimming. The product met all my expectations, it's been over a year since I use it every day.</v>
      </c>
    </row>
    <row r="7770">
      <c r="A7770" s="1">
        <v>2.0</v>
      </c>
      <c r="B7770" s="1" t="s">
        <v>7655</v>
      </c>
      <c r="C7770" t="str">
        <f>IFERROR(__xludf.DUMMYFUNCTION("GOOGLETRANSLATE(B7770, ""fr"", ""en"")"),"Disappointed error photo for The length legging is long to ankle (I'm 1m71) not 3/4 as in the photo (to return to the site, I see that there are 2 length models but picture is the same). Received last night, tried this morning and left but my legs were sc"&amp;"raped me for a good hour. The texture is not soft remains to be seen after washing with fabric softener! Otherwise nice color.")</f>
        <v>Disappointed error photo for The length legging is long to ankle (I'm 1m71) not 3/4 as in the photo (to return to the site, I see that there are 2 length models but picture is the same). Received last night, tried this morning and left but my legs were scraped me for a good hour. The texture is not soft remains to be seen after washing with fabric softener! Otherwise nice color.</v>
      </c>
    </row>
    <row r="7771">
      <c r="A7771" s="1">
        <v>1.0</v>
      </c>
      <c r="B7771" s="1" t="s">
        <v>7656</v>
      </c>
      <c r="C7771" t="str">
        <f>IFERROR(__xludf.DUMMYFUNCTION("GOOGLETRANSLATE(B7771, ""fr"", ""en"")"),"The capacity problem satchel is great but when it is full you can not close it. The straps are too short")</f>
        <v>The capacity problem satchel is great but when it is full you can not close it. The straps are too short</v>
      </c>
    </row>
    <row r="7772">
      <c r="A7772" s="1">
        <v>1.0</v>
      </c>
      <c r="B7772" s="1" t="s">
        <v>7657</v>
      </c>
      <c r="C7772" t="str">
        <f>IFERROR(__xludf.DUMMYFUNCTION("GOOGLETRANSLATE(B7772, ""fr"", ""en"")"),"These cartridges do not work I bought these cartridges because they were cheaper. They have worked for ten sheets disappointment!")</f>
        <v>These cartridges do not work I bought these cartridges because they were cheaper. They have worked for ten sheets disappointment!</v>
      </c>
    </row>
    <row r="7773">
      <c r="A7773" s="1">
        <v>3.0</v>
      </c>
      <c r="B7773" s="1" t="s">
        <v>7658</v>
      </c>
      <c r="C7773" t="str">
        <f>IFERROR(__xludf.DUMMYFUNCTION("GOOGLETRANSLATE(B7773, ""fr"", ""en"")"),"Not really !!! I play 39! I ordered 39/40 it looks like 36! I recommended in 40/42 it is great !!! Boffff")</f>
        <v>Not really !!! I play 39! I ordered 39/40 it looks like 36! I recommended in 40/42 it is great !!! Boffff</v>
      </c>
    </row>
    <row r="7774">
      <c r="A7774" s="1">
        <v>3.0</v>
      </c>
      <c r="B7774" s="1" t="s">
        <v>7659</v>
      </c>
      <c r="C7774" t="str">
        <f>IFERROR(__xludf.DUMMYFUNCTION("GOOGLETRANSLATE(B7774, ""fr"", ""en"")"),"Aestheticism Received withdrawal in time through Amazon. As against the clock is not so flat that the said description, thick compared to a watch that I have which removes much the minimalist side. Even if it comes to England, the manufacturer is Chinese "&amp;"and c in Shenzhen. Cordially.")</f>
        <v>Aestheticism Received withdrawal in time through Amazon. As against the clock is not so flat that the said description, thick compared to a watch that I have which removes much the minimalist side. Even if it comes to England, the manufacturer is Chinese and c in Shenzhen. Cordially.</v>
      </c>
    </row>
    <row r="7775">
      <c r="A7775" s="1">
        <v>4.0</v>
      </c>
      <c r="B7775" s="1" t="s">
        <v>7660</v>
      </c>
      <c r="C7775" t="str">
        <f>IFERROR(__xludf.DUMMYFUNCTION("GOOGLETRANSLATE(B7775, ""fr"", ""en"")"),"very comfortable but have shrunk slightly to washing, so it gets a little more difficult to put on, without compromising comfort once in place =)")</f>
        <v>very comfortable but have shrunk slightly to washing, so it gets a little more difficult to put on, without compromising comfort once in place =)</v>
      </c>
    </row>
    <row r="7776">
      <c r="A7776" s="1">
        <v>4.0</v>
      </c>
      <c r="B7776" s="1" t="s">
        <v>7661</v>
      </c>
      <c r="C7776" t="str">
        <f>IFERROR(__xludf.DUMMYFUNCTION("GOOGLETRANSLATE(B7776, ""fr"", ""en"")"),"Comfortable. Bass a little too intense As announced on the package, these headphones are particularly effective in very low frequencies. I feared a lack of balance but not all, mids and highs are present. However, the sound quality depends greatly on the "&amp;"type of music. The notice shall clearly indicate that these headphones are designed for smartphones. Impedance is actually moderate (40 Ohms at 1 KHz) and jack plugs contain the microphone signal (check that Smartphone is compatible jack to 4 points). So "&amp;"I tested the headset primarily on the internet with my smart phone. On some songs, the bass is impressive and gives sensations! For other music, they can become too intense. On pieces with a lot of instruments in the low / mid-frequency, precision is lost"&amp;". For video-games and movies, the performance is very interesting by the frequency range 4 Hz - 24,000 Hz I think, however, that such amplitude can tire for extended listening (and depends on each of its accommodation).. The overall sound is however not m"&amp;"etallic or unpleasant. There is no wind noise, and no sizzle. For the physical, I find them very well designed headphones. The ""big"" cylindrical portion allows the listener to bear in the ear without pressure in the ear canal. It feels much less discomf"&amp;"ort than with conventional headphones. The headphones come with 4 pairs of silicone tips in different sizes and carry bag. The cable is striated and has, indeed, a better hold than ordinary flat cables. The Jack tip is bent, which is best suited for a Sma"&amp;"rtphone housed in a pocket. The small control module contains the rear microphone. However, I regret that there is a single key ""multifunction"" to stop / resume a song, answer a call, or change songs (2 or 3 quick presses). An application available ""Sm"&amp;"art Key"" is used to set other functions such as volume management. The use of the button is a bit tedious, I would have preferred a dedicated button +/-. Overall, these headphones are well finished and very reliable seem. Listening, they will suit those "&amp;"looking for sensations in the lower frequencies.")</f>
        <v>Comfortable. Bass a little too intense As announced on the package, these headphones are particularly effective in very low frequencies. I feared a lack of balance but not all, mids and highs are present. However, the sound quality depends greatly on the type of music. The notice shall clearly indicate that these headphones are designed for smartphones. Impedance is actually moderate (40 Ohms at 1 KHz) and jack plugs contain the microphone signal (check that Smartphone is compatible jack to 4 points). So I tested the headset primarily on the internet with my smart phone. On some songs, the bass is impressive and gives sensations! For other music, they can become too intense. On pieces with a lot of instruments in the low / mid-frequency, precision is lost. For video-games and movies, the performance is very interesting by the frequency range 4 Hz - 24,000 Hz I think, however, that such amplitude can tire for extended listening (and depends on each of its accommodation).. The overall sound is however not metallic or unpleasant. There is no wind noise, and no sizzle. For the physical, I find them very well designed headphones. The "big" cylindrical portion allows the listener to bear in the ear without pressure in the ear canal. It feels much less discomfort than with conventional headphones. The headphones come with 4 pairs of silicone tips in different sizes and carry bag. The cable is striated and has, indeed, a better hold than ordinary flat cables. The Jack tip is bent, which is best suited for a Smartphone housed in a pocket. The small control module contains the rear microphone. However, I regret that there is a single key "multifunction" to stop / resume a song, answer a call, or change songs (2 or 3 quick presses). An application available "Smart Key" is used to set other functions such as volume management. The use of the button is a bit tedious, I would have preferred a dedicated button +/-. Overall, these headphones are well finished and very reliable seem. Listening, they will suit those looking for sensations in the lower frequencies.</v>
      </c>
    </row>
    <row r="7777">
      <c r="A7777" s="1">
        <v>4.0</v>
      </c>
      <c r="B7777" s="1" t="s">
        <v>7662</v>
      </c>
      <c r="C7777" t="str">
        <f>IFERROR(__xludf.DUMMYFUNCTION("GOOGLETRANSLATE(B7777, ""fr"", ""en"")"),"Good size and good quality fine.")</f>
        <v>Good size and good quality fine.</v>
      </c>
    </row>
    <row r="7778">
      <c r="A7778" s="1">
        <v>4.0</v>
      </c>
      <c r="B7778" s="1" t="s">
        <v>7663</v>
      </c>
      <c r="C7778" t="str">
        <f>IFERROR(__xludf.DUMMYFUNCTION("GOOGLETRANSLATE(B7778, ""fr"", ""en"")"),"solid pellets very solid pellets. I takes only 4 star precisely because they are too sticky. I have used for scrapbooking. After being stuck behind the photos I found the quality of the pellets. It did not come off. By cons not be mistaken as once bonded,"&amp;" if one takes off, it pulls the black paper background")</f>
        <v>solid pellets very solid pellets. I takes only 4 star precisely because they are too sticky. I have used for scrapbooking. After being stuck behind the photos I found the quality of the pellets. It did not come off. By cons not be mistaken as once bonded, if one takes off, it pulls the black paper background</v>
      </c>
    </row>
    <row r="7779">
      <c r="A7779" s="1">
        <v>5.0</v>
      </c>
      <c r="B7779" s="1" t="s">
        <v>7664</v>
      </c>
      <c r="C7779" t="str">
        <f>IFERROR(__xludf.DUMMYFUNCTION("GOOGLETRANSLATE(B7779, ""fr"", ""en"")"),"Too beautiful brilliant classic converse !!! Take a size within this large size. I often put they adapt to many outfits.")</f>
        <v>Too beautiful brilliant classic converse !!! Take a size within this large size. I often put they adapt to many outfits.</v>
      </c>
    </row>
    <row r="7780">
      <c r="A7780" s="1">
        <v>5.0</v>
      </c>
      <c r="B7780" s="1" t="s">
        <v>7665</v>
      </c>
      <c r="C7780" t="str">
        <f>IFERROR(__xludf.DUMMYFUNCTION("GOOGLETRANSLATE(B7780, ""fr"", ""en"")"),"Super shoe I am happy with my purchase. A little tight in width but it goes (This is not the fault of the shoe, but my foot probably). Quick delivery. Thank you!")</f>
        <v>Super shoe I am happy with my purchase. A little tight in width but it goes (This is not the fault of the shoe, but my foot probably). Quick delivery. Thank you!</v>
      </c>
    </row>
    <row r="7781">
      <c r="A7781" s="1">
        <v>5.0</v>
      </c>
      <c r="B7781" s="1" t="s">
        <v>7666</v>
      </c>
      <c r="C7781" t="str">
        <f>IFERROR(__xludf.DUMMYFUNCTION("GOOGLETRANSLATE(B7781, ""fr"", ""en"")"),"Mixed Up lightweight sweater with hood stylish. Ideal for a look casual. I even find it mixed a man can wear it too and size correctly")</f>
        <v>Mixed Up lightweight sweater with hood stylish. Ideal for a look casual. I even find it mixed a man can wear it too and size correctly</v>
      </c>
    </row>
    <row r="7782">
      <c r="A7782" s="1">
        <v>5.0</v>
      </c>
      <c r="B7782" s="1" t="s">
        <v>7667</v>
      </c>
      <c r="C7782" t="str">
        <f>IFERROR(__xludf.DUMMYFUNCTION("GOOGLETRANSLATE(B7782, ""fr"", ""en"")"),"Comfortable perfect")</f>
        <v>Comfortable perfect</v>
      </c>
    </row>
    <row r="7783">
      <c r="A7783" s="1">
        <v>5.0</v>
      </c>
      <c r="B7783" s="1" t="s">
        <v>7668</v>
      </c>
      <c r="C7783" t="str">
        <f>IFERROR(__xludf.DUMMYFUNCTION("GOOGLETRANSLATE(B7783, ""fr"", ""en"")"),"perfect! I recommend this bra even if we did not operating because it is extremely comfortable to wear, it is not absolutely no shoulders or bust, or in the arms. Since I got used to it I arrived more to put supports normal throat strap. I also recommend "&amp;"for the sport.")</f>
        <v>perfect! I recommend this bra even if we did not operating because it is extremely comfortable to wear, it is not absolutely no shoulders or bust, or in the arms. Since I got used to it I arrived more to put supports normal throat strap. I also recommend for the sport.</v>
      </c>
    </row>
    <row r="7784">
      <c r="A7784" s="1">
        <v>5.0</v>
      </c>
      <c r="B7784" s="1" t="s">
        <v>7669</v>
      </c>
      <c r="C7784" t="str">
        <f>IFERROR(__xludf.DUMMYFUNCTION("GOOGLETRANSLATE(B7784, ""fr"", ""en"")"),"Very good I am illustrator (golgoth71arts) and this model leaves really corresponds to what I need to work with alcohol markers, TOP and a very reasonable price")</f>
        <v>Very good I am illustrator (golgoth71arts) and this model leaves really corresponds to what I need to work with alcohol markers, TOP and a very reasonable price</v>
      </c>
    </row>
    <row r="7785">
      <c r="A7785" s="1">
        <v>5.0</v>
      </c>
      <c r="B7785" s="1" t="s">
        <v>7670</v>
      </c>
      <c r="C7785" t="str">
        <f>IFERROR(__xludf.DUMMYFUNCTION("GOOGLETRANSLATE(B7785, ""fr"", ""en"")"),"these cartridges are perfect I was very happy when I saw the result after setting Jarbo cartridges really any problems for installation As for the drying qualities of colors so it neither has anything to reproach no difference with HP a tip screen shows a"&amp;" ""cartridges are not installed"" just click OK and everything goes well I had a problem avec.une cartridge my first order of March This is the reason for my second command I have seen that you have new chip I replace the cartridge and all is well, then t"&amp;"he mobile indicait empty cartridge which was 3/4")</f>
        <v>these cartridges are perfect I was very happy when I saw the result after setting Jarbo cartridges really any problems for installation As for the drying qualities of colors so it neither has anything to reproach no difference with HP a tip screen shows a "cartridges are not installed" just click OK and everything goes well I had a problem avec.une cartridge my first order of March This is the reason for my second command I have seen that you have new chip I replace the cartridge and all is well, then the mobile indicait empty cartridge which was 3/4</v>
      </c>
    </row>
    <row r="7786">
      <c r="A7786" s="1">
        <v>5.0</v>
      </c>
      <c r="B7786" s="1" t="s">
        <v>7671</v>
      </c>
      <c r="C7786" t="str">
        <f>IFERROR(__xludf.DUMMYFUNCTION("GOOGLETRANSLATE(B7786, ""fr"", ""en"")"),"Perfect! Converse true: contrary to what we read in some reviews, the converse is true. Even without stars in the O. It is this model that is like that. After this detail, size aside, choose yours. This size perfectly. Then, for the look, I love the thick"&amp;" sole without it being overdone. It gives a little flair from the bottom Classic model. In white it goes with everything. Wear with jeans flare: effect guaranteed. I recommend. 👍🏻")</f>
        <v>Perfect! Converse true: contrary to what we read in some reviews, the converse is true. Even without stars in the O. It is this model that is like that. After this detail, size aside, choose yours. This size perfectly. Then, for the look, I love the thick sole without it being overdone. It gives a little flair from the bottom Classic model. In white it goes with everything. Wear with jeans flare: effect guaranteed. I recommend. 👍🏻</v>
      </c>
    </row>
    <row r="7787">
      <c r="A7787" s="1">
        <v>5.0</v>
      </c>
      <c r="B7787" s="1" t="s">
        <v>7672</v>
      </c>
      <c r="C7787" t="str">
        <f>IFERROR(__xludf.DUMMYFUNCTION("GOOGLETRANSLATE(B7787, ""fr"", ""en"")"),"Super Perfect. All sizes and all colors. My 2 year old son is happy!")</f>
        <v>Super Perfect. All sizes and all colors. My 2 year old son is happy!</v>
      </c>
    </row>
    <row r="7788">
      <c r="A7788" s="1">
        <v>5.0</v>
      </c>
      <c r="B7788" s="1" t="s">
        <v>7673</v>
      </c>
      <c r="C7788" t="str">
        <f>IFERROR(__xludf.DUMMYFUNCTION("GOOGLETRANSLATE(B7788, ""fr"", ""en"")"),"Perfect, even on clear Fabrics Meguiar's products have a pretty good reputation. Each time I tried to take another cheaper brand I was disappointed by the result. The cleaning cloth is no exception to the rule. Since my children were small, I always made "&amp;"sure to have leather seats in the car. Some may think that this is nonsense, but for my part, I've never found it easier to clean than leather. My children began to be a little bigger, I took the risk to the last car to have leather seats mid mid fabric. "&amp;"To top it all, they are an off-white color, as you say that with such color stains are very showy. In short, I had black spots of grease on one of my seats, spots of damp on all the other (which happens when one sits by being wet from the rain, for exampl"&amp;"e), and various patches unexplained that only our children know them. (You know, the tip of the cake or piece of M &amp; M's that disappears and you find yourself completely melted and stuck when you clean 6 months later). I had no problem to clean the leathe"&amp;"r part with a suitable product, cloth and presto, we talk about it more. But for the tissue section, I had nothing planned for. I started by testing 2 others found cheaper in supermarkets and car center products. The stain faded but have generally remaine"&amp;"d an inconspicuous. Moisture stains, they always were present, despite having set the dose and rubbed with a brush like a madman. They have even grown. Faced with little result, I turned to the Meguiar's cleaner, without really believing it. I have a tend"&amp;"ency to say that the products are a bit cheaper as well as more expensive brand products, it is that marketing and that takes us for pigeons. And I am suspicious when I hear of miracle product. But I must say that I was amazed. I tested a first seat by sp"&amp;"raying the product on, without putting excessive, then rub vigorously with a simple microfiber cloth before letting it dry. The result: my spots have disappeared, and no trace of damp patches. So I hastened to clean my other seats, with still the same res"&amp;"ult. My seats have regained a clear complexion who had spent time. And the smell left is not the most unpleasant. I have not much to complain about this product, which is probably in the high price range in terms of which is the fact. But the result is th"&amp;"ere. I honestly did not expect such efficiency, especially on clear seats. No complaints about the Amazon delivery, the product arrived in a small waterproof bag to prevent it flows during transport.")</f>
        <v>Perfect, even on clear Fabrics Meguiar's products have a pretty good reputation. Each time I tried to take another cheaper brand I was disappointed by the result. The cleaning cloth is no exception to the rule. Since my children were small, I always made sure to have leather seats in the car. Some may think that this is nonsense, but for my part, I've never found it easier to clean than leather. My children began to be a little bigger, I took the risk to the last car to have leather seats mid mid fabric. To top it all, they are an off-white color, as you say that with such color stains are very showy. In short, I had black spots of grease on one of my seats, spots of damp on all the other (which happens when one sits by being wet from the rain, for example), and various patches unexplained that only our children know them. (You know, the tip of the cake or piece of M &amp; M's that disappears and you find yourself completely melted and stuck when you clean 6 months later). I had no problem to clean the leather part with a suitable product, cloth and presto, we talk about it more. But for the tissue section, I had nothing planned for. I started by testing 2 others found cheaper in supermarkets and car center products. The stain faded but have generally remained an inconspicuous. Moisture stains, they always were present, despite having set the dose and rubbed with a brush like a madman. They have even grown. Faced with little result, I turned to the Meguiar's cleaner, without really believing it. I have a tendency to say that the products are a bit cheaper as well as more expensive brand products, it is that marketing and that takes us for pigeons. And I am suspicious when I hear of miracle product. But I must say that I was amazed. I tested a first seat by spraying the product on, without putting excessive, then rub vigorously with a simple microfiber cloth before letting it dry. The result: my spots have disappeared, and no trace of damp patches. So I hastened to clean my other seats, with still the same result. My seats have regained a clear complexion who had spent time. And the smell left is not the most unpleasant. I have not much to complain about this product, which is probably in the high price range in terms of which is the fact. But the result is there. I honestly did not expect such efficiency, especially on clear seats. No complaints about the Amazon delivery, the product arrived in a small waterproof bag to prevent it flows during transport.</v>
      </c>
    </row>
    <row r="7789">
      <c r="A7789" s="1">
        <v>5.0</v>
      </c>
      <c r="B7789" s="1" t="s">
        <v>7674</v>
      </c>
      <c r="C7789" t="str">
        <f>IFERROR(__xludf.DUMMYFUNCTION("GOOGLETRANSLATE(B7789, ""fr"", ""en"")"),"Ok Ok")</f>
        <v>Ok Ok</v>
      </c>
    </row>
    <row r="7790">
      <c r="A7790" s="1">
        <v>5.0</v>
      </c>
      <c r="B7790" s="1" t="s">
        <v>7675</v>
      </c>
      <c r="C7790" t="str">
        <f>IFERROR(__xludf.DUMMYFUNCTION("GOOGLETRANSLATE(B7790, ""fr"", ""en"")"),"parcel received to improve the impression I chose a brand HP I will do tests and see if printing on ENVY5540 improves emptying a cartridge: a printing area black in place of numbers !!! (Driver or printer)")</f>
        <v>parcel received to improve the impression I chose a brand HP I will do tests and see if printing on ENVY5540 improves emptying a cartridge: a printing area black in place of numbers !!! (Driver or printer)</v>
      </c>
    </row>
    <row r="7791">
      <c r="A7791" s="1">
        <v>5.0</v>
      </c>
      <c r="B7791" s="1" t="s">
        <v>7676</v>
      </c>
      <c r="C7791" t="str">
        <f>IFERROR(__xludf.DUMMYFUNCTION("GOOGLETRANSLATE(B7791, ""fr"", ""en"")"),"Perfect perfect item. ras")</f>
        <v>Perfect perfect item. ras</v>
      </c>
    </row>
    <row r="7792">
      <c r="A7792" s="1">
        <v>5.0</v>
      </c>
      <c r="B7792" s="1" t="s">
        <v>7677</v>
      </c>
      <c r="C7792" t="str">
        <f>IFERROR(__xludf.DUMMYFUNCTION("GOOGLETRANSLATE(B7792, ""fr"", ""en"")"),"super perfect")</f>
        <v>super perfect</v>
      </c>
    </row>
    <row r="7793">
      <c r="A7793" s="1">
        <v>5.0</v>
      </c>
      <c r="B7793" s="1" t="s">
        <v>7678</v>
      </c>
      <c r="C7793" t="str">
        <f>IFERROR(__xludf.DUMMYFUNCTION("GOOGLETRANSLATE(B7793, ""fr"", ""en"")"),"letter tré well the belt military man")</f>
        <v>letter tré well the belt military man</v>
      </c>
    </row>
    <row r="7794">
      <c r="A7794" s="1">
        <v>2.0</v>
      </c>
      <c r="B7794" s="1" t="s">
        <v>7679</v>
      </c>
      <c r="C7794" t="str">
        <f>IFERROR(__xludf.DUMMYFUNCTION("GOOGLETRANSLATE(B7794, ""fr"", ""en"")"),"Beautiful color it yours warm but not great especially for cutting down a little disappointed. I'm not sure it fits longtps. By cons beautiful color")</f>
        <v>Beautiful color it yours warm but not great especially for cutting down a little disappointed. I'm not sure it fits longtps. By cons beautiful color</v>
      </c>
    </row>
    <row r="7795">
      <c r="A7795" s="1">
        <v>1.0</v>
      </c>
      <c r="B7795" s="1" t="s">
        <v>7680</v>
      </c>
      <c r="C7795" t="str">
        <f>IFERROR(__xludf.DUMMYFUNCTION("GOOGLETRANSLATE(B7795, ""fr"", ""en"")"),"Wrong foot micro tripod, I received with an impact which slightly crack the handle, it is easy to learn, by cons you should know that the micro hooks over the shorter, the other part is only to the orient. And balance is very bad, my microphone tends to f"&amp;"all because of the weight.")</f>
        <v>Wrong foot micro tripod, I received with an impact which slightly crack the handle, it is easy to learn, by cons you should know that the micro hooks over the shorter, the other part is only to the orient. And balance is very bad, my microphone tends to fall because of the weight.</v>
      </c>
    </row>
    <row r="7796">
      <c r="A7796" s="1">
        <v>1.0</v>
      </c>
      <c r="B7796" s="1" t="s">
        <v>7681</v>
      </c>
      <c r="C7796" t="str">
        <f>IFERROR(__xludf.DUMMYFUNCTION("GOOGLETRANSLATE(B7796, ""fr"", ""en"")"),"Poor After a day at the beach can not set foot in the mule has shrunk in the sun !!!!!!!")</f>
        <v>Poor After a day at the beach can not set foot in the mule has shrunk in the sun !!!!!!!</v>
      </c>
    </row>
    <row r="7797">
      <c r="A7797" s="1">
        <v>3.0</v>
      </c>
      <c r="B7797" s="1" t="s">
        <v>7682</v>
      </c>
      <c r="C7797" t="str">
        <f>IFERROR(__xludf.DUMMYFUNCTION("GOOGLETRANSLATE(B7797, ""fr"", ""en"")"),"Product conforms to the announcement. Fabric poor who most quickly.")</f>
        <v>Product conforms to the announcement. Fabric poor who most quickly.</v>
      </c>
    </row>
    <row r="7798">
      <c r="A7798" s="1">
        <v>3.0</v>
      </c>
      <c r="B7798" s="1" t="s">
        <v>7683</v>
      </c>
      <c r="C7798" t="str">
        <f>IFERROR(__xludf.DUMMYFUNCTION("GOOGLETRANSLATE(B7798, ""fr"", ""en"")"),"Micro low low price of frills Micro received quickly in packaging bad with a bump in a gold color place / gold disappointing for children's changing lights are discreet instructions not satisfactory only in Chinese and English Good price for a first disco"&amp;"very of using a microphone")</f>
        <v>Micro low low price of frills Micro received quickly in packaging bad with a bump in a gold color place / gold disappointing for children's changing lights are discreet instructions not satisfactory only in Chinese and English Good price for a first discovery of using a microphone</v>
      </c>
    </row>
    <row r="7799">
      <c r="A7799" s="1">
        <v>4.0</v>
      </c>
      <c r="B7799" s="1" t="s">
        <v>7684</v>
      </c>
      <c r="C7799" t="str">
        <f>IFERROR(__xludf.DUMMYFUNCTION("GOOGLETRANSLATE(B7799, ""fr"", ""en"")"),"I recommend Very good for your purpose!")</f>
        <v>I recommend Very good for your purpose!</v>
      </c>
    </row>
    <row r="7800">
      <c r="A7800" s="1">
        <v>4.0</v>
      </c>
      <c r="B7800" s="1" t="s">
        <v>7685</v>
      </c>
      <c r="C7800" t="str">
        <f>IFERROR(__xludf.DUMMYFUNCTION("GOOGLETRANSLATE(B7800, ""fr"", ""en"")"),"Comfortable I used them for small walks not very athletic and every day. Very comfortable and stylish")</f>
        <v>Comfortable I used them for small walks not very athletic and every day. Very comfortable and stylish</v>
      </c>
    </row>
    <row r="7801">
      <c r="A7801" s="1">
        <v>4.0</v>
      </c>
      <c r="B7801" s="1" t="s">
        <v>7686</v>
      </c>
      <c r="C7801" t="str">
        <f>IFERROR(__xludf.DUMMYFUNCTION("GOOGLETRANSLATE(B7801, ""fr"", ""en"")"),"Watch Good product every day, pretty and functional.")</f>
        <v>Watch Good product every day, pretty and functional.</v>
      </c>
    </row>
    <row r="7802">
      <c r="A7802" s="1">
        <v>4.0</v>
      </c>
      <c r="B7802" s="1" t="s">
        <v>7687</v>
      </c>
      <c r="C7802" t="str">
        <f>IFERROR(__xludf.DUMMYFUNCTION("GOOGLETRANSLATE(B7802, ""fr"", ""en"")"),"As truly magical really functional Product, works very well on the walls and doors I really recommend against its By wears very quickly")</f>
        <v>As truly magical really functional Product, works very well on the walls and doors I really recommend against its By wears very quickly</v>
      </c>
    </row>
    <row r="7803">
      <c r="A7803" s="1">
        <v>5.0</v>
      </c>
      <c r="B7803" s="1" t="s">
        <v>7688</v>
      </c>
      <c r="C7803" t="str">
        <f>IFERROR(__xludf.DUMMYFUNCTION("GOOGLETRANSLATE(B7803, ""fr"", ""en"")"),"Invisible necklace with zircon Very good product, I highly recommend it.")</f>
        <v>Invisible necklace with zircon Very good product, I highly recommend it.</v>
      </c>
    </row>
    <row r="7804">
      <c r="A7804" s="1">
        <v>5.0</v>
      </c>
      <c r="B7804" s="1" t="s">
        <v>7689</v>
      </c>
      <c r="C7804" t="str">
        <f>IFERROR(__xludf.DUMMYFUNCTION("GOOGLETRANSLATE(B7804, ""fr"", ""en"")"),"Perfect!! Conforms to the photo. Great shoes for hiking. I put on between 39 and 40 and I took 40. I am satisfied with my purchase.")</f>
        <v>Perfect!! Conforms to the photo. Great shoes for hiking. I put on between 39 and 40 and I took 40. I am satisfied with my purchase.</v>
      </c>
    </row>
    <row r="7805">
      <c r="A7805" s="1">
        <v>5.0</v>
      </c>
      <c r="B7805" s="1" t="s">
        <v>7690</v>
      </c>
      <c r="C7805" t="str">
        <f>IFERROR(__xludf.DUMMYFUNCTION("GOOGLETRANSLATE(B7805, ""fr"", ""en"")"),"Ergonomic and soft Recommended by my physiotherapist. Very good quality of stitching and fabric. It's as ergonomic as adapts to your body. It keeps the heat longer thanks to flaxseed. I recommend")</f>
        <v>Ergonomic and soft Recommended by my physiotherapist. Very good quality of stitching and fabric. It's as ergonomic as adapts to your body. It keeps the heat longer thanks to flaxseed. I recommend</v>
      </c>
    </row>
    <row r="7806">
      <c r="A7806" s="1">
        <v>5.0</v>
      </c>
      <c r="B7806" s="1" t="s">
        <v>7691</v>
      </c>
      <c r="C7806" t="str">
        <f>IFERROR(__xludf.DUMMYFUNCTION("GOOGLETRANSLATE(B7806, ""fr"", ""en"")"),"Top A little bruillant but really good job! JEVAIS achter in a second without hesitation!")</f>
        <v>Top A little bruillant but really good job! JEVAIS achter in a second without hesitation!</v>
      </c>
    </row>
    <row r="7807">
      <c r="A7807" s="1">
        <v>5.0</v>
      </c>
      <c r="B7807" s="1" t="s">
        <v>7692</v>
      </c>
      <c r="C7807" t="str">
        <f>IFERROR(__xludf.DUMMYFUNCTION("GOOGLETRANSLATE(B7807, ""fr"", ""en"")"),"Gorgeous Vintage kettle on top a pleasure to boil I recommend the article. You will not be disappointed at all")</f>
        <v>Gorgeous Vintage kettle on top a pleasure to boil I recommend the article. You will not be disappointed at all</v>
      </c>
    </row>
    <row r="7808">
      <c r="A7808" s="1">
        <v>5.0</v>
      </c>
      <c r="B7808" s="1" t="s">
        <v>7693</v>
      </c>
      <c r="C7808" t="str">
        <f>IFERROR(__xludf.DUMMYFUNCTION("GOOGLETRANSLATE(B7808, ""fr"", ""en"")"),"A very good clay clay to prepare yourself very easy to prepare you just add water and you have more than you spent on the left face for 10 minutes and rinse with warm water and your even softer skin will feel, it's a really great product")</f>
        <v>A very good clay clay to prepare yourself very easy to prepare you just add water and you have more than you spent on the left face for 10 minutes and rinse with warm water and your even softer skin will feel, it's a really great product</v>
      </c>
    </row>
    <row r="7809">
      <c r="A7809" s="1">
        <v>5.0</v>
      </c>
      <c r="B7809" s="1" t="s">
        <v>7694</v>
      </c>
      <c r="C7809" t="str">
        <f>IFERROR(__xludf.DUMMYFUNCTION("GOOGLETRANSLATE(B7809, ""fr"", ""en"")"),"Super bcp helmet more robust than the previous model. Buy because the old carsque was very fragile at the head clamp. This is bcp more robust and with great design with this chrome appearance. Take warranty with two additional years. The former was repaid"&amp;" us in full. We were able to buy the top model. My son is delighted.")</f>
        <v>Super bcp helmet more robust than the previous model. Buy because the old carsque was very fragile at the head clamp. This is bcp more robust and with great design with this chrome appearance. Take warranty with two additional years. The former was repaid us in full. We were able to buy the top model. My son is delighted.</v>
      </c>
    </row>
    <row r="7810">
      <c r="A7810" s="1">
        <v>5.0</v>
      </c>
      <c r="B7810" s="1" t="s">
        <v>7695</v>
      </c>
      <c r="C7810" t="str">
        <f>IFERROR(__xludf.DUMMYFUNCTION("GOOGLETRANSLATE(B7810, ""fr"", ""en"")"),"Impeccable very comfortable taking one size above Nice finish comfortable I am very pleased to see in the term")</f>
        <v>Impeccable very comfortable taking one size above Nice finish comfortable I am very pleased to see in the term</v>
      </c>
    </row>
    <row r="7811">
      <c r="A7811" s="1">
        <v>5.0</v>
      </c>
      <c r="B7811" s="1" t="s">
        <v>7696</v>
      </c>
      <c r="C7811" t="str">
        <f>IFERROR(__xludf.DUMMYFUNCTION("GOOGLETRANSLATE(B7811, ""fr"", ""en"")"),"LOSMILE Man shoulder bag, beautiful fabrics resistant, lots of storage. Recommended. LOSMILE Man shoulder bag entirely consistent with the description. Very satisfied, size is perfect, 1 filing returns A4 size, lots of storage, pockets. Very significant e"&amp;"xternal pockets, resistant fabrics and beautiful colors. recommended")</f>
        <v>LOSMILE Man shoulder bag, beautiful fabrics resistant, lots of storage. Recommended. LOSMILE Man shoulder bag entirely consistent with the description. Very satisfied, size is perfect, 1 filing returns A4 size, lots of storage, pockets. Very significant external pockets, resistant fabrics and beautiful colors. recommended</v>
      </c>
    </row>
    <row r="7812">
      <c r="A7812" s="1">
        <v>5.0</v>
      </c>
      <c r="B7812" s="1" t="s">
        <v>7697</v>
      </c>
      <c r="C7812" t="str">
        <f>IFERROR(__xludf.DUMMYFUNCTION("GOOGLETRANSLATE(B7812, ""fr"", ""en"")"),"Okay The product corresponds to the description and photo. Very comfortable. Received on the date planned. Thank you.")</f>
        <v>Okay The product corresponds to the description and photo. Very comfortable. Received on the date planned. Thank you.</v>
      </c>
    </row>
    <row r="7813">
      <c r="A7813" s="1">
        <v>5.0</v>
      </c>
      <c r="B7813" s="1" t="s">
        <v>7698</v>
      </c>
      <c r="C7813" t="str">
        <f>IFERROR(__xludf.DUMMYFUNCTION("GOOGLETRANSLATE(B7813, ""fr"", ""en"")"),"Bluetooth Earpiece Hello, Easy connection good sound and comfortable. Good value for money.")</f>
        <v>Bluetooth Earpiece Hello, Easy connection good sound and comfortable. Good value for money.</v>
      </c>
    </row>
    <row r="7814">
      <c r="A7814" s="1">
        <v>5.0</v>
      </c>
      <c r="B7814" s="1" t="s">
        <v>7699</v>
      </c>
      <c r="C7814" t="str">
        <f>IFERROR(__xludf.DUMMYFUNCTION("GOOGLETRANSLATE(B7814, ""fr"", ""en"")"),"good quality product produced good quality, bright colors, fast shipping and well packaged, the product has a good value, as in the store, more shipping is free, which allowed me to purchase this fast few days after September, following a new request for "&amp;"a professor.")</f>
        <v>good quality product produced good quality, bright colors, fast shipping and well packaged, the product has a good value, as in the store, more shipping is free, which allowed me to purchase this fast few days after September, following a new request for a professor.</v>
      </c>
    </row>
    <row r="7815">
      <c r="A7815" s="1">
        <v>5.0</v>
      </c>
      <c r="B7815" s="1" t="s">
        <v>7700</v>
      </c>
      <c r="C7815" t="str">
        <f>IFERROR(__xludf.DUMMYFUNCTION("GOOGLETRANSLATE(B7815, ""fr"", ""en"")"),"Super Basketball My daughter loves them were selected for basketball training and it's perfect")</f>
        <v>Super Basketball My daughter loves them were selected for basketball training and it's perfect</v>
      </c>
    </row>
    <row r="7816">
      <c r="A7816" s="1">
        <v>5.0</v>
      </c>
      <c r="B7816" s="1" t="s">
        <v>7701</v>
      </c>
      <c r="C7816" t="str">
        <f>IFERROR(__xludf.DUMMYFUNCTION("GOOGLETRANSLATE(B7816, ""fr"", ""en"")"),"I recommend Received quickly, it was great, easy to use with its touch screen, it heats, thawed, sterilizes, you can put two bottles at a time, small pots, c awesome and convenient. Do not take place. I love it")</f>
        <v>I recommend Received quickly, it was great, easy to use with its touch screen, it heats, thawed, sterilizes, you can put two bottles at a time, small pots, c awesome and convenient. Do not take place. I love it</v>
      </c>
    </row>
    <row r="7817">
      <c r="A7817" s="1">
        <v>5.0</v>
      </c>
      <c r="B7817" s="1" t="s">
        <v>7702</v>
      </c>
      <c r="C7817" t="str">
        <f>IFERROR(__xludf.DUMMYFUNCTION("GOOGLETRANSLATE(B7817, ""fr"", ""en"")"),"Very nice Very nice necklace in line with the photo")</f>
        <v>Very nice Very nice necklace in line with the photo</v>
      </c>
    </row>
    <row r="7818">
      <c r="A7818" s="1">
        <v>5.0</v>
      </c>
      <c r="B7818" s="1" t="s">
        <v>7703</v>
      </c>
      <c r="C7818" t="str">
        <f>IFERROR(__xludf.DUMMYFUNCTION("GOOGLETRANSLATE(B7818, ""fr"", ""en"")"),"Beautiful Gift sweatshirt made for Christmas Meets description and photo beautiful fabric and beautiful finish")</f>
        <v>Beautiful Gift sweatshirt made for Christmas Meets description and photo beautiful fabric and beautiful finish</v>
      </c>
    </row>
    <row r="7819">
      <c r="A7819" s="1">
        <v>2.0</v>
      </c>
      <c r="B7819" s="1" t="s">
        <v>7704</v>
      </c>
      <c r="C7819" t="str">
        <f>IFERROR(__xludf.DUMMYFUNCTION("GOOGLETRANSLATE(B7819, ""fr"", ""en"")"),"Pretty Good quality, yet very close to the toes.")</f>
        <v>Pretty Good quality, yet very close to the toes.</v>
      </c>
    </row>
    <row r="7820">
      <c r="A7820" s="1">
        <v>1.0</v>
      </c>
      <c r="B7820" s="1" t="s">
        <v>7705</v>
      </c>
      <c r="C7820" t="str">
        <f>IFERROR(__xludf.DUMMYFUNCTION("GOOGLETRANSLATE(B7820, ""fr"", ""en"")"),"Disappointing Destination: Kitchen pro Not suitable for very slippery, the foam padding to the rear shoes is not fixed, it is a short one bead strongly recommended product")</f>
        <v>Disappointing Destination: Kitchen pro Not suitable for very slippery, the foam padding to the rear shoes is not fixed, it is a short one bead strongly recommended product</v>
      </c>
    </row>
    <row r="7821">
      <c r="A7821" s="1">
        <v>1.0</v>
      </c>
      <c r="B7821" s="1" t="s">
        <v>7706</v>
      </c>
      <c r="C7821" t="str">
        <f>IFERROR(__xludf.DUMMYFUNCTION("GOOGLETRANSLATE(B7821, ""fr"", ""en"")"),"No one I have used this product for 2 Emants paste on wood. From zero points. No effect ... I do not recommend this product.")</f>
        <v>No one I have used this product for 2 Emants paste on wood. From zero points. No effect ... I do not recommend this product.</v>
      </c>
    </row>
    <row r="7822">
      <c r="A7822" s="1">
        <v>3.0</v>
      </c>
      <c r="B7822" s="1" t="s">
        <v>7707</v>
      </c>
      <c r="C7822" t="str">
        <f>IFERROR(__xludf.DUMMYFUNCTION("GOOGLETRANSLATE(B7822, ""fr"", ""en"")"),"Bad quality but light I expected better received just wrapped in plastic, with a shock after that recovered well. They are not as beautiful as the picture. The soles seem fine ... to do with use. They are very light c is appreciable.")</f>
        <v>Bad quality but light I expected better received just wrapped in plastic, with a shock after that recovered well. They are not as beautiful as the picture. The soles seem fine ... to do with use. They are very light c is appreciable.</v>
      </c>
    </row>
    <row r="7823">
      <c r="A7823" s="1">
        <v>4.0</v>
      </c>
      <c r="B7823" s="1" t="s">
        <v>7708</v>
      </c>
      <c r="C7823" t="str">
        <f>IFERROR(__xludf.DUMMYFUNCTION("GOOGLETRANSLATE(B7823, ""fr"", ""en"")"),"Improved noise reduction that may not justify the price Nothing to say. At first use the headset is really impressive in reducing noise. Even if you eventually get used to it, the headset is very satisfying. Perhaps it would be better to find another helm"&amp;"et with a better value because the noise reduction is certainly not the best but far exceeds that of other cheaper helmets.")</f>
        <v>Improved noise reduction that may not justify the price Nothing to say. At first use the headset is really impressive in reducing noise. Even if you eventually get used to it, the headset is very satisfying. Perhaps it would be better to find another helmet with a better value because the noise reduction is certainly not the best but far exceeds that of other cheaper helmets.</v>
      </c>
    </row>
    <row r="7824">
      <c r="A7824" s="1">
        <v>4.0</v>
      </c>
      <c r="B7824" s="1" t="s">
        <v>7709</v>
      </c>
      <c r="C7824" t="str">
        <f>IFERROR(__xludf.DUMMYFUNCTION("GOOGLETRANSLATE(B7824, ""fr"", ""en"")"),"My son is very happy The helmet has a nice look and a child generates sound right. I think the sound could have been a little more limited: sometimes the volume is too high.")</f>
        <v>My son is very happy The helmet has a nice look and a child generates sound right. I think the sound could have been a little more limited: sometimes the volume is too high.</v>
      </c>
    </row>
    <row r="7825">
      <c r="A7825" s="1">
        <v>4.0</v>
      </c>
      <c r="B7825" s="1" t="s">
        <v>7710</v>
      </c>
      <c r="C7825" t="str">
        <f>IFERROR(__xludf.DUMMYFUNCTION("GOOGLETRANSLATE(B7825, ""fr"", ""en"")"),"Very nice necklace Product in accordance with the photo by cons there is no certificate of authentication.")</f>
        <v>Very nice necklace Product in accordance with the photo by cons there is no certificate of authentication.</v>
      </c>
    </row>
    <row r="7826">
      <c r="A7826" s="1">
        <v>4.0</v>
      </c>
      <c r="B7826" s="1" t="s">
        <v>7711</v>
      </c>
      <c r="C7826" t="str">
        <f>IFERROR(__xludf.DUMMYFUNCTION("GOOGLETRANSLATE(B7826, ""fr"", ""en"")"),"compliant product I use it almost every day, it is very large which suits me well, the timer is handy to know how long it is on the other hand in terms of the effect I have to say that even after several months of use I do not know ...")</f>
        <v>compliant product I use it almost every day, it is very large which suits me well, the timer is handy to know how long it is on the other hand in terms of the effect I have to say that even after several months of use I do not know ...</v>
      </c>
    </row>
    <row r="7827">
      <c r="A7827" s="1">
        <v>5.0</v>
      </c>
      <c r="B7827" s="1" t="s">
        <v>7712</v>
      </c>
      <c r="C7827" t="str">
        <f>IFERROR(__xludf.DUMMYFUNCTION("GOOGLETRANSLATE(B7827, ""fr"", ""en"")"),"Bought very well matched with the coffee, this toaster is working fine. Pretty and interesting functions.")</f>
        <v>Bought very well matched with the coffee, this toaster is working fine. Pretty and interesting functions.</v>
      </c>
    </row>
    <row r="7828">
      <c r="A7828" s="1">
        <v>5.0</v>
      </c>
      <c r="B7828" s="1" t="s">
        <v>7713</v>
      </c>
      <c r="C7828" t="str">
        <f>IFERROR(__xludf.DUMMYFUNCTION("GOOGLETRANSLATE(B7828, ""fr"", ""en"")"),"Hyper glad I gave it to a friend Bib'expresso because I had one too and we're super excited !! The essential accessory !!! Especially at night ... in 30s chrono ready! My friend tried to go to cow's milk because her daughter was 1 year but is returned to "&amp;"glass milk powder because the microwave heating time is never the same and suddenly it's too hot or a sudden it is not hot enough ... I recommend eyes closed and especially to offer !!")</f>
        <v>Hyper glad I gave it to a friend Bib'expresso because I had one too and we're super excited !! The essential accessory !!! Especially at night ... in 30s chrono ready! My friend tried to go to cow's milk because her daughter was 1 year but is returned to glass milk powder because the microwave heating time is never the same and suddenly it's too hot or a sudden it is not hot enough ... I recommend eyes closed and especially to offer !!</v>
      </c>
    </row>
    <row r="7829">
      <c r="A7829" s="1">
        <v>5.0</v>
      </c>
      <c r="B7829" s="1" t="s">
        <v>7714</v>
      </c>
      <c r="C7829" t="str">
        <f>IFERROR(__xludf.DUMMYFUNCTION("GOOGLETRANSLATE(B7829, ""fr"", ""en"")"),"The best théeire perfect operation. Adapt ""personal"" according to the taste and tea.")</f>
        <v>The best théeire perfect operation. Adapt "personal" according to the taste and tea.</v>
      </c>
    </row>
    <row r="7830">
      <c r="A7830" s="1">
        <v>5.0</v>
      </c>
      <c r="B7830" s="1" t="s">
        <v>7715</v>
      </c>
      <c r="C7830" t="str">
        <f>IFERROR(__xludf.DUMMYFUNCTION("GOOGLETRANSLATE(B7830, ""fr"", ""en"")"),"Relieves relieves perfectly bags under the eyes brings a feeling of instant freshness. More effective than any cream")</f>
        <v>Relieves relieves perfectly bags under the eyes brings a feeling of instant freshness. More effective than any cream</v>
      </c>
    </row>
    <row r="7831">
      <c r="A7831" s="1">
        <v>5.0</v>
      </c>
      <c r="B7831" s="1" t="s">
        <v>7716</v>
      </c>
      <c r="C7831" t="str">
        <f>IFERROR(__xludf.DUMMYFUNCTION("GOOGLETRANSLATE(B7831, ""fr"", ""en"")"),"A gentle awakening No this is not a gimmick. Since I opted for this awakening to replace my morning beep beep classic revival is much more pleasant. I do not have to make me brutally assaulted by deafening ring. It is also an excellent bedside lamp, ideal"&amp;" for reading.")</f>
        <v>A gentle awakening No this is not a gimmick. Since I opted for this awakening to replace my morning beep beep classic revival is much more pleasant. I do not have to make me brutally assaulted by deafening ring. It is also an excellent bedside lamp, ideal for reading.</v>
      </c>
    </row>
    <row r="7832">
      <c r="A7832" s="1">
        <v>5.0</v>
      </c>
      <c r="B7832" s="1" t="s">
        <v>7717</v>
      </c>
      <c r="C7832" t="str">
        <f>IFERROR(__xludf.DUMMYFUNCTION("GOOGLETRANSLATE(B7832, ""fr"", ""en"")"),"Very good product good quality cable.")</f>
        <v>Very good product good quality cable.</v>
      </c>
    </row>
    <row r="7833">
      <c r="A7833" s="1">
        <v>5.0</v>
      </c>
      <c r="B7833" s="1" t="s">
        <v>7718</v>
      </c>
      <c r="C7833" t="str">
        <f>IFERROR(__xludf.DUMMYFUNCTION("GOOGLETRANSLATE(B7833, ""fr"", ""en"")"),"Satchel Bag bag completely satisfied matches")</f>
        <v>Satchel Bag bag completely satisfied matches</v>
      </c>
    </row>
    <row r="7834">
      <c r="A7834" s="1">
        <v>5.0</v>
      </c>
      <c r="B7834" s="1" t="s">
        <v>7719</v>
      </c>
      <c r="C7834" t="str">
        <f>IFERROR(__xludf.DUMMYFUNCTION("GOOGLETRANSLATE(B7834, ""fr"", ""en"")"),"great great sound")</f>
        <v>great great sound</v>
      </c>
    </row>
    <row r="7835">
      <c r="A7835" s="1">
        <v>5.0</v>
      </c>
      <c r="B7835" s="1" t="s">
        <v>7720</v>
      </c>
      <c r="C7835" t="str">
        <f>IFERROR(__xludf.DUMMYFUNCTION("GOOGLETRANSLATE(B7835, ""fr"", ""en"")"),"For a teenager This brand I was wearing teenager (I have 45 years) and my son has now .... In short fine quality appointments and beautiful colors")</f>
        <v>For a teenager This brand I was wearing teenager (I have 45 years) and my son has now .... In short fine quality appointments and beautiful colors</v>
      </c>
    </row>
    <row r="7836">
      <c r="A7836" s="1">
        <v>5.0</v>
      </c>
      <c r="B7836" s="1" t="s">
        <v>7721</v>
      </c>
      <c r="C7836" t="str">
        <f>IFERROR(__xludf.DUMMYFUNCTION("GOOGLETRANSLATE(B7836, ""fr"", ""en"")"),"top excellent product.")</f>
        <v>top excellent product.</v>
      </c>
    </row>
    <row r="7837">
      <c r="A7837" s="1">
        <v>5.0</v>
      </c>
      <c r="B7837" s="1" t="s">
        <v>7722</v>
      </c>
      <c r="C7837" t="str">
        <f>IFERROR(__xludf.DUMMYFUNCTION("GOOGLETRANSLATE(B7837, ""fr"", ""en"")"),"very good buy Lightweight, flexible, comfortable, everything is perfect. With aesthetics and more!")</f>
        <v>very good buy Lightweight, flexible, comfortable, everything is perfect. With aesthetics and more!</v>
      </c>
    </row>
    <row r="7838">
      <c r="A7838" s="1">
        <v>5.0</v>
      </c>
      <c r="B7838" s="1" t="s">
        <v>7723</v>
      </c>
      <c r="C7838" t="str">
        <f>IFERROR(__xludf.DUMMYFUNCTION("GOOGLETRANSLATE(B7838, ""fr"", ""en"")"),"tb RAS")</f>
        <v>tb RAS</v>
      </c>
    </row>
    <row r="7839">
      <c r="A7839" s="1">
        <v>5.0</v>
      </c>
      <c r="B7839" s="1" t="s">
        <v>7724</v>
      </c>
      <c r="C7839" t="str">
        <f>IFERROR(__xludf.DUMMYFUNCTION("GOOGLETRANSLATE(B7839, ""fr"", ""en"")"),"Super practical Well, I tell you right now, the whole ""anti-colic"" leaves me doubtful. But, apart from this, I find this bottle really well done. Good grip, easy to clean, dishwasher safe. My toddler loves nipples that go with it and refuses to drink wi"&amp;"th something else. One small problem: the markings are not super practical to check the amount of water.")</f>
        <v>Super practical Well, I tell you right now, the whole "anti-colic" leaves me doubtful. But, apart from this, I find this bottle really well done. Good grip, easy to clean, dishwasher safe. My toddler loves nipples that go with it and refuses to drink with something else. One small problem: the markings are not super practical to check the amount of water.</v>
      </c>
    </row>
    <row r="7840">
      <c r="A7840" s="1">
        <v>5.0</v>
      </c>
      <c r="B7840" s="1" t="s">
        <v>7725</v>
      </c>
      <c r="C7840" t="str">
        <f>IFERROR(__xludf.DUMMYFUNCTION("GOOGLETRANSLATE(B7840, ""fr"", ""en"")"),"Creativity right ...")</f>
        <v>Creativity right ...</v>
      </c>
    </row>
    <row r="7841">
      <c r="A7841" s="1">
        <v>5.0</v>
      </c>
      <c r="B7841" s="1" t="s">
        <v>7726</v>
      </c>
      <c r="C7841" t="str">
        <f>IFERROR(__xludf.DUMMYFUNCTION("GOOGLETRANSLATE(B7841, ""fr"", ""en"")"),"nice .... yes ... I launched myself and I left him more, washed, dried, and donned zoup ..... very good material, not wrinkle, do not fade, no need ironing, size the hair ....... I have an idea to make the fees another crayon .... and yes, satisfied all k"&amp;"inds .......... ............................... thank you seller! ps: cheap !!!!")</f>
        <v>nice .... yes ... I launched myself and I left him more, washed, dried, and donned zoup ..... very good material, not wrinkle, do not fade, no need ironing, size the hair ....... I have an idea to make the fees another crayon .... and yes, satisfied all kinds .......... ............................... thank you seller! ps: cheap !!!!</v>
      </c>
    </row>
    <row r="7842">
      <c r="A7842" s="1">
        <v>2.0</v>
      </c>
      <c r="B7842" s="1" t="s">
        <v>7727</v>
      </c>
      <c r="C7842" t="str">
        <f>IFERROR(__xludf.DUMMYFUNCTION("GOOGLETRANSLATE(B7842, ""fr"", ""en"")"),"poor product This looks like a sweatshirt but the material is too thin, it looks more like the T shirt ... In addition, the size is too big for the S ... Size shoulder is too large.")</f>
        <v>poor product This looks like a sweatshirt but the material is too thin, it looks more like the T shirt ... In addition, the size is too big for the S ... Size shoulder is too large.</v>
      </c>
    </row>
    <row r="7843">
      <c r="A7843" s="1">
        <v>1.0</v>
      </c>
      <c r="B7843" s="1" t="s">
        <v>7728</v>
      </c>
      <c r="C7843" t="str">
        <f>IFERROR(__xludf.DUMMYFUNCTION("GOOGLETRANSLATE(B7843, ""fr"", ""en"")"),"A SHIT !!! Clearly I do not recommend this really sucks! I've never seen it I receive them, I synchronizes and I put them, eh well ... live graisillement his shift, that any cut three seconds, I have to throw live Do NOT BUY THIS DOB")</f>
        <v>A SHIT !!! Clearly I do not recommend this really sucks! I've never seen it I receive them, I synchronizes and I put them, eh well ... live graisillement his shift, that any cut three seconds, I have to throw live Do NOT BUY THIS DOB</v>
      </c>
    </row>
    <row r="7844">
      <c r="A7844" s="1">
        <v>3.0</v>
      </c>
      <c r="B7844" s="1" t="s">
        <v>7729</v>
      </c>
      <c r="C7844" t="str">
        <f>IFERROR(__xludf.DUMMYFUNCTION("GOOGLETRANSLATE(B7844, ""fr"", ""en"")"),"So how Kezaco say ??? I wonder if these are not socks for women. It is true that the material is soft and looks good, however they are a little more transparent and we feel the cold that goes through. I'm not about to buy.")</f>
        <v>So how Kezaco say ??? I wonder if these are not socks for women. It is true that the material is soft and looks good, however they are a little more transparent and we feel the cold that goes through. I'm not about to buy.</v>
      </c>
    </row>
    <row r="7845">
      <c r="A7845" s="1">
        <v>3.0</v>
      </c>
      <c r="B7845" s="1" t="s">
        <v>7730</v>
      </c>
      <c r="C7845" t="str">
        <f>IFERROR(__xludf.DUMMYFUNCTION("GOOGLETRANSLATE(B7845, ""fr"", ""en"")"),"Diesel Watch I m expecting a large dial for diesel Tampi but it is still nice, very well to work the shot!")</f>
        <v>Diesel Watch I m expecting a large dial for diesel Tampi but it is still nice, very well to work the shot!</v>
      </c>
    </row>
    <row r="7846">
      <c r="A7846" s="1">
        <v>4.0</v>
      </c>
      <c r="B7846" s="1" t="s">
        <v>7731</v>
      </c>
      <c r="C7846" t="str">
        <f>IFERROR(__xludf.DUMMYFUNCTION("GOOGLETRANSLATE(B7846, ""fr"", ""en"")"),"This is a good product and good but too small size, make size up")</f>
        <v>This is a good product and good but too small size, make size up</v>
      </c>
    </row>
    <row r="7847">
      <c r="A7847" s="1">
        <v>4.0</v>
      </c>
      <c r="B7847" s="1" t="s">
        <v>7732</v>
      </c>
      <c r="C7847" t="str">
        <f>IFERROR(__xludf.DUMMYFUNCTION("GOOGLETRANSLATE(B7847, ""fr"", ""en"")"),"Massager Ball It feels used occasionally I find that it makes a can hurt the blow top vertebra c is not the kind of thing to often used occasionally relieving history can be 10mn weekend but good product is just a little time")</f>
        <v>Massager Ball It feels used occasionally I find that it makes a can hurt the blow top vertebra c is not the kind of thing to often used occasionally relieving history can be 10mn weekend but good product is just a little time</v>
      </c>
    </row>
    <row r="7848">
      <c r="A7848" s="1">
        <v>4.0</v>
      </c>
      <c r="B7848" s="1" t="s">
        <v>7733</v>
      </c>
      <c r="C7848" t="str">
        <f>IFERROR(__xludf.DUMMYFUNCTION("GOOGLETRANSLATE(B7848, ""fr"", ""en"")"),"A great coffee She just two defects, 1 the body of the kettle is very hot, so be careful to take good handle and the second is the need to unplug and re-plug the power cord to each use, even this fact make electric savings !!! Great design and choice of t"&amp;"emperatures perfect for teas.")</f>
        <v>A great coffee She just two defects, 1 the body of the kettle is very hot, so be careful to take good handle and the second is the need to unplug and re-plug the power cord to each use, even this fact make electric savings !!! Great design and choice of temperatures perfect for teas.</v>
      </c>
    </row>
    <row r="7849">
      <c r="A7849" s="1">
        <v>4.0</v>
      </c>
      <c r="B7849" s="1" t="s">
        <v>7734</v>
      </c>
      <c r="C7849" t="str">
        <f>IFERROR(__xludf.DUMMYFUNCTION("GOOGLETRANSLATE(B7849, ""fr"", ""en"")"),"A beautiful jewel. It's a nice pendant with the chain that has had its effect. It is presented in a beautiful box. I recommend it. Thank you.")</f>
        <v>A beautiful jewel. It's a nice pendant with the chain that has had its effect. It is presented in a beautiful box. I recommend it. Thank you.</v>
      </c>
    </row>
    <row r="7850">
      <c r="A7850" s="1">
        <v>5.0</v>
      </c>
      <c r="B7850" s="1" t="s">
        <v>7735</v>
      </c>
      <c r="C7850" t="str">
        <f>IFERROR(__xludf.DUMMYFUNCTION("GOOGLETRANSLATE(B7850, ""fr"", ""en"")"),"Splendid Very fast delivery and ahead. Very nice necklace with its box and storage pouch. Many times I buy at J.Rpsée and never disappointed in the quality of products.")</f>
        <v>Splendid Very fast delivery and ahead. Very nice necklace with its box and storage pouch. Many times I buy at J.Rpsée and never disappointed in the quality of products.</v>
      </c>
    </row>
    <row r="7851">
      <c r="A7851" s="1">
        <v>5.0</v>
      </c>
      <c r="B7851" s="1" t="s">
        <v>7736</v>
      </c>
      <c r="C7851" t="str">
        <f>IFERROR(__xludf.DUMMYFUNCTION("GOOGLETRANSLATE(B7851, ""fr"", ""en"")"),"soap that separates Can not do miracles and do the impossible but with a little energy it is very effective for recent and difficult stains to remove. Personally I use it to detach before entering the machine, the two combined give a very good result.")</f>
        <v>soap that separates Can not do miracles and do the impossible but with a little energy it is very effective for recent and difficult stains to remove. Personally I use it to detach before entering the machine, the two combined give a very good result.</v>
      </c>
    </row>
    <row r="7852">
      <c r="A7852" s="1">
        <v>5.0</v>
      </c>
      <c r="B7852" s="1" t="s">
        <v>7737</v>
      </c>
      <c r="C7852" t="str">
        <f>IFERROR(__xludf.DUMMYFUNCTION("GOOGLETRANSLATE(B7852, ""fr"", ""en"")"),"Having nickel orthotics, it is sometimes difficult to find shoes that I can put them. There, no worries, I am very comfortable in these shoes. I recommend.")</f>
        <v>Having nickel orthotics, it is sometimes difficult to find shoes that I can put them. There, no worries, I am very comfortable in these shoes. I recommend.</v>
      </c>
    </row>
    <row r="7853">
      <c r="A7853" s="1">
        <v>5.0</v>
      </c>
      <c r="B7853" s="1" t="s">
        <v>7738</v>
      </c>
      <c r="C7853" t="str">
        <f>IFERROR(__xludf.DUMMYFUNCTION("GOOGLETRANSLATE(B7853, ""fr"", ""en"")"),"Super impressive price / quality! Super magnification, the adjustment wheel is quite sensitive allowing a very good development. The attached pictures are made on my insects and snakes. Just one thing, zoom and snap buttons are not used, I use ""view otg"&amp;""" application on android it allows me to easily record pictures and videos.")</f>
        <v>Super impressive price / quality! Super magnification, the adjustment wheel is quite sensitive allowing a very good development. The attached pictures are made on my insects and snakes. Just one thing, zoom and snap buttons are not used, I use "view otg" application on android it allows me to easily record pictures and videos.</v>
      </c>
    </row>
    <row r="7854">
      <c r="A7854" s="1">
        <v>5.0</v>
      </c>
      <c r="B7854" s="1" t="s">
        <v>7739</v>
      </c>
      <c r="C7854" t="str">
        <f>IFERROR(__xludf.DUMMYFUNCTION("GOOGLETRANSLATE(B7854, ""fr"", ""en"")"),"A beautiful copy of the shirt and shorts official This is a beautiful copy of the jersey and the shorts. The articles are not the Nike official mark, but if that does not bother you, in which case they are of good quality")</f>
        <v>A beautiful copy of the shirt and shorts official This is a beautiful copy of the jersey and the shorts. The articles are not the Nike official mark, but if that does not bother you, in which case they are of good quality</v>
      </c>
    </row>
    <row r="7855">
      <c r="A7855" s="1">
        <v>5.0</v>
      </c>
      <c r="B7855" s="1" t="s">
        <v>7740</v>
      </c>
      <c r="C7855" t="str">
        <f>IFERROR(__xludf.DUMMYFUNCTION("GOOGLETRANSLATE(B7855, ""fr"", ""en"")"),"Hyper Hyper surprise sweet softness of this sweater, really happy, the color is the same as the photo presentation, the thread of the hood gives a little style, size is correct.")</f>
        <v>Hyper Hyper surprise sweet softness of this sweater, really happy, the color is the same as the photo presentation, the thread of the hood gives a little style, size is correct.</v>
      </c>
    </row>
    <row r="7856">
      <c r="A7856" s="1">
        <v>5.0</v>
      </c>
      <c r="B7856" s="1" t="s">
        <v>7741</v>
      </c>
      <c r="C7856" t="str">
        <f>IFERROR(__xludf.DUMMYFUNCTION("GOOGLETRANSLATE(B7856, ""fr"", ""en"")"),"I received the product pairs of shoes 1 day before the exact day I am very satisfied! Very good product I recommend ❤️")</f>
        <v>I received the product pairs of shoes 1 day before the exact day I am very satisfied! Very good product I recommend ❤️</v>
      </c>
    </row>
    <row r="7857">
      <c r="A7857" s="1">
        <v>5.0</v>
      </c>
      <c r="B7857" s="1" t="s">
        <v>7742</v>
      </c>
      <c r="C7857" t="str">
        <f>IFERROR(__xludf.DUMMYFUNCTION("GOOGLETRANSLATE(B7857, ""fr"", ""en"")"),"I had the same perfect and she broke down after suffering many hardships. I used the same hope that she will be as strong.")</f>
        <v>I had the same perfect and she broke down after suffering many hardships. I used the same hope that she will be as strong.</v>
      </c>
    </row>
    <row r="7858">
      <c r="A7858" s="1">
        <v>5.0</v>
      </c>
      <c r="B7858" s="1" t="s">
        <v>7743</v>
      </c>
      <c r="C7858" t="str">
        <f>IFERROR(__xludf.DUMMYFUNCTION("GOOGLETRANSLATE(B7858, ""fr"", ""en"")"),"I recommend! This is the second time I order this seller and is simply perfect every time. The very resistant material, the top comes off the bottom which is quite handy! Received not even 2/3 days!")</f>
        <v>I recommend! This is the second time I order this seller and is simply perfect every time. The very resistant material, the top comes off the bottom which is quite handy! Received not even 2/3 days!</v>
      </c>
    </row>
    <row r="7859">
      <c r="A7859" s="1">
        <v>5.0</v>
      </c>
      <c r="B7859" s="1" t="s">
        <v>7744</v>
      </c>
      <c r="C7859" t="str">
        <f>IFERROR(__xludf.DUMMYFUNCTION("GOOGLETRANSLATE(B7859, ""fr"", ""en"")"),"Cartridges well suited to my type of printer. I use these cartridges for HP Photosmart C5290 Canon printer. No complaints. Excellent quality. The award, all the same, not increased wrong. Deserves from time to time to make cuts!")</f>
        <v>Cartridges well suited to my type of printer. I use these cartridges for HP Photosmart C5290 Canon printer. No complaints. Excellent quality. The award, all the same, not increased wrong. Deserves from time to time to make cuts!</v>
      </c>
    </row>
    <row r="7860">
      <c r="A7860" s="1">
        <v>5.0</v>
      </c>
      <c r="B7860" s="1" t="s">
        <v>1261</v>
      </c>
      <c r="C7860" t="str">
        <f>IFERROR(__xludf.DUMMYFUNCTION("GOOGLETRANSLATE(B7860, ""fr"", ""en"")"),"good good")</f>
        <v>good good</v>
      </c>
    </row>
    <row r="7861">
      <c r="A7861" s="1">
        <v>5.0</v>
      </c>
      <c r="B7861" s="1" t="s">
        <v>7745</v>
      </c>
      <c r="C7861" t="str">
        <f>IFERROR(__xludf.DUMMYFUNCTION("GOOGLETRANSLATE(B7861, ""fr"", ""en"")"),"Fast delivery and product conformity Fast delivery and product conformity. Good quality product, easy to use and easy washing. Can also be used with bottles of other brands if required.")</f>
        <v>Fast delivery and product conformity Fast delivery and product conformity. Good quality product, easy to use and easy washing. Can also be used with bottles of other brands if required.</v>
      </c>
    </row>
    <row r="7862">
      <c r="A7862" s="1">
        <v>5.0</v>
      </c>
      <c r="B7862" s="1" t="s">
        <v>7746</v>
      </c>
      <c r="C7862" t="str">
        <f>IFERROR(__xludf.DUMMYFUNCTION("GOOGLETRANSLATE(B7862, ""fr"", ""en"")"),"Conforms Okay")</f>
        <v>Conforms Okay</v>
      </c>
    </row>
    <row r="7863">
      <c r="A7863" s="1">
        <v>5.0</v>
      </c>
      <c r="B7863" s="1" t="s">
        <v>7747</v>
      </c>
      <c r="C7863" t="str">
        <f>IFERROR(__xludf.DUMMYFUNCTION("GOOGLETRANSLATE(B7863, ""fr"", ""en"")"),"Bottle product just perfect my daughter has been virtually no collic with mam.ils bottles are delivered with 2 teats flow is allowing to give the thickened milk. The only negative thing is sterilization because it must dismantle all thing be little long a"&amp;"t the beginning")</f>
        <v>Bottle product just perfect my daughter has been virtually no collic with mam.ils bottles are delivered with 2 teats flow is allowing to give the thickened milk. The only negative thing is sterilization because it must dismantle all thing be little long at the beginning</v>
      </c>
    </row>
    <row r="7864">
      <c r="A7864" s="1">
        <v>5.0</v>
      </c>
      <c r="B7864" s="1" t="s">
        <v>7748</v>
      </c>
      <c r="C7864" t="str">
        <f>IFERROR(__xludf.DUMMYFUNCTION("GOOGLETRANSLATE(B7864, ""fr"", ""en"")"),"Glad Basic essential oils are present in this case, I offered with a small book plus it is complete, the display box is not very nice to &amp; amp; gift but the price is very interesting so I do not regret.")</f>
        <v>Glad Basic essential oils are present in this case, I offered with a small book plus it is complete, the display box is not very nice to &amp; amp; gift but the price is very interesting so I do not regret.</v>
      </c>
    </row>
    <row r="7865">
      <c r="A7865" s="1">
        <v>2.0</v>
      </c>
      <c r="B7865" s="1" t="s">
        <v>7749</v>
      </c>
      <c r="C7865" t="str">
        <f>IFERROR(__xludf.DUMMYFUNCTION("GOOGLETRANSLATE(B7865, ""fr"", ""en"")"),"lack of professionalism of the sender Hello I received the item off with tape to keep the top and bottom. It's a shame !!!!!! No return is possible product containing liquid !!!! Apart, the product is very effective on the seats and trim fabric doors.")</f>
        <v>lack of professionalism of the sender Hello I received the item off with tape to keep the top and bottom. It's a shame !!!!!! No return is possible product containing liquid !!!! Apart, the product is very effective on the seats and trim fabric doors.</v>
      </c>
    </row>
    <row r="7866">
      <c r="A7866" s="1">
        <v>1.0</v>
      </c>
      <c r="B7866" s="1" t="s">
        <v>7750</v>
      </c>
      <c r="C7866" t="str">
        <f>IFERROR(__xludf.DUMMYFUNCTION("GOOGLETRANSLATE(B7866, ""fr"", ""en"")"),"Poor quality Bought the rapid breakdown 10/30/18 and already down !!!! What to do?")</f>
        <v>Poor quality Bought the rapid breakdown 10/30/18 and already down !!!! What to do?</v>
      </c>
    </row>
    <row r="7867">
      <c r="A7867" s="1">
        <v>1.0</v>
      </c>
      <c r="B7867" s="1" t="s">
        <v>7751</v>
      </c>
      <c r="C7867" t="str">
        <f>IFERROR(__xludf.DUMMYFUNCTION("GOOGLETRANSLATE(B7867, ""fr"", ""en"")"),"Poor bracelet off alone after a month. Unable to run Bluetooth. Casio is not what it was. I should have bought a Chinese watch. At least I will have lost less ...")</f>
        <v>Poor bracelet off alone after a month. Unable to run Bluetooth. Casio is not what it was. I should have bought a Chinese watch. At least I will have lost less ...</v>
      </c>
    </row>
    <row r="7868">
      <c r="A7868" s="1">
        <v>3.0</v>
      </c>
      <c r="B7868" s="1" t="s">
        <v>7752</v>
      </c>
      <c r="C7868" t="str">
        <f>IFERROR(__xludf.DUMMYFUNCTION("GOOGLETRANSLATE(B7868, ""fr"", ""en"")"),"Merrell Product arrived on time. State and impeccable packaging. Size adapted. By cons, Merrell is really more what it was in the past. The shoe wears relatively quickly.")</f>
        <v>Merrell Product arrived on time. State and impeccable packaging. Size adapted. By cons, Merrell is really more what it was in the past. The shoe wears relatively quickly.</v>
      </c>
    </row>
    <row r="7869">
      <c r="A7869" s="1">
        <v>3.0</v>
      </c>
      <c r="B7869" s="1" t="s">
        <v>7753</v>
      </c>
      <c r="C7869" t="str">
        <f>IFERROR(__xludf.DUMMYFUNCTION("GOOGLETRANSLATE(B7869, ""fr"", ""en"")"),"A little disappointed with the bracelet that is too rhinestones for my taste .... As stated in my title, I find the bracelet too sparkling and blingbling my taste (white dial and strap model money). In the picture I could not see if the bracelet ""rhinest"&amp;"ones"". Indeed, the latter being very bright, it gives it a more feminine appearance than men. I'll see to change because I think despite all the beautiful dial, fine and elegant.")</f>
        <v>A little disappointed with the bracelet that is too rhinestones for my taste .... As stated in my title, I find the bracelet too sparkling and blingbling my taste (white dial and strap model money). In the picture I could not see if the bracelet "rhinestones". Indeed, the latter being very bright, it gives it a more feminine appearance than men. I'll see to change because I think despite all the beautiful dial, fine and elegant.</v>
      </c>
    </row>
    <row r="7870">
      <c r="A7870" s="1">
        <v>4.0</v>
      </c>
      <c r="B7870" s="1" t="s">
        <v>7754</v>
      </c>
      <c r="C7870" t="str">
        <f>IFERROR(__xludf.DUMMYFUNCTION("GOOGLETRANSLATE(B7870, ""fr"", ""en"")"),"Trainers as the picture Beautiful basketball like the photo with 2 satin laces a pair and another normal! Size normally!")</f>
        <v>Trainers as the picture Beautiful basketball like the photo with 2 satin laces a pair and another normal! Size normally!</v>
      </c>
    </row>
    <row r="7871">
      <c r="A7871" s="1">
        <v>4.0</v>
      </c>
      <c r="B7871" s="1" t="s">
        <v>7755</v>
      </c>
      <c r="C7871" t="str">
        <f>IFERROR(__xludf.DUMMYFUNCTION("GOOGLETRANSLATE(B7871, ""fr"", ""en"")"),"nickel green is really green, I love it! Well cut, comfortable to wear, pure sweat! hood not as great as in my dreams ... but I dream a lot ... great, especially for the price! ;-)")</f>
        <v>nickel green is really green, I love it! Well cut, comfortable to wear, pure sweat! hood not as great as in my dreams ... but I dream a lot ... great, especially for the price! ;-)</v>
      </c>
    </row>
    <row r="7872">
      <c r="A7872" s="1">
        <v>4.0</v>
      </c>
      <c r="B7872" s="1" t="s">
        <v>7756</v>
      </c>
      <c r="C7872" t="str">
        <f>IFERROR(__xludf.DUMMYFUNCTION("GOOGLETRANSLATE(B7872, ""fr"", ""en"")"),"-Excellent nice watch very practical value. Watch received very quickly in its original packaging, new. Everything is going well has provided you follow the setup procedure in the manual (a read carefully), namely: - Imperatively, starting with the select"&amp;"ion of the region which will be used to watch; in this case I selected PARIS (PAR), and then I followed the setup procedure; in this regard, we must emphasize the ability to adjust the day of indications, French dated which is a real plus! Then the evenin"&amp;"g before bedtime put the watch in the 12 o'clock position facing north to what shall automatically have the time, the day and the exact date as soon Midnight. The metal strap is too long, I had to remove 4 links to adjust to the contour of my wrist, witho"&amp;"ut particular difficulty through video tutorials posted on the Internet; otherwise, the jeweler will be happy to do it through 10 €. I am very satisfied with my purchase which presents an exceptional value.")</f>
        <v>-Excellent nice watch very practical value. Watch received very quickly in its original packaging, new. Everything is going well has provided you follow the setup procedure in the manual (a read carefully), namely: - Imperatively, starting with the selection of the region which will be used to watch; in this case I selected PARIS (PAR), and then I followed the setup procedure; in this regard, we must emphasize the ability to adjust the day of indications, French dated which is a real plus! Then the evening before bedtime put the watch in the 12 o'clock position facing north to what shall automatically have the time, the day and the exact date as soon Midnight. The metal strap is too long, I had to remove 4 links to adjust to the contour of my wrist, without particular difficulty through video tutorials posted on the Internet; otherwise, the jeweler will be happy to do it through 10 €. I am very satisfied with my purchase which presents an exceptional value.</v>
      </c>
    </row>
    <row r="7873">
      <c r="A7873" s="1">
        <v>4.0</v>
      </c>
      <c r="B7873" s="1" t="s">
        <v>7757</v>
      </c>
      <c r="C7873" t="str">
        <f>IFERROR(__xludf.DUMMYFUNCTION("GOOGLETRANSLATE(B7873, ""fr"", ""en"")"),"black ink cartridge I buy is black ink cartridges for Canon and I am satisfied with the quality and price, I recommend this product")</f>
        <v>black ink cartridge I buy is black ink cartridges for Canon and I am satisfied with the quality and price, I recommend this product</v>
      </c>
    </row>
    <row r="7874">
      <c r="A7874" s="1">
        <v>5.0</v>
      </c>
      <c r="B7874" s="1" t="s">
        <v>7758</v>
      </c>
      <c r="C7874" t="str">
        <f>IFERROR(__xludf.DUMMYFUNCTION("GOOGLETRANSLATE(B7874, ""fr"", ""en"")"),"Noise Reduction extra I spend a Beat Studio 3 to Sony. The latter is more lightweight, well-balanced sound. The application allows to adjust the different noise reduction mode (Office, Walking, Running, Transport), you can filter the voices of other noise"&amp;"s. The finish is as good as Bose Q35ii. The lightweight carrying case and well finished. A great product. It includes both the ears without compressing (which I blamed my Beat).")</f>
        <v>Noise Reduction extra I spend a Beat Studio 3 to Sony. The latter is more lightweight, well-balanced sound. The application allows to adjust the different noise reduction mode (Office, Walking, Running, Transport), you can filter the voices of other noises. The finish is as good as Bose Q35ii. The lightweight carrying case and well finished. A great product. It includes both the ears without compressing (which I blamed my Beat).</v>
      </c>
    </row>
    <row r="7875">
      <c r="A7875" s="1">
        <v>5.0</v>
      </c>
      <c r="B7875" s="1" t="s">
        <v>7759</v>
      </c>
      <c r="C7875" t="str">
        <f>IFERROR(__xludf.DUMMYFUNCTION("GOOGLETRANSLATE(B7875, ""fr"", ""en"")"),"super convenient I order this chest bag for a trip last weekend and I must say it's great practice, it is of good quality and really nice shoulder even after several hours at my shoulder with the bag full no pain which is not the case in my previous bag w"&amp;"hile rest hand door so super convenient;)")</f>
        <v>super convenient I order this chest bag for a trip last weekend and I must say it's great practice, it is of good quality and really nice shoulder even after several hours at my shoulder with the bag full no pain which is not the case in my previous bag while rest hand door so super convenient;)</v>
      </c>
    </row>
    <row r="7876">
      <c r="A7876" s="1">
        <v>5.0</v>
      </c>
      <c r="B7876" s="1" t="s">
        <v>7760</v>
      </c>
      <c r="C7876" t="str">
        <f>IFERROR(__xludf.DUMMYFUNCTION("GOOGLETRANSLATE(B7876, ""fr"", ""en"")"),"Classic Meets my expectations")</f>
        <v>Classic Meets my expectations</v>
      </c>
    </row>
    <row r="7877">
      <c r="A7877" s="1">
        <v>5.0</v>
      </c>
      <c r="B7877" s="1" t="s">
        <v>7761</v>
      </c>
      <c r="C7877" t="str">
        <f>IFERROR(__xludf.DUMMYFUNCTION("GOOGLETRANSLATE(B7877, ""fr"", ""en"")"),"SUPER hot! Filled well warmly dessu waterproof. Never wet feet. The boots are comfortable like a glove. For poiture, take one size bigger.")</f>
        <v>SUPER hot! Filled well warmly dessu waterproof. Never wet feet. The boots are comfortable like a glove. For poiture, take one size bigger.</v>
      </c>
    </row>
    <row r="7878">
      <c r="A7878" s="1">
        <v>5.0</v>
      </c>
      <c r="B7878" s="1" t="s">
        <v>7762</v>
      </c>
      <c r="C7878" t="str">
        <f>IFERROR(__xludf.DUMMYFUNCTION("GOOGLETRANSLATE(B7878, ""fr"", ""en"")"),"not very pretty disappointed, I will be proud to offer")</f>
        <v>not very pretty disappointed, I will be proud to offer</v>
      </c>
    </row>
    <row r="7879">
      <c r="A7879" s="1">
        <v>5.0</v>
      </c>
      <c r="B7879" s="1" t="s">
        <v>7763</v>
      </c>
      <c r="C7879" t="str">
        <f>IFERROR(__xludf.DUMMYFUNCTION("GOOGLETRANSLATE(B7879, ""fr"", ""en"")"),"Relaxation and relief after an operation of a prosthesis (1mois1 / 2) holds and much relieved. The electrodes a little light we do not really feel. Otherwise the whole product very correct.")</f>
        <v>Relaxation and relief after an operation of a prosthesis (1mois1 / 2) holds and much relieved. The electrodes a little light we do not really feel. Otherwise the whole product very correct.</v>
      </c>
    </row>
    <row r="7880">
      <c r="A7880" s="1">
        <v>5.0</v>
      </c>
      <c r="B7880" s="1" t="s">
        <v>7764</v>
      </c>
      <c r="C7880" t="str">
        <f>IFERROR(__xludf.DUMMYFUNCTION("GOOGLETRANSLATE(B7880, ""fr"", ""en"")"),"Very pretty good watch shows.")</f>
        <v>Very pretty good watch shows.</v>
      </c>
    </row>
    <row r="7881">
      <c r="A7881" s="1">
        <v>5.0</v>
      </c>
      <c r="B7881" s="1" t="s">
        <v>7765</v>
      </c>
      <c r="C7881" t="str">
        <f>IFERROR(__xludf.DUMMYFUNCTION("GOOGLETRANSLATE(B7881, ""fr"", ""en"")"),"patafix great product!")</f>
        <v>patafix great product!</v>
      </c>
    </row>
    <row r="7882">
      <c r="A7882" s="1">
        <v>5.0</v>
      </c>
      <c r="B7882" s="1" t="s">
        <v>7766</v>
      </c>
      <c r="C7882" t="str">
        <f>IFERROR(__xludf.DUMMYFUNCTION("GOOGLETRANSLATE(B7882, ""fr"", ""en"")"),"super comfortable with nice worn perfect for sports")</f>
        <v>super comfortable with nice worn perfect for sports</v>
      </c>
    </row>
    <row r="7883">
      <c r="A7883" s="1">
        <v>5.0</v>
      </c>
      <c r="B7883" s="1" t="s">
        <v>7767</v>
      </c>
      <c r="C7883" t="str">
        <f>IFERROR(__xludf.DUMMYFUNCTION("GOOGLETRANSLATE(B7883, ""fr"", ""en"")"),"Perfect product Easy to adjust and very soft lights.")</f>
        <v>Perfect product Easy to adjust and very soft lights.</v>
      </c>
    </row>
    <row r="7884">
      <c r="A7884" s="1">
        <v>5.0</v>
      </c>
      <c r="B7884" s="1" t="s">
        <v>7768</v>
      </c>
      <c r="C7884" t="str">
        <f>IFERROR(__xludf.DUMMYFUNCTION("GOOGLETRANSLATE(B7884, ""fr"", ""en"")"),"Very happy Comes in a pretty box, the presentation is neat. The bracelet is very pretty and is working. Present but not imposing it is perfect for parties or events.")</f>
        <v>Very happy Comes in a pretty box, the presentation is neat. The bracelet is very pretty and is working. Present but not imposing it is perfect for parties or events.</v>
      </c>
    </row>
    <row r="7885">
      <c r="A7885" s="1">
        <v>5.0</v>
      </c>
      <c r="B7885" s="1" t="s">
        <v>7769</v>
      </c>
      <c r="C7885" t="str">
        <f>IFERROR(__xludf.DUMMYFUNCTION("GOOGLETRANSLATE(B7885, ""fr"", ""en"")"),"Very well ! Lumino efficient lamp that emits a beautiful light. Lets wake up in a good mood. In winter it's been a crazy good morale :)")</f>
        <v>Very well ! Lumino efficient lamp that emits a beautiful light. Lets wake up in a good mood. In winter it's been a crazy good morale :)</v>
      </c>
    </row>
    <row r="7886">
      <c r="A7886" s="1">
        <v>5.0</v>
      </c>
      <c r="B7886" s="1" t="s">
        <v>7770</v>
      </c>
      <c r="C7886" t="str">
        <f>IFERROR(__xludf.DUMMYFUNCTION("GOOGLETRANSLATE(B7886, ""fr"", ""en"")"),"low alarm to wake courtyard A good, clear and amuses my daughters.")</f>
        <v>low alarm to wake courtyard A good, clear and amuses my daughters.</v>
      </c>
    </row>
    <row r="7887">
      <c r="A7887" s="1">
        <v>5.0</v>
      </c>
      <c r="B7887" s="1" t="s">
        <v>7771</v>
      </c>
      <c r="C7887" t="str">
        <f>IFERROR(__xludf.DUMMYFUNCTION("GOOGLETRANSLATE(B7887, ""fr"", ""en"")"),"satisfied I installed it immediately to remove moisture in a small room and it works very bien.Certains stored products had condensation, this one is plus.Très well.")</f>
        <v>satisfied I installed it immediately to remove moisture in a small room and it works very bien.Certains stored products had condensation, this one is plus.Très well.</v>
      </c>
    </row>
    <row r="7888">
      <c r="A7888" s="1">
        <v>5.0</v>
      </c>
      <c r="B7888" s="1" t="s">
        <v>7772</v>
      </c>
      <c r="C7888" t="str">
        <f>IFERROR(__xludf.DUMMYFUNCTION("GOOGLETRANSLATE(B7888, ""fr"", ""en"")"),"Very nice So reading some negative reviews, I almost did not buy it. Then I listened to my instinct and I'm right. I am very happy of this jacket. Beautiful cut, sewing beautiful, very elegant. It suits me as it should. I bought it for that period, by mid"&amp;"-season. perfect jacket for mid-season. The price is affordable. I recommend")</f>
        <v>Very nice So reading some negative reviews, I almost did not buy it. Then I listened to my instinct and I'm right. I am very happy of this jacket. Beautiful cut, sewing beautiful, very elegant. It suits me as it should. I bought it for that period, by mid-season. perfect jacket for mid-season. The price is affordable. I recommend</v>
      </c>
    </row>
    <row r="7889">
      <c r="A7889" s="1">
        <v>2.0</v>
      </c>
      <c r="B7889" s="1" t="s">
        <v>7773</v>
      </c>
      <c r="C7889" t="str">
        <f>IFERROR(__xludf.DUMMYFUNCTION("GOOGLETRANSLATE(B7889, ""fr"", ""en"")"),"No precise and unnecessary. Warning ! I had not read the technical indications that make it clear: ""Temperature tolerance: +/- 2.0 ° F (+/- 1.1 ° C)"" And actually placing them side by side I see 2 degrees gap between the outer tube and the base. I do no"&amp;"t understand how we could be satisfied with such imprecision. So I will return. It's a shame because apart from that everything else is good; display, installation, documentation.")</f>
        <v>No precise and unnecessary. Warning ! I had not read the technical indications that make it clear: "Temperature tolerance: +/- 2.0 ° F (+/- 1.1 ° C)" And actually placing them side by side I see 2 degrees gap between the outer tube and the base. I do not understand how we could be satisfied with such imprecision. So I will return. It's a shame because apart from that everything else is good; display, installation, documentation.</v>
      </c>
    </row>
    <row r="7890">
      <c r="A7890" s="1">
        <v>1.0</v>
      </c>
      <c r="B7890" s="1" t="s">
        <v>7774</v>
      </c>
      <c r="C7890" t="str">
        <f>IFERROR(__xludf.DUMMYFUNCTION("GOOGLETRANSLATE(B7890, ""fr"", ""en"")"),"Too big too big")</f>
        <v>Too big too big</v>
      </c>
    </row>
    <row r="7891">
      <c r="A7891" s="1">
        <v>1.0</v>
      </c>
      <c r="B7891" s="1" t="s">
        <v>7775</v>
      </c>
      <c r="C7891" t="str">
        <f>IFERROR(__xludf.DUMMYFUNCTION("GOOGLETRANSLATE(B7891, ""fr"", ""en"")"),"I am disappointed Banal commonplace Article I disappointed")</f>
        <v>I am disappointed Banal commonplace Article I disappointed</v>
      </c>
    </row>
    <row r="7892">
      <c r="A7892" s="1">
        <v>3.0</v>
      </c>
      <c r="B7892" s="1" t="s">
        <v>7776</v>
      </c>
      <c r="C7892" t="str">
        <f>IFERROR(__xludf.DUMMYFUNCTION("GOOGLETRANSLATE(B7892, ""fr"", ""en"")"),"nothing special to walk well on excuse but stupid silly answer questions")</f>
        <v>nothing special to walk well on excuse but stupid silly answer questions</v>
      </c>
    </row>
    <row r="7893">
      <c r="A7893" s="1">
        <v>4.0</v>
      </c>
      <c r="B7893" s="1" t="s">
        <v>7777</v>
      </c>
      <c r="C7893" t="str">
        <f>IFERROR(__xludf.DUMMYFUNCTION("GOOGLETRANSLATE(B7893, ""fr"", ""en"")"),"a pair of lightweight and comfortable shoe A good pair of affordable and lightweight shoe. Maintain good foot. A beautiful cut. Material seems strong enough to see out the distance.")</f>
        <v>a pair of lightweight and comfortable shoe A good pair of affordable and lightweight shoe. Maintain good foot. A beautiful cut. Material seems strong enough to see out the distance.</v>
      </c>
    </row>
    <row r="7894">
      <c r="A7894" s="1">
        <v>4.0</v>
      </c>
      <c r="B7894" s="1" t="s">
        <v>7778</v>
      </c>
      <c r="C7894" t="str">
        <f>IFERROR(__xludf.DUMMYFUNCTION("GOOGLETRANSLATE(B7894, ""fr"", ""en"")"),"Pretty nice little gift for a gift ... a little small")</f>
        <v>Pretty nice little gift for a gift ... a little small</v>
      </c>
    </row>
    <row r="7895">
      <c r="A7895" s="1">
        <v>4.0</v>
      </c>
      <c r="B7895" s="1" t="s">
        <v>7779</v>
      </c>
      <c r="C7895" t="str">
        <f>IFERROR(__xludf.DUMMYFUNCTION("GOOGLETRANSLATE(B7895, ""fr"", ""en"")"),"pity pity I made a XXL to be quiet alas size a bit small so just go right to me. Otherwise it is good factory and like you a lot. Just thought to take a size bigger. color complies")</f>
        <v>pity pity I made a XXL to be quiet alas size a bit small so just go right to me. Otherwise it is good factory and like you a lot. Just thought to take a size bigger. color complies</v>
      </c>
    </row>
    <row r="7896">
      <c r="A7896" s="1">
        <v>4.0</v>
      </c>
      <c r="B7896" s="1" t="s">
        <v>7780</v>
      </c>
      <c r="C7896" t="str">
        <f>IFERROR(__xludf.DUMMYFUNCTION("GOOGLETRANSLATE(B7896, ""fr"", ""en"")"),"To 1 foot that turns what is the case of a mine no maintenance so it shows Hello I have big feet very comfortable shoes easy to look unique with 1 foot long enough for 1 large size 42 for example If the foot tends to turn what is the case of one of my fee"&amp;"t there is no real maintenance solution is likely to take 43 what is possible with a sole other ... the record is not good to foot that turns")</f>
        <v>To 1 foot that turns what is the case of a mine no maintenance so it shows Hello I have big feet very comfortable shoes easy to look unique with 1 foot long enough for 1 large size 42 for example If the foot tends to turn what is the case of one of my feet there is no real maintenance solution is likely to take 43 what is possible with a sole other ... the record is not good to foot that turns</v>
      </c>
    </row>
    <row r="7897">
      <c r="A7897" s="1">
        <v>4.0</v>
      </c>
      <c r="B7897" s="1" t="s">
        <v>7781</v>
      </c>
      <c r="C7897" t="str">
        <f>IFERROR(__xludf.DUMMYFUNCTION("GOOGLETRANSLATE(B7897, ""fr"", ""en"")"),"270x210 bank calendar. this is the one I ordered, it arrived in its correct packaging. I'm happy with this purchase.")</f>
        <v>270x210 bank calendar. this is the one I ordered, it arrived in its correct packaging. I'm happy with this purchase.</v>
      </c>
    </row>
    <row r="7898">
      <c r="A7898" s="1">
        <v>5.0</v>
      </c>
      <c r="B7898" s="1" t="s">
        <v>7782</v>
      </c>
      <c r="C7898" t="str">
        <f>IFERROR(__xludf.DUMMYFUNCTION("GOOGLETRANSLATE(B7898, ""fr"", ""en"")"),"LIGE Men Watch As in the explanation, Great show, Great colors, absolutely comfortable, I liked it, I recommend them.")</f>
        <v>LIGE Men Watch As in the explanation, Great show, Great colors, absolutely comfortable, I liked it, I recommend them.</v>
      </c>
    </row>
    <row r="7899">
      <c r="A7899" s="1">
        <v>5.0</v>
      </c>
      <c r="B7899" s="1" t="s">
        <v>7783</v>
      </c>
      <c r="C7899" t="str">
        <f>IFERROR(__xludf.DUMMYFUNCTION("GOOGLETRANSLATE(B7899, ""fr"", ""en"")"),"Here resistant property to the wrist, is perfectly sealed. I almost never removes it, is still on my wrist since 3 months and still works despite everything I make him suffer")</f>
        <v>Here resistant property to the wrist, is perfectly sealed. I almost never removes it, is still on my wrist since 3 months and still works despite everything I make him suffer</v>
      </c>
    </row>
    <row r="7900">
      <c r="A7900" s="1">
        <v>5.0</v>
      </c>
      <c r="B7900" s="1" t="s">
        <v>7784</v>
      </c>
      <c r="C7900" t="str">
        <f>IFERROR(__xludf.DUMMYFUNCTION("GOOGLETRANSLATE(B7900, ""fr"", ""en"")"),"superb very beautiful earrings, elegant, impeccable in silver, they are really lovely, perfect size I'm very happy")</f>
        <v>superb very beautiful earrings, elegant, impeccable in silver, they are really lovely, perfect size I'm very happy</v>
      </c>
    </row>
    <row r="7901">
      <c r="A7901" s="1">
        <v>5.0</v>
      </c>
      <c r="B7901" s="1" t="s">
        <v>7785</v>
      </c>
      <c r="C7901" t="str">
        <f>IFERROR(__xludf.DUMMYFUNCTION("GOOGLETRANSLATE(B7901, ""fr"", ""en"")"),"This handy microphone does not take place and is very convenient to use. No battery and no light switch. Combined with a windshield anti wind, you will have a very good sound. Moreover, RODE is a brand that needs no introduction.")</f>
        <v>This handy microphone does not take place and is very convenient to use. No battery and no light switch. Combined with a windshield anti wind, you will have a very good sound. Moreover, RODE is a brand that needs no introduction.</v>
      </c>
    </row>
    <row r="7902">
      <c r="A7902" s="1">
        <v>5.0</v>
      </c>
      <c r="B7902" s="1" t="s">
        <v>7786</v>
      </c>
      <c r="C7902" t="str">
        <f>IFERROR(__xludf.DUMMYFUNCTION("GOOGLETRANSLATE(B7902, ""fr"", ""en"")"),"👍🏼 👍🏼")</f>
        <v>👍🏼 👍🏼</v>
      </c>
    </row>
    <row r="7903">
      <c r="A7903" s="1">
        <v>5.0</v>
      </c>
      <c r="B7903" s="1" t="s">
        <v>7787</v>
      </c>
      <c r="C7903" t="str">
        <f>IFERROR(__xludf.DUMMYFUNCTION("GOOGLETRANSLATE(B7903, ""fr"", ""en"")"),"The quality Losvick I love this headset. The sound was much better than what I had before. The sound is correct. The earpiece is good quality sound. I am satisfied. I recommend.")</f>
        <v>The quality Losvick I love this headset. The sound was much better than what I had before. The sound is correct. The earpiece is good quality sound. I am satisfied. I recommend.</v>
      </c>
    </row>
    <row r="7904">
      <c r="A7904" s="1">
        <v>5.0</v>
      </c>
      <c r="B7904" s="1" t="s">
        <v>7788</v>
      </c>
      <c r="C7904" t="str">
        <f>IFERROR(__xludf.DUMMYFUNCTION("GOOGLETRANSLATE(B7904, ""fr"", ""en"")"),"Superb diffuser Essential oil diffuser, a brave, long service life and very pleasant with the changing colors. modern form, fits perfectly into any interior. I am satisfied")</f>
        <v>Superb diffuser Essential oil diffuser, a brave, long service life and very pleasant with the changing colors. modern form, fits perfectly into any interior. I am satisfied</v>
      </c>
    </row>
    <row r="7905">
      <c r="A7905" s="1">
        <v>5.0</v>
      </c>
      <c r="B7905" s="1" t="s">
        <v>7789</v>
      </c>
      <c r="C7905" t="str">
        <f>IFERROR(__xludf.DUMMYFUNCTION("GOOGLETRANSLATE(B7905, ""fr"", ""en"")"),"Great gift idea! Very pretty ! I bought this jewelry to give to my sister as beautiful birthday present. She loved it! Green is her favorite color and she loved this pretty green. Also this jewelry is shiny and not too imposing. Excellent gift idea!")</f>
        <v>Great gift idea! Very pretty ! I bought this jewelry to give to my sister as beautiful birthday present. She loved it! Green is her favorite color and she loved this pretty green. Also this jewelry is shiny and not too imposing. Excellent gift idea!</v>
      </c>
    </row>
    <row r="7906">
      <c r="A7906" s="1">
        <v>5.0</v>
      </c>
      <c r="B7906" s="1" t="s">
        <v>7790</v>
      </c>
      <c r="C7906" t="str">
        <f>IFERROR(__xludf.DUMMYFUNCTION("GOOGLETRANSLATE(B7906, ""fr"", ""en"")"),"Very satisfied I am very happy with my purchase, the product conforms to the photo. Color super nice, fast delivery as always. I highly recommend")</f>
        <v>Very satisfied I am very happy with my purchase, the product conforms to the photo. Color super nice, fast delivery as always. I highly recommend</v>
      </c>
    </row>
    <row r="7907">
      <c r="A7907" s="1">
        <v>5.0</v>
      </c>
      <c r="B7907" s="1" t="s">
        <v>7791</v>
      </c>
      <c r="C7907" t="str">
        <f>IFERROR(__xludf.DUMMYFUNCTION("GOOGLETRANSLATE(B7907, ""fr"", ""en"")"),"My daughter is a fan of this micro quality is surprising for a toy. Once the children lying, it happens to us to use it for karaoke nights with pals. One can even make a pro installation: the song comes from the phone via bluetooth on the microphone and t"&amp;"he microphone (song + voice) to share an enclosure. It's like being on stage!")</f>
        <v>My daughter is a fan of this micro quality is surprising for a toy. Once the children lying, it happens to us to use it for karaoke nights with pals. One can even make a pro installation: the song comes from the phone via bluetooth on the microphone and the microphone (song + voice) to share an enclosure. It's like being on stage!</v>
      </c>
    </row>
    <row r="7908">
      <c r="A7908" s="1">
        <v>5.0</v>
      </c>
      <c r="B7908" s="1" t="s">
        <v>7792</v>
      </c>
      <c r="C7908" t="str">
        <f>IFERROR(__xludf.DUMMYFUNCTION("GOOGLETRANSLATE(B7908, ""fr"", ""en"")"),"practice practice")</f>
        <v>practice practice</v>
      </c>
    </row>
    <row r="7909">
      <c r="A7909" s="1">
        <v>5.0</v>
      </c>
      <c r="B7909" s="1" t="s">
        <v>7793</v>
      </c>
      <c r="C7909" t="str">
        <f>IFERROR(__xludf.DUMMYFUNCTION("GOOGLETRANSLATE(B7909, ""fr"", ""en"")"),"Comfortable sneakers comfortable Running")</f>
        <v>Comfortable sneakers comfortable Running</v>
      </c>
    </row>
    <row r="7910">
      <c r="A7910" s="1">
        <v>5.0</v>
      </c>
      <c r="B7910" s="1" t="s">
        <v>7794</v>
      </c>
      <c r="C7910" t="str">
        <f>IFERROR(__xludf.DUMMYFUNCTION("GOOGLETRANSLATE(B7910, ""fr"", ""en"")"),"recycled and super strong there has compared the diameter of the roll handy bag normal (so called super tough) and the recycled bags. and you quickly understand why they are super tough, recycled ... ... in addition to using recycled bags what is good for"&amp;" man ....")</f>
        <v>recycled and super strong there has compared the diameter of the roll handy bag normal (so called super tough) and the recycled bags. and you quickly understand why they are super tough, recycled ... ... in addition to using recycled bags what is good for man ....</v>
      </c>
    </row>
    <row r="7911">
      <c r="A7911" s="1">
        <v>5.0</v>
      </c>
      <c r="B7911" s="1" t="s">
        <v>7795</v>
      </c>
      <c r="C7911" t="str">
        <f>IFERROR(__xludf.DUMMYFUNCTION("GOOGLETRANSLATE(B7911, ""fr"", ""en"")"),"Very good buy very comfortable, very good rubbing, soft and lightweight")</f>
        <v>Very good buy very comfortable, very good rubbing, soft and lightweight</v>
      </c>
    </row>
    <row r="7912">
      <c r="A7912" s="1">
        <v>5.0</v>
      </c>
      <c r="B7912" s="1" t="s">
        <v>7796</v>
      </c>
      <c r="C7912" t="str">
        <f>IFERROR(__xludf.DUMMYFUNCTION("GOOGLETRANSLATE(B7912, ""fr"", ""en"")"),"Vans online platform Beautiful !! comfortable,")</f>
        <v>Vans online platform Beautiful !! comfortable,</v>
      </c>
    </row>
    <row r="7913">
      <c r="A7913" s="1">
        <v>2.0</v>
      </c>
      <c r="B7913" s="1" t="s">
        <v>7797</v>
      </c>
      <c r="C7913" t="str">
        <f>IFERROR(__xludf.DUMMYFUNCTION("GOOGLETRANSLATE(B7913, ""fr"", ""en"")"),"To replace my disappointing functionality basin .. which is much easier to clean ... The heat is maintained which is convenient. No cons I have not tried to put cold water to see the time needed to assemble the requested temperature. The bubbles are there"&amp;". The red lights too ... I do not know if it serves a purpose in the end. The massaging spikes hurt more than anything else and are not vibrating. We must move the foot to let it be. So if you move too much, you flood around the bin. I have not felt for a"&amp;"nother vibration from that of the tub. As for the central accessory with 3 utensils ... it rotates when pressed with your hand ... but not with the foot .. in any case with mine, the mechanism also blocks dry. You really have the light foot for not suppor"&amp;"ting. Conclusion. Too expensive compared to those who do not offer all these options. (Purchased 44 euros)")</f>
        <v>To replace my disappointing functionality basin .. which is much easier to clean ... The heat is maintained which is convenient. No cons I have not tried to put cold water to see the time needed to assemble the requested temperature. The bubbles are there. The red lights too ... I do not know if it serves a purpose in the end. The massaging spikes hurt more than anything else and are not vibrating. We must move the foot to let it be. So if you move too much, you flood around the bin. I have not felt for another vibration from that of the tub. As for the central accessory with 3 utensils ... it rotates when pressed with your hand ... but not with the foot .. in any case with mine, the mechanism also blocks dry. You really have the light foot for not supporting. Conclusion. Too expensive compared to those who do not offer all these options. (Purchased 44 euros)</v>
      </c>
    </row>
    <row r="7914">
      <c r="A7914" s="1">
        <v>1.0</v>
      </c>
      <c r="B7914" s="1" t="s">
        <v>7798</v>
      </c>
      <c r="C7914" t="str">
        <f>IFERROR(__xludf.DUMMYFUNCTION("GOOGLETRANSLATE(B7914, ""fr"", ""en"")"),"No Very molar quality The bracelet has broken from day one. My daughter was sad. I do not recommend buying")</f>
        <v>No Very molar quality The bracelet has broken from day one. My daughter was sad. I do not recommend buying</v>
      </c>
    </row>
    <row r="7915">
      <c r="A7915" s="1">
        <v>3.0</v>
      </c>
      <c r="B7915" s="1" t="s">
        <v>7799</v>
      </c>
      <c r="C7915" t="str">
        <f>IFERROR(__xludf.DUMMYFUNCTION("GOOGLETRANSLATE(B7915, ""fr"", ""en"")"),"Not terrible Talle too big and grimaces at the seams")</f>
        <v>Not terrible Talle too big and grimaces at the seams</v>
      </c>
    </row>
    <row r="7916">
      <c r="A7916" s="1">
        <v>3.0</v>
      </c>
      <c r="B7916" s="1" t="s">
        <v>1261</v>
      </c>
      <c r="C7916" t="str">
        <f>IFERROR(__xludf.DUMMYFUNCTION("GOOGLETRANSLATE(B7916, ""fr"", ""en"")"),"good good")</f>
        <v>good good</v>
      </c>
    </row>
    <row r="7917">
      <c r="A7917" s="1">
        <v>4.0</v>
      </c>
      <c r="B7917" s="1" t="s">
        <v>7800</v>
      </c>
      <c r="C7917" t="str">
        <f>IFERROR(__xludf.DUMMYFUNCTION("GOOGLETRANSLATE(B7917, ""fr"", ""en"")"),"Heater mat Beurer This is a mattress heater and not a cover, it can not duplicate because too rigid. Very happy with this heated mattress. Started 1 hour before going to bed in position 1 of 3 (or 20 minutes in position 3 of 3) and my bed is a real cozy n"&amp;"est! In detail: - Positioned under a mattress topper is imperceptible. It seems fleece enough but I have not found it as unobtrusive it is just under a fitted sheet, it remains largely rest assured acceptable. - The wired remote controls are backlit which"&amp;" is handy. - I positioned the two remotes at the bedside to not be bothered by the electrical system - Position 3 very hot (too?) - There is no timer, but I do not miss me because I l 'switch off when going to bed. - This is a priori made in Germany and i"&amp;"t is especially guaranteed for 5 years with a sav that appears at the top (phone number no surcharge), and that's important! - I will not be a player, so I do not count the washing machine even if the user allows it sparingly. - Asked I measured power con"&amp;"sumption by taking a broad basis (February 2017) to € 0.15 per kWh: position 1 = 42 watts for the entire mattress = roughly € 0,006 per hour Position 2 = 60 watts for the entire mattress = roughly € 0,009 per hour position 3 = 134 watts for the entire mat"&amp;"tress = roughly € 0,018 per hour Either 1 hour per night for 6 months in position 1 = 1.10 € electricity for 6 months of winter! (Such if it is 20 min per night at position 3) In other words, this is symbolic. In my case it has even become an economic com"&amp;"ponent, since I used to initiate a heating 1500 watts for 1 hour to warm up the room, which corresponds to a power consumption of 41 € for 6 months, fact is even the economy generated on a winter that paid me the mattress heater !! Why 4 stars and not 5? "&amp;"Because I had to put the remote control at the foot of the bed to not be bothered by the cable and the small electrical box, suddenly access to the remote control is less convenient.")</f>
        <v>Heater mat Beurer This is a mattress heater and not a cover, it can not duplicate because too rigid. Very happy with this heated mattress. Started 1 hour before going to bed in position 1 of 3 (or 20 minutes in position 3 of 3) and my bed is a real cozy nest! In detail: - Positioned under a mattress topper is imperceptible. It seems fleece enough but I have not found it as unobtrusive it is just under a fitted sheet, it remains largely rest assured acceptable. - The wired remote controls are backlit which is handy. - I positioned the two remotes at the bedside to not be bothered by the electrical system - Position 3 very hot (too?) - There is no timer, but I do not miss me because I l 'switch off when going to bed. - This is a priori made in Germany and it is especially guaranteed for 5 years with a sav that appears at the top (phone number no surcharge), and that's important! - I will not be a player, so I do not count the washing machine even if the user allows it sparingly. - Asked I measured power consumption by taking a broad basis (February 2017) to € 0.15 per kWh: position 1 = 42 watts for the entire mattress = roughly € 0,006 per hour Position 2 = 60 watts for the entire mattress = roughly € 0,009 per hour position 3 = 134 watts for the entire mattress = roughly € 0,018 per hour Either 1 hour per night for 6 months in position 1 = 1.10 € electricity for 6 months of winter! (Such if it is 20 min per night at position 3) In other words, this is symbolic. In my case it has even become an economic component, since I used to initiate a heating 1500 watts for 1 hour to warm up the room, which corresponds to a power consumption of 41 € for 6 months, fact is even the economy generated on a winter that paid me the mattress heater !! Why 4 stars and not 5? Because I had to put the remote control at the foot of the bed to not be bothered by the cable and the small electrical box, suddenly access to the remote control is less convenient.</v>
      </c>
    </row>
    <row r="7918">
      <c r="A7918" s="1">
        <v>4.0</v>
      </c>
      <c r="B7918" s="1" t="s">
        <v>7801</v>
      </c>
      <c r="C7918" t="str">
        <f>IFERROR(__xludf.DUMMYFUNCTION("GOOGLETRANSLATE(B7918, ""fr"", ""en"")"),"LiSmile Paint Brush Set in the Oil Gouache Brush, Brushes for Watercolor, I have not had occasion to use them, but the review is a good product that meets my expectations. The brush is good to hold in hand and I can not wait to test them.")</f>
        <v>LiSmile Paint Brush Set in the Oil Gouache Brush, Brushes for Watercolor, I have not had occasion to use them, but the review is a good product that meets my expectations. The brush is good to hold in hand and I can not wait to test them.</v>
      </c>
    </row>
    <row r="7919">
      <c r="A7919" s="1">
        <v>4.0</v>
      </c>
      <c r="B7919" s="1" t="s">
        <v>7802</v>
      </c>
      <c r="C7919" t="str">
        <f>IFERROR(__xludf.DUMMYFUNCTION("GOOGLETRANSLATE(B7919, ""fr"", ""en"")"),"Practice theme or herbal tea used to make tea: the system is a little hard to screw up but the high position is maintained (see the use ...). Instructions little explicit trials do !!!!")</f>
        <v>Practice theme or herbal tea used to make tea: the system is a little hard to screw up but the high position is maintained (see the use ...). Instructions little explicit trials do !!!!</v>
      </c>
    </row>
    <row r="7920">
      <c r="A7920" s="1">
        <v>4.0</v>
      </c>
      <c r="B7920" s="1" t="s">
        <v>7803</v>
      </c>
      <c r="C7920" t="str">
        <f>IFERROR(__xludf.DUMMYFUNCTION("GOOGLETRANSLATE(B7920, ""fr"", ""en"")"),"For HP Envy 5644 Fits my HP Envy 5644. Amazon printer will have one of the lowest prices, because frankly has the feeling of making fewer copies with the same cartridges! And the ink must be expensive per liter. Still, manufacturers and sellers know that "&amp;"one is obliged to spend, then you learn to print or copy in case of absolute necessity ....")</f>
        <v>For HP Envy 5644 Fits my HP Envy 5644. Amazon printer will have one of the lowest prices, because frankly has the feeling of making fewer copies with the same cartridges! And the ink must be expensive per liter. Still, manufacturers and sellers know that one is obliged to spend, then you learn to print or copy in case of absolute necessity ....</v>
      </c>
    </row>
    <row r="7921">
      <c r="A7921" s="1">
        <v>5.0</v>
      </c>
      <c r="B7921" s="1" t="s">
        <v>7804</v>
      </c>
      <c r="C7921" t="str">
        <f>IFERROR(__xludf.DUMMYFUNCTION("GOOGLETRANSLATE(B7921, ""fr"", ""en"")"),"Fantastic but a bit too big I've been using this headset all day at the office, it's great! Comfort, sound hyper qualified in the plane c is a joy with it noise reduction must also take a trip because it is bulky! Brief awesome!")</f>
        <v>Fantastic but a bit too big I've been using this headset all day at the office, it's great! Comfort, sound hyper qualified in the plane c is a joy with it noise reduction must also take a trip because it is bulky! Brief awesome!</v>
      </c>
    </row>
    <row r="7922">
      <c r="A7922" s="1">
        <v>5.0</v>
      </c>
      <c r="B7922" s="1" t="s">
        <v>7805</v>
      </c>
      <c r="C7922" t="str">
        <f>IFERROR(__xludf.DUMMYFUNCTION("GOOGLETRANSLATE(B7922, ""fr"", ""en"")"),"Impeccable RAS Product and delivery. The choice of temperature is great, as an amateur of tea.")</f>
        <v>Impeccable RAS Product and delivery. The choice of temperature is great, as an amateur of tea.</v>
      </c>
    </row>
    <row r="7923">
      <c r="A7923" s="1">
        <v>5.0</v>
      </c>
      <c r="B7923" s="1" t="s">
        <v>7806</v>
      </c>
      <c r="C7923" t="str">
        <f>IFERROR(__xludf.DUMMYFUNCTION("GOOGLETRANSLATE(B7923, ""fr"", ""en"")"),"Top I shoes of size 43 basketball and I have took the 42 and c is nickel")</f>
        <v>Top I shoes of size 43 basketball and I have took the 42 and c is nickel</v>
      </c>
    </row>
    <row r="7924">
      <c r="A7924" s="1">
        <v>5.0</v>
      </c>
      <c r="B7924" s="1" t="s">
        <v>7807</v>
      </c>
      <c r="C7924" t="str">
        <f>IFERROR(__xludf.DUMMYFUNCTION("GOOGLETRANSLATE(B7924, ""fr"", ""en"")"),"Practice Model nice, I recommend")</f>
        <v>Practice Model nice, I recommend</v>
      </c>
    </row>
    <row r="7925">
      <c r="A7925" s="1">
        <v>5.0</v>
      </c>
      <c r="B7925" s="1" t="s">
        <v>7808</v>
      </c>
      <c r="C7925" t="str">
        <f>IFERROR(__xludf.DUMMYFUNCTION("GOOGLETRANSLATE(B7925, ""fr"", ""en"")"),"good buy nipple line with my expectations. The output of liquid on top instead of the end as the other teats perfectly matches my son.")</f>
        <v>good buy nipple line with my expectations. The output of liquid on top instead of the end as the other teats perfectly matches my son.</v>
      </c>
    </row>
    <row r="7926">
      <c r="A7926" s="1">
        <v>5.0</v>
      </c>
      <c r="B7926" s="1" t="s">
        <v>7809</v>
      </c>
      <c r="C7926" t="str">
        <f>IFERROR(__xludf.DUMMYFUNCTION("GOOGLETRANSLATE(B7926, ""fr"", ""en"")"),"Dr. Martens at the top I chose to order via website is to: 1: Dr Martens have (my first pair goes back to the year high school ..... Dr Martens green) 2: a price defying all competition 3 a: free and fast delivery (delivery in 4 days) 4: etat impeccable. "&amp;"5: I recommend it to my friends ^^")</f>
        <v>Dr. Martens at the top I chose to order via website is to: 1: Dr Martens have (my first pair goes back to the year high school ..... Dr Martens green) 2: a price defying all competition 3 a: free and fast delivery (delivery in 4 days) 4: etat impeccable. 5: I recommend it to my friends ^^</v>
      </c>
    </row>
    <row r="7927">
      <c r="A7927" s="1">
        <v>5.0</v>
      </c>
      <c r="B7927" s="1" t="s">
        <v>7810</v>
      </c>
      <c r="C7927" t="str">
        <f>IFERROR(__xludf.DUMMYFUNCTION("GOOGLETRANSLATE(B7927, ""fr"", ""en"")"),"Really handy! If you have a baby who drinks regularly or occasionally a bottle, here is a gadget that will simplify your life well while traveling. Indeed, we put the bottle into the small bag, plug the bag and after a few minutes, the bottle is at the pe"&amp;"rfect temperature. It can also be used to heat water for baby toilet if you must change a highway rest area. And later when baby is no longer a baby but a little girl or a little boy we can do it heat the chocolate milk in the car when you leave on vacati"&amp;"on. And why not use it at home too? Simply to be equipped with an adapter to connect to the mains. Really convenient and space saving!")</f>
        <v>Really handy! If you have a baby who drinks regularly or occasionally a bottle, here is a gadget that will simplify your life well while traveling. Indeed, we put the bottle into the small bag, plug the bag and after a few minutes, the bottle is at the perfect temperature. It can also be used to heat water for baby toilet if you must change a highway rest area. And later when baby is no longer a baby but a little girl or a little boy we can do it heat the chocolate milk in the car when you leave on vacation. And why not use it at home too? Simply to be equipped with an adapter to connect to the mains. Really convenient and space saving!</v>
      </c>
    </row>
    <row r="7928">
      <c r="A7928" s="1">
        <v>5.0</v>
      </c>
      <c r="B7928" s="1" t="s">
        <v>7811</v>
      </c>
      <c r="C7928" t="str">
        <f>IFERROR(__xludf.DUMMYFUNCTION("GOOGLETRANSLATE(B7928, ""fr"", ""en"")"),"Perfect Delivered very quickly. Product that matches my expectations. The choice of the temperature is a very appreciable and keeping warm as well. I recommend this product.")</f>
        <v>Perfect Delivered very quickly. Product that matches my expectations. The choice of the temperature is a very appreciable and keeping warm as well. I recommend this product.</v>
      </c>
    </row>
    <row r="7929">
      <c r="A7929" s="1">
        <v>5.0</v>
      </c>
      <c r="B7929" s="1" t="s">
        <v>7812</v>
      </c>
      <c r="C7929" t="str">
        <f>IFERROR(__xludf.DUMMYFUNCTION("GOOGLETRANSLATE(B7929, ""fr"", ""en"")"),"Although Small tripod very well")</f>
        <v>Although Small tripod very well</v>
      </c>
    </row>
    <row r="7930">
      <c r="A7930" s="1">
        <v>5.0</v>
      </c>
      <c r="B7930" s="1" t="s">
        <v>7813</v>
      </c>
      <c r="C7930" t="str">
        <f>IFERROR(__xludf.DUMMYFUNCTION("GOOGLETRANSLATE(B7930, ""fr"", ""en"")"),"Satisfied It looks small on arrival but by organizing all returns. (Paper, wallet, cell phone, etc ...) The quality is excellent, the leather is soft. I waterproofed on, and since he has no stain. (Received in February 2018). The smell was not disturbing."&amp;" It's the smell of leather. It is not too strong, and with time it fades. The fasteners are adjustable. Received with a note from the artisan, it's nice.")</f>
        <v>Satisfied It looks small on arrival but by organizing all returns. (Paper, wallet, cell phone, etc ...) The quality is excellent, the leather is soft. I waterproofed on, and since he has no stain. (Received in February 2018). The smell was not disturbing. It's the smell of leather. It is not too strong, and with time it fades. The fasteners are adjustable. Received with a note from the artisan, it's nice.</v>
      </c>
    </row>
    <row r="7931">
      <c r="A7931" s="1">
        <v>5.0</v>
      </c>
      <c r="B7931" s="1" t="s">
        <v>7814</v>
      </c>
      <c r="C7931" t="str">
        <f>IFERROR(__xludf.DUMMYFUNCTION("GOOGLETRANSLATE(B7931, ""fr"", ""en"")"),"Sweatshirt Gildan Men, light but warm. received pleasantly surprised with a few days in advance, yet from the Channel. The sweatshirt I have chosen for my size 2XL jackets (I love to be comfortable in the clothes). Color black respected as on photo, Well "&amp;"cut, pleasant on the body, at once light but warm Frankly Q / P ratio is excellent for a sweat in this range and as I can not put more; -) as early as January I recommend two other different color.")</f>
        <v>Sweatshirt Gildan Men, light but warm. received pleasantly surprised with a few days in advance, yet from the Channel. The sweatshirt I have chosen for my size 2XL jackets (I love to be comfortable in the clothes). Color black respected as on photo, Well cut, pleasant on the body, at once light but warm Frankly Q / P ratio is excellent for a sweat in this range and as I can not put more; -) as early as January I recommend two other different color.</v>
      </c>
    </row>
    <row r="7932">
      <c r="A7932" s="1">
        <v>5.0</v>
      </c>
      <c r="B7932" s="1" t="s">
        <v>7815</v>
      </c>
      <c r="C7932" t="str">
        <f>IFERROR(__xludf.DUMMYFUNCTION("GOOGLETRANSLATE(B7932, ""fr"", ""en"")"),"Perfect in size and impeccable comfort")</f>
        <v>Perfect in size and impeccable comfort</v>
      </c>
    </row>
    <row r="7933">
      <c r="A7933" s="1">
        <v>5.0</v>
      </c>
      <c r="B7933" s="1" t="s">
        <v>7816</v>
      </c>
      <c r="C7933" t="str">
        <f>IFERROR(__xludf.DUMMYFUNCTION("GOOGLETRANSLATE(B7933, ""fr"", ""en"")"),"Kettle This kettle and beautiful and stylish I love my best 👍👍👍merci Amazon website")</f>
        <v>Kettle This kettle and beautiful and stylish I love my best 👍👍👍merci Amazon website</v>
      </c>
    </row>
    <row r="7934">
      <c r="A7934" s="1">
        <v>5.0</v>
      </c>
      <c r="B7934" s="1" t="s">
        <v>7817</v>
      </c>
      <c r="C7934" t="str">
        <f>IFERROR(__xludf.DUMMYFUNCTION("GOOGLETRANSLATE(B7934, ""fr"", ""en"")"),"Beautiful ❤️")</f>
        <v>Beautiful ❤️</v>
      </c>
    </row>
    <row r="7935">
      <c r="A7935" s="1">
        <v>5.0</v>
      </c>
      <c r="B7935" s="1" t="s">
        <v>7818</v>
      </c>
      <c r="C7935" t="str">
        <f>IFERROR(__xludf.DUMMYFUNCTION("GOOGLETRANSLATE(B7935, ""fr"", ""en"")"),"Quality on top Helmet is really great, I love the fact that it greatly resembles a competing model.")</f>
        <v>Quality on top Helmet is really great, I love the fact that it greatly resembles a competing model.</v>
      </c>
    </row>
    <row r="7936">
      <c r="A7936" s="1">
        <v>2.0</v>
      </c>
      <c r="B7936" s="1" t="s">
        <v>7819</v>
      </c>
      <c r="C7936" t="str">
        <f>IFERROR(__xludf.DUMMYFUNCTION("GOOGLETRANSLATE(B7936, ""fr"", ""en"")"),"Disappointed ... Packed to the reception, size, flexibility, lightness, color, everything was top ... by against barely used I found myself with zippers in hand. I do not know if it was a fault on this model exactly, but suddenly I can not recommend this "&amp;"model. And personally, I no longer would resume a bag of this brand.")</f>
        <v>Disappointed ... Packed to the reception, size, flexibility, lightness, color, everything was top ... by against barely used I found myself with zippers in hand. I do not know if it was a fault on this model exactly, but suddenly I can not recommend this model. And personally, I no longer would resume a bag of this brand.</v>
      </c>
    </row>
    <row r="7937">
      <c r="A7937" s="1">
        <v>1.0</v>
      </c>
      <c r="B7937" s="1" t="s">
        <v>7820</v>
      </c>
      <c r="C7937" t="str">
        <f>IFERROR(__xludf.DUMMYFUNCTION("GOOGLETRANSLATE(B7937, ""fr"", ""en"")"),"jousting Blows! 3 months I received the earphones, far apart from the foam earphones that go very quickly crumb everything was fine, but just as strange as it may be, it's 2x I take my shots contests in the ears during use, the sound being 1/3 volume. Thi"&amp;"s is very unpleasant, I dare not put them ... Too bad the sound is not bad ... yet")</f>
        <v>jousting Blows! 3 months I received the earphones, far apart from the foam earphones that go very quickly crumb everything was fine, but just as strange as it may be, it's 2x I take my shots contests in the ears during use, the sound being 1/3 volume. This is very unpleasant, I dare not put them ... Too bad the sound is not bad ... yet</v>
      </c>
    </row>
    <row r="7938">
      <c r="A7938" s="1">
        <v>1.0</v>
      </c>
      <c r="B7938" s="1" t="s">
        <v>7821</v>
      </c>
      <c r="C7938" t="str">
        <f>IFERROR(__xludf.DUMMYFUNCTION("GOOGLETRANSLATE(B7938, ""fr"", ""en"")"),"Disappointed!!!!!! Disappointed !!!")</f>
        <v>Disappointed!!!!!! Disappointed !!!</v>
      </c>
    </row>
    <row r="7939">
      <c r="A7939" s="1">
        <v>3.0</v>
      </c>
      <c r="B7939" s="1" t="s">
        <v>7822</v>
      </c>
      <c r="C7939" t="str">
        <f>IFERROR(__xludf.DUMMYFUNCTION("GOOGLETRANSLATE(B7939, ""fr"", ""en"")"),"zipper problem Tote Bag all day. Of that there is a bit loaded, before the closure has trouble fermer.un flaw when the door slung it tends slipped on the + Good quality well-directed assembly materials - closing the ""tight"" but al use impractical")</f>
        <v>zipper problem Tote Bag all day. Of that there is a bit loaded, before the closure has trouble fermer.un flaw when the door slung it tends slipped on the + Good quality well-directed assembly materials - closing the "tight" but al use impractical</v>
      </c>
    </row>
    <row r="7940">
      <c r="A7940" s="1">
        <v>3.0</v>
      </c>
      <c r="B7940" s="1" t="s">
        <v>7823</v>
      </c>
      <c r="C7940" t="str">
        <f>IFERROR(__xludf.DUMMYFUNCTION("GOOGLETRANSLATE(B7940, ""fr"", ""en"")"),"Not bad but! The cable is really too small !!!! I make it because I can not put it anywhere and I do not take account of extension cord plugs are custom made ... Thanks")</f>
        <v>Not bad but! The cable is really too small !!!! I make it because I can not put it anywhere and I do not take account of extension cord plugs are custom made ... Thanks</v>
      </c>
    </row>
    <row r="7941">
      <c r="A7941" s="1">
        <v>4.0</v>
      </c>
      <c r="B7941" s="1" t="s">
        <v>7824</v>
      </c>
      <c r="C7941" t="str">
        <f>IFERROR(__xludf.DUMMYFUNCTION("GOOGLETRANSLATE(B7941, ""fr"", ""en"")"),"Excellent but ... Needing a mobile pole, not like the one I took at 15 €, cheap but no, I say when putting the price, I have the quality. Well that's the case with this pole rode very good. Warning unpacking, the boom will this tender. At first I was afra"&amp;"id it does not work, but once the installation is done (right foot screwed to the table and put the pole in the hole), and microphone installed on it, you can put the pole in any position and is super nice. However, this game do hear at the elbow with a s"&amp;"queak when I tends perch. I'll wait a see how it's going before returning.")</f>
        <v>Excellent but ... Needing a mobile pole, not like the one I took at 15 €, cheap but no, I say when putting the price, I have the quality. Well that's the case with this pole rode very good. Warning unpacking, the boom will this tender. At first I was afraid it does not work, but once the installation is done (right foot screwed to the table and put the pole in the hole), and microphone installed on it, you can put the pole in any position and is super nice. However, this game do hear at the elbow with a squeak when I tends perch. I'll wait a see how it's going before returning.</v>
      </c>
    </row>
    <row r="7942">
      <c r="A7942" s="1">
        <v>4.0</v>
      </c>
      <c r="B7942" s="1" t="s">
        <v>7825</v>
      </c>
      <c r="C7942" t="str">
        <f>IFERROR(__xludf.DUMMYFUNCTION("GOOGLETRANSLATE(B7942, ""fr"", ""en"")"),"prices affecting a large basic white Converse, here it was cheaper than on other sites! Alas arrived the day after the date (birthday present) provided ...")</f>
        <v>prices affecting a large basic white Converse, here it was cheaper than on other sites! Alas arrived the day after the date (birthday present) provided ...</v>
      </c>
    </row>
    <row r="7943">
      <c r="A7943" s="1">
        <v>4.0</v>
      </c>
      <c r="B7943" s="1" t="s">
        <v>7826</v>
      </c>
      <c r="C7943" t="str">
        <f>IFERROR(__xludf.DUMMYFUNCTION("GOOGLETRANSLATE(B7943, ""fr"", ""en"")"),"Microbiberon Hello, The product complies with the description, it serves its purpose well, I leave to each individual to have a supplementary opinion. Regards,")</f>
        <v>Microbiberon Hello, The product complies with the description, it serves its purpose well, I leave to each individual to have a supplementary opinion. Regards,</v>
      </c>
    </row>
    <row r="7944">
      <c r="A7944" s="1">
        <v>4.0</v>
      </c>
      <c r="B7944" s="1" t="s">
        <v>7827</v>
      </c>
      <c r="C7944" t="str">
        <f>IFERROR(__xludf.DUMMYFUNCTION("GOOGLETRANSLATE(B7944, ""fr"", ""en"")"),"mules impeccable cool")</f>
        <v>mules impeccable cool</v>
      </c>
    </row>
    <row r="7945">
      <c r="A7945" s="1">
        <v>5.0</v>
      </c>
      <c r="B7945" s="1" t="s">
        <v>7828</v>
      </c>
      <c r="C7945" t="str">
        <f>IFERROR(__xludf.DUMMYFUNCTION("GOOGLETRANSLATE(B7945, ""fr"", ""en"")"),"Good baby, good for parents of birth This kit is the perfect gift: bottles are glass, guaranteed without toxic substance, nice nipples, and everything is easy to clean with the supplied brush. Excellent quality products, and always helpful.")</f>
        <v>Good baby, good for parents of birth This kit is the perfect gift: bottles are glass, guaranteed without toxic substance, nice nipples, and everything is easy to clean with the supplied brush. Excellent quality products, and always helpful.</v>
      </c>
    </row>
    <row r="7946">
      <c r="A7946" s="1">
        <v>5.0</v>
      </c>
      <c r="B7946" s="1" t="s">
        <v>7829</v>
      </c>
      <c r="C7946" t="str">
        <f>IFERROR(__xludf.DUMMYFUNCTION("GOOGLETRANSLATE(B7946, ""fr"", ""en"")"),"Very satisfied! Adopted without a problem (after a few bib still but little) by my daughter breastfed exclusively breastfed for 1 month. No collic (a few tears but 10 minutes at most) and then 1 month and a half everything is in order. I had already used "&amp;"these nipples for my son very happy I'm still not disappointed!")</f>
        <v>Very satisfied! Adopted without a problem (after a few bib still but little) by my daughter breastfed exclusively breastfed for 1 month. No collic (a few tears but 10 minutes at most) and then 1 month and a half everything is in order. I had already used these nipples for my son very happy I'm still not disappointed!</v>
      </c>
    </row>
    <row r="7947">
      <c r="A7947" s="1">
        <v>5.0</v>
      </c>
      <c r="B7947" s="1" t="s">
        <v>7830</v>
      </c>
      <c r="C7947" t="str">
        <f>IFERROR(__xludf.DUMMYFUNCTION("GOOGLETRANSLATE(B7947, ""fr"", ""en"")"),"Practical and pretty Really happy")</f>
        <v>Practical and pretty Really happy</v>
      </c>
    </row>
    <row r="7948">
      <c r="A7948" s="1">
        <v>5.0</v>
      </c>
      <c r="B7948" s="1" t="s">
        <v>7831</v>
      </c>
      <c r="C7948" t="str">
        <f>IFERROR(__xludf.DUMMYFUNCTION("GOOGLETRANSLATE(B7948, ""fr"", ""en"")"),"Very well Very good, comfortable and pretty. Continue to sell good products is very reassuring for our buyer.")</f>
        <v>Very well Very good, comfortable and pretty. Continue to sell good products is very reassuring for our buyer.</v>
      </c>
    </row>
    <row r="7949">
      <c r="A7949" s="1">
        <v>5.0</v>
      </c>
      <c r="B7949" s="1" t="s">
        <v>7832</v>
      </c>
      <c r="C7949" t="str">
        <f>IFERROR(__xludf.DUMMYFUNCTION("GOOGLETRANSLATE(B7949, ""fr"", ""en"")"),"Paper 90 gr I bought the paper 80 g Clairefontaine earlier for my Canon color printer, but I found it a bit late. So I switched to 90 gr and it's perfect! Just the right weight. The rendering is cleaner. This is a good paper, very white, arrived well pack"&amp;"aged. Everything is perfect.")</f>
        <v>Paper 90 gr I bought the paper 80 g Clairefontaine earlier for my Canon color printer, but I found it a bit late. So I switched to 90 gr and it's perfect! Just the right weight. The rendering is cleaner. This is a good paper, very white, arrived well packaged. Everything is perfect.</v>
      </c>
    </row>
    <row r="7950">
      <c r="A7950" s="1">
        <v>5.0</v>
      </c>
      <c r="B7950" s="1" t="s">
        <v>7833</v>
      </c>
      <c r="C7950" t="str">
        <f>IFERROR(__xludf.DUMMYFUNCTION("GOOGLETRANSLATE(B7950, ""fr"", ""en"")"),"basketball comfortable Very happy with these sneakers, solid comfortable reasonable price, I often come back to this model. I advise for daily")</f>
        <v>basketball comfortable Very happy with these sneakers, solid comfortable reasonable price, I often come back to this model. I advise for daily</v>
      </c>
    </row>
    <row r="7951">
      <c r="A7951" s="1">
        <v>5.0</v>
      </c>
      <c r="B7951" s="1" t="s">
        <v>7834</v>
      </c>
      <c r="C7951" t="str">
        <f>IFERROR(__xludf.DUMMYFUNCTION("GOOGLETRANSLATE(B7951, ""fr"", ""en"")"),"Good product arrived on time. Packaging Ok. Effective product well covers the shoe easy to use. I recommend this product for suede shoes.")</f>
        <v>Good product arrived on time. Packaging Ok. Effective product well covers the shoe easy to use. I recommend this product for suede shoes.</v>
      </c>
    </row>
    <row r="7952">
      <c r="A7952" s="1">
        <v>5.0</v>
      </c>
      <c r="B7952" s="1" t="s">
        <v>7835</v>
      </c>
      <c r="C7952" t="str">
        <f>IFERROR(__xludf.DUMMYFUNCTION("GOOGLETRANSLATE(B7952, ""fr"", ""en"")"),"Good product The fresh feeling is a pleasure, good quality.")</f>
        <v>Good product The fresh feeling is a pleasure, good quality.</v>
      </c>
    </row>
    <row r="7953">
      <c r="A7953" s="1">
        <v>5.0</v>
      </c>
      <c r="B7953" s="1" t="s">
        <v>7836</v>
      </c>
      <c r="C7953" t="str">
        <f>IFERROR(__xludf.DUMMYFUNCTION("GOOGLETRANSLATE(B7953, ""fr"", ""en"")"),"Very footwear corresponds to what was planned Ok")</f>
        <v>Very footwear corresponds to what was planned Ok</v>
      </c>
    </row>
    <row r="7954">
      <c r="A7954" s="1">
        <v>5.0</v>
      </c>
      <c r="B7954" s="1" t="s">
        <v>7837</v>
      </c>
      <c r="C7954" t="str">
        <f>IFERROR(__xludf.DUMMYFUNCTION("GOOGLETRANSLATE(B7954, ""fr"", ""en"")"),"good quality ink received in the shortest time good quality ink and the article last long very good product value")</f>
        <v>good quality ink received in the shortest time good quality ink and the article last long very good product value</v>
      </c>
    </row>
    <row r="7955">
      <c r="A7955" s="1">
        <v>5.0</v>
      </c>
      <c r="B7955" s="1" t="s">
        <v>7838</v>
      </c>
      <c r="C7955" t="str">
        <f>IFERROR(__xludf.DUMMYFUNCTION("GOOGLETRANSLATE(B7955, ""fr"", ""en"")"),"Light for smaller lightweight and comfortable sneakers. But not so easy to slip for small")</f>
        <v>Light for smaller lightweight and comfortable sneakers. But not so easy to slip for small</v>
      </c>
    </row>
    <row r="7956">
      <c r="A7956" s="1">
        <v>5.0</v>
      </c>
      <c r="B7956" s="1" t="s">
        <v>7839</v>
      </c>
      <c r="C7956" t="str">
        <f>IFERROR(__xludf.DUMMYFUNCTION("GOOGLETRANSLATE(B7956, ""fr"", ""en"")"),"hello and thank you is just awesome hello, great - Thanks !!! pier")</f>
        <v>hello and thank you is just awesome hello, great - Thanks !!! pier</v>
      </c>
    </row>
    <row r="7957">
      <c r="A7957" s="1">
        <v>5.0</v>
      </c>
      <c r="B7957" s="1" t="s">
        <v>7840</v>
      </c>
      <c r="C7957" t="str">
        <f>IFERROR(__xludf.DUMMYFUNCTION("GOOGLETRANSLATE(B7957, ""fr"", ""en"")"),"Success A great success my daughter will make beautiful beautiful material emulated chic color strongly for the spring time resulted")</f>
        <v>Success A great success my daughter will make beautiful beautiful material emulated chic color strongly for the spring time resulted</v>
      </c>
    </row>
    <row r="7958">
      <c r="A7958" s="1">
        <v>5.0</v>
      </c>
      <c r="B7958" s="1" t="s">
        <v>7841</v>
      </c>
      <c r="C7958" t="str">
        <f>IFERROR(__xludf.DUMMYFUNCTION("GOOGLETRANSLATE(B7958, ""fr"", ""en"")"),"Vans Authentic Nothing to say perfect. It's normal size I play 42 and it suits me very well. They are like the ad")</f>
        <v>Vans Authentic Nothing to say perfect. It's normal size I play 42 and it suits me very well. They are like the ad</v>
      </c>
    </row>
    <row r="7959">
      <c r="A7959" s="1">
        <v>5.0</v>
      </c>
      <c r="B7959" s="1" t="s">
        <v>7842</v>
      </c>
      <c r="C7959" t="str">
        <f>IFERROR(__xludf.DUMMYFUNCTION("GOOGLETRANSLATE(B7959, ""fr"", ""en"")"),"Very good quality 👍🏼")</f>
        <v>Very good quality 👍🏼</v>
      </c>
    </row>
    <row r="7960">
      <c r="A7960" s="1">
        <v>2.0</v>
      </c>
      <c r="B7960" s="1" t="s">
        <v>7843</v>
      </c>
      <c r="C7960" t="str">
        <f>IFERROR(__xludf.DUMMYFUNCTION("GOOGLETRANSLATE(B7960, ""fr"", ""en"")"),"Disappointed disappointed. The seal is not suitable.")</f>
        <v>Disappointed disappointed. The seal is not suitable.</v>
      </c>
    </row>
    <row r="7961">
      <c r="A7961" s="1">
        <v>1.0</v>
      </c>
      <c r="B7961" s="1" t="s">
        <v>7844</v>
      </c>
      <c r="C7961" t="str">
        <f>IFERROR(__xludf.DUMMYFUNCTION("GOOGLETRANSLATE(B7961, ""fr"", ""en"")"),"Yes good product good visually but once plugged into an instrument and Di was a lot of noise and that buzz everywhere. I bought 2 unfortunately, I will have to take a little more expensive but with guaranteed quality")</f>
        <v>Yes good product good visually but once plugged into an instrument and Di was a lot of noise and that buzz everywhere. I bought 2 unfortunately, I will have to take a little more expensive but with guaranteed quality</v>
      </c>
    </row>
    <row r="7962">
      <c r="A7962" s="1">
        <v>1.0</v>
      </c>
      <c r="B7962" s="1" t="s">
        <v>7845</v>
      </c>
      <c r="C7962" t="str">
        <f>IFERROR(__xludf.DUMMYFUNCTION("GOOGLETRANSLATE(B7962, ""fr"", ""en"")"),"Just 3 months After less than 3 months of using the appare Stop running. I do not know if it's me or appare But it's annoying.")</f>
        <v>Just 3 months After less than 3 months of using the appare Stop running. I do not know if it's me or appare But it's annoying.</v>
      </c>
    </row>
    <row r="7963">
      <c r="A7963" s="1">
        <v>3.0</v>
      </c>
      <c r="B7963" s="1" t="s">
        <v>7846</v>
      </c>
      <c r="C7963" t="str">
        <f>IFERROR(__xludf.DUMMYFUNCTION("GOOGLETRANSLATE(B7963, ""fr"", ""en"")"),"Beautiful labels but not enough rope Labels are beautiful: beautiful color, natural effect, just thick enough. By cons, the cord supplied does not allow to use 10.")</f>
        <v>Beautiful labels but not enough rope Labels are beautiful: beautiful color, natural effect, just thick enough. By cons, the cord supplied does not allow to use 10.</v>
      </c>
    </row>
    <row r="7964">
      <c r="A7964" s="1">
        <v>3.0</v>
      </c>
      <c r="B7964" s="1" t="s">
        <v>7847</v>
      </c>
      <c r="C7964" t="str">
        <f>IFERROR(__xludf.DUMMYFUNCTION("GOOGLETRANSLATE(B7964, ""fr"", ""en"")"),"Felt contoured only Beautiful colors. Only downside: too late to color. Convenient for only outlines.")</f>
        <v>Felt contoured only Beautiful colors. Only downside: too late to color. Convenient for only outlines.</v>
      </c>
    </row>
    <row r="7965">
      <c r="A7965" s="1">
        <v>4.0</v>
      </c>
      <c r="B7965" s="1" t="s">
        <v>7848</v>
      </c>
      <c r="C7965" t="str">
        <f>IFERROR(__xludf.DUMMYFUNCTION("GOOGLETRANSLATE(B7965, ""fr"", ""en"")"),"Nice size a little big, half a point less would have been better Very nice with 2 pairs of shoelaces The tongue is held by an elastic on each side, so that the use of laces remains aesthetic, the problem is that if was strong or curved foot, the elastic c"&amp;"an make any comfort in a few hours")</f>
        <v>Nice size a little big, half a point less would have been better Very nice with 2 pairs of shoelaces The tongue is held by an elastic on each side, so that the use of laces remains aesthetic, the problem is that if was strong or curved foot, the elastic can make any comfort in a few hours</v>
      </c>
    </row>
    <row r="7966">
      <c r="A7966" s="1">
        <v>4.0</v>
      </c>
      <c r="B7966" s="1" t="s">
        <v>7849</v>
      </c>
      <c r="C7966" t="str">
        <f>IFERROR(__xludf.DUMMYFUNCTION("GOOGLETRANSLATE(B7966, ""fr"", ""en"")"),"Top! I love the style points, the watch is quite sturdy, sufficiently sealed to wash their hands, and no signs of weakness after 3 months. Only downside, no backlight.")</f>
        <v>Top! I love the style points, the watch is quite sturdy, sufficiently sealed to wash their hands, and no signs of weakness after 3 months. Only downside, no backlight.</v>
      </c>
    </row>
    <row r="7967">
      <c r="A7967" s="1">
        <v>4.0</v>
      </c>
      <c r="B7967" s="1" t="s">
        <v>7850</v>
      </c>
      <c r="C7967" t="str">
        <f>IFERROR(__xludf.DUMMYFUNCTION("GOOGLETRANSLATE(B7967, ""fr"", ""en"")"),"I just comfortable they are comfortable receiving them I would tell you in 6 months if they are strong!")</f>
        <v>I just comfortable they are comfortable receiving them I would tell you in 6 months if they are strong!</v>
      </c>
    </row>
    <row r="7968">
      <c r="A7968" s="1">
        <v>4.0</v>
      </c>
      <c r="B7968" s="1" t="s">
        <v>7851</v>
      </c>
      <c r="C7968" t="str">
        <f>IFERROR(__xludf.DUMMYFUNCTION("GOOGLETRANSLATE(B7968, ""fr"", ""en"")"),"Socks black and white socks black and white to look nice. Well to put in small summer shoes. Size as planned.")</f>
        <v>Socks black and white socks black and white to look nice. Well to put in small summer shoes. Size as planned.</v>
      </c>
    </row>
    <row r="7969">
      <c r="A7969" s="1">
        <v>5.0</v>
      </c>
      <c r="B7969" s="1" t="s">
        <v>7852</v>
      </c>
      <c r="C7969" t="str">
        <f>IFERROR(__xludf.DUMMYFUNCTION("GOOGLETRANSLATE(B7969, ""fr"", ""en"")"),"pull the woman I bought it to give to my daughter, the sweater is suitable as planned and does not look bad, my daughter is happy with her gift")</f>
        <v>pull the woman I bought it to give to my daughter, the sweater is suitable as planned and does not look bad, my daughter is happy with her gift</v>
      </c>
    </row>
    <row r="7970">
      <c r="A7970" s="1">
        <v>5.0</v>
      </c>
      <c r="B7970" s="1" t="s">
        <v>7853</v>
      </c>
      <c r="C7970" t="str">
        <f>IFERROR(__xludf.DUMMYFUNCTION("GOOGLETRANSLATE(B7970, ""fr"", ""en"")"),"Necessary ! No problem, just buy also another cord to connect to the iPhone. Regarding the connection to the accessory USB C for Pocket DJI OSMO the original cable is good.")</f>
        <v>Necessary ! No problem, just buy also another cord to connect to the iPhone. Regarding the connection to the accessory USB C for Pocket DJI OSMO the original cable is good.</v>
      </c>
    </row>
    <row r="7971">
      <c r="A7971" s="1">
        <v>5.0</v>
      </c>
      <c r="B7971" s="1" t="s">
        <v>7854</v>
      </c>
      <c r="C7971" t="str">
        <f>IFERROR(__xludf.DUMMYFUNCTION("GOOGLETRANSLATE(B7971, ""fr"", ""en"")"),"Very satisfied awesome headband, so adapted to the head teen, adult, exactly what I wanted, flawless packaging and good material, I recommend those seller")</f>
        <v>Very satisfied awesome headband, so adapted to the head teen, adult, exactly what I wanted, flawless packaging and good material, I recommend those seller</v>
      </c>
    </row>
    <row r="7972">
      <c r="A7972" s="1">
        <v>5.0</v>
      </c>
      <c r="B7972" s="1" t="s">
        <v>7855</v>
      </c>
      <c r="C7972" t="str">
        <f>IFERROR(__xludf.DUMMYFUNCTION("GOOGLETRANSLATE(B7972, ""fr"", ""en"")"),"théhière very convenient to use because you can subtract tea when we got the desired brew. I have used this type of teapot and I am very happy. The materials are safe and neutral (glass and stainless steel) and is unlikely to alter the taste of tea.")</f>
        <v>théhière very convenient to use because you can subtract tea when we got the desired brew. I have used this type of teapot and I am very happy. The materials are safe and neutral (glass and stainless steel) and is unlikely to alter the taste of tea.</v>
      </c>
    </row>
    <row r="7973">
      <c r="A7973" s="1">
        <v>5.0</v>
      </c>
      <c r="B7973" s="1" t="s">
        <v>7856</v>
      </c>
      <c r="C7973" t="str">
        <f>IFERROR(__xludf.DUMMYFUNCTION("GOOGLETRANSLATE(B7973, ""fr"", ""en"")"),"nice Beautiful bracelet product wearable. The details of the bracelet go very well. Almost close to perfection. Strongly recommended.")</f>
        <v>nice Beautiful bracelet product wearable. The details of the bracelet go very well. Almost close to perfection. Strongly recommended.</v>
      </c>
    </row>
    <row r="7974">
      <c r="A7974" s="1">
        <v>5.0</v>
      </c>
      <c r="B7974" s="1" t="s">
        <v>7857</v>
      </c>
      <c r="C7974" t="str">
        <f>IFERROR(__xludf.DUMMYFUNCTION("GOOGLETRANSLATE(B7974, ""fr"", ""en"")"),"Colle Good Very good rolls, stick well and easy to unfold. I recommend.")</f>
        <v>Colle Good Very good rolls, stick well and easy to unfold. I recommend.</v>
      </c>
    </row>
    <row r="7975">
      <c r="A7975" s="1">
        <v>5.0</v>
      </c>
      <c r="B7975" s="1" t="s">
        <v>7858</v>
      </c>
      <c r="C7975" t="str">
        <f>IFERROR(__xludf.DUMMYFUNCTION("GOOGLETRANSLATE(B7975, ""fr"", ""en"")"),"Clips Wall garlands They are perfect !!!")</f>
        <v>Clips Wall garlands They are perfect !!!</v>
      </c>
    </row>
    <row r="7976">
      <c r="A7976" s="1">
        <v>5.0</v>
      </c>
      <c r="B7976" s="1" t="s">
        <v>7859</v>
      </c>
      <c r="C7976" t="str">
        <f>IFERROR(__xludf.DUMMYFUNCTION("GOOGLETRANSLATE(B7976, ""fr"", ""en"")"),"Very satisfied thank you very satisfied thank you")</f>
        <v>Very satisfied thank you very satisfied thank you</v>
      </c>
    </row>
    <row r="7977">
      <c r="A7977" s="1">
        <v>5.0</v>
      </c>
      <c r="B7977" s="1" t="s">
        <v>7860</v>
      </c>
      <c r="C7977" t="str">
        <f>IFERROR(__xludf.DUMMYFUNCTION("GOOGLETRANSLATE(B7977, ""fr"", ""en"")"),"Perfect I chose this seen its reputation it is easy to assemble, easy to handle, solid it should be just reduce nut species that holds the main screw !!")</f>
        <v>Perfect I chose this seen its reputation it is easy to assemble, easy to handle, solid it should be just reduce nut species that holds the main screw !!</v>
      </c>
    </row>
    <row r="7978">
      <c r="A7978" s="1">
        <v>5.0</v>
      </c>
      <c r="B7978" s="1" t="s">
        <v>7861</v>
      </c>
      <c r="C7978" t="str">
        <f>IFERROR(__xludf.DUMMYFUNCTION("GOOGLETRANSLATE(B7978, ""fr"", ""en"")"),"Quality Sorter sorter 1 I received at home. And the favorite color of battery in addition it is of good quality and do not know deteriorated since the start of use. I recommend this product.")</f>
        <v>Quality Sorter sorter 1 I received at home. And the favorite color of battery in addition it is of good quality and do not know deteriorated since the start of use. I recommend this product.</v>
      </c>
    </row>
    <row r="7979">
      <c r="A7979" s="1">
        <v>5.0</v>
      </c>
      <c r="B7979" s="1" t="s">
        <v>7862</v>
      </c>
      <c r="C7979" t="str">
        <f>IFERROR(__xludf.DUMMYFUNCTION("GOOGLETRANSLATE(B7979, ""fr"", ""en"")"),"Perfect thank you top")</f>
        <v>Perfect thank you top</v>
      </c>
    </row>
    <row r="7980">
      <c r="A7980" s="1">
        <v>5.0</v>
      </c>
      <c r="B7980" s="1" t="s">
        <v>7863</v>
      </c>
      <c r="C7980" t="str">
        <f>IFERROR(__xludf.DUMMYFUNCTION("GOOGLETRANSLATE(B7980, ""fr"", ""en"")"),"Perfect I love this watch. It is exactly as I wanted it for less than a jeweler. Quality product, I recommend it.")</f>
        <v>Perfect I love this watch. It is exactly as I wanted it for less than a jeweler. Quality product, I recommend it.</v>
      </c>
    </row>
    <row r="7981">
      <c r="A7981" s="1">
        <v>5.0</v>
      </c>
      <c r="B7981" s="1" t="s">
        <v>7864</v>
      </c>
      <c r="C7981" t="str">
        <f>IFERROR(__xludf.DUMMYFUNCTION("GOOGLETRANSLATE(B7981, ""fr"", ""en"")"),"Good product ! We are very happy with the product!")</f>
        <v>Good product ! We are very happy with the product!</v>
      </c>
    </row>
    <row r="7982">
      <c r="A7982" s="1">
        <v>5.0</v>
      </c>
      <c r="B7982" s="1" t="s">
        <v>7865</v>
      </c>
      <c r="C7982" t="str">
        <f>IFERROR(__xludf.DUMMYFUNCTION("GOOGLETRANSLATE(B7982, ""fr"", ""en"")"),"a small effect! perfect for an evening!")</f>
        <v>a small effect! perfect for an evening!</v>
      </c>
    </row>
    <row r="7983">
      <c r="A7983" s="1">
        <v>5.0</v>
      </c>
      <c r="B7983" s="1" t="s">
        <v>7866</v>
      </c>
      <c r="C7983" t="str">
        <f>IFERROR(__xludf.DUMMYFUNCTION("GOOGLETRANSLATE(B7983, ""fr"", ""en"")"),"Perfect for Baby We wash all baby vetemes with the laundry. It does not feel the famous brand of laundry but the clothes are clean and healthy. and once accustomed to this new smell. We do not notice. so baby can dress in clothes uncontaminated by endocri"&amp;"ne disruptors ...")</f>
        <v>Perfect for Baby We wash all baby vetemes with the laundry. It does not feel the famous brand of laundry but the clothes are clean and healthy. and once accustomed to this new smell. We do not notice. so baby can dress in clothes uncontaminated by endocrine disruptors ...</v>
      </c>
    </row>
    <row r="7984">
      <c r="A7984" s="1">
        <v>2.0</v>
      </c>
      <c r="B7984" s="1" t="s">
        <v>7867</v>
      </c>
      <c r="C7984" t="str">
        <f>IFERROR(__xludf.DUMMYFUNCTION("GOOGLETRANSLATE(B7984, ""fr"", ""en"")"),"not so practical side it leaves no chalk dust. But it leaves an indelible mark on my blackboard brand new. I was forced to repaint. Expensive for markers that I can not use")</f>
        <v>not so practical side it leaves no chalk dust. But it leaves an indelible mark on my blackboard brand new. I was forced to repaint. Expensive for markers that I can not use</v>
      </c>
    </row>
    <row r="7985">
      <c r="A7985" s="1">
        <v>1.0</v>
      </c>
      <c r="B7985" s="1" t="s">
        <v>7868</v>
      </c>
      <c r="C7985" t="str">
        <f>IFERROR(__xludf.DUMMYFUNCTION("GOOGLETRANSLATE(B7985, ""fr"", ""en"")"),"Bad I had heard a lot about fangs and I had of course seen ... I never liked, but I was touted appearance comfort, so I used this test to check! Let's get the subjective aspect: the aesthetics, I do not even understand how to find this stuff ""elegant"" o"&amp;"r ""beautiful"" ... It's just ugly !!! Only models for little ones are fun, but spent 6 years ... That's it! Side size I make 42 to 42.5 depending on the brand, then the 42-43 is clearly too big (I even checked under the sole to make sure it was the right"&amp;" size). Even with the adjustable strap the fleet feet in width (I hear a lot even for a ""shoe""), so unimaginable to walk differently than when using ""ballad"" with, and again. The comfort ... The flexibility of the sole is not unpleasant and the pins n"&amp;"o longer feel after a few seconds. As against the vents quickly you sweat despite the turn of foot, plastic absorbing nothing and not being breathable, they ""macerated"" quickly in its own juice! Despicable! Only interest that I found: use light work for"&amp;" the summer, a small leather top protection and bringing the ""shoe"" to remove / put easily. Last point: the price: expensive (more than € 35 to date) for a shoe ersatz plastic that even two poor pieces of leather fail to catch up! In short: It's ugly, w"&amp;"e sweat, the foot is not required - &amp; gt; first and last experience with fangs.")</f>
        <v>Bad I had heard a lot about fangs and I had of course seen ... I never liked, but I was touted appearance comfort, so I used this test to check! Let's get the subjective aspect: the aesthetics, I do not even understand how to find this stuff "elegant" or "beautiful" ... It's just ugly !!! Only models for little ones are fun, but spent 6 years ... That's it! Side size I make 42 to 42.5 depending on the brand, then the 42-43 is clearly too big (I even checked under the sole to make sure it was the right size). Even with the adjustable strap the fleet feet in width (I hear a lot even for a "shoe"), so unimaginable to walk differently than when using "ballad" with, and again. The comfort ... The flexibility of the sole is not unpleasant and the pins no longer feel after a few seconds. As against the vents quickly you sweat despite the turn of foot, plastic absorbing nothing and not being breathable, they "macerated" quickly in its own juice! Despicable! Only interest that I found: use light work for the summer, a small leather top protection and bringing the "shoe" to remove / put easily. Last point: the price: expensive (more than € 35 to date) for a shoe ersatz plastic that even two poor pieces of leather fail to catch up! In short: It's ugly, we sweat, the foot is not required - &amp; gt; first and last experience with fangs.</v>
      </c>
    </row>
    <row r="7986">
      <c r="A7986" s="1">
        <v>1.0</v>
      </c>
      <c r="B7986" s="1" t="s">
        <v>7869</v>
      </c>
      <c r="C7986" t="str">
        <f>IFERROR(__xludf.DUMMYFUNCTION("GOOGLETRANSLATE(B7986, ""fr"", ""en"")"),"Disappointed for original works earphones A side after a day of use. Without reason or even misuse. He painful ripped")</f>
        <v>Disappointed for original works earphones A side after a day of use. Without reason or even misuse. He painful ripped</v>
      </c>
    </row>
    <row r="7987">
      <c r="A7987" s="1">
        <v>3.0</v>
      </c>
      <c r="B7987" s="1" t="s">
        <v>7870</v>
      </c>
      <c r="C7987" t="str">
        <f>IFERROR(__xludf.DUMMYFUNCTION("GOOGLETRANSLATE(B7987, ""fr"", ""en"")"),"deçue According to the opinion, I thought to use it for an amateur show with background music. Unfortunately, this is not suitable at all for there an echo when talking ... However, the return and refund is fast with premium.")</f>
        <v>deçue According to the opinion, I thought to use it for an amateur show with background music. Unfortunately, this is not suitable at all for there an echo when talking ... However, the return and refund is fast with premium.</v>
      </c>
    </row>
    <row r="7988">
      <c r="A7988" s="1">
        <v>4.0</v>
      </c>
      <c r="B7988" s="1" t="s">
        <v>7871</v>
      </c>
      <c r="C7988" t="str">
        <f>IFERROR(__xludf.DUMMYFUNCTION("GOOGLETRANSLATE(B7988, ""fr"", ""en"")"),"Although gift for a gift")</f>
        <v>Although gift for a gift</v>
      </c>
    </row>
    <row r="7989">
      <c r="A7989" s="1">
        <v>4.0</v>
      </c>
      <c r="B7989" s="1" t="s">
        <v>7872</v>
      </c>
      <c r="C7989" t="str">
        <f>IFERROR(__xludf.DUMMYFUNCTION("GOOGLETRANSLATE(B7989, ""fr"", ""en"")"),"As expected Good cut, good quality. This is actually a long-sleeved shirt. The size is perfect if one refers to the table manufacturer.")</f>
        <v>As expected Good cut, good quality. This is actually a long-sleeved shirt. The size is perfect if one refers to the table manufacturer.</v>
      </c>
    </row>
    <row r="7990">
      <c r="A7990" s="1">
        <v>4.0</v>
      </c>
      <c r="B7990" s="1" t="s">
        <v>7873</v>
      </c>
      <c r="C7990" t="str">
        <f>IFERROR(__xludf.DUMMYFUNCTION("GOOGLETRANSLATE(B7990, ""fr"", ""en"")"),"Satisfied satisfied but the second shot of the product itself, I recommend it. By cons I return of a first time for the heat function was failing. The return and replacement of the product was very easy relay point and super fast!")</f>
        <v>Satisfied satisfied but the second shot of the product itself, I recommend it. By cons I return of a first time for the heat function was failing. The return and replacement of the product was very easy relay point and super fast!</v>
      </c>
    </row>
    <row r="7991">
      <c r="A7991" s="1">
        <v>4.0</v>
      </c>
      <c r="B7991" s="1" t="s">
        <v>7874</v>
      </c>
      <c r="C7991" t="str">
        <f>IFERROR(__xludf.DUMMYFUNCTION("GOOGLETRANSLATE(B7991, ""fr"", ""en"")"),"Done well are working This is a dispenser for adhesive dots. Very easy to use and fits perfectly in double face! Ideal for gluing photos in an album")</f>
        <v>Done well are working This is a dispenser for adhesive dots. Very easy to use and fits perfectly in double face! Ideal for gluing photos in an album</v>
      </c>
    </row>
    <row r="7992">
      <c r="A7992" s="1">
        <v>5.0</v>
      </c>
      <c r="B7992" s="1" t="s">
        <v>7875</v>
      </c>
      <c r="C7992" t="str">
        <f>IFERROR(__xludf.DUMMYFUNCTION("GOOGLETRANSLATE(B7992, ""fr"", ""en"")"),"Article of good quality very beautiful bracelet, positive attitude;) Thanks")</f>
        <v>Article of good quality very beautiful bracelet, positive attitude;) Thanks</v>
      </c>
    </row>
    <row r="7993">
      <c r="A7993" s="1">
        <v>5.0</v>
      </c>
      <c r="B7993" s="1" t="s">
        <v>7876</v>
      </c>
      <c r="C7993" t="str">
        <f>IFERROR(__xludf.DUMMYFUNCTION("GOOGLETRANSLATE(B7993, ""fr"", ""en"")"),"LED Lamp Package received quickly. I took this lamp to light when I do nails. Always a bit of light above to see better. It hangs on the very convenient table when I have to move. The LED lit very well and does not hurt the eyes compared to others.")</f>
        <v>LED Lamp Package received quickly. I took this lamp to light when I do nails. Always a bit of light above to see better. It hangs on the very convenient table when I have to move. The LED lit very well and does not hurt the eyes compared to others.</v>
      </c>
    </row>
    <row r="7994">
      <c r="A7994" s="1">
        <v>5.0</v>
      </c>
      <c r="B7994" s="1" t="s">
        <v>7877</v>
      </c>
      <c r="C7994" t="str">
        <f>IFERROR(__xludf.DUMMYFUNCTION("GOOGLETRANSLATE(B7994, ""fr"", ""en"")"),"Consistent with the description Very good value for money for this purpose. Reception on time and neat. The leather is a bit hard at first but with a little time it becomes relaxed and nickel")</f>
        <v>Consistent with the description Very good value for money for this purpose. Reception on time and neat. The leather is a bit hard at first but with a little time it becomes relaxed and nickel</v>
      </c>
    </row>
    <row r="7995">
      <c r="A7995" s="1">
        <v>5.0</v>
      </c>
      <c r="B7995" s="1" t="s">
        <v>3967</v>
      </c>
      <c r="C7995" t="str">
        <f>IFERROR(__xludf.DUMMYFUNCTION("GOOGLETRANSLATE(B7995, ""fr"", ""en"")"),"Ok Ras")</f>
        <v>Ok Ras</v>
      </c>
    </row>
    <row r="7996">
      <c r="A7996" s="1">
        <v>5.0</v>
      </c>
      <c r="B7996" s="1" t="s">
        <v>2457</v>
      </c>
      <c r="C7996" t="str">
        <f>IFERROR(__xludf.DUMMYFUNCTION("GOOGLETRANSLATE(B7996, ""fr"", ""en"")"),"Ok Ok")</f>
        <v>Ok Ok</v>
      </c>
    </row>
    <row r="7997">
      <c r="A7997" s="1">
        <v>5.0</v>
      </c>
      <c r="B7997" s="1" t="s">
        <v>7878</v>
      </c>
      <c r="C7997" t="str">
        <f>IFERROR(__xludf.DUMMYFUNCTION("GOOGLETRANSLATE(B7997, ""fr"", ""en"")"),"Nice watch very beautiful object with a nice contrast between the black and gold figures that promotes reading. The bracelet has a setting facile.Je am very pleased with this purchase and would recommend it for its competitive price and nice look")</f>
        <v>Nice watch very beautiful object with a nice contrast between the black and gold figures that promotes reading. The bracelet has a setting facile.Je am very pleased with this purchase and would recommend it for its competitive price and nice look</v>
      </c>
    </row>
    <row r="7998">
      <c r="A7998" s="1">
        <v>5.0</v>
      </c>
      <c r="B7998" s="1" t="s">
        <v>7879</v>
      </c>
      <c r="C7998" t="str">
        <f>IFERROR(__xludf.DUMMYFUNCTION("GOOGLETRANSLATE(B7998, ""fr"", ""en"")"),"very well thank you very much thank you")</f>
        <v>very well thank you very much thank you</v>
      </c>
    </row>
    <row r="7999">
      <c r="A7999" s="1">
        <v>5.0</v>
      </c>
      <c r="B7999" s="1" t="s">
        <v>7880</v>
      </c>
      <c r="C7999" t="str">
        <f>IFERROR(__xludf.DUMMYFUNCTION("GOOGLETRANSLATE(B7999, ""fr"", ""en"")"),"Nothing to say ! Bought Saturday received today! Very good value for money ! In addition, the product is well packed with original box I recommend for addicts of the brand")</f>
        <v>Nothing to say ! Bought Saturday received today! Very good value for money ! In addition, the product is well packed with original box I recommend for addicts of the brand</v>
      </c>
    </row>
    <row r="8000">
      <c r="A8000" s="1">
        <v>5.0</v>
      </c>
      <c r="B8000" s="1" t="s">
        <v>7881</v>
      </c>
      <c r="C8000" t="str">
        <f>IFERROR(__xludf.DUMMYFUNCTION("GOOGLETRANSLATE(B8000, ""fr"", ""en"")"),"At the top is very good cheap")</f>
        <v>At the top is very good cheap</v>
      </c>
    </row>
    <row r="8001">
      <c r="A8001" s="1">
        <v>5.0</v>
      </c>
      <c r="B8001" s="1" t="s">
        <v>7882</v>
      </c>
      <c r="C8001" t="str">
        <f>IFERROR(__xludf.DUMMYFUNCTION("GOOGLETRANSLATE(B8001, ""fr"", ""en"")"),"Very very good Really great nothing to say")</f>
        <v>Very very good Really great nothing to say</v>
      </c>
    </row>
    <row r="8002">
      <c r="A8002" s="1">
        <v>5.0</v>
      </c>
      <c r="B8002" s="1" t="s">
        <v>7883</v>
      </c>
      <c r="C8002" t="str">
        <f>IFERROR(__xludf.DUMMYFUNCTION("GOOGLETRANSLATE(B8002, ""fr"", ""en"")"),"Very good very good pointer pointer. The connection with computer very easy and quick. The drivers are installed by themselves. The change in delay of almost immediate slideshows. The laser intensity is high enough so no problems of laser point visibility"&amp;". Besides my cat who loves playing with the laser is much appreciated")</f>
        <v>Very good very good pointer pointer. The connection with computer very easy and quick. The drivers are installed by themselves. The change in delay of almost immediate slideshows. The laser intensity is high enough so no problems of laser point visibility. Besides my cat who loves playing with the laser is much appreciated</v>
      </c>
    </row>
    <row r="8003">
      <c r="A8003" s="1">
        <v>5.0</v>
      </c>
      <c r="B8003" s="1" t="s">
        <v>7884</v>
      </c>
      <c r="C8003" t="str">
        <f>IFERROR(__xludf.DUMMYFUNCTION("GOOGLETRANSLATE(B8003, ""fr"", ""en"")"),"Superb quality and well made 👍🏻")</f>
        <v>Superb quality and well made 👍🏻</v>
      </c>
    </row>
    <row r="8004">
      <c r="A8004" s="1">
        <v>5.0</v>
      </c>
      <c r="B8004" s="1" t="s">
        <v>7885</v>
      </c>
      <c r="C8004" t="str">
        <f>IFERROR(__xludf.DUMMYFUNCTION("GOOGLETRANSLATE(B8004, ""fr"", ""en"")"),"Hug Rs")</f>
        <v>Hug Rs</v>
      </c>
    </row>
    <row r="8005">
      <c r="A8005" s="1">
        <v>5.0</v>
      </c>
      <c r="B8005" s="1" t="s">
        <v>7886</v>
      </c>
      <c r="C8005" t="str">
        <f>IFERROR(__xludf.DUMMYFUNCTION("GOOGLETRANSLATE(B8005, ""fr"", ""en"")"),"Nice In fact, it's better than advertising, so I feel satisfied 100%. I'm a little afraid of the size, but it is very suitable for my size, so no matter, good cut and strong enough!")</f>
        <v>Nice In fact, it's better than advertising, so I feel satisfied 100%. I'm a little afraid of the size, but it is very suitable for my size, so no matter, good cut and strong enough!</v>
      </c>
    </row>
    <row r="8006">
      <c r="A8006" s="1">
        <v>5.0</v>
      </c>
      <c r="B8006" s="1" t="s">
        <v>7887</v>
      </c>
      <c r="C8006" t="str">
        <f>IFERROR(__xludf.DUMMYFUNCTION("GOOGLETRANSLATE(B8006, ""fr"", ""en"")"),"Huge Huge micro microphone to start youtube or even to register a sound I highly recommend but provide sound card was not even 10 euros frankly I find niquel.")</f>
        <v>Huge Huge micro microphone to start youtube or even to register a sound I highly recommend but provide sound card was not even 10 euros frankly I find niquel.</v>
      </c>
    </row>
    <row r="8007">
      <c r="A8007" s="1">
        <v>5.0</v>
      </c>
      <c r="B8007" s="1" t="s">
        <v>7888</v>
      </c>
      <c r="C8007" t="str">
        <f>IFERROR(__xludf.DUMMYFUNCTION("GOOGLETRANSLATE(B8007, ""fr"", ""en"")"),"Bracelet Qu beautiful word wrist and the eye")</f>
        <v>Bracelet Qu beautiful word wrist and the eye</v>
      </c>
    </row>
    <row r="8008">
      <c r="A8008" s="1">
        <v>2.0</v>
      </c>
      <c r="B8008" s="1" t="s">
        <v>7889</v>
      </c>
      <c r="C8008" t="str">
        <f>IFERROR(__xludf.DUMMYFUNCTION("GOOGLETRANSLATE(B8008, ""fr"", ""en"")"),"Bad Sound is not great and the microphone is awful, giving the impression that we are far or that the microphone is obstructed by something")</f>
        <v>Bad Sound is not great and the microphone is awful, giving the impression that we are far or that the microphone is obstructed by something</v>
      </c>
    </row>
    <row r="8009">
      <c r="A8009" s="1">
        <v>1.0</v>
      </c>
      <c r="B8009" s="1" t="s">
        <v>7890</v>
      </c>
      <c r="C8009" t="str">
        <f>IFERROR(__xludf.DUMMYFUNCTION("GOOGLETRANSLATE(B8009, ""fr"", ""en"")"),"very disappointed I am so disappointed with this article. when I'm outside the bluetooh do not.The works his jumps and it becomes inaudible. if I had known, I will not get it bought. To avoid")</f>
        <v>very disappointed I am so disappointed with this article. when I'm outside the bluetooh do not.The works his jumps and it becomes inaudible. if I had known, I will not get it bought. To avoid</v>
      </c>
    </row>
    <row r="8010">
      <c r="A8010" s="1">
        <v>3.0</v>
      </c>
      <c r="B8010" s="1" t="s">
        <v>7891</v>
      </c>
      <c r="C8010" t="str">
        <f>IFERROR(__xludf.DUMMYFUNCTION("GOOGLETRANSLATE(B8010, ""fr"", ""en"")"),"Done little disappointed shine. Is waxing or the nature of brushes. Otherwise Seems pretty solid and is silent in the use.")</f>
        <v>Done little disappointed shine. Is waxing or the nature of brushes. Otherwise Seems pretty solid and is silent in the use.</v>
      </c>
    </row>
    <row r="8011">
      <c r="A8011" s="1">
        <v>3.0</v>
      </c>
      <c r="B8011" s="1" t="s">
        <v>7892</v>
      </c>
      <c r="C8011" t="str">
        <f>IFERROR(__xludf.DUMMYFUNCTION("GOOGLETRANSLATE(B8011, ""fr"", ""en"")"),"I took the shoe size shoe size that suited me. But they carve big enough, there is still room after")</f>
        <v>I took the shoe size shoe size that suited me. But they carve big enough, there is still room after</v>
      </c>
    </row>
    <row r="8012">
      <c r="A8012" s="1">
        <v>4.0</v>
      </c>
      <c r="B8012" s="1" t="s">
        <v>7893</v>
      </c>
      <c r="C8012" t="str">
        <f>IFERROR(__xludf.DUMMYFUNCTION("GOOGLETRANSLATE(B8012, ""fr"", ""en"")"),"good product What is unfortunate is that we should order for 25 € in order to have the item, otherwise I connaus therefore produced no surprises I served for delicate clothes.")</f>
        <v>good product What is unfortunate is that we should order for 25 € in order to have the item, otherwise I connaus therefore produced no surprises I served for delicate clothes.</v>
      </c>
    </row>
    <row r="8013">
      <c r="A8013" s="1">
        <v>4.0</v>
      </c>
      <c r="B8013" s="1" t="s">
        <v>7894</v>
      </c>
      <c r="C8013" t="str">
        <f>IFERROR(__xludf.DUMMYFUNCTION("GOOGLETRANSLATE(B8013, ""fr"", ""en"")"),"Delivery OK OK")</f>
        <v>Delivery OK OK</v>
      </c>
    </row>
    <row r="8014">
      <c r="A8014" s="1">
        <v>4.0</v>
      </c>
      <c r="B8014" s="1" t="s">
        <v>7895</v>
      </c>
      <c r="C8014" t="str">
        <f>IFERROR(__xludf.DUMMYFUNCTION("GOOGLETRANSLATE(B8014, ""fr"", ""en"")"),"delivery and product conformity I am satisfied with this purchase")</f>
        <v>delivery and product conformity I am satisfied with this purchase</v>
      </c>
    </row>
    <row r="8015">
      <c r="A8015" s="1">
        <v>4.0</v>
      </c>
      <c r="B8015" s="1" t="s">
        <v>7896</v>
      </c>
      <c r="C8015" t="str">
        <f>IFERROR(__xludf.DUMMYFUNCTION("GOOGLETRANSLATE(B8015, ""fr"", ""en"")"),"Joli No certificate of authenticity this is damage")</f>
        <v>Joli No certificate of authenticity this is damage</v>
      </c>
    </row>
    <row r="8016">
      <c r="A8016" s="1">
        <v>5.0</v>
      </c>
      <c r="B8016" s="1" t="s">
        <v>7897</v>
      </c>
      <c r="C8016" t="str">
        <f>IFERROR(__xludf.DUMMYFUNCTION("GOOGLETRANSLATE(B8016, ""fr"", ""en"")"),"Perfect highly fulfilled his mission the first 3 months. Very happy. Well think about putting the bottled mineral water and not tap")</f>
        <v>Perfect highly fulfilled his mission the first 3 months. Very happy. Well think about putting the bottled mineral water and not tap</v>
      </c>
    </row>
    <row r="8017">
      <c r="A8017" s="1">
        <v>5.0</v>
      </c>
      <c r="B8017" s="1" t="s">
        <v>7898</v>
      </c>
      <c r="C8017" t="str">
        <f>IFERROR(__xludf.DUMMYFUNCTION("GOOGLETRANSLATE(B8017, ""fr"", ""en"")"),"Beautiful bag pretty material Beautiful bag I love is beautiful adjustable matter and it is not so small. It is class for the price it is impeccable")</f>
        <v>Beautiful bag pretty material Beautiful bag I love is beautiful adjustable matter and it is not so small. It is class for the price it is impeccable</v>
      </c>
    </row>
    <row r="8018">
      <c r="A8018" s="1">
        <v>5.0</v>
      </c>
      <c r="B8018" s="1" t="s">
        <v>7899</v>
      </c>
      <c r="C8018" t="str">
        <f>IFERROR(__xludf.DUMMYFUNCTION("GOOGLETRANSLATE(B8018, ""fr"", ""en"")"),"shoe size square talented 44 great very comfortable for marriage. thank you Amazon")</f>
        <v>shoe size square talented 44 great very comfortable for marriage. thank you Amazon</v>
      </c>
    </row>
    <row r="8019">
      <c r="A8019" s="1">
        <v>5.0</v>
      </c>
      <c r="B8019" s="1" t="s">
        <v>7900</v>
      </c>
      <c r="C8019" t="str">
        <f>IFERROR(__xludf.DUMMYFUNCTION("GOOGLETRANSLATE(B8019, ""fr"", ""en"")"),"Music Very good product")</f>
        <v>Music Very good product</v>
      </c>
    </row>
    <row r="8020">
      <c r="A8020" s="1">
        <v>5.0</v>
      </c>
      <c r="B8020" s="1" t="s">
        <v>7901</v>
      </c>
      <c r="C8020" t="str">
        <f>IFERROR(__xludf.DUMMYFUNCTION("GOOGLETRANSLATE(B8020, ""fr"", ""en"")"),"Okay Okay, these shoes fit me like a glove. I have received almost on time and I have not noticed any abnormality in size (46). Hopefully they will last!")</f>
        <v>Okay Okay, these shoes fit me like a glove. I have received almost on time and I have not noticed any abnormality in size (46). Hopefully they will last!</v>
      </c>
    </row>
    <row r="8021">
      <c r="A8021" s="1">
        <v>5.0</v>
      </c>
      <c r="B8021" s="1" t="s">
        <v>7902</v>
      </c>
      <c r="C8021" t="str">
        <f>IFERROR(__xludf.DUMMYFUNCTION("GOOGLETRANSLATE(B8021, ""fr"", ""en"")"),"Good mister .... Excellent cheap and works well")</f>
        <v>Good mister .... Excellent cheap and works well</v>
      </c>
    </row>
    <row r="8022">
      <c r="A8022" s="1">
        <v>5.0</v>
      </c>
      <c r="B8022" s="1" t="s">
        <v>7903</v>
      </c>
      <c r="C8022" t="str">
        <f>IFERROR(__xludf.DUMMYFUNCTION("GOOGLETRANSLATE(B8022, ""fr"", ""en"")"),"very good price / quality ultra-fast delivery. performance product for emergency recording.")</f>
        <v>very good price / quality ultra-fast delivery. performance product for emergency recording.</v>
      </c>
    </row>
    <row r="8023">
      <c r="A8023" s="1">
        <v>5.0</v>
      </c>
      <c r="B8023" s="1" t="s">
        <v>7904</v>
      </c>
      <c r="C8023" t="str">
        <f>IFERROR(__xludf.DUMMYFUNCTION("GOOGLETRANSLATE(B8023, ""fr"", ""en"")"),"The perfect jewel box is well presented, perfect for a gift! I bought it for me and I'm not disappointed. I have a big wrist and its wide attachment system (or tight, your choice) do not shake me. As my other bracelets I never removed and it is very resis"&amp;"tant to currently. I bought it two months ago. It's a good buy.")</f>
        <v>The perfect jewel box is well presented, perfect for a gift! I bought it for me and I'm not disappointed. I have a big wrist and its wide attachment system (or tight, your choice) do not shake me. As my other bracelets I never removed and it is very resistant to currently. I bought it two months ago. It's a good buy.</v>
      </c>
    </row>
    <row r="8024">
      <c r="A8024" s="1">
        <v>5.0</v>
      </c>
      <c r="B8024" s="1" t="s">
        <v>7905</v>
      </c>
      <c r="C8024" t="str">
        <f>IFERROR(__xludf.DUMMYFUNCTION("GOOGLETRANSLATE(B8024, ""fr"", ""en"")"),"beautiful bag beautiful bag, well finished leather of very good quality, leather is matte and very flexible. Despite its small size it can not misplaced things, memes an order book of 175 mm checks. I recommend this product.")</f>
        <v>beautiful bag beautiful bag, well finished leather of very good quality, leather is matte and very flexible. Despite its small size it can not misplaced things, memes an order book of 175 mm checks. I recommend this product.</v>
      </c>
    </row>
    <row r="8025">
      <c r="A8025" s="1">
        <v>5.0</v>
      </c>
      <c r="B8025" s="1" t="s">
        <v>7906</v>
      </c>
      <c r="C8025" t="str">
        <f>IFERROR(__xludf.DUMMYFUNCTION("GOOGLETRANSLATE(B8025, ""fr"", ""en"")"),"Pretty Jewelry")</f>
        <v>Pretty Jewelry</v>
      </c>
    </row>
    <row r="8026">
      <c r="A8026" s="1">
        <v>5.0</v>
      </c>
      <c r="B8026" s="1" t="s">
        <v>7907</v>
      </c>
      <c r="C8026" t="str">
        <f>IFERROR(__xludf.DUMMYFUNCTION("GOOGLETRANSLATE(B8026, ""fr"", ""en"")"),"Very beautiful necklace &lt;div id = ""video-block-R2OBA43KT45RX"" class = ""a-section-spacing-small in-spacing-top mini video-block""&gt; &lt;/ div&gt; &lt;input type = ""hidden"" name = """" value = ""https://images-eu.ssl-images-amazon.com/images/I/B1f82KZc4pS.mp4"" "&amp;"class = ""video-url""&gt; &lt;input type = ""hidden"" name = """" value = ""https://images-eu.ssl-images-amazon.com/images/I/91OVSptqOkS.png"" class = ""video-slate-img-url""&gt; &amp; nbsp; pink gold necklace super stylish. The collar is thin and very pretty. At the "&amp;"pendant, it is around the size of a 2 euro coin. It is not too big and with Swarovski crystals is especially pretty. I received it with a small blue box and a soft cloth for cleaning. Very good value for money. I wear it every day since my purchase and wi"&amp;"th the days work and sweat, my skin does not become green (as seen with some shoddy jewelry) I am very happy If the comment has seemed useful, say it and click ""YES"", it's always nice to know that the comments can help you :)")</f>
        <v>Very beautiful necklace &lt;div id = "video-block-R2OBA43KT45RX" class = "a-section-spacing-small in-spacing-top mini video-block"&gt; &lt;/ div&gt; &lt;input type = "hidden" name = "" value = "https://images-eu.ssl-images-amazon.com/images/I/B1f82KZc4pS.mp4" class = "video-url"&gt; &lt;input type = "hidden" name = "" value = "https://images-eu.ssl-images-amazon.com/images/I/91OVSptqOkS.png" class = "video-slate-img-url"&gt; &amp; nbsp; pink gold necklace super stylish. The collar is thin and very pretty. At the pendant, it is around the size of a 2 euro coin. It is not too big and with Swarovski crystals is especially pretty. I received it with a small blue box and a soft cloth for cleaning. Very good value for money. I wear it every day since my purchase and with the days work and sweat, my skin does not become green (as seen with some shoddy jewelry) I am very happy If the comment has seemed useful, say it and click "YES", it's always nice to know that the comments can help you :)</v>
      </c>
    </row>
    <row r="8027">
      <c r="A8027" s="1">
        <v>5.0</v>
      </c>
      <c r="B8027" s="1" t="s">
        <v>7908</v>
      </c>
      <c r="C8027" t="str">
        <f>IFERROR(__xludf.DUMMYFUNCTION("GOOGLETRANSLATE(B8027, ""fr"", ""en"")"),"Pure happiness Bought for my boyfriend for Christmas. He did spend more and often stings him for my back. Great")</f>
        <v>Pure happiness Bought for my boyfriend for Christmas. He did spend more and often stings him for my back. Great</v>
      </c>
    </row>
    <row r="8028">
      <c r="A8028" s="1">
        <v>5.0</v>
      </c>
      <c r="B8028" s="1" t="s">
        <v>7909</v>
      </c>
      <c r="C8028" t="str">
        <f>IFERROR(__xludf.DUMMYFUNCTION("GOOGLETRANSLATE(B8028, ""fr"", ""en"")"),"Car Pack Bigger Buddy imagined (I saw smaller!), The device is easy to pair. Fixing is done very quickly thanks to the magnet on the back of the case, the sound is clear coming out of the speaker. My correspondents do not complain about not hearing me, I "&amp;"find that it works well! Autonomy announced 1000h standby is I think clearly pessimistic ...! For over a month now that it is installed in my car, it runs on its first load ... The connection ""beep beep"" will ensure that the next call, I can keep my two"&amp;" hands on the wheel ..")</f>
        <v>Car Pack Bigger Buddy imagined (I saw smaller!), The device is easy to pair. Fixing is done very quickly thanks to the magnet on the back of the case, the sound is clear coming out of the speaker. My correspondents do not complain about not hearing me, I find that it works well! Autonomy announced 1000h standby is I think clearly pessimistic ...! For over a month now that it is installed in my car, it runs on its first load ... The connection "beep beep" will ensure that the next call, I can keep my two hands on the wheel ..</v>
      </c>
    </row>
    <row r="8029">
      <c r="A8029" s="1">
        <v>5.0</v>
      </c>
      <c r="B8029" s="1" t="s">
        <v>7910</v>
      </c>
      <c r="C8029" t="str">
        <f>IFERROR(__xludf.DUMMYFUNCTION("GOOGLETRANSLATE(B8029, ""fr"", ""en"")"),"very happy too well. A super quality. Absolutely does not toy. A real microphone. My daughter loves")</f>
        <v>very happy too well. A super quality. Absolutely does not toy. A real microphone. My daughter loves</v>
      </c>
    </row>
    <row r="8030">
      <c r="A8030" s="1">
        <v>5.0</v>
      </c>
      <c r="B8030" s="1" t="s">
        <v>7911</v>
      </c>
      <c r="C8030" t="str">
        <f>IFERROR(__xludf.DUMMYFUNCTION("GOOGLETRANSLATE(B8030, ""fr"", ""en"")"),"Perfect ! I often use for my massage and I love it. I love its smell, because it is an oil that does not stick and leaves a pleasant sensation on the body.")</f>
        <v>Perfect ! I often use for my massage and I love it. I love its smell, because it is an oil that does not stick and leaves a pleasant sensation on the body.</v>
      </c>
    </row>
    <row r="8031">
      <c r="A8031" s="1">
        <v>2.0</v>
      </c>
      <c r="B8031" s="1" t="s">
        <v>7912</v>
      </c>
      <c r="C8031" t="str">
        <f>IFERROR(__xludf.DUMMYFUNCTION("GOOGLETRANSLATE(B8031, ""fr"", ""en"")"),"essential oil of mint peppery Product consistent with the description that said I put only two stars due to the presence of allergen product in the essential oil. But then the price that it costs, some people may be able to do Carlito's Way. J have used t"&amp;"he essential oil to make my homemade toothpaste, it worked well. I'll finish the bottle to use but I do not recommend it. I will turn to an organic product.")</f>
        <v>essential oil of mint peppery Product consistent with the description that said I put only two stars due to the presence of allergen product in the essential oil. But then the price that it costs, some people may be able to do Carlito's Way. J have used the essential oil to make my homemade toothpaste, it worked well. I'll finish the bottle to use but I do not recommend it. I will turn to an organic product.</v>
      </c>
    </row>
    <row r="8032">
      <c r="A8032" s="1">
        <v>1.0</v>
      </c>
      <c r="B8032" s="1" t="s">
        <v>7913</v>
      </c>
      <c r="C8032" t="str">
        <f>IFERROR(__xludf.DUMMYFUNCTION("GOOGLETRANSLATE(B8032, ""fr"", ""en"")"),"Really disappointed! At the open From the package, the product is, but after a few days of use by my spouse, the sole it off, to become not to wear! I highly recommend!")</f>
        <v>Really disappointed! At the open From the package, the product is, but after a few days of use by my spouse, the sole it off, to become not to wear! I highly recommend!</v>
      </c>
    </row>
    <row r="8033">
      <c r="A8033" s="1">
        <v>1.0</v>
      </c>
      <c r="B8033" s="1" t="s">
        <v>7914</v>
      </c>
      <c r="C8033" t="str">
        <f>IFERROR(__xludf.DUMMYFUNCTION("GOOGLETRANSLATE(B8033, ""fr"", ""en"")"),"Very Poor Quality Rubbish article. The box arrived broken ... No quality of the sound")</f>
        <v>Very Poor Quality Rubbish article. The box arrived broken ... No quality of the sound</v>
      </c>
    </row>
    <row r="8034">
      <c r="A8034" s="1">
        <v>3.0</v>
      </c>
      <c r="B8034" s="1" t="s">
        <v>7915</v>
      </c>
      <c r="C8034" t="str">
        <f>IFERROR(__xludf.DUMMYFUNCTION("GOOGLETRANSLATE(B8034, ""fr"", ""en"")"),"Cable too steep too steep and impossible to spread straight to the ground, as loops. Then it is very difficult to wrap.")</f>
        <v>Cable too steep too steep and impossible to spread straight to the ground, as loops. Then it is very difficult to wrap.</v>
      </c>
    </row>
    <row r="8035">
      <c r="A8035" s="1">
        <v>3.0</v>
      </c>
      <c r="B8035" s="1" t="s">
        <v>7916</v>
      </c>
      <c r="C8035" t="str">
        <f>IFERROR(__xludf.DUMMYFUNCTION("GOOGLETRANSLATE(B8035, ""fr"", ""en"")"),"Complies hard balls that taste not keep long product conforms to the description but a value price may expensive for the amount")</f>
        <v>Complies hard balls that taste not keep long product conforms to the description but a value price may expensive for the amount</v>
      </c>
    </row>
    <row r="8036">
      <c r="A8036" s="1">
        <v>4.0</v>
      </c>
      <c r="B8036" s="1" t="s">
        <v>7917</v>
      </c>
      <c r="C8036" t="str">
        <f>IFERROR(__xludf.DUMMYFUNCTION("GOOGLETRANSLATE(B8036, ""fr"", ""en"")"),"!!!!! birthday gift it! The activities allow a child to be creative! However be careful to use! Super made! I recommend")</f>
        <v>!!!!! birthday gift it! The activities allow a child to be creative! However be careful to use! Super made! I recommend</v>
      </c>
    </row>
    <row r="8037">
      <c r="A8037" s="1">
        <v>4.0</v>
      </c>
      <c r="B8037" s="1" t="s">
        <v>7918</v>
      </c>
      <c r="C8037" t="str">
        <f>IFERROR(__xludf.DUMMYFUNCTION("GOOGLETRANSLATE(B8037, ""fr"", ""en"")"),"functional and design! Conservation of nutrients through a progressive increase in temperature, this is the argument that convinced me! Heating a bit long time it is true but probably more reliable than the express bottle warmer ... Also, a bottle warmer "&amp;"in a kitchen that is not necessarily an element deco ... but this one is still rather pretty!")</f>
        <v>functional and design! Conservation of nutrients through a progressive increase in temperature, this is the argument that convinced me! Heating a bit long time it is true but probably more reliable than the express bottle warmer ... Also, a bottle warmer in a kitchen that is not necessarily an element deco ... but this one is still rather pretty!</v>
      </c>
    </row>
    <row r="8038">
      <c r="A8038" s="1">
        <v>4.0</v>
      </c>
      <c r="B8038" s="1" t="s">
        <v>7919</v>
      </c>
      <c r="C8038" t="str">
        <f>IFERROR(__xludf.DUMMYFUNCTION("GOOGLETRANSLATE(B8038, ""fr"", ""en"")"),"Sound Sound top")</f>
        <v>Sound Sound top</v>
      </c>
    </row>
    <row r="8039">
      <c r="A8039" s="1">
        <v>4.0</v>
      </c>
      <c r="B8039" s="1" t="s">
        <v>7920</v>
      </c>
      <c r="C8039" t="str">
        <f>IFERROR(__xludf.DUMMYFUNCTION("GOOGLETRANSLATE(B8039, ""fr"", ""en"")"),"Bought cartridge for my printer hp desjket 3070. No use for now")</f>
        <v>Bought cartridge for my printer hp desjket 3070. No use for now</v>
      </c>
    </row>
    <row r="8040">
      <c r="A8040" s="1">
        <v>4.0</v>
      </c>
      <c r="B8040" s="1" t="s">
        <v>7921</v>
      </c>
      <c r="C8040" t="str">
        <f>IFERROR(__xludf.DUMMYFUNCTION("GOOGLETRANSLATE(B8040, ""fr"", ""en"")"),"collar necklace is perfect light and goes very well with my 18 month old daughter who wears all the time. I recommend it to other parents for their child and their teething.")</f>
        <v>collar necklace is perfect light and goes very well with my 18 month old daughter who wears all the time. I recommend it to other parents for their child and their teething.</v>
      </c>
    </row>
    <row r="8041">
      <c r="A8041" s="1">
        <v>5.0</v>
      </c>
      <c r="B8041" s="1" t="s">
        <v>7922</v>
      </c>
      <c r="C8041" t="str">
        <f>IFERROR(__xludf.DUMMYFUNCTION("GOOGLETRANSLATE(B8041, ""fr"", ""en"")"),"My clothes feel so good Cheaper than retail! I validate my machine feels super good and feels fresh")</f>
        <v>My clothes feel so good Cheaper than retail! I validate my machine feels super good and feels fresh</v>
      </c>
    </row>
    <row r="8042">
      <c r="A8042" s="1">
        <v>5.0</v>
      </c>
      <c r="B8042" s="1" t="s">
        <v>7923</v>
      </c>
      <c r="C8042" t="str">
        <f>IFERROR(__xludf.DUMMYFUNCTION("GOOGLETRANSLATE(B8042, ""fr"", ""en"")"),"Relaxing Lets relax lower back to the neck. heating effect guarantees. I use it daily.")</f>
        <v>Relaxing Lets relax lower back to the neck. heating effect guarantees. I use it daily.</v>
      </c>
    </row>
    <row r="8043">
      <c r="A8043" s="1">
        <v>5.0</v>
      </c>
      <c r="B8043" s="1" t="s">
        <v>7924</v>
      </c>
      <c r="C8043" t="str">
        <f>IFERROR(__xludf.DUMMYFUNCTION("GOOGLETRANSLATE(B8043, ""fr"", ""en"")"),"Canon quality! I use this kit for my Selphy CP1300 and the result is excellent! - The paper is thick satin, photos are so very beautiful and do not get damaged. - The ink is good, it gives very detailed pictures with beautiful colors. In this month of goo"&amp;"d quality is to my printer Selphy CP1300? In any case the result is there! - A price per photo that seems correct. (I confirm that this kit allows well to 100 photos!)")</f>
        <v>Canon quality! I use this kit for my Selphy CP1300 and the result is excellent! - The paper is thick satin, photos are so very beautiful and do not get damaged. - The ink is good, it gives very detailed pictures with beautiful colors. In this month of good quality is to my printer Selphy CP1300? In any case the result is there! - A price per photo that seems correct. (I confirm that this kit allows well to 100 photos!)</v>
      </c>
    </row>
    <row r="8044">
      <c r="A8044" s="1">
        <v>5.0</v>
      </c>
      <c r="B8044" s="1" t="s">
        <v>7925</v>
      </c>
      <c r="C8044" t="str">
        <f>IFERROR(__xludf.DUMMYFUNCTION("GOOGLETRANSLATE(B8044, ""fr"", ""en"")"),"Perfect Fine and elastic material, comfortable to wear. Size battery and + Pretty pattern. For a reasonable price and fast delivery")</f>
        <v>Perfect Fine and elastic material, comfortable to wear. Size battery and + Pretty pattern. For a reasonable price and fast delivery</v>
      </c>
    </row>
    <row r="8045">
      <c r="A8045" s="1">
        <v>5.0</v>
      </c>
      <c r="B8045" s="1" t="s">
        <v>7926</v>
      </c>
      <c r="C8045" t="str">
        <f>IFERROR(__xludf.DUMMYFUNCTION("GOOGLETRANSLATE(B8045, ""fr"", ""en"")"),"Laundry + handwash = whiteness ensured Hello, I have purchased elected BC to first to see, with the tips of grandmothers, c was noted that the machine that grisaillait found its whiteness! So I tried so not on color but white (socks, towels toilet gloves,"&amp;" all of which is white with some color. You put two or three pods of elected BC in the drawer or the drum of your machine. And you will see the result. C is magic. I did not believe what my eyes saw my white pants were as new as white non-door. Since elue"&amp;"colo part of my maintenance wipes. for more questions see with eluecolo .")</f>
        <v>Laundry + handwash = whiteness ensured Hello, I have purchased elected BC to first to see, with the tips of grandmothers, c was noted that the machine that grisaillait found its whiteness! So I tried so not on color but white (socks, towels toilet gloves, all of which is white with some color. You put two or three pods of elected BC in the drawer or the drum of your machine. And you will see the result. C is magic. I did not believe what my eyes saw my white pants were as new as white non-door. Since eluecolo part of my maintenance wipes. for more questions see with eluecolo .</v>
      </c>
    </row>
    <row r="8046">
      <c r="A8046" s="1">
        <v>5.0</v>
      </c>
      <c r="B8046" s="1" t="s">
        <v>7927</v>
      </c>
      <c r="C8046" t="str">
        <f>IFERROR(__xludf.DUMMYFUNCTION("GOOGLETRANSLATE(B8046, ""fr"", ""en"")"),"light alarm clock I bought this clock as gifts for my daughter for her birthday lovely design. Supplied with a USB cable easy to use (even without instructions) in several melodies .Several volume levels .ma princess is very happy .😉")</f>
        <v>light alarm clock I bought this clock as gifts for my daughter for her birthday lovely design. Supplied with a USB cable easy to use (even without instructions) in several melodies .Several volume levels .ma princess is very happy .😉</v>
      </c>
    </row>
    <row r="8047">
      <c r="A8047" s="1">
        <v>5.0</v>
      </c>
      <c r="B8047" s="1" t="s">
        <v>7928</v>
      </c>
      <c r="C8047" t="str">
        <f>IFERROR(__xludf.DUMMYFUNCTION("GOOGLETRANSLATE(B8047, ""fr"", ""en"")"),"Excellent wireless headphones It's a real pleasure to discover these headphones have a very good design. The recharging box is very pretty with its tinted window. They quickly connect bluetooth soon as they are out of the housing and disseminate good soun"&amp;"d quality with bass very present. They are very comfortable and their use is rather intuitive. I did not know the iPosible brand, and I am happy to discover it. It's very good price / quality, I am very satisfied!")</f>
        <v>Excellent wireless headphones It's a real pleasure to discover these headphones have a very good design. The recharging box is very pretty with its tinted window. They quickly connect bluetooth soon as they are out of the housing and disseminate good sound quality with bass very present. They are very comfortable and their use is rather intuitive. I did not know the iPosible brand, and I am happy to discover it. It's very good price / quality, I am very satisfied!</v>
      </c>
    </row>
    <row r="8048">
      <c r="A8048" s="1">
        <v>5.0</v>
      </c>
      <c r="B8048" s="1" t="s">
        <v>7929</v>
      </c>
      <c r="C8048" t="str">
        <f>IFERROR(__xludf.DUMMYFUNCTION("GOOGLETRANSLATE(B8048, ""fr"", ""en"")"),"The best bottles Bottle ideal when baby breastfeeds. Reproduced perfectly sucking at the breast. No confusion for my baby. I recommend.")</f>
        <v>The best bottles Bottle ideal when baby breastfeeds. Reproduced perfectly sucking at the breast. No confusion for my baby. I recommend.</v>
      </c>
    </row>
    <row r="8049">
      <c r="A8049" s="1">
        <v>5.0</v>
      </c>
      <c r="B8049" s="1" t="s">
        <v>7930</v>
      </c>
      <c r="C8049" t="str">
        <f>IFERROR(__xludf.DUMMYFUNCTION("GOOGLETRANSLATE(B8049, ""fr"", ""en"")"),"Good quality Very friendly!")</f>
        <v>Good quality Very friendly!</v>
      </c>
    </row>
    <row r="8050">
      <c r="A8050" s="1">
        <v>5.0</v>
      </c>
      <c r="B8050" s="1" t="s">
        <v>7931</v>
      </c>
      <c r="C8050" t="str">
        <f>IFERROR(__xludf.DUMMYFUNCTION("GOOGLETRANSLATE(B8050, ""fr"", ""en"")"),"Super Perfect for now we'll see when I will remove it the Christmas garlands")</f>
        <v>Super Perfect for now we'll see when I will remove it the Christmas garlands</v>
      </c>
    </row>
    <row r="8051">
      <c r="A8051" s="1">
        <v>5.0</v>
      </c>
      <c r="B8051" s="1" t="s">
        <v>7932</v>
      </c>
      <c r="C8051" t="str">
        <f>IFERROR(__xludf.DUMMYFUNCTION("GOOGLETRANSLATE(B8051, ""fr"", ""en"")"),"A little fragile Okay")</f>
        <v>A little fragile Okay</v>
      </c>
    </row>
    <row r="8052">
      <c r="A8052" s="1">
        <v>5.0</v>
      </c>
      <c r="B8052" s="1" t="s">
        <v>7933</v>
      </c>
      <c r="C8052" t="str">
        <f>IFERROR(__xludf.DUMMYFUNCTION("GOOGLETRANSLATE(B8052, ""fr"", ""en"")"),"Pretty nice comme.achat is several colors I can often put goes with everything")</f>
        <v>Pretty nice comme.achat is several colors I can often put goes with everything</v>
      </c>
    </row>
    <row r="8053">
      <c r="A8053" s="1">
        <v>5.0</v>
      </c>
      <c r="B8053" s="1" t="s">
        <v>7934</v>
      </c>
      <c r="C8053" t="str">
        <f>IFERROR(__xludf.DUMMYFUNCTION("GOOGLETRANSLATE(B8053, ""fr"", ""en"")"),"Good cartridge Item received on time. The cartridge is the Canon brand. J liked the envelope provided with free return the cartridge to return the empty cartridge ... very good idea to recycle or re use these cartridges. I am satisfied with my purchase.")</f>
        <v>Good cartridge Item received on time. The cartridge is the Canon brand. J liked the envelope provided with free return the cartridge to return the empty cartridge ... very good idea to recycle or re use these cartridges. I am satisfied with my purchase.</v>
      </c>
    </row>
    <row r="8054">
      <c r="A8054" s="1">
        <v>5.0</v>
      </c>
      <c r="B8054" s="1" t="s">
        <v>7935</v>
      </c>
      <c r="C8054" t="str">
        <f>IFERROR(__xludf.DUMMYFUNCTION("GOOGLETRANSLATE(B8054, ""fr"", ""en"")"),"great product very well finished product")</f>
        <v>great product very well finished product</v>
      </c>
    </row>
    <row r="8055">
      <c r="A8055" s="1">
        <v>5.0</v>
      </c>
      <c r="B8055" s="1" t="s">
        <v>7936</v>
      </c>
      <c r="C8055" t="str">
        <f>IFERROR(__xludf.DUMMYFUNCTION("GOOGLETRANSLATE(B8055, ""fr"", ""en"")"),"super love my daughter")</f>
        <v>super love my daughter</v>
      </c>
    </row>
    <row r="8056">
      <c r="A8056" s="1">
        <v>2.0</v>
      </c>
      <c r="B8056" s="1" t="s">
        <v>7937</v>
      </c>
      <c r="C8056" t="str">
        <f>IFERROR(__xludf.DUMMYFUNCTION("GOOGLETRANSLATE(B8056, ""fr"", ""en"")"),"Not sustainable I bought a first kettle which I have requested replacement in receiving it because it was not working. After only 6 months, she will not stop automatically when boiling, it must again replace ... Nice design and adjustable temperature but "&amp;"above the powder eyes I feel.")</f>
        <v>Not sustainable I bought a first kettle which I have requested replacement in receiving it because it was not working. After only 6 months, she will not stop automatically when boiling, it must again replace ... Nice design and adjustable temperature but above the powder eyes I feel.</v>
      </c>
    </row>
    <row r="8057">
      <c r="A8057" s="1">
        <v>1.0</v>
      </c>
      <c r="B8057" s="1" t="s">
        <v>7938</v>
      </c>
      <c r="C8057" t="str">
        <f>IFERROR(__xludf.DUMMYFUNCTION("GOOGLETRANSLATE(B8057, ""fr"", ""en"")"),"A scam watch never functioned properly. The second hand forward, backward, stopped, stood still ... Fortunately I paid just € 3 I not expecting much and I'm still disappointed.")</f>
        <v>A scam watch never functioned properly. The second hand forward, backward, stopped, stood still ... Fortunately I paid just € 3 I not expecting much and I'm still disappointed.</v>
      </c>
    </row>
    <row r="8058">
      <c r="A8058" s="1">
        <v>1.0</v>
      </c>
      <c r="B8058" s="1" t="s">
        <v>7939</v>
      </c>
      <c r="C8058" t="str">
        <f>IFERROR(__xludf.DUMMYFUNCTION("GOOGLETRANSLATE(B8058, ""fr"", ""en"")"),"Failure fast Very disappointed with the quality: outside lighting variable that works, dissemination hardly working: I bought at the same time that another broadcaster of ESTEBAN brand. Both were subject to the same conditions and the distributor, it work"&amp;"s ^ read.")</f>
        <v>Failure fast Very disappointed with the quality: outside lighting variable that works, dissemination hardly working: I bought at the same time that another broadcaster of ESTEBAN brand. Both were subject to the same conditions and the distributor, it works ^ read.</v>
      </c>
    </row>
    <row r="8059">
      <c r="A8059" s="1">
        <v>3.0</v>
      </c>
      <c r="B8059" s="1" t="s">
        <v>7940</v>
      </c>
      <c r="C8059" t="str">
        <f>IFERROR(__xludf.DUMMYFUNCTION("GOOGLETRANSLATE(B8059, ""fr"", ""en"")"),"high shoes Not bad but too high. May bend ankles .... Nice and comfortable. Not guarded for so young is too high.")</f>
        <v>high shoes Not bad but too high. May bend ankles .... Nice and comfortable. Not guarded for so young is too high.</v>
      </c>
    </row>
    <row r="8060">
      <c r="A8060" s="1">
        <v>3.0</v>
      </c>
      <c r="B8060" s="1" t="s">
        <v>7941</v>
      </c>
      <c r="C8060" t="str">
        <f>IFERROR(__xludf.DUMMYFUNCTION("GOOGLETRANSLATE(B8060, ""fr"", ""en"")"),"Works less than 3 years after purchase Kettle commissioned in January 2015. stopped working without warning in the fall of 2017, with no weekly use. It's tremendously frustrating, it grows and consumerism is anti-ecological. Consequently electronic thermo"&amp;"stat or deliberately programmed obsolescence? It is in any case the last tea electronic thermostat I buy. For comparison, an old moulinex yellow plastic, admittedly without gadgets such as a thermostat, I bought it 15 years ago is still in service ... How"&amp;"ever, before dying, she worked well with fast and quiet heating. Convenient to make tea at the correct temperature.")</f>
        <v>Works less than 3 years after purchase Kettle commissioned in January 2015. stopped working without warning in the fall of 2017, with no weekly use. It's tremendously frustrating, it grows and consumerism is anti-ecological. Consequently electronic thermostat or deliberately programmed obsolescence? It is in any case the last tea electronic thermostat I buy. For comparison, an old moulinex yellow plastic, admittedly without gadgets such as a thermostat, I bought it 15 years ago is still in service ... However, before dying, she worked well with fast and quiet heating. Convenient to make tea at the correct temperature.</v>
      </c>
    </row>
    <row r="8061">
      <c r="A8061" s="1">
        <v>4.0</v>
      </c>
      <c r="B8061" s="1" t="s">
        <v>7942</v>
      </c>
      <c r="C8061" t="str">
        <f>IFERROR(__xludf.DUMMYFUNCTION("GOOGLETRANSLATE(B8061, ""fr"", ""en"")"),"Perfect Sizes fine, pretty model, my daughter is delighted and me especially for the price good quality 😊")</f>
        <v>Perfect Sizes fine, pretty model, my daughter is delighted and me especially for the price good quality 😊</v>
      </c>
    </row>
    <row r="8062">
      <c r="A8062" s="1">
        <v>4.0</v>
      </c>
      <c r="B8062" s="1" t="s">
        <v>7943</v>
      </c>
      <c r="C8062" t="str">
        <f>IFERROR(__xludf.DUMMYFUNCTION("GOOGLETRANSLATE(B8062, ""fr"", ""en"")"),"Some defects balanced performance but ultimately I'll keep them. Let me explain. I wanted headphones that could provide a very good sound for music, good sound for the phone's microphone and which are ergonomic. Of all the high-end headphones I tested I f"&amp;"inally dwell on those. I am very particular about the quality and I have tried BO BeoPlay 2.0 and 65t active Jabra. The sound music is a little below the BO BeoPlay but the equalizer interface adjusts as you like, it still remains very good. The microphon"&amp;"e is in turn better than the soundtrack but is problematic when one is outside and even a bus. The micro level of quality is quite comparable to Jabra. Ergonomics is a little worse than the soundtrack but still quite good although a large flat on autonomy"&amp;". Jabra is worse in her I chose the compromise between 3. 1 month of use I had 2 bug connections, but that can be solved through a reset process. This is not what I like about the design plan, but it is the best compromise. I expect this price to have the"&amp;" top quality level, but I think that it will take much more time before being developed on this techno knowing that the tested models range from 169 to 350 € I would it's expensive for rendering quality level? Within 2 years we will be better models.")</f>
        <v>Some defects balanced performance but ultimately I'll keep them. Let me explain. I wanted headphones that could provide a very good sound for music, good sound for the phone's microphone and which are ergonomic. Of all the high-end headphones I tested I finally dwell on those. I am very particular about the quality and I have tried BO BeoPlay 2.0 and 65t active Jabra. The sound music is a little below the BO BeoPlay but the equalizer interface adjusts as you like, it still remains very good. The microphone is in turn better than the soundtrack but is problematic when one is outside and even a bus. The micro level of quality is quite comparable to Jabra. Ergonomics is a little worse than the soundtrack but still quite good although a large flat on autonomy. Jabra is worse in her I chose the compromise between 3. 1 month of use I had 2 bug connections, but that can be solved through a reset process. This is not what I like about the design plan, but it is the best compromise. I expect this price to have the top quality level, but I think that it will take much more time before being developed on this techno knowing that the tested models range from 169 to 350 € I would it's expensive for rendering quality level? Within 2 years we will be better models.</v>
      </c>
    </row>
    <row r="8063">
      <c r="A8063" s="1">
        <v>4.0</v>
      </c>
      <c r="B8063" s="1" t="s">
        <v>7944</v>
      </c>
      <c r="C8063" t="str">
        <f>IFERROR(__xludf.DUMMYFUNCTION("GOOGLETRANSLATE(B8063, ""fr"", ""en"")"),"Good running shoes These shoes are light and well damped. I've already done 15 km and they are comfortable. Just a little slippery on my treadmill (not on the road) where the 4 stars.")</f>
        <v>Good running shoes These shoes are light and well damped. I've already done 15 km and they are comfortable. Just a little slippery on my treadmill (not on the road) where the 4 stars.</v>
      </c>
    </row>
    <row r="8064">
      <c r="A8064" s="1">
        <v>4.0</v>
      </c>
      <c r="B8064" s="1" t="s">
        <v>7945</v>
      </c>
      <c r="C8064" t="str">
        <f>IFERROR(__xludf.DUMMYFUNCTION("GOOGLETRANSLATE(B8064, ""fr"", ""en"")"),"Anarch on repayment of € 3 I find it shameful to put forward a refund and when you look at what to do: create an account, register, complete a form and provide a lot of information, scan the invoice print everything (so many pages) and mail ... after dedu"&amp;"ction of these costs we win what? 1 €? so we did not and Casio knows it. Frankly, it sucks because anyway we will buy this calculator since it is the one recommended by the colleges. This false rebate only tarnish the image of the brand.")</f>
        <v>Anarch on repayment of € 3 I find it shameful to put forward a refund and when you look at what to do: create an account, register, complete a form and provide a lot of information, scan the invoice print everything (so many pages) and mail ... after deduction of these costs we win what? 1 €? so we did not and Casio knows it. Frankly, it sucks because anyway we will buy this calculator since it is the one recommended by the colleges. This false rebate only tarnish the image of the brand.</v>
      </c>
    </row>
    <row r="8065">
      <c r="A8065" s="1">
        <v>5.0</v>
      </c>
      <c r="B8065" s="1" t="s">
        <v>7946</v>
      </c>
      <c r="C8065" t="str">
        <f>IFERROR(__xludf.DUMMYFUNCTION("GOOGLETRANSLATE(B8065, ""fr"", ""en"")"),"very good article very good article, easy to use. only one regret: not having bought earlier,")</f>
        <v>very good article very good article, easy to use. only one regret: not having bought earlier,</v>
      </c>
    </row>
    <row r="8066">
      <c r="A8066" s="1">
        <v>5.0</v>
      </c>
      <c r="B8066" s="1" t="s">
        <v>7947</v>
      </c>
      <c r="C8066" t="str">
        <f>IFERROR(__xludf.DUMMYFUNCTION("GOOGLETRANSLATE(B8066, ""fr"", ""en"")"),"The article, no problem Ordered for my daughter, this works perfectly, unlike the previous, cheaper but has never been used")</f>
        <v>The article, no problem Ordered for my daughter, this works perfectly, unlike the previous, cheaper but has never been used</v>
      </c>
    </row>
    <row r="8067">
      <c r="A8067" s="1">
        <v>5.0</v>
      </c>
      <c r="B8067" s="1" t="s">
        <v>7948</v>
      </c>
      <c r="C8067" t="str">
        <f>IFERROR(__xludf.DUMMYFUNCTION("GOOGLETRANSLATE(B8067, ""fr"", ""en"")"),"It is well cut trousers pleasant to wear. It suits me well and good size. The style is nice and young. It can be worn with a shirt and shirt.")</f>
        <v>It is well cut trousers pleasant to wear. It suits me well and good size. The style is nice and young. It can be worn with a shirt and shirt.</v>
      </c>
    </row>
    <row r="8068">
      <c r="A8068" s="1">
        <v>5.0</v>
      </c>
      <c r="B8068" s="1" t="s">
        <v>7949</v>
      </c>
      <c r="C8068" t="str">
        <f>IFERROR(__xludf.DUMMYFUNCTION("GOOGLETRANSLATE(B8068, ""fr"", ""en"")"),"Top notch So handy when you have children who want to stick drawings everywhere 🙂 After that s removed easily ...")</f>
        <v>Top notch So handy when you have children who want to stick drawings everywhere 🙂 After that s removed easily ...</v>
      </c>
    </row>
    <row r="8069">
      <c r="A8069" s="1">
        <v>5.0</v>
      </c>
      <c r="B8069" s="1" t="s">
        <v>7950</v>
      </c>
      <c r="C8069" t="str">
        <f>IFERROR(__xludf.DUMMYFUNCTION("GOOGLETRANSLATE(B8069, ""fr"", ""en"")"),"Well My daughter is thrilled")</f>
        <v>Well My daughter is thrilled</v>
      </c>
    </row>
    <row r="8070">
      <c r="A8070" s="1">
        <v>5.0</v>
      </c>
      <c r="B8070" s="1" t="s">
        <v>7951</v>
      </c>
      <c r="C8070" t="str">
        <f>IFERROR(__xludf.DUMMYFUNCTION("GOOGLETRANSLATE(B8070, ""fr"", ""en"")"),"Practical and light !! Bought for an oral defense of the project, this remote I really served to enliven my remote slideshow. The laser pointer is very practical to emphasize key elements appearing on the slides. Very satisfied with my purchase.")</f>
        <v>Practical and light !! Bought for an oral defense of the project, this remote I really served to enliven my remote slideshow. The laser pointer is very practical to emphasize key elements appearing on the slides. Very satisfied with my purchase.</v>
      </c>
    </row>
    <row r="8071">
      <c r="A8071" s="1">
        <v>5.0</v>
      </c>
      <c r="B8071" s="1" t="s">
        <v>7952</v>
      </c>
      <c r="C8071" t="str">
        <f>IFERROR(__xludf.DUMMYFUNCTION("GOOGLETRANSLATE(B8071, ""fr"", ""en"")"),"The wipes are TOP! ⚠️ review after use ⚠️ I use the wipes St. Mark for a long time to clean every day. ➡️ Positives: - 5 Pack packages that contain a total of 200 wipes - nice fragrance and fresh that maximizes own feeling - strong wipes that do not tear "&amp;"and very wet for a good cleaning - Large wipes that can clean more large areas without changing all the time - Bag that closes and keeps them moist for a long time wipes, not dry wipes problem - Used to clean all types of surfaces - Good value ➡️ in short"&amp;", being Consumer Inquiries these wipes from long I recommend as handy for cleaning every day without losing time. Hoping that this comment will be useful 🙏😊⤵️ coordialement Florent and Anne")</f>
        <v>The wipes are TOP! ⚠️ review after use ⚠️ I use the wipes St. Mark for a long time to clean every day. ➡️ Positives: - 5 Pack packages that contain a total of 200 wipes - nice fragrance and fresh that maximizes own feeling - strong wipes that do not tear and very wet for a good cleaning - Large wipes that can clean more large areas without changing all the time - Bag that closes and keeps them moist for a long time wipes, not dry wipes problem - Used to clean all types of surfaces - Good value ➡️ in short, being Consumer Inquiries these wipes from long I recommend as handy for cleaning every day without losing time. Hoping that this comment will be useful 🙏😊⤵️ coordialement Florent and Anne</v>
      </c>
    </row>
    <row r="8072">
      <c r="A8072" s="1">
        <v>5.0</v>
      </c>
      <c r="B8072" s="1" t="s">
        <v>7953</v>
      </c>
      <c r="C8072" t="str">
        <f>IFERROR(__xludf.DUMMYFUNCTION("GOOGLETRANSLATE(B8072, ""fr"", ""en"")"),"Very good for XP-247 printer I only just beginning to try the early n the Printer not appreciate that his is not the Epson cartridges (the cartridges are no original still want you of course we said yes) But in any case the quality is very good, works car"&amp;"tridges and price is no problem if nickel thereafter I always provide me here;) My printer is an Epson XP-247")</f>
        <v>Very good for XP-247 printer I only just beginning to try the early n the Printer not appreciate that his is not the Epson cartridges (the cartridges are no original still want you of course we said yes) But in any case the quality is very good, works cartridges and price is no problem if nickel thereafter I always provide me here;) My printer is an Epson XP-247</v>
      </c>
    </row>
    <row r="8073">
      <c r="A8073" s="1">
        <v>5.0</v>
      </c>
      <c r="B8073" s="1" t="s">
        <v>7954</v>
      </c>
      <c r="C8073" t="str">
        <f>IFERROR(__xludf.DUMMYFUNCTION("GOOGLETRANSLATE(B8073, ""fr"", ""en"")"),"highly recommend this product if you are looking for a good quality / price, this is the ideal headset I bought this for my frequent plane trips and music. It is simply too great at all levels (sound, anti-noise design and the cabinet).,")</f>
        <v>highly recommend this product if you are looking for a good quality / price, this is the ideal headset I bought this for my frequent plane trips and music. It is simply too great at all levels (sound, anti-noise design and the cabinet).,</v>
      </c>
    </row>
    <row r="8074">
      <c r="A8074" s="1">
        <v>5.0</v>
      </c>
      <c r="B8074" s="1" t="s">
        <v>7955</v>
      </c>
      <c r="C8074" t="str">
        <f>IFERROR(__xludf.DUMMYFUNCTION("GOOGLETRANSLATE(B8074, ""fr"", ""en"")"),"Although well as the one I found in Vietnam")</f>
        <v>Although well as the one I found in Vietnam</v>
      </c>
    </row>
    <row r="8075">
      <c r="A8075" s="1">
        <v>5.0</v>
      </c>
      <c r="B8075" s="1" t="s">
        <v>7956</v>
      </c>
      <c r="C8075" t="str">
        <f>IFERROR(__xludf.DUMMYFUNCTION("GOOGLETRANSLATE(B8075, ""fr"", ""en"")"),"Safety shoes Beautiful and good size, nothing to say")</f>
        <v>Safety shoes Beautiful and good size, nothing to say</v>
      </c>
    </row>
    <row r="8076">
      <c r="A8076" s="1">
        <v>5.0</v>
      </c>
      <c r="B8076" s="1" t="s">
        <v>7957</v>
      </c>
      <c r="C8076" t="str">
        <f>IFERROR(__xludf.DUMMYFUNCTION("GOOGLETRANSLATE(B8076, ""fr"", ""en"")"),"Recommend Good quality, well designed (lots of separate parts) and very pretty. Considering the price, this is a bargain!")</f>
        <v>Recommend Good quality, well designed (lots of separate parts) and very pretty. Considering the price, this is a bargain!</v>
      </c>
    </row>
    <row r="8077">
      <c r="A8077" s="1">
        <v>5.0</v>
      </c>
      <c r="B8077" s="1" t="s">
        <v>7958</v>
      </c>
      <c r="C8077" t="str">
        <f>IFERROR(__xludf.DUMMYFUNCTION("GOOGLETRANSLATE(B8077, ""fr"", ""en"")"),"Perfect Case 100% compatible to the gray of my vehicle card. I had a little trouble putting it but now it is perfectly safe. I much prefer the transparent covers, to make copies or another we do not need to remove the gray card in very handy case. Also ve"&amp;"ry good, I recommend. Article posted the same day. Go for it !!!")</f>
        <v>Perfect Case 100% compatible to the gray of my vehicle card. I had a little trouble putting it but now it is perfectly safe. I much prefer the transparent covers, to make copies or another we do not need to remove the gray card in very handy case. Also very good, I recommend. Article posted the same day. Go for it !!!</v>
      </c>
    </row>
    <row r="8078">
      <c r="A8078" s="1">
        <v>5.0</v>
      </c>
      <c r="B8078" s="1" t="s">
        <v>7959</v>
      </c>
      <c r="C8078" t="str">
        <f>IFERROR(__xludf.DUMMYFUNCTION("GOOGLETRANSLATE(B8078, ""fr"", ""en"")"),"Top Very handy")</f>
        <v>Top Very handy</v>
      </c>
    </row>
    <row r="8079">
      <c r="A8079" s="1">
        <v>5.0</v>
      </c>
      <c r="B8079" s="1" t="s">
        <v>7960</v>
      </c>
      <c r="C8079" t="str">
        <f>IFERROR(__xludf.DUMMYFUNCTION("GOOGLETRANSLATE(B8079, ""fr"", ""en"")"),"lovely lovely necklace pretty big, beautiful color. guaranteed effect")</f>
        <v>lovely lovely necklace pretty big, beautiful color. guaranteed effect</v>
      </c>
    </row>
    <row r="8080">
      <c r="A8080" s="1">
        <v>2.0</v>
      </c>
      <c r="B8080" s="1" t="s">
        <v>7961</v>
      </c>
      <c r="C8080" t="str">
        <f>IFERROR(__xludf.DUMMYFUNCTION("GOOGLETRANSLATE(B8080, ""fr"", ""en"")"),"Disappointed persistent noise and its low hyper Edit: the noise is gone but now oreilette super low left. A persistent noise Tintin tutu or as an error message in my ears. Sincerely, very boring and I bought 2. I find myself without headphones.")</f>
        <v>Disappointed persistent noise and its low hyper Edit: the noise is gone but now oreilette super low left. A persistent noise Tintin tutu or as an error message in my ears. Sincerely, very boring and I bought 2. I find myself without headphones.</v>
      </c>
    </row>
    <row r="8081">
      <c r="A8081" s="1">
        <v>1.0</v>
      </c>
      <c r="B8081" s="1" t="s">
        <v>7962</v>
      </c>
      <c r="C8081" t="str">
        <f>IFERROR(__xludf.DUMMYFUNCTION("GOOGLETRANSLATE(B8081, ""fr"", ""en"")"),"Rubbish Product especially not buy because it is a complete rip off for the quality of the jacket and are especially price")</f>
        <v>Rubbish Product especially not buy because it is a complete rip off for the quality of the jacket and are especially price</v>
      </c>
    </row>
    <row r="8082">
      <c r="A8082" s="1">
        <v>1.0</v>
      </c>
      <c r="B8082" s="1" t="s">
        <v>7963</v>
      </c>
      <c r="C8082" t="str">
        <f>IFERROR(__xludf.DUMMYFUNCTION("GOOGLETRANSLATE(B8082, ""fr"", ""en"")"),"Warning not turn these ""&amp; nbsp; &amp; nbsp bloggers;"" on my Pandora bracelet. I am very disappointed.")</f>
        <v>Warning not turn these "&amp; nbsp; &amp; nbsp bloggers;" on my Pandora bracelet. I am very disappointed.</v>
      </c>
    </row>
    <row r="8083">
      <c r="A8083" s="1">
        <v>3.0</v>
      </c>
      <c r="B8083" s="1" t="s">
        <v>7964</v>
      </c>
      <c r="C8083" t="str">
        <f>IFERROR(__xludf.DUMMYFUNCTION("GOOGLETRANSLATE(B8083, ""fr"", ""en"")"),"Hard tips Nice but beware hard bits and not pleasant soft on the body but not the skull in my case. Otherwise impeccable section and delivered on time.")</f>
        <v>Hard tips Nice but beware hard bits and not pleasant soft on the body but not the skull in my case. Otherwise impeccable section and delivered on time.</v>
      </c>
    </row>
    <row r="8084">
      <c r="A8084" s="1">
        <v>4.0</v>
      </c>
      <c r="B8084" s="1" t="s">
        <v>7965</v>
      </c>
      <c r="C8084" t="str">
        <f>IFERROR(__xludf.DUMMYFUNCTION("GOOGLETRANSLATE(B8084, ""fr"", ""en"")"),"Good product. A handy when you frequently watch hands in the water like when you fish. My father is very happy!")</f>
        <v>Good product. A handy when you frequently watch hands in the water like when you fish. My father is very happy!</v>
      </c>
    </row>
    <row r="8085">
      <c r="A8085" s="1">
        <v>4.0</v>
      </c>
      <c r="B8085" s="1" t="s">
        <v>7966</v>
      </c>
      <c r="C8085" t="str">
        <f>IFERROR(__xludf.DUMMYFUNCTION("GOOGLETRANSLATE(B8085, ""fr"", ""en"")"),"Lightweight and soft fabric Very soft cloth. The weight of the material is much lower. Used in the Rain, has no problems with hood. The dressing is good. looks stylish too. No problems discovered after washing. No noticed bubbles. OK for style.")</f>
        <v>Lightweight and soft fabric Very soft cloth. The weight of the material is much lower. Used in the Rain, has no problems with hood. The dressing is good. looks stylish too. No problems discovered after washing. No noticed bubbles. OK for style.</v>
      </c>
    </row>
    <row r="8086">
      <c r="A8086" s="1">
        <v>4.0</v>
      </c>
      <c r="B8086" s="1" t="s">
        <v>7967</v>
      </c>
      <c r="C8086" t="str">
        <f>IFERROR(__xludf.DUMMYFUNCTION("GOOGLETRANSLATE(B8086, ""fr"", ""en"")"),"Very nice Good quality / price ratio")</f>
        <v>Very nice Good quality / price ratio</v>
      </c>
    </row>
    <row r="8087">
      <c r="A8087" s="1">
        <v>4.0</v>
      </c>
      <c r="B8087" s="1" t="s">
        <v>7968</v>
      </c>
      <c r="C8087" t="str">
        <f>IFERROR(__xludf.DUMMYFUNCTION("GOOGLETRANSLATE(B8087, ""fr"", ""en"")"),"Cartridges unrecognized I wanted to change a yellow ink cartridge but my Epson printer does not recognize these cartridges. I have already bought remanufactured, I had not had this problem. As against the customer service is top. Contact I was for a comme"&amp;"rcial gesture. Thanks to them.")</f>
        <v>Cartridges unrecognized I wanted to change a yellow ink cartridge but my Epson printer does not recognize these cartridges. I have already bought remanufactured, I had not had this problem. As against the customer service is top. Contact I was for a commercial gesture. Thanks to them.</v>
      </c>
    </row>
    <row r="8088">
      <c r="A8088" s="1">
        <v>5.0</v>
      </c>
      <c r="B8088" s="1" t="s">
        <v>7969</v>
      </c>
      <c r="C8088" t="str">
        <f>IFERROR(__xludf.DUMMYFUNCTION("GOOGLETRANSLATE(B8088, ""fr"", ""en"")"),"I totally Board 👌 earpiece at the top, the quality is really the appointment, design and successful and autonomy is more than good I strongly advice")</f>
        <v>I totally Board 👌 earpiece at the top, the quality is really the appointment, design and successful and autonomy is more than good I strongly advice</v>
      </c>
    </row>
    <row r="8089">
      <c r="A8089" s="1">
        <v>5.0</v>
      </c>
      <c r="B8089" s="1" t="s">
        <v>7970</v>
      </c>
      <c r="C8089" t="str">
        <f>IFERROR(__xludf.DUMMYFUNCTION("GOOGLETRANSLATE(B8089, ""fr"", ""en"")"),"very well at this price thick handkerchiefs, I recommend")</f>
        <v>very well at this price thick handkerchiefs, I recommend</v>
      </c>
    </row>
    <row r="8090">
      <c r="A8090" s="1">
        <v>5.0</v>
      </c>
      <c r="B8090" s="1" t="s">
        <v>7971</v>
      </c>
      <c r="C8090" t="str">
        <f>IFERROR(__xludf.DUMMYFUNCTION("GOOGLETRANSLATE(B8090, ""fr"", ""en"")"),"Size very well and comfortable to wear Light and comfortable to wear even after 9am nonstop no sore feet. I took in 37.5 and nickel that goes I am between sizes 2 c is top be able to find suitable shoes secu. I recommend 👍")</f>
        <v>Size very well and comfortable to wear Light and comfortable to wear even after 9am nonstop no sore feet. I took in 37.5 and nickel that goes I am between sizes 2 c is top be able to find suitable shoes secu. I recommend 👍</v>
      </c>
    </row>
    <row r="8091">
      <c r="A8091" s="1">
        <v>5.0</v>
      </c>
      <c r="B8091" s="1" t="s">
        <v>7972</v>
      </c>
      <c r="C8091" t="str">
        <f>IFERROR(__xludf.DUMMYFUNCTION("GOOGLETRANSLATE(B8091, ""fr"", ""en"")"),"nothing Nikel")</f>
        <v>nothing Nikel</v>
      </c>
    </row>
    <row r="8092">
      <c r="A8092" s="1">
        <v>5.0</v>
      </c>
      <c r="B8092" s="1" t="s">
        <v>7973</v>
      </c>
      <c r="C8092" t="str">
        <f>IFERROR(__xludf.DUMMYFUNCTION("GOOGLETRANSLATE(B8092, ""fr"", ""en"")"),"Perfect Excellent Bluetooth headset great sound and very easy to use, very quickly connected to my iphone 6. format is well suited to the ears, the sense is mentioned in the leaflet also fits well with children than adults has different studding. charging"&amp;" is done by simply placing the earbuds in the box. The kit has a good battery life. I highly recommend.")</f>
        <v>Perfect Excellent Bluetooth headset great sound and very easy to use, very quickly connected to my iphone 6. format is well suited to the ears, the sense is mentioned in the leaflet also fits well with children than adults has different studding. charging is done by simply placing the earbuds in the box. The kit has a good battery life. I highly recommend.</v>
      </c>
    </row>
    <row r="8093">
      <c r="A8093" s="1">
        <v>5.0</v>
      </c>
      <c r="B8093" s="1" t="s">
        <v>7974</v>
      </c>
      <c r="C8093" t="str">
        <f>IFERROR(__xludf.DUMMYFUNCTION("GOOGLETRANSLATE(B8093, ""fr"", ""en"")"),"information via the website Pandora v I made at Pandora authenticated if it is a must file a complaint will be. Check hallmark to determine the purity of the metal. All PANDORA jewelry has a hallmark indicating the purity of the metal certifying its authe"&amp;"nticity. In the US, the term used is quality mark, the British equivalent is hallmark, and is the equivalent DANNOIS fineness mark. All our silver jewelry 925 / 1000e are subject to a capital ""S"", the first letter of the word ""silver"" (silver), follow"&amp;"ed by the index of purity expressed in pure silver parts per mil: 925 (92 , 5% pure silver). All our gold jewelry are subject to a capital ""G"", the first letter of the word ""gold"" (gold), followed by the index of purity expressed in pure gold parts pe"&amp;"r thousandth contained in the alloy: gold 585 / 1000th: G585 (58.5% pure gold) or gold 750 / 1000e: G750 (75% pure gold).")</f>
        <v>information via the website Pandora v I made at Pandora authenticated if it is a must file a complaint will be. Check hallmark to determine the purity of the metal. All PANDORA jewelry has a hallmark indicating the purity of the metal certifying its authenticity. In the US, the term used is quality mark, the British equivalent is hallmark, and is the equivalent DANNOIS fineness mark. All our silver jewelry 925 / 1000e are subject to a capital "S", the first letter of the word "silver" (silver), followed by the index of purity expressed in pure silver parts per mil: 925 (92 , 5% pure silver). All our gold jewelry are subject to a capital "G", the first letter of the word "gold" (gold), followed by the index of purity expressed in pure gold parts per thousandth contained in the alloy: gold 585 / 1000th: G585 (58.5% pure gold) or gold 750 / 1000e: G750 (75% pure gold).</v>
      </c>
    </row>
    <row r="8094">
      <c r="A8094" s="1">
        <v>5.0</v>
      </c>
      <c r="B8094" s="1" t="s">
        <v>7975</v>
      </c>
      <c r="C8094" t="str">
        <f>IFERROR(__xludf.DUMMYFUNCTION("GOOGLETRANSLATE(B8094, ""fr"", ""en"")"),"nice article Boxer bought for everyday wear, very pretty, well cut comfortable material, adapts perfectly to the size 38 figure I measure 167 and weighs 53 kg length and width perfect. I recommend this article, received at the time indicated by the seller"&amp;".")</f>
        <v>nice article Boxer bought for everyday wear, very pretty, well cut comfortable material, adapts perfectly to the size 38 figure I measure 167 and weighs 53 kg length and width perfect. I recommend this article, received at the time indicated by the seller.</v>
      </c>
    </row>
    <row r="8095">
      <c r="A8095" s="1">
        <v>5.0</v>
      </c>
      <c r="B8095" s="1" t="s">
        <v>7976</v>
      </c>
      <c r="C8095" t="str">
        <f>IFERROR(__xludf.DUMMYFUNCTION("GOOGLETRANSLATE(B8095, ""fr"", ""en"")"),"A little good hot product. I quickly warm feet as")</f>
        <v>A little good hot product. I quickly warm feet as</v>
      </c>
    </row>
    <row r="8096">
      <c r="A8096" s="1">
        <v>5.0</v>
      </c>
      <c r="B8096" s="1" t="s">
        <v>7977</v>
      </c>
      <c r="C8096" t="str">
        <f>IFERROR(__xludf.DUMMYFUNCTION("GOOGLETRANSLATE(B8096, ""fr"", ""en"")"),"Very pretty! VERY beautiful earrings! Simple and sober but bright! slightly smaller than I thought but nice anyway! I recommend!")</f>
        <v>Very pretty! VERY beautiful earrings! Simple and sober but bright! slightly smaller than I thought but nice anyway! I recommend!</v>
      </c>
    </row>
    <row r="8097">
      <c r="A8097" s="1">
        <v>5.0</v>
      </c>
      <c r="B8097" s="1" t="s">
        <v>7978</v>
      </c>
      <c r="C8097" t="str">
        <f>IFERROR(__xludf.DUMMYFUNCTION("GOOGLETRANSLATE(B8097, ""fr"", ""en"")"),"Comfort Super wearable")</f>
        <v>Comfort Super wearable</v>
      </c>
    </row>
    <row r="8098">
      <c r="A8098" s="1">
        <v>5.0</v>
      </c>
      <c r="B8098" s="1" t="s">
        <v>7979</v>
      </c>
      <c r="C8098" t="str">
        <f>IFERROR(__xludf.DUMMYFUNCTION("GOOGLETRANSLATE(B8098, ""fr"", ""en"")"),"Money A cheap price for top quality")</f>
        <v>Money A cheap price for top quality</v>
      </c>
    </row>
    <row r="8099">
      <c r="A8099" s="1">
        <v>5.0</v>
      </c>
      <c r="B8099" s="1" t="s">
        <v>7980</v>
      </c>
      <c r="C8099" t="str">
        <f>IFERROR(__xludf.DUMMYFUNCTION("GOOGLETRANSLATE(B8099, ""fr"", ""en"")"),"Quality in exceptional event The headset is easy to use test range 18 meters with several bearing walls, very good sound quality and sound insulation outside very correct. Easy to install and use. I recommend")</f>
        <v>Quality in exceptional event The headset is easy to use test range 18 meters with several bearing walls, very good sound quality and sound insulation outside very correct. Easy to install and use. I recommend</v>
      </c>
    </row>
    <row r="8100">
      <c r="A8100" s="1">
        <v>5.0</v>
      </c>
      <c r="B8100" s="1" t="s">
        <v>7981</v>
      </c>
      <c r="C8100" t="str">
        <f>IFERROR(__xludf.DUMMYFUNCTION("GOOGLETRANSLATE(B8100, ""fr"", ""en"")"),"Good article Think command a higher size (eg 44 to 43)")</f>
        <v>Good article Think command a higher size (eg 44 to 43)</v>
      </c>
    </row>
    <row r="8101">
      <c r="A8101" s="1">
        <v>5.0</v>
      </c>
      <c r="B8101" s="1" t="s">
        <v>7982</v>
      </c>
      <c r="C8101" t="str">
        <f>IFERROR(__xludf.DUMMYFUNCTION("GOOGLETRANSLATE(B8101, ""fr"", ""en"")"),"Perfect I bought those leather cords for pendants for my daughter's birthday. they are perfect and good quality")</f>
        <v>Perfect I bought those leather cords for pendants for my daughter's birthday. they are perfect and good quality</v>
      </c>
    </row>
    <row r="8102">
      <c r="A8102" s="1">
        <v>5.0</v>
      </c>
      <c r="B8102" s="1" t="s">
        <v>7983</v>
      </c>
      <c r="C8102" t="str">
        <f>IFERROR(__xludf.DUMMYFUNCTION("GOOGLETRANSLATE(B8102, ""fr"", ""en"")"),"Awesome ! Received well before the expected delivery date Product complies with pictures and description Product of very good quality shoes I of 37/38 and I took the 38 they are neither too big nor too small by cons very heavy shoes, I think we need time "&amp;"to adapt")</f>
        <v>Awesome ! Received well before the expected delivery date Product complies with pictures and description Product of very good quality shoes I of 37/38 and I took the 38 they are neither too big nor too small by cons very heavy shoes, I think we need time to adapt</v>
      </c>
    </row>
    <row r="8103">
      <c r="A8103" s="1">
        <v>2.0</v>
      </c>
      <c r="B8103" s="1" t="s">
        <v>7984</v>
      </c>
      <c r="C8103" t="str">
        <f>IFERROR(__xludf.DUMMYFUNCTION("GOOGLETRANSLATE(B8103, ""fr"", ""en"")"),"black cartridge problem for the 2nd time I have a problem with that cartridge because I think they were too old and the ink was too dry which is not the case with color cartridges")</f>
        <v>black cartridge problem for the 2nd time I have a problem with that cartridge because I think they were too old and the ink was too dry which is not the case with color cartridges</v>
      </c>
    </row>
    <row r="8104">
      <c r="A8104" s="1">
        <v>1.0</v>
      </c>
      <c r="B8104" s="1" t="s">
        <v>7985</v>
      </c>
      <c r="C8104" t="str">
        <f>IFERROR(__xludf.DUMMYFUNCTION("GOOGLETRANSLATE(B8104, ""fr"", ""en"")"),"The VERY poor quality Very poor quality, I took this black strap and the ""painting"" goes the bracelet becomes very ugly. When the pain I think it has a placebo effect!")</f>
        <v>The VERY poor quality Very poor quality, I took this black strap and the "painting" goes the bracelet becomes very ugly. When the pain I think it has a placebo effect!</v>
      </c>
    </row>
    <row r="8105">
      <c r="A8105" s="1">
        <v>3.0</v>
      </c>
      <c r="B8105" s="1" t="s">
        <v>7986</v>
      </c>
      <c r="C8105" t="str">
        <f>IFERROR(__xludf.DUMMYFUNCTION("GOOGLETRANSLATE(B8105, ""fr"", ""en"")"),"Sens bad shoes feel too poor quality plastic. References. Reimbursement well")</f>
        <v>Sens bad shoes feel too poor quality plastic. References. Reimbursement well</v>
      </c>
    </row>
    <row r="8106">
      <c r="A8106" s="1">
        <v>3.0</v>
      </c>
      <c r="B8106" s="1" t="s">
        <v>7987</v>
      </c>
      <c r="C8106" t="str">
        <f>IFERROR(__xludf.DUMMYFUNCTION("GOOGLETRANSLATE(B8106, ""fr"", ""en"")"),"For 10/11 Fun and fast read this book is nice but our teen twelve year old is already a little big for this edition")</f>
        <v>For 10/11 Fun and fast read this book is nice but our teen twelve year old is already a little big for this edition</v>
      </c>
    </row>
    <row r="8107">
      <c r="A8107" s="1">
        <v>4.0</v>
      </c>
      <c r="B8107" s="1" t="s">
        <v>7988</v>
      </c>
      <c r="C8107" t="str">
        <f>IFERROR(__xludf.DUMMYFUNCTION("GOOGLETRANSLATE(B8107, ""fr"", ""en"")"),"very nice for the price it is very beautiful at first glance. It is not too cheap or plastic. For a small fee you have a pocket watch with a gold chain of good quality. I focuses luxury wrist watches and this watch allows me to change my costumes look wit"&amp;"h jacket.")</f>
        <v>very nice for the price it is very beautiful at first glance. It is not too cheap or plastic. For a small fee you have a pocket watch with a gold chain of good quality. I focuses luxury wrist watches and this watch allows me to change my costumes look with jacket.</v>
      </c>
    </row>
    <row r="8108">
      <c r="A8108" s="1">
        <v>4.0</v>
      </c>
      <c r="B8108" s="1" t="s">
        <v>7989</v>
      </c>
      <c r="C8108" t="str">
        <f>IFERROR(__xludf.DUMMYFUNCTION("GOOGLETRANSLATE(B8108, ""fr"", ""en"")"),"Super glue it well")</f>
        <v>Super glue it well</v>
      </c>
    </row>
    <row r="8109">
      <c r="A8109" s="1">
        <v>4.0</v>
      </c>
      <c r="B8109" s="1" t="s">
        <v>7990</v>
      </c>
      <c r="C8109" t="str">
        <f>IFERROR(__xludf.DUMMYFUNCTION("GOOGLETRANSLATE(B8109, ""fr"", ""en"")"),"Excellent mic I use it just to play networked with my mates pc (tired of spending € 50 in a microwave sensitive headphones) is very robust and, anyway, do not risk anything like shock. Works much better than the helmet microphones caught much higher (I he"&amp;"adphones Phillips Fidelio M1, for her ^^) The combo headphone + microphone studio is perfect! Nothing to say Maybe a bit of difficulty placed foam (the one at the microphone on the image). I have perhaps not understood? And table mounting system is a bit "&amp;"chaotic, but nothing serious, simply shake well, absolutely nothing to bother.")</f>
        <v>Excellent mic I use it just to play networked with my mates pc (tired of spending € 50 in a microwave sensitive headphones) is very robust and, anyway, do not risk anything like shock. Works much better than the helmet microphones caught much higher (I headphones Phillips Fidelio M1, for her ^^) The combo headphone + microphone studio is perfect! Nothing to say Maybe a bit of difficulty placed foam (the one at the microphone on the image). I have perhaps not understood? And table mounting system is a bit chaotic, but nothing serious, simply shake well, absolutely nothing to bother.</v>
      </c>
    </row>
    <row r="8110">
      <c r="A8110" s="1">
        <v>4.0</v>
      </c>
      <c r="B8110" s="1" t="s">
        <v>7991</v>
      </c>
      <c r="C8110" t="str">
        <f>IFERROR(__xludf.DUMMYFUNCTION("GOOGLETRANSLATE(B8110, ""fr"", ""en"")"),"Satisfied That made a 3 days I have, but it already makes me feel good. By this wet weather, I put on in the morning before my breakfast. To see in time.")</f>
        <v>Satisfied That made a 3 days I have, but it already makes me feel good. By this wet weather, I put on in the morning before my breakfast. To see in time.</v>
      </c>
    </row>
    <row r="8111">
      <c r="A8111" s="1">
        <v>5.0</v>
      </c>
      <c r="B8111" s="1" t="s">
        <v>7992</v>
      </c>
      <c r="C8111" t="str">
        <f>IFERROR(__xludf.DUMMYFUNCTION("GOOGLETRANSLATE(B8111, ""fr"", ""en"")"),"Nickel Very good product. I am satisfied")</f>
        <v>Nickel Very good product. I am satisfied</v>
      </c>
    </row>
    <row r="8112">
      <c r="A8112" s="1">
        <v>5.0</v>
      </c>
      <c r="B8112" s="1" t="s">
        <v>7993</v>
      </c>
      <c r="C8112" t="str">
        <f>IFERROR(__xludf.DUMMYFUNCTION("GOOGLETRANSLATE(B8112, ""fr"", ""en"")"),"Good mark Good Product")</f>
        <v>Good mark Good Product</v>
      </c>
    </row>
    <row r="8113">
      <c r="A8113" s="1">
        <v>5.0</v>
      </c>
      <c r="B8113" s="1" t="s">
        <v>7994</v>
      </c>
      <c r="C8113" t="str">
        <f>IFERROR(__xludf.DUMMYFUNCTION("GOOGLETRANSLATE(B8113, ""fr"", ""en"")"),"Perfect These bags are perfect as very strong and waterproof. Even if the liquid (in a reasonable amount for a bin) that does not pierce the bag. In addition there is a red sliding handle which is convenient when you do not want to waste time looking lany"&amp;"ard attachment. Very strong which is the most important.")</f>
        <v>Perfect These bags are perfect as very strong and waterproof. Even if the liquid (in a reasonable amount for a bin) that does not pierce the bag. In addition there is a red sliding handle which is convenient when you do not want to waste time looking lanyard attachment. Very strong which is the most important.</v>
      </c>
    </row>
    <row r="8114">
      <c r="A8114" s="1">
        <v>5.0</v>
      </c>
      <c r="B8114" s="1" t="s">
        <v>7995</v>
      </c>
      <c r="C8114" t="str">
        <f>IFERROR(__xludf.DUMMYFUNCTION("GOOGLETRANSLATE(B8114, ""fr"", ""en"")"),"lovely very functional kettle I was looking for a nice kettle for an open kitchen, it makes very good on the worktop. it provides an optimum temperature for tea and coffee.")</f>
        <v>lovely very functional kettle I was looking for a nice kettle for an open kitchen, it makes very good on the worktop. it provides an optimum temperature for tea and coffee.</v>
      </c>
    </row>
    <row r="8115">
      <c r="A8115" s="1">
        <v>5.0</v>
      </c>
      <c r="B8115" s="1" t="s">
        <v>7996</v>
      </c>
      <c r="C8115" t="str">
        <f>IFERROR(__xludf.DUMMYFUNCTION("GOOGLETRANSLATE(B8115, ""fr"", ""en"")"),"Cervical Massage Product is described as excellent for pain and targeted relaxation, for my cervical ideal after a car accident, for my back all back I see a seat later in addition kine sessions")</f>
        <v>Cervical Massage Product is described as excellent for pain and targeted relaxation, for my cervical ideal after a car accident, for my back all back I see a seat later in addition kine sessions</v>
      </c>
    </row>
    <row r="8116">
      <c r="A8116" s="1">
        <v>5.0</v>
      </c>
      <c r="B8116" s="1" t="s">
        <v>7997</v>
      </c>
      <c r="C8116" t="str">
        <f>IFERROR(__xludf.DUMMYFUNCTION("GOOGLETRANSLATE(B8116, ""fr"", ""en"")"),"Relaxation guaranteed pleasant massage. Relaxing assured. The charge holds great it can make 3 or 3 non-problem areas. The finishes are very neat and very nice box, perfect for a gift. Small massage heads is easily removed for cleaning.")</f>
        <v>Relaxation guaranteed pleasant massage. Relaxing assured. The charge holds great it can make 3 or 3 non-problem areas. The finishes are very neat and very nice box, perfect for a gift. Small massage heads is easily removed for cleaning.</v>
      </c>
    </row>
    <row r="8117">
      <c r="A8117" s="1">
        <v>5.0</v>
      </c>
      <c r="B8117" s="1" t="s">
        <v>7998</v>
      </c>
      <c r="C8117" t="str">
        <f>IFERROR(__xludf.DUMMYFUNCTION("GOOGLETRANSLATE(B8117, ""fr"", ""en"")"),"Big thank you bag man he really is perfect as identical to the image I hope will please even thank you because it happened before the scheduled date and before Christmas thank you a thousand")</f>
        <v>Big thank you bag man he really is perfect as identical to the image I hope will please even thank you because it happened before the scheduled date and before Christmas thank you a thousand</v>
      </c>
    </row>
    <row r="8118">
      <c r="A8118" s="1">
        <v>5.0</v>
      </c>
      <c r="B8118" s="1" t="s">
        <v>7999</v>
      </c>
      <c r="C8118" t="str">
        <f>IFERROR(__xludf.DUMMYFUNCTION("GOOGLETRANSLATE(B8118, ""fr"", ""en"")"),"Perfect I bought this lamp to read and knit at night watching TV. This lamp is just perfect, it illuminates very well, we can easily change the brightness as required. The articulated arm allows to position the lamp to individual desires. The base is stab"&amp;"le and finally the wire is long enough (about 1.5 meters) Frankly the value is excellent! . And best of all, the lamp comes in a small carrying case that prevents it from breaking during transport. Who asked for more.")</f>
        <v>Perfect I bought this lamp to read and knit at night watching TV. This lamp is just perfect, it illuminates very well, we can easily change the brightness as required. The articulated arm allows to position the lamp to individual desires. The base is stable and finally the wire is long enough (about 1.5 meters) Frankly the value is excellent! . And best of all, the lamp comes in a small carrying case that prevents it from breaking during transport. Who asked for more.</v>
      </c>
    </row>
    <row r="8119">
      <c r="A8119" s="1">
        <v>5.0</v>
      </c>
      <c r="B8119" s="1" t="s">
        <v>8000</v>
      </c>
      <c r="C8119" t="str">
        <f>IFERROR(__xludf.DUMMYFUNCTION("GOOGLETRANSLATE(B8119, ""fr"", ""en"")"),"aggraphe A + high quality, easy to change, cheap therefore costs I recommend this product to everyone")</f>
        <v>aggraphe A + high quality, easy to change, cheap therefore costs I recommend this product to everyone</v>
      </c>
    </row>
    <row r="8120">
      <c r="A8120" s="1">
        <v>5.0</v>
      </c>
      <c r="B8120" s="1" t="s">
        <v>8001</v>
      </c>
      <c r="C8120" t="str">
        <f>IFERROR(__xludf.DUMMYFUNCTION("GOOGLETRANSLATE(B8120, ""fr"", ""en"")"),"Timeless Timeless classsiqurs the white vans. To be in her shoe closet for the summer. Size perfectly. Very fast delivery. I recommend.")</f>
        <v>Timeless Timeless classsiqurs the white vans. To be in her shoe closet for the summer. Size perfectly. Very fast delivery. I recommend.</v>
      </c>
    </row>
    <row r="8121">
      <c r="A8121" s="1">
        <v>5.0</v>
      </c>
      <c r="B8121" s="1" t="s">
        <v>8002</v>
      </c>
      <c r="C8121" t="str">
        <f>IFERROR(__xludf.DUMMYFUNCTION("GOOGLETRANSLATE(B8121, ""fr"", ""en"")"),"VERY GOOD SOUND Hello I just got but headphones. First impression the whole exudes quality and solidity. In the box you will find. -a leaflet in French and very well explained. -The two headsets (headphones) -the reload boxes -a net for transportation -th"&amp;"e caps for ears -a charging cable Once connected, the sound is very good and very nice (no crackling). The headphones sound touch and very responsive to the touch. To take a phone call just simply briefly press one of two atria and to hang up press 2 time"&amp;"s. There is a little time to adapt but it comes very quickly. Once the atria deposited on the pedestal it charges all alone, there is nothing to do. The plus is that the loading box can also be used to recharge a smartphone. In conclusion: Very good produ"&amp;"ct.")</f>
        <v>VERY GOOD SOUND Hello I just got but headphones. First impression the whole exudes quality and solidity. In the box you will find. -a leaflet in French and very well explained. -The two headsets (headphones) -the reload boxes -a net for transportation -the caps for ears -a charging cable Once connected, the sound is very good and very nice (no crackling). The headphones sound touch and very responsive to the touch. To take a phone call just simply briefly press one of two atria and to hang up press 2 times. There is a little time to adapt but it comes very quickly. Once the atria deposited on the pedestal it charges all alone, there is nothing to do. The plus is that the loading box can also be used to recharge a smartphone. In conclusion: Very good product.</v>
      </c>
    </row>
    <row r="8122">
      <c r="A8122" s="1">
        <v>5.0</v>
      </c>
      <c r="B8122" s="1" t="s">
        <v>8003</v>
      </c>
      <c r="C8122" t="str">
        <f>IFERROR(__xludf.DUMMYFUNCTION("GOOGLETRANSLATE(B8122, ""fr"", ""en"")"),"Delighted helmet")</f>
        <v>Delighted helmet</v>
      </c>
    </row>
    <row r="8123">
      <c r="A8123" s="1">
        <v>5.0</v>
      </c>
      <c r="B8123" s="1" t="s">
        <v>8004</v>
      </c>
      <c r="C8123" t="str">
        <f>IFERROR(__xludf.DUMMYFUNCTION("GOOGLETRANSLATE(B8123, ""fr"", ""en"")"),"Ok Well suited for charging a small computer, tablet computer kind.")</f>
        <v>Ok Well suited for charging a small computer, tablet computer kind.</v>
      </c>
    </row>
    <row r="8124">
      <c r="A8124" s="1">
        <v>5.0</v>
      </c>
      <c r="B8124" s="1" t="s">
        <v>8005</v>
      </c>
      <c r="C8124" t="str">
        <f>IFERROR(__xludf.DUMMYFUNCTION("GOOGLETRANSLATE(B8124, ""fr"", ""en"")"),"Very good product ! Never disappointed with dBb! In addition delivery was super fast!")</f>
        <v>Very good product ! Never disappointed with dBb! In addition delivery was super fast!</v>
      </c>
    </row>
    <row r="8125">
      <c r="A8125" s="1">
        <v>5.0</v>
      </c>
      <c r="B8125" s="1" t="s">
        <v>8006</v>
      </c>
      <c r="C8125" t="str">
        <f>IFERROR(__xludf.DUMMYFUNCTION("GOOGLETRANSLATE(B8125, ""fr"", ""en"")"),"Its strong Looking after months of headphones for my mother to listen to podcasts I tried this pair that looks like black airpods Bluetooth works well off strong voice yet to see the long term")</f>
        <v>Its strong Looking after months of headphones for my mother to listen to podcasts I tried this pair that looks like black airpods Bluetooth works well off strong voice yet to see the long term</v>
      </c>
    </row>
    <row r="8126">
      <c r="A8126" s="1">
        <v>2.0</v>
      </c>
      <c r="B8126" s="1" t="s">
        <v>8007</v>
      </c>
      <c r="C8126" t="str">
        <f>IFERROR(__xludf.DUMMYFUNCTION("GOOGLETRANSLATE(B8126, ""fr"", ""en"")"),"The shape was very poor shape have rather odd if this is cool in all")</f>
        <v>The shape was very poor shape have rather odd if this is cool in all</v>
      </c>
    </row>
    <row r="8127">
      <c r="A8127" s="1">
        <v>1.0</v>
      </c>
      <c r="B8127" s="1" t="s">
        <v>8008</v>
      </c>
      <c r="C8127" t="str">
        <f>IFERROR(__xludf.DUMMYFUNCTION("GOOGLETRANSLATE(B8127, ""fr"", ""en"")"),"poor quality This bracelet is not ""high quality"". My first impression was wrong, the links are tight and the clasp is difficult to close but opens too easily. A week later, one link broke alone, the bracelet was not really tight, it had received no shoc"&amp;"k just before, I could have lost my watch if I had not paid attention. In short go your way, there are tons more solid bracelets and much cheaper on Amazon.")</f>
        <v>poor quality This bracelet is not "high quality". My first impression was wrong, the links are tight and the clasp is difficult to close but opens too easily. A week later, one link broke alone, the bracelet was not really tight, it had received no shock just before, I could have lost my watch if I had not paid attention. In short go your way, there are tons more solid bracelets and much cheaper on Amazon.</v>
      </c>
    </row>
    <row r="8128">
      <c r="A8128" s="1">
        <v>1.0</v>
      </c>
      <c r="B8128" s="1" t="s">
        <v>8009</v>
      </c>
      <c r="C8128" t="str">
        <f>IFERROR(__xludf.DUMMYFUNCTION("GOOGLETRANSLATE(B8128, ""fr"", ""en"")"),"Supplied in 43 alor I ordered the 42 product aesthetically beautiful but shipped in a hurry flanks streaked with glue burr at collages and comes in size 43 alor I ordered the 42")</f>
        <v>Supplied in 43 alor I ordered the 42 product aesthetically beautiful but shipped in a hurry flanks streaked with glue burr at collages and comes in size 43 alor I ordered the 42</v>
      </c>
    </row>
    <row r="8129">
      <c r="A8129" s="1">
        <v>3.0</v>
      </c>
      <c r="B8129" s="1" t="s">
        <v>8010</v>
      </c>
      <c r="C8129" t="str">
        <f>IFERROR(__xludf.DUMMYFUNCTION("GOOGLETRANSLATE(B8129, ""fr"", ""en"")"),"Not only extinguishes? I just received, and bigger what it seems, the cardboard was difficult to get out of the box. Heats very quickly, large capacity, but does not stop a single temperature reached faith?")</f>
        <v>Not only extinguishes? I just received, and bigger what it seems, the cardboard was difficult to get out of the box. Heats very quickly, large capacity, but does not stop a single temperature reached faith?</v>
      </c>
    </row>
    <row r="8130">
      <c r="A8130" s="1">
        <v>3.0</v>
      </c>
      <c r="B8130" s="1" t="s">
        <v>8011</v>
      </c>
      <c r="C8130" t="str">
        <f>IFERROR(__xludf.DUMMYFUNCTION("GOOGLETRANSLATE(B8130, ""fr"", ""en"")"),"Watch small and thin This watch is very petite.Je the thought a little bulkier. As against the régages buttons are very prominent. It is very flat which is a benefit when wearing shirts. For now it works bien.l")</f>
        <v>Watch small and thin This watch is very petite.Je the thought a little bulkier. As against the régages buttons are very prominent. It is very flat which is a benefit when wearing shirts. For now it works bien.l</v>
      </c>
    </row>
    <row r="8131">
      <c r="A8131" s="1">
        <v>4.0</v>
      </c>
      <c r="B8131" s="1" t="s">
        <v>8012</v>
      </c>
      <c r="C8131" t="str">
        <f>IFERROR(__xludf.DUMMYFUNCTION("GOOGLETRANSLATE(B8131, ""fr"", ""en"")"),"Practice Purchased for its large capacity and its flat bottom, I do not put it 5 stars because slightly less rapidly heats my old kettle")</f>
        <v>Practice Purchased for its large capacity and its flat bottom, I do not put it 5 stars because slightly less rapidly heats my old kettle</v>
      </c>
    </row>
    <row r="8132">
      <c r="A8132" s="1">
        <v>4.0</v>
      </c>
      <c r="B8132" s="1" t="s">
        <v>8013</v>
      </c>
      <c r="C8132" t="str">
        <f>IFERROR(__xludf.DUMMYFUNCTION("GOOGLETRANSLATE(B8132, ""fr"", ""en"")"),"Good resistance safety shoe foot. Cushioning good shock to walk and not too heavy. Size a little big, but otherwise it will")</f>
        <v>Good resistance safety shoe foot. Cushioning good shock to walk and not too heavy. Size a little big, but otherwise it will</v>
      </c>
    </row>
    <row r="8133">
      <c r="A8133" s="1">
        <v>4.0</v>
      </c>
      <c r="B8133" s="1" t="s">
        <v>8014</v>
      </c>
      <c r="C8133" t="str">
        <f>IFERROR(__xludf.DUMMYFUNCTION("GOOGLETRANSLATE(B8133, ""fr"", ""en"")"),"Good quality Hello frankly good for winter is good")</f>
        <v>Good quality Hello frankly good for winter is good</v>
      </c>
    </row>
    <row r="8134">
      <c r="A8134" s="1">
        <v>4.0</v>
      </c>
      <c r="B8134" s="1" t="s">
        <v>8015</v>
      </c>
      <c r="C8134" t="str">
        <f>IFERROR(__xludf.DUMMYFUNCTION("GOOGLETRANSLATE(B8134, ""fr"", ""en"")"),"Good quality but a bit small size Very nice shoes, very comfortable, but it would take 1/2 sizes above ... Too bad.")</f>
        <v>Good quality but a bit small size Very nice shoes, very comfortable, but it would take 1/2 sizes above ... Too bad.</v>
      </c>
    </row>
    <row r="8135">
      <c r="A8135" s="1">
        <v>5.0</v>
      </c>
      <c r="B8135" s="1" t="s">
        <v>8016</v>
      </c>
      <c r="C8135" t="str">
        <f>IFERROR(__xludf.DUMMYFUNCTION("GOOGLETRANSLATE(B8135, ""fr"", ""en"")"),"Good quality / price &lt;div id = ""video-block-RA1TRTA2RYZPH"" class = ""a-section-spacing-small in-spacing-top mini video-block""&gt; &lt;div tabindex = ""0"" class = ""airy airy-svg vmin-supported airy-skin-beacon ""style ="" background-color: rgb (0, 0, 0); po"&amp;"sition: relative; width: 100%; height: 100%; font-size: 0px; overflow: hidden; outline: none; ""&gt; &lt;div class ="" airy-renderer-container ""style ="" position: relative; height: 100%; width: 100%; ""&gt; &lt;video id ="" 7 ""preload ="" auto "" src = ""https://i"&amp;"mages-eu.ssl-images-amazon.com/images/I/A1a4YirNefS.mp4"" style = ""position: absolute; left: 0px; top: 0px; overflow: hidden; height: 1px; width: 1px; ""&gt; &lt;/ video&gt; &lt;/ div&gt; &lt;div id ="" airy-slate-preload ""style ="" background-color: rgb (0, 0, 0); backg"&amp;"round-image: url (&amp; quot; https : //images-eu.ssl-images-amazon.com/images/I/91bD17ggo+S.png&amp;quot;); background-size: contain; background-position: center center; background-repeat: no-repeat; position: absolute; top: 0px; left: 0px; visibility: visible; "&amp;"width: 100%; height: 100% ""&gt; &lt;/ div&gt; &lt;iframe s crolling = ""no"" frameborder = ""0"" src = ""about: blank"" style = ""display: none;""&gt; &lt;/ iframe&gt; &lt;div tabindex = ""- 1"" class = ""airy-controls-container"" style = "" opacity: 0; visibility: hidden; ""&gt; "&amp;"&lt;div tabindex ="" - 1 ""class ="" airy-screen-size-toggle airy-fullscreen ""&gt; &lt;/ div&gt; &lt;div tabindex ="" - 1 ""class ="" airy-container-bottom "" &gt; &lt;div tabindex = ""- 1"" class = ""airy-track-bar spacer-left"" style = ""width: 11px;""&gt; &lt;/ div&gt; &lt;div tabind"&amp;"ex = ""- 1"" class = ""airy-play- toggle airy-play ""style ="" width: 12px; margin-right: 12px; ""&gt; &lt;/ div&gt; &lt;div tabindex ="" - 1 ""class ="" airy-audio-elements ""style ="" float: right; width: 34px; ""&gt; &lt;div tabindex ="" - 1 ""class ="" airy-audio-toggl"&amp;"e airy-on ""&gt; &lt;/ div&gt; &lt;div tabindex ="" - 1 ""class ="" airy-audio-container ""style = ""opacity: 0; visibility: hidden; ""&gt; &lt;div tabindex ="" - 1 ""class ="" airy-audio-track-bar ""style ="" height: 80%; ""&gt; &lt;div tabindex ="" - 1 ""class ="" airy-audio- "&amp;"scrubber bar ""style ="" height: 85% ""&gt; &lt;/ div&gt; &lt;div tabindex ="" - 1 ""class ="" airy-audio-scrubber ""style ="" height: 12px; bottom: 85% ""&gt; &lt;/ div&gt; &lt;/ div&gt; &lt;/ div&gt; &lt;/ div&gt; &lt;div tabindex ="" - 1 ""class ="" airy-duration-label ""style ="" float: right"&amp;"; width: 26px; margin-right: 4px; text-align: center; ""&gt; 0:00 &lt;/ div&gt; &lt;div tabindex ="" - 1 ""class ="" airy-track-bar spacer-right ""style ="" float: right; width: 11px; ""&gt; &lt;/ div&gt; &lt;div tabindex ="" - 1 ""class ="" airy-track-bar-container ""style ="" "&amp;"margin-left: 35px; margin-right: 75px; ""&gt; &lt;div tabindex ="" - 1 ""class ="" airy-airy-track-bar vertical-centering-table ""&gt; &lt;div tabindex ="" - 1 ""class ="" airy-vertical-centering- table-cell ""&gt; &lt;div tabindex ="" - 1 ""class ="" airy-track-bar elemen"&amp;"ts ""&gt; &lt;div tabindex ="" - 1 ""class ="" airy-progress bar ""&gt; &lt;/ div&gt; &lt;div tabindex = ""- 1"" class = ""airy-scrubber bar""&gt; &lt;/ div&gt; &lt;div tabindex = ""- 1"" class = ""airy-scrubber""&gt; &lt;div tabindex = ""- 1"" class = ""airy-scrubber- icon ""&gt; &lt;/ div&gt; &lt;div"&amp;" tabindex ="" - 1 ""class ="" airy-adjusted-aui-tooltip ""style ="" opacity: 0; visibility: hidden; ""&gt; &lt;div tabindex ="" - 1 ""class ="" airy-adjusted-aui-tooltip-inner ""&gt; &lt;div tabindex ="" - 1 ""class ="" airy-current-time-label ""&gt; 0 00 &lt;/ div&gt; &lt;/ div"&amp;"&gt; &lt;div tabindex = ""- 1"" class = ""airy-adjusted-aui-arrow-border""&gt; &lt;div tabindex = ""- 1"" class = ""airy-adjusted-aui-arrow"" &gt; &lt;/ div&gt; &lt;/ div&gt; &lt;/ div&gt; &lt;/ div&gt; &lt;/ div&gt; &lt;/ div&gt; &lt;/ div&gt; &lt;/ div&gt; &lt;/ div&gt; &lt;/ div&gt; &lt;div tabindex = ""- 1"" class = ""airy-airy"&amp;"-age-gate course airy-vertical-centering table-airy-dialog""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W"&amp;"hat time were you born &lt;/ div&gt; &lt;div tabindex =.?"" - 1 ""class ="" airy-age-gate -inputs airy-dialog-inner-elements ""&gt; &lt;select tabindex ="" - 1 ""class ="" airy-age-gate-month ""&gt; &lt;option value ="" 1 ""&gt; January &lt;/ option&gt; &lt;option value ="" 2 ""&gt; Februar"&amp;"y &lt;/ option&gt; &lt;option value ="" 3 ""&gt; March &lt;/ option&gt; &lt;option value ="" 4 ""&gt; April &lt;/ option&gt; &lt;option value ="" 5 ""&gt; May &lt;/ option&gt; &lt;option value = ""6""&gt; June &lt;/ option&gt; &lt;option value = ""7""&gt; July &lt;/ option&gt; &lt;option value = ""8""&gt; August &lt;/ option&gt; &lt;o"&amp;"ption value = ""9""&gt; September &lt;/ option&gt; &lt;option value = ""10""&gt; October &lt;/ option&gt; &lt;option value = ""11""&gt; November &lt;/ option&gt; &lt;option value = ""12""&gt; December &lt;/ option&gt; &lt;/ select&gt; &lt;select tabindex = ""- 1"" class = ""airy-age-gate-day""&gt; &lt;opti = One v"&amp;"alue ""1""&gt; 1 &lt;/ option&gt; &lt;option value = ""2""&gt; 2 &lt;/ option&gt; &lt;option value = ""3""&gt; 3 &lt;/ option&gt; &lt;option value = ""4""&gt; 4 &lt;/ option &gt; &lt;option value = ""5""&gt; 5 &lt;/ option&gt; &lt;option value = ""6""&gt; 6 &lt;/ option&gt; &lt;option value = ""7""&gt; 7 &lt;/ option&gt; &lt;option value"&amp;" = ""8""&gt; 8 &lt; / option&gt; &lt;option value = ""9""&gt; 9 &lt;/ option&gt; &lt;option value = ""10""&gt; 10 &lt;/ option&gt; &lt;option value = ""11""&gt; 11 &lt;/ option&gt; &lt;option value = ""12""&gt; 12 &lt;/ option&gt; &lt;option value = ""13""&gt; 13 &lt;/ option&gt; &lt;option value = ""14""&gt; 14 &lt;/ option&gt; &lt;opti"&amp;"on value = ""15""&gt; 15 &lt;/ option&gt; &lt;option value = ""16 ""&gt; 16 &lt;/ option&gt; &lt;option value ="" 17 ""&gt; 17 &lt;/ option&gt; &lt;option value ="" 18 ""&gt; 18 &lt;/ option&gt; &lt;option value ="" 19 ""&gt; 19 &lt;/ option&gt; &lt;option value = ""20""&gt; 20 &lt;/ option&gt; &lt;option value = ""21""&gt; 21 &lt;"&amp;"/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optio"&amp;"n value = ""2018""&gt; 2018 &lt;/ option&gt; &lt;option value = ""2017""&gt; 2017 &lt;/ option&gt; &lt;option value = ""2016""&gt; ​​2016 &lt;/ option&gt; &lt;option value = ""2015""&gt; 2015 &lt;/ option &gt; &lt;option value = ""2014""&gt; 2014 &lt;/ option&gt; &lt;option value = ""2013""&gt; 2013 &lt;/ option&gt; &lt;optio"&amp;"n value = ""2012""&gt; 2012 &lt;/ option&gt; &lt;option value = ""2011""&gt; 2011 &lt; / option&gt; &lt;option value = ""2010""&gt; 2010 &lt;/ option&gt; &lt;option value = ""2009""&gt; 2009 &lt;/ option&gt; &lt;option value = ""2008""&gt; 2008 &lt;/ option&gt; &lt;option value = ""2007""&gt; 2007 &lt;/ option&gt; &lt;option "&amp;"value = ""2006""&gt; 2006 &lt;/ option&gt; &lt;option value = ""2005""&gt; 2005 &lt;/ option&gt; &lt;option value = ""2004""&gt; 2004 &lt;/ option&gt; &lt;option value = ""2003 ""&gt; 2003 &lt;/ option&gt; &lt;option value ="" 2002 ""&gt; 2002 &lt;/ option&gt; &lt;option value ="" 2001 ""&gt; 2001 &lt;/ option&gt; &lt;option "&amp;"value ="" 2000 ""&gt; 2000 &lt;/ option&gt; &lt;option value = ""1999""&gt; 1999 &lt;/ option&gt; &lt;option value = ""1998""&gt; 1998 &lt;/ option&gt; &lt;option value = ""1997""&gt; 1997 &lt;/ option&gt; &lt;option value = ""1996""&gt; 1996 &lt;/ option&gt; &lt;option value = ""1995""&gt; 1995 &lt;/ option&gt; &lt;option va"&amp;"lue = ""1994""&gt; 1994 &lt;/ option&gt; &lt;option value = ""1993""&gt; 1993 &lt;/ option&gt; &lt;option value = ""1992""&gt; 1992 &lt;/ option&gt; &lt;option value = ""1991""&gt; 1991 &lt;/ option&gt; &lt;option value = ""1990""&gt; 1990 &lt;/ option&gt; &lt;option value = "" 1989 ""&gt; 1989 &lt;/ option&gt; &lt;option val"&amp;"ue ="" 1988 ""&gt; 1988 &lt;/ option&gt; &lt;option value ="" 1987 ""&gt; 1987 &lt;/ option&gt; &lt;option value ="" 1986 ""&gt; 1986 &lt;/ option&gt; &lt;option value = ""1985""&gt; 1985 &lt;/ option&gt; &lt;option value = ""1984""&gt; 1984 &lt;/ option&gt; &lt;option value = ""1983""&gt; 1983 &lt;/ option&gt; &lt;option val"&amp;"ue = ""1982""&gt; 1982 &lt;/ option&gt; &lt; option value = ""1981""&gt; 1981 &lt;/ option&gt; &lt;option value = ""1980""&gt; 1980 &lt;/ option&gt; &lt;option value = ""1979""&gt; 1979 &lt;/ option&gt; &lt;option value = ""1978""&gt; 1978 &lt;/ option &gt; &lt;option value = ""1977""&gt; 1977 &lt;/ option&gt; &lt;option valu"&amp;"e = ""1976""&gt; 1976 &lt;/ option&gt; &lt;option value = ""1975""&gt; 1975 &lt;/ option&gt; &lt;option value = ""1974""&gt; 1974 &lt; / option&gt; &lt;option value = ""1973""&gt; 1973 &lt;/ option&gt; &lt;option value = ""1972""&gt; 1972 &lt;/ option&gt; &lt;option value = ""1971""&gt; 1971 &lt;/ option&gt; &lt;option value "&amp;"= ""1970""&gt;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="&amp;"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&lt;option value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""1"&amp;"928""&gt;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""1916""&gt;"&amp;" 1916 &lt;/ option&gt; &lt;option value = ""1915"" &gt; 1915 &lt;/ option&gt; &lt;option value = ""1914""&gt; 1914 &lt;/ option&gt; &lt;option value = ""1913""&gt; 1913 &lt;/ option&gt; &lt;option value = ""1912""&gt; 1912 &lt;/ option&gt; &lt;option value = "" 1911 ""&gt; 1911 &lt;/ option&gt; &lt;option value ="" 1910 """&amp;"&gt; 1910 &lt;/ option&gt; &lt;option value ="" 1909 ""&gt; 1909 &lt;/ option&gt; &lt;option value ="" 1908 ""&gt; 1908 &lt;/ option&gt; &lt;option value = ""1907""&gt; 1907 &lt;/ option&gt; &lt;option value = ""1906""&gt; 1906 &lt;/ option&gt; &lt;option value = ""1905""&gt; 1905 &lt;/ option&gt; &lt;option value = ""1904""&gt;"&amp;" 1904 &lt;/ option&gt; &lt; option value = ""1903""&gt; 1903 &lt;/ option&gt; &lt;option value = ""1902""&gt; 1902 &lt;/ option&gt; &lt;option value = ""1901""&gt; 19 01 &lt;/ option&gt; &lt;option value = ""1900""&gt; 1900 &lt;/ option&gt; &lt;/ select&gt; &lt;div tabindex = ""- 1"" class = ""airy-age-gate-submit ai"&amp;"ry-submit-button airy airy-submit- disabled ""&gt; Submit &lt;/ div&gt; &lt;/ div&gt; &lt;/ div&gt; &lt;/ div&gt; &lt;/ div&gt; &lt;/ div&gt; &lt;div tabindex ="" - 1 ""class ="" airy-install-flash-dialog airy-course airy -Vertical-centering-table dialog airy-airy-denied ""style ="" opacity: 0; v"&amp;"isibility: hidden; ""&gt; &lt;div tabindex ="" - 1 ""class ="" airy-install-flash-vertical-centering-table-cell airy-vertical-centering-table-cell ""&gt; &lt;div tabindex ="" - 1 ""class = ""airy-vertical-centering-wrapper airy-install-flash-elements-wrapper""&gt; &lt;div "&amp;"tabindex = ""- 1"" class = ""airy-install-flash-elements airy-dialog-elements""&gt; &lt;div tabindex = "" -1 ""class ="" airy-install-flash-prompt ""&gt; Adobe Flash Player is required to watch this video &lt;/ div&gt; &lt;div = tabindex."" - 1 ""class ="" airy-install-fla"&amp;"sh-button-wrapper airy -dialog-inner-elements ""&gt; &lt;div tabindex ="" - 1 ""class ="" airy-install-flash-button airy-button ""&gt; install Flash Player &lt;/ div&gt; &lt;/ div&gt; &lt;/ div&gt; &lt;/ div&gt; &lt;/ div&gt; &lt;/ div&gt; &lt;div tabindex = ""- 1"" class = ""airy-video-unsupported-dia"&amp;"log airy-course airy-vertical-centering table-airy-dialog airy-denied"" style = ""opacity: 0; visibility: hidden; ""&gt; &lt;div tabindex ="" - 1 ""class ="" airy-video-unsupported-vertical-centering-table-cell airy-vertical-centering-table-cell ""&gt; &lt;div tabind"&amp;"ex ="" - 1 ""class = ""airy-vertical-centering-wrapper airy-video-unsupported-elements-wrapper""&gt; &lt;div tabindex = ""- 1"" class = ""airy-video-unsupported-elements airy-dialog-elements""&gt; &lt;div tabindex = "" -1 ""class ="" airy-video-unsupported-prompt ""&gt;"&amp;" &lt;/ div&gt; &lt;/ div&gt; &lt;/ div&gt; &lt;/ div&gt; &lt;/ div&gt; &lt;div tabindex ="" - 1 ""class ="" airy-loading- spinner-stage airy-stage ""&gt; &lt;div tabindex ="" - 1 ""class ="" airy-loading-spinner-vertical-centering-table-cell airy-vertical-centering-table-cell ""&gt; &lt;div tabindex"&amp;" ="" - 1 ""class ="" airy-loading-spinner 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 airy-fullscreen ""style ="" visibility: hidden; ""&gt; &lt;/ div&gt; &lt;div tabindex = ""-1"" class = ""airy-ad-prompt-cont"&amp;"ainer"" style = ""visibility: hidden;""&gt; &lt;div tabindex = ""- 1"" class = ""airy-ad-prompt-vertical-centering table-airy-vertical- centering-table ""&gt; &lt;div tabindex ="" - 1 ""class ="" airy-ad-prompt-vertical-centering-table-cell airy-vertical-centering-ta"&amp;"ble-cell ""&gt; &lt;div tabindex ="" - 1 ""class = ""airy-ad-prompt-label""&gt; &lt;/ div&gt; &lt;/ div&gt; &lt;/ div&gt; &lt;/ div&gt; &lt;div tabindex = ""- 1"" class = ""airy-ads-controls-container"" style = ""visibility: hidden; ""&gt; &lt;div tabindex ="" - 1 ""class ="" airy-ads-audio-toggl"&amp;"e airy-audio-toggle airy-on ""style ="" visibility: hidden; ""&gt; &lt;/ div&gt; &lt;div tabindex ="" - 1 ""class ="" airy-time-remaining-label-container ""&gt; &lt;div tabindex ="" - 1 ""class ="" airy-time-remaining-vertical-centering table-airy-vertical-centering-table "&amp;"""&gt; &lt;div tabindex = ""- 1"" class = ""airy-time-remaining-vertical-centering-table-cell airy-vertical-centering-table-cell""&gt; &lt;div tabindex = ""- 1"" class = ""airy-vertical-centering-wrapper airy-time-remaining-label-wrapper ""&gt; &lt;div tabindex ="" - 1 ""c"&amp;"lass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airy-course airy-cursor""&gt; &lt;div tabindex = ""- 1"" cla"&amp;"ss = ""airy-play -toggle-hint-vertical-centering-table-cell airy-vertical-centering-table-cell airy-cursor ""&gt; &lt;div tabindex ="" - 1 ""class ="" airy-play-toggle-hint-container airy-scalable- hint-container ""&gt; &lt;div tabindex ="" - 1 ""class ="" airy-play-"&amp;"toggle-hint-dummy airy-scalable-dummy ""&gt; &lt;/ div&gt; &lt;div tabindex ="" - 1 ""class ="" airy-play -toggle airy-hint-hint-hint airy-play ""style ="" opacity: 1; visibility: visible; ""&gt; &lt;/ div&gt; &lt;/ div&gt; &lt;/ div&gt; &lt;/ div&gt; &lt;div tabindex ="" - 1 ""class ="" airy-rep"&amp;"lay-hint-stage airy-stage ""style ="" visibility: hidden ; ""&gt; &lt;div tabindex ="" - 1 ""class ="" airy-replay-hint-vertical-centering-table-cell airy-vertical-centering-table-cell airy-cursor ""&gt; &lt;div tabindex ="" - 1 ""class = ""airy-replay-hint-container"&amp;" airy-scalable-hint-container""&gt; &lt;div tabindex = ""- 1"" class = ""airy-replay-hint-dummy airy-scalable-dummy""&gt; &lt;/ div&gt; &lt;div tabindex = ""- 1"" class = ""airy-replay-hint airy-hint""&gt; &lt;/ div&gt; &lt;/ div&gt; &lt;/ div&gt; &lt;/ div&gt; &lt;div tabindex = ""- 1"" class = ""airy"&amp;"-autoplay-hint -stage airy-stage ""style ="" visibility: hidden; ""&gt; &lt;div tabindex ="" - 1 ""class ="" airy-autoplay-hint-vertical-centering-table-cell airy-vertical-centering-table-cell airy- cursor ""&gt; &lt;div tabindex ="" - 1 ""class ="" autoplay airy-air"&amp;"y-hint-container-scalable-hint-container ""&gt; &lt;div tabindex ="" - 1 ""class ="" airy-autoplay-hint-dummy airy- scalable-dummy ""&gt; &lt;/ div&gt; &lt;/ div&gt; &lt;/ div&gt; &lt;/ div&gt; &lt;/ div&gt; &lt;/ div&gt; &lt;input type ="" hidden ""name ="" ""value ="" https: // pictures-eu .ssl-image"&amp;" amazon.com / images / I / A1a4YirNefS.mp4 ""Class ="" video-url ""&gt; &lt;input type ="" hidden ""name ="" ""value ="" https://images-eu.ssl-images-amazon.com/images/I/91bD17ggo+S.png ""class = ""video-slate-img-url""&gt; &amp; nbsp; This product comes with its stor"&amp;"age box. These headphones fit with the morphology of ears for an adult, it fits nicely in my ears. The sound is clear, with autonomy all honest, and more, silicone tips insulate well from outside noise. Quick and easy connection with my mobile phone. Aest"&amp;"hetically they are very discreet. I recommend it for the physical off-road activities.")</f>
        <v>Good quality / price &lt;div id = "video-block-RA1TRTA2RYZPH" class = "a-section-spacing-small in-spacing-top mini video-block"&gt; &lt;div tabindex = "0" class = "airy airy-svg vmin-supported airy-skin-beacon "style =" background-color: rgb (0, 0, 0); position: relative; width: 100%; height: 100%; font-size: 0px; overflow: hidden; outline: none; "&gt; &lt;div class =" airy-renderer-container "style =" position: relative; height: 100%; width: 100%; "&gt; &lt;video id =" 7 "preload =" auto " src = "https://images-eu.ssl-images-amazon.com/images/I/A1a4YirNefS.mp4" style = "position: absolute; left: 0px; top: 0px; overflow: hidden; height: 1px; width: 1px; "&gt; &lt;/ video&gt; &lt;/ div&gt; &lt;div id =" airy-slate-preload "style =" background-color: rgb (0, 0, 0); background-image: url (&amp; quot; https : //images-eu.ssl-images-amazon.com/images/I/91bD17ggo+S.png&amp;quot;); background-size: contain; background-position: center center; background-repeat: no-repeat; position: absolute; top: 0px; left: 0px; visibility: visible; width: 100%; height: 100% "&gt; &lt;/ div&gt; &lt;iframe s crolling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A1a4YirNefS.mp4 "Class =" video-url "&gt; &lt;input type =" hidden "name =" "value =" https://images-eu.ssl-images-amazon.com/images/I/91bD17ggo+S.png "class = "video-slate-img-url"&gt; &amp; nbsp; This product comes with its storage box. These headphones fit with the morphology of ears for an adult, it fits nicely in my ears. The sound is clear, with autonomy all honest, and more, silicone tips insulate well from outside noise. Quick and easy connection with my mobile phone. Aesthetically they are very discreet. I recommend it for the physical off-road activities.</v>
      </c>
    </row>
    <row r="8136">
      <c r="A8136" s="1">
        <v>5.0</v>
      </c>
      <c r="B8136" s="1" t="s">
        <v>8017</v>
      </c>
      <c r="C8136" t="str">
        <f>IFERROR(__xludf.DUMMYFUNCTION("GOOGLETRANSLATE(B8136, ""fr"", ""en"")"),"Flashback Flashback very nice, a desire to 35 years of age and ... really disappointed Plus: the day in French which is rare enough to specify the")</f>
        <v>Flashback Flashback very nice, a desire to 35 years of age and ... really disappointed Plus: the day in French which is rare enough to specify the</v>
      </c>
    </row>
    <row r="8137">
      <c r="A8137" s="1">
        <v>5.0</v>
      </c>
      <c r="B8137" s="1" t="s">
        <v>8018</v>
      </c>
      <c r="C8137" t="str">
        <f>IFERROR(__xludf.DUMMYFUNCTION("GOOGLETRANSLATE(B8137, ""fr"", ""en"")"),"F Great shoe")</f>
        <v>F Great shoe</v>
      </c>
    </row>
    <row r="8138">
      <c r="A8138" s="1">
        <v>5.0</v>
      </c>
      <c r="B8138" s="1" t="s">
        <v>8019</v>
      </c>
      <c r="C8138" t="str">
        <f>IFERROR(__xludf.DUMMYFUNCTION("GOOGLETRANSLATE(B8138, ""fr"", ""en"")"),"Patfait Precis and good grip")</f>
        <v>Patfait Precis and good grip</v>
      </c>
    </row>
    <row r="8139">
      <c r="A8139" s="1">
        <v>5.0</v>
      </c>
      <c r="B8139" s="1" t="s">
        <v>8020</v>
      </c>
      <c r="C8139" t="str">
        <f>IFERROR(__xludf.DUMMYFUNCTION("GOOGLETRANSLATE(B8139, ""fr"", ""en"")"),"Okay Nothing to say nickel")</f>
        <v>Okay Nothing to say nickel</v>
      </c>
    </row>
    <row r="8140">
      <c r="A8140" s="1">
        <v>5.0</v>
      </c>
      <c r="B8140" s="1" t="s">
        <v>8021</v>
      </c>
      <c r="C8140" t="str">
        <f>IFERROR(__xludf.DUMMYFUNCTION("GOOGLETRANSLATE(B8140, ""fr"", ""en"")"),"Good reception Always satisfied with the product that is too strong I use for my second child")</f>
        <v>Good reception Always satisfied with the product that is too strong I use for my second child</v>
      </c>
    </row>
    <row r="8141">
      <c r="A8141" s="1">
        <v>5.0</v>
      </c>
      <c r="B8141" s="1" t="s">
        <v>8022</v>
      </c>
      <c r="C8141" t="str">
        <f>IFERROR(__xludf.DUMMYFUNCTION("GOOGLETRANSLATE(B8141, ""fr"", ""en"")"),"Great book of stickers Great books for young children, many topics are discussed (birthday, closed, forest, school ...) my children 2 ½ years and 4 years love it!")</f>
        <v>Great book of stickers Great books for young children, many topics are discussed (birthday, closed, forest, school ...) my children 2 ½ years and 4 years love it!</v>
      </c>
    </row>
    <row r="8142">
      <c r="A8142" s="1">
        <v>5.0</v>
      </c>
      <c r="B8142" s="1" t="s">
        <v>8023</v>
      </c>
      <c r="C8142" t="str">
        <f>IFERROR(__xludf.DUMMYFUNCTION("GOOGLETRANSLATE(B8142, ""fr"", ""en"")"),"Done the job done the job, the original cartridges are still more suitable")</f>
        <v>Done the job done the job, the original cartridges are still more suitable</v>
      </c>
    </row>
    <row r="8143">
      <c r="A8143" s="1">
        <v>5.0</v>
      </c>
      <c r="B8143" s="1" t="s">
        <v>8024</v>
      </c>
      <c r="C8143" t="str">
        <f>IFERROR(__xludf.DUMMYFUNCTION("GOOGLETRANSLATE(B8143, ""fr"", ""en"")"),"Really surprised I was really surprised about these headphones. Very good in-ear Wireless true. Very light, good sound design and really clean. The touch is cool and works well. Really a good option!")</f>
        <v>Really surprised I was really surprised about these headphones. Very good in-ear Wireless true. Very light, good sound design and really clean. The touch is cool and works well. Really a good option!</v>
      </c>
    </row>
    <row r="8144">
      <c r="A8144" s="1">
        <v>5.0</v>
      </c>
      <c r="B8144" s="1" t="s">
        <v>8025</v>
      </c>
      <c r="C8144" t="str">
        <f>IFERROR(__xludf.DUMMYFUNCTION("GOOGLETRANSLATE(B8144, ""fr"", ""en"")"),"Good socks good quality semi high socks, the color does not leave, they pilling a little at first, but they take good because the elastic is good.")</f>
        <v>Good socks good quality semi high socks, the color does not leave, they pilling a little at first, but they take good because the elastic is good.</v>
      </c>
    </row>
    <row r="8145">
      <c r="A8145" s="1">
        <v>5.0</v>
      </c>
      <c r="B8145" s="1" t="s">
        <v>8026</v>
      </c>
      <c r="C8145" t="str">
        <f>IFERROR(__xludf.DUMMYFUNCTION("GOOGLETRANSLATE(B8145, ""fr"", ""en"")"),"They exceeded my expectations with good sound quality they have exceeded my expectations with good sound quality. I have a little hesitation in comfort, my ears are stuck in my ears, I feel very uncomfortable after a while, but they are very suitable to m"&amp;"y ears, my time will not injured after 3 hours. Quick and easy with my iPhone. I do not know why, but my computer has to select the headset in the Control Panel, but it will never stop. I highly recommend this headset for office workers, which is quite mo"&amp;"ney.")</f>
        <v>They exceeded my expectations with good sound quality they have exceeded my expectations with good sound quality. I have a little hesitation in comfort, my ears are stuck in my ears, I feel very uncomfortable after a while, but they are very suitable to my ears, my time will not injured after 3 hours. Quick and easy with my iPhone. I do not know why, but my computer has to select the headset in the Control Panel, but it will never stop. I highly recommend this headset for office workers, which is quite money.</v>
      </c>
    </row>
    <row r="8146">
      <c r="A8146" s="1">
        <v>5.0</v>
      </c>
      <c r="B8146" s="1" t="s">
        <v>8027</v>
      </c>
      <c r="C8146" t="str">
        <f>IFERROR(__xludf.DUMMYFUNCTION("GOOGLETRANSLATE(B8146, ""fr"", ""en"")"),"COMPLIANT I bought at shoe this winter because there is often snow. They are padded and gives hot to walk and are waterproof. The sole is very thick. The shoes are riding high and hold well. The size matches. I am satisfied with my purchase.")</f>
        <v>COMPLIANT I bought at shoe this winter because there is often snow. They are padded and gives hot to walk and are waterproof. The sole is very thick. The shoes are riding high and hold well. The size matches. I am satisfied with my purchase.</v>
      </c>
    </row>
    <row r="8147">
      <c r="A8147" s="1">
        <v>5.0</v>
      </c>
      <c r="B8147" s="1" t="s">
        <v>8028</v>
      </c>
      <c r="C8147" t="str">
        <f>IFERROR(__xludf.DUMMYFUNCTION("GOOGLETRANSLATE(B8147, ""fr"", ""en"")"),"Never disappointed with Advent This is clearly one of the best brands in the market of baby equipment. We already loved the previous bottles of Natural range, here it's the same with a few additional innovations such as streaks on the nipple. Very good qu"&amp;"ality: resistant to the passage in the dishwasher even at high temperature. The neck is very broad, it also facilitates the washing by hand if you prefer. Obviously fits all teat sizes although one provided here is to slow flow.")</f>
        <v>Never disappointed with Advent This is clearly one of the best brands in the market of baby equipment. We already loved the previous bottles of Natural range, here it's the same with a few additional innovations such as streaks on the nipple. Very good quality: resistant to the passage in the dishwasher even at high temperature. The neck is very broad, it also facilitates the washing by hand if you prefer. Obviously fits all teat sizes although one provided here is to slow flow.</v>
      </c>
    </row>
    <row r="8148">
      <c r="A8148" s="1">
        <v>5.0</v>
      </c>
      <c r="B8148" s="1" t="s">
        <v>8029</v>
      </c>
      <c r="C8148" t="str">
        <f>IFERROR(__xludf.DUMMYFUNCTION("GOOGLETRANSLATE(B8148, ""fr"", ""en"")"),"Shoe dance to dance")</f>
        <v>Shoe dance to dance</v>
      </c>
    </row>
    <row r="8149">
      <c r="A8149" s="1">
        <v>5.0</v>
      </c>
      <c r="B8149" s="1" t="s">
        <v>8030</v>
      </c>
      <c r="C8149" t="str">
        <f>IFERROR(__xludf.DUMMYFUNCTION("GOOGLETRANSLATE(B8149, ""fr"", ""en"")"),"Very satisfied !! Excellent product. The sound is very good, not saturated. Ideal for small (and large), we can sing and dance freely. Easy to learn, easy connection to laptops with Bluetooth, recording function etc. Very satisfied !!")</f>
        <v>Very satisfied !! Excellent product. The sound is very good, not saturated. Ideal for small (and large), we can sing and dance freely. Easy to learn, easy connection to laptops with Bluetooth, recording function etc. Very satisfied !!</v>
      </c>
    </row>
    <row r="8150">
      <c r="A8150" s="1">
        <v>2.0</v>
      </c>
      <c r="B8150" s="1" t="s">
        <v>8031</v>
      </c>
      <c r="C8150" t="str">
        <f>IFERROR(__xludf.DUMMYFUNCTION("GOOGLETRANSLATE(B8150, ""fr"", ""en"")"),"BT does not work !!! For a wireless headset BT, the minimum is to have a BT connection works. At least 1 meter, the sound is chopped. Can not get to a TV ... It's a shame because the audio quality seemed good, and comfortable headset; I therefore put 2 st"&amp;"ars. Given the other comments on this issue, it seems to be at the same design. A BT headphones must have a BT works !!!")</f>
        <v>BT does not work !!! For a wireless headset BT, the minimum is to have a BT connection works. At least 1 meter, the sound is chopped. Can not get to a TV ... It's a shame because the audio quality seemed good, and comfortable headset; I therefore put 2 stars. Given the other comments on this issue, it seems to be at the same design. A BT headphones must have a BT works !!!</v>
      </c>
    </row>
    <row r="8151">
      <c r="A8151" s="1">
        <v>1.0</v>
      </c>
      <c r="B8151" s="1" t="s">
        <v>8032</v>
      </c>
      <c r="C8151" t="str">
        <f>IFERROR(__xludf.DUMMYFUNCTION("GOOGLETRANSLATE(B8151, ""fr"", ""en"")"),"Poor quality really poor quality ink")</f>
        <v>Poor quality really poor quality ink</v>
      </c>
    </row>
    <row r="8152">
      <c r="A8152" s="1">
        <v>1.0</v>
      </c>
      <c r="B8152" s="1" t="s">
        <v>8033</v>
      </c>
      <c r="C8152" t="str">
        <f>IFERROR(__xludf.DUMMYFUNCTION("GOOGLETRANSLATE(B8152, ""fr"", ""en"")"),"Total disappointment Do not stick, not use, poor value for money and I'm really disappointed")</f>
        <v>Total disappointment Do not stick, not use, poor value for money and I'm really disappointed</v>
      </c>
    </row>
    <row r="8153">
      <c r="A8153" s="1">
        <v>3.0</v>
      </c>
      <c r="B8153" s="1" t="s">
        <v>8034</v>
      </c>
      <c r="C8153" t="str">
        <f>IFERROR(__xludf.DUMMYFUNCTION("GOOGLETRANSLATE(B8153, ""fr"", ""en"")"),"Bag shoulder bag handy, but the problem on the side pocket, the machine had more yarn and thus the pocket is closed at the bottom. I can not put anything in, shoemakers and others can not sew as unattainable with their tools")</f>
        <v>Bag shoulder bag handy, but the problem on the side pocket, the machine had more yarn and thus the pocket is closed at the bottom. I can not put anything in, shoemakers and others can not sew as unattainable with their tools</v>
      </c>
    </row>
    <row r="8154">
      <c r="A8154" s="1">
        <v>4.0</v>
      </c>
      <c r="B8154" s="1" t="s">
        <v>8035</v>
      </c>
      <c r="C8154" t="str">
        <f>IFERROR(__xludf.DUMMYFUNCTION("GOOGLETRANSLATE(B8154, ""fr"", ""en"")"),"They are very comfortable slippers. THANK YOU")</f>
        <v>They are very comfortable slippers. THANK YOU</v>
      </c>
    </row>
    <row r="8155">
      <c r="A8155" s="1">
        <v>4.0</v>
      </c>
      <c r="B8155" s="1" t="s">
        <v>8036</v>
      </c>
      <c r="C8155" t="str">
        <f>IFERROR(__xludf.DUMMYFUNCTION("GOOGLETRANSLATE(B8155, ""fr"", ""en"")"),"Good article Received fairly quickly, good quality and suitable size. Good product to recommend. The two-word is to vary and adapt to any type of dress")</f>
        <v>Good article Received fairly quickly, good quality and suitable size. Good product to recommend. The two-word is to vary and adapt to any type of dress</v>
      </c>
    </row>
    <row r="8156">
      <c r="A8156" s="1">
        <v>4.0</v>
      </c>
      <c r="B8156" s="1" t="s">
        <v>8037</v>
      </c>
      <c r="C8156" t="str">
        <f>IFERROR(__xludf.DUMMYFUNCTION("GOOGLETRANSLATE(B8156, ""fr"", ""en"")"),"Watch sunjas Very good value .au after more than a month of service not a minute late and no advance .I seal a fair bit but average")</f>
        <v>Watch sunjas Very good value .au after more than a month of service not a minute late and no advance .I seal a fair bit but average</v>
      </c>
    </row>
    <row r="8157">
      <c r="A8157" s="1">
        <v>4.0</v>
      </c>
      <c r="B8157" s="1" t="s">
        <v>8038</v>
      </c>
      <c r="C8157" t="str">
        <f>IFERROR(__xludf.DUMMYFUNCTION("GOOGLETRANSLATE(B8157, ""fr"", ""en"")"),"Beautiful neon pastel")</f>
        <v>Beautiful neon pastel</v>
      </c>
    </row>
    <row r="8158">
      <c r="A8158" s="1">
        <v>5.0</v>
      </c>
      <c r="B8158" s="1" t="s">
        <v>8039</v>
      </c>
      <c r="C8158" t="str">
        <f>IFERROR(__xludf.DUMMYFUNCTION("GOOGLETRANSLATE(B8158, ""fr"", ""en"")"),"Good product Good product")</f>
        <v>Good product Good product</v>
      </c>
    </row>
    <row r="8159">
      <c r="A8159" s="1">
        <v>5.0</v>
      </c>
      <c r="B8159" s="1" t="s">
        <v>8040</v>
      </c>
      <c r="C8159" t="str">
        <f>IFERROR(__xludf.DUMMYFUNCTION("GOOGLETRANSLATE(B8159, ""fr"", ""en"")"),"Very nice Very nice nothing to say. We'll see with time if it is not too fragile")</f>
        <v>Very nice Very nice nothing to say. We'll see with time if it is not too fragile</v>
      </c>
    </row>
    <row r="8160">
      <c r="A8160" s="1">
        <v>5.0</v>
      </c>
      <c r="B8160" s="1" t="s">
        <v>8041</v>
      </c>
      <c r="C8160" t="str">
        <f>IFERROR(__xludf.DUMMYFUNCTION("GOOGLETRANSLATE(B8160, ""fr"", ""en"")"),"door right product registration card to protect car logbook nothing to say on this product")</f>
        <v>door right product registration card to protect car logbook nothing to say on this product</v>
      </c>
    </row>
    <row r="8161">
      <c r="A8161" s="1">
        <v>5.0</v>
      </c>
      <c r="B8161" s="1" t="s">
        <v>8042</v>
      </c>
      <c r="C8161" t="str">
        <f>IFERROR(__xludf.DUMMYFUNCTION("GOOGLETRANSLATE(B8161, ""fr"", ""en"")"),"jogging beautiful product my son is very pleased thank you very good quality and size to the seller")</f>
        <v>jogging beautiful product my son is very pleased thank you very good quality and size to the seller</v>
      </c>
    </row>
    <row r="8162">
      <c r="A8162" s="1">
        <v>5.0</v>
      </c>
      <c r="B8162" s="1" t="s">
        <v>8043</v>
      </c>
      <c r="C8162" t="str">
        <f>IFERROR(__xludf.DUMMYFUNCTION("GOOGLETRANSLATE(B8162, ""fr"", ""en"")"),"super beautiful and very quick to boil.")</f>
        <v>super beautiful and very quick to boil.</v>
      </c>
    </row>
    <row r="8163">
      <c r="A8163" s="1">
        <v>5.0</v>
      </c>
      <c r="B8163" s="1" t="s">
        <v>8044</v>
      </c>
      <c r="C8163" t="str">
        <f>IFERROR(__xludf.DUMMYFUNCTION("GOOGLETRANSLATE(B8163, ""fr"", ""en"")"),"pro I have never had a headset with a perfected too. I use either live output of a PC or my videos have another audio rendering, or I use the output of a 40 TASCAM HD output of a guitar amp Blackstar ID100.")</f>
        <v>pro I have never had a headset with a perfected too. I use either live output of a PC or my videos have another audio rendering, or I use the output of a 40 TASCAM HD output of a guitar amp Blackstar ID100.</v>
      </c>
    </row>
    <row r="8164">
      <c r="A8164" s="1">
        <v>5.0</v>
      </c>
      <c r="B8164" s="1" t="s">
        <v>8045</v>
      </c>
      <c r="C8164" t="str">
        <f>IFERROR(__xludf.DUMMYFUNCTION("GOOGLETRANSLATE(B8164, ""fr"", ""en"")"),"Excellent acquisition for a programmable tea every morning This device gets me out of bed to enjoy tea at the scheduled time, perfectly brewed. The question is what will be his life.")</f>
        <v>Excellent acquisition for a programmable tea every morning This device gets me out of bed to enjoy tea at the scheduled time, perfectly brewed. The question is what will be his life.</v>
      </c>
    </row>
    <row r="8165">
      <c r="A8165" s="1">
        <v>5.0</v>
      </c>
      <c r="B8165" s="1" t="s">
        <v>8046</v>
      </c>
      <c r="C8165" t="str">
        <f>IFERROR(__xludf.DUMMYFUNCTION("GOOGLETRANSLATE(B8165, ""fr"", ""en"")"),"The shoes that I had to get out of the house, walk, go to the movies, to the market, etc, etc ...")</f>
        <v>The shoes that I had to get out of the house, walk, go to the movies, to the market, etc, etc ...</v>
      </c>
    </row>
    <row r="8166">
      <c r="A8166" s="1">
        <v>5.0</v>
      </c>
      <c r="B8166" s="1" t="s">
        <v>8047</v>
      </c>
      <c r="C8166" t="str">
        <f>IFERROR(__xludf.DUMMYFUNCTION("GOOGLETRANSLATE(B8166, ""fr"", ""en"")"),"sending fast nickel, matching the description")</f>
        <v>sending fast nickel, matching the description</v>
      </c>
    </row>
    <row r="8167">
      <c r="A8167" s="1">
        <v>5.0</v>
      </c>
      <c r="B8167" s="1" t="s">
        <v>8048</v>
      </c>
      <c r="C8167" t="str">
        <f>IFERROR(__xludf.DUMMYFUNCTION("GOOGLETRANSLATE(B8167, ""fr"", ""en"")"),"Eraser on top the top! Buy it")</f>
        <v>Eraser on top the top! Buy it</v>
      </c>
    </row>
    <row r="8168">
      <c r="A8168" s="1">
        <v>5.0</v>
      </c>
      <c r="B8168" s="1" t="s">
        <v>8049</v>
      </c>
      <c r="C8168" t="str">
        <f>IFERROR(__xludf.DUMMYFUNCTION("GOOGLETRANSLATE(B8168, ""fr"", ""en"")"),"VERY TRUE ADVERTISING STILLER AND REST IN sécuritée")</f>
        <v>VERY TRUE ADVERTISING STILLER AND REST IN sécuritée</v>
      </c>
    </row>
    <row r="8169">
      <c r="A8169" s="1">
        <v>5.0</v>
      </c>
      <c r="B8169" s="1" t="s">
        <v>8050</v>
      </c>
      <c r="C8169" t="str">
        <f>IFERROR(__xludf.DUMMYFUNCTION("GOOGLETRANSLATE(B8169, ""fr"", ""en"")"),"Genial I highly recommend this encyclopedia - I had heard on the radio or TV and I immediately noted the reference. It's simple to read - well illustrated and very interesting. And this is a book that and I'm a bit tired of seeing my little enfantys with "&amp;"tablets - j'e jumps on every opportunity to offer their books! There are plain text so the child must know how to read - or calls to parents or brother or sister to share this reading that will interest the whole family.")</f>
        <v>Genial I highly recommend this encyclopedia - I had heard on the radio or TV and I immediately noted the reference. It's simple to read - well illustrated and very interesting. And this is a book that and I'm a bit tired of seeing my little enfantys with tablets - j'e jumps on every opportunity to offer their books! There are plain text so the child must know how to read - or calls to parents or brother or sister to share this reading that will interest the whole family.</v>
      </c>
    </row>
    <row r="8170">
      <c r="A8170" s="1">
        <v>5.0</v>
      </c>
      <c r="B8170" s="1" t="s">
        <v>8051</v>
      </c>
      <c r="C8170" t="str">
        <f>IFERROR(__xludf.DUMMYFUNCTION("GOOGLETRANSLATE(B8170, ""fr"", ""en"")"),"The right wrist I needed a steel bracelet and black to replace the one that my husband had. His watch is black majority with around the aluminum-colored dial, strap fits perfectly and is ultimately a beautiful matching set.")</f>
        <v>The right wrist I needed a steel bracelet and black to replace the one that my husband had. His watch is black majority with around the aluminum-colored dial, strap fits perfectly and is ultimately a beautiful matching set.</v>
      </c>
    </row>
    <row r="8171">
      <c r="A8171" s="1">
        <v>5.0</v>
      </c>
      <c r="B8171" s="1" t="s">
        <v>8052</v>
      </c>
      <c r="C8171" t="str">
        <f>IFERROR(__xludf.DUMMYFUNCTION("GOOGLETRANSLATE(B8171, ""fr"", ""en"")"),"good quality sports socks, warm, thick, well who cut")</f>
        <v>good quality sports socks, warm, thick, well who cut</v>
      </c>
    </row>
    <row r="8172">
      <c r="A8172" s="1">
        <v>5.0</v>
      </c>
      <c r="B8172" s="1" t="s">
        <v>8053</v>
      </c>
      <c r="C8172" t="str">
        <f>IFERROR(__xludf.DUMMYFUNCTION("GOOGLETRANSLATE(B8172, ""fr"", ""en"")"),"Perfect Meets description super fast delivery.")</f>
        <v>Perfect Meets description super fast delivery.</v>
      </c>
    </row>
    <row r="8173">
      <c r="A8173" s="1">
        <v>2.0</v>
      </c>
      <c r="B8173" s="1" t="s">
        <v>8054</v>
      </c>
      <c r="C8173" t="str">
        <f>IFERROR(__xludf.DUMMYFUNCTION("GOOGLETRANSLATE(B8173, ""fr"", ""en"")"),"Flees lot My god it flees ... And 3 that's how ..")</f>
        <v>Flees lot My god it flees ... And 3 that's how ..</v>
      </c>
    </row>
    <row r="8174">
      <c r="A8174" s="1">
        <v>1.0</v>
      </c>
      <c r="B8174" s="1" t="s">
        <v>8055</v>
      </c>
      <c r="C8174" t="str">
        <f>IFERROR(__xludf.DUMMYFUNCTION("GOOGLETRANSLATE(B8174, ""fr"", ""en"")"),"very poor quality plastic shoe ...")</f>
        <v>very poor quality plastic shoe ...</v>
      </c>
    </row>
    <row r="8175">
      <c r="A8175" s="1">
        <v>3.0</v>
      </c>
      <c r="B8175" s="1" t="s">
        <v>8056</v>
      </c>
      <c r="C8175" t="str">
        <f>IFERROR(__xludf.DUMMYFUNCTION("GOOGLETRANSLATE(B8175, ""fr"", ""en"")"),"Not bad Tears easily if it is well")</f>
        <v>Not bad Tears easily if it is well</v>
      </c>
    </row>
    <row r="8176">
      <c r="A8176" s="1">
        <v>3.0</v>
      </c>
      <c r="B8176" s="1" t="s">
        <v>8057</v>
      </c>
      <c r="C8176" t="str">
        <f>IFERROR(__xludf.DUMMYFUNCTION("GOOGLETRANSLATE(B8176, ""fr"", ""en"")"),"Low battery life sound quality is very good, but after 4 months 100% charged battery holds only 2 hours, which is unacceptable.")</f>
        <v>Low battery life sound quality is very good, but after 4 months 100% charged battery holds only 2 hours, which is unacceptable.</v>
      </c>
    </row>
    <row r="8177">
      <c r="A8177" s="1">
        <v>4.0</v>
      </c>
      <c r="B8177" s="1" t="s">
        <v>8058</v>
      </c>
      <c r="C8177" t="str">
        <f>IFERROR(__xludf.DUMMYFUNCTION("GOOGLETRANSLATE(B8177, ""fr"", ""en"")"),"Product No. Good product but relatively heavy can not serve long s")</f>
        <v>Product No. Good product but relatively heavy can not serve long s</v>
      </c>
    </row>
    <row r="8178">
      <c r="A8178" s="1">
        <v>4.0</v>
      </c>
      <c r="B8178" s="1" t="s">
        <v>8059</v>
      </c>
      <c r="C8178" t="str">
        <f>IFERROR(__xludf.DUMMYFUNCTION("GOOGLETRANSLATE(B8178, ""fr"", ""en"")"),"a real impact? attaches quickly on the arm of my blue yeti. The rigidity of the arm is okay but does not necessarily hold up as we want (it takes a little play with). Next, let's be honest, he has a real impact on the sound quality of the microphone? I do"&amp;"ubt it personal")</f>
        <v>a real impact? attaches quickly on the arm of my blue yeti. The rigidity of the arm is okay but does not necessarily hold up as we want (it takes a little play with). Next, let's be honest, he has a real impact on the sound quality of the microphone? I doubt it personal</v>
      </c>
    </row>
    <row r="8179">
      <c r="A8179" s="1">
        <v>4.0</v>
      </c>
      <c r="B8179" s="1" t="s">
        <v>8060</v>
      </c>
      <c r="C8179" t="str">
        <f>IFERROR(__xludf.DUMMYFUNCTION("GOOGLETRANSLATE(B8179, ""fr"", ""en"")"),"good T-shirt very good and pleasant to wear only problem. Colle too soft and too wide I would almost useless. Otherwise damage very well cut")</f>
        <v>good T-shirt very good and pleasant to wear only problem. Colle too soft and too wide I would almost useless. Otherwise damage very well cut</v>
      </c>
    </row>
    <row r="8180">
      <c r="A8180" s="1">
        <v>4.0</v>
      </c>
      <c r="B8180" s="1" t="s">
        <v>8061</v>
      </c>
      <c r="C8180" t="str">
        <f>IFERROR(__xludf.DUMMYFUNCTION("GOOGLETRANSLATE(B8180, ""fr"", ""en"")"),"Simplicity and efficiency I'm not a pro, but I am demanding amateur. And I could not be more overwhelmed by the quality of this microphone. It is immediately recognized by Windows 10.")</f>
        <v>Simplicity and efficiency I'm not a pro, but I am demanding amateur. And I could not be more overwhelmed by the quality of this microphone. It is immediately recognized by Windows 10.</v>
      </c>
    </row>
    <row r="8181">
      <c r="A8181" s="1">
        <v>5.0</v>
      </c>
      <c r="B8181" s="1" t="s">
        <v>8062</v>
      </c>
      <c r="C8181" t="str">
        <f>IFERROR(__xludf.DUMMYFUNCTION("GOOGLETRANSLATE(B8181, ""fr"", ""en"")"),"Kettle upscale Electric Strength: The water temperature is displayed as and boiling. Possibility of choosing the temperature between 80 and 100 ° Quick temperature rising. Look modern brushed blue light. The handle of the kettle is still cold, but the wal"&amp;"ls are hot. Weakness: Pretty heavy. Quality product.")</f>
        <v>Kettle upscale Electric Strength: The water temperature is displayed as and boiling. Possibility of choosing the temperature between 80 and 100 ° Quick temperature rising. Look modern brushed blue light. The handle of the kettle is still cold, but the walls are hot. Weakness: Pretty heavy. Quality product.</v>
      </c>
    </row>
    <row r="8182">
      <c r="A8182" s="1">
        <v>5.0</v>
      </c>
      <c r="B8182" s="1" t="s">
        <v>8063</v>
      </c>
      <c r="C8182" t="str">
        <f>IFERROR(__xludf.DUMMYFUNCTION("GOOGLETRANSLATE(B8182, ""fr"", ""en"")"),"Met my expectations Very good product")</f>
        <v>Met my expectations Very good product</v>
      </c>
    </row>
    <row r="8183">
      <c r="A8183" s="1">
        <v>5.0</v>
      </c>
      <c r="B8183" s="1" t="s">
        <v>8064</v>
      </c>
      <c r="C8183" t="str">
        <f>IFERROR(__xludf.DUMMYFUNCTION("GOOGLETRANSLATE(B8183, ""fr"", ""en"")"),"I advise you beautiful was this Basketball safety I wear every day everywhere I work with I do everything with")</f>
        <v>I advise you beautiful was this Basketball safety I wear every day everywhere I work with I do everything with</v>
      </c>
    </row>
    <row r="8184">
      <c r="A8184" s="1">
        <v>5.0</v>
      </c>
      <c r="B8184" s="1" t="s">
        <v>8065</v>
      </c>
      <c r="C8184" t="str">
        <f>IFERROR(__xludf.DUMMYFUNCTION("GOOGLETRANSLATE(B8184, ""fr"", ""en"")"),"The sound is clear I bought 2 pairs of these headphones - one for work, one for home, these are the ideal level of comfort for me. The quality is very good, all components, plugs, son, etc. are of very good quality, the son will not be tangled!")</f>
        <v>The sound is clear I bought 2 pairs of these headphones - one for work, one for home, these are the ideal level of comfort for me. The quality is very good, all components, plugs, son, etc. are of very good quality, the son will not be tangled!</v>
      </c>
    </row>
    <row r="8185">
      <c r="A8185" s="1">
        <v>5.0</v>
      </c>
      <c r="B8185" s="1" t="s">
        <v>8066</v>
      </c>
      <c r="C8185" t="str">
        <f>IFERROR(__xludf.DUMMYFUNCTION("GOOGLETRANSLATE(B8185, ""fr"", ""en"")"),"The quality of the brand more convenient than liquid, especially since former with internal ball to the mixture disappeared, the product is much more likely to dry out and no longer")</f>
        <v>The quality of the brand more convenient than liquid, especially since former with internal ball to the mixture disappeared, the product is much more likely to dry out and no longer</v>
      </c>
    </row>
    <row r="8186">
      <c r="A8186" s="1">
        <v>5.0</v>
      </c>
      <c r="B8186" s="1" t="s">
        <v>8067</v>
      </c>
      <c r="C8186" t="str">
        <f>IFERROR(__xludf.DUMMYFUNCTION("GOOGLETRANSLATE(B8186, ""fr"", ""en"")"),"original product. Spotless, quickly received, produced 100% compliant. Original product, completely satisfied with this purchase. You can buy eyes closed, you will not be disappointed.")</f>
        <v>original product. Spotless, quickly received, produced 100% compliant. Original product, completely satisfied with this purchase. You can buy eyes closed, you will not be disappointed.</v>
      </c>
    </row>
    <row r="8187">
      <c r="A8187" s="1">
        <v>5.0</v>
      </c>
      <c r="B8187" s="1" t="s">
        <v>8068</v>
      </c>
      <c r="C8187" t="str">
        <f>IFERROR(__xludf.DUMMYFUNCTION("GOOGLETRANSLATE(B8187, ""fr"", ""en"")"),"Very good tissue and does not shrink very good quality and good size")</f>
        <v>Very good tissue and does not shrink very good quality and good size</v>
      </c>
    </row>
    <row r="8188">
      <c r="A8188" s="1">
        <v>5.0</v>
      </c>
      <c r="B8188" s="1" t="s">
        <v>8069</v>
      </c>
      <c r="C8188" t="str">
        <f>IFERROR(__xludf.DUMMYFUNCTION("GOOGLETRANSLATE(B8188, ""fr"", ""en"")"),"Earphones willful bluethooth I bought these headphones for my sports sessions after their use during my sessions correspond to my needs, they keep very well in the ears even when I make movements or I run, so the sound quality is perfect, plus they rechar"&amp;"ge by themselves once they are in their case, I am very satisfied with this purchase")</f>
        <v>Earphones willful bluethooth I bought these headphones for my sports sessions after their use during my sessions correspond to my needs, they keep very well in the ears even when I make movements or I run, so the sound quality is perfect, plus they recharge by themselves once they are in their case, I am very satisfied with this purchase</v>
      </c>
    </row>
    <row r="8189">
      <c r="A8189" s="1">
        <v>5.0</v>
      </c>
      <c r="B8189" s="1" t="s">
        <v>8070</v>
      </c>
      <c r="C8189" t="str">
        <f>IFERROR(__xludf.DUMMYFUNCTION("GOOGLETRANSLATE(B8189, ""fr"", ""en"")"),"Really good Super carpet, which relieves the back well, I use it every night and it's going much better thank you very much for this great product")</f>
        <v>Really good Super carpet, which relieves the back well, I use it every night and it's going much better thank you very much for this great product</v>
      </c>
    </row>
    <row r="8190">
      <c r="A8190" s="1">
        <v>5.0</v>
      </c>
      <c r="B8190" s="1" t="s">
        <v>8071</v>
      </c>
      <c r="C8190" t="str">
        <f>IFERROR(__xludf.DUMMYFUNCTION("GOOGLETRANSLATE(B8190, ""fr"", ""en"")"),"Excellent value for money This is not the best toilet paper in the world but at that price, though. Deserves 5 stars.")</f>
        <v>Excellent value for money This is not the best toilet paper in the world but at that price, though. Deserves 5 stars.</v>
      </c>
    </row>
    <row r="8191">
      <c r="A8191" s="1">
        <v>5.0</v>
      </c>
      <c r="B8191" s="1" t="s">
        <v>8072</v>
      </c>
      <c r="C8191" t="str">
        <f>IFERROR(__xludf.DUMMYFUNCTION("GOOGLETRANSLATE(B8191, ""fr"", ""en"")"),"Awesome received 39 and 38 c is great, my wife is very happy here and many wound him")</f>
        <v>Awesome received 39 and 38 c is great, my wife is very happy here and many wound him</v>
      </c>
    </row>
    <row r="8192">
      <c r="A8192" s="1">
        <v>5.0</v>
      </c>
      <c r="B8192" s="1" t="s">
        <v>8073</v>
      </c>
      <c r="C8192" t="str">
        <f>IFERROR(__xludf.DUMMYFUNCTION("GOOGLETRANSLATE(B8192, ""fr"", ""en"")"),"Bola Supplied with 2 strands but only 1 of substantial length.")</f>
        <v>Bola Supplied with 2 strands but only 1 of substantial length.</v>
      </c>
    </row>
    <row r="8193">
      <c r="A8193" s="1">
        <v>5.0</v>
      </c>
      <c r="B8193" s="1" t="s">
        <v>8074</v>
      </c>
      <c r="C8193" t="str">
        <f>IFERROR(__xludf.DUMMYFUNCTION("GOOGLETRANSLATE(B8193, ""fr"", ""en"")"),"perfect staff")</f>
        <v>perfect staff</v>
      </c>
    </row>
    <row r="8194">
      <c r="A8194" s="1">
        <v>5.0</v>
      </c>
      <c r="B8194" s="1" t="s">
        <v>8075</v>
      </c>
      <c r="C8194" t="str">
        <f>IFERROR(__xludf.DUMMYFUNCTION("GOOGLETRANSLATE(B8194, ""fr"", ""en"")"),"Satisfied cartridge of very good quality as effective as that of origins. Perfect for epson xp 245. Good value for money")</f>
        <v>Satisfied cartridge of very good quality as effective as that of origins. Perfect for epson xp 245. Good value for money</v>
      </c>
    </row>
    <row r="8195">
      <c r="A8195" s="1">
        <v>5.0</v>
      </c>
      <c r="B8195" s="1" t="s">
        <v>8076</v>
      </c>
      <c r="C8195" t="str">
        <f>IFERROR(__xludf.DUMMYFUNCTION("GOOGLETRANSLATE(B8195, ""fr"", ""en"")"),"Kids love I have to spend a second because I have four children, of course, the smallest wants one également.Il works very bien.Cette load can be connected quickly and settings are easy for children and adults.")</f>
        <v>Kids love I have to spend a second because I have four children, of course, the smallest wants one également.Il works very bien.Cette load can be connected quickly and settings are easy for children and adults.</v>
      </c>
    </row>
    <row r="8196">
      <c r="A8196" s="1">
        <v>5.0</v>
      </c>
      <c r="B8196" s="1" t="s">
        <v>8077</v>
      </c>
      <c r="C8196" t="str">
        <f>IFERROR(__xludf.DUMMYFUNCTION("GOOGLETRANSLATE(B8196, ""fr"", ""en"")"),"Headphones plugged headphones I bought these for my son, he had no difficulty using his mobile, the connection is very smooth, they are discreet and modern. I recommend")</f>
        <v>Headphones plugged headphones I bought these for my son, he had no difficulty using his mobile, the connection is very smooth, they are discreet and modern. I recommend</v>
      </c>
    </row>
    <row r="8197">
      <c r="A8197" s="1">
        <v>2.0</v>
      </c>
      <c r="B8197" s="1" t="s">
        <v>8078</v>
      </c>
      <c r="C8197" t="str">
        <f>IFERROR(__xludf.DUMMYFUNCTION("GOOGLETRANSLATE(B8197, ""fr"", ""en"")"),"Size improper Warning Compatibility pointurs UK / FRA: Commissioned in 43 but shoes too too big for the rest of the product has a very good finish.")</f>
        <v>Size improper Warning Compatibility pointurs UK / FRA: Commissioned in 43 but shoes too too big for the rest of the product has a very good finish.</v>
      </c>
    </row>
    <row r="8198">
      <c r="A8198" s="1">
        <v>1.0</v>
      </c>
      <c r="B8198" s="1" t="s">
        <v>8079</v>
      </c>
      <c r="C8198" t="str">
        <f>IFERROR(__xludf.DUMMYFUNCTION("GOOGLETRANSLATE(B8198, ""fr"", ""en"")"),"Disappointed I relied on the positive reviews and I am extremely disappointed, I really took care to place the adhesive as it should. After two days the fabric is collapsed .... I said that this painting should be a maximum 500 grams and the adhesive is s"&amp;"upposed to withstand 120 kg .... thus passing the mandatory nails")</f>
        <v>Disappointed I relied on the positive reviews and I am extremely disappointed, I really took care to place the adhesive as it should. After two days the fabric is collapsed .... I said that this painting should be a maximum 500 grams and the adhesive is supposed to withstand 120 kg .... thus passing the mandatory nails</v>
      </c>
    </row>
    <row r="8199">
      <c r="A8199" s="1">
        <v>1.0</v>
      </c>
      <c r="B8199" s="1" t="s">
        <v>8080</v>
      </c>
      <c r="C8199" t="str">
        <f>IFERROR(__xludf.DUMMYFUNCTION("GOOGLETRANSLATE(B8199, ""fr"", ""en"")"),"Nonconforming product I should look at other reviews before ordering, I have made myself the same way ... I also received 2 nipples with only 3 holes while normally four teats 6m + Avent have 4 holes. There is also a small label on the side of the product"&amp;" (see my pictures) that confirms it. I think there is an error on the production line and they try the ""flog"" like that is unacceptable ... This article should be sold 50% cheaper because of default and sold as teats 3. for my part, being back from Amaz"&amp;"on so the service is very understanding and very effective.")</f>
        <v>Nonconforming product I should look at other reviews before ordering, I have made myself the same way ... I also received 2 nipples with only 3 holes while normally four teats 6m + Avent have 4 holes. There is also a small label on the side of the product (see my pictures) that confirms it. I think there is an error on the production line and they try the "flog" like that is unacceptable ... This article should be sold 50% cheaper because of default and sold as teats 3. for my part, being back from Amazon so the service is very understanding and very effective.</v>
      </c>
    </row>
    <row r="8200">
      <c r="A8200" s="1">
        <v>3.0</v>
      </c>
      <c r="B8200" s="1" t="s">
        <v>8081</v>
      </c>
      <c r="C8200" t="str">
        <f>IFERROR(__xludf.DUMMYFUNCTION("GOOGLETRANSLATE(B8200, ""fr"", ""en"")"),"The shoulder strap tends to slip, must be used (needle and thread) for it to continue.")</f>
        <v>The shoulder strap tends to slip, must be used (needle and thread) for it to continue.</v>
      </c>
    </row>
    <row r="8201">
      <c r="A8201" s="1">
        <v>3.0</v>
      </c>
      <c r="B8201" s="1" t="s">
        <v>8082</v>
      </c>
      <c r="C8201" t="str">
        <f>IFERROR(__xludf.DUMMYFUNCTION("GOOGLETRANSLATE(B8201, ""fr"", ""en"")"),"Nice surprise ! It is by reading the comments on this, that I decided to buy it and I'm not at all disappointed on the contrary! Price / quality excellent! He shines shoes like never I definitely recommend")</f>
        <v>Nice surprise ! It is by reading the comments on this, that I decided to buy it and I'm not at all disappointed on the contrary! Price / quality excellent! He shines shoes like never I definitely recommend</v>
      </c>
    </row>
    <row r="8202">
      <c r="A8202" s="1">
        <v>4.0</v>
      </c>
      <c r="B8202" s="1" t="s">
        <v>8083</v>
      </c>
      <c r="C8202" t="str">
        <f>IFERROR(__xludf.DUMMYFUNCTION("GOOGLETRANSLATE(B8202, ""fr"", ""en"")"),"Good and nice pair Beautiful shoes that match my expectations. dressed Style Sportswear.")</f>
        <v>Good and nice pair Beautiful shoes that match my expectations. dressed Style Sportswear.</v>
      </c>
    </row>
    <row r="8203">
      <c r="A8203" s="1">
        <v>4.0</v>
      </c>
      <c r="B8203" s="1" t="s">
        <v>8084</v>
      </c>
      <c r="C8203" t="str">
        <f>IFERROR(__xludf.DUMMYFUNCTION("GOOGLETRANSLATE(B8203, ""fr"", ""en"")"),"But super great but the nipple is too much flow, a big big big hole in the middle of the nipple, the bib that void in two minutes if I return. Damage to the nipple nice if the bib")</f>
        <v>But super great but the nipple is too much flow, a big big big hole in the middle of the nipple, the bib that void in two minutes if I return. Damage to the nipple nice if the bib</v>
      </c>
    </row>
    <row r="8204">
      <c r="A8204" s="1">
        <v>4.0</v>
      </c>
      <c r="B8204" s="1" t="s">
        <v>8085</v>
      </c>
      <c r="C8204" t="str">
        <f>IFERROR(__xludf.DUMMYFUNCTION("GOOGLETRANSLATE(B8204, ""fr"", ""en"")"),"Good but .. rather acute (250ohm) Good headphones overall, comfortable, the sound is clear, but .. I was told to pay attention to the bass, strangely despite not bad mixer, I have impression of having no low, I go a Kraken Pro, and the sound is much more "&amp;"acute. See if just an adjustment period or not. (And thank you Amazon to drop the price even 2 days after my order, and not to refund the difference, on the other do, so the lack of will is present, in addition, the headset is 159 € on the site Official, "&amp;"and it is here indicated at 179 € in RRP, not phew phew)")</f>
        <v>Good but .. rather acute (250ohm) Good headphones overall, comfortable, the sound is clear, but .. I was told to pay attention to the bass, strangely despite not bad mixer, I have impression of having no low, I go a Kraken Pro, and the sound is much more acute. See if just an adjustment period or not. (And thank you Amazon to drop the price even 2 days after my order, and not to refund the difference, on the other do, so the lack of will is present, in addition, the headset is 159 € on the site Official, and it is here indicated at 179 € in RRP, not phew phew)</v>
      </c>
    </row>
    <row r="8205">
      <c r="A8205" s="1">
        <v>4.0</v>
      </c>
      <c r="B8205" s="1" t="s">
        <v>8086</v>
      </c>
      <c r="C8205" t="str">
        <f>IFERROR(__xludf.DUMMYFUNCTION("GOOGLETRANSLATE(B8205, ""fr"", ""en"")"),"The very comfortable comfort")</f>
        <v>The very comfortable comfort</v>
      </c>
    </row>
    <row r="8206">
      <c r="A8206" s="1">
        <v>4.0</v>
      </c>
      <c r="B8206" s="1" t="s">
        <v>8087</v>
      </c>
      <c r="C8206" t="str">
        <f>IFERROR(__xludf.DUMMYFUNCTION("GOOGLETRANSLATE(B8206, ""fr"", ""en"")"),"yeah ... but mouai good product, clean, correct, comprehensive, apparently soldie, well finished ... but in two weeks I seem to have ""aged"" prematurely ... to see so over the long term")</f>
        <v>yeah ... but mouai good product, clean, correct, comprehensive, apparently soldie, well finished ... but in two weeks I seem to have "aged" prematurely ... to see so over the long term</v>
      </c>
    </row>
    <row r="8207">
      <c r="A8207" s="1">
        <v>5.0</v>
      </c>
      <c r="B8207" s="1" t="s">
        <v>8088</v>
      </c>
      <c r="C8207" t="str">
        <f>IFERROR(__xludf.DUMMYFUNCTION("GOOGLETRANSLATE(B8207, ""fr"", ""en"")"),"Nickel &lt;div id = ""video-block-R13XIF8UMYDK9Y"" class = ""a-section-spacing-small in-spacing-top mini video-block""&gt; &lt;div tabindex = ""0"" class = ""airy airy-svg vmin -unsupported airy-skin-beacon ""style ="" background-color: rgb (0, 0, 0); position: re"&amp;"lative; width: 100%; height: 100%; font-size: 0px; overflow: hidden; outline: none; ""&gt; &lt;div class ="" airy-renderer-container ""style ="" position: relative; height: 100%; width: 100%; ""&gt; &lt;video id ="" 7 ""preload ="" auto ""src ="" https : //images-eu."&amp;"ssl-images-amazon.com/images/I/B1RrsrftL3S.mp4 ""style ="" position: absolute; left: 0px; top: 0px; overflow: hidden; height: 1px; width: 1px; ""&gt; &lt;/ video&gt; &lt;/ div&gt; &lt;div id ="" airy-slate-preload ""style ="" background-color: rgb (0, 0, 0); background-ima"&amp;"ge: url (&amp; quot; https: // pictures -eu.ssl-images-amazon.com/images/I/81q+HKoNCZS.png&amp;quot;); background-size: contain; background-position: center center; background-repeat: no-repeat; position: absolute; top: 0px; left: 0px; visibility: visible; width:"&amp;" 100%; height: 100% ""&gt; &lt;/ div&gt; &lt;iframe scrolling ="" no ""fra meborder = ""0"" src = ""about: blank"" style = ""display: none;""&gt; &lt;/ iframe&gt; &lt;div tabindex = ""- 1"" class = ""airy-controls-container"" style = ""opacity: 0; visibility: hidden; ""&gt; &lt;div ta"&amp;"bindex ="" - 1 ""class ="" airy-screen-size-toggle airy-fullscreen ""&gt; &lt;/ div&gt; &lt;div tabindex ="" - 1 ""class ="" airy-container-bottom "" &gt; &lt;div tabindex = ""- 1"" class = ""airy-track-bar spacer-left"" style = ""width: 11px;""&gt; &lt;/ div&gt; &lt;div tabindex = """&amp;"- 1"" class = ""airy-play- toggle airy-play ""style ="" width: 12px; margin-right: 12px; ""&gt; &lt;/ div&gt; &lt;div tabindex ="" - 1 ""class ="" airy-audio-elements ""style ="" float: right; width: 34px; ""&gt; &lt;div tabindex ="" - 1 ""class ="" airy-audio-toggle airy-"&amp;"on ""&gt; &lt;/ div&gt; &lt;div tabindex ="" - 1 ""class ="" airy-audio-container ""style = ""opacity: 0; visibility: hidden; ""&gt; &lt;div tabindex ="" - 1 ""class ="" airy-audio-track-bar ""style ="" height: 80%; ""&gt; &lt;div tabindex ="" - 1 ""class ="" airy-audio- scrubbe"&amp;"r bar ""style ="" height: 85% ""&gt; &lt;/ div&gt; &lt;div tabindex ="" - 1 ""class ="" airy-audio-scrubber ""style ="" height: 12px; bottom: 85% ""&gt; &lt;/ div&gt; &lt;/ div&gt; &lt;/ div&gt; &lt;/ div&gt; &lt;div tabindex ="" - 1 ""class ="" airy-duration-label ""style ="" float: right; width"&amp;": 26px; margin-right: 4px; text-align: center; ""&gt; 0:28 &lt;/ div&gt; &lt;div tabindex ="" - 1 ""class ="" airy-track-bar spacer-right ""style ="" float: right; width: 11px; ""&gt; &lt;/ div&gt; &lt;div tabindex ="" - 1 ""class ="" airy-track-bar-container ""style ="" margin-"&amp;"left: 35px; margin-right: 75px; ""&gt; &lt;div tabindex ="" - 1 ""class ="" airy-airy-track-bar vertical-centering-table ""&gt; &lt;div tabindex ="" - 1 ""class ="" airy-vertical-centering- table-cell ""&gt; &lt;div tabindex ="" - 1 ""class ="" airy-track-bar elements ""&gt; "&amp;"&lt;div tabindex ="" - 1 ""class ="" airy-progress-bar ""style ="" width: 10.1732%; ""&gt; &lt;/ div&gt; &lt;div tabindex ="" - 1 ""class ="" airy-scrubber bar ""&gt; &lt;/ div&gt; &lt;div tabindex ="" - 1 ""class ="" airy-scrubber ""&gt; &lt;div tabindex ="" - 1 ""class ="" airy-scrubbe"&amp;"r-icon ""&gt; &lt;/ div&gt; &lt;div tabindex ="" - 1 ""class ="" airy-adjusted-aui-tooltip ""style ="" opacity: 0; visibility: hidden; ""&gt; &lt;div tabindex ="" - 1 ""class ="" airy-adjusted-aui-tooltip-inner ""&gt; &lt;div tabindex ="" - 1 ""class ="" airy-current-time-label "&amp;"""&gt; 0 00 &lt;/ div&gt; &lt;/ div&gt; &lt;div tabindex = ""- 1"" class = ""airy-adjusted-aui-arrow-border""&gt; &lt;div tabindex = ""- 1"" class = ""airy-adjusted-aui-arrow"" &gt; &lt;/ div&gt; &lt;/ div&gt; &lt;/ div&gt; &lt;/ div&gt; &lt;/ div&gt; &lt;/ div&gt; &lt;/ div&gt; &lt;/ div&gt; &lt;/ div&gt; &lt;/ div&gt; &lt;div tabindex = ""- "&amp;"1"" class = ""airy-airy-age-gate course airy-vertical-centering table-airy-dialog"" style = ""opacity: 0; visibility: hidden; ""&gt; &lt;div tabindex ="" - 1 ""class ="" airy-age-gate-vertical-centering-table-cell airy-vertical-centering-table-cell ""&gt; &lt;div tab"&amp;"index ="" - 1 ""class = ""airy-vertical-centering-wrapper airy-age-gate-elements-wrapper""&gt; &lt;div tabindex = ""- 1"" class = ""airy-age-gate-elements airy-dialog-elements""&gt; &lt;div tabindex = "" -1 ""class ="" airy-age-gate-prompt ""&gt; This video is not Inten"&amp;"ded for all audiences What time were you born &lt;/ div&gt; &lt;div tabindex =.?"" - 1 ""class ="" airy-age-gate -inputs airy-dialog-inner-elements ""&gt; &lt;select tabindex ="" - 1 ""class ="" airy-age-gate-month ""&gt; &lt;option value ="" 1 ""&gt; January &lt;/ option&gt; &lt;option "&amp;"value ="" 2 ""&gt; February &lt;/ option&gt; &lt;option value ="" 3 ""&gt; March &lt;/ option&gt; &lt;option value ="" 4 ""&gt; April &lt;/ option&gt; &lt;option value ="" 5 ""&gt; May &lt;/ option&gt; &lt;option value = ""6""&gt; June &lt;/ option&gt; &lt;option value = ""7""&gt; July &lt;/ option&gt; &lt;option value = ""8"&amp;"""&gt; August &lt;/ option&gt; &lt;option value = ""9""&gt; September &lt;/ option&gt; &lt;option value = ""10""&gt; October &lt;/ option&gt; &lt;option value = ""11""&gt; November &lt;/ option&gt; &lt;option value = ""12""&gt; December &lt;/ option&gt; &lt;/ select&gt; &lt;select tabindex = ""- 1"" class = ""airy-age-g"&amp;"ate-day""&gt; &lt;opti = One value ""1""&gt; 1 &lt;/ option&gt; &lt;option value = ""2""&gt; 2 &lt;/ option&gt; &lt;option value = ""3""&gt; 3 &lt;/ option&gt; &lt;option value = ""4""&gt; 4 &lt;/ option &gt; &lt;option value = ""5""&gt; 5 &lt;/ option&gt; &lt;option value = ""6""&gt; 6 &lt;/ option&gt; &lt;option value = ""7""&gt; 7 "&amp;"&lt;/ option&gt; &lt;option value = ""8""&gt; 8 &lt; / option&gt; &lt;option value = ""9""&gt; 9 &lt;/ option&gt; &lt;option value = ""10""&gt; 10 &lt;/ option&gt; &lt;option value = ""11""&gt; 11 &lt;/ option&gt; &lt;option value = ""12""&gt; 12 &lt;/ option&gt; &lt;option value = ""13""&gt; 13 &lt;/ option&gt; &lt;option value = ""1"&amp;"4""&gt; 14 &lt;/ option&gt; &lt;option value = ""15""&gt; 15 &lt;/ option&gt; &lt;option value = ""16 ""&gt; 16 &lt;/ option&gt; &lt;option value ="" 17 ""&gt; 17 &lt;/ option&gt; &lt;option value ="" 18 ""&gt; 18 &lt;/ option&gt; &lt;option value ="" 19 ""&gt; 19 &lt;/ option&gt; &lt;option value = ""20""&gt; 20 &lt;/ option&gt; &lt;opt"&amp;"ion value = ""21""&gt; 21 &lt;/ option&gt; &lt;option value = ""22""&gt; 22 &lt;/ option&gt; &lt;option value = ""23""&gt; 23 &lt;/ option&gt; &lt;option value = ""24""&gt; 24 &lt;/ option&gt; &lt;option value = ""25""&gt; 25 &lt;/ option&gt; &lt;option value = ""26""&gt; 26 &lt;/ option&gt; &lt;option value = ""27""&gt; 27 &lt;/ o"&amp;"ption&gt; &lt;option value = ""28""&gt; 28 &lt;/ option&gt; &lt;option value = ""29""&gt; 29 &lt;/ option&gt; &lt;option value = ""30""&gt; 30 &lt;/ option&gt; &lt;option value = ""31""&gt; 31 &lt;/ option&gt; &lt;/ select&gt; &lt;select tabindex = ""- 1"" class = ""airy-age-gate-year""&gt; &lt;option value = ""2019""&gt; "&amp;"2019 &lt;/ option&gt; &lt; option value = ""2018""&gt; 2018 &lt;/ option&gt; &lt;option value = ""2017""&gt; 2017 &lt;/ option&gt; &lt;option value = ""2016""&gt; ​​2016 &lt;/ option&gt; &lt;option value = ""2015""&gt; 2015 &lt;/ option &gt; &lt;option value = ""2014""&gt; 2014 &lt;/ option&gt; &lt;option value = ""2013""&gt;"&amp;" 2013 &lt;/ option&gt; &lt;option value = ""2012""&gt; 2012 &lt;/ option&gt; &lt;option value = ""2011""&gt; 2011 &lt; / option&gt; &lt;option value = ""2010""&gt; 2010 &lt;/ option&gt; &lt;option value = ""2009""&gt; 2009 &lt;/ option&gt; &lt;option value = ""2008""&gt; 2008 &lt;/ option&gt; &lt;option value = ""2007""&gt; 2"&amp;"007 &lt;/ option&gt; &lt;option value = ""2006""&gt; 2006 &lt;/ option&gt; &lt;option value = ""2005""&gt; 2005 &lt;/ option&gt; &lt;option value = ""2004""&gt; 2004 &lt;/ option&gt; &lt;option value = ""2003 ""&gt; 2003 &lt;/ option&gt; &lt;option value ="" 2002 ""&gt; 2002 &lt;/ option&gt; &lt;option value ="" 2001 ""&gt; 2"&amp;"001 &lt;/ option&gt; &lt;option value ="" 2000 ""&gt; 2000 &lt;/ option&gt; &lt;option value = ""1999""&gt; 1999 &lt;/ option&gt; &lt;option value = ""1998""&gt; 1998 &lt;/ option&gt; &lt;option value = ""1997""&gt; 1997 &lt;/ option&gt; &lt;option value = ""1996""&gt; 1996 &lt;/ option&gt; &lt;option value = ""1995""&gt; 199"&amp;"5 &lt;/ option&gt; &lt;option value = ""1994""&gt; 1994 &lt;/ option&gt; &lt;option value = ""1993""&gt; 1993 &lt;/ option&gt; &lt;option value = ""1992""&gt; 1992 &lt;/ option&gt; &lt;option value = ""1991""&gt; 1991 &lt;/ option&gt; &lt;option value = ""1990""&gt; 1990 &lt;/ option&gt; &lt;option value = "" 1989 ""&gt; 1989"&amp;" &lt;/ option&gt; &lt;option value ="" 1988 ""&gt; 1988 &lt;/ option&gt; &lt;option value ="" 1987 ""&gt; 1987 &lt;/ option&gt; &lt;option value ="" 1986 ""&gt; 1986 &lt;/ option&gt; &lt;option value = ""1985""&gt; 1985 &lt;/ option&gt; &lt;option value = ""1984""&gt; 1984 &lt;/ option&gt; &lt;option value = ""1983""&gt; 1983"&amp;" &lt;/ option&gt; &lt;option value = ""1982""&gt; 1982 &lt;/ option&gt; &lt; option value = ""1981""&gt; 1981 &lt;/ option&gt; &lt;option value = ""1980""&gt; 1980 &lt;/ option&gt; &lt;option value = ""1979""&gt; 1979 &lt;/ option&gt; &lt;option value = ""1978""&gt; 1978 &lt;/ option &gt; &lt;option value = ""1977""&gt; 1977 "&amp;"&lt;/ option&gt; &lt;option value = ""1976""&gt; 1976 &lt;/ option&gt; &lt;option value = ""1975""&gt; 1975 &lt;/ option&gt; &lt;option value = ""1974""&gt; 1974 &lt; / option&gt; &lt;option value = ""1973""&gt; 1973 &lt;/ option&gt; &lt;option value = ""1972""&gt; 1972 &lt;/ option&gt; &lt;option value = ""1971""&gt; 1971 &lt;/"&amp;" option&gt; &lt;option value = ""1970""&gt; 1970 &lt;/ option&gt; &lt;option value = ""1969""&gt; 1969 &lt;/ option&gt; &lt;option value = ""1968""&gt; 1968 &lt;/ option&gt; &lt;option value = ""1967""&gt; 1967 &lt;/ option&gt; &lt;option value = ""1966 ""&gt; 1966 &lt;/ option&gt; &lt;option value ="" 1965 ""&gt; 1965 &lt;/ "&amp;"option&gt; &lt;option value ="" 1964 ""&gt; 1964 &lt;/ option&gt; &lt;option value ="" 1963 ""&gt; 1963 &lt;/ option&gt; &lt;option value = ""1962""&gt; 1962 &lt;/ option&gt; &lt;option value = ""1961""&gt; 1961 &lt;/ option&gt; &lt;option value = ""1960""&gt; 1960 &lt;/ op tion&gt; &lt;option value = ""1959""&gt; 1959 &lt;/ "&amp;"option&gt; &lt;option value = ""1958""&gt; 1958 &lt;/ option&gt; &lt;option value = ""1957""&gt; 1957 &lt;/ option&gt; &lt;option value = ""1956""&gt; 1956 &lt;/ option&gt; &lt;option value = ""1955""&gt; 1955 &lt;/ option&gt; &lt;option value = ""1954""&gt; 1954 &lt;/ option&gt; &lt;option value = ""1953""&gt; 1953 &lt;/ opt"&amp;"ion&gt; &lt;option value = ""1952"" &gt; 1952 &lt;/ option&gt; &lt;option value = ""1951""&gt; 1951 &lt;/ option&gt; &lt;option value = ""1950""&gt; 1950 &lt;/ option&gt; &lt;option value = ""1949""&gt; 1949 &lt;/ option&gt; &lt;option value = "" 1948 ""&gt; 1948 &lt;/ option&gt; &lt;option value ="" 1947 ""&gt; 1947 &lt;/ op"&amp;"tion&gt; &lt;option value ="" 1946 ""&gt; 1946 &lt;/ option&gt; &lt;option value ="" 1945 ""&gt; 1945 &lt;/ option&gt; &lt;option value = ""1944""&gt; 1944 &lt;/ option&gt; &lt;option value = ""1943""&gt; 1943 &lt;/ option&gt; &lt;option value = ""1942""&gt; 1942 &lt;/ option&gt; &lt;option value = ""1941""&gt; 1941 &lt;/ opt"&amp;"ion&gt; &lt; option value = ""1940""&gt; 1940 &lt;/ option&gt; &lt;option value = ""1939""&gt; 1939 &lt;/ option&gt; &lt;option value = ""1938""&gt; 1938 &lt;/ option&gt; &lt;option value = ""1937""&gt; 1937 &lt;/ option &gt; &lt;option value = ""1936""&gt; 1936 &lt;/ option&gt; &lt;option value = ""1935""&gt; 1935 &lt;/ opti"&amp;"on&gt; &lt;option value = ""1934""&gt; 1934 &lt;/ option&gt; &lt;option value = ""1933""&gt; 1933 &lt; / option&gt; &lt;option value = ""1932""&gt; 1932 &lt;/ option&gt; &lt;option value = ""1931""&gt; 1931 &lt;/ option&gt; &lt;option v alue = ""1930""&gt; 1930 &lt;/ option&gt; &lt;option value = ""1929""&gt; 1929 &lt;/ optio"&amp;"n&gt; &lt;option value = ""1928""&gt; 1928 &lt;/ option&gt; &lt;option value = ""1927""&gt; 1927 &lt;/ option&gt; &lt;option value = ""1926""&gt; 1926 &lt;/ option&gt; &lt;option value = ""1925""&gt; 1925 &lt;/ option&gt; &lt;option value = ""1924""&gt; 1924 &lt;/ option&gt; &lt;option value = ""1923""&gt; 1923 &lt;/ option&gt; "&amp;"&lt;option value = ""1922""&gt; 1922 &lt;/ option&gt; &lt;option value = ""1921""&gt; 1921 &lt;/ option&gt; &lt;option value = ""1920""&gt; 1920 &lt;/ option&gt; &lt;option value = ""1919""&gt; 1919 &lt;/ option&gt; &lt;option value = ""1918""&gt; 1918 &lt;/ option&gt; &lt;option value = ""1917""&gt; 1917 &lt;/ option&gt; &lt;op"&amp;"tion value = ""1916""&gt; 1916 &lt;/ option&gt; &lt;option value = ""1915"" &gt; 1915 &lt;/ option&gt; &lt;option value = ""1914""&gt; 1914 &lt;/ option&gt; &lt;option value = ""1913""&gt; 1913 &lt;/ option&gt; &lt;option value = ""1912""&gt; 1912 &lt;/ option&gt; &lt;option value = "" 1911 ""&gt; 1911 &lt;/ option&gt; &lt;op"&amp;"tion value ="" 1910 ""&gt; 1910 &lt;/ option&gt; &lt;option value ="" 1909 ""&gt; 1909 &lt;/ option&gt; &lt;option value ="" 1908 ""&gt; 1908 &lt;/ option&gt; &lt;option value = ""1907""&gt; 1907 &lt;/ option&gt; &lt;option value = ""1906""&gt; 1906 &lt;/ option&gt; &lt;option value = ""1905""&gt; 1905 &lt;/ option&gt; &lt;op"&amp;"tion value = ""1904""&gt; 1904 &lt;/ option&gt; &lt; option value = ""1903""&gt; 1903 &lt;/ option&gt; &lt;option value = ""1902""&gt; 1902 &lt;/ option&gt; &lt;option value = ""1901""&gt; 19 01 &lt;/ option&gt; &lt;option value = ""1900""&gt; 1900 &lt;/ option&gt; &lt;/ select&gt; &lt;div tabindex = ""- 1"" class = ""a"&amp;"iry-age-gate-submit airy-submit-button airy airy-submit- disabled ""&gt; Submit &lt;/ div&gt; &lt;/ div&gt; &lt;/ div&gt; &lt;/ div&gt; &lt;/ div&gt; &lt;/ div&gt; &lt;div tabindex ="" - 1 ""class ="" airy-install-flash-dialog airy-course airy -Vertical-centering-table dialog airy-airy-denied ""s"&amp;"tyle ="" opacity: 0; visibility: hidden; ""&gt; &lt;div tabindex ="" - 1 ""class ="" airy-install-flash-vertical-centering-table-cell airy-vertical-centering-table-cell ""&gt; &lt;div tabindex ="" - 1 ""class = ""airy-vertical-centering-wrapper airy-install-flash-ele"&amp;"ments-wrapper""&gt; &lt;div tabindex = ""- 1"" class = ""airy-install-flash-elements airy-dialog-elements""&gt; &lt;div tabindex = "" -1 ""class ="" airy-install-flash-prompt ""&gt; Adobe Flash Player is required to watch this video &lt;/ div&gt; &lt;div = tabindex."" - 1 ""clas"&amp;"s ="" airy-install-flash-button-wrapper airy -dialog-inner-elements ""&gt; &lt;div tabindex ="" - 1 ""class ="" airy-install-flash-button airy-button ""&gt; install Flash Player &lt;/ div&gt; &lt;/ div&gt; &lt;/ div&gt; &lt;/ div&gt; &lt;/ div&gt; &lt;/ div&gt; &lt;div tabindex = ""- 1"" class = ""airy"&amp;"-video-unsupported-dialog airy-course airy-vertical-centering table-airy-dialog airy-denied"" style = ""opacity: 0; visibility: hidden; ""&gt; &lt;div tabindex ="" - 1 ""class ="" airy-video-unsupported-vertical-centering-table-cell airy-vertical-centering-tabl"&amp;"e-cell ""&gt; &lt;div tabindex ="" - 1 ""class = ""airy-vertical-centering-wrapper airy-video-unsupported-elements-wrapper""&gt; &lt;div tabindex = ""- 1"" class = ""airy-video-unsupported-elements airy-dialog-elements""&gt; &lt;div tabindex = "" -1 ""class ="" airy-video-"&amp;"unsupported-prompt ""&gt; &lt;/ div&gt; &lt;/ div&gt; &lt;/ div&gt; &lt;/ div&gt; &lt;/ div&gt; &lt;div tabindex ="" - 1 ""class ="" airy-loading- spinner-stage airy-stage ""&gt; &lt;div tabindex ="" - 1 ""class ="" airy-loading-spinner-vertical-centering-table-cell airy-vertical-centering-table-"&amp;"cell ""&gt; &lt;div tabindex ="" - 1 ""class ="" airy-loading-spinner container airy-scalable-hint-container ""&gt; &lt;div tabindex ="" - 1 ""class ="" airy-loading-spinner-dummy airy-scalable-dummy ""&gt; &lt;/ div&gt; &lt; div tabindex = ""- 1"" class = ""airy-loading-spinner"&amp;" airy-hint"" style = ""visibility: hidden;""&gt; &lt;/ div&gt; &lt;/ div&gt; &lt;/ div&gt; &lt;/ div&gt; &lt;div tabindex = ""- 1 ""class ="" airy-ads-screen-size-toggle airy-screen-size-toggle airy-fullscreen ""style ="" visibility: hidden; ""&gt; &lt;/ div&gt; &lt;div tabindex = ""-1"" class = "&amp;"""airy-ad-prompt-container"" style = ""visibility: hidden;""&gt; &lt;div tabindex = ""- 1"" class = ""airy-ad-prompt-vertical-centering table-airy-vertical- centering-table ""&gt; &lt;div tabindex ="" - 1 ""class ="" airy-ad-prompt-vertical-centering-table-cell airy-"&amp;"vertical-centering-table-cell ""&gt; &lt;div tabindex ="" - 1 ""class = ""airy-ad-prompt-label""&gt; &lt;/ div&gt; &lt;/ div&gt; &lt;/ div&gt; &lt;/ div&gt; &lt;div tabindex = ""- 1"" class = ""airy-ads-controls-container"" style = ""visibility: hidden; ""&gt; &lt;div tabindex ="" - 1 ""class ="""&amp;" airy-ads-audio-toggle airy-audio-toggle airy-on ""style ="" visibility: hidden; ""&gt; &lt;/ div&gt; &lt;div tabindex ="" - 1 ""class ="" airy-time-remaining-label-container ""&gt; &lt;div tabindex ="" - 1 ""class ="" airy-time-remaining-vertical-centering table-airy-vert"&amp;"ical-centering-table ""&gt; &lt;div tabindex = ""- 1"" class = ""airy-time-remaining-vertical-centering-table-cell airy-vertical-centering-table-cell""&gt; &lt;div tabindex = ""- 1"" class = ""airy-vertical-centering-wrapper airy-time-remaining-label-wrapper ""&gt; &lt;div"&amp;" tabindex ="" - 1 ""class ="" airy-time-remaining-label ""style ="" visibility: hidden; ""&gt; &lt;/ div&gt; &lt;div tabi ndex = ""- 1"" class = ""airy-ad-skip"" style = ""visibility: hidden;""&gt; &lt;/ div&gt; &lt;div tabindex = ""- 1"" class = ""airy-ad-end"" style = ""visibi"&amp;"lity: hidden; ""&gt; &lt;/ div&gt; &lt;/ div&gt; &lt;/ div&gt; &lt;/ div&gt; &lt;/ div&gt; &lt;div tabindex ="" - 1 ""class ="" airy-learn-more ""style ="" visibility: hidden; ""&gt; &lt;/ div&gt; &lt;/ div&gt; &lt;div tabindex = ""- 1"" class = ""airy-play-toggle-hint-stage airy-course airy-cursor""&gt; &lt;div t"&amp;"abindex = ""- 1"" class = ""airy-play -toggle-hint-vertical-centering-table-cell airy-vertical-centering-table-cell airy-cursor ""&gt; &lt;div tabindex ="" - 1 ""class ="" airy-play-toggle-hint-container airy-scalable- hint-container ""&gt; &lt;div tabindex ="" - 1 "&amp;"""class ="" airy-play-toggle-hint-dummy airy-scalable-dummy ""&gt; &lt;/ div&gt; &lt;div tabindex ="" - 1 ""class ="" airy-play -toggle airy-hint-hint-hint airy-play ""style ="" opacity: 1; visibility: visible; ""&gt; &lt;/ div&gt; &lt;/ div&gt; &lt;/ div&gt; &lt;/ div&gt; &lt;div tabindex ="" - "&amp;"1 ""class ="" airy-replay-hint-stage airy-stage ""style ="" visibility: hidden ; ""&gt; &lt;div tabindex ="" - 1 ""class ="" airy-replay-hint-vertical-centering-table-cell airy-vertical-centering-table-cell airy-cursor ""&gt; &lt;div tabindex ="" - 1 ""class = ""airy"&amp;"-replay-hint-container airy-scalable-hint-container""&gt; &lt;div tabindex = ""- 1"" class = ""airy-replay-hint-dummy airy-scalable-dummy""&gt; &lt;/ div&gt; &lt;div tabindex = ""- 1"" class = ""airy-replay-hint airy-hint""&gt; &lt;/ div&gt; &lt;/ div&gt; &lt;/ div&gt; &lt;/ div&gt; &lt;div tabindex = "&amp;"""- 1"" class = ""airy-autoplay-hint -stage airy-stage ""style ="" visibility: hidden; ""&gt; &lt;div tabindex ="" - 1 ""class ="" airy-autoplay-hint-vertical-centering-table-cell airy-vertical-centering-table-cell airy- cursor ""&gt; &lt;div tabindex ="" - 1 ""class"&amp;" ="" autoplay airy-airy-hint-container-scalable-hint-container ""&gt; &lt;div tabindex ="" - 1 ""class ="" airy-autoplay-hint-dummy airy- scalable-dummy ""&gt; &lt;/ div&gt; &lt;/ div&gt; &lt;/ div&gt; &lt;/ div&gt; &lt;/ div&gt; &lt;/ div&gt; &lt;input type ="" hidden ""name ="" ""value ="" https: // "&amp;"pictures-eu .ssl-image amazon.com / images / I / B1RrsrftL3S.mp4 ""Class ="" video-url ""&gt; &lt;input type ="" hidden ""name ="" ""value ="" https://images-eu.ssl-images-amazon.com/images/I/81q+HKoNCZS.png ""class = ""video-slate-img-url""&gt; &amp; nbsp; This &amp; nbs"&amp;"p; laminator &amp; nbsp; automatic is very easy to use. &amp; nbsp; Tested &amp; nbsp; a3 &amp; nbsp; for &amp; nbsp; a4, no problems! ! Very compact &amp; nbsp; not quickly Heater too noisy and works nickel. &amp; Nbsp;. &amp; Nbsp I recommended;")</f>
        <v>Nickel &lt;div id = "video-block-R13XIF8UMYDK9Y" class = "a-section-spacing-small in-spacing-top mini video-block"&gt; &lt;div tabindex = "0" class = "airy airy-svg vmin -unsupported airy-skin-beacon "style =" background-color: rgb (0, 0, 0); position: relative; width: 100%; height: 100%; font-size: 0px; overflow: hidden; outline: none; "&gt; &lt;div class =" airy-renderer-container "style =" position: relative; height: 100%; width: 100%; "&gt; &lt;video id =" 7 "preload =" auto "src =" https : //images-eu.ssl-images-amazon.com/images/I/B1RrsrftL3S.mp4 "style =" position: absolute; left: 0px; top: 0px; overflow: hidden; height: 1px; width: 1px; "&gt; &lt;/ video&gt; &lt;/ div&gt; &lt;div id =" airy-slate-preload "style =" background-color: rgb (0, 0, 0); background-image: url (&amp; quot; https: // pictures -eu.ssl-images-amazon.com/images/I/81q+HKoNCZS.png&amp;quot;); background-size: contain; background-position: center center; background-repeat: no-repeat; position: absolute; top: 0px; left: 0px; visibility: visible; width: 100%; height: 100% "&gt; &lt;/ div&gt; &lt;iframe scrolling =" no "fra 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0:28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airy-progress-bar "style =" width: 10.1732%; "&gt; &lt;/ div&gt; &lt;div tabindex =" - 1 "class =" airy-scrubber 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B1RrsrftL3S.mp4 "Class =" video-url "&gt; &lt;input type =" hidden "name =" "value =" https://images-eu.ssl-images-amazon.com/images/I/81q+HKoNCZS.png "class = "video-slate-img-url"&gt; &amp; nbsp; This &amp; nbsp; laminator &amp; nbsp; automatic is very easy to use. &amp; nbsp; Tested &amp; nbsp; a3 &amp; nbsp; for &amp; nbsp; a4, no problems! ! Very compact &amp; nbsp; not quickly Heater too noisy and works nickel. &amp; Nbsp;. &amp; Nbsp I recommended;</v>
      </c>
    </row>
    <row r="8208">
      <c r="A8208" s="1">
        <v>5.0</v>
      </c>
      <c r="B8208" s="1" t="s">
        <v>8089</v>
      </c>
      <c r="C8208" t="str">
        <f>IFERROR(__xludf.DUMMYFUNCTION("GOOGLETRANSLATE(B8208, ""fr"", ""en"")"),"A perfect cheap microphone that works very well, my son is on YouTube is thrilled !!! It works very well done its pro wonderfully!")</f>
        <v>A perfect cheap microphone that works very well, my son is on YouTube is thrilled !!! It works very well done its pro wonderfully!</v>
      </c>
    </row>
    <row r="8209">
      <c r="A8209" s="1">
        <v>5.0</v>
      </c>
      <c r="B8209" s="1" t="s">
        <v>8090</v>
      </c>
      <c r="C8209" t="str">
        <f>IFERROR(__xludf.DUMMYFUNCTION("GOOGLETRANSLATE(B8209, ""fr"", ""en"")"),"Very satisfied! A beautiful cut. Both simple and light and pleasant to élégant.C'est porter.Souple, comfortable and respirant.Taille parfaite.Taille correctement.Je highly recommend!")</f>
        <v>Very satisfied! A beautiful cut. Both simple and light and pleasant to élégant.C'est porter.Souple, comfortable and respirant.Taille parfaite.Taille correctement.Je highly recommend!</v>
      </c>
    </row>
    <row r="8210">
      <c r="A8210" s="1">
        <v>5.0</v>
      </c>
      <c r="B8210" s="1" t="s">
        <v>8091</v>
      </c>
      <c r="C8210" t="str">
        <f>IFERROR(__xludf.DUMMYFUNCTION("GOOGLETRANSLATE(B8210, ""fr"", ""en"")"),"Perfect as the most high socks Very beautiful multicolored socks as I like. fast free delivery")</f>
        <v>Perfect as the most high socks Very beautiful multicolored socks as I like. fast free delivery</v>
      </c>
    </row>
    <row r="8211">
      <c r="A8211" s="1">
        <v>5.0</v>
      </c>
      <c r="B8211" s="1" t="s">
        <v>8092</v>
      </c>
      <c r="C8211" t="str">
        <f>IFERROR(__xludf.DUMMYFUNCTION("GOOGLETRANSLATE(B8211, ""fr"", ""en"")"),"Lightweight but Perfect for even a chest 95 D. Do not argue but for the summer under a top, no problem.")</f>
        <v>Lightweight but Perfect for even a chest 95 D. Do not argue but for the summer under a top, no problem.</v>
      </c>
    </row>
    <row r="8212">
      <c r="A8212" s="1">
        <v>5.0</v>
      </c>
      <c r="B8212" s="1" t="s">
        <v>8093</v>
      </c>
      <c r="C8212" t="str">
        <f>IFERROR(__xludf.DUMMYFUNCTION("GOOGLETRANSLATE(B8212, ""fr"", ""en"")"),"beautiful silver Creole My daughter is thrilled to wear a silver shining, discreet and at the same time I reflect on sparkling take a pair for me! Thank you")</f>
        <v>beautiful silver Creole My daughter is thrilled to wear a silver shining, discreet and at the same time I reflect on sparkling take a pair for me! Thank you</v>
      </c>
    </row>
    <row r="8213">
      <c r="A8213" s="1">
        <v>5.0</v>
      </c>
      <c r="B8213" s="1" t="s">
        <v>8094</v>
      </c>
      <c r="C8213" t="str">
        <f>IFERROR(__xludf.DUMMYFUNCTION("GOOGLETRANSLATE(B8213, ""fr"", ""en"")"),"Sami Very good book. Perfect for children's learning")</f>
        <v>Sami Very good book. Perfect for children's learning</v>
      </c>
    </row>
    <row r="8214">
      <c r="A8214" s="1">
        <v>5.0</v>
      </c>
      <c r="B8214" s="1" t="s">
        <v>8095</v>
      </c>
      <c r="C8214" t="str">
        <f>IFERROR(__xludf.DUMMYFUNCTION("GOOGLETRANSLATE(B8214, ""fr"", ""en"")"),"Sweat perfect Champion! The Gray Champion sweatshirt size S perfectly match the photos and description; its material is of very good quality and the cut is properly adjusted for size S. Very nice product, recommend!")</f>
        <v>Sweat perfect Champion! The Gray Champion sweatshirt size S perfectly match the photos and description; its material is of very good quality and the cut is properly adjusted for size S. Very nice product, recommend!</v>
      </c>
    </row>
    <row r="8215">
      <c r="A8215" s="1">
        <v>5.0</v>
      </c>
      <c r="B8215" s="1" t="s">
        <v>8096</v>
      </c>
      <c r="C8215" t="str">
        <f>IFERROR(__xludf.DUMMYFUNCTION("GOOGLETRANSLATE(B8215, ""fr"", ""en"")"),"Products compliant Festina remains a very good quality fast supplier and carefully stored in its original boxes")</f>
        <v>Products compliant Festina remains a very good quality fast supplier and carefully stored in its original boxes</v>
      </c>
    </row>
    <row r="8216">
      <c r="A8216" s="1">
        <v>5.0</v>
      </c>
      <c r="B8216" s="1" t="s">
        <v>8097</v>
      </c>
      <c r="C8216" t="str">
        <f>IFERROR(__xludf.DUMMYFUNCTION("GOOGLETRANSLATE(B8216, ""fr"", ""en"")"),"Very comfortable Very comfortable ... This is surely due to the spandex. I bought them for golf in the summer. I just play a game, they are made to forget ... not warm to the feet. This is the goal. In addition, the price is very soft. I still have to see"&amp;", use, how fast they wear out. For now, it's positive.")</f>
        <v>Very comfortable Very comfortable ... This is surely due to the spandex. I bought them for golf in the summer. I just play a game, they are made to forget ... not warm to the feet. This is the goal. In addition, the price is very soft. I still have to see, use, how fast they wear out. For now, it's positive.</v>
      </c>
    </row>
    <row r="8217">
      <c r="A8217" s="1">
        <v>5.0</v>
      </c>
      <c r="B8217" s="1" t="s">
        <v>8098</v>
      </c>
      <c r="C8217" t="str">
        <f>IFERROR(__xludf.DUMMYFUNCTION("GOOGLETRANSLATE(B8217, ""fr"", ""en"")"),"Perfect I definitely want to but she was certain site was 150th. And I have to find a 100th I have no hesitation and are super comfortable top trend .. Order of September 29 received October 3")</f>
        <v>Perfect I definitely want to but she was certain site was 150th. And I have to find a 100th I have no hesitation and are super comfortable top trend .. Order of September 29 received October 3</v>
      </c>
    </row>
    <row r="8218">
      <c r="A8218" s="1">
        <v>5.0</v>
      </c>
      <c r="B8218" s="1" t="s">
        <v>8099</v>
      </c>
      <c r="C8218" t="str">
        <f>IFERROR(__xludf.DUMMYFUNCTION("GOOGLETRANSLATE(B8218, ""fr"", ""en"")"),"Maintaining Perfect is perfect exceptionnel..alternative between bra and bra")</f>
        <v>Maintaining Perfect is perfect exceptionnel..alternative between bra and bra</v>
      </c>
    </row>
    <row r="8219">
      <c r="A8219" s="1">
        <v>5.0</v>
      </c>
      <c r="B8219" s="1" t="s">
        <v>8100</v>
      </c>
      <c r="C8219" t="str">
        <f>IFERROR(__xludf.DUMMYFUNCTION("GOOGLETRANSLATE(B8219, ""fr"", ""en"")"),"Perfect I bought this for my diffuser studio of 20 m2 is ideal. Easy to use: remove the top to the water, essential oil, one branch. Then you choose the time 1h or 3h 6h. The plus is the light that can be chosen either by rotating fashion or unisue. The w"&amp;"ood and very realistic effect. Basically very satisfied")</f>
        <v>Perfect I bought this for my diffuser studio of 20 m2 is ideal. Easy to use: remove the top to the water, essential oil, one branch. Then you choose the time 1h or 3h 6h. The plus is the light that can be chosen either by rotating fashion or unisue. The wood and very realistic effect. Basically very satisfied</v>
      </c>
    </row>
    <row r="8220">
      <c r="A8220" s="1">
        <v>5.0</v>
      </c>
      <c r="B8220" s="1" t="s">
        <v>8101</v>
      </c>
      <c r="C8220" t="str">
        <f>IFERROR(__xludf.DUMMYFUNCTION("GOOGLETRANSLATE(B8220, ""fr"", ""en"")"),"Perfect ! Funnily surprised by this package, well packed, small pouch offered, impeccable. I am more than happy with my purchases. I recommand it!")</f>
        <v>Perfect ! Funnily surprised by this package, well packed, small pouch offered, impeccable. I am more than happy with my purchases. I recommand it!</v>
      </c>
    </row>
    <row r="8221">
      <c r="A8221" s="1">
        <v>5.0</v>
      </c>
      <c r="B8221" s="1" t="s">
        <v>8102</v>
      </c>
      <c r="C8221" t="str">
        <f>IFERROR(__xludf.DUMMYFUNCTION("GOOGLETRANSLATE(B8221, ""fr"", ""en"")"),"Beautiful sweet patterns are discrete and really cute. The central pocket is convenient to put it a smartphone, handkerchiefs or other small treasures failing to put his favorite kitty (that of my daughter weighs 7kg!)")</f>
        <v>Beautiful sweet patterns are discrete and really cute. The central pocket is convenient to put it a smartphone, handkerchiefs or other small treasures failing to put his favorite kitty (that of my daughter weighs 7kg!)</v>
      </c>
    </row>
    <row r="8222">
      <c r="A8222" s="1">
        <v>2.0</v>
      </c>
      <c r="B8222" s="1" t="s">
        <v>8103</v>
      </c>
      <c r="C8222" t="str">
        <f>IFERROR(__xludf.DUMMYFUNCTION("GOOGLETRANSLATE(B8222, ""fr"", ""en"")"),"Disappointed .. Sweat poor quality, the material is not pleasant to the touch, I do not recommend it at all. Two stars for delivery that was more than fast.")</f>
        <v>Disappointed .. Sweat poor quality, the material is not pleasant to the touch, I do not recommend it at all. Two stars for delivery that was more than fast.</v>
      </c>
    </row>
    <row r="8223">
      <c r="A8223" s="1">
        <v>1.0</v>
      </c>
      <c r="B8223" s="1" t="s">
        <v>8104</v>
      </c>
      <c r="C8223" t="str">
        <f>IFERROR(__xludf.DUMMYFUNCTION("GOOGLETRANSLATE(B8223, ""fr"", ""en"")"),"Do not recommend the product does not recommend the product as well as cut as expected and consistent with the picture after multiple washing I maintained contact with an allergy to pull this off yet I am no stranger to the brand as what one can always be"&amp;" disappointed and do not know with what clothes are treated .....")</f>
        <v>Do not recommend the product does not recommend the product as well as cut as expected and consistent with the picture after multiple washing I maintained contact with an allergy to pull this off yet I am no stranger to the brand as what one can always be disappointed and do not know with what clothes are treated .....</v>
      </c>
    </row>
    <row r="8224">
      <c r="A8224" s="1">
        <v>1.0</v>
      </c>
      <c r="B8224" s="1" t="s">
        <v>8105</v>
      </c>
      <c r="C8224" t="str">
        <f>IFERROR(__xludf.DUMMYFUNCTION("GOOGLETRANSLATE(B8224, ""fr"", ""en"")"),"I am really very disappointed deçue, they are not silver I ordered 3 pairs to offer because I have seen the good comments and photos, by cons are not like the pictures with zirconium stone or in silver (no indication 925) and I received in small bags with"&amp;"out boxes, and these are plastic stones that are poorly bonded to the earrings.")</f>
        <v>I am really very disappointed deçue, they are not silver I ordered 3 pairs to offer because I have seen the good comments and photos, by cons are not like the pictures with zirconium stone or in silver (no indication 925) and I received in small bags without boxes, and these are plastic stones that are poorly bonded to the earrings.</v>
      </c>
    </row>
    <row r="8225">
      <c r="A8225" s="1">
        <v>3.0</v>
      </c>
      <c r="B8225" s="1" t="s">
        <v>8106</v>
      </c>
      <c r="C8225" t="str">
        <f>IFERROR(__xludf.DUMMYFUNCTION("GOOGLETRANSLATE(B8225, ""fr"", ""en"")"),"Error While size, but I did not get the right size. Pity. Good quality malgres that. The white faded quickly wash has advised hand.")</f>
        <v>Error While size, but I did not get the right size. Pity. Good quality malgres that. The white faded quickly wash has advised hand.</v>
      </c>
    </row>
    <row r="8226">
      <c r="A8226" s="1">
        <v>3.0</v>
      </c>
      <c r="B8226" s="1" t="s">
        <v>8107</v>
      </c>
      <c r="C8226" t="str">
        <f>IFERROR(__xludf.DUMMYFUNCTION("GOOGLETRANSLATE(B8226, ""fr"", ""en"")"),"From the steel that are very well done oxide job, the food stayed hot or cold very long time. Problem after 15 days outside use already oxide that will become the inside")</f>
        <v>From the steel that are very well done oxide job, the food stayed hot or cold very long time. Problem after 15 days outside use already oxide that will become the inside</v>
      </c>
    </row>
    <row r="8227">
      <c r="A8227" s="1">
        <v>4.0</v>
      </c>
      <c r="B8227" s="1" t="s">
        <v>8108</v>
      </c>
      <c r="C8227" t="str">
        <f>IFERROR(__xludf.DUMMYFUNCTION("GOOGLETRANSLATE(B8227, ""fr"", ""en"")"),"Rolling paper ocb I am really happy for this item only downsides to each Foit as I order on the website is a box of 50 packets, and when I get my package I receive Carton 25 packets but its nothing to say")</f>
        <v>Rolling paper ocb I am really happy for this item only downsides to each Foit as I order on the website is a box of 50 packets, and when I get my package I receive Carton 25 packets but its nothing to say</v>
      </c>
    </row>
    <row r="8228">
      <c r="A8228" s="1">
        <v>4.0</v>
      </c>
      <c r="B8228" s="1" t="s">
        <v>8109</v>
      </c>
      <c r="C8228" t="str">
        <f>IFERROR(__xludf.DUMMYFUNCTION("GOOGLETRANSLATE(B8228, ""fr"", ""en"")"),"Super A single word I love")</f>
        <v>Super A single word I love</v>
      </c>
    </row>
    <row r="8229">
      <c r="A8229" s="1">
        <v>4.0</v>
      </c>
      <c r="B8229" s="1" t="s">
        <v>8110</v>
      </c>
      <c r="C8229" t="str">
        <f>IFERROR(__xludf.DUMMYFUNCTION("GOOGLETRANSLATE(B8229, ""fr"", ""en"")"),"These sneakers white sneakers are very nice and are super comfortable. I got many compliments.")</f>
        <v>These sneakers white sneakers are very nice and are super comfortable. I got many compliments.</v>
      </c>
    </row>
    <row r="8230">
      <c r="A8230" s="1">
        <v>4.0</v>
      </c>
      <c r="B8230" s="1" t="s">
        <v>8111</v>
      </c>
      <c r="C8230" t="str">
        <f>IFERROR(__xludf.DUMMYFUNCTION("GOOGLETRANSLATE(B8230, ""fr"", ""en"")"),"Mamie zozo My little son loved. Good time sharing")</f>
        <v>Mamie zozo My little son loved. Good time sharing</v>
      </c>
    </row>
    <row r="8231">
      <c r="A8231" s="1">
        <v>5.0</v>
      </c>
      <c r="B8231" s="1" t="s">
        <v>8112</v>
      </c>
      <c r="C8231" t="str">
        <f>IFERROR(__xludf.DUMMYFUNCTION("GOOGLETRANSLATE(B8231, ""fr"", ""en"")"),"awesome I bought liquid before but I much prefer the tablets works best clothes smell very good fresh is nickel")</f>
        <v>awesome I bought liquid before but I much prefer the tablets works best clothes smell very good fresh is nickel</v>
      </c>
    </row>
    <row r="8232">
      <c r="A8232" s="1">
        <v>5.0</v>
      </c>
      <c r="B8232" s="1" t="s">
        <v>8113</v>
      </c>
      <c r="C8232" t="str">
        <f>IFERROR(__xludf.DUMMYFUNCTION("GOOGLETRANSLATE(B8232, ""fr"", ""en"")"),"Perfect Very good sturdy and lightweight shoes that perfectly fulfill their role Personally I use it as part of the work (BTP)")</f>
        <v>Perfect Very good sturdy and lightweight shoes that perfectly fulfill their role Personally I use it as part of the work (BTP)</v>
      </c>
    </row>
    <row r="8233">
      <c r="A8233" s="1">
        <v>5.0</v>
      </c>
      <c r="B8233" s="1" t="s">
        <v>8114</v>
      </c>
      <c r="C8233" t="str">
        <f>IFERROR(__xludf.DUMMYFUNCTION("GOOGLETRANSLATE(B8233, ""fr"", ""en"")"),"great shows all terrain .casio great casio watch any land for any easy days to settle more time and date dial neon nikel jack")</f>
        <v>great shows all terrain .casio great casio watch any land for any easy days to settle more time and date dial neon nikel jack</v>
      </c>
    </row>
    <row r="8234">
      <c r="A8234" s="1">
        <v>5.0</v>
      </c>
      <c r="B8234" s="1" t="s">
        <v>8115</v>
      </c>
      <c r="C8234" t="str">
        <f>IFERROR(__xludf.DUMMYFUNCTION("GOOGLETRANSLATE(B8234, ""fr"", ""en"")"),"Great ! Purchased 13 €, nickel! Just take good shoe size shoes I indicated a 37/38 in France I took 39/40 EU as shown on all Havaianas")</f>
        <v>Great ! Purchased 13 €, nickel! Just take good shoe size shoes I indicated a 37/38 in France I took 39/40 EU as shown on all Havaianas</v>
      </c>
    </row>
    <row r="8235">
      <c r="A8235" s="1">
        <v>5.0</v>
      </c>
      <c r="B8235" s="1" t="s">
        <v>8116</v>
      </c>
      <c r="C8235" t="str">
        <f>IFERROR(__xludf.DUMMYFUNCTION("GOOGLETRANSLATE(B8235, ""fr"", ""en"")"),"Conforms unbeatable nickel unbeatable price SUPER")</f>
        <v>Conforms unbeatable nickel unbeatable price SUPER</v>
      </c>
    </row>
    <row r="8236">
      <c r="A8236" s="1">
        <v>5.0</v>
      </c>
      <c r="B8236" s="1" t="s">
        <v>8117</v>
      </c>
      <c r="C8236" t="str">
        <f>IFERROR(__xludf.DUMMYFUNCTION("GOOGLETRANSLATE(B8236, ""fr"", ""en"")"),"Need Ras school to say conforms to the compulsory school need")</f>
        <v>Need Ras school to say conforms to the compulsory school need</v>
      </c>
    </row>
    <row r="8237">
      <c r="A8237" s="1">
        <v>5.0</v>
      </c>
      <c r="B8237" s="1" t="s">
        <v>8118</v>
      </c>
      <c r="C8237" t="str">
        <f>IFERROR(__xludf.DUMMYFUNCTION("GOOGLETRANSLATE(B8237, ""fr"", ""en"")"),"Meets very nice photo Complies with the photo, but it is not true cultured pearl apparently")</f>
        <v>Meets very nice photo Complies with the photo, but it is not true cultured pearl apparently</v>
      </c>
    </row>
    <row r="8238">
      <c r="A8238" s="1">
        <v>5.0</v>
      </c>
      <c r="B8238" s="1" t="s">
        <v>8119</v>
      </c>
      <c r="C8238" t="str">
        <f>IFERROR(__xludf.DUMMYFUNCTION("GOOGLETRANSLATE(B8238, ""fr"", ""en"")"),"Very good product I recommend very good product I recommend")</f>
        <v>Very good product I recommend very good product I recommend</v>
      </c>
    </row>
    <row r="8239">
      <c r="A8239" s="1">
        <v>5.0</v>
      </c>
      <c r="B8239" s="1" t="s">
        <v>8120</v>
      </c>
      <c r="C8239" t="str">
        <f>IFERROR(__xludf.DUMMYFUNCTION("GOOGLETRANSLATE(B8239, ""fr"", ""en"")"),"The housing scratch for next time, thank you avoid scratching the housing containing the jewelry, its absolutely do not do. Here I put pk 04/05 stars.")</f>
        <v>The housing scratch for next time, thank you avoid scratching the housing containing the jewelry, its absolutely do not do. Here I put pk 04/05 stars.</v>
      </c>
    </row>
    <row r="8240">
      <c r="A8240" s="1">
        <v>5.0</v>
      </c>
      <c r="B8240" s="1" t="s">
        <v>8121</v>
      </c>
      <c r="C8240" t="str">
        <f>IFERROR(__xludf.DUMMYFUNCTION("GOOGLETRANSLATE(B8240, ""fr"", ""en"")"),"Stability and practicality and especially more dirty garbage smell Very happy with my purchase quite what I expected from this garbage medium that remains stable when the bag is filled ... perfect for a price quite attractive I recommended")</f>
        <v>Stability and practicality and especially more dirty garbage smell Very happy with my purchase quite what I expected from this garbage medium that remains stable when the bag is filled ... perfect for a price quite attractive I recommended</v>
      </c>
    </row>
    <row r="8241">
      <c r="A8241" s="1">
        <v>5.0</v>
      </c>
      <c r="B8241" s="1" t="s">
        <v>8122</v>
      </c>
      <c r="C8241" t="str">
        <f>IFERROR(__xludf.DUMMYFUNCTION("GOOGLETRANSLATE(B8241, ""fr"", ""en"")"),"Nickel Super First investment standard cable Home theater 0,75 replaced by this one, my reborn pregnant, top quality audio, no audible interference frequency, even very high volume makes its taf, attractive price")</f>
        <v>Nickel Super First investment standard cable Home theater 0,75 replaced by this one, my reborn pregnant, top quality audio, no audible interference frequency, even very high volume makes its taf, attractive price</v>
      </c>
    </row>
    <row r="8242">
      <c r="A8242" s="1">
        <v>5.0</v>
      </c>
      <c r="B8242" s="1" t="s">
        <v>8123</v>
      </c>
      <c r="C8242" t="str">
        <f>IFERROR(__xludf.DUMMYFUNCTION("GOOGLETRANSLATE(B8242, ""fr"", ""en"")"),"Very well. Super cable!")</f>
        <v>Very well. Super cable!</v>
      </c>
    </row>
    <row r="8243">
      <c r="A8243" s="1">
        <v>5.0</v>
      </c>
      <c r="B8243" s="1" t="s">
        <v>8124</v>
      </c>
      <c r="C8243" t="str">
        <f>IFERROR(__xludf.DUMMYFUNCTION("GOOGLETRANSLATE(B8243, ""fr"", ""en"")"),"Kettle Very happy with my purchases of used product Nikel com")</f>
        <v>Kettle Very happy with my purchases of used product Nikel com</v>
      </c>
    </row>
    <row r="8244">
      <c r="A8244" s="1">
        <v>5.0</v>
      </c>
      <c r="B8244" s="1" t="s">
        <v>8125</v>
      </c>
      <c r="C8244" t="str">
        <f>IFERROR(__xludf.DUMMYFUNCTION("GOOGLETRANSLATE(B8244, ""fr"", ""en"")"),"Boots Pretty thank you, the comfortable, warm rain I superPour people they always cold feet with his boots there remains warm my feet I'm size 38 39 I took it pretty well")</f>
        <v>Boots Pretty thank you, the comfortable, warm rain I superPour people they always cold feet with his boots there remains warm my feet I'm size 38 39 I took it pretty well</v>
      </c>
    </row>
    <row r="8245">
      <c r="A8245" s="1">
        <v>5.0</v>
      </c>
      <c r="B8245" s="1" t="s">
        <v>8126</v>
      </c>
      <c r="C8245" t="str">
        <f>IFERROR(__xludf.DUMMYFUNCTION("GOOGLETRANSLATE(B8245, ""fr"", ""en"")"),"Super Pretty little sneakers beautiful finishes very cool and comfortable I think re the order in black")</f>
        <v>Super Pretty little sneakers beautiful finishes very cool and comfortable I think re the order in black</v>
      </c>
    </row>
    <row r="8246">
      <c r="A8246" s="1">
        <v>2.0</v>
      </c>
      <c r="B8246" s="1" t="s">
        <v>8127</v>
      </c>
      <c r="C8246" t="str">
        <f>IFERROR(__xludf.DUMMYFUNCTION("GOOGLETRANSLATE(B8246, ""fr"", ""en"")"),"Ended badly !! Pants very badly done! Ripped at the crotch. Overcast defeated and dropped stitches. We had to take all the seams in the machine !! Too bad, because the color is rather beautiful.")</f>
        <v>Ended badly !! Pants very badly done! Ripped at the crotch. Overcast defeated and dropped stitches. We had to take all the seams in the machine !! Too bad, because the color is rather beautiful.</v>
      </c>
    </row>
    <row r="8247">
      <c r="A8247" s="1">
        <v>1.0</v>
      </c>
      <c r="B8247" s="1" t="s">
        <v>8128</v>
      </c>
      <c r="C8247" t="str">
        <f>IFERROR(__xludf.DUMMYFUNCTION("GOOGLETRANSLATE(B8247, ""fr"", ""en"")"),"Fortment recommended Certainly it is a size 42, but 36 in width. That sucks. Only my toes return it! I highly recommend")</f>
        <v>Fortment recommended Certainly it is a size 42, but 36 in width. That sucks. Only my toes return it! I highly recommend</v>
      </c>
    </row>
    <row r="8248">
      <c r="A8248" s="1">
        <v>1.0</v>
      </c>
      <c r="B8248" s="1" t="s">
        <v>8129</v>
      </c>
      <c r="C8248" t="str">
        <f>IFERROR(__xludf.DUMMYFUNCTION("GOOGLETRANSLATE(B8248, ""fr"", ""en"")"),"Headphones that do not take the time! I really wanted to wait some time before writing a review to make sure the longevity of these headphones. After 3-4 months of use, I am extremely disappointed! First, the foam earphones decompose quickly and are no lo"&amp;"nger usable after a few ports. I folded over those in basic plastic. Second, sometimes a complement of loose headphones and the sound skips without reason. Finally, the small plastic holder to change the sound is very strong. He no longer holds after 2 mo"&amp;"nths of use, opens (in suggesting the electronic circuits) and jump buttons which removes a lot of features, you will agree. The finding is that my headphones no longer resemble anything malfunctioning. I will make them ""survive"" by putting a piece of t"&amp;"ape to hold the component in platoque which allows adjustment of her and point me to another brand, no regrets.")</f>
        <v>Headphones that do not take the time! I really wanted to wait some time before writing a review to make sure the longevity of these headphones. After 3-4 months of use, I am extremely disappointed! First, the foam earphones decompose quickly and are no longer usable after a few ports. I folded over those in basic plastic. Second, sometimes a complement of loose headphones and the sound skips without reason. Finally, the small plastic holder to change the sound is very strong. He no longer holds after 2 months of use, opens (in suggesting the electronic circuits) and jump buttons which removes a lot of features, you will agree. The finding is that my headphones no longer resemble anything malfunctioning. I will make them "survive" by putting a piece of tape to hold the component in platoque which allows adjustment of her and point me to another brand, no regrets.</v>
      </c>
    </row>
    <row r="8249">
      <c r="A8249" s="1">
        <v>3.0</v>
      </c>
      <c r="B8249" s="1" t="s">
        <v>8130</v>
      </c>
      <c r="C8249" t="str">
        <f>IFERROR(__xludf.DUMMYFUNCTION("GOOGLETRANSLATE(B8249, ""fr"", ""en"")"),"Disappointed quality is poor considering the price")</f>
        <v>Disappointed quality is poor considering the price</v>
      </c>
    </row>
    <row r="8250">
      <c r="A8250" s="1">
        <v>4.0</v>
      </c>
      <c r="B8250" s="1" t="s">
        <v>8131</v>
      </c>
      <c r="C8250" t="str">
        <f>IFERROR(__xludf.DUMMYFUNCTION("GOOGLETRANSLATE(B8250, ""fr"", ""en"")"),"Comfortable and good product very nice product. But tend to be a little big. Very comfortable and good quality. Fabrics very strong.")</f>
        <v>Comfortable and good product very nice product. But tend to be a little big. Very comfortable and good quality. Fabrics very strong.</v>
      </c>
    </row>
    <row r="8251">
      <c r="A8251" s="1">
        <v>4.0</v>
      </c>
      <c r="B8251" s="1" t="s">
        <v>8132</v>
      </c>
      <c r="C8251" t="str">
        <f>IFERROR(__xludf.DUMMYFUNCTION("GOOGLETRANSLATE(B8251, ""fr"", ""en"")"),"Excellent value Tested this morning, very good quality, and sonneritée pafaite")</f>
        <v>Excellent value Tested this morning, very good quality, and sonneritée pafaite</v>
      </c>
    </row>
    <row r="8252">
      <c r="A8252" s="1">
        <v>4.0</v>
      </c>
      <c r="B8252" s="1" t="s">
        <v>8133</v>
      </c>
      <c r="C8252" t="str">
        <f>IFERROR(__xludf.DUMMYFUNCTION("GOOGLETRANSLATE(B8252, ""fr"", ""en"")"),"Good Good condition, consistent with the picture, beautiful men's watch. Very good price, happy with my purchase, I recommend")</f>
        <v>Good Good condition, consistent with the picture, beautiful men's watch. Very good price, happy with my purchase, I recommend</v>
      </c>
    </row>
    <row r="8253">
      <c r="A8253" s="1">
        <v>4.0</v>
      </c>
      <c r="B8253" s="1" t="s">
        <v>8134</v>
      </c>
      <c r="C8253" t="str">
        <f>IFERROR(__xludf.DUMMYFUNCTION("GOOGLETRANSLATE(B8253, ""fr"", ""en"")"),"good product not too expensive Good product. Light blue nice to see. Notice that in English")</f>
        <v>good product not too expensive Good product. Light blue nice to see. Notice that in English</v>
      </c>
    </row>
    <row r="8254">
      <c r="A8254" s="1">
        <v>5.0</v>
      </c>
      <c r="B8254" s="1" t="s">
        <v>8135</v>
      </c>
      <c r="C8254" t="str">
        <f>IFERROR(__xludf.DUMMYFUNCTION("GOOGLETRANSLATE(B8254, ""fr"", ""en"")"),"Not disappointed in the choice, then second order. There is the choice in colors for all tastes, almost. own making. Nothing to say. There are even add insoles. It secures the foot. I who have often sore feet, I made a few kilometers in comfort. I do not "&amp;"know if customers have different sizes than they ordered, I gained 43 and it is impeccable. I brought you some photos to give you a better idea on what happens with all that white and did a great reminder of the white shoes. Not disappointed so I placed a"&amp;" new order but in blue color. I attached some photos to give you an idea. I like to take pictures of what I buy, it may be useful for future clients. I do not know if you will be able to view photos in full, mobile sometimes not possible to see, too bad. "&amp;"I did pose for you with pleasure. If it was useful it is rewarding for me. ---- ---- the art of sharing")</f>
        <v>Not disappointed in the choice, then second order. There is the choice in colors for all tastes, almost. own making. Nothing to say. There are even add insoles. It secures the foot. I who have often sore feet, I made a few kilometers in comfort. I do not know if customers have different sizes than they ordered, I gained 43 and it is impeccable. I brought you some photos to give you a better idea on what happens with all that white and did a great reminder of the white shoes. Not disappointed so I placed a new order but in blue color. I attached some photos to give you an idea. I like to take pictures of what I buy, it may be useful for future clients. I do not know if you will be able to view photos in full, mobile sometimes not possible to see, too bad. I did pose for you with pleasure. If it was useful it is rewarding for me. ---- ---- the art of sharing</v>
      </c>
    </row>
    <row r="8255">
      <c r="A8255" s="1">
        <v>5.0</v>
      </c>
      <c r="B8255" s="1" t="s">
        <v>8136</v>
      </c>
      <c r="C8255" t="str">
        <f>IFERROR(__xludf.DUMMYFUNCTION("GOOGLETRANSLATE(B8255, ""fr"", ""en"")"),"light bag product purchase to put files, convenient and lightweight, it is worn with ease.")</f>
        <v>light bag product purchase to put files, convenient and lightweight, it is worn with ease.</v>
      </c>
    </row>
    <row r="8256">
      <c r="A8256" s="1">
        <v>5.0</v>
      </c>
      <c r="B8256" s="1" t="s">
        <v>8137</v>
      </c>
      <c r="C8256" t="str">
        <f>IFERROR(__xludf.DUMMYFUNCTION("GOOGLETRANSLATE(B8256, ""fr"", ""en"")"),"Beautiful and qualities Super! And beautiful! Bought for my son to his computer and do the electric guitar")</f>
        <v>Beautiful and qualities Super! And beautiful! Bought for my son to his computer and do the electric guitar</v>
      </c>
    </row>
    <row r="8257">
      <c r="A8257" s="1">
        <v>5.0</v>
      </c>
      <c r="B8257" s="1" t="s">
        <v>8138</v>
      </c>
      <c r="C8257" t="str">
        <f>IFERROR(__xludf.DUMMYFUNCTION("GOOGLETRANSLATE(B8257, ""fr"", ""en"")"),"Product conforms to the description I ordered this product to get rid of my helmet and I'm delighted connectivity headset is excellent, the design makes it fit perfectly in the ear, the autonomy of these headphones is quite reasonable and autonomy of the "&amp;"housing is largely sufficient even for trips of two three days")</f>
        <v>Product conforms to the description I ordered this product to get rid of my helmet and I'm delighted connectivity headset is excellent, the design makes it fit perfectly in the ear, the autonomy of these headphones is quite reasonable and autonomy of the housing is largely sufficient even for trips of two three days</v>
      </c>
    </row>
    <row r="8258">
      <c r="A8258" s="1">
        <v>5.0</v>
      </c>
      <c r="B8258" s="1" t="s">
        <v>8139</v>
      </c>
      <c r="C8258" t="str">
        <f>IFERROR(__xludf.DUMMYFUNCTION("GOOGLETRANSLATE(B8258, ""fr"", ""en"")"),"Pretty ~ This watch is pretty, it is well done, my boyfriend likes it, the quality is bonne.Je'll buy again for my brother ~")</f>
        <v>Pretty ~ This watch is pretty, it is well done, my boyfriend likes it, the quality is bonne.Je'll buy again for my brother ~</v>
      </c>
    </row>
    <row r="8259">
      <c r="A8259" s="1">
        <v>5.0</v>
      </c>
      <c r="B8259" s="1" t="s">
        <v>8140</v>
      </c>
      <c r="C8259" t="str">
        <f>IFERROR(__xludf.DUMMYFUNCTION("GOOGLETRANSLATE(B8259, ""fr"", ""en"")"),"Great sound! different tips easy to pair Wonderful !!! The case is super soft lol. Easy to pair with my samsung. Several tips and above can customize it with the fuzzy yellow stalks I love it! Y also has several tips in different sizes to fit our ears. An"&amp;"d especially its top is great!")</f>
        <v>Great sound! different tips easy to pair Wonderful !!! The case is super soft lol. Easy to pair with my samsung. Several tips and above can customize it with the fuzzy yellow stalks I love it! Y also has several tips in different sizes to fit our ears. And especially its top is great!</v>
      </c>
    </row>
    <row r="8260">
      <c r="A8260" s="1">
        <v>5.0</v>
      </c>
      <c r="B8260" s="1" t="s">
        <v>8141</v>
      </c>
      <c r="C8260" t="str">
        <f>IFERROR(__xludf.DUMMYFUNCTION("GOOGLETRANSLATE(B8260, ""fr"", ""en"")"),"Excellent I wanted with white scratch, I have found here, dealers in my town could have, my beautiful mother is happy as I am.")</f>
        <v>Excellent I wanted with white scratch, I have found here, dealers in my town could have, my beautiful mother is happy as I am.</v>
      </c>
    </row>
    <row r="8261">
      <c r="A8261" s="1">
        <v>5.0</v>
      </c>
      <c r="B8261" s="1" t="s">
        <v>8142</v>
      </c>
      <c r="C8261" t="str">
        <f>IFERROR(__xludf.DUMMYFUNCTION("GOOGLETRANSLATE(B8261, ""fr"", ""en"")"),"Ultra stylééé I love this essential oil diffuser, I gave my mother and then she is satisfied every time I go home I see walking ^^")</f>
        <v>Ultra stylééé I love this essential oil diffuser, I gave my mother and then she is satisfied every time I go home I see walking ^^</v>
      </c>
    </row>
    <row r="8262">
      <c r="A8262" s="1">
        <v>5.0</v>
      </c>
      <c r="B8262" s="1" t="s">
        <v>8143</v>
      </c>
      <c r="C8262" t="str">
        <f>IFERROR(__xludf.DUMMYFUNCTION("GOOGLETRANSLATE(B8262, ""fr"", ""en"")"),"Still magical! Blopens fan from the beginning, I can only be delighted with this set it. Box that turns into so lectern worktop ... A real plus for budding young artists. We can ask them felt and sequins in small places provided for not losing. Always the"&amp;" presence stencils to get a perfect picture The sequins are significant but do not forget to put glue before since it's the glitter powder. So do not be fooled by this small detail is forgotten easily caught in the momentum of the ""work""")</f>
        <v>Still magical! Blopens fan from the beginning, I can only be delighted with this set it. Box that turns into so lectern worktop ... A real plus for budding young artists. We can ask them felt and sequins in small places provided for not losing. Always the presence stencils to get a perfect picture The sequins are significant but do not forget to put glue before since it's the glitter powder. So do not be fooled by this small detail is forgotten easily caught in the momentum of the "work"</v>
      </c>
    </row>
    <row r="8263">
      <c r="A8263" s="1">
        <v>5.0</v>
      </c>
      <c r="B8263" s="1" t="s">
        <v>8144</v>
      </c>
      <c r="C8263" t="str">
        <f>IFERROR(__xludf.DUMMYFUNCTION("GOOGLETRANSLATE(B8263, ""fr"", ""en"")"),"Patch painkillers actually received parcels no problem for the product matches what I ordered thank you")</f>
        <v>Patch painkillers actually received parcels no problem for the product matches what I ordered thank you</v>
      </c>
    </row>
    <row r="8264">
      <c r="A8264" s="1">
        <v>5.0</v>
      </c>
      <c r="B8264" s="1" t="s">
        <v>8145</v>
      </c>
      <c r="C8264" t="str">
        <f>IFERROR(__xludf.DUMMYFUNCTION("GOOGLETRANSLATE(B8264, ""fr"", ""en"")"),"I love wonderful They SOMT")</f>
        <v>I love wonderful They SOMT</v>
      </c>
    </row>
    <row r="8265">
      <c r="A8265" s="1">
        <v>5.0</v>
      </c>
      <c r="B8265" s="1" t="s">
        <v>8146</v>
      </c>
      <c r="C8265" t="str">
        <f>IFERROR(__xludf.DUMMYFUNCTION("GOOGLETRANSLATE(B8265, ""fr"", ""en"")"),"Top!!!! Great product I recommend!")</f>
        <v>Top!!!! Great product I recommend!</v>
      </c>
    </row>
    <row r="8266">
      <c r="A8266" s="1">
        <v>5.0</v>
      </c>
      <c r="B8266" s="1" t="s">
        <v>8147</v>
      </c>
      <c r="C8266" t="str">
        <f>IFERROR(__xludf.DUMMYFUNCTION("GOOGLETRANSLATE(B8266, ""fr"", ""en"")"),"Excellent Very nice product exactly what I wanted for a long time I have always worn Casio nothing to say")</f>
        <v>Excellent Very nice product exactly what I wanted for a long time I have always worn Casio nothing to say</v>
      </c>
    </row>
    <row r="8267">
      <c r="A8267" s="1">
        <v>5.0</v>
      </c>
      <c r="B8267" s="1" t="s">
        <v>8148</v>
      </c>
      <c r="C8267" t="str">
        <f>IFERROR(__xludf.DUMMYFUNCTION("GOOGLETRANSLATE(B8267, ""fr"", ""en"")"),"Glass quality stainless kettle and very design, good quality, certe over 40 € but not comparable to a plastic kettle! heats quickly and very easy to use")</f>
        <v>Glass quality stainless kettle and very design, good quality, certe over 40 € but not comparable to a plastic kettle! heats quickly and very easy to use</v>
      </c>
    </row>
    <row r="8268">
      <c r="A8268" s="1">
        <v>5.0</v>
      </c>
      <c r="B8268" s="1" t="s">
        <v>8149</v>
      </c>
      <c r="C8268" t="str">
        <f>IFERROR(__xludf.DUMMYFUNCTION("GOOGLETRANSLATE(B8268, ""fr"", ""en"")"),"Very nice necklace Very nice and good and makes its effect")</f>
        <v>Very nice necklace Very nice and good and makes its effect</v>
      </c>
    </row>
    <row r="8269">
      <c r="A8269" s="1">
        <v>2.0</v>
      </c>
      <c r="B8269" s="1" t="s">
        <v>8150</v>
      </c>
      <c r="C8269" t="str">
        <f>IFERROR(__xludf.DUMMYFUNCTION("GOOGLETRANSLATE(B8269, ""fr"", ""en"")"),"Not enough support too big in the back round, and for me not enough support. I make a 95E and do not feel at all supported with these jackets. The cup size is adequate but really not enough support to get out of the house, and certainly not enough to play"&amp;" sports.")</f>
        <v>Not enough support too big in the back round, and for me not enough support. I make a 95E and do not feel at all supported with these jackets. The cup size is adequate but really not enough support to get out of the house, and certainly not enough to play sports.</v>
      </c>
    </row>
    <row r="8270">
      <c r="A8270" s="1">
        <v>1.0</v>
      </c>
      <c r="B8270" s="1" t="s">
        <v>8151</v>
      </c>
      <c r="C8270" t="str">
        <f>IFERROR(__xludf.DUMMYFUNCTION("GOOGLETRANSLATE(B8270, ""fr"", ""en"")"),"served 5 TIMES DOES NOT WORK The first uses were perfect until the 5th time nothing works !!! I recommend")</f>
        <v>served 5 TIMES DOES NOT WORK The first uses were perfect until the 5th time nothing works !!! I recommend</v>
      </c>
    </row>
    <row r="8271">
      <c r="A8271" s="1">
        <v>3.0</v>
      </c>
      <c r="B8271" s="1" t="s">
        <v>8152</v>
      </c>
      <c r="C8271" t="str">
        <f>IFERROR(__xludf.DUMMYFUNCTION("GOOGLETRANSLATE(B8271, ""fr"", ""en"")"),"Mixed because for me lack of power and results difficult to verify I have a daughter who is allergic to dust mites, cat hair, dust ... So I jumped at the chance to test this vacuum mattress , pillows and sheets There is quality, convenient easy, light and"&amp;" handy I cleaned the house cloth, mattresses, pillows, when one sucks the head of the mattress, the indicator is green, the further down and color changes to orange to red; All this is fine, but I noticed that he did not aspire fine dust and small debris "&amp;"that was on the fitted sheet (as my sheets are color is visible), so I spent my Dyson with the nozzle and everything disappeared; What makes me say that I have a real doubt about its power and that 98% of dust removed in less than 3 minutes is very diffic"&amp;"ult to verify and the disappearance of the mites more.")</f>
        <v>Mixed because for me lack of power and results difficult to verify I have a daughter who is allergic to dust mites, cat hair, dust ... So I jumped at the chance to test this vacuum mattress , pillows and sheets There is quality, convenient easy, light and handy I cleaned the house cloth, mattresses, pillows, when one sucks the head of the mattress, the indicator is green, the further down and color changes to orange to red; All this is fine, but I noticed that he did not aspire fine dust and small debris that was on the fitted sheet (as my sheets are color is visible), so I spent my Dyson with the nozzle and everything disappeared; What makes me say that I have a real doubt about its power and that 98% of dust removed in less than 3 minutes is very difficult to verify and the disappearance of the mites more.</v>
      </c>
    </row>
    <row r="8272">
      <c r="A8272" s="1">
        <v>3.0</v>
      </c>
      <c r="B8272" s="1" t="s">
        <v>8153</v>
      </c>
      <c r="C8272" t="str">
        <f>IFERROR(__xludf.DUMMYFUNCTION("GOOGLETRANSLATE(B8272, ""fr"", ""en"")"),"Many struggling to keep Unlike other earphones intra I struggle to keep those without sinking it to me through the brain. Product is OK especially considering the very low price.")</f>
        <v>Many struggling to keep Unlike other earphones intra I struggle to keep those without sinking it to me through the brain. Product is OK especially considering the very low price.</v>
      </c>
    </row>
    <row r="8273">
      <c r="A8273" s="1">
        <v>4.0</v>
      </c>
      <c r="B8273" s="1" t="s">
        <v>8154</v>
      </c>
      <c r="C8273" t="str">
        <f>IFERROR(__xludf.DUMMYFUNCTION("GOOGLETRANSLATE(B8273, ""fr"", ""en"")"),"The price for ""CONVERSES"" Arrived early ... the size is pil hair ... yet not fault these baskettes. True or copy I am not able to say ... the main is that they like me. I would recommend to other colors. For me the ones I received are sourced from Wietn"&amp;"am. -Cordially.")</f>
        <v>The price for "CONVERSES" Arrived early ... the size is pil hair ... yet not fault these baskettes. True or copy I am not able to say ... the main is that they like me. I would recommend to other colors. For me the ones I received are sourced from Wietnam. -Cordially.</v>
      </c>
    </row>
    <row r="8274">
      <c r="A8274" s="1">
        <v>4.0</v>
      </c>
      <c r="B8274" s="1" t="s">
        <v>8155</v>
      </c>
      <c r="C8274" t="str">
        <f>IFERROR(__xludf.DUMMYFUNCTION("GOOGLETRANSLATE(B8274, ""fr"", ""en"")"),"Practice A sleek look combined with modern design renew the functionality of the kettle heats up quickly. The water level is illuminated in blue for the heating time.")</f>
        <v>Practice A sleek look combined with modern design renew the functionality of the kettle heats up quickly. The water level is illuminated in blue for the heating time.</v>
      </c>
    </row>
    <row r="8275">
      <c r="A8275" s="1">
        <v>4.0</v>
      </c>
      <c r="B8275" s="1" t="s">
        <v>8156</v>
      </c>
      <c r="C8275" t="str">
        <f>IFERROR(__xludf.DUMMYFUNCTION("GOOGLETRANSLATE(B8275, ""fr"", ""en"")"),"Microphone YETI silver I was looking for a microphone to my computer via USB. Given the reputation of this one, I leaned on him. I am totally satisfied, the appearance is very pretty, it works perfectly fine. Only small problem: the price a little high, b"&amp;"ut for the quality it does not count.")</f>
        <v>Microphone YETI silver I was looking for a microphone to my computer via USB. Given the reputation of this one, I leaned on him. I am totally satisfied, the appearance is very pretty, it works perfectly fine. Only small problem: the price a little high, but for the quality it does not count.</v>
      </c>
    </row>
    <row r="8276">
      <c r="A8276" s="1">
        <v>4.0</v>
      </c>
      <c r="B8276" s="1" t="s">
        <v>8157</v>
      </c>
      <c r="C8276" t="str">
        <f>IFERROR(__xludf.DUMMYFUNCTION("GOOGLETRANSLATE(B8276, ""fr"", ""en"")"),"Great bag There are plenty of storage space, this bag is very large we can put many things in it very useful")</f>
        <v>Great bag There are plenty of storage space, this bag is very large we can put many things in it very useful</v>
      </c>
    </row>
    <row r="8277">
      <c r="A8277" s="1">
        <v>5.0</v>
      </c>
      <c r="B8277" s="1" t="s">
        <v>8158</v>
      </c>
      <c r="C8277" t="str">
        <f>IFERROR(__xludf.DUMMYFUNCTION("GOOGLETRANSLATE(B8277, ""fr"", ""en"")"),"That lightness its looks For outputs sports ATV ...")</f>
        <v>That lightness its looks For outputs sports ATV ...</v>
      </c>
    </row>
    <row r="8278">
      <c r="A8278" s="1">
        <v>5.0</v>
      </c>
      <c r="B8278" s="1" t="s">
        <v>4020</v>
      </c>
      <c r="C8278" t="str">
        <f>IFERROR(__xludf.DUMMYFUNCTION("GOOGLETRANSLATE(B8278, ""fr"", ""en"")"),"ok ok")</f>
        <v>ok ok</v>
      </c>
    </row>
    <row r="8279">
      <c r="A8279" s="1">
        <v>5.0</v>
      </c>
      <c r="B8279" s="1" t="s">
        <v>8159</v>
      </c>
      <c r="C8279" t="str">
        <f>IFERROR(__xludf.DUMMYFUNCTION("GOOGLETRANSLATE(B8279, ""fr"", ""en"")"),"very good very good earphones, product received very quickly and well cared for the musical quality is very high and I can even say breathtaking. Design well cared for, and as for the Bluetooth connection, as soon as I turn on they connect very quickly wi"&amp;"th my smartphone. I am very pleased and I recommend")</f>
        <v>very good very good earphones, product received very quickly and well cared for the musical quality is very high and I can even say breathtaking. Design well cared for, and as for the Bluetooth connection, as soon as I turn on they connect very quickly with my smartphone. I am very pleased and I recommend</v>
      </c>
    </row>
    <row r="8280">
      <c r="A8280" s="1">
        <v>5.0</v>
      </c>
      <c r="B8280" s="1" t="s">
        <v>8160</v>
      </c>
      <c r="C8280" t="str">
        <f>IFERROR(__xludf.DUMMYFUNCTION("GOOGLETRANSLATE(B8280, ""fr"", ""en"")"),"Super Never disappointed, great quality")</f>
        <v>Super Never disappointed, great quality</v>
      </c>
    </row>
    <row r="8281">
      <c r="A8281" s="1">
        <v>5.0</v>
      </c>
      <c r="B8281" s="1" t="s">
        <v>8161</v>
      </c>
      <c r="C8281" t="str">
        <f>IFERROR(__xludf.DUMMYFUNCTION("GOOGLETRANSLATE(B8281, ""fr"", ""en"")"),"Economic and very good economic block, quality adapted to all ages! Easy job and advantageous .... More fear price for a used page in addition, the amount is matched only by the quality! Suitable for all tastes drawings or coloring.")</f>
        <v>Economic and very good economic block, quality adapted to all ages! Easy job and advantageous .... More fear price for a used page in addition, the amount is matched only by the quality! Suitable for all tastes drawings or coloring.</v>
      </c>
    </row>
    <row r="8282">
      <c r="A8282" s="1">
        <v>5.0</v>
      </c>
      <c r="B8282" s="1" t="s">
        <v>8162</v>
      </c>
      <c r="C8282" t="str">
        <f>IFERROR(__xludf.DUMMYFUNCTION("GOOGLETRANSLATE(B8282, ""fr"", ""en"")"),"Joint for Dolce Gusto machines - it can save a machine that is leaking! Very handy when you do not want to buy an entire coffee which joins dropped after 2 or 3 years ago Needs to open the machine, which is not easy (special screws, malignant!) But the jo"&amp;"int easy to replace once the open Machine")</f>
        <v>Joint for Dolce Gusto machines - it can save a machine that is leaking! Very handy when you do not want to buy an entire coffee which joins dropped after 2 or 3 years ago Needs to open the machine, which is not easy (special screws, malignant!) But the joint easy to replace once the open Machine</v>
      </c>
    </row>
    <row r="8283">
      <c r="A8283" s="1">
        <v>5.0</v>
      </c>
      <c r="B8283" s="1" t="s">
        <v>8163</v>
      </c>
      <c r="C8283" t="str">
        <f>IFERROR(__xludf.DUMMYFUNCTION("GOOGLETRANSLATE(B8283, ""fr"", ""en"")"),"Practical, foldable, durable ... I use it every day to walk and run, it is extremely strong, and most is the mini-SD card you put into it and that allows light from without phone and whose content is set in the order in which the songs on the card is reco"&amp;"rded. Only downside: do not put the card through, like me the first time, or it slides inside the helmet and everything must be disassembled to recover! maisje'm not very good at this kind of manipulation must be said. And POwer Locus does not discharge q"&amp;"uickly, I recharge only once a week.")</f>
        <v>Practical, foldable, durable ... I use it every day to walk and run, it is extremely strong, and most is the mini-SD card you put into it and that allows light from without phone and whose content is set in the order in which the songs on the card is recorded. Only downside: do not put the card through, like me the first time, or it slides inside the helmet and everything must be disassembled to recover! maisje'm not very good at this kind of manipulation must be said. And POwer Locus does not discharge quickly, I recharge only once a week.</v>
      </c>
    </row>
    <row r="8284">
      <c r="A8284" s="1">
        <v>5.0</v>
      </c>
      <c r="B8284" s="1" t="s">
        <v>8164</v>
      </c>
      <c r="C8284" t="str">
        <f>IFERROR(__xludf.DUMMYFUNCTION("GOOGLETRANSLATE(B8284, ""fr"", ""en"")"),"solid and practical bottles. Bottles that are fully disassembled, which facilitates cleaning and change / replacement of some parts (such as pacifiers). After three months of use, no wear marks. I recommend.")</f>
        <v>solid and practical bottles. Bottles that are fully disassembled, which facilitates cleaning and change / replacement of some parts (such as pacifiers). After three months of use, no wear marks. I recommend.</v>
      </c>
    </row>
    <row r="8285">
      <c r="A8285" s="1">
        <v>5.0</v>
      </c>
      <c r="B8285" s="1" t="s">
        <v>8165</v>
      </c>
      <c r="C8285" t="str">
        <f>IFERROR(__xludf.DUMMYFUNCTION("GOOGLETRANSLATE(B8285, ""fr"", ""en"")"),"good cartridge small price that purchased HP cartridges more than expensive and exhausting very quickly, I turned to these generic cartridges Jarbo hoping that it works on my printer. First positive point it is easier to unpack I explain HP is very diffic"&amp;"ult to remove caps, the cap Jarbo cartridges ink is much facille to withdraw, the cartridge is more translucent seen ink level has at least one physical display. unlike that of Hp therefore the estimated ink levels is more than doubtful .the implementatio"&amp;"n of these cartridges is Jarbo is no problem except that the printer does not recognize the cartridges, an error message will appear , simply confirm by ok and everything will be in order .When the impression I do not see any difference with HP, so finall"&amp;"y you have Jarbo ink cartridge times cheaper and a lot more in compared to the prices of HP, have over time, has for info I have a imprimanteHP photossmart 5520 series.")</f>
        <v>good cartridge small price that purchased HP cartridges more than expensive and exhausting very quickly, I turned to these generic cartridges Jarbo hoping that it works on my printer. First positive point it is easier to unpack I explain HP is very difficult to remove caps, the cap Jarbo cartridges ink is much facille to withdraw, the cartridge is more translucent seen ink level has at least one physical display. unlike that of Hp therefore the estimated ink levels is more than doubtful .the implementation of these cartridges is Jarbo is no problem except that the printer does not recognize the cartridges, an error message will appear , simply confirm by ok and everything will be in order .When the impression I do not see any difference with HP, so finally you have Jarbo ink cartridge times cheaper and a lot more in compared to the prices of HP, have over time, has for info I have a imprimanteHP photossmart 5520 series.</v>
      </c>
    </row>
    <row r="8286">
      <c r="A8286" s="1">
        <v>5.0</v>
      </c>
      <c r="B8286" s="1" t="s">
        <v>8166</v>
      </c>
      <c r="C8286" t="str">
        <f>IFERROR(__xludf.DUMMYFUNCTION("GOOGLETRANSLATE(B8286, ""fr"", ""en"")"),"Great! comply with the description! Very happy with this purchase.")</f>
        <v>Great! comply with the description! Very happy with this purchase.</v>
      </c>
    </row>
    <row r="8287">
      <c r="A8287" s="1">
        <v>5.0</v>
      </c>
      <c r="B8287" s="1" t="s">
        <v>8167</v>
      </c>
      <c r="C8287" t="str">
        <f>IFERROR(__xludf.DUMMYFUNCTION("GOOGLETRANSLATE(B8287, ""fr"", ""en"")"),"RAS Shoes are genuine. Delivered in true Timberland shoe box. The ® mark is present on the inner tab and the insole. The fact that this brand does not appear on the outside logo in no way demonstrates that it would be an infringement. On the official webs"&amp;"ite of Timberland, one can clearly see that the ® is not used on all exterior logos.")</f>
        <v>RAS Shoes are genuine. Delivered in true Timberland shoe box. The ® mark is present on the inner tab and the insole. The fact that this brand does not appear on the outside logo in no way demonstrates that it would be an infringement. On the official website of Timberland, one can clearly see that the ® is not used on all exterior logos.</v>
      </c>
    </row>
    <row r="8288">
      <c r="A8288" s="1">
        <v>5.0</v>
      </c>
      <c r="B8288" s="1" t="s">
        <v>8168</v>
      </c>
      <c r="C8288" t="str">
        <f>IFERROR(__xludf.DUMMYFUNCTION("GOOGLETRANSLATE(B8288, ""fr"", ""en"")"),"impressive Bluetooth Headsets The sound quality is excellent. No disturbance and easy to connect. The Bluetooth connection is good. It also supports my LG phone and my HP laptop. Only one connection is enough. It automatically detects when the connection "&amp;"is active. great battery backup. The quality of the voice calls is going well. The cover looks very cute and air backup power is nice. I always use my office and walk for calls. Best for this price. Simple and great.")</f>
        <v>impressive Bluetooth Headsets The sound quality is excellent. No disturbance and easy to connect. The Bluetooth connection is good. It also supports my LG phone and my HP laptop. Only one connection is enough. It automatically detects when the connection is active. great battery backup. The quality of the voice calls is going well. The cover looks very cute and air backup power is nice. I always use my office and walk for calls. Best for this price. Simple and great.</v>
      </c>
    </row>
    <row r="8289">
      <c r="A8289" s="1">
        <v>5.0</v>
      </c>
      <c r="B8289" s="1" t="s">
        <v>8169</v>
      </c>
      <c r="C8289" t="str">
        <f>IFERROR(__xludf.DUMMYFUNCTION("GOOGLETRANSLATE(B8289, ""fr"", ""en"")"),"Perfect! very good value")</f>
        <v>Perfect! very good value</v>
      </c>
    </row>
    <row r="8290">
      <c r="A8290" s="1">
        <v>5.0</v>
      </c>
      <c r="B8290" s="1" t="s">
        <v>8170</v>
      </c>
      <c r="C8290" t="str">
        <f>IFERROR(__xludf.DUMMYFUNCTION("GOOGLETRANSLATE(B8290, ""fr"", ""en"")"),"conforms to the expectation entirely consistent with the expectations that I had, this model is comfortable; the length is a little large as specified in the order, but the size is good and fast delivery.")</f>
        <v>conforms to the expectation entirely consistent with the expectations that I had, this model is comfortable; the length is a little large as specified in the order, but the size is good and fast delivery.</v>
      </c>
    </row>
    <row r="8291">
      <c r="A8291" s="1">
        <v>5.0</v>
      </c>
      <c r="B8291" s="1" t="s">
        <v>8171</v>
      </c>
      <c r="C8291" t="str">
        <f>IFERROR(__xludf.DUMMYFUNCTION("GOOGLETRANSLATE(B8291, ""fr"", ""en"")"),"R.A.S R.A.S")</f>
        <v>R.A.S R.A.S</v>
      </c>
    </row>
    <row r="8292">
      <c r="A8292" s="1">
        <v>2.0</v>
      </c>
      <c r="B8292" s="1" t="s">
        <v>8172</v>
      </c>
      <c r="C8292" t="str">
        <f>IFERROR(__xludf.DUMMYFUNCTION("GOOGLETRANSLATE(B8292, ""fr"", ""en"")"),"Image différante model received I put two stars because the shoe model I received is different from the model shown on Internet.The model I received has 6 eyelets and the model presented on the internet and has 5 eyelets form is slightly different on the "&amp;"insole arrière.La is not mobile. .")</f>
        <v>Image différante model received I put two stars because the shoe model I received is different from the model shown on Internet.The model I received has 6 eyelets and the model presented on the internet and has 5 eyelets form is slightly different on the insole arrière.La is not mobile. .</v>
      </c>
    </row>
    <row r="8293">
      <c r="A8293" s="1">
        <v>1.0</v>
      </c>
      <c r="B8293" s="1" t="s">
        <v>8173</v>
      </c>
      <c r="C8293" t="str">
        <f>IFERROR(__xludf.DUMMYFUNCTION("GOOGLETRANSLATE(B8293, ""fr"", ""en"")"),"unfortunately too late this rug is thin and my mouse does not work, I expected a refund, I have sent this article")</f>
        <v>unfortunately too late this rug is thin and my mouse does not work, I expected a refund, I have sent this article</v>
      </c>
    </row>
    <row r="8294">
      <c r="A8294" s="1">
        <v>1.0</v>
      </c>
      <c r="B8294" s="1" t="s">
        <v>8174</v>
      </c>
      <c r="C8294" t="str">
        <f>IFERROR(__xludf.DUMMYFUNCTION("GOOGLETRANSLATE(B8294, ""fr"", ""en"")"),"considering the price, do not expect to receive loops in good condition earrings arrived with bright less and even centered stone, so, immétable, so garbage management")</f>
        <v>considering the price, do not expect to receive loops in good condition earrings arrived with bright less and even centered stone, so, immétable, so garbage management</v>
      </c>
    </row>
    <row r="8295">
      <c r="A8295" s="1">
        <v>3.0</v>
      </c>
      <c r="B8295" s="1" t="s">
        <v>8175</v>
      </c>
      <c r="C8295" t="str">
        <f>IFERROR(__xludf.DUMMYFUNCTION("GOOGLETRANSLATE(B8295, ""fr"", ""en"")"),"Sabot Sabot ok very well made")</f>
        <v>Sabot Sabot ok very well made</v>
      </c>
    </row>
    <row r="8296">
      <c r="A8296" s="1">
        <v>3.0</v>
      </c>
      <c r="B8296" s="1" t="s">
        <v>8176</v>
      </c>
      <c r="C8296" t="str">
        <f>IFERROR(__xludf.DUMMYFUNCTION("GOOGLETRANSLATE(B8296, ""fr"", ""en"")"),"💪💪💪👏👏👏 👏👏👏👍👍👍👍👍💪💪")</f>
        <v>💪💪💪👏👏👏 👏👏👏👍👍👍👍👍💪💪</v>
      </c>
    </row>
    <row r="8297">
      <c r="A8297" s="1">
        <v>4.0</v>
      </c>
      <c r="B8297" s="1" t="s">
        <v>8177</v>
      </c>
      <c r="C8297" t="str">
        <f>IFERROR(__xludf.DUMMYFUNCTION("GOOGLETRANSLATE(B8297, ""fr"", ""en"")"),"This block effective and fresh leaves an impression of cleanliness after every flush. The water is blue and a fresh scent is released with each flush. This seems efficient and cost. My only complaint was the rather persistent blue line is left on the bowl"&amp;". If the block is easy to install and remove.")</f>
        <v>This block effective and fresh leaves an impression of cleanliness after every flush. The water is blue and a fresh scent is released with each flush. This seems efficient and cost. My only complaint was the rather persistent blue line is left on the bowl. If the block is easy to install and remove.</v>
      </c>
    </row>
    <row r="8298">
      <c r="A8298" s="1">
        <v>4.0</v>
      </c>
      <c r="B8298" s="1" t="s">
        <v>8178</v>
      </c>
      <c r="C8298" t="str">
        <f>IFERROR(__xludf.DUMMYFUNCTION("GOOGLETRANSLATE(B8298, ""fr"", ""en"")"),"Had its effect Very nice coliier yet he tangled lol")</f>
        <v>Had its effect Very nice coliier yet he tangled lol</v>
      </c>
    </row>
    <row r="8299">
      <c r="A8299" s="1">
        <v>4.0</v>
      </c>
      <c r="B8299" s="1" t="s">
        <v>8179</v>
      </c>
      <c r="C8299" t="str">
        <f>IFERROR(__xludf.DUMMYFUNCTION("GOOGLETRANSLATE(B8299, ""fr"", ""en"")"),"Do not feel like having to warm itself memem the bed to be able to sleep What a joy to enter a desire to warm before bed that welcomes you a good sleep. With age, he grew more and longer to find sufficient comfort for el sleep possible. Now more problem ."&amp;".. the position on the lower heat can be stored up to the first (often in night classes to relieve a natural need ....! And return the bed did not have time of refroidier")</f>
        <v>Do not feel like having to warm itself memem the bed to be able to sleep What a joy to enter a desire to warm before bed that welcomes you a good sleep. With age, he grew more and longer to find sufficient comfort for el sleep possible. Now more problem ... the position on the lower heat can be stored up to the first (often in night classes to relieve a natural need ....! And return the bed did not have time of refroidier</v>
      </c>
    </row>
    <row r="8300">
      <c r="A8300" s="1">
        <v>4.0</v>
      </c>
      <c r="B8300" s="1" t="s">
        <v>8180</v>
      </c>
      <c r="C8300" t="str">
        <f>IFERROR(__xludf.DUMMYFUNCTION("GOOGLETRANSLATE(B8300, ""fr"", ""en"")"),"very soft flush")</f>
        <v>very soft flush</v>
      </c>
    </row>
    <row r="8301">
      <c r="A8301" s="1">
        <v>5.0</v>
      </c>
      <c r="B8301" s="1" t="s">
        <v>8181</v>
      </c>
      <c r="C8301" t="str">
        <f>IFERROR(__xludf.DUMMYFUNCTION("GOOGLETRANSLATE(B8301, ""fr"", ""en"")"),"Excellent Nothing to say! It's air force one!")</f>
        <v>Excellent Nothing to say! It's air force one!</v>
      </c>
    </row>
    <row r="8302">
      <c r="A8302" s="1">
        <v>5.0</v>
      </c>
      <c r="B8302" s="1" t="s">
        <v>8182</v>
      </c>
      <c r="C8302" t="str">
        <f>IFERROR(__xludf.DUMMYFUNCTION("GOOGLETRANSLATE(B8302, ""fr"", ""en"")"),"finally comfortable in beach shoes or you feel like slippers")</f>
        <v>finally comfortable in beach shoes or you feel like slippers</v>
      </c>
    </row>
    <row r="8303">
      <c r="A8303" s="1">
        <v>5.0</v>
      </c>
      <c r="B8303" s="1" t="s">
        <v>8183</v>
      </c>
      <c r="C8303" t="str">
        <f>IFERROR(__xludf.DUMMYFUNCTION("GOOGLETRANSLATE(B8303, ""fr"", ""en"")"),"Magnificent I wear it all the time this is a must have! she is very beautiful is neither too much nor too little")</f>
        <v>Magnificent I wear it all the time this is a must have! she is very beautiful is neither too much nor too little</v>
      </c>
    </row>
    <row r="8304">
      <c r="A8304" s="1">
        <v>5.0</v>
      </c>
      <c r="B8304" s="1" t="s">
        <v>8184</v>
      </c>
      <c r="C8304" t="str">
        <f>IFERROR(__xludf.DUMMYFUNCTION("GOOGLETRANSLATE(B8304, ""fr"", ""en"")"),"I recommend Product pretty good and work perfectly")</f>
        <v>I recommend Product pretty good and work perfectly</v>
      </c>
    </row>
    <row r="8305">
      <c r="A8305" s="1">
        <v>5.0</v>
      </c>
      <c r="B8305" s="1" t="s">
        <v>8185</v>
      </c>
      <c r="C8305" t="str">
        <f>IFERROR(__xludf.DUMMYFUNCTION("GOOGLETRANSLATE(B8305, ""fr"", ""en"")"),"Strap Perfect I love")</f>
        <v>Strap Perfect I love</v>
      </c>
    </row>
    <row r="8306">
      <c r="A8306" s="1">
        <v>5.0</v>
      </c>
      <c r="B8306" s="1" t="s">
        <v>8186</v>
      </c>
      <c r="C8306" t="str">
        <f>IFERROR(__xludf.DUMMYFUNCTION("GOOGLETRANSLATE(B8306, ""fr"", ""en"")"),"good quality price I recommeded the cheap j pants will buy from other")</f>
        <v>good quality price I recommeded the cheap j pants will buy from other</v>
      </c>
    </row>
    <row r="8307">
      <c r="A8307" s="1">
        <v>5.0</v>
      </c>
      <c r="B8307" s="1" t="s">
        <v>8187</v>
      </c>
      <c r="C8307" t="str">
        <f>IFERROR(__xludf.DUMMYFUNCTION("GOOGLETRANSLATE(B8307, ""fr"", ""en"")"),"Nikel Mgnifique")</f>
        <v>Nikel Mgnifique</v>
      </c>
    </row>
    <row r="8308">
      <c r="A8308" s="1">
        <v>5.0</v>
      </c>
      <c r="B8308" s="1" t="s">
        <v>8188</v>
      </c>
      <c r="C8308" t="str">
        <f>IFERROR(__xludf.DUMMYFUNCTION("GOOGLETRANSLATE(B8308, ""fr"", ""en"")"),"Very happy beautiful pendant comes in a stylish setting, a gift I made for my daughter and was delighted. Soon I also want to buy another one I saw my mother.")</f>
        <v>Very happy beautiful pendant comes in a stylish setting, a gift I made for my daughter and was delighted. Soon I also want to buy another one I saw my mother.</v>
      </c>
    </row>
    <row r="8309">
      <c r="A8309" s="1">
        <v>5.0</v>
      </c>
      <c r="B8309" s="1" t="s">
        <v>8189</v>
      </c>
      <c r="C8309" t="str">
        <f>IFERROR(__xludf.DUMMYFUNCTION("GOOGLETRANSLATE(B8309, ""fr"", ""en"")"),"Super sports clothing super happy! Very comfortable. Together comfortable to wear, consistent images. Micro air good for sweating. Great for sports and fitness.")</f>
        <v>Super sports clothing super happy! Very comfortable. Together comfortable to wear, consistent images. Micro air good for sweating. Great for sports and fitness.</v>
      </c>
    </row>
    <row r="8310">
      <c r="A8310" s="1">
        <v>5.0</v>
      </c>
      <c r="B8310" s="1" t="s">
        <v>8190</v>
      </c>
      <c r="C8310" t="str">
        <f>IFERROR(__xludf.DUMMYFUNCTION("GOOGLETRANSLATE(B8310, ""fr"", ""en"")"),"🧡🧡🧡🧡 Although as with all Apple products")</f>
        <v>🧡🧡🧡🧡 Although as with all Apple products</v>
      </c>
    </row>
    <row r="8311">
      <c r="A8311" s="1">
        <v>5.0</v>
      </c>
      <c r="B8311" s="1" t="s">
        <v>8191</v>
      </c>
      <c r="C8311" t="str">
        <f>IFERROR(__xludf.DUMMYFUNCTION("GOOGLETRANSLATE(B8311, ""fr"", ""en"")"),"satisfied perfect take one size bigger as indicate .PARFAIT")</f>
        <v>satisfied perfect take one size bigger as indicate .PARFAIT</v>
      </c>
    </row>
    <row r="8312">
      <c r="A8312" s="1">
        <v>5.0</v>
      </c>
      <c r="B8312" s="1" t="s">
        <v>8192</v>
      </c>
      <c r="C8312" t="str">
        <f>IFERROR(__xludf.DUMMYFUNCTION("GOOGLETRANSLATE(B8312, ""fr"", ""en"")"),"Leggings Sport Roger one day instead. A little late. Having time.")</f>
        <v>Leggings Sport Roger one day instead. A little late. Having time.</v>
      </c>
    </row>
    <row r="8313">
      <c r="A8313" s="1">
        <v>5.0</v>
      </c>
      <c r="B8313" s="1" t="s">
        <v>8193</v>
      </c>
      <c r="C8313" t="str">
        <f>IFERROR(__xludf.DUMMYFUNCTION("GOOGLETRANSLATE(B8313, ""fr"", ""en"")"),"paper Perfetto")</f>
        <v>paper Perfetto</v>
      </c>
    </row>
    <row r="8314">
      <c r="A8314" s="1">
        <v>5.0</v>
      </c>
      <c r="B8314" s="1" t="s">
        <v>8194</v>
      </c>
      <c r="C8314" t="str">
        <f>IFERROR(__xludf.DUMMYFUNCTION("GOOGLETRANSLATE(B8314, ""fr"", ""en"")"),"very satisfied with product in accordance with my order and my expectations I would recommend the product of that I would again need")</f>
        <v>very satisfied with product in accordance with my order and my expectations I would recommend the product of that I would again need</v>
      </c>
    </row>
    <row r="8315">
      <c r="A8315" s="1">
        <v>5.0</v>
      </c>
      <c r="B8315" s="1" t="s">
        <v>8195</v>
      </c>
      <c r="C8315" t="str">
        <f>IFERROR(__xludf.DUMMYFUNCTION("GOOGLETRANSLATE(B8315, ""fr"", ""en"")"),"Football shoe made for girls as exact size and it is for girls too. Rapid dispatch.")</f>
        <v>Football shoe made for girls as exact size and it is for girls too. Rapid dispatch.</v>
      </c>
    </row>
    <row r="8316">
      <c r="A8316" s="1">
        <v>2.0</v>
      </c>
      <c r="B8316" s="1" t="s">
        <v>8196</v>
      </c>
      <c r="C8316" t="str">
        <f>IFERROR(__xludf.DUMMYFUNCTION("GOOGLETRANSLATE(B8316, ""fr"", ""en"")"),"Too Back to the vendor product too! I put all the same 2 star because the product was of good tailoring.")</f>
        <v>Too Back to the vendor product too! I put all the same 2 star because the product was of good tailoring.</v>
      </c>
    </row>
    <row r="8317">
      <c r="A8317" s="1">
        <v>1.0</v>
      </c>
      <c r="B8317" s="1" t="s">
        <v>8197</v>
      </c>
      <c r="C8317" t="str">
        <f>IFERROR(__xludf.DUMMYFUNCTION("GOOGLETRANSLATE(B8317, ""fr"", ""en"")"),"chinoise.demande counterfeit refund C is a scam. C is the hard shoe infringement. And died after 2 months. I thought not that amazon can sell counterfeit but if! I demand a refund!")</f>
        <v>chinoise.demande counterfeit refund C is a scam. C is the hard shoe infringement. And died after 2 months. I thought not that amazon can sell counterfeit but if! I demand a refund!</v>
      </c>
    </row>
    <row r="8318">
      <c r="A8318" s="1">
        <v>1.0</v>
      </c>
      <c r="B8318" s="1" t="s">
        <v>8198</v>
      </c>
      <c r="C8318" t="str">
        <f>IFERROR(__xludf.DUMMYFUNCTION("GOOGLETRANSLATE(B8318, ""fr"", ""en"")"),"Vaux not its weight in gold. Hello. I bought 45 € unbranded and sound in the phone was poor my correspondent heard me wrong, even very wrong. So I decided to buy the real Samsung and is exactly the same corresponding along very bad. So race results for th"&amp;"is call is not worth it but against the sound for everything audio is excellent and as I can not separate the telephone audio I decided to put the note of a star. Products that I will return in the day. Otherwise 5 stars for audio and a star for the phone"&amp;". Nothing beats the hands-free kit to the car or the wired headsets or the phone in hand, but phone in hand drive is 3 points less and 90 € fine. So very disappointed in the end.")</f>
        <v>Vaux not its weight in gold. Hello. I bought 45 € unbranded and sound in the phone was poor my correspondent heard me wrong, even very wrong. So I decided to buy the real Samsung and is exactly the same corresponding along very bad. So race results for this call is not worth it but against the sound for everything audio is excellent and as I can not separate the telephone audio I decided to put the note of a star. Products that I will return in the day. Otherwise 5 stars for audio and a star for the phone. Nothing beats the hands-free kit to the car or the wired headsets or the phone in hand, but phone in hand drive is 3 points less and 90 € fine. So very disappointed in the end.</v>
      </c>
    </row>
    <row r="8319">
      <c r="A8319" s="1">
        <v>3.0</v>
      </c>
      <c r="B8319" s="1" t="s">
        <v>8199</v>
      </c>
      <c r="C8319" t="str">
        <f>IFERROR(__xludf.DUMMYFUNCTION("GOOGLETRANSLATE(B8319, ""fr"", ""en"")"),"the external sensor must be connected electrically to operate the internal probe is battery powered. The external probe should be plugged in! Find the mistake !")</f>
        <v>the external sensor must be connected electrically to operate the internal probe is battery powered. The external probe should be plugged in! Find the mistake !</v>
      </c>
    </row>
    <row r="8320">
      <c r="A8320" s="1">
        <v>4.0</v>
      </c>
      <c r="B8320" s="1" t="s">
        <v>8200</v>
      </c>
      <c r="C8320" t="str">
        <f>IFERROR(__xludf.DUMMYFUNCTION("GOOGLETRANSLATE(B8320, ""fr"", ""en"")"),"Very well. Nothing to say. Worth its price.")</f>
        <v>Very well. Nothing to say. Worth its price.</v>
      </c>
    </row>
    <row r="8321">
      <c r="A8321" s="1">
        <v>4.0</v>
      </c>
      <c r="B8321" s="1" t="s">
        <v>8201</v>
      </c>
      <c r="C8321" t="str">
        <f>IFERROR(__xludf.DUMMYFUNCTION("GOOGLETRANSLATE(B8321, ""fr"", ""en"")"),"Solid and dimensions as described I like the number of pockets and dimensions are as described. There are certainly better but also worse, what mattered above all c m was either a little big and strong. This is the case even if I would have liked a bit mo"&amp;"re but it's already well anyway ...")</f>
        <v>Solid and dimensions as described I like the number of pockets and dimensions are as described. There are certainly better but also worse, what mattered above all c m was either a little big and strong. This is the case even if I would have liked a bit more but it's already well anyway ...</v>
      </c>
    </row>
    <row r="8322">
      <c r="A8322" s="1">
        <v>4.0</v>
      </c>
      <c r="B8322" s="1" t="s">
        <v>8202</v>
      </c>
      <c r="C8322" t="str">
        <f>IFERROR(__xludf.DUMMYFUNCTION("GOOGLETRANSLATE(B8322, ""fr"", ""en"")"),"small but practical thank you")</f>
        <v>small but practical thank you</v>
      </c>
    </row>
    <row r="8323">
      <c r="A8323" s="1">
        <v>4.0</v>
      </c>
      <c r="B8323" s="1" t="s">
        <v>8203</v>
      </c>
      <c r="C8323" t="str">
        <f>IFERROR(__xludf.DUMMYFUNCTION("GOOGLETRANSLATE(B8323, ""fr"", ""en"")"),"Ideal for one or two people. Heats quickly and more aesthetical. Ideal for one or two people. Convenient to use Heats quickly and more aesthetical. Do not heat the milk.")</f>
        <v>Ideal for one or two people. Heats quickly and more aesthetical. Ideal for one or two people. Convenient to use Heats quickly and more aesthetical. Do not heat the milk.</v>
      </c>
    </row>
    <row r="8324">
      <c r="A8324" s="1">
        <v>5.0</v>
      </c>
      <c r="B8324" s="1" t="s">
        <v>8204</v>
      </c>
      <c r="C8324" t="str">
        <f>IFERROR(__xludf.DUMMYFUNCTION("GOOGLETRANSLATE(B8324, ""fr"", ""en"")"),"Impeccable Perfect. Hot. Ideal for winter.")</f>
        <v>Impeccable Perfect. Hot. Ideal for winter.</v>
      </c>
    </row>
    <row r="8325">
      <c r="A8325" s="1">
        <v>5.0</v>
      </c>
      <c r="B8325" s="1" t="s">
        <v>8205</v>
      </c>
      <c r="C8325" t="str">
        <f>IFERROR(__xludf.DUMMYFUNCTION("GOOGLETRANSLATE(B8325, ""fr"", ""en"")"),"Dress nice fabric. I measure 1m68 and M is short enough on me. If the rendering is rather hot!")</f>
        <v>Dress nice fabric. I measure 1m68 and M is short enough on me. If the rendering is rather hot!</v>
      </c>
    </row>
    <row r="8326">
      <c r="A8326" s="1">
        <v>5.0</v>
      </c>
      <c r="B8326" s="1" t="s">
        <v>8206</v>
      </c>
      <c r="C8326" t="str">
        <f>IFERROR(__xludf.DUMMYFUNCTION("GOOGLETRANSLATE(B8326, ""fr"", ""en"")"),"Excellent Excellent produced and delivered as planned!")</f>
        <v>Excellent Excellent produced and delivered as planned!</v>
      </c>
    </row>
    <row r="8327">
      <c r="A8327" s="1">
        <v>5.0</v>
      </c>
      <c r="B8327" s="1" t="s">
        <v>8207</v>
      </c>
      <c r="C8327" t="str">
        <f>IFERROR(__xludf.DUMMYFUNCTION("GOOGLETRANSLATE(B8327, ""fr"", ""en"")"),"Perfect! I'm an addict, I love !!!!!!!! In my 38 I still take 37.5 for the lay Nothing to say more, this is perfect")</f>
        <v>Perfect! I'm an addict, I love !!!!!!!! In my 38 I still take 37.5 for the lay Nothing to say more, this is perfect</v>
      </c>
    </row>
    <row r="8328">
      <c r="A8328" s="1">
        <v>5.0</v>
      </c>
      <c r="B8328" s="1" t="s">
        <v>8208</v>
      </c>
      <c r="C8328" t="str">
        <f>IFERROR(__xludf.DUMMYFUNCTION("GOOGLETRANSLATE(B8328, ""fr"", ""en"")"),"Comfortable sneakers super comfortable !!! I recommend this product 😃. I think the order in another color, it adapts to any look 👍")</f>
        <v>Comfortable sneakers super comfortable !!! I recommend this product 😃. I think the order in another color, it adapts to any look 👍</v>
      </c>
    </row>
    <row r="8329">
      <c r="A8329" s="1">
        <v>5.0</v>
      </c>
      <c r="B8329" s="1" t="s">
        <v>8209</v>
      </c>
      <c r="C8329" t="str">
        <f>IFERROR(__xludf.DUMMYFUNCTION("GOOGLETRANSLATE(B8329, ""fr"", ""en"")"),"Beautiful DIY kit for a nice surprise Superb kit to create itself a very nice surprise. Everything is up, the box comes with multiple decorations and even contains the scissors. A notice is also provided. Great for a personalized gift. I can not wait to s"&amp;"tart and see the final result.")</f>
        <v>Beautiful DIY kit for a nice surprise Superb kit to create itself a very nice surprise. Everything is up, the box comes with multiple decorations and even contains the scissors. A notice is also provided. Great for a personalized gift. I can not wait to start and see the final result.</v>
      </c>
    </row>
    <row r="8330">
      <c r="A8330" s="1">
        <v>5.0</v>
      </c>
      <c r="B8330" s="1" t="s">
        <v>8210</v>
      </c>
      <c r="C8330" t="str">
        <f>IFERROR(__xludf.DUMMYFUNCTION("GOOGLETRANSLATE(B8330, ""fr"", ""en"")"),"Sports Bag 3in1 good quality bag, waterproof, used for sport hunter with investment, also usable as a backpack")</f>
        <v>Sports Bag 3in1 good quality bag, waterproof, used for sport hunter with investment, also usable as a backpack</v>
      </c>
    </row>
    <row r="8331">
      <c r="A8331" s="1">
        <v>5.0</v>
      </c>
      <c r="B8331" s="1" t="s">
        <v>8211</v>
      </c>
      <c r="C8331" t="str">
        <f>IFERROR(__xludf.DUMMYFUNCTION("GOOGLETRANSLATE(B8331, ""fr"", ""en"")"),"A less cumbersome a few models that came back in our little microwave, that's the problem without job")</f>
        <v>A less cumbersome a few models that came back in our little microwave, that's the problem without job</v>
      </c>
    </row>
    <row r="8332">
      <c r="A8332" s="1">
        <v>5.0</v>
      </c>
      <c r="B8332" s="1" t="s">
        <v>8212</v>
      </c>
      <c r="C8332" t="str">
        <f>IFERROR(__xludf.DUMMYFUNCTION("GOOGLETRANSLATE(B8332, ""fr"", ""en"")"),"Book for Beginners books of this collection are very well suited for beginning readers. All books from level 1 contain only simple graphs and tools words. So they are readable by all children from January CP. My students love it.")</f>
        <v>Book for Beginners books of this collection are very well suited for beginning readers. All books from level 1 contain only simple graphs and tools words. So they are readable by all children from January CP. My students love it.</v>
      </c>
    </row>
    <row r="8333">
      <c r="A8333" s="1">
        <v>5.0</v>
      </c>
      <c r="B8333" s="1" t="s">
        <v>8213</v>
      </c>
      <c r="C8333" t="str">
        <f>IFERROR(__xludf.DUMMYFUNCTION("GOOGLETRANSLATE(B8333, ""fr"", ""en"")"),"Very good product, delivery impeccable I bought this product to no longer have to share pens, large family of artists that we are! Delivery immaculate, neat and on time. The reputation of Bic pens, no longer to say it all!")</f>
        <v>Very good product, delivery impeccable I bought this product to no longer have to share pens, large family of artists that we are! Delivery immaculate, neat and on time. The reputation of Bic pens, no longer to say it all!</v>
      </c>
    </row>
    <row r="8334">
      <c r="A8334" s="1">
        <v>5.0</v>
      </c>
      <c r="B8334" s="1" t="s">
        <v>8214</v>
      </c>
      <c r="C8334" t="str">
        <f>IFERROR(__xludf.DUMMYFUNCTION("GOOGLETRANSLATE(B8334, ""fr"", ""en"")"),"Perfect perfect product for making DETARTRANT rolls for the toilet. Handle with care. Full recipe maintenance products available on the net and it is very economical and more efficient")</f>
        <v>Perfect perfect product for making DETARTRANT rolls for the toilet. Handle with care. Full recipe maintenance products available on the net and it is very economical and more efficient</v>
      </c>
    </row>
    <row r="8335">
      <c r="A8335" s="1">
        <v>5.0</v>
      </c>
      <c r="B8335" s="1" t="s">
        <v>8215</v>
      </c>
      <c r="C8335" t="str">
        <f>IFERROR(__xludf.DUMMYFUNCTION("GOOGLETRANSLATE(B8335, ""fr"", ""en"")"),"Bio Oil ravintsara Very happy with this essential oil")</f>
        <v>Bio Oil ravintsara Very happy with this essential oil</v>
      </c>
    </row>
    <row r="8336">
      <c r="A8336" s="1">
        <v>5.0</v>
      </c>
      <c r="B8336" s="1" t="s">
        <v>8216</v>
      </c>
      <c r="C8336" t="str">
        <f>IFERROR(__xludf.DUMMYFUNCTION("GOOGLETRANSLATE(B8336, ""fr"", ""en"")"),"Sanitizer Very cleansing with a pleasant smell of rose !!")</f>
        <v>Sanitizer Very cleansing with a pleasant smell of rose !!</v>
      </c>
    </row>
    <row r="8337">
      <c r="A8337" s="1">
        <v>5.0</v>
      </c>
      <c r="B8337" s="1" t="s">
        <v>8217</v>
      </c>
      <c r="C8337" t="str">
        <f>IFERROR(__xludf.DUMMYFUNCTION("GOOGLETRANSLATE(B8337, ""fr"", ""en"")"),"Daily Content")</f>
        <v>Daily Content</v>
      </c>
    </row>
    <row r="8338">
      <c r="A8338" s="1">
        <v>5.0</v>
      </c>
      <c r="B8338" s="1" t="s">
        <v>8218</v>
      </c>
      <c r="C8338" t="str">
        <f>IFERROR(__xludf.DUMMYFUNCTION("GOOGLETRANSLATE(B8338, ""fr"", ""en"")"),"GOOD PRODUCT CHEAP AND VERY PRACTICAL")</f>
        <v>GOOD PRODUCT CHEAP AND VERY PRACTICAL</v>
      </c>
    </row>
    <row r="8339">
      <c r="A8339" s="1">
        <v>2.0</v>
      </c>
      <c r="B8339" s="1" t="s">
        <v>8219</v>
      </c>
      <c r="C8339" t="str">
        <f>IFERROR(__xludf.DUMMYFUNCTION("GOOGLETRANSLATE(B8339, ""fr"", ""en"")"),"Very disappointed there almost a month I bought this product and the power cable is already off. It is true that the diffuser itself is nice but it stops there!")</f>
        <v>Very disappointed there almost a month I bought this product and the power cable is already off. It is true that the diffuser itself is nice but it stops there!</v>
      </c>
    </row>
    <row r="8340">
      <c r="A8340" s="1">
        <v>1.0</v>
      </c>
      <c r="B8340" s="1" t="s">
        <v>8220</v>
      </c>
      <c r="C8340" t="str">
        <f>IFERROR(__xludf.DUMMYFUNCTION("GOOGLETRANSLATE(B8340, ""fr"", ""en"")"),"Cup horrible !!! I'm 104 cm waistline I have gone for 2 in size XL, the first size is decent, but the elastic is too loose 2nd fortunately there's a cord to hold it, against by the thighs it's horrible it would seem that I put a bag? is extremely wide one"&amp;" will be able to easily get 2 legs on each side, my wife no longer wants me to wear them, there are parties every 2 in the ballot box crop for the poor people, I would not recommend them unless so strongly if you have very very big thighs?")</f>
        <v>Cup horrible !!! I'm 104 cm waistline I have gone for 2 in size XL, the first size is decent, but the elastic is too loose 2nd fortunately there's a cord to hold it, against by the thighs it's horrible it would seem that I put a bag? is extremely wide one will be able to easily get 2 legs on each side, my wife no longer wants me to wear them, there are parties every 2 in the ballot box crop for the poor people, I would not recommend them unless so strongly if you have very very big thighs?</v>
      </c>
    </row>
    <row r="8341">
      <c r="A8341" s="1">
        <v>3.0</v>
      </c>
      <c r="B8341" s="1" t="s">
        <v>8221</v>
      </c>
      <c r="C8341" t="str">
        <f>IFERROR(__xludf.DUMMYFUNCTION("GOOGLETRANSLATE(B8341, ""fr"", ""en"")"),"valid command, thank you thank you (an unwanted intrusion at home against which many complaints hitherto ignored by the prosecution were filed, allowed anyone to remove a ball from one of ten).")</f>
        <v>valid command, thank you thank you (an unwanted intrusion at home against which many complaints hitherto ignored by the prosecution were filed, allowed anyone to remove a ball from one of ten).</v>
      </c>
    </row>
    <row r="8342">
      <c r="A8342" s="1">
        <v>3.0</v>
      </c>
      <c r="B8342" s="1" t="s">
        <v>8222</v>
      </c>
      <c r="C8342" t="str">
        <f>IFERROR(__xludf.DUMMYFUNCTION("GOOGLETRANSLATE(B8342, ""fr"", ""en"")"),"Useful Slippers ultra light and very handy when you have guests. They are beautifully designed, comfortable and not bulky. The negative point is their fragility. Not to be used other than tiles, linoleum, wood or carpet.")</f>
        <v>Useful Slippers ultra light and very handy when you have guests. They are beautifully designed, comfortable and not bulky. The negative point is their fragility. Not to be used other than tiles, linoleum, wood or carpet.</v>
      </c>
    </row>
    <row r="8343">
      <c r="A8343" s="1">
        <v>4.0</v>
      </c>
      <c r="B8343" s="1" t="s">
        <v>8223</v>
      </c>
      <c r="C8343" t="str">
        <f>IFERROR(__xludf.DUMMYFUNCTION("GOOGLETRANSLATE(B8343, ""fr"", ""en"")"),"Although pencils are easy to use, chalk goes well, the thickness of the mine is correct")</f>
        <v>Although pencils are easy to use, chalk goes well, the thickness of the mine is correct</v>
      </c>
    </row>
    <row r="8344">
      <c r="A8344" s="1">
        <v>4.0</v>
      </c>
      <c r="B8344" s="1" t="s">
        <v>8224</v>
      </c>
      <c r="C8344" t="str">
        <f>IFERROR(__xludf.DUMMYFUNCTION("GOOGLETRANSLATE(B8344, ""fr"", ""en"")"),"Reveil gentle pity that it there are only 2 choices of melodies pr alarm because we get used to it strength and we hear less")</f>
        <v>Reveil gentle pity that it there are only 2 choices of melodies pr alarm because we get used to it strength and we hear less</v>
      </c>
    </row>
    <row r="8345">
      <c r="A8345" s="1">
        <v>4.0</v>
      </c>
      <c r="B8345" s="1" t="s">
        <v>8225</v>
      </c>
      <c r="C8345" t="str">
        <f>IFERROR(__xludf.DUMMYFUNCTION("GOOGLETRANSLATE(B8345, ""fr"", ""en"")"),"Nice tool! I saw this article ds ""queens of shipping"" or the participant said that ca decongestionnait face. I wanted to try because I pocket the morning! I do not know if it'll smooth my skin but in any case it is very very agréableca use, and very fre"&amp;"sh. Then for 15 more if it works .....")</f>
        <v>Nice tool! I saw this article ds "queens of shipping" or the participant said that ca decongestionnait face. I wanted to try because I pocket the morning! I do not know if it'll smooth my skin but in any case it is very very agréableca use, and very fresh. Then for 15 more if it works .....</v>
      </c>
    </row>
    <row r="8346">
      <c r="A8346" s="1">
        <v>4.0</v>
      </c>
      <c r="B8346" s="1" t="s">
        <v>8226</v>
      </c>
      <c r="C8346" t="str">
        <f>IFERROR(__xludf.DUMMYFUNCTION("GOOGLETRANSLATE(B8346, ""fr"", ""en"")"),"I thought up the stem of the sock was a little higher if good product and good value")</f>
        <v>I thought up the stem of the sock was a little higher if good product and good value</v>
      </c>
    </row>
    <row r="8347">
      <c r="A8347" s="1">
        <v>5.0</v>
      </c>
      <c r="B8347" s="1" t="s">
        <v>8227</v>
      </c>
      <c r="C8347" t="str">
        <f>IFERROR(__xludf.DUMMYFUNCTION("GOOGLETRANSLATE(B8347, ""fr"", ""en"")"),"Beautiful bracelet identical picture Very happy with the bracelet, nice style, color same as the picture, it is fair to stack my wrist circumference,")</f>
        <v>Beautiful bracelet identical picture Very happy with the bracelet, nice style, color same as the picture, it is fair to stack my wrist circumference,</v>
      </c>
    </row>
    <row r="8348">
      <c r="A8348" s="1">
        <v>5.0</v>
      </c>
      <c r="B8348" s="1" t="s">
        <v>8228</v>
      </c>
      <c r="C8348" t="str">
        <f>IFERROR(__xludf.DUMMYFUNCTION("GOOGLETRANSLATE(B8348, ""fr"", ""en"")"),"laminating pouch. Good product. according to the description. Delivery respected.")</f>
        <v>laminating pouch. Good product. according to the description. Delivery respected.</v>
      </c>
    </row>
    <row r="8349">
      <c r="A8349" s="1">
        <v>5.0</v>
      </c>
      <c r="B8349" s="1" t="s">
        <v>8229</v>
      </c>
      <c r="C8349" t="str">
        <f>IFERROR(__xludf.DUMMYFUNCTION("GOOGLETRANSLATE(B8349, ""fr"", ""en"")"),"Practical, efficient Very good toaster, effective, attractive and very practical with its grid that is placed above")</f>
        <v>Practical, efficient Very good toaster, effective, attractive and very practical with its grid that is placed above</v>
      </c>
    </row>
    <row r="8350">
      <c r="A8350" s="1">
        <v>5.0</v>
      </c>
      <c r="B8350" s="1" t="s">
        <v>8230</v>
      </c>
      <c r="C8350" t="str">
        <f>IFERROR(__xludf.DUMMYFUNCTION("GOOGLETRANSLATE(B8350, ""fr"", ""en"")"),"Very nice Bought to give for Christmas I would keep them for me! Their small size makes them unobtrusive and pretty.")</f>
        <v>Very nice Bought to give for Christmas I would keep them for me! Their small size makes them unobtrusive and pretty.</v>
      </c>
    </row>
    <row r="8351">
      <c r="A8351" s="1">
        <v>5.0</v>
      </c>
      <c r="B8351" s="1" t="s">
        <v>8231</v>
      </c>
      <c r="C8351" t="str">
        <f>IFERROR(__xludf.DUMMYFUNCTION("GOOGLETRANSLATE(B8351, ""fr"", ""en"")"),"Good product Product received in the specified time, no complaints about the sound quality, the headset buttons work perfectly, top quality.")</f>
        <v>Good product Product received in the specified time, no complaints about the sound quality, the headset buttons work perfectly, top quality.</v>
      </c>
    </row>
    <row r="8352">
      <c r="A8352" s="1">
        <v>5.0</v>
      </c>
      <c r="B8352" s="1" t="s">
        <v>8232</v>
      </c>
      <c r="C8352" t="str">
        <f>IFERROR(__xludf.DUMMYFUNCTION("GOOGLETRANSLATE(B8352, ""fr"", ""en"")"),"Very good article Eagle Rubber Boots quality and well designed. Quite heavy (920 grams) but very comfortable and fluffy, once strung, because the rod that holds the ankle well, demand a little effort when threading. notched thick anti skid soles (not test"&amp;"ed on ice) that isolate the cold well. The front end of these boots is rounded, which leaves room for the toes. Carve normally (with comfortable winter socks) for average width of feet. I recommend.")</f>
        <v>Very good article Eagle Rubber Boots quality and well designed. Quite heavy (920 grams) but very comfortable and fluffy, once strung, because the rod that holds the ankle well, demand a little effort when threading. notched thick anti skid soles (not tested on ice) that isolate the cold well. The front end of these boots is rounded, which leaves room for the toes. Carve normally (with comfortable winter socks) for average width of feet. I recommend.</v>
      </c>
    </row>
    <row r="8353">
      <c r="A8353" s="1">
        <v>5.0</v>
      </c>
      <c r="B8353" s="1" t="s">
        <v>8233</v>
      </c>
      <c r="C8353" t="str">
        <f>IFERROR(__xludf.DUMMYFUNCTION("GOOGLETRANSLATE(B8353, ""fr"", ""en"")"),"Socks that are not granny. Light compression socks that can trample all day without having sore legs. A little difficult to put on if pressed but a hand to make.")</f>
        <v>Socks that are not granny. Light compression socks that can trample all day without having sore legs. A little difficult to put on if pressed but a hand to make.</v>
      </c>
    </row>
    <row r="8354">
      <c r="A8354" s="1">
        <v>5.0</v>
      </c>
      <c r="B8354" s="1" t="s">
        <v>8234</v>
      </c>
      <c r="C8354" t="str">
        <f>IFERROR(__xludf.DUMMYFUNCTION("GOOGLETRANSLATE(B8354, ""fr"", ""en"")"),"Very nice jacket very comfortable, we forget all day, the lovely back with his braces even if they are not resolved, but well cut. Caught in pink, XXL size for a classic 105B. I recommend.")</f>
        <v>Very nice jacket very comfortable, we forget all day, the lovely back with his braces even if they are not resolved, but well cut. Caught in pink, XXL size for a classic 105B. I recommend.</v>
      </c>
    </row>
    <row r="8355">
      <c r="A8355" s="1">
        <v>5.0</v>
      </c>
      <c r="B8355" s="1" t="s">
        <v>8235</v>
      </c>
      <c r="C8355" t="str">
        <f>IFERROR(__xludf.DUMMYFUNCTION("GOOGLETRANSLATE(B8355, ""fr"", ""en"")"),"Great for the establishment of my albums This super stick very well very well done veneer We recommend this product")</f>
        <v>Great for the establishment of my albums This super stick very well very well done veneer We recommend this product</v>
      </c>
    </row>
    <row r="8356">
      <c r="A8356" s="1">
        <v>5.0</v>
      </c>
      <c r="B8356" s="1" t="s">
        <v>8236</v>
      </c>
      <c r="C8356" t="str">
        <f>IFERROR(__xludf.DUMMYFUNCTION("GOOGLETRANSLATE(B8356, ""fr"", ""en"")"),"Beautiful snow boots fur boots extremely well. The controlled size exactly. All the lower part perfectly rubber insulates the soil moisture. Also they are very comfortable to wear and beautiful to the eye")</f>
        <v>Beautiful snow boots fur boots extremely well. The controlled size exactly. All the lower part perfectly rubber insulates the soil moisture. Also they are very comfortable to wear and beautiful to the eye</v>
      </c>
    </row>
    <row r="8357">
      <c r="A8357" s="1">
        <v>5.0</v>
      </c>
      <c r="B8357" s="1" t="s">
        <v>8237</v>
      </c>
      <c r="C8357" t="str">
        <f>IFERROR(__xludf.DUMMYFUNCTION("GOOGLETRANSLATE(B8357, ""fr"", ""en"")"),"Although useful in the winter I loved last year we had lent me one when I had the flu and I found it very convenient. Apart from the advantages that a hot water bottle for a more traditional use, it soothes some pain (stomach ache or nodes), it emits a ge"&amp;"ntle heat for a long time and it does not attacks the skin through his little sweater turtleneck.")</f>
        <v>Although useful in the winter I loved last year we had lent me one when I had the flu and I found it very convenient. Apart from the advantages that a hot water bottle for a more traditional use, it soothes some pain (stomach ache or nodes), it emits a gentle heat for a long time and it does not attacks the skin through his little sweater turtleneck.</v>
      </c>
    </row>
    <row r="8358">
      <c r="A8358" s="1">
        <v>5.0</v>
      </c>
      <c r="B8358" s="1" t="s">
        <v>8238</v>
      </c>
      <c r="C8358" t="str">
        <f>IFERROR(__xludf.DUMMYFUNCTION("GOOGLETRANSLATE(B8358, ""fr"", ""en"")"),"Product compliant and good quality to carry copies.")</f>
        <v>Product compliant and good quality to carry copies.</v>
      </c>
    </row>
    <row r="8359">
      <c r="A8359" s="1">
        <v>5.0</v>
      </c>
      <c r="B8359" s="1" t="s">
        <v>8239</v>
      </c>
      <c r="C8359" t="str">
        <f>IFERROR(__xludf.DUMMYFUNCTION("GOOGLETRANSLATE(B8359, ""fr"", ""en"")"),"Product corresponding to my expectations every day. Watch light, accurate, discreet look, bracelet as I prefer.")</f>
        <v>Product corresponding to my expectations every day. Watch light, accurate, discreet look, bracelet as I prefer.</v>
      </c>
    </row>
    <row r="8360">
      <c r="A8360" s="1">
        <v>5.0</v>
      </c>
      <c r="B8360" s="1" t="s">
        <v>8240</v>
      </c>
      <c r="C8360" t="str">
        <f>IFERROR(__xludf.DUMMYFUNCTION("GOOGLETRANSLATE(B8360, ""fr"", ""en"")"),"Good Kettle The kettle is vintage style ""vintage"" as its name. Thereof heated with a base that can be dislocated from the boiler to serve as the hot water. We have a grading scale to be able to know how much water is in the kettle. There is a button tha"&amp;"t start heating the kettle. Maintaining it is also very simple. MY OPINION: ❤ What I liked ❤ - Great design - Hot water quickly - Very good containing 💔 What I did not like 💔 - RAS Conclusion: A simple tea but very effective that quickly heats 'water.")</f>
        <v>Good Kettle The kettle is vintage style "vintage" as its name. Thereof heated with a base that can be dislocated from the boiler to serve as the hot water. We have a grading scale to be able to know how much water is in the kettle. There is a button that start heating the kettle. Maintaining it is also very simple. MY OPINION: ❤ What I liked ❤ - Great design - Hot water quickly - Very good containing 💔 What I did not like 💔 - RAS Conclusion: A simple tea but very effective that quickly heats 'water.</v>
      </c>
    </row>
    <row r="8361">
      <c r="A8361" s="1">
        <v>5.0</v>
      </c>
      <c r="B8361" s="1" t="s">
        <v>8241</v>
      </c>
      <c r="C8361" t="str">
        <f>IFERROR(__xludf.DUMMYFUNCTION("GOOGLETRANSLATE(B8361, ""fr"", ""en"")"),"Beaba pocket Very convenient. Very good quality. Large storage. Biberons.Petits pots.")</f>
        <v>Beaba pocket Very convenient. Very good quality. Large storage. Biberons.Petits pots.</v>
      </c>
    </row>
    <row r="8362">
      <c r="A8362" s="1">
        <v>5.0</v>
      </c>
      <c r="B8362" s="1" t="s">
        <v>8242</v>
      </c>
      <c r="C8362" t="str">
        <f>IFERROR(__xludf.DUMMYFUNCTION("GOOGLETRANSLATE(B8362, ""fr"", ""en"")"),"Great 👍😍")</f>
        <v>Great 👍😍</v>
      </c>
    </row>
    <row r="8363">
      <c r="A8363" s="1">
        <v>2.0</v>
      </c>
      <c r="B8363" s="1" t="s">
        <v>8243</v>
      </c>
      <c r="C8363" t="str">
        <f>IFERROR(__xludf.DUMMYFUNCTION("GOOGLETRANSLATE(B8363, ""fr"", ""en"")"),"Jewelry some trinkets")</f>
        <v>Jewelry some trinkets</v>
      </c>
    </row>
    <row r="8364">
      <c r="A8364" s="1">
        <v>1.0</v>
      </c>
      <c r="B8364" s="1" t="s">
        <v>8244</v>
      </c>
      <c r="C8364" t="str">
        <f>IFERROR(__xludf.DUMMYFUNCTION("GOOGLETRANSLATE(B8364, ""fr"", ""en"")"),"Poor quality is so fine that tears of nothing ... It is uncomfortable, irritating, not good at all. It does not deserve all the money we pay the here!")</f>
        <v>Poor quality is so fine that tears of nothing ... It is uncomfortable, irritating, not good at all. It does not deserve all the money we pay the here!</v>
      </c>
    </row>
    <row r="8365">
      <c r="A8365" s="1">
        <v>1.0</v>
      </c>
      <c r="B8365" s="1" t="s">
        <v>8245</v>
      </c>
      <c r="C8365" t="str">
        <f>IFERROR(__xludf.DUMMYFUNCTION("GOOGLETRANSLATE(B8365, ""fr"", ""en"")"),"Quality mediocre I am sorry to see that after a first wash the colors do not insist. What was white became pink from the red of the light, and the reasons have almost disappeared. deplorable quality.")</f>
        <v>Quality mediocre I am sorry to see that after a first wash the colors do not insist. What was white became pink from the red of the light, and the reasons have almost disappeared. deplorable quality.</v>
      </c>
    </row>
    <row r="8366">
      <c r="A8366" s="1">
        <v>3.0</v>
      </c>
      <c r="B8366" s="1" t="s">
        <v>8246</v>
      </c>
      <c r="C8366" t="str">
        <f>IFERROR(__xludf.DUMMYFUNCTION("GOOGLETRANSLATE(B8366, ""fr"", ""en"")"),"The Useand etdon result for the back. The unit is a little too rigid")</f>
        <v>The Useand etdon result for the back. The unit is a little too rigid</v>
      </c>
    </row>
    <row r="8367">
      <c r="A8367" s="1">
        <v>3.0</v>
      </c>
      <c r="B8367" s="1" t="s">
        <v>8247</v>
      </c>
      <c r="C8367" t="str">
        <f>IFERROR(__xludf.DUMMYFUNCTION("GOOGLETRANSLATE(B8367, ""fr"", ""en"")"),"Nice but narrow Too bad I found're too nice but I could shake my cramped in the shoe I've preferred return")</f>
        <v>Nice but narrow Too bad I found're too nice but I could shake my cramped in the shoe I've preferred return</v>
      </c>
    </row>
    <row r="8368">
      <c r="A8368" s="1">
        <v>4.0</v>
      </c>
      <c r="B8368" s="1" t="s">
        <v>8248</v>
      </c>
      <c r="C8368" t="str">
        <f>IFERROR(__xludf.DUMMYFUNCTION("GOOGLETRANSLATE(B8368, ""fr"", ""en"")"),"To see with the time I used the product, I know of no efficiency. I'll see with time. By cons, delivered with the product which sank in the package, it was not an option.")</f>
        <v>To see with the time I used the product, I know of no efficiency. I'll see with time. By cons, delivered with the product which sank in the package, it was not an option.</v>
      </c>
    </row>
    <row r="8369">
      <c r="A8369" s="1">
        <v>4.0</v>
      </c>
      <c r="B8369" s="1" t="s">
        <v>8249</v>
      </c>
      <c r="C8369" t="str">
        <f>IFERROR(__xludf.DUMMYFUNCTION("GOOGLETRANSLATE(B8369, ""fr"", ""en"")"),"Satisfied It is beautiful but yawns me a little too waist. I'm doing 38 on the thighs and buttocks, and 36 at the waist. His was nikel if the elastic belly would just more elastic to tighten better now or dettendre (fit every corp). He did not sheath me a"&amp;"t all ... Otherwise if leggings are great and it is tall as I like. The gray color is the same as the photo I am generally very satisfied.")</f>
        <v>Satisfied It is beautiful but yawns me a little too waist. I'm doing 38 on the thighs and buttocks, and 36 at the waist. His was nikel if the elastic belly would just more elastic to tighten better now or dettendre (fit every corp). He did not sheath me at all ... Otherwise if leggings are great and it is tall as I like. The gray color is the same as the photo I am generally very satisfied.</v>
      </c>
    </row>
    <row r="8370">
      <c r="A8370" s="1">
        <v>4.0</v>
      </c>
      <c r="B8370" s="1" t="s">
        <v>8250</v>
      </c>
      <c r="C8370" t="str">
        <f>IFERROR(__xludf.DUMMYFUNCTION("GOOGLETRANSLATE(B8370, ""fr"", ""en"")"),"product quality feet warm and good support")</f>
        <v>product quality feet warm and good support</v>
      </c>
    </row>
    <row r="8371">
      <c r="A8371" s="1">
        <v>4.0</v>
      </c>
      <c r="B8371" s="1" t="s">
        <v>8251</v>
      </c>
      <c r="C8371" t="str">
        <f>IFERROR(__xludf.DUMMYFUNCTION("GOOGLETRANSLATE(B8371, ""fr"", ""en"")"),"Against bacteria wipes ideal for toilets, door handles, power buttons etc ...... I can only recommend this product while forgetting to wash hands.")</f>
        <v>Against bacteria wipes ideal for toilets, door handles, power buttons etc ...... I can only recommend this product while forgetting to wash hands.</v>
      </c>
    </row>
    <row r="8372">
      <c r="A8372" s="1">
        <v>4.0</v>
      </c>
      <c r="B8372" s="1" t="s">
        <v>8252</v>
      </c>
      <c r="C8372" t="str">
        <f>IFERROR(__xludf.DUMMYFUNCTION("GOOGLETRANSLATE(B8372, ""fr"", ""en"")"),"Cartridge HP no say HP branded cartridge, received quickly, nothing to say about the quality of the price is exorbitant for a poor cartridge but still cheaper here. The printer business plan is consumable, it is well known ... :)")</f>
        <v>Cartridge HP no say HP branded cartridge, received quickly, nothing to say about the quality of the price is exorbitant for a poor cartridge but still cheaper here. The printer business plan is consumable, it is well known ... :)</v>
      </c>
    </row>
    <row r="8373">
      <c r="A8373" s="1">
        <v>5.0</v>
      </c>
      <c r="B8373" s="1" t="s">
        <v>1754</v>
      </c>
      <c r="C8373" t="str">
        <f>IFERROR(__xludf.DUMMYFUNCTION("GOOGLETRANSLATE(B8373, ""fr"", ""en"")"),"very comfortable I bought these shoes for my teen son who usually covers only the brand, in addition to finding the ""too"" nice, he is really comfortable. I'm happy with my purchase especially at this price!")</f>
        <v>very comfortable I bought these shoes for my teen son who usually covers only the brand, in addition to finding the "too" nice, he is really comfortable. I'm happy with my purchase especially at this price!</v>
      </c>
    </row>
    <row r="8374">
      <c r="A8374" s="1">
        <v>5.0</v>
      </c>
      <c r="B8374" s="1" t="s">
        <v>8253</v>
      </c>
      <c r="C8374" t="str">
        <f>IFERROR(__xludf.DUMMYFUNCTION("GOOGLETRANSLATE(B8374, ""fr"", ""en"")"),"It is very convenient brush very convenient for cleaning baby bottles, the small nozzle to clean the teats is super.et the base allows the store without taking dust and dry it")</f>
        <v>It is very convenient brush very convenient for cleaning baby bottles, the small nozzle to clean the teats is super.et the base allows the store without taking dust and dry it</v>
      </c>
    </row>
    <row r="8375">
      <c r="A8375" s="1">
        <v>5.0</v>
      </c>
      <c r="B8375" s="1" t="s">
        <v>8254</v>
      </c>
      <c r="C8375" t="str">
        <f>IFERROR(__xludf.DUMMYFUNCTION("GOOGLETRANSLATE(B8375, ""fr"", ""en"")"),"This quality XLR cable is very good and is very suitable for my table and my KRK Pioneer speakers.")</f>
        <v>This quality XLR cable is very good and is very suitable for my table and my KRK Pioneer speakers.</v>
      </c>
    </row>
    <row r="8376">
      <c r="A8376" s="1">
        <v>5.0</v>
      </c>
      <c r="B8376" s="1" t="s">
        <v>8255</v>
      </c>
      <c r="C8376" t="str">
        <f>IFERROR(__xludf.DUMMYFUNCTION("GOOGLETRANSLATE(B8376, ""fr"", ""en"")"),"Very nice quality very satisfactory functional object and enjoyable to watch. Consistent with the description.")</f>
        <v>Very nice quality very satisfactory functional object and enjoyable to watch. Consistent with the description.</v>
      </c>
    </row>
    <row r="8377">
      <c r="A8377" s="1">
        <v>5.0</v>
      </c>
      <c r="B8377" s="1" t="s">
        <v>8256</v>
      </c>
      <c r="C8377" t="str">
        <f>IFERROR(__xludf.DUMMYFUNCTION("GOOGLETRANSLATE(B8377, ""fr"", ""en"")"),"No bill for this Artile This article is under warranty but I do not have the invoice. Thank you !")</f>
        <v>No bill for this Artile This article is under warranty but I do not have the invoice. Thank you !</v>
      </c>
    </row>
    <row r="8378">
      <c r="A8378" s="1">
        <v>5.0</v>
      </c>
      <c r="B8378" s="1" t="s">
        <v>8257</v>
      </c>
      <c r="C8378" t="str">
        <f>IFERROR(__xludf.DUMMYFUNCTION("GOOGLETRANSLATE(B8378, ""fr"", ""en"")"),"Kim impeccable output Bottine very good good reference bills")</f>
        <v>Kim impeccable output Bottine very good good reference bills</v>
      </c>
    </row>
    <row r="8379">
      <c r="A8379" s="1">
        <v>5.0</v>
      </c>
      <c r="B8379" s="1" t="s">
        <v>8258</v>
      </c>
      <c r="C8379" t="str">
        <f>IFERROR(__xludf.DUMMYFUNCTION("GOOGLETRANSLATE(B8379, ""fr"", ""en"")"),"Meets Fast delivery, product consistent with the description, useful for everyday and the whole family. Good buy and good value.")</f>
        <v>Meets Fast delivery, product consistent with the description, useful for everyday and the whole family. Good buy and good value.</v>
      </c>
    </row>
    <row r="8380">
      <c r="A8380" s="1">
        <v>5.0</v>
      </c>
      <c r="B8380" s="1" t="s">
        <v>3359</v>
      </c>
      <c r="C8380" t="str">
        <f>IFERROR(__xludf.DUMMYFUNCTION("GOOGLETRANSLATE(B8380, ""fr"", ""en"")"),"👍 👍")</f>
        <v>👍 👍</v>
      </c>
    </row>
    <row r="8381">
      <c r="A8381" s="1">
        <v>5.0</v>
      </c>
      <c r="B8381" s="1" t="s">
        <v>8259</v>
      </c>
      <c r="C8381" t="str">
        <f>IFERROR(__xludf.DUMMYFUNCTION("GOOGLETRANSLATE(B8381, ""fr"", ""en"")"),"Spacer chain Too much")</f>
        <v>Spacer chain Too much</v>
      </c>
    </row>
    <row r="8382">
      <c r="A8382" s="1">
        <v>5.0</v>
      </c>
      <c r="B8382" s="1" t="s">
        <v>8260</v>
      </c>
      <c r="C8382" t="str">
        <f>IFERROR(__xludf.DUMMYFUNCTION("GOOGLETRANSLATE(B8382, ""fr"", ""en"")"),"Beautiful gift for beautiful mother beautiful")</f>
        <v>Beautiful gift for beautiful mother beautiful</v>
      </c>
    </row>
    <row r="8383">
      <c r="A8383" s="1">
        <v>5.0</v>
      </c>
      <c r="B8383" s="1" t="s">
        <v>8261</v>
      </c>
      <c r="C8383" t="str">
        <f>IFERROR(__xludf.DUMMYFUNCTION("GOOGLETRANSLATE(B8383, ""fr"", ""en"")"),"Good product Satisfied")</f>
        <v>Good product Satisfied</v>
      </c>
    </row>
    <row r="8384">
      <c r="A8384" s="1">
        <v>5.0</v>
      </c>
      <c r="B8384" s="1" t="s">
        <v>8262</v>
      </c>
      <c r="C8384" t="str">
        <f>IFERROR(__xludf.DUMMYFUNCTION("GOOGLETRANSLATE(B8384, ""fr"", ""en"")"),"Ideal for the price I bought this mic kit for emergency pickups in my karaoke benefits or sound of events. I tried them this weekend and I was not expecting much considering the price but overall the quality is excellent. Insensitive to feedback, ability "&amp;"to change frequencies (and thus connecting multiple kits), the microphones are rather heavy unlike entry microphones all plastic and especially they have a good range indoors and outdoors. Another plus is the independent volume control on each microphone."&amp;" I regret two things, it's no mute (but it fits, some much more expensive microphones did not) and the lack of opportunity to Racker receiver (but again is the chipotage). The booklet comes with gives very good explanations and French! I am more than sati"&amp;"sfied. To see what it will give in time.")</f>
        <v>Ideal for the price I bought this mic kit for emergency pickups in my karaoke benefits or sound of events. I tried them this weekend and I was not expecting much considering the price but overall the quality is excellent. Insensitive to feedback, ability to change frequencies (and thus connecting multiple kits), the microphones are rather heavy unlike entry microphones all plastic and especially they have a good range indoors and outdoors. Another plus is the independent volume control on each microphone. I regret two things, it's no mute (but it fits, some much more expensive microphones did not) and the lack of opportunity to Racker receiver (but again is the chipotage). The booklet comes with gives very good explanations and French! I am more than satisfied. To see what it will give in time.</v>
      </c>
    </row>
    <row r="8385">
      <c r="A8385" s="1">
        <v>5.0</v>
      </c>
      <c r="B8385" s="1" t="s">
        <v>8263</v>
      </c>
      <c r="C8385" t="str">
        <f>IFERROR(__xludf.DUMMYFUNCTION("GOOGLETRANSLATE(B8385, ""fr"", ""en"")"),"Very light and useful. &lt;Div id = ""video-block-R15I3L2FGMHTD6"" class = ""a-section-spacing has-small-spacing-top video mini-block""&gt; &lt;div tabindex = ""0"" class = ""airy airy-svg vmin- unsupported airy-skin-beacon ""style ="" background-color: rgb (0, 0,"&amp;" 0); position: relative; width: 100%; height: 100%; font-size: 0px; overflow: hidden; outline: none ; ""&gt; &lt;div class ="" airy-renderer-container ""style ="" position: relative; height: 100%; width: 100%; ""&gt; &lt;video id ="" 55 ""preload ="" auto ""src ="" h"&amp;"ttps: //images-eu.ssl-images-amazon.com/images/I/A1WGatCbcRS.mp4 ""style ="" position: absolute; left: 0px; top: 0px; overflow: hidden; height: 1px; width: 1px; "" &gt; &lt;/ video&gt; &lt;/ div&gt; &lt;div id = ""airy-slate-preload"" style = ""background-color: rgb (0, 0,"&amp;" 0); background-image: url (&amp; quot; https: // images- eu.ssl-images-amazon.com/images/I/91mPsI2x85S.png&amp;quot;); background-size: contain; background-position: center center; background-repeat: no-repeat; position: absolute; top: 0px; left : 0px; visibilit"&amp;"y: visible; width: 100%; height: 100% ""&gt; &lt;/ div&gt; &lt;iframe scrolling ="" no ""framebord st = ""0"" src = ""about: blank"" style = ""display: none;""&gt; &lt;/ iframe&gt; &lt;div tabindex = ""- 1"" class = ""airy-controls-container"" style = ""opacity: 0; visibility: h"&amp;"idden; ""&gt; &lt;div tabindex ="" - 1 ""class ="" airy-screen-size-toggle airy-fullscreen ""&gt; &lt;/ div&gt; &lt;div tabindex ="" - 1 ""class ="" airy-container-bottom "" &gt; &lt;div tabindex = ""- 1"" class = ""airy-track-bar spacer-left"" style = ""width: 11px;""&gt; &lt;/ div&gt; "&amp;"&lt;div tabindex = ""- 1"" class = ""airy-play- toggle airy-play ""style ="" width: 12px; margin-right: 12px; ""&gt; &lt;/ div&gt; &lt;div tabindex ="" - 1 ""class ="" airy-audio-elements ""style ="" float: right; width: 34px; ""&gt; &lt;div tabindex ="" - 1 ""class ="" airy-"&amp;"audio-toggle airy-on ""&gt; &lt;/ div&gt; &lt;div tabindex ="" - 1 ""class ="" airy-audio-container ""style = ""opacity: 0; visibility: hidden; ""&gt; &lt;div tabindex ="" - 1 ""class ="" airy-audio-track-bar ""style ="" height: 80%; ""&gt; &lt;div tabindex ="" - 1 ""class ="" a"&amp;"iry-audio- scrubber bar ""style ="" height: 85% ""&gt; &lt;/ div&gt; &lt;div tabindex ="" - 1 ""class ="" airy-audio-scrubber ""style ="" height: 12px; bottom: 85% ""&gt; &lt;/ div&gt; &lt;/ div&gt; &lt;/ div&gt; &lt;/ div&gt; &lt;div tabindex ="" - 1 ""class ="" airy-duration-label ""style ="" f"&amp;"loat: right; width: 26px; margin-right: 4px; text-align: center; ""&gt; 0:00 &lt;/ div&gt; &lt;div tabindex ="" - 1 ""class ="" airy-track-bar spacer-right ""style ="" float: right; width: 11px; ""&gt; &lt;/ div&gt; &lt;div tabindex ="" - 1 ""class ="" airy-track-bar-container "&amp;"""style ="" margin-left: 35px; margin-right: 75px; ""&gt; &lt;div tabindex ="" - 1 ""class ="" airy-airy-track-bar vertical-centering-table ""&gt; &lt;div tabindex ="" - 1 ""class ="" airy-vertical-centering- table-cell ""&gt; &lt;div tabindex ="" - 1 ""class ="" airy-trac"&amp;"k-bar elements ""&gt; &lt;div tabindex ="" - 1 ""class ="" airy-progress bar ""&gt; &lt;/ div&gt; &lt;div tabindex = ""- 1"" class = ""airy-scrubber bar""&gt; &lt;/ div&gt; &lt;div tabindex = ""- 1"" class = ""airy-scrubber""&gt; &lt;div tabindex = ""- 1"" class = ""airy-scrubber- icon ""&gt; "&amp;"&lt;/ div&gt; &lt;div tabindex ="" - 1 ""class ="" airy-adjusted-aui-tooltip ""style ="" opacity: 0; visibility: hidden; ""&gt; &lt;div tabindex ="" - 1 ""class ="" airy-adjusted-aui-tooltip-inner ""&gt; &lt;div tabindex ="" - 1 ""class ="" airy-current-time-label ""&gt; 0 00 &lt;/"&amp;" div&gt; &lt;/ div&gt; &lt;div tabindex = ""- 1"" class = ""airy-adjusted-aui-arrow-border""&gt; &lt;div tabindex = ""- 1"" class = ""airy-adjusted-aui-arrow"" &gt; &lt;/ div&gt; &lt;/ div&gt; &lt;/ div&gt; &lt;/ div&gt; &lt;/ div&gt; &lt;/ div&gt; &lt;/ div&gt; &lt;/ div&gt; &lt;/ div&gt; &lt;/ div&gt; &lt;div tabindex = ""- 1"" class ="&amp;" ""airy-airy-age-gate course airy-vertical-centering table-airy-dialog"" style = ""opacity: 0; visibility: hidden; ""&gt; &lt;div tabindex ="" - 1 ""class ="" airy-age-gate-vertical-centering-table-cell airy-vertical-centering-table-cell ""&gt; &lt;div tabindex ="" -"&amp;" 1 ""class = ""airy-vertical-centering-wrapper airy-age-gate-elements-wrapper""&gt; &lt;div tabindex = ""- 1"" class = ""airy-age-gate-elements airy-dialog-elements""&gt; &lt;div tabindex = "" -1 ""class ="" airy-age-gate-prompt ""&gt; This video is not Intended for all"&amp;" audiences What time were you born &lt;/ div&gt; &lt;div tabindex =.?"" - 1 ""class ="" airy-age-gate -inputs airy-dialog-inner-elements ""&gt; &lt;select tabindex ="" - 1 ""class ="" airy-age-gate-month ""&gt; &lt;option value ="" 1 ""&gt; January &lt;/ option&gt; &lt;option value ="" 2"&amp;" ""&gt; February &lt;/ option&gt; &lt;option value ="" 3 ""&gt; March &lt;/ option&gt; &lt;option value ="" 4 ""&gt; April &lt;/ option&gt; &lt;option value ="" 5 ""&gt; May &lt;/ option&gt; &lt;option value = ""6""&gt; June &lt;/ option&gt; &lt;option value = ""7""&gt; July &lt;/ option&gt; &lt;option value = ""8""&gt; August &lt;"&amp;"/ option&gt; &lt;option value = ""9""&gt; September &lt;/ option&gt; &lt;option value = ""10""&gt; October &lt;/ option&gt; &lt;option value = ""11""&gt; November &lt;/ option&gt; &lt;option value = ""12""&gt; December &lt;/ option&gt; &lt;/ select&gt; &lt;select tabindex = ""- 1"" class = ""airy-age-gate-day""&gt; &lt;"&amp;"opti = One value ""1""&gt; 1 &lt;/ option&gt; &lt;option value = ""2""&gt; 2 &lt;/ option&gt; &lt;option value = ""3""&gt; 3 &lt;/ option&gt; &lt;option value = ""4""&gt; 4 &lt;/ option &gt; &lt;option value = ""5""&gt; 5 &lt;/ option&gt; &lt;option value = ""6""&gt; 6 &lt;/ option&gt; &lt;option value = ""7""&gt; 7 &lt;/ option&gt; &lt;"&amp;"option value = ""8""&gt; 8 &lt; / option&gt; &lt;option value = ""9""&gt; 9 &lt;/ option&gt; &lt;option value = ""10""&gt; 10 &lt;/ option&gt; &lt;option value = ""11""&gt; 11 &lt;/ option&gt; &lt;option value = ""12""&gt; 12 &lt;/ option&gt; &lt;option value = ""13""&gt; 13 &lt;/ option&gt; &lt;option value = ""14""&gt; 14 &lt;/ o"&amp;"ption&gt; &lt;option value = ""15""&gt; 15 &lt;/ option&gt; &lt;option value = ""16 ""&gt; 16 &lt;/ option&gt; &lt;option value ="" 17 ""&gt; 17 &lt;/ option&gt; &lt;option value ="" 18 ""&gt; 18 &lt;/ option&gt; &lt;option value ="" 19 ""&gt; 19 &lt;/ option&gt; &lt;option value = ""20""&gt; 20 &lt;/ option&gt; &lt;option value = "&amp;"""21""&gt; 21 &lt;/ option&gt; &lt;option value = ""22""&gt; 22 &lt;/ option&gt; &lt;option value = ""23""&gt; 23 &lt;/ option&gt; &lt;option value = ""24""&gt; 24 &lt;/ option&gt; &lt;option value = ""25""&gt; 25 &lt;/ option&gt; &lt;option value = ""26""&gt; 26 &lt;/ option&gt; &lt;option value = ""27""&gt; 27 &lt;/ option&gt; &lt;opti"&amp;"on value = ""28""&gt; 28 &lt;/ option&gt; &lt;option value = ""29""&gt; 29 &lt;/ option&gt; &lt;option value = ""30""&gt; 30 &lt;/ option&gt; &lt;option value = ""31""&gt; 31 &lt;/ option&gt; &lt;/ select&gt; &lt;select tabindex = ""- 1"" class = ""airy-age-gate-year""&gt; &lt;option value = ""2019""&gt; 2019 &lt;/ opti"&amp;"on&gt; &lt; option value = ""2018""&gt; 2018 &lt;/ option&gt; &lt;option value = ""2017""&gt; 2017 &lt;/ option&gt; &lt;option value = ""2016""&gt; ​​2016 &lt;/ option&gt; &lt;option value = ""2015""&gt; 2015 &lt;/ option &gt; &lt;option value = ""2014""&gt; 2014 &lt;/ option&gt; &lt;option value = ""2013""&gt; 2013 &lt;/ opt"&amp;"ion&gt; &lt;option value = ""2012""&gt; 2012 &lt;/ option&gt; &lt;option value = ""2011""&gt; 2011 &lt; / option&gt; &lt;option value = ""2010""&gt; 2010 &lt;/ option&gt; &lt;option value = ""2009""&gt; 2009 &lt;/ option&gt; &lt;option value = ""2008""&gt; 2008 &lt;/ option&gt; &lt;option value = ""2007""&gt; 2007 &lt;/ optio"&amp;"n&gt; &lt;option value = ""2006""&gt; 2006 &lt;/ option&gt; &lt;option value = ""2005""&gt; 2005 &lt;/ option&gt; &lt;option value = ""2004""&gt; 2004 &lt;/ option&gt; &lt;option value = ""2003 ""&gt; 2003 &lt;/ option&gt; &lt;option value ="" 2002 ""&gt; 2002 &lt;/ option&gt; &lt;option value ="" 2001 ""&gt; 2001 &lt;/ optio"&amp;"n&gt; &lt;option value ="" 2000 ""&gt; 2000 &lt;/ option&gt; &lt;option value = ""1999""&gt; 1999 &lt;/ option&gt; &lt;option value = ""1998""&gt; 1998 &lt;/ option&gt; &lt;option value = ""1997""&gt; 1997 &lt;/ option&gt; &lt;option value = ""1996""&gt; 1996 &lt;/ option&gt; &lt;option value = ""1995""&gt; 1995 &lt;/ option&gt;"&amp;" &lt;option value = ""1994""&gt; 1994 &lt;/ option&gt; &lt;option value = ""1993""&gt; 1993 &lt;/ option&gt; &lt;option value = ""1992""&gt; 1992 &lt;/ option&gt; &lt;option value = ""1991""&gt; 1991 &lt;/ option&gt; &lt;option value = ""1990""&gt; 1990 &lt;/ option&gt; &lt;option value = "" 1989 ""&gt; 1989 &lt;/ option&gt; "&amp;"&lt;option value ="" 1988 ""&gt; 1988 &lt;/ option&gt; &lt;option value ="" 1987 ""&gt; 1987 &lt;/ option&gt; &lt;option value ="" 1986 ""&gt; 1986 &lt;/ option&gt; &lt;option value = ""1985""&gt; 1985 &lt;/ option&gt; &lt;option value = ""1984""&gt; 1984 &lt;/ option&gt; &lt;option value = ""1983""&gt; 1983 &lt;/ option&gt; "&amp;"&lt;option value = ""1982""&gt; 1982 &lt;/ option&gt; &lt; option value = ""1981""&gt; 1981 &lt;/ option&gt; &lt;option value = ""1980""&gt; 1980 &lt;/ option&gt; &lt;option value = ""1979""&gt; 1979 &lt;/ option&gt; &lt;option value = ""1978""&gt; 1978 &lt;/ option &gt; &lt;option value = ""1977""&gt; 1977 &lt;/ option&gt; &lt;"&amp;"option value = ""1976""&gt; 1976 &lt;/ option&gt; &lt;option value = ""1975""&gt; 1975 &lt;/ option&gt; &lt;option value = ""1974""&gt; 1974 &lt; / option&gt; &lt;option value = ""1973""&gt; 1973 &lt;/ option&gt; &lt;option value = ""1972""&gt; 1972 &lt;/ option&gt; &lt;option value = ""1971""&gt; 1971 &lt;/ option&gt; &lt;op"&amp;"tion value = ""1970""&gt; 1970 &lt;/ option&gt; &lt;option value = ""1969""&gt; 1969 &lt;/ option&gt; &lt;option value = ""1968""&gt; 1968 &lt;/ option&gt; &lt;option value = ""1967""&gt; 1967 &lt;/ option&gt; &lt;option value = ""1966 ""&gt; 1966 &lt;/ option&gt; &lt;option value ="" 1965 ""&gt; 1965 &lt;/ option&gt; &lt;opt"&amp;"ion value ="" 1964 ""&gt; 1964 &lt;/ option&gt; &lt;option value ="" 1963 ""&gt; 1963 &lt;/ option&gt; &lt;option value = ""1962""&gt; 1962 &lt;/ option&gt; &lt;option value = ""1961""&gt; 1961 &lt;/ option&gt; &lt;option value = ""1960""&gt; 1960 &lt;/ op tion&gt; &lt;option value = ""1959""&gt; 1959 &lt;/ option&gt; &lt;opt"&amp;"ion value = ""1958""&gt; 1958 &lt;/ option&gt; &lt;option value = ""1957""&gt; 1957 &lt;/ option&gt; &lt;option value = ""1956""&gt; 1956 &lt;/ option&gt; &lt;option value = ""1955""&gt; 1955 &lt;/ option&gt; &lt;option value = ""1954""&gt; 1954 &lt;/ option&gt; &lt;option value = ""1953""&gt; 1953 &lt;/ option&gt; &lt;option"&amp;" value = ""1952"" &gt; 1952 &lt;/ option&gt; &lt;option value = ""1951""&gt; 1951 &lt;/ option&gt; &lt;option value = ""1950""&gt; 1950 &lt;/ option&gt; &lt;option value = ""1949""&gt; 1949 &lt;/ option&gt; &lt;option value = "" 1948 ""&gt; 1948 &lt;/ option&gt; &lt;option value ="" 1947 ""&gt; 1947 &lt;/ option&gt; &lt;optio"&amp;"n value ="" 1946 ""&gt; 1946 &lt;/ option&gt; &lt;option value ="" 1945 ""&gt; 1945 &lt;/ option&gt; &lt;option value = ""1944""&gt; 1944 &lt;/ option&gt; &lt;option value = ""1943""&gt; 1943 &lt;/ option&gt; &lt;option value = ""1942""&gt; 1942 &lt;/ option&gt; &lt;option value = ""1941""&gt; 1941 &lt;/ option&gt; &lt; optio"&amp;"n value = ""1940""&gt; 1940 &lt;/ option&gt; &lt;option value = ""1939""&gt; 1939 &lt;/ option&gt; &lt;option value = ""1938""&gt; 1938 &lt;/ option&gt; &lt;option value = ""1937""&gt; 1937 &lt;/ option &gt; &lt;option value = ""1936""&gt; 1936 &lt;/ option&gt; &lt;option value = ""1935""&gt; 1935 &lt;/ option&gt; &lt;option "&amp;"value = ""1934""&gt; 1934 &lt;/ option&gt; &lt;option value = ""1933""&gt; 1933 &lt; / option&gt; &lt;option value = ""1932""&gt; 1932 &lt;/ option&gt; &lt;option value = ""1931""&gt; 1931 &lt;/ option&gt; &lt;option v alue = ""1930""&gt; 1930 &lt;/ option&gt; &lt;option value = ""1929""&gt; 1929 &lt;/ option&gt; &lt;option v"&amp;"alue = ""1928""&gt; 1928 &lt;/ option&gt; &lt;option value = ""1927""&gt; 1927 &lt;/ option&gt; &lt;option value = ""1926""&gt; 1926 &lt;/ option&gt; &lt;option value = ""1925""&gt; 1925 &lt;/ option&gt; &lt;option value = ""1924""&gt; 1924 &lt;/ option&gt; &lt;option value = ""1923""&gt; 1923 &lt;/ option&gt; &lt;option valu"&amp;"e = ""1922""&gt; 1922 &lt;/ option&gt; &lt;option value = ""1921""&gt; 1921 &lt;/ option&gt; &lt;option value = ""1920""&gt; 1920 &lt;/ option&gt; &lt;option value = ""1919""&gt; 1919 &lt;/ option&gt; &lt;option value = ""1918""&gt; 1918 &lt;/ option&gt; &lt;option value = ""1917""&gt; 1917 &lt;/ option&gt; &lt;option value ="&amp;" ""1916""&gt; 1916 &lt;/ option&gt; &lt;option value = ""1915"" &gt; 1915 &lt;/ option&gt; &lt;option value = ""1914""&gt; 1914 &lt;/ option&gt; &lt;option value = ""1913""&gt; 1913 &lt;/ option&gt; &lt;option value = ""1912""&gt; 1912 &lt;/ option&gt; &lt;option value = "" 1911 ""&gt; 1911 &lt;/ option&gt; &lt;option value ="&amp;""" 1910 ""&gt; 1910 &lt;/ option&gt; &lt;option value ="" 1909 ""&gt; 1909 &lt;/ option&gt; &lt;option value ="" 1908 ""&gt; 1908 &lt;/ option&gt; &lt;option value = ""1907""&gt; 1907 &lt;/ option&gt; &lt;option value = ""1906""&gt; 1906 &lt;/ option&gt; &lt;option value = ""1905""&gt; 1905 &lt;/ option&gt; &lt;option value ="&amp;" ""1904""&gt; 1904 &lt;/ option&gt; &lt; option value = ""1903""&gt; 1903 &lt;/ option&gt; &lt;option value = ""1902""&gt; 1902 &lt;/ option&gt; &lt;option value = ""1901""&gt; 19 01 &lt;/ option&gt; &lt;option value = ""1900""&gt; 1900 &lt;/ option&gt; &lt;/ select&gt; &lt;div tabindex = ""- 1"" class = ""airy-age-gate"&amp;"-submit airy-submit-button airy airy-submit- disabled ""&gt; Submit &lt;/ div&gt; &lt;/ div&gt; &lt;/ div&gt; &lt;/ div&gt; &lt;/ div&gt; &lt;/ div&gt; &lt;div tabindex ="" - 1 ""class ="" airy-install-flash-dialog airy-course airy -Vertical-centering-table dialog airy-airy-denied ""style ="" opa"&amp;"city: 0; visibility: hidden; ""&gt; &lt;div tabindex ="" - 1 ""class ="" airy-install-flash-vertical-centering-table-cell airy-vertical-centering-table-cell ""&gt; &lt;div tabindex ="" - 1 ""class = ""airy-vertical-centering-wrapper airy-install-flash-elements-wrappe"&amp;"r""&gt; &lt;div tabindex = ""- 1"" class = ""airy-install-flash-elements airy-dialog-elements""&gt; &lt;div tabindex = "" -1 ""class ="" airy-install-flash-prompt ""&gt; Adobe Flash Player is required to watch this video &lt;/ div&gt; &lt;div = tabindex."" - 1 ""class ="" airy-i"&amp;"nstall-flash-button-wrapper airy -dialog-inner-elements ""&gt; &lt;div tabindex ="" - 1 ""class ="" airy-install-flash-button airy-button ""&gt; install Flash Player &lt;/ div&gt; &lt;/ div&gt; &lt;/ div&gt; &lt;/ div&gt; &lt;/ div&gt; &lt;/ div&gt; &lt;div tabindex = ""- 1"" class = ""airy-video-unsup"&amp;"ported-dialog airy-course airy-vertical-centering table-airy-dialog airy-denied"" style = ""opacity: 0; visibility: hidden; ""&gt; &lt;div tabindex ="" - 1 ""class ="" airy-video-unsupported-vertical-centering-table-cell airy-vertical-centering-table-cell ""&gt; &lt;"&amp;"div tabindex ="" - 1 ""class = ""airy-vertical-centering-wrapper airy-video-unsupported-elements-wrapper""&gt; &lt;div tabindex = ""- 1"" class = ""airy-video-unsupported-elements airy-dialog-elements""&gt; &lt;div tabindex = "" -1 ""class ="" airy-video-unsupported-"&amp;"prompt ""&gt; &lt;/ div&gt; &lt;/ div&gt; &lt;/ div&gt; &lt;/ div&gt; &lt;/ div&gt; &lt;div tabindex ="" - 1 ""class ="" airy-loading- spinner-stage airy-stage ""&gt; &lt;div tabindex ="" - 1 ""class ="" airy-loading-spinner-vertical-centering-table-cell airy-vertical-centering-table-cell ""&gt; &lt;di"&amp;"v tabindex ="" - 1 ""class ="" airy-loading-spinner container airy-scalable-hint-container ""&gt; &lt;div tabindex ="" - 1 ""class ="" airy-loading-spinner-dummy airy-scalable-dummy ""&gt; &lt;/ div&gt; &lt; div tabindex = ""- 1"" class = ""airy-loading-spinner airy-hint"""&amp;" style = ""visibility: hidden;""&gt; &lt;/ div&gt; &lt;/ div&gt; &lt;/ div&gt; &lt;/ div&gt; &lt;div tabindex = ""- 1 ""class ="" airy-ads-screen-size-toggle airy-screen-size-toggle airy-fullscreen ""style ="" visibility: hidden; ""&gt; &lt;/ div&gt; &lt;div tabindex = ""-1"" class = ""airy-ad-pr"&amp;"ompt-container"" style = ""visibility: hidden;""&gt; &lt;div tabindex = ""- 1"" class = ""airy-ad-prompt-vertical-centering table-airy-vertical- centering-table ""&gt; &lt;div tabindex ="" - 1 ""class ="" airy-ad-prompt-vertical-centering-table-cell airy-vertical-cen"&amp;"tering-table-cell ""&gt; &lt;div tabindex ="" - 1 ""class = ""airy-ad-prompt-label""&gt; &lt;/ div&gt; &lt;/ div&gt; &lt;/ div&gt; &lt;/ div&gt; &lt;div tabindex = ""- 1"" class = ""airy-ads-controls-container"" style = ""visibility: hidden; ""&gt; &lt;div tabindex ="" - 1 ""class ="" airy-ads-au"&amp;"dio-toggle airy-audio-toggle airy-on ""style ="" visibility: hidden; ""&gt; &lt;/ div&gt; &lt;div tabindex ="" - 1 ""class ="" airy-time-remaining-label-container ""&gt; &lt;div tabindex ="" - 1 ""class ="" airy-time-remaining-vertical-centering table-airy-vertical-centeri"&amp;"ng-table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hidde"&amp;"n; ""&gt; &lt;/ div&gt; &lt;/ div&gt; &lt;/ div&gt; &lt;/ div&gt; &lt;/ div&gt; &lt;div tabindex ="" - 1 ""class ="" airy-learn-more ""style ="" visibility: hidden; ""&gt; &lt;/ div&gt; &lt;/ div&gt; &lt;div tabindex = ""- 1"" class = ""airy-play-toggle-hint-stage airy-course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 airy-hint-hint-hint airy-play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pictures-eu"&amp;" .ssl-image amazon.com / images / I / A1WGatCbcRS.mp4 ""Class ="" video-url ""&gt; &lt;input type ="" hidden ""name ="" ""value ="" https://images-eu.ssl-images-amazon.com/images/I/91mPsI2x85S.png ""class ="" video-slate-img-url ""&gt; &amp; nbsp; According to a very "&amp;"hard day with a foot bath massaging it's just great. As I walk a lot so forcing it hurts to walk. With this balneo, I feel so good with two massaging rollers turning, when I put water it heats alone, it helps DUCOUP has blood circulation .the machine does"&amp;" not make much noise, and easy to use , this is very useful to have this machine close yesterday recommend")</f>
        <v>Very light and useful. &lt;Div id = "video-block-R15I3L2FGMHTD6" class = "a-section-spacing has-small-spacing-top video mini-block"&gt; &lt;div tabindex = "0" class = "airy airy-svg vmin- unsupported airy-skin-beacon "style =" background-color: rgb (0, 0, 0); position: relative; width: 100%; height: 100%; font-size: 0px; overflow: hidden; outline: none ; "&gt; &lt;div class =" airy-renderer-container "style =" position: relative; height: 100%; width: 100%; "&gt; &lt;video id =" 55 "preload =" auto "src =" https: //images-eu.ssl-images-amazon.com/images/I/A1WGatCbcRS.mp4 "style =" position: absolute; left: 0px; top: 0px; overflow: hidden; height: 1px; width: 1px; " &gt; &lt;/ video&gt; &lt;/ div&gt; &lt;div id = "airy-slate-preload" style = "background-color: rgb (0, 0, 0); background-image: url (&amp; quot; https: // images- eu.ssl-images-amazon.com/images/I/91mPsI2x85S.png&amp;quot;); background-size: contain; background-position: center center; background-repeat: no-repeat; position: absolute; top: 0px; left : 0px; visibility: visible; width: 100%; height: 100% "&gt; &lt;/ div&gt; &lt;iframe scrolling =" no "framebord st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A1WGatCbcRS.mp4 "Class =" video-url "&gt; &lt;input type =" hidden "name =" "value =" https://images-eu.ssl-images-amazon.com/images/I/91mPsI2x85S.png "class =" video-slate-img-url "&gt; &amp; nbsp; According to a very hard day with a foot bath massaging it's just great. As I walk a lot so forcing it hurts to walk. With this balneo, I feel so good with two massaging rollers turning, when I put water it heats alone, it helps DUCOUP has blood circulation .the machine does not make much noise, and easy to use , this is very useful to have this machine close yesterday recommend</v>
      </c>
    </row>
    <row r="8386">
      <c r="A8386" s="1">
        <v>5.0</v>
      </c>
      <c r="B8386" s="1" t="s">
        <v>8264</v>
      </c>
      <c r="C8386" t="str">
        <f>IFERROR(__xludf.DUMMYFUNCTION("GOOGLETRANSLATE(B8386, ""fr"", ""en"")"),"good quality / price ratio My 12 year old son is delighted with this headset. It is suitable for adults and children. good sound. I recommend this product for its price / quality ratio")</f>
        <v>good quality / price ratio My 12 year old son is delighted with this headset. It is suitable for adults and children. good sound. I recommend this product for its price / quality ratio</v>
      </c>
    </row>
    <row r="8387">
      <c r="A8387" s="1">
        <v>5.0</v>
      </c>
      <c r="B8387" s="1" t="s">
        <v>8265</v>
      </c>
      <c r="C8387" t="str">
        <f>IFERROR(__xludf.DUMMYFUNCTION("GOOGLETRANSLATE(B8387, ""fr"", ""en"")"),"Alume gas good produce trains for gas, barbecue, I want to prevent that gas lighter is an electric arc that dog (well some) napréci not my dog ​​9 years this sove jalume as gas my other 6 does not react and brief teen rale. This is a good produce and rech"&amp;"argable therefore sustainable.")</f>
        <v>Alume gas good produce trains for gas, barbecue, I want to prevent that gas lighter is an electric arc that dog (well some) napréci not my dog ​​9 years this sove jalume as gas my other 6 does not react and brief teen rale. This is a good produce and rechargable therefore sustainable.</v>
      </c>
    </row>
    <row r="8388">
      <c r="A8388" s="1">
        <v>2.0</v>
      </c>
      <c r="B8388" s="1" t="s">
        <v>8266</v>
      </c>
      <c r="C8388" t="str">
        <f>IFERROR(__xludf.DUMMYFUNCTION("GOOGLETRANSLATE(B8388, ""fr"", ""en"")"),"Too thick leggings that look to be of good quality but too thick for me. It is hot as ski pants.")</f>
        <v>Too thick leggings that look to be of good quality but too thick for me. It is hot as ski pants.</v>
      </c>
    </row>
    <row r="8389">
      <c r="A8389" s="1">
        <v>1.0</v>
      </c>
      <c r="B8389" s="1" t="s">
        <v>8267</v>
      </c>
      <c r="C8389" t="str">
        <f>IFERROR(__xludf.DUMMYFUNCTION("GOOGLETRANSLATE(B8389, ""fr"", ""en"")"),"Earring No impossible to hang the earring must not profuit order is not good at all not to buy")</f>
        <v>Earring No impossible to hang the earring must not profuit order is not good at all not to buy</v>
      </c>
    </row>
    <row r="8390">
      <c r="A8390" s="1">
        <v>1.0</v>
      </c>
      <c r="B8390" s="1" t="s">
        <v>8268</v>
      </c>
      <c r="C8390" t="str">
        <f>IFERROR(__xludf.DUMMYFUNCTION("GOOGLETRANSLATE(B8390, ""fr"", ""en"")"),"Desus poor quality very very average quality of the tissue then very straight perfect cut for ""interesting profiles"" with sandals and white socks")</f>
        <v>Desus poor quality very very average quality of the tissue then very straight perfect cut for "interesting profiles" with sandals and white socks</v>
      </c>
    </row>
    <row r="8391">
      <c r="A8391" s="1">
        <v>3.0</v>
      </c>
      <c r="B8391" s="1" t="s">
        <v>8269</v>
      </c>
      <c r="C8391" t="str">
        <f>IFERROR(__xludf.DUMMYFUNCTION("GOOGLETRANSLATE(B8391, ""fr"", ""en"")"),"I like the value cartridges for its great prices cartridges nice I recommend it all just thank you very much !!!")</f>
        <v>I like the value cartridges for its great prices cartridges nice I recommend it all just thank you very much !!!</v>
      </c>
    </row>
    <row r="8392">
      <c r="A8392" s="1">
        <v>3.0</v>
      </c>
      <c r="B8392" s="1" t="s">
        <v>8270</v>
      </c>
      <c r="C8392" t="str">
        <f>IFERROR(__xludf.DUMMYFUNCTION("GOOGLETRANSLATE(B8392, ""fr"", ""en"")"),"A good product it is a good product, practice, taking hot and arrived in perfect condition. However it is very important to note that to heat the slippers to a maximum 40 seconds duration in the microwave to the turnovers will start to feel burned")</f>
        <v>A good product it is a good product, practice, taking hot and arrived in perfect condition. However it is very important to note that to heat the slippers to a maximum 40 seconds duration in the microwave to the turnovers will start to feel burned</v>
      </c>
    </row>
    <row r="8393">
      <c r="A8393" s="1">
        <v>4.0</v>
      </c>
      <c r="B8393" s="1" t="s">
        <v>8271</v>
      </c>
      <c r="C8393" t="str">
        <f>IFERROR(__xludf.DUMMYFUNCTION("GOOGLETRANSLATE(B8393, ""fr"", ""en"")"),"Comfortable but not extremely comfortable sustainable product, but wears very quickly. This is the third pair that I buy in a year and a half! I must say that I put every day and I work with it in my garden. But still!!!!")</f>
        <v>Comfortable but not extremely comfortable sustainable product, but wears very quickly. This is the third pair that I buy in a year and a half! I must say that I put every day and I work with it in my garden. But still!!!!</v>
      </c>
    </row>
    <row r="8394">
      <c r="A8394" s="1">
        <v>4.0</v>
      </c>
      <c r="B8394" s="1" t="s">
        <v>8272</v>
      </c>
      <c r="C8394" t="str">
        <f>IFERROR(__xludf.DUMMYFUNCTION("GOOGLETRANSLATE(B8394, ""fr"", ""en"")"),"thick quality shirts I use for my archived and classified files, the colors make it easy to establish a categorization and thickness of the shirt well protects documents")</f>
        <v>thick quality shirts I use for my archived and classified files, the colors make it easy to establish a categorization and thickness of the shirt well protects documents</v>
      </c>
    </row>
    <row r="8395">
      <c r="A8395" s="1">
        <v>4.0</v>
      </c>
      <c r="B8395" s="1" t="s">
        <v>8273</v>
      </c>
      <c r="C8395" t="str">
        <f>IFERROR(__xludf.DUMMYFUNCTION("GOOGLETRANSLATE(B8395, ""fr"", ""en"")"),"Perfectly perfect Once past the first day of very painful porting earned me beautiful blistered heels, I never leaves my Dr. Small wonders to wear with everything. They are extremely comfortable once the foot is adapted to it, they're going perfect for th"&amp;"is winter")</f>
        <v>Perfectly perfect Once past the first day of very painful porting earned me beautiful blistered heels, I never leaves my Dr. Small wonders to wear with everything. They are extremely comfortable once the foot is adapted to it, they're going perfect for this winter</v>
      </c>
    </row>
    <row r="8396">
      <c r="A8396" s="1">
        <v>4.0</v>
      </c>
      <c r="B8396" s="1" t="s">
        <v>8274</v>
      </c>
      <c r="C8396" t="str">
        <f>IFERROR(__xludf.DUMMYFUNCTION("GOOGLETRANSLATE(B8396, ""fr"", ""en"")"),"lot Felts write well plated, there are 10, I have not received the black felt and I double green. I keep them anyway but I'll have préfèré black.")</f>
        <v>lot Felts write well plated, there are 10, I have not received the black felt and I double green. I keep them anyway but I'll have préfèré black.</v>
      </c>
    </row>
    <row r="8397">
      <c r="A8397" s="1">
        <v>5.0</v>
      </c>
      <c r="B8397" s="1" t="s">
        <v>8275</v>
      </c>
      <c r="C8397" t="str">
        <f>IFERROR(__xludf.DUMMYFUNCTION("GOOGLETRANSLATE(B8397, ""fr"", ""en"")"),"Impeccable! To edit the stamps on the site of mail these labels are ideal, especially as the online software allows you to choose which labels will be printed. Come off well and stick perfectly.")</f>
        <v>Impeccable! To edit the stamps on the site of mail these labels are ideal, especially as the online software allows you to choose which labels will be printed. Come off well and stick perfectly.</v>
      </c>
    </row>
    <row r="8398">
      <c r="A8398" s="1">
        <v>5.0</v>
      </c>
      <c r="B8398" s="1" t="s">
        <v>8276</v>
      </c>
      <c r="C8398" t="str">
        <f>IFERROR(__xludf.DUMMYFUNCTION("GOOGLETRANSLATE(B8398, ""fr"", ""en"")"),"Congratulations Perfect right size, good quality, good color ... For palladium fans, I recommend ... very fast service thank you !!")</f>
        <v>Congratulations Perfect right size, good quality, good color ... For palladium fans, I recommend ... very fast service thank you !!</v>
      </c>
    </row>
    <row r="8399">
      <c r="A8399" s="1">
        <v>5.0</v>
      </c>
      <c r="B8399" s="1" t="s">
        <v>8277</v>
      </c>
      <c r="C8399" t="str">
        <f>IFERROR(__xludf.DUMMYFUNCTION("GOOGLETRANSLATE(B8399, ""fr"", ""en"")"),"very large calendar with appointments all very good quality well designed paper 1/4 hours from 7am to 20:45 am.")</f>
        <v>very large calendar with appointments all very good quality well designed paper 1/4 hours from 7am to 20:45 am.</v>
      </c>
    </row>
    <row r="8400">
      <c r="A8400" s="1">
        <v>5.0</v>
      </c>
      <c r="B8400" s="1" t="s">
        <v>8278</v>
      </c>
      <c r="C8400" t="str">
        <f>IFERROR(__xludf.DUMMYFUNCTION("GOOGLETRANSLATE(B8400, ""fr"", ""en"")"),"Super bottle quickly adopted by my daughter Good speed, solid, nice color and durable worry in the dishwasher. I would recommend no problem. My daughter adopted it shortly.")</f>
        <v>Super bottle quickly adopted by my daughter Good speed, solid, nice color and durable worry in the dishwasher. I would recommend no problem. My daughter adopted it shortly.</v>
      </c>
    </row>
    <row r="8401">
      <c r="A8401" s="1">
        <v>5.0</v>
      </c>
      <c r="B8401" s="1" t="s">
        <v>8279</v>
      </c>
      <c r="C8401" t="str">
        <f>IFERROR(__xludf.DUMMYFUNCTION("GOOGLETRANSLATE(B8401, ""fr"", ""en"")"),"Comfort and efficiency Very comfortable, well-sealed, good ankle support")</f>
        <v>Comfort and efficiency Very comfortable, well-sealed, good ankle support</v>
      </c>
    </row>
    <row r="8402">
      <c r="A8402" s="1">
        <v>5.0</v>
      </c>
      <c r="B8402" s="1" t="s">
        <v>8280</v>
      </c>
      <c r="C8402" t="str">
        <f>IFERROR(__xludf.DUMMYFUNCTION("GOOGLETRANSLATE(B8402, ""fr"", ""en"")"),"Conquered I had already purchased in other colors and I loved this product. I wanted to try other brands without satisfaction. I finally returned to my first choice is the brush ""classic"" Advent. On one side there is the rub-washing brushes fine and per"&amp;"fectly clean and the other little tip that can deep clean the teat. Great article, I buy it back.")</f>
        <v>Conquered I had already purchased in other colors and I loved this product. I wanted to try other brands without satisfaction. I finally returned to my first choice is the brush "classic" Advent. On one side there is the rub-washing brushes fine and perfectly clean and the other little tip that can deep clean the teat. Great article, I buy it back.</v>
      </c>
    </row>
    <row r="8403">
      <c r="A8403" s="1">
        <v>5.0</v>
      </c>
      <c r="B8403" s="1" t="s">
        <v>8281</v>
      </c>
      <c r="C8403" t="str">
        <f>IFERROR(__xludf.DUMMYFUNCTION("GOOGLETRANSLATE(B8403, ""fr"", ""en"")"),"🌞 Too much! The sound is very good. The headphones are received very well in the ear. The design is well thought out. The headphones are quite discreet. I like the housing that directly displays the percentage of battery available headphones. No more cab"&amp;"les snapped! 😎 ago few years, this type of product was overpriced. Then we saw happened copies of poor quality. And now, that's it, the 'copy' is perfect for a price quite affordable 👍")</f>
        <v>🌞 Too much! The sound is very good. The headphones are received very well in the ear. The design is well thought out. The headphones are quite discreet. I like the housing that directly displays the percentage of battery available headphones. No more cables snapped! 😎 ago few years, this type of product was overpriced. Then we saw happened copies of poor quality. And now, that's it, the 'copy' is perfect for a price quite affordable 👍</v>
      </c>
    </row>
    <row r="8404">
      <c r="A8404" s="1">
        <v>5.0</v>
      </c>
      <c r="B8404" s="1" t="s">
        <v>8282</v>
      </c>
      <c r="C8404" t="str">
        <f>IFERROR(__xludf.DUMMYFUNCTION("GOOGLETRANSLATE(B8404, ""fr"", ""en"")"),"Good pendulum very good product with a good price / quality ratio. The pendulum is very well finished and balanced, I like the shape and grip. Everything comes in a little pouch suede for transport.")</f>
        <v>Good pendulum very good product with a good price / quality ratio. The pendulum is very well finished and balanced, I like the shape and grip. Everything comes in a little pouch suede for transport.</v>
      </c>
    </row>
    <row r="8405">
      <c r="A8405" s="1">
        <v>5.0</v>
      </c>
      <c r="B8405" s="1" t="s">
        <v>8283</v>
      </c>
      <c r="C8405" t="str">
        <f>IFERROR(__xludf.DUMMYFUNCTION("GOOGLETRANSLATE(B8405, ""fr"", ""en"")"),"Very satisfied with my purchase shows excellent, superb and ample autonomy design for basic use (SMS and email on the watch) it is largely due day")</f>
        <v>Very satisfied with my purchase shows excellent, superb and ample autonomy design for basic use (SMS and email on the watch) it is largely due day</v>
      </c>
    </row>
    <row r="8406">
      <c r="A8406" s="1">
        <v>5.0</v>
      </c>
      <c r="B8406" s="1" t="s">
        <v>8284</v>
      </c>
      <c r="C8406" t="str">
        <f>IFERROR(__xludf.DUMMYFUNCTION("GOOGLETRANSLATE(B8406, ""fr"", ""en"")"),"Meets Super description! Very happy .")</f>
        <v>Meets Super description! Very happy .</v>
      </c>
    </row>
    <row r="8407">
      <c r="A8407" s="1">
        <v>5.0</v>
      </c>
      <c r="B8407" s="1" t="s">
        <v>8285</v>
      </c>
      <c r="C8407" t="str">
        <f>IFERROR(__xludf.DUMMYFUNCTION("GOOGLETRANSLATE(B8407, ""fr"", ""en"")"),"Five Stars well")</f>
        <v>Five Stars well</v>
      </c>
    </row>
    <row r="8408">
      <c r="A8408" s="1">
        <v>5.0</v>
      </c>
      <c r="B8408" s="1" t="s">
        <v>8286</v>
      </c>
      <c r="C8408" t="str">
        <f>IFERROR(__xludf.DUMMYFUNCTION("GOOGLETRANSLATE(B8408, ""fr"", ""en"")"),"This is after using it possible to leave a valid comment Meets demand. the positive Delivery time.")</f>
        <v>This is after using it possible to leave a valid comment Meets demand. the positive Delivery time.</v>
      </c>
    </row>
    <row r="8409">
      <c r="A8409" s="1">
        <v>5.0</v>
      </c>
      <c r="B8409" s="1" t="s">
        <v>8287</v>
      </c>
      <c r="C8409" t="str">
        <f>IFERROR(__xludf.DUMMYFUNCTION("GOOGLETRANSLATE(B8409, ""fr"", ""en"")"),"Exceptional comfort What a comfort, I often watch programs late at night and I do not bother my neighbors. This headset also allows me to do other occupations waiting for my desired program and follow the dice it begins. The settings and installation are "&amp;"easy. The only tricky part, I wear glasses and sometimes the branches cause pain to the ears.")</f>
        <v>Exceptional comfort What a comfort, I often watch programs late at night and I do not bother my neighbors. This headset also allows me to do other occupations waiting for my desired program and follow the dice it begins. The settings and installation are easy. The only tricky part, I wear glasses and sometimes the branches cause pain to the ears.</v>
      </c>
    </row>
    <row r="8410">
      <c r="A8410" s="1">
        <v>5.0</v>
      </c>
      <c r="B8410" s="1" t="s">
        <v>8288</v>
      </c>
      <c r="C8410" t="str">
        <f>IFERROR(__xludf.DUMMYFUNCTION("GOOGLETRANSLATE(B8410, ""fr"", ""en"")"),"fair price and fast shipping. Very nice bag, excellent quality as all products ""eastpak""")</f>
        <v>fair price and fast shipping. Very nice bag, excellent quality as all products "eastpak"</v>
      </c>
    </row>
    <row r="8411">
      <c r="A8411" s="1">
        <v>5.0</v>
      </c>
      <c r="B8411" s="1" t="s">
        <v>8289</v>
      </c>
      <c r="C8411" t="str">
        <f>IFERROR(__xludf.DUMMYFUNCTION("GOOGLETRANSLATE(B8411, ""fr"", ""en"")"),"VERIFIED PURCHASE Adapter. No complaints.")</f>
        <v>VERIFIED PURCHASE Adapter. No complaints.</v>
      </c>
    </row>
    <row r="8412">
      <c r="A8412" s="1">
        <v>2.0</v>
      </c>
      <c r="B8412" s="1" t="s">
        <v>8290</v>
      </c>
      <c r="C8412" t="str">
        <f>IFERROR(__xludf.DUMMYFUNCTION("GOOGLETRANSLATE(B8412, ""fr"", ""en"")"),"pretty disappointed loop earrings with a beautiful effect only I have already lost crystals. I have brought these pendants 2 days")</f>
        <v>pretty disappointed loop earrings with a beautiful effect only I have already lost crystals. I have brought these pendants 2 days</v>
      </c>
    </row>
    <row r="8413">
      <c r="A8413" s="1">
        <v>1.0</v>
      </c>
      <c r="B8413" s="1" t="s">
        <v>8291</v>
      </c>
      <c r="C8413" t="str">
        <f>IFERROR(__xludf.DUMMYFUNCTION("GOOGLETRANSLATE(B8413, ""fr"", ""en"")"),"caution on the size of the shoes I 46 and I took the shoes size 12 US (which generally suits me). Unfortunately the shoes are much too small (I think it lacks at least 2 sizes). Either the manufacturer made a mistake in marking either CROCS criteria to de"&amp;"signate the sizes are individuals and it would be better indicate when buying equivalencies cm to help buyers. Unfortunately for me I long to try the shoes and I have noticed too late the problem. Buyers Advisories")</f>
        <v>caution on the size of the shoes I 46 and I took the shoes size 12 US (which generally suits me). Unfortunately the shoes are much too small (I think it lacks at least 2 sizes). Either the manufacturer made a mistake in marking either CROCS criteria to designate the sizes are individuals and it would be better indicate when buying equivalencies cm to help buyers. Unfortunately for me I long to try the shoes and I have noticed too late the problem. Buyers Advisories</v>
      </c>
    </row>
    <row r="8414">
      <c r="A8414" s="1">
        <v>1.0</v>
      </c>
      <c r="B8414" s="1" t="s">
        <v>8292</v>
      </c>
      <c r="C8414" t="str">
        <f>IFERROR(__xludf.DUMMYFUNCTION("GOOGLETRANSLATE(B8414, ""fr"", ""en"")"),"Hello painful shoes I wear TBS for over 15 years due to a disability I bought on Amazon a pair of TBS size 43, November 24, 2017 she hurt me, I put very little I did not understand that with RAS my other two pairs? I realized that the padded reinforcement"&amp;" that is on these sneakers usually do not exist on this worst Is this a change in manufacture or a manufacturing defect? thank you for your reply")</f>
        <v>Hello painful shoes I wear TBS for over 15 years due to a disability I bought on Amazon a pair of TBS size 43, November 24, 2017 she hurt me, I put very little I did not understand that with RAS my other two pairs? I realized that the padded reinforcement that is on these sneakers usually do not exist on this worst Is this a change in manufacture or a manufacturing defect? thank you for your reply</v>
      </c>
    </row>
    <row r="8415">
      <c r="A8415" s="1">
        <v>3.0</v>
      </c>
      <c r="B8415" s="1" t="s">
        <v>8293</v>
      </c>
      <c r="C8415" t="str">
        <f>IFERROR(__xludf.DUMMYFUNCTION("GOOGLETRANSLATE(B8415, ""fr"", ""en"")"),"Pleasant Sometimes the keys do not work Forced to disconnect and reconnect")</f>
        <v>Pleasant Sometimes the keys do not work Forced to disconnect and reconnect</v>
      </c>
    </row>
    <row r="8416">
      <c r="A8416" s="1">
        <v>4.0</v>
      </c>
      <c r="B8416" s="1" t="s">
        <v>8294</v>
      </c>
      <c r="C8416" t="str">
        <f>IFERROR(__xludf.DUMMYFUNCTION("GOOGLETRANSLATE(B8416, ""fr"", ""en"")"),"comfort Product faithful to the description. I recommend it.")</f>
        <v>comfort Product faithful to the description. I recommend it.</v>
      </c>
    </row>
    <row r="8417">
      <c r="A8417" s="1">
        <v>4.0</v>
      </c>
      <c r="B8417" s="1" t="s">
        <v>8295</v>
      </c>
      <c r="C8417" t="str">
        <f>IFERROR(__xludf.DUMMYFUNCTION("GOOGLETRANSLATE(B8417, ""fr"", ""en"")"),"Very good product I'm happy with this' my skin is very soft and hidratee well rested in the morning I recommend this product")</f>
        <v>Very good product I'm happy with this' my skin is very soft and hidratee well rested in the morning I recommend this product</v>
      </c>
    </row>
    <row r="8418">
      <c r="A8418" s="1">
        <v>4.0</v>
      </c>
      <c r="B8418" s="1" t="s">
        <v>8296</v>
      </c>
      <c r="C8418" t="str">
        <f>IFERROR(__xludf.DUMMYFUNCTION("GOOGLETRANSLATE(B8418, ""fr"", ""en"")"),"Very beautiful and comfortable! Timberland These are really beautiful and comfortable ... They are real leather, but a little thin and not very good quality, because rubbing only with a finger to remove dirt, I made several brands that leave ... it's not "&amp;"a shame at this price! Otherwise, they cut big ... I take the 46 adidas, and then I took 45.")</f>
        <v>Very beautiful and comfortable! Timberland These are really beautiful and comfortable ... They are real leather, but a little thin and not very good quality, because rubbing only with a finger to remove dirt, I made several brands that leave ... it's not a shame at this price! Otherwise, they cut big ... I take the 46 adidas, and then I took 45.</v>
      </c>
    </row>
    <row r="8419">
      <c r="A8419" s="1">
        <v>4.0</v>
      </c>
      <c r="B8419" s="1" t="s">
        <v>8297</v>
      </c>
      <c r="C8419" t="str">
        <f>IFERROR(__xludf.DUMMYFUNCTION("GOOGLETRANSLATE(B8419, ""fr"", ""en"")"),"Good quality / price Rather satisfied because I connect the headphones mainly during sports sessions !! Good sound, handy, not too heavy .... however, if the equipment is very easy on my iPhone .... impossible to sail Sir my iPad .... I do not understand "&amp;"!! Shame 😕")</f>
        <v>Good quality / price Rather satisfied because I connect the headphones mainly during sports sessions !! Good sound, handy, not too heavy .... however, if the equipment is very easy on my iPhone .... impossible to sail Sir my iPad .... I do not understand !! Shame 😕</v>
      </c>
    </row>
    <row r="8420">
      <c r="A8420" s="1">
        <v>5.0</v>
      </c>
      <c r="B8420" s="1" t="s">
        <v>8298</v>
      </c>
      <c r="C8420" t="str">
        <f>IFERROR(__xludf.DUMMYFUNCTION("GOOGLETRANSLATE(B8420, ""fr"", ""en"")"),"I really recommend it, which is great this show is really great, the price is reasonable. This watch is really great, the price is reasonable, inside the dial is my favorite part, because I found that it showed off the elegance and generosity of this watc"&amp;"h, I very high and very convenient found.")</f>
        <v>I really recommend it, which is great this show is really great, the price is reasonable. This watch is really great, the price is reasonable, inside the dial is my favorite part, because I found that it showed off the elegance and generosity of this watch, I very high and very convenient found.</v>
      </c>
    </row>
    <row r="8421">
      <c r="A8421" s="1">
        <v>5.0</v>
      </c>
      <c r="B8421" s="1" t="s">
        <v>8299</v>
      </c>
      <c r="C8421" t="str">
        <f>IFERROR(__xludf.DUMMYFUNCTION("GOOGLETRANSLATE(B8421, ""fr"", ""en"")"),"Perfect Nothing to say except that it was perfect and this corresponds to the printer. Operation at the top.")</f>
        <v>Perfect Nothing to say except that it was perfect and this corresponds to the printer. Operation at the top.</v>
      </c>
    </row>
    <row r="8422">
      <c r="A8422" s="1">
        <v>5.0</v>
      </c>
      <c r="B8422" s="1" t="s">
        <v>8300</v>
      </c>
      <c r="C8422" t="str">
        <f>IFERROR(__xludf.DUMMYFUNCTION("GOOGLETRANSLATE(B8422, ""fr"", ""en"")"),"Very good quality ! Before I had other headphones for sports (with a strap that passed around the neck), and they were rude. I bought these headphones as they are without son and I have to say I was not disappointed. The quality is very good, autonomy is "&amp;"really the TOP (they can be charged in the case). In short, I highly recommend!")</f>
        <v>Very good quality ! Before I had other headphones for sports (with a strap that passed around the neck), and they were rude. I bought these headphones as they are without son and I have to say I was not disappointed. The quality is very good, autonomy is really the TOP (they can be charged in the case). In short, I highly recommend!</v>
      </c>
    </row>
    <row r="8423">
      <c r="A8423" s="1">
        <v>5.0</v>
      </c>
      <c r="B8423" s="1" t="s">
        <v>8301</v>
      </c>
      <c r="C8423" t="str">
        <f>IFERROR(__xludf.DUMMYFUNCTION("GOOGLETRANSLATE(B8423, ""fr"", ""en"")"),"Good product Good product, good resistant Aesthetics")</f>
        <v>Good product Good product, good resistant Aesthetics</v>
      </c>
    </row>
    <row r="8424">
      <c r="A8424" s="1">
        <v>5.0</v>
      </c>
      <c r="B8424" s="1" t="s">
        <v>8302</v>
      </c>
      <c r="C8424" t="str">
        <f>IFERROR(__xludf.DUMMYFUNCTION("GOOGLETRANSLATE(B8424, ""fr"", ""en"")"),"Good quality / price This computer support is really good for its price, with the stand on both sides of the computer it is on it will not fall. It is lightweight and easy to handle. The only downside is that it's my boyfriend who made me lol!")</f>
        <v>Good quality / price This computer support is really good for its price, with the stand on both sides of the computer it is on it will not fall. It is lightweight and easy to handle. The only downside is that it's my boyfriend who made me lol!</v>
      </c>
    </row>
    <row r="8425">
      <c r="A8425" s="1">
        <v>5.0</v>
      </c>
      <c r="B8425" s="1" t="s">
        <v>8303</v>
      </c>
      <c r="C8425" t="str">
        <f>IFERROR(__xludf.DUMMYFUNCTION("GOOGLETRANSLATE(B8425, ""fr"", ""en"")"),"Satisfied Very satisfied with this product. Quite consistent with my quality attentes.produit. very reasonable value. To order without hesitation.")</f>
        <v>Satisfied Very satisfied with this product. Quite consistent with my quality attentes.produit. very reasonable value. To order without hesitation.</v>
      </c>
    </row>
    <row r="8426">
      <c r="A8426" s="1">
        <v>5.0</v>
      </c>
      <c r="B8426" s="1" t="s">
        <v>8304</v>
      </c>
      <c r="C8426" t="str">
        <f>IFERROR(__xludf.DUMMYFUNCTION("GOOGLETRANSLATE(B8426, ""fr"", ""en"")"),"Pretty Kettle Kettle Super! The temperature setting allows not burn sipping his tea!")</f>
        <v>Pretty Kettle Kettle Super! The temperature setting allows not burn sipping his tea!</v>
      </c>
    </row>
    <row r="8427">
      <c r="A8427" s="1">
        <v>5.0</v>
      </c>
      <c r="B8427" s="1" t="s">
        <v>8305</v>
      </c>
      <c r="C8427" t="str">
        <f>IFERROR(__xludf.DUMMYFUNCTION("GOOGLETRANSLATE(B8427, ""fr"", ""en"")"),"Small price, SUPER. Nice little gem for the price, but small price gift that will delight. Do not hesitate!!! I recommend it for Valentine's Day.")</f>
        <v>Small price, SUPER. Nice little gem for the price, but small price gift that will delight. Do not hesitate!!! I recommend it for Valentine's Day.</v>
      </c>
    </row>
    <row r="8428">
      <c r="A8428" s="1">
        <v>5.0</v>
      </c>
      <c r="B8428" s="1" t="s">
        <v>8306</v>
      </c>
      <c r="C8428" t="str">
        <f>IFERROR(__xludf.DUMMYFUNCTION("GOOGLETRANSLATE(B8428, ""fr"", ""en"")"),"Friendly. Pleasantly surprised bracelet. It is very nice and does not ""&amp; nbsp; Kai &amp; nbsp;"" It is not too expensive and makes good.")</f>
        <v>Friendly. Pleasantly surprised bracelet. It is very nice and does not "&amp; nbsp; Kai &amp; nbsp;" It is not too expensive and makes good.</v>
      </c>
    </row>
    <row r="8429">
      <c r="A8429" s="1">
        <v>5.0</v>
      </c>
      <c r="B8429" s="1" t="s">
        <v>8307</v>
      </c>
      <c r="C8429" t="str">
        <f>IFERROR(__xludf.DUMMYFUNCTION("GOOGLETRANSLATE(B8429, ""fr"", ""en"")"),"Power impeccable. These headphones are great. They hold well in the ears. Each ear has 3 sizes of ear plugs that are robust and durable. They sound great and can produce a lot of volume without distortion. Very good product sound quality and exceptional h"&amp;"eadphones holds well.")</f>
        <v>Power impeccable. These headphones are great. They hold well in the ears. Each ear has 3 sizes of ear plugs that are robust and durable. They sound great and can produce a lot of volume without distortion. Very good product sound quality and exceptional headphones holds well.</v>
      </c>
    </row>
    <row r="8430">
      <c r="A8430" s="1">
        <v>5.0</v>
      </c>
      <c r="B8430" s="1" t="s">
        <v>8308</v>
      </c>
      <c r="C8430" t="str">
        <f>IFERROR(__xludf.DUMMYFUNCTION("GOOGLETRANSLATE(B8430, ""fr"", ""en"")"),"At the top Okay")</f>
        <v>At the top Okay</v>
      </c>
    </row>
    <row r="8431">
      <c r="A8431" s="1">
        <v>5.0</v>
      </c>
      <c r="B8431" s="1" t="s">
        <v>8309</v>
      </c>
      <c r="C8431" t="str">
        <f>IFERROR(__xludf.DUMMYFUNCTION("GOOGLETRANSLATE(B8431, ""fr"", ""en"")"),"Effective for muscle pain to pain in the arm I very effective mass me where I aí wrong with every day and it's going much better")</f>
        <v>Effective for muscle pain to pain in the arm I very effective mass me where I aí wrong with every day and it's going much better</v>
      </c>
    </row>
    <row r="8432">
      <c r="A8432" s="1">
        <v>5.0</v>
      </c>
      <c r="B8432" s="1" t="s">
        <v>8310</v>
      </c>
      <c r="C8432" t="str">
        <f>IFERROR(__xludf.DUMMYFUNCTION("GOOGLETRANSLATE(B8432, ""fr"", ""en"")"),"Tennis tbs I have received my package on time, packaged very well and I'm delighted with my sneakers, size is normal and very good product, I no longer have back pain since I wear them, I recommend !!")</f>
        <v>Tennis tbs I have received my package on time, packaged very well and I'm delighted with my sneakers, size is normal and very good product, I no longer have back pain since I wear them, I recommend !!</v>
      </c>
    </row>
    <row r="8433">
      <c r="A8433" s="1">
        <v>5.0</v>
      </c>
      <c r="B8433" s="1" t="s">
        <v>8311</v>
      </c>
      <c r="C8433" t="str">
        <f>IFERROR(__xludf.DUMMYFUNCTION("GOOGLETRANSLATE(B8433, ""fr"", ""en"")"),"Beaded jewelry. Super glad I did a happy my wife liked and delivering great I did not think its going so fast")</f>
        <v>Beaded jewelry. Super glad I did a happy my wife liked and delivering great I did not think its going so fast</v>
      </c>
    </row>
    <row r="8434">
      <c r="A8434" s="1">
        <v>5.0</v>
      </c>
      <c r="B8434" s="1" t="s">
        <v>8312</v>
      </c>
      <c r="C8434" t="str">
        <f>IFERROR(__xludf.DUMMYFUNCTION("GOOGLETRANSLATE(B8434, ""fr"", ""en"")"),"PERFECT !! perfect to practice paddle or kayaking. very comfortable. I use kayak in river and lake. good grip on algae. allows to walk in safe water. I recommnde this article.")</f>
        <v>PERFECT !! perfect to practice paddle or kayaking. very comfortable. I use kayak in river and lake. good grip on algae. allows to walk in safe water. I recommnde this article.</v>
      </c>
    </row>
    <row r="8435">
      <c r="A8435" s="1">
        <v>2.0</v>
      </c>
      <c r="B8435" s="1" t="s">
        <v>8313</v>
      </c>
      <c r="C8435" t="str">
        <f>IFERROR(__xludf.DUMMYFUNCTION("GOOGLETRANSLATE(B8435, ""fr"", ""en"")"),"His terrible and bulky headphones I have some difficulty understanding the positive feedback from users of this helmet, comments on which I based myself to buy my own. Okay, it's a low price headphones range, not very surprising to have its low end. It is"&amp;" also true that I do not have much for comparison with the competition ""low end"". So either the sound is terrible, but I suspected in buying it. I destined to a specific need that did not require a high quality. But why put so good grades is something t"&amp;"hat makes a villain as ""noise""? Why boast the comforts headset that is heavy, oppressive, and hurts my ears? Besides, why make a closed helmet when the sound is so bad? No need to immerse themselves in this soup. An open helmet was less heavy. As for th"&amp;"e son, they get entangled. And I expect that the headset is connected to the left to right via the inside of the helmet, which would have to remove half of the son that you clutter the cheeks and neck. Finally, I regret this purchase fortunately not ruine"&amp;"d me. My purely personal point of view, it is better to dispense with musk to hear that.")</f>
        <v>His terrible and bulky headphones I have some difficulty understanding the positive feedback from users of this helmet, comments on which I based myself to buy my own. Okay, it's a low price headphones range, not very surprising to have its low end. It is also true that I do not have much for comparison with the competition "low end". So either the sound is terrible, but I suspected in buying it. I destined to a specific need that did not require a high quality. But why put so good grades is something that makes a villain as "noise"? Why boast the comforts headset that is heavy, oppressive, and hurts my ears? Besides, why make a closed helmet when the sound is so bad? No need to immerse themselves in this soup. An open helmet was less heavy. As for the son, they get entangled. And I expect that the headset is connected to the left to right via the inside of the helmet, which would have to remove half of the son that you clutter the cheeks and neck. Finally, I regret this purchase fortunately not ruined me. My purely personal point of view, it is better to dispense with musk to hear that.</v>
      </c>
    </row>
    <row r="8436">
      <c r="A8436" s="1">
        <v>1.0</v>
      </c>
      <c r="B8436" s="1" t="s">
        <v>633</v>
      </c>
      <c r="C8436" t="str">
        <f>IFERROR(__xludf.DUMMYFUNCTION("GOOGLETRANSLATE(B8436, ""fr"", ""en"")"),"Poor Poor")</f>
        <v>Poor Poor</v>
      </c>
    </row>
    <row r="8437">
      <c r="A8437" s="1">
        <v>3.0</v>
      </c>
      <c r="B8437" s="1" t="s">
        <v>8314</v>
      </c>
      <c r="C8437" t="str">
        <f>IFERROR(__xludf.DUMMYFUNCTION("GOOGLETRANSLATE(B8437, ""fr"", ""en"")"),"Product that does the job but a little fragile Do the job but to handle and secure with caution")</f>
        <v>Product that does the job but a little fragile Do the job but to handle and secure with caution</v>
      </c>
    </row>
    <row r="8438">
      <c r="A8438" s="1">
        <v>3.0</v>
      </c>
      <c r="B8438" s="1" t="s">
        <v>8315</v>
      </c>
      <c r="C8438" t="str">
        <f>IFERROR(__xludf.DUMMYFUNCTION("GOOGLETRANSLATE(B8438, ""fr"", ""en"")"),"There are better days Holds waste (for two people), attention, these bags are advertised as being ""resistant"" but nevertheless can easily crack the sides.")</f>
        <v>There are better days Holds waste (for two people), attention, these bags are advertised as being "resistant" but nevertheless can easily crack the sides.</v>
      </c>
    </row>
    <row r="8439">
      <c r="A8439" s="1">
        <v>4.0</v>
      </c>
      <c r="B8439" s="1" t="s">
        <v>8316</v>
      </c>
      <c r="C8439" t="str">
        <f>IFERROR(__xludf.DUMMYFUNCTION("GOOGLETRANSLATE(B8439, ""fr"", ""en"")"),"Pretty Beautiful bracelet beautiful quality in a nice box hoping that the quality will not move too much with time happy with my purchase")</f>
        <v>Pretty Beautiful bracelet beautiful quality in a nice box hoping that the quality will not move too much with time happy with my purchase</v>
      </c>
    </row>
    <row r="8440">
      <c r="A8440" s="1">
        <v>4.0</v>
      </c>
      <c r="B8440" s="1" t="s">
        <v>8317</v>
      </c>
      <c r="C8440" t="str">
        <f>IFERROR(__xludf.DUMMYFUNCTION("GOOGLETRANSLATE(B8440, ""fr"", ""en"")"),"that strength I'm happy with this article because it is solid for the job.")</f>
        <v>that strength I'm happy with this article because it is solid for the job.</v>
      </c>
    </row>
    <row r="8441">
      <c r="A8441" s="1">
        <v>4.0</v>
      </c>
      <c r="B8441" s="1" t="s">
        <v>8318</v>
      </c>
      <c r="C8441" t="str">
        <f>IFERROR(__xludf.DUMMYFUNCTION("GOOGLETRANSLATE(B8441, ""fr"", ""en"")"),"This is my second perfect, good value")</f>
        <v>This is my second perfect, good value</v>
      </c>
    </row>
    <row r="8442">
      <c r="A8442" s="1">
        <v>4.0</v>
      </c>
      <c r="B8442" s="1" t="s">
        <v>8319</v>
      </c>
      <c r="C8442" t="str">
        <f>IFERROR(__xludf.DUMMYFUNCTION("GOOGLETRANSLATE(B8442, ""fr"", ""en"")"),"Whether it hot qd not easy to guard at the foot fitness sports dirty very well")</f>
        <v>Whether it hot qd not easy to guard at the foot fitness sports dirty very well</v>
      </c>
    </row>
    <row r="8443">
      <c r="A8443" s="1">
        <v>5.0</v>
      </c>
      <c r="B8443" s="1" t="s">
        <v>8320</v>
      </c>
      <c r="C8443" t="str">
        <f>IFERROR(__xludf.DUMMYFUNCTION("GOOGLETRANSLATE(B8443, ""fr"", ""en"")"),"Great product I could not find the black in the trade, it's done! Am delighted they are beautiful")</f>
        <v>Great product I could not find the black in the trade, it's done! Am delighted they are beautiful</v>
      </c>
    </row>
    <row r="8444">
      <c r="A8444" s="1">
        <v>5.0</v>
      </c>
      <c r="B8444" s="1" t="s">
        <v>8321</v>
      </c>
      <c r="C8444" t="str">
        <f>IFERROR(__xludf.DUMMYFUNCTION("GOOGLETRANSLATE(B8444, ""fr"", ""en"")"),"Earpiece without son Great, works great, practical and even sheds dialogues attorneys in movies sound mediocre. Only downside: very expensive in the end; however I think it is a pertinenet expenditure not to disturb his spouse, or neighbors, or for those "&amp;"whose hearing is not perfect")</f>
        <v>Earpiece without son Great, works great, practical and even sheds dialogues attorneys in movies sound mediocre. Only downside: very expensive in the end; however I think it is a pertinenet expenditure not to disturb his spouse, or neighbors, or for those whose hearing is not perfect</v>
      </c>
    </row>
    <row r="8445">
      <c r="A8445" s="1">
        <v>5.0</v>
      </c>
      <c r="B8445" s="1" t="s">
        <v>8322</v>
      </c>
      <c r="C8445" t="str">
        <f>IFERROR(__xludf.DUMMYFUNCTION("GOOGLETRANSLATE(B8445, ""fr"", ""en"")"),"leggings really great, good quality pleasant to touch and wear; I're even order a second ................ that's dire.aller you there")</f>
        <v>leggings really great, good quality pleasant to touch and wear; I're even order a second ................ that's dire.aller you there</v>
      </c>
    </row>
    <row r="8446">
      <c r="A8446" s="1">
        <v>5.0</v>
      </c>
      <c r="B8446" s="1" t="s">
        <v>8323</v>
      </c>
      <c r="C8446" t="str">
        <f>IFERROR(__xludf.DUMMYFUNCTION("GOOGLETRANSLATE(B8446, ""fr"", ""en"")"),"No Nikel Vice everything meets")</f>
        <v>No Nikel Vice everything meets</v>
      </c>
    </row>
    <row r="8447">
      <c r="A8447" s="1">
        <v>5.0</v>
      </c>
      <c r="B8447" s="1" t="s">
        <v>8324</v>
      </c>
      <c r="C8447" t="str">
        <f>IFERROR(__xludf.DUMMYFUNCTION("GOOGLETRANSLATE(B8447, ""fr"", ""en"")"),"Top big but they are very nice but size a little big I was forced to change to a 42 but they are top")</f>
        <v>Top big but they are very nice but size a little big I was forced to change to a 42 but they are top</v>
      </c>
    </row>
    <row r="8448">
      <c r="A8448" s="1">
        <v>5.0</v>
      </c>
      <c r="B8448" s="1" t="s">
        <v>8325</v>
      </c>
      <c r="C8448" t="str">
        <f>IFERROR(__xludf.DUMMYFUNCTION("GOOGLETRANSLATE(B8448, ""fr"", ""en"")"),"Earpiece Good headphones ideal for working well holds the ear and very light")</f>
        <v>Earpiece Good headphones ideal for working well holds the ear and very light</v>
      </c>
    </row>
    <row r="8449">
      <c r="A8449" s="1">
        <v>5.0</v>
      </c>
      <c r="B8449" s="1" t="s">
        <v>8326</v>
      </c>
      <c r="C8449" t="str">
        <f>IFERROR(__xludf.DUMMYFUNCTION("GOOGLETRANSLATE(B8449, ""fr"", ""en"")"),"Earrings Same as described thank you")</f>
        <v>Earrings Same as described thank you</v>
      </c>
    </row>
    <row r="8450">
      <c r="A8450" s="1">
        <v>5.0</v>
      </c>
      <c r="B8450" s="1" t="s">
        <v>8327</v>
      </c>
      <c r="C8450" t="str">
        <f>IFERROR(__xludf.DUMMYFUNCTION("GOOGLETRANSLATE(B8450, ""fr"", ""en"")"),"Awesome Super good size nothing to report in particular. I recommend this product because it is hot very good quality resistant")</f>
        <v>Awesome Super good size nothing to report in particular. I recommend this product because it is hot very good quality resistant</v>
      </c>
    </row>
    <row r="8451">
      <c r="A8451" s="1">
        <v>5.0</v>
      </c>
      <c r="B8451" s="1" t="s">
        <v>8328</v>
      </c>
      <c r="C8451" t="str">
        <f>IFERROR(__xludf.DUMMYFUNCTION("GOOGLETRANSLATE(B8451, ""fr"", ""en"")"),"♪ ♪ I caught a shot of sun ♪ ♫ Light therapy grows, and quite found model currently on the market. Big, small, white light, blue light .... what to choose? So I had the opportunity to test this model in light blue. Very sincerely, do not particularly suff"&amp;"er from lack of light, or winter blues now (hope it lasts !!!), I have not had the opportunity to test a better on my good mood the last 15 days. (A tomorrow unless my boss tells me that I will not have my premium end of the year !!!) But one thing is sur"&amp;"e, this device gives a very nice feeling to have a window on a beautiful blue sky. Missing only the cicadas. Indeed, on the desk (no risk to eyes, but avoid to have in front of you), it instantly brings a significant benefit. And we not rely on its format"&amp;": its light power is inversely proportional to its size. The goal is ... to recharge our own battery through a contribution of light (UV-free), and we really feel that the sun is at hand. So much so that we balk a little off .... This is the Philips so ni"&amp;"ce finish, good build quality and perfectly packaged. Although modest in size (14cm on 14cm, 3.5 cm thick ... it reminds me of the bygone era of CD players ... nostalgia when you hold us !!!)), the Energy Up has a light output more than enough (I never us"&amp;"e it at maximum power) the big advantage is its portability. Rechargeable battery (about 3 hours of operation: 1 with a half-hour per day recommended), dimensions, ease of use (5 degrees of light intensity, stopwatch per 10 minutes in the form of 6 LEDs),"&amp;" removable foot and neoprene cover provided help to take him anywhere. Ideal on a corner of the office. While white light blue lamp ?,? .... for you to see and test. I am in any case convinced that this device can provide better during those periods when "&amp;"the brightness is sorely lacking ... this small window on the azure blue can only be beneficial. Besides, my neighbor office takes me regularly, so much so that I sometimes struggle to get my Energy Up .... Is the price a little high ...")</f>
        <v>♪ ♪ I caught a shot of sun ♪ ♫ Light therapy grows, and quite found model currently on the market. Big, small, white light, blue light .... what to choose? So I had the opportunity to test this model in light blue. Very sincerely, do not particularly suffer from lack of light, or winter blues now (hope it lasts !!!), I have not had the opportunity to test a better on my good mood the last 15 days. (A tomorrow unless my boss tells me that I will not have my premium end of the year !!!) But one thing is sure, this device gives a very nice feeling to have a window on a beautiful blue sky. Missing only the cicadas. Indeed, on the desk (no risk to eyes, but avoid to have in front of you), it instantly brings a significant benefit. And we not rely on its format: its light power is inversely proportional to its size. The goal is ... to recharge our own battery through a contribution of light (UV-free), and we really feel that the sun is at hand. So much so that we balk a little off .... This is the Philips so nice finish, good build quality and perfectly packaged. Although modest in size (14cm on 14cm, 3.5 cm thick ... it reminds me of the bygone era of CD players ... nostalgia when you hold us !!!)), the Energy Up has a light output more than enough (I never use it at maximum power) the big advantage is its portability. Rechargeable battery (about 3 hours of operation: 1 with a half-hour per day recommended), dimensions, ease of use (5 degrees of light intensity, stopwatch per 10 minutes in the form of 6 LEDs), removable foot and neoprene cover provided help to take him anywhere. Ideal on a corner of the office. While white light blue lamp ?,? .... for you to see and test. I am in any case convinced that this device can provide better during those periods when the brightness is sorely lacking ... this small window on the azure blue can only be beneficial. Besides, my neighbor office takes me regularly, so much so that I sometimes struggle to get my Energy Up .... Is the price a little high ...</v>
      </c>
    </row>
    <row r="8452">
      <c r="A8452" s="1">
        <v>5.0</v>
      </c>
      <c r="B8452" s="1" t="s">
        <v>8329</v>
      </c>
      <c r="C8452" t="str">
        <f>IFERROR(__xludf.DUMMYFUNCTION("GOOGLETRANSLATE(B8452, ""fr"", ""en"")"),"Ideal shoes I bought these shoes in anticipation of a long tour of amusement parks in the US ... and they were perfect! No discomfort with or without socks. Once wet, they dry quickly. Good cushioning and no fatigue felt after long hours of walking. Good "&amp;"wicking. This form with this finish (a kind of mesh netting) are ideal.")</f>
        <v>Ideal shoes I bought these shoes in anticipation of a long tour of amusement parks in the US ... and they were perfect! No discomfort with or without socks. Once wet, they dry quickly. Good cushioning and no fatigue felt after long hours of walking. Good wicking. This form with this finish (a kind of mesh netting) are ideal.</v>
      </c>
    </row>
    <row r="8453">
      <c r="A8453" s="1">
        <v>5.0</v>
      </c>
      <c r="B8453" s="1" t="s">
        <v>6483</v>
      </c>
      <c r="C8453" t="str">
        <f>IFERROR(__xludf.DUMMYFUNCTION("GOOGLETRANSLATE(B8453, ""fr"", ""en"")"),"nickel")</f>
        <v>nickel</v>
      </c>
    </row>
    <row r="8454">
      <c r="A8454" s="1">
        <v>5.0</v>
      </c>
      <c r="B8454" s="1" t="s">
        <v>8330</v>
      </c>
      <c r="C8454" t="str">
        <f>IFERROR(__xludf.DUMMYFUNCTION("GOOGLETRANSLATE(B8454, ""fr"", ""en"")"),"Good quality comfortable shoes and light! I recommend !")</f>
        <v>Good quality comfortable shoes and light! I recommend !</v>
      </c>
    </row>
    <row r="8455">
      <c r="A8455" s="1">
        <v>5.0</v>
      </c>
      <c r="B8455" s="1" t="s">
        <v>8331</v>
      </c>
      <c r="C8455" t="str">
        <f>IFERROR(__xludf.DUMMYFUNCTION("GOOGLETRANSLATE(B8455, ""fr"", ""en"")"),"Top Perfect matches the description")</f>
        <v>Top Perfect matches the description</v>
      </c>
    </row>
    <row r="8456">
      <c r="A8456" s="1">
        <v>5.0</v>
      </c>
      <c r="B8456" s="1" t="s">
        <v>8332</v>
      </c>
      <c r="C8456" t="str">
        <f>IFERROR(__xludf.DUMMYFUNCTION("GOOGLETRANSLATE(B8456, ""fr"", ""en"")"),"good handsfree kit I recommend - it's the same hands free kit that comes with the Samsung phones, great product.")</f>
        <v>good handsfree kit I recommend - it's the same hands free kit that comes with the Samsung phones, great product.</v>
      </c>
    </row>
    <row r="8457">
      <c r="A8457" s="1">
        <v>5.0</v>
      </c>
      <c r="B8457" s="1" t="s">
        <v>8333</v>
      </c>
      <c r="C8457" t="str">
        <f>IFERROR(__xludf.DUMMYFUNCTION("GOOGLETRANSLATE(B8457, ""fr"", ""en"")"),"Beautiful and elegant compliant, light and very elegant. See it on time.")</f>
        <v>Beautiful and elegant compliant, light and very elegant. See it on time.</v>
      </c>
    </row>
    <row r="8458">
      <c r="A8458" s="1">
        <v>2.0</v>
      </c>
      <c r="B8458" s="1" t="s">
        <v>8334</v>
      </c>
      <c r="C8458" t="str">
        <f>IFERROR(__xludf.DUMMYFUNCTION("GOOGLETRANSLATE(B8458, ""fr"", ""en"")"),"coincidence computer problem with the size chosen it coincidence there's a problem with the reference Black (Black) between the size selected when selecting and size that will be delivered. If you select the size 42/43 EU (the size I needed) from the drop"&amp;"down menu and sizes that you added to your cart, it will put you in the 43/44 EU in the basket and you will be delivered with 43/44 EU ... so they will be too large. This is also the only selectable size in this size range for that color. I am unfortunate"&amp;"ly realized too late and I ordered. I rechecked several times and with other colors and sizes. It seems that this problem is only with this color and size. So it is an error in the preparation of the order but a computer error in the listing. Too bad, I'l"&amp;"l have them back and go on another color to be sure of the 42/43 EU.")</f>
        <v>coincidence computer problem with the size chosen it coincidence there's a problem with the reference Black (Black) between the size selected when selecting and size that will be delivered. If you select the size 42/43 EU (the size I needed) from the dropdown menu and sizes that you added to your cart, it will put you in the 43/44 EU in the basket and you will be delivered with 43/44 EU ... so they will be too large. This is also the only selectable size in this size range for that color. I am unfortunately realized too late and I ordered. I rechecked several times and with other colors and sizes. It seems that this problem is only with this color and size. So it is an error in the preparation of the order but a computer error in the listing. Too bad, I'll have them back and go on another color to be sure of the 42/43 EU.</v>
      </c>
    </row>
    <row r="8459">
      <c r="A8459" s="1">
        <v>1.0</v>
      </c>
      <c r="B8459" s="1" t="s">
        <v>8335</v>
      </c>
      <c r="C8459" t="str">
        <f>IFERROR(__xludf.DUMMYFUNCTION("GOOGLETRANSLATE(B8459, ""fr"", ""en"")"),"poor quality product and cutting material quality Lack thick material .. very poorly cut .. a product very cheep")</f>
        <v>poor quality product and cutting material quality Lack thick material .. very poorly cut .. a product very cheep</v>
      </c>
    </row>
    <row r="8460">
      <c r="A8460" s="1">
        <v>1.0</v>
      </c>
      <c r="B8460" s="1" t="s">
        <v>8336</v>
      </c>
      <c r="C8460" t="str">
        <f>IFERROR(__xludf.DUMMYFUNCTION("GOOGLETRANSLATE(B8460, ""fr"", ""en"")"),"Deception I am very disappointed with my purchase. The helmet hurts behind the ears. I do not like either option to state all turned on, the calling number, call end, ... (in English). I returned.")</f>
        <v>Deception I am very disappointed with my purchase. The helmet hurts behind the ears. I do not like either option to state all turned on, the calling number, call end, ... (in English). I returned.</v>
      </c>
    </row>
    <row r="8461">
      <c r="A8461" s="1">
        <v>3.0</v>
      </c>
      <c r="B8461" s="1" t="s">
        <v>8337</v>
      </c>
      <c r="C8461" t="str">
        <f>IFERROR(__xludf.DUMMYFUNCTION("GOOGLETRANSLATE(B8461, ""fr"", ""en"")"),"Size Size does not correspond at all to the size.")</f>
        <v>Size Size does not correspond at all to the size.</v>
      </c>
    </row>
    <row r="8462">
      <c r="A8462" s="1">
        <v>3.0</v>
      </c>
      <c r="B8462" s="1" t="s">
        <v>8338</v>
      </c>
      <c r="C8462" t="str">
        <f>IFERROR(__xludf.DUMMYFUNCTION("GOOGLETRANSLATE(B8462, ""fr"", ""en"")"),"Ergonomics and quality of sound, the sound quality is far below what most reviews say to me. The tips are not adapted to my ears, the right side has a better result than the right side and it forces me to play on the depression in the ear to compensate. T"&amp;"his is not good for me, maybe for you is ...")</f>
        <v>Ergonomics and quality of sound, the sound quality is far below what most reviews say to me. The tips are not adapted to my ears, the right side has a better result than the right side and it forces me to play on the depression in the ear to compensate. This is not good for me, maybe for you is ...</v>
      </c>
    </row>
    <row r="8463">
      <c r="A8463" s="1">
        <v>4.0</v>
      </c>
      <c r="B8463" s="1" t="s">
        <v>8339</v>
      </c>
      <c r="C8463" t="str">
        <f>IFERROR(__xludf.DUMMYFUNCTION("GOOGLETRANSLATE(B8463, ""fr"", ""en"")"),"Perfect for super if the string is a bit thin and lacks a ring to attach more easily, but otherwise it's perfect and beautiful")</f>
        <v>Perfect for super if the string is a bit thin and lacks a ring to attach more easily, but otherwise it's perfect and beautiful</v>
      </c>
    </row>
    <row r="8464">
      <c r="A8464" s="1">
        <v>4.0</v>
      </c>
      <c r="B8464" s="1" t="s">
        <v>8340</v>
      </c>
      <c r="C8464" t="str">
        <f>IFERROR(__xludf.DUMMYFUNCTION("GOOGLETRANSLATE(B8464, ""fr"", ""en"")"),"Good product Not much to say, gentle and pleasant as saying advertising;) What is practical is the Aquatube, even my husband love it! Delivery: Packaging RAS: RAS")</f>
        <v>Good product Not much to say, gentle and pleasant as saying advertising;) What is practical is the Aquatube, even my husband love it! Delivery: Packaging RAS: RAS</v>
      </c>
    </row>
    <row r="8465">
      <c r="A8465" s="1">
        <v>4.0</v>
      </c>
      <c r="B8465" s="1" t="s">
        <v>8341</v>
      </c>
      <c r="C8465" t="str">
        <f>IFERROR(__xludf.DUMMYFUNCTION("GOOGLETRANSLATE(B8465, ""fr"", ""en"")"),"almost odorless oil it really feels almost nothing the oil is fat just those it takes me I mixture olive oil for more fluidity to me is a good oil and I am satisfied.")</f>
        <v>almost odorless oil it really feels almost nothing the oil is fat just those it takes me I mixture olive oil for more fluidity to me is a good oil and I am satisfied.</v>
      </c>
    </row>
    <row r="8466">
      <c r="A8466" s="1">
        <v>4.0</v>
      </c>
      <c r="B8466" s="1" t="s">
        <v>8342</v>
      </c>
      <c r="C8466" t="str">
        <f>IFERROR(__xludf.DUMMYFUNCTION("GOOGLETRANSLATE(B8466, ""fr"", ""en"")"),"Tien sweater dress warm and the colors are top, not disappointed !! merciii :)")</f>
        <v>Tien sweater dress warm and the colors are top, not disappointed !! merciii :)</v>
      </c>
    </row>
    <row r="8467">
      <c r="A8467" s="1">
        <v>5.0</v>
      </c>
      <c r="B8467" s="1" t="s">
        <v>8343</v>
      </c>
      <c r="C8467" t="str">
        <f>IFERROR(__xludf.DUMMYFUNCTION("GOOGLETRANSLATE(B8467, ""fr"", ""en"")"),"Good Very Good paper toilet paper, that damage is a bit expensive but I do not regret")</f>
        <v>Good Very Good paper toilet paper, that damage is a bit expensive but I do not regret</v>
      </c>
    </row>
    <row r="8468">
      <c r="A8468" s="1">
        <v>5.0</v>
      </c>
      <c r="B8468" s="1" t="s">
        <v>8344</v>
      </c>
      <c r="C8468" t="str">
        <f>IFERROR(__xludf.DUMMYFUNCTION("GOOGLETRANSLATE(B8468, ""fr"", ""en"")"),"Comfortable to wear very comfortable, warm, easily and shoes look nice.")</f>
        <v>Comfortable to wear very comfortable, warm, easily and shoes look nice.</v>
      </c>
    </row>
    <row r="8469">
      <c r="A8469" s="1">
        <v>5.0</v>
      </c>
      <c r="B8469" s="1" t="s">
        <v>8345</v>
      </c>
      <c r="C8469" t="str">
        <f>IFERROR(__xludf.DUMMYFUNCTION("GOOGLETRANSLATE(B8469, ""fr"", ""en"")"),"Lightweight and quite solid at first sight My son is 6 and a half years particularly like. Moreover, they appear relatively strong (unlike the previous pair of Geox, more resistant at first, but held a half months). Their lightness surprises at the recept"&amp;"ion but to use my son's appreciate.")</f>
        <v>Lightweight and quite solid at first sight My son is 6 and a half years particularly like. Moreover, they appear relatively strong (unlike the previous pair of Geox, more resistant at first, but held a half months). Their lightness surprises at the reception but to use my son's appreciate.</v>
      </c>
    </row>
    <row r="8470">
      <c r="A8470" s="1">
        <v>5.0</v>
      </c>
      <c r="B8470" s="1" t="s">
        <v>8346</v>
      </c>
      <c r="C8470" t="str">
        <f>IFERROR(__xludf.DUMMYFUNCTION("GOOGLETRANSLATE(B8470, ""fr"", ""en"")"),"Perfect I do not see what to write, which is accepted by the amazon service to say that these socks match what was expected.")</f>
        <v>Perfect I do not see what to write, which is accepted by the amazon service to say that these socks match what was expected.</v>
      </c>
    </row>
    <row r="8471">
      <c r="A8471" s="1">
        <v>5.0</v>
      </c>
      <c r="B8471" s="1" t="s">
        <v>8347</v>
      </c>
      <c r="C8471" t="str">
        <f>IFERROR(__xludf.DUMMYFUNCTION("GOOGLETRANSLATE(B8471, ""fr"", ""en"")"),"perfect sweater really on top-very nice rendering -Material nice-sized fine Corresponds to a 42 -do not hesitate to have it in a wardrobe")</f>
        <v>perfect sweater really on top-very nice rendering -Material nice-sized fine Corresponds to a 42 -do not hesitate to have it in a wardrobe</v>
      </c>
    </row>
    <row r="8472">
      <c r="A8472" s="1">
        <v>5.0</v>
      </c>
      <c r="B8472" s="1" t="s">
        <v>8348</v>
      </c>
      <c r="C8472" t="str">
        <f>IFERROR(__xludf.DUMMYFUNCTION("GOOGLETRANSLATE(B8472, ""fr"", ""en"")"),"A high quality large headphones headset comfort with different levels of noise reduction and various possible environments. simple Bluetooth connection. Greatly exceeds the Jabra headset that I had before.")</f>
        <v>A high quality large headphones headset comfort with different levels of noise reduction and various possible environments. simple Bluetooth connection. Greatly exceeds the Jabra headset that I had before.</v>
      </c>
    </row>
    <row r="8473">
      <c r="A8473" s="1">
        <v>5.0</v>
      </c>
      <c r="B8473" s="1" t="s">
        <v>8349</v>
      </c>
      <c r="C8473" t="str">
        <f>IFERROR(__xludf.DUMMYFUNCTION("GOOGLETRANSLATE(B8473, ""fr"", ""en"")"),"Impeccable! I love the design of this watch! I appreciate the programmable countdown to the second. Perfect for men (only the strap length should be between the version for men and one for women), because I had to remove 3 or 4 notches of the bracelet to "&amp;"a jeweler.")</f>
        <v>Impeccable! I love the design of this watch! I appreciate the programmable countdown to the second. Perfect for men (only the strap length should be between the version for men and one for women), because I had to remove 3 or 4 notches of the bracelet to a jeweler.</v>
      </c>
    </row>
    <row r="8474">
      <c r="A8474" s="1">
        <v>5.0</v>
      </c>
      <c r="B8474" s="1" t="s">
        <v>8350</v>
      </c>
      <c r="C8474" t="str">
        <f>IFERROR(__xludf.DUMMYFUNCTION("GOOGLETRANSLATE(B8474, ""fr"", ""en"")"),"Very good VGA cable easy to use, I was a little worried about the two screws on the side but in the end it turned out that it was much more useful than what I thought. Everything runs smoothly since. I recommend !")</f>
        <v>Very good VGA cable easy to use, I was a little worried about the two screws on the side but in the end it turned out that it was much more useful than what I thought. Everything runs smoothly since. I recommend !</v>
      </c>
    </row>
    <row r="8475">
      <c r="A8475" s="1">
        <v>5.0</v>
      </c>
      <c r="B8475" s="1" t="s">
        <v>8351</v>
      </c>
      <c r="C8475" t="str">
        <f>IFERROR(__xludf.DUMMYFUNCTION("GOOGLETRANSLATE(B8475, ""fr"", ""en"")"),"Vintage for cheap cheap Excellent small watch with a vintage 80's style that does not displease me. At that price, you can hardly go wrong!")</f>
        <v>Vintage for cheap cheap Excellent small watch with a vintage 80's style that does not displease me. At that price, you can hardly go wrong!</v>
      </c>
    </row>
    <row r="8476">
      <c r="A8476" s="1">
        <v>5.0</v>
      </c>
      <c r="B8476" s="1" t="s">
        <v>8352</v>
      </c>
      <c r="C8476" t="str">
        <f>IFERROR(__xludf.DUMMYFUNCTION("GOOGLETRANSLATE(B8476, ""fr"", ""en"")"),"Impeccable practice")</f>
        <v>Impeccable practice</v>
      </c>
    </row>
    <row r="8477">
      <c r="A8477" s="1">
        <v>5.0</v>
      </c>
      <c r="B8477" s="1" t="s">
        <v>8353</v>
      </c>
      <c r="C8477" t="str">
        <f>IFERROR(__xludf.DUMMYFUNCTION("GOOGLETRANSLATE(B8477, ""fr"", ""en"")"),"Top Too Beautiful")</f>
        <v>Top Too Beautiful</v>
      </c>
    </row>
    <row r="8478">
      <c r="A8478" s="1">
        <v>5.0</v>
      </c>
      <c r="B8478" s="1" t="s">
        <v>8354</v>
      </c>
      <c r="C8478" t="str">
        <f>IFERROR(__xludf.DUMMYFUNCTION("GOOGLETRANSLATE(B8478, ""fr"", ""en"")"),"Unconditional Unconditional AllStar brand .all star will never disappoints and is always trend, choose a size below for large size")</f>
        <v>Unconditional Unconditional AllStar brand .all star will never disappoints and is always trend, choose a size below for large size</v>
      </c>
    </row>
    <row r="8479">
      <c r="A8479" s="1">
        <v>5.0</v>
      </c>
      <c r="B8479" s="1" t="s">
        <v>8355</v>
      </c>
      <c r="C8479" t="str">
        <f>IFERROR(__xludf.DUMMYFUNCTION("GOOGLETRANSLATE(B8479, ""fr"", ""en"")"),"Puma sneakers comfortable, what I wanted, never disappointed with Puma prettiest although current line")</f>
        <v>Puma sneakers comfortable, what I wanted, never disappointed with Puma prettiest although current line</v>
      </c>
    </row>
    <row r="8480">
      <c r="A8480" s="1">
        <v>5.0</v>
      </c>
      <c r="B8480" s="1" t="s">
        <v>8356</v>
      </c>
      <c r="C8480" t="str">
        <f>IFERROR(__xludf.DUMMYFUNCTION("GOOGLETRANSLATE(B8480, ""fr"", ""en"")"),"Top Very nice shirt consistent with the description. Quality always present as usual for this brand. No complaints")</f>
        <v>Top Very nice shirt consistent with the description. Quality always present as usual for this brand. No complaints</v>
      </c>
    </row>
    <row r="8481">
      <c r="A8481" s="1">
        <v>5.0</v>
      </c>
      <c r="B8481" s="1" t="s">
        <v>8357</v>
      </c>
      <c r="C8481" t="str">
        <f>IFERROR(__xludf.DUMMYFUNCTION("GOOGLETRANSLATE(B8481, ""fr"", ""en"")"),"MAGNIFICENT They are very very beautiful! Wow! This is my first and I converse adooooooore. Sober and classes. Fine quality and perfect size 39. (With socks for me) Thank you very much for this product at a price Amazon")</f>
        <v>MAGNIFICENT They are very very beautiful! Wow! This is my first and I converse adooooooore. Sober and classes. Fine quality and perfect size 39. (With socks for me) Thank you very much for this product at a price Amazon</v>
      </c>
    </row>
    <row r="8482">
      <c r="A8482" s="1">
        <v>2.0</v>
      </c>
      <c r="B8482" s="1" t="s">
        <v>8358</v>
      </c>
      <c r="C8482" t="str">
        <f>IFERROR(__xludf.DUMMYFUNCTION("GOOGLETRANSLATE(B8482, ""fr"", ""en"")"),"Not satisfied I am disappointed it was a gift, There are several concerns, the bracelet that loosens itself and it is very complicated to tighten or even because of the complexity of the clasp ... I do not advice.")</f>
        <v>Not satisfied I am disappointed it was a gift, There are several concerns, the bracelet that loosens itself and it is very complicated to tighten or even because of the complexity of the clasp ... I do not advice.</v>
      </c>
    </row>
    <row r="8483">
      <c r="A8483" s="1">
        <v>1.0</v>
      </c>
      <c r="B8483" s="1" t="s">
        <v>8359</v>
      </c>
      <c r="C8483" t="str">
        <f>IFERROR(__xludf.DUMMYFUNCTION("GOOGLETRANSLATE(B8483, ""fr"", ""en"")"),"Corleone Lambout cable must have a need for contact when I want to connect my music and jecoute times I cut the sound must disconnect and unplug the cord so I can listen to my music")</f>
        <v>Corleone Lambout cable must have a need for contact when I want to connect my music and jecoute times I cut the sound must disconnect and unplug the cord so I can listen to my music</v>
      </c>
    </row>
    <row r="8484">
      <c r="A8484" s="1">
        <v>1.0</v>
      </c>
      <c r="B8484" s="1" t="s">
        <v>8360</v>
      </c>
      <c r="C8484" t="str">
        <f>IFERROR(__xludf.DUMMYFUNCTION("GOOGLETRANSLATE(B8484, ""fr"", ""en"")"),"Disappointed received background black framing and stops working after a week I am disappointed with the product: - Product photo presentation gave the impression a dial blue background, but not the dial is black; - I said, ""too bad at this price, ca wil"&amp;"l do for a watch everyday""; after one week it stopped! - return to sender after 10 days! This watch 30 € on Amazon product leaves a feeling very ""sheep""!")</f>
        <v>Disappointed received background black framing and stops working after a week I am disappointed with the product: - Product photo presentation gave the impression a dial blue background, but not the dial is black; - I said, "too bad at this price, ca will do for a watch everyday"; after one week it stopped! - return to sender after 10 days! This watch 30 € on Amazon product leaves a feeling very "sheep"!</v>
      </c>
    </row>
    <row r="8485">
      <c r="A8485" s="1">
        <v>3.0</v>
      </c>
      <c r="B8485" s="1" t="s">
        <v>8361</v>
      </c>
      <c r="C8485" t="str">
        <f>IFERROR(__xludf.DUMMYFUNCTION("GOOGLETRANSLATE(B8485, ""fr"", ""en"")"),"bowl small bé mol is there a shoe or black deteriorates a bit that's a shame after one week Mdr")</f>
        <v>bowl small bé mol is there a shoe or black deteriorates a bit that's a shame after one week Mdr</v>
      </c>
    </row>
    <row r="8486">
      <c r="A8486" s="1">
        <v>4.0</v>
      </c>
      <c r="B8486" s="1" t="s">
        <v>8362</v>
      </c>
      <c r="C8486" t="str">
        <f>IFERROR(__xludf.DUMMYFUNCTION("GOOGLETRANSLATE(B8486, ""fr"", ""en"")"),"VERY WELL Good quality / price ratio")</f>
        <v>VERY WELL Good quality / price ratio</v>
      </c>
    </row>
    <row r="8487">
      <c r="A8487" s="1">
        <v>4.0</v>
      </c>
      <c r="B8487" s="1" t="s">
        <v>8363</v>
      </c>
      <c r="C8487" t="str">
        <f>IFERROR(__xludf.DUMMYFUNCTION("GOOGLETRANSLATE(B8487, ""fr"", ""en"")"),"perfect size malgrés that great value for money as in fast delivery description the concern I recommend this article I am delighted reliable seller")</f>
        <v>perfect size malgrés that great value for money as in fast delivery description the concern I recommend this article I am delighted reliable seller</v>
      </c>
    </row>
    <row r="8488">
      <c r="A8488" s="1">
        <v>4.0</v>
      </c>
      <c r="B8488" s="1" t="s">
        <v>8364</v>
      </c>
      <c r="C8488" t="str">
        <f>IFERROR(__xludf.DUMMYFUNCTION("GOOGLETRANSLATE(B8488, ""fr"", ""en"")"),"Quality right ... match the photo")</f>
        <v>Quality right ... match the photo</v>
      </c>
    </row>
    <row r="8489">
      <c r="A8489" s="1">
        <v>4.0</v>
      </c>
      <c r="B8489" s="1" t="s">
        <v>8365</v>
      </c>
      <c r="C8489" t="str">
        <f>IFERROR(__xludf.DUMMYFUNCTION("GOOGLETRANSLATE(B8489, ""fr"", ""en"")"),"PRODUCT MEETS THE FRONT OF COMPLIANCE AND QUALITY EQUIVALENT TO THAT OF ORIGIN")</f>
        <v>PRODUCT MEETS THE FRONT OF COMPLIANCE AND QUALITY EQUIVALENT TO THAT OF ORIGIN</v>
      </c>
    </row>
    <row r="8490">
      <c r="A8490" s="1">
        <v>5.0</v>
      </c>
      <c r="B8490" s="1" t="s">
        <v>8366</v>
      </c>
      <c r="C8490" t="str">
        <f>IFERROR(__xludf.DUMMYFUNCTION("GOOGLETRANSLATE(B8490, ""fr"", ""en"")"),"Good leggings! Delighted with my purchase! Finally leggings that fits the body. Having very thin ankles, the only leggings that I can use are those that ""&amp; nbsp; &amp; nbsp sticky;"". In addition, the material is super nice ""swimsuit material &amp; nbsp;"" and "&amp;"it will prevent the hairs of my dogs will cling too. To take away from this super legging it has a pocket on each side. I bought it to use in the life of every day and it satisfies me so I'm going to recommend one, before there was more my size!")</f>
        <v>Good leggings! Delighted with my purchase! Finally leggings that fits the body. Having very thin ankles, the only leggings that I can use are those that "&amp; nbsp; &amp; nbsp sticky;". In addition, the material is super nice "swimsuit material &amp; nbsp;" and it will prevent the hairs of my dogs will cling too. To take away from this super legging it has a pocket on each side. I bought it to use in the life of every day and it satisfies me so I'm going to recommend one, before there was more my size!</v>
      </c>
    </row>
    <row r="8491">
      <c r="A8491" s="1">
        <v>5.0</v>
      </c>
      <c r="B8491" s="1" t="s">
        <v>8367</v>
      </c>
      <c r="C8491" t="str">
        <f>IFERROR(__xludf.DUMMYFUNCTION("GOOGLETRANSLATE(B8491, ""fr"", ""en"")"),"They sound great great")</f>
        <v>They sound great great</v>
      </c>
    </row>
    <row r="8492">
      <c r="A8492" s="1">
        <v>5.0</v>
      </c>
      <c r="B8492" s="1" t="s">
        <v>8368</v>
      </c>
      <c r="C8492" t="str">
        <f>IFERROR(__xludf.DUMMYFUNCTION("GOOGLETRANSLATE(B8492, ""fr"", ""en"")"),"Nothing to say Ideal to stimulate blood circulation. it is a real anti-stress and relaxes the foot ... Product of very good quality as usual with Scholl (massage favoring microcirculation: more harm legs among other Moreover, they will be easy to wash. (p"&amp;"vc) .. I recommended to all my colleagues!")</f>
        <v>Nothing to say Ideal to stimulate blood circulation. it is a real anti-stress and relaxes the foot ... Product of very good quality as usual with Scholl (massage favoring microcirculation: more harm legs among other Moreover, they will be easy to wash. (pvc) .. I recommended to all my colleagues!</v>
      </c>
    </row>
    <row r="8493">
      <c r="A8493" s="1">
        <v>5.0</v>
      </c>
      <c r="B8493" s="1" t="s">
        <v>8369</v>
      </c>
      <c r="C8493" t="str">
        <f>IFERROR(__xludf.DUMMYFUNCTION("GOOGLETRANSLATE(B8493, ""fr"", ""en"")"),"Okay Large Velcro. Very well.")</f>
        <v>Okay Large Velcro. Very well.</v>
      </c>
    </row>
    <row r="8494">
      <c r="A8494" s="1">
        <v>5.0</v>
      </c>
      <c r="B8494" s="1" t="s">
        <v>8370</v>
      </c>
      <c r="C8494" t="str">
        <f>IFERROR(__xludf.DUMMYFUNCTION("GOOGLETRANSLATE(B8494, ""fr"", ""en"")"),"prettier in real life than on the photo this a gift that was very appreciated it is beautiful")</f>
        <v>prettier in real life than on the photo this a gift that was very appreciated it is beautiful</v>
      </c>
    </row>
    <row r="8495">
      <c r="A8495" s="1">
        <v>5.0</v>
      </c>
      <c r="B8495" s="1" t="s">
        <v>8371</v>
      </c>
      <c r="C8495" t="str">
        <f>IFERROR(__xludf.DUMMYFUNCTION("GOOGLETRANSLATE(B8495, ""fr"", ""en"")"),"G Shock easy to go there buy the Beautiful G Shock watch. Sporty and can be worn to the office to give a vibrant look. Ideal for summer")</f>
        <v>G Shock easy to go there buy the Beautiful G Shock watch. Sporty and can be worn to the office to give a vibrant look. Ideal for summer</v>
      </c>
    </row>
    <row r="8496">
      <c r="A8496" s="1">
        <v>5.0</v>
      </c>
      <c r="B8496" s="1" t="s">
        <v>8372</v>
      </c>
      <c r="C8496" t="str">
        <f>IFERROR(__xludf.DUMMYFUNCTION("GOOGLETRANSLATE(B8496, ""fr"", ""en"")"),"Great buy I'm mega happy with this purchase I do not regret dutout The product is like the photo, I have received in 2 days. For those who like Korean style Welcome !! 😊😊")</f>
        <v>Great buy I'm mega happy with this purchase I do not regret dutout The product is like the photo, I have received in 2 days. For those who like Korean style Welcome !! 😊😊</v>
      </c>
    </row>
    <row r="8497">
      <c r="A8497" s="1">
        <v>5.0</v>
      </c>
      <c r="B8497" s="1" t="s">
        <v>8373</v>
      </c>
      <c r="C8497" t="str">
        <f>IFERROR(__xludf.DUMMYFUNCTION("GOOGLETRANSLATE(B8497, ""fr"", ""en"")"),"The brassieres brassieres are of very good quality finishes are treated. They are comfortable and pleasant fabric. Excellent value")</f>
        <v>The brassieres brassieres are of very good quality finishes are treated. They are comfortable and pleasant fabric. Excellent value</v>
      </c>
    </row>
    <row r="8498">
      <c r="A8498" s="1">
        <v>5.0</v>
      </c>
      <c r="B8498" s="1" t="s">
        <v>8374</v>
      </c>
      <c r="C8498" t="str">
        <f>IFERROR(__xludf.DUMMYFUNCTION("GOOGLETRANSLATE(B8498, ""fr"", ""en"")"),"Very good Good")</f>
        <v>Very good Good</v>
      </c>
    </row>
    <row r="8499">
      <c r="A8499" s="1">
        <v>5.0</v>
      </c>
      <c r="B8499" s="1" t="s">
        <v>8375</v>
      </c>
      <c r="C8499" t="str">
        <f>IFERROR(__xludf.DUMMYFUNCTION("GOOGLETRANSLATE(B8499, ""fr"", ""en"")"),"balance to the top very good balance for me better RAPORT qualiter / prix.La wedge protective cup was perfect cup aluminum and ensures weighing more precis.si I would advise a balance has (e) ami (e) his will this one!")</f>
        <v>balance to the top very good balance for me better RAPORT qualiter / prix.La wedge protective cup was perfect cup aluminum and ensures weighing more precis.si I would advise a balance has (e) ami (e) his will this one!</v>
      </c>
    </row>
    <row r="8500">
      <c r="A8500" s="1">
        <v>5.0</v>
      </c>
      <c r="B8500" s="1" t="s">
        <v>8376</v>
      </c>
      <c r="C8500" t="str">
        <f>IFERROR(__xludf.DUMMYFUNCTION("GOOGLETRANSLATE(B8500, ""fr"", ""en"")"),"superb! The converse is perfect, I have not needed to take a different size than usual. The reds have two options: the old or new collection: they are almost identical, except the logo at the heel which is different. The color red may also be different be"&amp;"tween the scarlet red to dark red (not maroon).")</f>
        <v>superb! The converse is perfect, I have not needed to take a different size than usual. The reds have two options: the old or new collection: they are almost identical, except the logo at the heel which is different. The color red may also be different between the scarlet red to dark red (not maroon).</v>
      </c>
    </row>
    <row r="8501">
      <c r="A8501" s="1">
        <v>5.0</v>
      </c>
      <c r="B8501" s="1" t="s">
        <v>8377</v>
      </c>
      <c r="C8501" t="str">
        <f>IFERROR(__xludf.DUMMYFUNCTION("GOOGLETRANSLATE(B8501, ""fr"", ""en"")"),"jogging down really very beautiful color to the top")</f>
        <v>jogging down really very beautiful color to the top</v>
      </c>
    </row>
    <row r="8502">
      <c r="A8502" s="1">
        <v>5.0</v>
      </c>
      <c r="B8502" s="1" t="s">
        <v>8378</v>
      </c>
      <c r="C8502" t="str">
        <f>IFERROR(__xludf.DUMMYFUNCTION("GOOGLETRANSLATE(B8502, ""fr"", ""en"")"),"Lightweight and good grip sports Hiking .a looking for some thing of light and with good grip for walks in the creeks.")</f>
        <v>Lightweight and good grip sports Hiking .a looking for some thing of light and with good grip for walks in the creeks.</v>
      </c>
    </row>
    <row r="8503">
      <c r="A8503" s="1">
        <v>5.0</v>
      </c>
      <c r="B8503" s="1" t="s">
        <v>8379</v>
      </c>
      <c r="C8503" t="str">
        <f>IFERROR(__xludf.DUMMYFUNCTION("GOOGLETRANSLATE(B8503, ""fr"", ""en"")"),"Notices Good product but problems in delivery")</f>
        <v>Notices Good product but problems in delivery</v>
      </c>
    </row>
    <row r="8504">
      <c r="A8504" s="1">
        <v>5.0</v>
      </c>
      <c r="B8504" s="1" t="s">
        <v>8380</v>
      </c>
      <c r="C8504" t="str">
        <f>IFERROR(__xludf.DUMMYFUNCTION("GOOGLETRANSLATE(B8504, ""fr"", ""en"")"),"There live the economy a few years with another brand I had been an expensive failure. After a long hesitation and a new printer I tenté.Résultat impeccable. Beautiful source of savings and very good impression. Appraisal: I recommend.")</f>
        <v>There live the economy a few years with another brand I had been an expensive failure. After a long hesitation and a new printer I tenté.Résultat impeccable. Beautiful source of savings and very good impression. Appraisal: I recommend.</v>
      </c>
    </row>
    <row r="8505">
      <c r="A8505" s="1">
        <v>2.0</v>
      </c>
      <c r="B8505" s="1" t="s">
        <v>8381</v>
      </c>
      <c r="C8505" t="str">
        <f>IFERROR(__xludf.DUMMYFUNCTION("GOOGLETRANSLATE(B8505, ""fr"", ""en"")"),"Bad ... From poor quality. No flexibility. The LES have entertained at least for a day. I do not recommend this product")</f>
        <v>Bad ... From poor quality. No flexibility. The LES have entertained at least for a day. I do not recommend this product</v>
      </c>
    </row>
    <row r="8506">
      <c r="A8506" s="1">
        <v>1.0</v>
      </c>
      <c r="B8506" s="1" t="s">
        <v>8382</v>
      </c>
      <c r="C8506" t="str">
        <f>IFERROR(__xludf.DUMMYFUNCTION("GOOGLETRANSLATE(B8506, ""fr"", ""en"")"),"She rust! The kettle was a priori great for me: small, practical ... But after a few months of use, it has rusted! and not a little. I find it quite outrageous because probably dangerous to health .... so I recommend !!!")</f>
        <v>She rust! The kettle was a priori great for me: small, practical ... But after a few months of use, it has rusted! and not a little. I find it quite outrageous because probably dangerous to health .... so I recommend !!!</v>
      </c>
    </row>
    <row r="8507">
      <c r="A8507" s="1">
        <v>3.0</v>
      </c>
      <c r="B8507" s="1" t="s">
        <v>8383</v>
      </c>
      <c r="C8507" t="str">
        <f>IFERROR(__xludf.DUMMYFUNCTION("GOOGLETRANSLATE(B8507, ""fr"", ""en"")"),"Everything is okay except autonomy It is a pity these headphones have it all to me almost. The sound is okay because at this price it is rarely in the audiophile radius. To ergonomics is pretty good and my large flat is at the level of autonomy that is fe"&amp;"eble I would say two hours and dust. Too bad I liked them ... The search continues.")</f>
        <v>Everything is okay except autonomy It is a pity these headphones have it all to me almost. The sound is okay because at this price it is rarely in the audiophile radius. To ergonomics is pretty good and my large flat is at the level of autonomy that is feeble I would say two hours and dust. Too bad I liked them ... The search continues.</v>
      </c>
    </row>
    <row r="8508">
      <c r="A8508" s="1">
        <v>3.0</v>
      </c>
      <c r="B8508" s="1" t="s">
        <v>8384</v>
      </c>
      <c r="C8508" t="str">
        <f>IFERROR(__xludf.DUMMYFUNCTION("GOOGLETRANSLATE(B8508, ""fr"", ""en"")"),"Relaxes. Provide Good product size below .taille okay but relaxes after I took my son my husband and I very comfortable")</f>
        <v>Relaxes. Provide Good product size below .taille okay but relaxes after I took my son my husband and I very comfortable</v>
      </c>
    </row>
    <row r="8509">
      <c r="A8509" s="1">
        <v>4.0</v>
      </c>
      <c r="B8509" s="1" t="s">
        <v>8385</v>
      </c>
      <c r="C8509" t="str">
        <f>IFERROR(__xludf.DUMMYFUNCTION("GOOGLETRANSLATE(B8509, ""fr"", ""en"")"),"Size Would recommend as planned and it is warm and long. Although the winter. And it has a hood and doing simple but modern. To recommend")</f>
        <v>Size Would recommend as planned and it is warm and long. Although the winter. And it has a hood and doing simple but modern. To recommend</v>
      </c>
    </row>
    <row r="8510">
      <c r="A8510" s="1">
        <v>4.0</v>
      </c>
      <c r="B8510" s="1" t="s">
        <v>8386</v>
      </c>
      <c r="C8510" t="str">
        <f>IFERROR(__xludf.DUMMYFUNCTION("GOOGLETRANSLATE(B8510, ""fr"", ""en"")"),"Vintage dress dress really nice a little loose in the chest or I'm delighted with my purchase")</f>
        <v>Vintage dress dress really nice a little loose in the chest or I'm delighted with my purchase</v>
      </c>
    </row>
    <row r="8511">
      <c r="A8511" s="1">
        <v>4.0</v>
      </c>
      <c r="B8511" s="1" t="s">
        <v>8387</v>
      </c>
      <c r="C8511" t="str">
        <f>IFERROR(__xludf.DUMMYFUNCTION("GOOGLETRANSLATE(B8511, ""fr"", ""en"")"),"Beautiful jacket jacket but the return be because too much")</f>
        <v>Beautiful jacket jacket but the return be because too much</v>
      </c>
    </row>
    <row r="8512">
      <c r="A8512" s="1">
        <v>4.0</v>
      </c>
      <c r="B8512" s="1" t="s">
        <v>8388</v>
      </c>
      <c r="C8512" t="str">
        <f>IFERROR(__xludf.DUMMYFUNCTION("GOOGLETRANSLATE(B8512, ""fr"", ""en"")"),"soft brush to avoid damaging the deer I was looking for a long time ... I finally found. thank you ! it's perfect very useful to remove all traces of light skin.")</f>
        <v>soft brush to avoid damaging the deer I was looking for a long time ... I finally found. thank you ! it's perfect very useful to remove all traces of light skin.</v>
      </c>
    </row>
    <row r="8513">
      <c r="A8513" s="1">
        <v>5.0</v>
      </c>
      <c r="B8513" s="1" t="s">
        <v>8389</v>
      </c>
      <c r="C8513" t="str">
        <f>IFERROR(__xludf.DUMMYFUNCTION("GOOGLETRANSLATE(B8513, ""fr"", ""en"")"),"Awesome awesome. My breastfed baby refuses the bottle. He takes this one easily and it does not flow too fast")</f>
        <v>Awesome awesome. My breastfed baby refuses the bottle. He takes this one easily and it does not flow too fast</v>
      </c>
    </row>
    <row r="8514">
      <c r="A8514" s="1">
        <v>5.0</v>
      </c>
      <c r="B8514" s="1" t="s">
        <v>8390</v>
      </c>
      <c r="C8514" t="str">
        <f>IFERROR(__xludf.DUMMYFUNCTION("GOOGLETRANSLATE(B8514, ""fr"", ""en"")"),"Price / quality I wore these shoes 8 consecutive weeks during a mission in temporary storage. My daily walk was 10-15 km according to my iPhone and I have never had a single bulb or pain. The protective shell is also very resistant. I recommend")</f>
        <v>Price / quality I wore these shoes 8 consecutive weeks during a mission in temporary storage. My daily walk was 10-15 km according to my iPhone and I have never had a single bulb or pain. The protective shell is also very resistant. I recommend</v>
      </c>
    </row>
    <row r="8515">
      <c r="A8515" s="1">
        <v>5.0</v>
      </c>
      <c r="B8515" s="1" t="s">
        <v>8391</v>
      </c>
      <c r="C8515" t="str">
        <f>IFERROR(__xludf.DUMMYFUNCTION("GOOGLETRANSLATE(B8515, ""fr"", ""en"")"),"Quality item Very nice article, high quality and simple .. Padded, slip-pub ... Adidas discreet ... Superb on black pants .. recommend ... fast delivery and protected ... Attention, big size it is the European ... usually I take XL ..., I return to exchan"&amp;"ge L ...")</f>
        <v>Quality item Very nice article, high quality and simple .. Padded, slip-pub ... Adidas discreet ... Superb on black pants .. recommend ... fast delivery and protected ... Attention, big size it is the European ... usually I take XL ..., I return to exchange L ...</v>
      </c>
    </row>
    <row r="8516">
      <c r="A8516" s="1">
        <v>5.0</v>
      </c>
      <c r="B8516" s="1" t="s">
        <v>8392</v>
      </c>
      <c r="C8516" t="str">
        <f>IFERROR(__xludf.DUMMYFUNCTION("GOOGLETRANSLATE(B8516, ""fr"", ""en"")"),"very comfortable for walking Very good shoes for walking whether in town or in the country. very nice and comfortable. suddenly, I took 2 for very acceptable price. I use it almost every day. (Every 2 days for a pair of 2) I recommend this brand of shoes.")</f>
        <v>very comfortable for walking Very good shoes for walking whether in town or in the country. very nice and comfortable. suddenly, I took 2 for very acceptable price. I use it almost every day. (Every 2 days for a pair of 2) I recommend this brand of shoes.</v>
      </c>
    </row>
    <row r="8517">
      <c r="A8517" s="1">
        <v>5.0</v>
      </c>
      <c r="B8517" s="1" t="s">
        <v>8393</v>
      </c>
      <c r="C8517" t="str">
        <f>IFERROR(__xludf.DUMMYFUNCTION("GOOGLETRANSLATE(B8517, ""fr"", ""en"")"),"Timberland! At least 5 years of loyal service, I keep my old pair for gardening or tinkering. Elegant and functional. Excellent product")</f>
        <v>Timberland! At least 5 years of loyal service, I keep my old pair for gardening or tinkering. Elegant and functional. Excellent product</v>
      </c>
    </row>
    <row r="8518">
      <c r="A8518" s="1">
        <v>5.0</v>
      </c>
      <c r="B8518" s="1" t="s">
        <v>8394</v>
      </c>
      <c r="C8518" t="str">
        <f>IFERROR(__xludf.DUMMYFUNCTION("GOOGLETRANSLATE(B8518, ""fr"", ""en"")"),"Top CM1")</f>
        <v>Top CM1</v>
      </c>
    </row>
    <row r="8519">
      <c r="A8519" s="1">
        <v>5.0</v>
      </c>
      <c r="B8519" s="1" t="s">
        <v>8395</v>
      </c>
      <c r="C8519" t="str">
        <f>IFERROR(__xludf.DUMMYFUNCTION("GOOGLETRANSLATE(B8519, ""fr"", ""en"")"),"Overall pretty nice as well together and much less than in trade, with the tee shirt plus c is the class ..")</f>
        <v>Overall pretty nice as well together and much less than in trade, with the tee shirt plus c is the class ..</v>
      </c>
    </row>
    <row r="8520">
      <c r="A8520" s="1">
        <v>5.0</v>
      </c>
      <c r="B8520" s="1" t="s">
        <v>8396</v>
      </c>
      <c r="C8520" t="str">
        <f>IFERROR(__xludf.DUMMYFUNCTION("GOOGLETRANSLATE(B8520, ""fr"", ""en"")"),"FLAWLESS personal use. Good product. competent service delivery (for redelivered due to deterioration of the first package)")</f>
        <v>FLAWLESS personal use. Good product. competent service delivery (for redelivered due to deterioration of the first package)</v>
      </c>
    </row>
    <row r="8521">
      <c r="A8521" s="1">
        <v>5.0</v>
      </c>
      <c r="B8521" s="1" t="s">
        <v>8397</v>
      </c>
      <c r="C8521" t="str">
        <f>IFERROR(__xludf.DUMMYFUNCTION("GOOGLETRANSLATE(B8521, ""fr"", ""en"")"),"socks Alright work socks. We will see over time, for now I am satisfied. Many of us, so it's top three colors. I recommend subject over time and after washing. For the moment nothing has move to washing. Great !")</f>
        <v>socks Alright work socks. We will see over time, for now I am satisfied. Many of us, so it's top three colors. I recommend subject over time and after washing. For the moment nothing has move to washing. Great !</v>
      </c>
    </row>
    <row r="8522">
      <c r="A8522" s="1">
        <v>5.0</v>
      </c>
      <c r="B8522" s="1" t="s">
        <v>8398</v>
      </c>
      <c r="C8522" t="str">
        <f>IFERROR(__xludf.DUMMYFUNCTION("GOOGLETRANSLATE(B8522, ""fr"", ""en"")"),"Very useful Very useful for marking books and notebooks of our son")</f>
        <v>Very useful Very useful for marking books and notebooks of our son</v>
      </c>
    </row>
    <row r="8523">
      <c r="A8523" s="1">
        <v>5.0</v>
      </c>
      <c r="B8523" s="1" t="s">
        <v>8399</v>
      </c>
      <c r="C8523" t="str">
        <f>IFERROR(__xludf.DUMMYFUNCTION("GOOGLETRANSLATE(B8523, ""fr"", ""en"")"),"Magnificent Collection Book")</f>
        <v>Magnificent Collection Book</v>
      </c>
    </row>
    <row r="8524">
      <c r="A8524" s="1">
        <v>5.0</v>
      </c>
      <c r="B8524" s="1" t="s">
        <v>8400</v>
      </c>
      <c r="C8524" t="str">
        <f>IFERROR(__xludf.DUMMYFUNCTION("GOOGLETRANSLATE(B8524, ""fr"", ""en"")"),"Although practice to get used to drink without nipple")</f>
        <v>Although practice to get used to drink without nipple</v>
      </c>
    </row>
    <row r="8525">
      <c r="A8525" s="1">
        <v>5.0</v>
      </c>
      <c r="B8525" s="1" t="s">
        <v>8401</v>
      </c>
      <c r="C8525" t="str">
        <f>IFERROR(__xludf.DUMMYFUNCTION("GOOGLETRANSLATE(B8525, ""fr"", ""en"")"),"The basis of good quality comfortable to wear during the day, perfect to complete her look, especially for the price. Trying is believing!")</f>
        <v>The basis of good quality comfortable to wear during the day, perfect to complete her look, especially for the price. Trying is believing!</v>
      </c>
    </row>
    <row r="8526">
      <c r="A8526" s="1">
        <v>5.0</v>
      </c>
      <c r="B8526" s="1" t="s">
        <v>8402</v>
      </c>
      <c r="C8526" t="str">
        <f>IFERROR(__xludf.DUMMYFUNCTION("GOOGLETRANSLATE(B8526, ""fr"", ""en"")"),"durable, practical and stylish I practice serves me both for my outfit for my airsoft motorcycle pants. adjustable and very tough I am surprised at how effective this tactic belt.")</f>
        <v>durable, practical and stylish I practice serves me both for my outfit for my airsoft motorcycle pants. adjustable and very tough I am surprised at how effective this tactic belt.</v>
      </c>
    </row>
    <row r="8527">
      <c r="A8527" s="1">
        <v>5.0</v>
      </c>
      <c r="B8527" s="1" t="s">
        <v>8403</v>
      </c>
      <c r="C8527" t="str">
        <f>IFERROR(__xludf.DUMMYFUNCTION("GOOGLETRANSLATE(B8527, ""fr"", ""en"")"),"Protective footwear Very nice safety shoes that resemble sneakers. It's stunning.")</f>
        <v>Protective footwear Very nice safety shoes that resemble sneakers. It's stunning.</v>
      </c>
    </row>
    <row r="8528">
      <c r="A8528" s="1">
        <v>2.0</v>
      </c>
      <c r="B8528" s="1" t="s">
        <v>8404</v>
      </c>
      <c r="C8528" t="str">
        <f>IFERROR(__xludf.DUMMYFUNCTION("GOOGLETRANSLATE(B8528, ""fr"", ""en"")"),"Size and socks perfect fit but very well designed in terms of shape, and very fine and comfortable but holes appear very quickly (too because even after only 2 ports they make holes in 1 month I have 4 pairs of parties the bin.")</f>
        <v>Size and socks perfect fit but very well designed in terms of shape, and very fine and comfortable but holes appear very quickly (too because even after only 2 ports they make holes in 1 month I have 4 pairs of parties the bin.</v>
      </c>
    </row>
    <row r="8529">
      <c r="A8529" s="1">
        <v>1.0</v>
      </c>
      <c r="B8529" s="1" t="s">
        <v>8405</v>
      </c>
      <c r="C8529" t="str">
        <f>IFERROR(__xludf.DUMMYFUNCTION("GOOGLETRANSLATE(B8529, ""fr"", ""en"")"),"defect product quality We buy rolls CB for several years at home for several months but the quality is not good. Indeed, the impression is often done on one of the paper! We waste so much. Could you keep me informed as I could buy more if this continues. "&amp;"Thanks for your feedback")</f>
        <v>defect product quality We buy rolls CB for several years at home for several months but the quality is not good. Indeed, the impression is often done on one of the paper! We waste so much. Could you keep me informed as I could buy more if this continues. Thanks for your feedback</v>
      </c>
    </row>
    <row r="8530">
      <c r="A8530" s="1">
        <v>1.0</v>
      </c>
      <c r="B8530" s="1" t="s">
        <v>8406</v>
      </c>
      <c r="C8530" t="str">
        <f>IFERROR(__xludf.DUMMYFUNCTION("GOOGLETRANSLATE(B8530, ""fr"", ""en"")"),"pure scam I will buy more from Amazon via shows no guarantees! !! and I am after ten days with a watch I can not change the time and the bracelet that no longer closes then avoid buying this watch")</f>
        <v>pure scam I will buy more from Amazon via shows no guarantees! !! and I am after ten days with a watch I can not change the time and the bracelet that no longer closes then avoid buying this watch</v>
      </c>
    </row>
    <row r="8531">
      <c r="A8531" s="1">
        <v>3.0</v>
      </c>
      <c r="B8531" s="1" t="s">
        <v>8407</v>
      </c>
      <c r="C8531" t="str">
        <f>IFERROR(__xludf.DUMMYFUNCTION("GOOGLETRANSLATE(B8531, ""fr"", ""en"")"),"Cheap packing tapes are not of very good quality it does not fit on the cards comes off too easily against by the price is very affordable but next time I would put p; read cheap though")</f>
        <v>Cheap packing tapes are not of very good quality it does not fit on the cards comes off too easily against by the price is very affordable but next time I would put p; read cheap though</v>
      </c>
    </row>
    <row r="8532">
      <c r="A8532" s="1">
        <v>3.0</v>
      </c>
      <c r="B8532" s="1" t="s">
        <v>8408</v>
      </c>
      <c r="C8532" t="str">
        <f>IFERROR(__xludf.DUMMYFUNCTION("GOOGLETRANSLATE(B8532, ""fr"", ""en"")"),"Hooks earrings 200 These hooks are good quality. The silver metal does not change color and does not deform Value / price very good I recommend this product")</f>
        <v>Hooks earrings 200 These hooks are good quality. The silver metal does not change color and does not deform Value / price very good I recommend this product</v>
      </c>
    </row>
    <row r="8533">
      <c r="A8533" s="1">
        <v>4.0</v>
      </c>
      <c r="B8533" s="1" t="s">
        <v>8409</v>
      </c>
      <c r="C8533" t="str">
        <f>IFERROR(__xludf.DUMMYFUNCTION("GOOGLETRANSLATE(B8533, ""fr"", ""en"")"),"Beautiful dress The dress is very beautiful. It is sent in a pouch that protects it. Only Downside size does not match the size guide. It is too big ... I will do touch up because I have no more time to return")</f>
        <v>Beautiful dress The dress is very beautiful. It is sent in a pouch that protects it. Only Downside size does not match the size guide. It is too big ... I will do touch up because I have no more time to return</v>
      </c>
    </row>
    <row r="8534">
      <c r="A8534" s="1">
        <v>4.0</v>
      </c>
      <c r="B8534" s="1" t="s">
        <v>8410</v>
      </c>
      <c r="C8534" t="str">
        <f>IFERROR(__xludf.DUMMYFUNCTION("GOOGLETRANSLATE(B8534, ""fr"", ""en"")"),"Excellent product I purchased this product to warm up the neck and shoulders as the sauna! The warm sensation that covers the neck and back is very nice, and especially that flaxseed feel very good! This is a great product, I recommend it.")</f>
        <v>Excellent product I purchased this product to warm up the neck and shoulders as the sauna! The warm sensation that covers the neck and back is very nice, and especially that flaxseed feel very good! This is a great product, I recommend it.</v>
      </c>
    </row>
    <row r="8535">
      <c r="A8535" s="1">
        <v>4.0</v>
      </c>
      <c r="B8535" s="1" t="s">
        <v>8411</v>
      </c>
      <c r="C8535" t="str">
        <f>IFERROR(__xludf.DUMMYFUNCTION("GOOGLETRANSLATE(B8535, ""fr"", ""en"")"),"Canon 545 pg / ks 546 / multi pack Fast delivery as always with Amazon products correspond to the reasonable demand value for money very good I recommend")</f>
        <v>Canon 545 pg / ks 546 / multi pack Fast delivery as always with Amazon products correspond to the reasonable demand value for money very good I recommend</v>
      </c>
    </row>
    <row r="8536">
      <c r="A8536" s="1">
        <v>4.0</v>
      </c>
      <c r="B8536" s="1" t="s">
        <v>8412</v>
      </c>
      <c r="C8536" t="str">
        <f>IFERROR(__xludf.DUMMYFUNCTION("GOOGLETRANSLATE(B8536, ""fr"", ""en"")"),"unknown but correct Chinese brand! Admittedly, for the price, are not bad! Now I see over time what it's worth!")</f>
        <v>unknown but correct Chinese brand! Admittedly, for the price, are not bad! Now I see over time what it's worth!</v>
      </c>
    </row>
    <row r="8537">
      <c r="A8537" s="1">
        <v>4.0</v>
      </c>
      <c r="B8537" s="1" t="s">
        <v>8413</v>
      </c>
      <c r="C8537" t="str">
        <f>IFERROR(__xludf.DUMMYFUNCTION("GOOGLETRANSLATE(B8537, ""fr"", ""en"")"),"pretty cool")</f>
        <v>pretty cool</v>
      </c>
    </row>
    <row r="8538">
      <c r="A8538" s="1">
        <v>5.0</v>
      </c>
      <c r="B8538" s="1" t="s">
        <v>8414</v>
      </c>
      <c r="C8538" t="str">
        <f>IFERROR(__xludf.DUMMYFUNCTION("GOOGLETRANSLATE(B8538, ""fr"", ""en"")"),"Perfect very good product Satisfied")</f>
        <v>Perfect very good product Satisfied</v>
      </c>
    </row>
    <row r="8539">
      <c r="A8539" s="1">
        <v>5.0</v>
      </c>
      <c r="B8539" s="1" t="s">
        <v>8415</v>
      </c>
      <c r="C8539" t="str">
        <f>IFERROR(__xludf.DUMMYFUNCTION("GOOGLETRANSLATE(B8539, ""fr"", ""en"")"),"Relaxation and relaxation👍👍👍 Really pleased with the product: very easy to use, it is extremely quiet and very nice ... especially in the afternoon. Massage and temperature control step by step is very significant. A real treat heavy legs against the e"&amp;"ternal ...")</f>
        <v>Relaxation and relaxation👍👍👍 Really pleased with the product: very easy to use, it is extremely quiet and very nice ... especially in the afternoon. Massage and temperature control step by step is very significant. A real treat heavy legs against the eternal ...</v>
      </c>
    </row>
    <row r="8540">
      <c r="A8540" s="1">
        <v>5.0</v>
      </c>
      <c r="B8540" s="1" t="s">
        <v>8416</v>
      </c>
      <c r="C8540" t="str">
        <f>IFERROR(__xludf.DUMMYFUNCTION("GOOGLETRANSLATE(B8540, ""fr"", ""en"")"),"Headphones I needed headphones after comparing the different offers, I needed a product not too expensive but that is reliable. So I focused on what sony headphones, the quality / price is excellent and the headset is comfortable to wear especially for pr"&amp;"olonged listening. I am satisfied by this.")</f>
        <v>Headphones I needed headphones after comparing the different offers, I needed a product not too expensive but that is reliable. So I focused on what sony headphones, the quality / price is excellent and the headset is comfortable to wear especially for prolonged listening. I am satisfied by this.</v>
      </c>
    </row>
    <row r="8541">
      <c r="A8541" s="1">
        <v>5.0</v>
      </c>
      <c r="B8541" s="1" t="s">
        <v>8417</v>
      </c>
      <c r="C8541" t="str">
        <f>IFERROR(__xludf.DUMMYFUNCTION("GOOGLETRANSLATE(B8541, ""fr"", ""en"")"),"Softener for clothes very soft .... Lot softeners received very well packed / protected. Small bottles of hand sizes, are easy to store and handle. Softener itself is very concentrated and it is good to observe the recommendations for use. At the opening "&amp;"of the bottle the smell is pleasant and subtle. The washed and expanded machine, finally a laundry that does not header! The scent is very light. The dry laundry smell is very slightly noticeable, textiles are actually sweeter after ironing or not, with o"&amp;"ur old softener, it's very nice. No skin reaction with this softening in line with its hypoallergenic therefore labeling / sensitive skin. In summary we find in line with what we wanted, a softener that does its ""job"", which does not header, which leave"&amp;"s very soft, hypoallergenic / sensitive skins and in addition carries the values ​​""ecological"" perfect for us !")</f>
        <v>Softener for clothes very soft .... Lot softeners received very well packed / protected. Small bottles of hand sizes, are easy to store and handle. Softener itself is very concentrated and it is good to observe the recommendations for use. At the opening of the bottle the smell is pleasant and subtle. The washed and expanded machine, finally a laundry that does not header! The scent is very light. The dry laundry smell is very slightly noticeable, textiles are actually sweeter after ironing or not, with our old softener, it's very nice. No skin reaction with this softening in line with its hypoallergenic therefore labeling / sensitive skin. In summary we find in line with what we wanted, a softener that does its "job", which does not header, which leaves very soft, hypoallergenic / sensitive skins and in addition carries the values ​​"ecological" perfect for us !</v>
      </c>
    </row>
    <row r="8542">
      <c r="A8542" s="1">
        <v>5.0</v>
      </c>
      <c r="B8542" s="1" t="s">
        <v>8418</v>
      </c>
      <c r="C8542" t="str">
        <f>IFERROR(__xludf.DUMMYFUNCTION("GOOGLETRANSLATE(B8542, ""fr"", ""en"")"),"Superbly cheap ;-))) Superb gem ... Enthusiast watches, I think I can give it the best quality / price ratio !!! Numerous configurable functions with ease. On a blue background is original and sympathetic 👍🏽👍🏽")</f>
        <v>Superbly cheap ;-))) Superb gem ... Enthusiast watches, I think I can give it the best quality / price ratio !!! Numerous configurable functions with ease. On a blue background is original and sympathetic 👍🏽👍🏽</v>
      </c>
    </row>
    <row r="8543">
      <c r="A8543" s="1">
        <v>5.0</v>
      </c>
      <c r="B8543" s="1" t="s">
        <v>8419</v>
      </c>
      <c r="C8543" t="str">
        <f>IFERROR(__xludf.DUMMYFUNCTION("GOOGLETRANSLATE(B8543, ""fr"", ""en"")"),"No complaints Perfectly consistent with the description Nothing to say the broadcast sound is exactly the same without imperfections")</f>
        <v>No complaints Perfectly consistent with the description Nothing to say the broadcast sound is exactly the same without imperfections</v>
      </c>
    </row>
    <row r="8544">
      <c r="A8544" s="1">
        <v>5.0</v>
      </c>
      <c r="B8544" s="1" t="s">
        <v>8420</v>
      </c>
      <c r="C8544" t="str">
        <f>IFERROR(__xludf.DUMMYFUNCTION("GOOGLETRANSLATE(B8544, ""fr"", ""en"")"),"The quality very good and discreet")</f>
        <v>The quality very good and discreet</v>
      </c>
    </row>
    <row r="8545">
      <c r="A8545" s="1">
        <v>5.0</v>
      </c>
      <c r="B8545" s="1" t="s">
        <v>8421</v>
      </c>
      <c r="C8545" t="str">
        <f>IFERROR(__xludf.DUMMYFUNCTION("GOOGLETRANSLATE(B8545, ""fr"", ""en"")"),"Perfect for birthday party Perfect for children. Very colorful, quality card. I recommend this product 8 of invitation cards")</f>
        <v>Perfect for birthday party Perfect for children. Very colorful, quality card. I recommend this product 8 of invitation cards</v>
      </c>
    </row>
    <row r="8546">
      <c r="A8546" s="1">
        <v>5.0</v>
      </c>
      <c r="B8546" s="1" t="s">
        <v>8422</v>
      </c>
      <c r="C8546" t="str">
        <f>IFERROR(__xludf.DUMMYFUNCTION("GOOGLETRANSLATE(B8546, ""fr"", ""en"")"),"Converse, for ever! Well I'll not comment Converse. It's as if I commented recipe Coca Cola and Caprice des Dieux ... Sending fast. nickel package. Size nickel short converse is well")</f>
        <v>Converse, for ever! Well I'll not comment Converse. It's as if I commented recipe Coca Cola and Caprice des Dieux ... Sending fast. nickel package. Size nickel short converse is well</v>
      </c>
    </row>
    <row r="8547">
      <c r="A8547" s="1">
        <v>5.0</v>
      </c>
      <c r="B8547" s="1" t="s">
        <v>8423</v>
      </c>
      <c r="C8547" t="str">
        <f>IFERROR(__xludf.DUMMYFUNCTION("GOOGLETRANSLATE(B8547, ""fr"", ""en"")"),"washable super thick, very good quality, I see the lava 3.4 5 times easily if that pee. adopted good value")</f>
        <v>washable super thick, very good quality, I see the lava 3.4 5 times easily if that pee. adopted good value</v>
      </c>
    </row>
    <row r="8548">
      <c r="A8548" s="1">
        <v>5.0</v>
      </c>
      <c r="B8548" s="1" t="s">
        <v>8424</v>
      </c>
      <c r="C8548" t="str">
        <f>IFERROR(__xludf.DUMMYFUNCTION("GOOGLETRANSLATE(B8548, ""fr"", ""en"")"),"PERFECT compliant, this boots are very comfortable, perfectly fit the foot and ankle ... With their jacket, she let you wear them with thin socks as semi thick without feeling cold ... The studs are effective snow as ice as soft compound ... PERFECT SIZE "&amp;"I definitely recommend")</f>
        <v>PERFECT compliant, this boots are very comfortable, perfectly fit the foot and ankle ... With their jacket, she let you wear them with thin socks as semi thick without feeling cold ... The studs are effective snow as ice as soft compound ... PERFECT SIZE I definitely recommend</v>
      </c>
    </row>
    <row r="8549">
      <c r="A8549" s="1">
        <v>5.0</v>
      </c>
      <c r="B8549" s="1" t="s">
        <v>8425</v>
      </c>
      <c r="C8549" t="str">
        <f>IFERROR(__xludf.DUMMYFUNCTION("GOOGLETRANSLATE(B8549, ""fr"", ""en"")"),"the super supertooth Bought to replace my headset I was happy but ... This unit works well. Its correct and sensitivity microphone too. It's right above me on the sun visor. Just remember to change the following side if the sun visor is open or not. I cou"&amp;"ld not judge the autonomy but forgot to turn it off a weekend and it works again then. No fault found for now. instant recognition by my smartphone. Impeccable.")</f>
        <v>the super supertooth Bought to replace my headset I was happy but ... This unit works well. Its correct and sensitivity microphone too. It's right above me on the sun visor. Just remember to change the following side if the sun visor is open or not. I could not judge the autonomy but forgot to turn it off a weekend and it works again then. No fault found for now. instant recognition by my smartphone. Impeccable.</v>
      </c>
    </row>
    <row r="8550">
      <c r="A8550" s="1">
        <v>5.0</v>
      </c>
      <c r="B8550" s="1" t="s">
        <v>8426</v>
      </c>
      <c r="C8550" t="str">
        <f>IFERROR(__xludf.DUMMYFUNCTION("GOOGLETRANSLATE(B8550, ""fr"", ""en"")"),"Like all perfect shoes Converse brand, size a little too large so take a half size or one size smaller than your usual size")</f>
        <v>Like all perfect shoes Converse brand, size a little too large so take a half size or one size smaller than your usual size</v>
      </c>
    </row>
    <row r="8551">
      <c r="A8551" s="1">
        <v>5.0</v>
      </c>
      <c r="B8551" s="1" t="s">
        <v>8427</v>
      </c>
      <c r="C8551" t="str">
        <f>IFERROR(__xludf.DUMMYFUNCTION("GOOGLETRANSLATE(B8551, ""fr"", ""en"")"),"really comfortable really comfortable Luxury watch Easily Very detailed adjustable. I recommend Fast delivery thanks to Amazon.")</f>
        <v>really comfortable really comfortable Luxury watch Easily Very detailed adjustable. I recommend Fast delivery thanks to Amazon.</v>
      </c>
    </row>
    <row r="8552">
      <c r="A8552" s="1">
        <v>5.0</v>
      </c>
      <c r="B8552" s="1" t="s">
        <v>8428</v>
      </c>
      <c r="C8552" t="str">
        <f>IFERROR(__xludf.DUMMYFUNCTION("GOOGLETRANSLATE(B8552, ""fr"", ""en"")"),"Satisfied I have this listener, it is convenient and comfortable. I recommend you")</f>
        <v>Satisfied I have this listener, it is convenient and comfortable. I recommend you</v>
      </c>
    </row>
    <row r="8553">
      <c r="A8553" s="1">
        <v>5.0</v>
      </c>
      <c r="B8553" s="1" t="s">
        <v>8429</v>
      </c>
      <c r="C8553" t="str">
        <f>IFERROR(__xludf.DUMMYFUNCTION("GOOGLETRANSLATE(B8553, ""fr"", ""en"")"),"COMFORT IMMEDIATE AND LIGHT QUALITY")</f>
        <v>COMFORT IMMEDIATE AND LIGHT QUALITY</v>
      </c>
    </row>
    <row r="8554">
      <c r="A8554" s="1">
        <v>2.0</v>
      </c>
      <c r="B8554" s="1" t="s">
        <v>8430</v>
      </c>
      <c r="C8554" t="str">
        <f>IFERROR(__xludf.DUMMYFUNCTION("GOOGLETRANSLATE(B8554, ""fr"", ""en"")"),"size error .... Difficult to assess their real quality, I received air 36/38 instead of 44/46 ordered .... But like all products, sewing thick on the toes, ie, is not at all comfortable ..... and it is strong ankles (even if it is too small, it should not"&amp;" change too much at this level). Again, no response to emails ...... and always money that went up in flames .... manufacturer to flee!")</f>
        <v>size error .... Difficult to assess their real quality, I received air 36/38 instead of 44/46 ordered .... But like all products, sewing thick on the toes, ie, is not at all comfortable ..... and it is strong ankles (even if it is too small, it should not change too much at this level). Again, no response to emails ...... and always money that went up in flames .... manufacturer to flee!</v>
      </c>
    </row>
    <row r="8555">
      <c r="A8555" s="1">
        <v>1.0</v>
      </c>
      <c r="B8555" s="1" t="s">
        <v>8431</v>
      </c>
      <c r="C8555" t="str">
        <f>IFERROR(__xludf.DUMMYFUNCTION("GOOGLETRANSLATE(B8555, ""fr"", ""en"")"),"I returned ... Produced a little rude .... poor quality leather ... unless it is synthetic leather")</f>
        <v>I returned ... Produced a little rude .... poor quality leather ... unless it is synthetic leather</v>
      </c>
    </row>
    <row r="8556">
      <c r="A8556" s="1">
        <v>1.0</v>
      </c>
      <c r="B8556" s="1" t="s">
        <v>8432</v>
      </c>
      <c r="C8556" t="str">
        <f>IFERROR(__xludf.DUMMYFUNCTION("GOOGLETRANSLATE(B8556, ""fr"", ""en"")"),"The size corresponds more I wear these shoes for years ... Size 36. (my usual size for all other shoes also) First order in 36: Second command much too small at 37: still too small Third command 37: huge !!! I want to understand why ...")</f>
        <v>The size corresponds more I wear these shoes for years ... Size 36. (my usual size for all other shoes also) First order in 36: Second command much too small at 37: still too small Third command 37: huge !!! I want to understand why ...</v>
      </c>
    </row>
    <row r="8557">
      <c r="A8557" s="1">
        <v>3.0</v>
      </c>
      <c r="B8557" s="1" t="s">
        <v>8433</v>
      </c>
      <c r="C8557" t="str">
        <f>IFERROR(__xludf.DUMMYFUNCTION("GOOGLETRANSLATE(B8557, ""fr"", ""en"")"),"Nice article, but the color does not match I ordered this product green and I was really satisfied: quality, size, color, everything was at the rendezvous. So I placed the order the same item, but in colors ""red wine"", which appears to be burgundy in th"&amp;"e photo. In fact, it is brick color, much less a nice burgundy (after that depends on taste). So I go back, I will definitely be ordering black instead.")</f>
        <v>Nice article, but the color does not match I ordered this product green and I was really satisfied: quality, size, color, everything was at the rendezvous. So I placed the order the same item, but in colors "red wine", which appears to be burgundy in the photo. In fact, it is brick color, much less a nice burgundy (after that depends on taste). So I go back, I will definitely be ordering black instead.</v>
      </c>
    </row>
    <row r="8558">
      <c r="A8558" s="1">
        <v>3.0</v>
      </c>
      <c r="B8558" s="1" t="s">
        <v>8434</v>
      </c>
      <c r="C8558" t="str">
        <f>IFERROR(__xludf.DUMMYFUNCTION("GOOGLETRANSLATE(B8558, ""fr"", ""en"")"),"Nice, simple kettle aluminum kettle however heavy use")</f>
        <v>Nice, simple kettle aluminum kettle however heavy use</v>
      </c>
    </row>
    <row r="8559">
      <c r="A8559" s="1">
        <v>4.0</v>
      </c>
      <c r="B8559" s="1" t="s">
        <v>8435</v>
      </c>
      <c r="C8559" t="str">
        <f>IFERROR(__xludf.DUMMYFUNCTION("GOOGLETRANSLATE(B8559, ""fr"", ""en"")"),"Ok but very good quality and works very well (field tested). But too big for the Rode Pro which is illustrated in the image. At least 5 cm too long. If the maximum sinking it hides the rear switches the microphone. This must be resolved with a rubber band"&amp;" or another.")</f>
        <v>Ok but very good quality and works very well (field tested). But too big for the Rode Pro which is illustrated in the image. At least 5 cm too long. If the maximum sinking it hides the rear switches the microphone. This must be resolved with a rubber band or another.</v>
      </c>
    </row>
    <row r="8560">
      <c r="A8560" s="1">
        <v>4.0</v>
      </c>
      <c r="B8560" s="1" t="s">
        <v>8436</v>
      </c>
      <c r="C8560" t="str">
        <f>IFERROR(__xludf.DUMMYFUNCTION("GOOGLETRANSLATE(B8560, ""fr"", ""en"")"),"ESR very long chain .. jewelry offered was a woman, for birthday surprises ... the chain had several node ..")</f>
        <v>ESR very long chain .. jewelry offered was a woman, for birthday surprises ... the chain had several node ..</v>
      </c>
    </row>
    <row r="8561">
      <c r="A8561" s="1">
        <v>4.0</v>
      </c>
      <c r="B8561" s="1" t="s">
        <v>8437</v>
      </c>
      <c r="C8561" t="str">
        <f>IFERROR(__xludf.DUMMYFUNCTION("GOOGLETRANSLATE(B8561, ""fr"", ""en"")"),"many textile stiff enough, but it should soften with time")</f>
        <v>many textile stiff enough, but it should soften with time</v>
      </c>
    </row>
    <row r="8562">
      <c r="A8562" s="1">
        <v>4.0</v>
      </c>
      <c r="B8562" s="1" t="s">
        <v>8438</v>
      </c>
      <c r="C8562" t="str">
        <f>IFERROR(__xludf.DUMMYFUNCTION("GOOGLETRANSLATE(B8562, ""fr"", ""en"")"),"Drain cleaner I regularly use this type of product especially to eliminate odors from my kitchen sink. It does its job and the scent is light. The price offered by Amazon batch is slightly cheaper than in supermarkets.")</f>
        <v>Drain cleaner I regularly use this type of product especially to eliminate odors from my kitchen sink. It does its job and the scent is light. The price offered by Amazon batch is slightly cheaper than in supermarkets.</v>
      </c>
    </row>
    <row r="8563">
      <c r="A8563" s="1">
        <v>5.0</v>
      </c>
      <c r="B8563" s="1" t="s">
        <v>8439</v>
      </c>
      <c r="C8563" t="str">
        <f>IFERROR(__xludf.DUMMYFUNCTION("GOOGLETRANSLATE(B8563, ""fr"", ""en"")"),"Very good product ! Product in accordance with the photo !! Nothing to say about the products in the range Mam !! I recommend this product !!")</f>
        <v>Very good product ! Product in accordance with the photo !! Nothing to say about the products in the range Mam !! I recommend this product !!</v>
      </c>
    </row>
    <row r="8564">
      <c r="A8564" s="1">
        <v>5.0</v>
      </c>
      <c r="B8564" s="1" t="s">
        <v>8440</v>
      </c>
      <c r="C8564" t="str">
        <f>IFERROR(__xludf.DUMMYFUNCTION("GOOGLETRANSLATE(B8564, ""fr"", ""en"")"),"very handy when baby wants started eating fruits alone Avoids our stress when the ""big ends"" that could last into the baby's mouth, it is convenient! Very happy")</f>
        <v>very handy when baby wants started eating fruits alone Avoids our stress when the "big ends" that could last into the baby's mouth, it is convenient! Very happy</v>
      </c>
    </row>
    <row r="8565">
      <c r="A8565" s="1">
        <v>5.0</v>
      </c>
      <c r="B8565" s="1" t="s">
        <v>8441</v>
      </c>
      <c r="C8565" t="str">
        <f>IFERROR(__xludf.DUMMYFUNCTION("GOOGLETRANSLATE(B8565, ""fr"", ""en"")"),"Basketball Nike Product corresponding to the picture size well")</f>
        <v>Basketball Nike Product corresponding to the picture size well</v>
      </c>
    </row>
    <row r="8566">
      <c r="A8566" s="1">
        <v>5.0</v>
      </c>
      <c r="B8566" s="1" t="s">
        <v>8442</v>
      </c>
      <c r="C8566" t="str">
        <f>IFERROR(__xludf.DUMMYFUNCTION("GOOGLETRANSLATE(B8566, ""fr"", ""en"")"),"PwC Meets description, I recommend + + + + + + + + + + + + + +")</f>
        <v>PwC Meets description, I recommend + + + + + + + + + + + + + +</v>
      </c>
    </row>
    <row r="8567">
      <c r="A8567" s="1">
        <v>5.0</v>
      </c>
      <c r="B8567" s="1" t="s">
        <v>8443</v>
      </c>
      <c r="C8567" t="str">
        <f>IFERROR(__xludf.DUMMYFUNCTION("GOOGLETRANSLATE(B8567, ""fr"", ""en"")"),"All Tr well")</f>
        <v>All Tr well</v>
      </c>
    </row>
    <row r="8568">
      <c r="A8568" s="1">
        <v>5.0</v>
      </c>
      <c r="B8568" s="1" t="s">
        <v>8444</v>
      </c>
      <c r="C8568" t="str">
        <f>IFERROR(__xludf.DUMMYFUNCTION("GOOGLETRANSLATE(B8568, ""fr"", ""en"")"),"Cool For a long time I wanted a kettle that allows me to have the ideal temperature depending on all kinds of tea. Product corresponding to my expectations The adjustable temperature ± 5 ° C between 40 ° C and 100 ° is very suitable for the various makers"&amp;" and brewing I like this color change of the LED according to the temperature. Very happy for now.")</f>
        <v>Cool For a long time I wanted a kettle that allows me to have the ideal temperature depending on all kinds of tea. Product corresponding to my expectations The adjustable temperature ± 5 ° C between 40 ° C and 100 ° is very suitable for the various makers and brewing I like this color change of the LED according to the temperature. Very happy for now.</v>
      </c>
    </row>
    <row r="8569">
      <c r="A8569" s="1">
        <v>5.0</v>
      </c>
      <c r="B8569" s="1" t="s">
        <v>8445</v>
      </c>
      <c r="C8569" t="str">
        <f>IFERROR(__xludf.DUMMYFUNCTION("GOOGLETRANSLATE(B8569, ""fr"", ""en"")"),"good quality Perfect for laptop PC and all documentation to carry!")</f>
        <v>good quality Perfect for laptop PC and all documentation to carry!</v>
      </c>
    </row>
    <row r="8570">
      <c r="A8570" s="1">
        <v>5.0</v>
      </c>
      <c r="B8570" s="1" t="s">
        <v>8446</v>
      </c>
      <c r="C8570" t="str">
        <f>IFERROR(__xludf.DUMMYFUNCTION("GOOGLETRANSLATE(B8570, ""fr"", ""en"")"),"Very nice small size but my husband has a strong foot, to see on a late walk. These shoes are light and pretty. My husband loves them")</f>
        <v>Very nice small size but my husband has a strong foot, to see on a late walk. These shoes are light and pretty. My husband loves them</v>
      </c>
    </row>
    <row r="8571">
      <c r="A8571" s="1">
        <v>5.0</v>
      </c>
      <c r="B8571" s="1" t="s">
        <v>8447</v>
      </c>
      <c r="C8571" t="str">
        <f>IFERROR(__xludf.DUMMYFUNCTION("GOOGLETRANSLATE(B8571, ""fr"", ""en"")"),"PERFECT Although this is a sweatshirt man, my friend, want the same as me I had bought more grand.Elle was delighted, and found great! so we can say that it is unisexe.C'est a great product, I ordered also with matching trousers of the same brand that are"&amp;" also nice to porter.Nous therefore recommend.")</f>
        <v>PERFECT Although this is a sweatshirt man, my friend, want the same as me I had bought more grand.Elle was delighted, and found great! so we can say that it is unisexe.C'est a great product, I ordered also with matching trousers of the same brand that are also nice to porter.Nous therefore recommend.</v>
      </c>
    </row>
    <row r="8572">
      <c r="A8572" s="1">
        <v>5.0</v>
      </c>
      <c r="B8572" s="1" t="s">
        <v>8448</v>
      </c>
      <c r="C8572" t="str">
        <f>IFERROR(__xludf.DUMMYFUNCTION("GOOGLETRANSLATE(B8572, ""fr"", ""en"")"),"Timberland Perfect")</f>
        <v>Timberland Perfect</v>
      </c>
    </row>
    <row r="8573">
      <c r="A8573" s="1">
        <v>5.0</v>
      </c>
      <c r="B8573" s="1" t="s">
        <v>8449</v>
      </c>
      <c r="C8573" t="str">
        <f>IFERROR(__xludf.DUMMYFUNCTION("GOOGLETRANSLATE(B8573, ""fr"", ""en"")"),"Super headphones bought for the switch of my daughter. They are perfect she is satisfied, she can play, talk and hear his friends while playing together online. She is very satisfied")</f>
        <v>Super headphones bought for the switch of my daughter. They are perfect she is satisfied, she can play, talk and hear his friends while playing together online. She is very satisfied</v>
      </c>
    </row>
    <row r="8574">
      <c r="A8574" s="1">
        <v>5.0</v>
      </c>
      <c r="B8574" s="1" t="s">
        <v>8450</v>
      </c>
      <c r="C8574" t="str">
        <f>IFERROR(__xludf.DUMMYFUNCTION("GOOGLETRANSLATE(B8574, ""fr"", ""en"")"),"Just PERFECT Perfect kettle silent on all points! Beautiful! Convenient ! Lightweight! Smart because does not turn a vacuum! Beautiful colors during the heating time Maintaining perfectly warm No fault to date")</f>
        <v>Just PERFECT Perfect kettle silent on all points! Beautiful! Convenient ! Lightweight! Smart because does not turn a vacuum! Beautiful colors during the heating time Maintaining perfectly warm No fault to date</v>
      </c>
    </row>
    <row r="8575">
      <c r="A8575" s="1">
        <v>5.0</v>
      </c>
      <c r="B8575" s="1" t="s">
        <v>8451</v>
      </c>
      <c r="C8575" t="str">
        <f>IFERROR(__xludf.DUMMYFUNCTION("GOOGLETRANSLATE(B8575, ""fr"", ""en"")"),"Perfect product nickel. Quick delivery")</f>
        <v>Perfect product nickel. Quick delivery</v>
      </c>
    </row>
    <row r="8576">
      <c r="A8576" s="1">
        <v>5.0</v>
      </c>
      <c r="B8576" s="1" t="s">
        <v>8452</v>
      </c>
      <c r="C8576" t="str">
        <f>IFERROR(__xludf.DUMMYFUNCTION("GOOGLETRANSLATE(B8576, ""fr"", ""en"")"),"Cheap batch, delivered practical and less cumbersome for my races very easily stored in closets, convenient dosed corks")</f>
        <v>Cheap batch, delivered practical and less cumbersome for my races very easily stored in closets, convenient dosed corks</v>
      </c>
    </row>
    <row r="8577">
      <c r="A8577" s="1">
        <v>5.0</v>
      </c>
      <c r="B8577" s="1" t="s">
        <v>8453</v>
      </c>
      <c r="C8577" t="str">
        <f>IFERROR(__xludf.DUMMYFUNCTION("GOOGLETRANSLATE(B8577, ""fr"", ""en"")"),"Correct Match my expectations. Works very well.")</f>
        <v>Correct Match my expectations. Works very well.</v>
      </c>
    </row>
    <row r="8578">
      <c r="A8578" s="1">
        <v>2.0</v>
      </c>
      <c r="B8578" s="1" t="s">
        <v>8454</v>
      </c>
      <c r="C8578" t="str">
        <f>IFERROR(__xludf.DUMMYFUNCTION("GOOGLETRANSLATE(B8578, ""fr"", ""en"")"),"Too thin teat too fine. My baby does not like to suck at all this")</f>
        <v>Too thin teat too fine. My baby does not like to suck at all this</v>
      </c>
    </row>
    <row r="8579">
      <c r="A8579" s="1">
        <v>1.0</v>
      </c>
      <c r="B8579" s="1" t="s">
        <v>8455</v>
      </c>
      <c r="C8579" t="str">
        <f>IFERROR(__xludf.DUMMYFUNCTION("GOOGLETRANSLATE(B8579, ""fr"", ""en"")"),"Poor teat All round teats are split in the space of a few days, a disaster! And my son does not even have more tooth! I quickly arranged and purchased these bottles MAM with a flat nipple, no quality problems.")</f>
        <v>Poor teat All round teats are split in the space of a few days, a disaster! And my son does not even have more tooth! I quickly arranged and purchased these bottles MAM with a flat nipple, no quality problems.</v>
      </c>
    </row>
    <row r="8580">
      <c r="A8580" s="1">
        <v>1.0</v>
      </c>
      <c r="B8580" s="1" t="s">
        <v>8456</v>
      </c>
      <c r="C8580" t="str">
        <f>IFERROR(__xludf.DUMMYFUNCTION("GOOGLETRANSLATE(B8580, ""fr"", ""en"")"),"This is not a medical product I received a repackaged product, without protective film on the lamp, and 10 000 lux intensity is not at the rendezvous. After measuring, just 2500 lux at 20 cm. Too few. I will return the unit, because at this price, it can "&amp;"not be a gimmick.")</f>
        <v>This is not a medical product I received a repackaged product, without protective film on the lamp, and 10 000 lux intensity is not at the rendezvous. After measuring, just 2500 lux at 20 cm. Too few. I will return the unit, because at this price, it can not be a gimmick.</v>
      </c>
    </row>
    <row r="8581">
      <c r="A8581" s="1">
        <v>3.0</v>
      </c>
      <c r="B8581" s="1" t="s">
        <v>8457</v>
      </c>
      <c r="C8581" t="str">
        <f>IFERROR(__xludf.DUMMYFUNCTION("GOOGLETRANSLATE(B8581, ""fr"", ""en"")"),"Missing element I received the kit and we are satisfied with missing against the cap of a bottle of 240ml of 2! Too bad, very bad!")</f>
        <v>Missing element I received the kit and we are satisfied with missing against the cap of a bottle of 240ml of 2! Too bad, very bad!</v>
      </c>
    </row>
    <row r="8582">
      <c r="A8582" s="1">
        <v>4.0</v>
      </c>
      <c r="B8582" s="1" t="s">
        <v>8458</v>
      </c>
      <c r="C8582" t="str">
        <f>IFERROR(__xludf.DUMMYFUNCTION("GOOGLETRANSLATE(B8582, ""fr"", ""en"")"),"Very little cat I bought this necklace for my girlfriend who loves cats. She is very happy with this but I am very disappointed by the size of this gem I imagined much larger.")</f>
        <v>Very little cat I bought this necklace for my girlfriend who loves cats. She is very happy with this but I am very disappointed by the size of this gem I imagined much larger.</v>
      </c>
    </row>
    <row r="8583">
      <c r="A8583" s="1">
        <v>4.0</v>
      </c>
      <c r="B8583" s="1" t="s">
        <v>8459</v>
      </c>
      <c r="C8583" t="str">
        <f>IFERROR(__xludf.DUMMYFUNCTION("GOOGLETRANSLATE(B8583, ""fr"", ""en"")"),"😀 The bag is beautiful and good quality exactly like the pictures with good size. Perfect for carrying a PC.")</f>
        <v>😀 The bag is beautiful and good quality exactly like the pictures with good size. Perfect for carrying a PC.</v>
      </c>
    </row>
    <row r="8584">
      <c r="A8584" s="1">
        <v>4.0</v>
      </c>
      <c r="B8584" s="1" t="s">
        <v>8460</v>
      </c>
      <c r="C8584" t="str">
        <f>IFERROR(__xludf.DUMMYFUNCTION("GOOGLETRANSLATE(B8584, ""fr"", ""en"")"),"Good value for an ideal bag for its size The colors are sober and masculine. Modern by its material and size which makes current accessory yet has been. The dimensions allow to take portfolio, smartphone, book ... without the hassle of a shoulder bag. Ide"&amp;"al for me. Fast delivery and careful.")</f>
        <v>Good value for an ideal bag for its size The colors are sober and masculine. Modern by its material and size which makes current accessory yet has been. The dimensions allow to take portfolio, smartphone, book ... without the hassle of a shoulder bag. Ideal for me. Fast delivery and careful.</v>
      </c>
    </row>
    <row r="8585">
      <c r="A8585" s="1">
        <v>4.0</v>
      </c>
      <c r="B8585" s="1" t="s">
        <v>8461</v>
      </c>
      <c r="C8585" t="str">
        <f>IFERROR(__xludf.DUMMYFUNCTION("GOOGLETRANSLATE(B8585, ""fr"", ""en"")"),"Great product Used when traveling by car. Comfortable and fine for a child.")</f>
        <v>Great product Used when traveling by car. Comfortable and fine for a child.</v>
      </c>
    </row>
    <row r="8586">
      <c r="A8586" s="1">
        <v>5.0</v>
      </c>
      <c r="B8586" s="1" t="s">
        <v>8462</v>
      </c>
      <c r="C8586" t="str">
        <f>IFERROR(__xludf.DUMMYFUNCTION("GOOGLETRANSLATE(B8586, ""fr"", ""en"")"),"Very nice good result after shampoo This brush was immediately adopted by the family. Pleasant sensation of massage. Impregnation of shampoo up to the hairline, so better hair washed. We have just started to use it, then in terms of the result in time, c "&amp;"is too early.")</f>
        <v>Very nice good result after shampoo This brush was immediately adopted by the family. Pleasant sensation of massage. Impregnation of shampoo up to the hairline, so better hair washed. We have just started to use it, then in terms of the result in time, c is too early.</v>
      </c>
    </row>
    <row r="8587">
      <c r="A8587" s="1">
        <v>5.0</v>
      </c>
      <c r="B8587" s="1" t="s">
        <v>8463</v>
      </c>
      <c r="C8587" t="str">
        <f>IFERROR(__xludf.DUMMYFUNCTION("GOOGLETRANSLATE(B8587, ""fr"", ""en"")"),"pul average quality")</f>
        <v>pul average quality</v>
      </c>
    </row>
    <row r="8588">
      <c r="A8588" s="1">
        <v>5.0</v>
      </c>
      <c r="B8588" s="1" t="s">
        <v>8464</v>
      </c>
      <c r="C8588" t="str">
        <f>IFERROR(__xludf.DUMMYFUNCTION("GOOGLETRANSLATE(B8588, ""fr"", ""en"")"),"I can do without very effective for spots and white")</f>
        <v>I can do without very effective for spots and white</v>
      </c>
    </row>
    <row r="8589">
      <c r="A8589" s="1">
        <v>5.0</v>
      </c>
      <c r="B8589" s="1" t="s">
        <v>8465</v>
      </c>
      <c r="C8589" t="str">
        <f>IFERROR(__xludf.DUMMYFUNCTION("GOOGLETRANSLATE(B8589, ""fr"", ""en"")"),"Good buy Good quality and corresponding size, good buy")</f>
        <v>Good buy Good quality and corresponding size, good buy</v>
      </c>
    </row>
    <row r="8590">
      <c r="A8590" s="1">
        <v>5.0</v>
      </c>
      <c r="B8590" s="1" t="s">
        <v>8466</v>
      </c>
      <c r="C8590" t="str">
        <f>IFERROR(__xludf.DUMMYFUNCTION("GOOGLETRANSLATE(B8590, ""fr"", ""en"")"),"Super Slippers are beautiful and super hot stand nothing to say on this, good buy, is the sole form of memory. Super comfortable and very solide.Bonne finish. great; Buy more &amp; nbsp size. For 41, I chose the 42/43, the perfect size. I recommend them.")</f>
        <v>Super Slippers are beautiful and super hot stand nothing to say on this, good buy, is the sole form of memory. Super comfortable and very solide.Bonne finish. great; Buy more &amp; nbsp size. For 41, I chose the 42/43, the perfect size. I recommend them.</v>
      </c>
    </row>
    <row r="8591">
      <c r="A8591" s="1">
        <v>5.0</v>
      </c>
      <c r="B8591" s="1" t="s">
        <v>8467</v>
      </c>
      <c r="C8591" t="str">
        <f>IFERROR(__xludf.DUMMYFUNCTION("GOOGLETRANSLATE(B8591, ""fr"", ""en"")"),"Very satisfied Perfect. Greatly improves the understanding of words. However it is necessary that your ears get used to the pressure nozzles. It hurts a little early when the door long.")</f>
        <v>Very satisfied Perfect. Greatly improves the understanding of words. However it is necessary that your ears get used to the pressure nozzles. It hurts a little early when the door long.</v>
      </c>
    </row>
    <row r="8592">
      <c r="A8592" s="1">
        <v>5.0</v>
      </c>
      <c r="B8592" s="1" t="s">
        <v>8468</v>
      </c>
      <c r="C8592" t="str">
        <f>IFERROR(__xludf.DUMMYFUNCTION("GOOGLETRANSLATE(B8592, ""fr"", ""en"")"),"I recommend bottle of dreams")</f>
        <v>I recommend bottle of dreams</v>
      </c>
    </row>
    <row r="8593">
      <c r="A8593" s="1">
        <v>5.0</v>
      </c>
      <c r="B8593" s="1" t="s">
        <v>8469</v>
      </c>
      <c r="C8593" t="str">
        <f>IFERROR(__xludf.DUMMYFUNCTION("GOOGLETRANSLATE(B8593, ""fr"", ""en"")"),"very well finished product perfect delivery and a very well finished product for such costs, the construction is solid and the support is stable, not difficult to use, advisor to the European investment.")</f>
        <v>very well finished product perfect delivery and a very well finished product for such costs, the construction is solid and the support is stable, not difficult to use, advisor to the European investment.</v>
      </c>
    </row>
    <row r="8594">
      <c r="A8594" s="1">
        <v>5.0</v>
      </c>
      <c r="B8594" s="1" t="s">
        <v>8470</v>
      </c>
      <c r="C8594" t="str">
        <f>IFERROR(__xludf.DUMMYFUNCTION("GOOGLETRANSLATE(B8594, ""fr"", ""en"")"),"goood! Article Perfect!")</f>
        <v>goood! Article Perfect!</v>
      </c>
    </row>
    <row r="8595">
      <c r="A8595" s="1">
        <v>5.0</v>
      </c>
      <c r="B8595" s="1" t="s">
        <v>8471</v>
      </c>
      <c r="C8595" t="str">
        <f>IFERROR(__xludf.DUMMYFUNCTION("GOOGLETRANSLATE(B8595, ""fr"", ""en"")"),"digital watch friendly product that matches the description, delivered on time now light shows I used to go to work. well filled what I expected.")</f>
        <v>digital watch friendly product that matches the description, delivered on time now light shows I used to go to work. well filled what I expected.</v>
      </c>
    </row>
    <row r="8596">
      <c r="A8596" s="1">
        <v>5.0</v>
      </c>
      <c r="B8596" s="1" t="s">
        <v>8472</v>
      </c>
      <c r="C8596" t="str">
        <f>IFERROR(__xludf.DUMMYFUNCTION("GOOGLETRANSLATE(B8596, ""fr"", ""en"")"),"So nice !! I was really looking for an electric blanket for braving the winter. Falling on this item I started. The cover is really great. It can be in two carefree, so already a big positive. The heating system is very easy with a remote control connecte"&amp;"d to the cover, there are 6 different temperature settings. The cover is really sweet is nice with one color on each side. Really very good coverage that I recommend with perfect production quality. I received it with a French decision contrary to what th"&amp;"e other reviewers said.")</f>
        <v>So nice !! I was really looking for an electric blanket for braving the winter. Falling on this item I started. The cover is really great. It can be in two carefree, so already a big positive. The heating system is very easy with a remote control connected to the cover, there are 6 different temperature settings. The cover is really sweet is nice with one color on each side. Really very good coverage that I recommend with perfect production quality. I received it with a French decision contrary to what the other reviewers said.</v>
      </c>
    </row>
    <row r="8597">
      <c r="A8597" s="1">
        <v>5.0</v>
      </c>
      <c r="B8597" s="1" t="s">
        <v>8473</v>
      </c>
      <c r="C8597" t="str">
        <f>IFERROR(__xludf.DUMMYFUNCTION("GOOGLETRANSLATE(B8597, ""fr"", ""en"")"),"Very good very good, my husband is delighted with this practical gift for work on construction sites. The watch is strong and light. And above all consistent with the picture.")</f>
        <v>Very good very good, my husband is delighted with this practical gift for work on construction sites. The watch is strong and light. And above all consistent with the picture.</v>
      </c>
    </row>
    <row r="8598">
      <c r="A8598" s="1">
        <v>5.0</v>
      </c>
      <c r="B8598" s="1" t="s">
        <v>8474</v>
      </c>
      <c r="C8598" t="str">
        <f>IFERROR(__xludf.DUMMYFUNCTION("GOOGLETRANSLATE(B8598, ""fr"", ""en"")"),"Great works Comfortable easy to install, easy to use, as it has a jack in addition to added another microphone or other headset.")</f>
        <v>Great works Comfortable easy to install, easy to use, as it has a jack in addition to added another microphone or other headset.</v>
      </c>
    </row>
    <row r="8599">
      <c r="A8599" s="1">
        <v>5.0</v>
      </c>
      <c r="B8599" s="1" t="s">
        <v>8475</v>
      </c>
      <c r="C8599" t="str">
        <f>IFERROR(__xludf.DUMMYFUNCTION("GOOGLETRANSLATE(B8599, ""fr"", ""en"")"),"Perfect finish !! Very nice bag with lots of pockets !!!")</f>
        <v>Perfect finish !! Very nice bag with lots of pockets !!!</v>
      </c>
    </row>
    <row r="8600">
      <c r="A8600" s="1">
        <v>5.0</v>
      </c>
      <c r="B8600" s="1" t="s">
        <v>8476</v>
      </c>
      <c r="C8600" t="str">
        <f>IFERROR(__xludf.DUMMYFUNCTION("GOOGLETRANSLATE(B8600, ""fr"", ""en"")"),"Compliant Product line with expectations.")</f>
        <v>Compliant Product line with expectations.</v>
      </c>
    </row>
    <row r="8601">
      <c r="A8601" s="1">
        <v>2.0</v>
      </c>
      <c r="B8601" s="1" t="s">
        <v>8477</v>
      </c>
      <c r="C8601" t="str">
        <f>IFERROR(__xludf.DUMMYFUNCTION("GOOGLETRANSLATE(B8601, ""fr"", ""en"")"),"Opinion Disappointed because not practical but it works well nonetheless. The record is disappointing ... trop.plastique")</f>
        <v>Opinion Disappointed because not practical but it works well nonetheless. The record is disappointing ... trop.plastique</v>
      </c>
    </row>
    <row r="8602">
      <c r="A8602" s="1">
        <v>1.0</v>
      </c>
      <c r="B8602" s="1" t="s">
        <v>8478</v>
      </c>
      <c r="C8602" t="str">
        <f>IFERROR(__xludf.DUMMYFUNCTION("GOOGLETRANSLATE(B8602, ""fr"", ""en"")"),"Down does not work out back Disappointed")</f>
        <v>Down does not work out back Disappointed</v>
      </c>
    </row>
    <row r="8603">
      <c r="A8603" s="1">
        <v>3.0</v>
      </c>
      <c r="B8603" s="1" t="s">
        <v>8479</v>
      </c>
      <c r="C8603" t="str">
        <f>IFERROR(__xludf.DUMMYFUNCTION("GOOGLETRANSLATE(B8603, ""fr"", ""en"")"),"We love for glass for the windows at the top for the rest ..... Otherwise Watercolor not working and when drawing on paper barely touches that makes a mess table clothes short hand sheet is used for windows, beautiful color quality quickly erasable")</f>
        <v>We love for glass for the windows at the top for the rest ..... Otherwise Watercolor not working and when drawing on paper barely touches that makes a mess table clothes short hand sheet is used for windows, beautiful color quality quickly erasable</v>
      </c>
    </row>
    <row r="8604">
      <c r="A8604" s="1">
        <v>3.0</v>
      </c>
      <c r="B8604" s="1" t="s">
        <v>8480</v>
      </c>
      <c r="C8604" t="str">
        <f>IFERROR(__xludf.DUMMYFUNCTION("GOOGLETRANSLATE(B8604, ""fr"", ""en"")"),"The top of the earring is really too small I like the style but would have had little diamond that sits on the ear lobe is much larger because it really itty bitty!")</f>
        <v>The top of the earring is really too small I like the style but would have had little diamond that sits on the ear lobe is much larger because it really itty bitty!</v>
      </c>
    </row>
    <row r="8605">
      <c r="A8605" s="1">
        <v>4.0</v>
      </c>
      <c r="B8605" s="1" t="s">
        <v>8481</v>
      </c>
      <c r="C8605" t="str">
        <f>IFERROR(__xludf.DUMMYFUNCTION("GOOGLETRANSLATE(B8605, ""fr"", ""en"")"),"Top The product fully answer my requests")</f>
        <v>Top The product fully answer my requests</v>
      </c>
    </row>
    <row r="8606">
      <c r="A8606" s="1">
        <v>4.0</v>
      </c>
      <c r="B8606" s="1" t="s">
        <v>8482</v>
      </c>
      <c r="C8606" t="str">
        <f>IFERROR(__xludf.DUMMYFUNCTION("GOOGLETRANSLATE(B8606, ""fr"", ""en"")"),"Nike I just got it")</f>
        <v>Nike I just got it</v>
      </c>
    </row>
    <row r="8607">
      <c r="A8607" s="1">
        <v>4.0</v>
      </c>
      <c r="B8607" s="1" t="s">
        <v>8483</v>
      </c>
      <c r="C8607" t="str">
        <f>IFERROR(__xludf.DUMMYFUNCTION("GOOGLETRANSLATE(B8607, ""fr"", ""en"")"),"Nice, but not that ... You tell me that it's expensive for a kettle ... Yes, it's on, but it is beautiful, it makes a decorative item for the kitchen. I use it every morning, and often in the evening, no problem. The only downside, it is not as well insul"&amp;"ated as Kitchenaid says. The kettle does not stay cold and the temp down a little quickly. For cons, I appreciate the precision setting of the T °.")</f>
        <v>Nice, but not that ... You tell me that it's expensive for a kettle ... Yes, it's on, but it is beautiful, it makes a decorative item for the kitchen. I use it every morning, and often in the evening, no problem. The only downside, it is not as well insulated as Kitchenaid says. The kettle does not stay cold and the temp down a little quickly. For cons, I appreciate the precision setting of the T °.</v>
      </c>
    </row>
    <row r="8608">
      <c r="A8608" s="1">
        <v>4.0</v>
      </c>
      <c r="B8608" s="1" t="s">
        <v>8484</v>
      </c>
      <c r="C8608" t="str">
        <f>IFERROR(__xludf.DUMMYFUNCTION("GOOGLETRANSLATE(B8608, ""fr"", ""en"")"),"Very good very good we used to keep our warm and hot wine for our christmas cottage no complaints we are very happy with our purchase")</f>
        <v>Very good very good we used to keep our warm and hot wine for our christmas cottage no complaints we are very happy with our purchase</v>
      </c>
    </row>
    <row r="8609">
      <c r="A8609" s="1">
        <v>5.0</v>
      </c>
      <c r="B8609" s="1" t="s">
        <v>8485</v>
      </c>
      <c r="C8609" t="str">
        <f>IFERROR(__xludf.DUMMYFUNCTION("GOOGLETRANSLATE(B8609, ""fr"", ""en"")"),"perfect nothing to say, the product meets my expectations and efficient .. I recommend this purchase !!! the correct price")</f>
        <v>perfect nothing to say, the product meets my expectations and efficient .. I recommend this purchase !!! the correct price</v>
      </c>
    </row>
    <row r="8610">
      <c r="A8610" s="1">
        <v>5.0</v>
      </c>
      <c r="B8610" s="1" t="s">
        <v>8486</v>
      </c>
      <c r="C8610" t="str">
        <f>IFERROR(__xludf.DUMMYFUNCTION("GOOGLETRANSLATE(B8610, ""fr"", ""en"")"),"Great !!! Daily use ...")</f>
        <v>Great !!! Daily use ...</v>
      </c>
    </row>
    <row r="8611">
      <c r="A8611" s="1">
        <v>5.0</v>
      </c>
      <c r="B8611" s="1" t="s">
        <v>8487</v>
      </c>
      <c r="C8611" t="str">
        <f>IFERROR(__xludf.DUMMYFUNCTION("GOOGLETRANSLATE(B8611, ""fr"", ""en"")"),"Great Works great")</f>
        <v>Great Works great</v>
      </c>
    </row>
    <row r="8612">
      <c r="A8612" s="1">
        <v>5.0</v>
      </c>
      <c r="B8612" s="1" t="s">
        <v>8488</v>
      </c>
      <c r="C8612" t="str">
        <f>IFERROR(__xludf.DUMMYFUNCTION("GOOGLETRANSLATE(B8612, ""fr"", ""en"")"),"Exactly the right product A reference shoes for runners")</f>
        <v>Exactly the right product A reference shoes for runners</v>
      </c>
    </row>
    <row r="8613">
      <c r="A8613" s="1">
        <v>5.0</v>
      </c>
      <c r="B8613" s="1" t="s">
        <v>8489</v>
      </c>
      <c r="C8613" t="str">
        <f>IFERROR(__xludf.DUMMYFUNCTION("GOOGLETRANSLATE(B8613, ""fr"", ""en"")"),"Perfect conformity to my expectations, value for money and high performance shoe")</f>
        <v>Perfect conformity to my expectations, value for money and high performance shoe</v>
      </c>
    </row>
    <row r="8614">
      <c r="A8614" s="1">
        <v>5.0</v>
      </c>
      <c r="B8614" s="1" t="s">
        <v>8490</v>
      </c>
      <c r="C8614" t="str">
        <f>IFERROR(__xludf.DUMMYFUNCTION("GOOGLETRANSLATE(B8614, ""fr"", ""en"")"),"Excellent sound with these headphones !! ⭐⭐⭐⭐⭐ ⭐⭐⭐⭐⭐ First of all comes in a very neat box, we find: the box of laptop charging, the 2 headphones of course, a USB charging cable, nozzles of different sizes to go to everyone and finally a manual (in french"&amp;"). The 5 stars I give these headphones are justified because: 1) The headphones sound good, well finished, ergonomic design, and above all, the most important thing for the atria, they do not fall ears, even during activities physical (jogging for me). 2)"&amp;" The sound is very good, whether acute or severe. 3) The noise reduction function fulfilled its role fully. 4) Control of headphones is touch, no unnecessary buttons. 5) The speed pairing the phone. Just act first and then at each connection, the headset "&amp;"connects automatically. 6) The battery life is just crazy, the charging box that fits everywhere, allows headphones to extend their autonomy 100h. Unbeatable. In short, nothing to say except that you encourage to buy these headphones. ⭐⭐⭐⭐⭐")</f>
        <v>Excellent sound with these headphones !! ⭐⭐⭐⭐⭐ ⭐⭐⭐⭐⭐ First of all comes in a very neat box, we find: the box of laptop charging, the 2 headphones of course, a USB charging cable, nozzles of different sizes to go to everyone and finally a manual (in french). The 5 stars I give these headphones are justified because: 1) The headphones sound good, well finished, ergonomic design, and above all, the most important thing for the atria, they do not fall ears, even during activities physical (jogging for me). 2) The sound is very good, whether acute or severe. 3) The noise reduction function fulfilled its role fully. 4) Control of headphones is touch, no unnecessary buttons. 5) The speed pairing the phone. Just act first and then at each connection, the headset connects automatically. 6) The battery life is just crazy, the charging box that fits everywhere, allows headphones to extend their autonomy 100h. Unbeatable. In short, nothing to say except that you encourage to buy these headphones. ⭐⭐⭐⭐⭐</v>
      </c>
    </row>
    <row r="8615">
      <c r="A8615" s="1">
        <v>5.0</v>
      </c>
      <c r="B8615" s="1" t="s">
        <v>8491</v>
      </c>
      <c r="C8615" t="str">
        <f>IFERROR(__xludf.DUMMYFUNCTION("GOOGLETRANSLATE(B8615, ""fr"", ""en"")"),"Essential Essential, why live without winter? I let the whole night 1. I put it under the mattress cover so do not be directly above.")</f>
        <v>Essential Essential, why live without winter? I let the whole night 1. I put it under the mattress cover so do not be directly above.</v>
      </c>
    </row>
    <row r="8616">
      <c r="A8616" s="1">
        <v>5.0</v>
      </c>
      <c r="B8616" s="1" t="s">
        <v>8492</v>
      </c>
      <c r="C8616" t="str">
        <f>IFERROR(__xludf.DUMMYFUNCTION("GOOGLETRANSLATE(B8616, ""fr"", ""en"")"),"Okay basquette")</f>
        <v>Okay basquette</v>
      </c>
    </row>
    <row r="8617">
      <c r="A8617" s="1">
        <v>5.0</v>
      </c>
      <c r="B8617" s="1" t="s">
        <v>8493</v>
      </c>
      <c r="C8617" t="str">
        <f>IFERROR(__xludf.DUMMYFUNCTION("GOOGLETRANSLATE(B8617, ""fr"", ""en"")"),"Glad I was fairly soft pencil and here for medium range pencil it suits me perfectly and super pigmented")</f>
        <v>Glad I was fairly soft pencil and here for medium range pencil it suits me perfectly and super pigmented</v>
      </c>
    </row>
    <row r="8618">
      <c r="A8618" s="1">
        <v>5.0</v>
      </c>
      <c r="B8618" s="1" t="s">
        <v>8494</v>
      </c>
      <c r="C8618" t="str">
        <f>IFERROR(__xludf.DUMMYFUNCTION("GOOGLETRANSLATE(B8618, ""fr"", ""en"")"),"Works well if the course is not too heavy Test")</f>
        <v>Works well if the course is not too heavy Test</v>
      </c>
    </row>
    <row r="8619">
      <c r="A8619" s="1">
        <v>5.0</v>
      </c>
      <c r="B8619" s="1" t="s">
        <v>8495</v>
      </c>
      <c r="C8619" t="str">
        <f>IFERROR(__xludf.DUMMYFUNCTION("GOOGLETRANSLATE(B8619, ""fr"", ""en"")"),"super This product is fully compliant to the command pass by this seller I advice you if you look for a product of this type")</f>
        <v>super This product is fully compliant to the command pass by this seller I advice you if you look for a product of this type</v>
      </c>
    </row>
    <row r="8620">
      <c r="A8620" s="1">
        <v>5.0</v>
      </c>
      <c r="B8620" s="1" t="s">
        <v>8496</v>
      </c>
      <c r="C8620" t="str">
        <f>IFERROR(__xludf.DUMMYFUNCTION("GOOGLETRANSLATE(B8620, ""fr"", ""en"")"),"super super")</f>
        <v>super super</v>
      </c>
    </row>
    <row r="8621">
      <c r="A8621" s="1">
        <v>5.0</v>
      </c>
      <c r="B8621" s="1" t="s">
        <v>8497</v>
      </c>
      <c r="C8621" t="str">
        <f>IFERROR(__xludf.DUMMYFUNCTION("GOOGLETRANSLATE(B8621, ""fr"", ""en"")"),"A beautiful necklace A pretty well-protected collar received with box and bag for storage. Really handy! The chain risk can be s tangled with time (fine mesh). To see ... The pendant is beautiful! All this 925 I recommend it for a gift for yourself or oth"&amp;"ers, for my part I'm thrilled!")</f>
        <v>A beautiful necklace A pretty well-protected collar received with box and bag for storage. Really handy! The chain risk can be s tangled with time (fine mesh). To see ... The pendant is beautiful! All this 925 I recommend it for a gift for yourself or others, for my part I'm thrilled!</v>
      </c>
    </row>
    <row r="8622">
      <c r="A8622" s="1">
        <v>5.0</v>
      </c>
      <c r="B8622" s="1" t="s">
        <v>8498</v>
      </c>
      <c r="C8622" t="str">
        <f>IFERROR(__xludf.DUMMYFUNCTION("GOOGLETRANSLATE(B8622, ""fr"", ""en"")"),"Practical and perfect for powerpoint, powerful laser handy good grip and very powerful laser perfect for PowerPoint. Little more, the connection of USB key is stored in the remote control and easy to access. It allows not to lose it.")</f>
        <v>Practical and perfect for powerpoint, powerful laser handy good grip and very powerful laser perfect for PowerPoint. Little more, the connection of USB key is stored in the remote control and easy to access. It allows not to lose it.</v>
      </c>
    </row>
    <row r="8623">
      <c r="A8623" s="1">
        <v>5.0</v>
      </c>
      <c r="B8623" s="1" t="s">
        <v>8499</v>
      </c>
      <c r="C8623" t="str">
        <f>IFERROR(__xludf.DUMMYFUNCTION("GOOGLETRANSLATE(B8623, ""fr"", ""en"")"),"Very nice watch watch black steel, black dial perfectly fulfilled his duties. The watch is simple and can be suitable for men and women. The bracelet is for big wrists but we can remove the links, what I did.")</f>
        <v>Very nice watch watch black steel, black dial perfectly fulfilled his duties. The watch is simple and can be suitable for men and women. The bracelet is for big wrists but we can remove the links, what I did.</v>
      </c>
    </row>
    <row r="8624">
      <c r="A8624" s="1">
        <v>2.0</v>
      </c>
      <c r="B8624" s="1" t="s">
        <v>8500</v>
      </c>
      <c r="C8624" t="str">
        <f>IFERROR(__xludf.DUMMYFUNCTION("GOOGLETRANSLATE(B8624, ""fr"", ""en"")"),"Not really mantle I use it as an inside jacket")</f>
        <v>Not really mantle I use it as an inside jacket</v>
      </c>
    </row>
    <row r="8625">
      <c r="A8625" s="1">
        <v>1.0</v>
      </c>
      <c r="B8625" s="1" t="s">
        <v>8501</v>
      </c>
      <c r="C8625" t="str">
        <f>IFERROR(__xludf.DUMMYFUNCTION("GOOGLETRANSLATE(B8625, ""fr"", ""en"")"),"Scam really warm sweater and especially not long at all! It happens m limit navel while I know the close c is the right size. It is much longer in the picture. Really disappointed!")</f>
        <v>Scam really warm sweater and especially not long at all! It happens m limit navel while I know the close c is the right size. It is much longer in the picture. Really disappointed!</v>
      </c>
    </row>
    <row r="8626">
      <c r="A8626" s="1">
        <v>1.0</v>
      </c>
      <c r="B8626" s="1" t="s">
        <v>8502</v>
      </c>
      <c r="C8626" t="str">
        <f>IFERROR(__xludf.DUMMYFUNCTION("GOOGLETRANSLATE(B8626, ""fr"", ""en"")"),"Not recommended for control Too m received XXL !! Material very poor !!")</f>
        <v>Not recommended for control Too m received XXL !! Material very poor !!</v>
      </c>
    </row>
    <row r="8627">
      <c r="A8627" s="1">
        <v>3.0</v>
      </c>
      <c r="B8627" s="1" t="s">
        <v>8503</v>
      </c>
      <c r="C8627" t="str">
        <f>IFERROR(__xludf.DUMMYFUNCTION("GOOGLETRANSLATE(B8627, ""fr"", ""en"")"),"Not comfortable enough for heavy use I bought this helmet to isolate myself from noise at work and listen to my music during my long hours at the office. The sound quality is good, the overall usability as the controls on the headphones are practical and "&amp;"relatively simple to access. The big downside for me is comfort, it is not terrible, far from it, but the pads do not completely cover the ear and are therefore slight over pressure, which in the long run are painful. Same for the headband that tends to p"&amp;"ull the hair with his material in plastic that clings.")</f>
        <v>Not comfortable enough for heavy use I bought this helmet to isolate myself from noise at work and listen to my music during my long hours at the office. The sound quality is good, the overall usability as the controls on the headphones are practical and relatively simple to access. The big downside for me is comfort, it is not terrible, far from it, but the pads do not completely cover the ear and are therefore slight over pressure, which in the long run are painful. Same for the headband that tends to pull the hair with his material in plastic that clings.</v>
      </c>
    </row>
    <row r="8628">
      <c r="A8628" s="1">
        <v>3.0</v>
      </c>
      <c r="B8628" s="1" t="s">
        <v>8504</v>
      </c>
      <c r="C8628" t="str">
        <f>IFERROR(__xludf.DUMMYFUNCTION("GOOGLETRANSLATE(B8628, ""fr"", ""en"")"),"mixed ... I sui a little disappointed by this ... He has a really funny design and packaging is perfect. But a moisture persists after the step of the microwave: slightly unpleasant ...")</f>
        <v>mixed ... I sui a little disappointed by this ... He has a really funny design and packaging is perfect. But a moisture persists after the step of the microwave: slightly unpleasant ...</v>
      </c>
    </row>
    <row r="8629">
      <c r="A8629" s="1">
        <v>4.0</v>
      </c>
      <c r="B8629" s="1" t="s">
        <v>8505</v>
      </c>
      <c r="C8629" t="str">
        <f>IFERROR(__xludf.DUMMYFUNCTION("GOOGLETRANSLATE(B8629, ""fr"", ""en"")"),"right product for manufacturing milk bath delivery nickel shower and soap with a true fragrance of rose.")</f>
        <v>right product for manufacturing milk bath delivery nickel shower and soap with a true fragrance of rose.</v>
      </c>
    </row>
    <row r="8630">
      <c r="A8630" s="1">
        <v>4.0</v>
      </c>
      <c r="B8630" s="1" t="s">
        <v>8506</v>
      </c>
      <c r="C8630" t="str">
        <f>IFERROR(__xludf.DUMMYFUNCTION("GOOGLETRANSLATE(B8630, ""fr"", ""en"")"),"Purchase satisfactory in every respect. Perfect.")</f>
        <v>Purchase satisfactory in every respect. Perfect.</v>
      </c>
    </row>
    <row r="8631">
      <c r="A8631" s="1">
        <v>4.0</v>
      </c>
      <c r="B8631" s="1" t="s">
        <v>8507</v>
      </c>
      <c r="C8631" t="str">
        <f>IFERROR(__xludf.DUMMYFUNCTION("GOOGLETRANSLATE(B8631, ""fr"", ""en"")"),"Good finish very well although a little heavy")</f>
        <v>Good finish very well although a little heavy</v>
      </c>
    </row>
    <row r="8632">
      <c r="A8632" s="1">
        <v>4.0</v>
      </c>
      <c r="B8632" s="1" t="s">
        <v>8508</v>
      </c>
      <c r="C8632" t="str">
        <f>IFERROR(__xludf.DUMMYFUNCTION("GOOGLETRANSLATE(B8632, ""fr"", ""en"")"),"Good product Good shoes, okay quality, very light but resistant. The only problem is that they are not at all breathable so it steeps and evening to rescue it stinks of feet! This does not happen with those big brand C * T, but at the same time it is not "&amp;"the same price either ...")</f>
        <v>Good product Good shoes, okay quality, very light but resistant. The only problem is that they are not at all breathable so it steeps and evening to rescue it stinks of feet! This does not happen with those big brand C * T, but at the same time it is not the same price either ...</v>
      </c>
    </row>
    <row r="8633">
      <c r="A8633" s="1">
        <v>5.0</v>
      </c>
      <c r="B8633" s="1" t="s">
        <v>8509</v>
      </c>
      <c r="C8633" t="str">
        <f>IFERROR(__xludf.DUMMYFUNCTION("GOOGLETRANSLATE(B8633, ""fr"", ""en"")"),"Satisfied with my purchase The first days, we must get used to, I'm glad the purchase because I use it mostly for blood circulation problems; my legs are less swollen. In the sleep level, until now, I did not find any improvement.")</f>
        <v>Satisfied with my purchase The first days, we must get used to, I'm glad the purchase because I use it mostly for blood circulation problems; my legs are less swollen. In the sleep level, until now, I did not find any improvement.</v>
      </c>
    </row>
    <row r="8634">
      <c r="A8634" s="1">
        <v>5.0</v>
      </c>
      <c r="B8634" s="1" t="s">
        <v>8510</v>
      </c>
      <c r="C8634" t="str">
        <f>IFERROR(__xludf.DUMMYFUNCTION("GOOGLETRANSLATE(B8634, ""fr"", ""en"")"),"Feet protected dry shoes waterproof robust security practices on a construction site, because you can move the jet to clean the cement. Extra quality / price. Take one size smaller because they Shoe big. I highly recommend it.")</f>
        <v>Feet protected dry shoes waterproof robust security practices on a construction site, because you can move the jet to clean the cement. Extra quality / price. Take one size smaller because they Shoe big. I highly recommend it.</v>
      </c>
    </row>
    <row r="8635">
      <c r="A8635" s="1">
        <v>5.0</v>
      </c>
      <c r="B8635" s="1" t="s">
        <v>8511</v>
      </c>
      <c r="C8635" t="str">
        <f>IFERROR(__xludf.DUMMYFUNCTION("GOOGLETRANSLATE(B8635, ""fr"", ""en"")"),"Top Very good product. Size good. Conforms to the photo.")</f>
        <v>Top Very good product. Size good. Conforms to the photo.</v>
      </c>
    </row>
    <row r="8636">
      <c r="A8636" s="1">
        <v>5.0</v>
      </c>
      <c r="B8636" s="1" t="s">
        <v>8512</v>
      </c>
      <c r="C8636" t="str">
        <f>IFERROR(__xludf.DUMMYFUNCTION("GOOGLETRANSLATE(B8636, ""fr"", ""en"")"),"Excellent value for money I took my usual size (I'm a little 39) and it is quite suitable. The color (blue radio) is very nice; mixed, it may be suitable for girls or boys. The price on amazon is unbeatable!")</f>
        <v>Excellent value for money I took my usual size (I'm a little 39) and it is quite suitable. The color (blue radio) is very nice; mixed, it may be suitable for girls or boys. The price on amazon is unbeatable!</v>
      </c>
    </row>
    <row r="8637">
      <c r="A8637" s="1">
        <v>5.0</v>
      </c>
      <c r="B8637" s="1" t="s">
        <v>8513</v>
      </c>
      <c r="C8637" t="str">
        <f>IFERROR(__xludf.DUMMYFUNCTION("GOOGLETRANSLATE(B8637, ""fr"", ""en"")"),"headphones very good audio quality, once loaded, a pleasure to listen to music without wire to hang. Very good reception and Bluetooth support long rest at least 8 hours of listening without problems before recharging.")</f>
        <v>headphones very good audio quality, once loaded, a pleasure to listen to music without wire to hang. Very good reception and Bluetooth support long rest at least 8 hours of listening without problems before recharging.</v>
      </c>
    </row>
    <row r="8638">
      <c r="A8638" s="1">
        <v>5.0</v>
      </c>
      <c r="B8638" s="1" t="s">
        <v>8514</v>
      </c>
      <c r="C8638" t="str">
        <f>IFERROR(__xludf.DUMMYFUNCTION("GOOGLETRANSLATE(B8638, ""fr"", ""en"")"),"Pack comprehensive We offered a gift of birth and is nickel because comprehensive av little lollipop is going well and the box for milk dose.")</f>
        <v>Pack comprehensive We offered a gift of birth and is nickel because comprehensive av little lollipop is going well and the box for milk dose.</v>
      </c>
    </row>
    <row r="8639">
      <c r="A8639" s="1">
        <v>5.0</v>
      </c>
      <c r="B8639" s="1" t="s">
        <v>8515</v>
      </c>
      <c r="C8639" t="str">
        <f>IFERROR(__xludf.DUMMYFUNCTION("GOOGLETRANSLATE(B8639, ""fr"", ""en"")"),"Trainers flexible and light man !!! Received very quickly and very good packaging. Basketball lightweight comfortable running in worn size fits perfectly. They are super comfortable and really beautiful. I love the finish and design. Basketball really top"&amp;": light and flexible! as perfect for the running! I recommend this product!!!")</f>
        <v>Trainers flexible and light man !!! Received very quickly and very good packaging. Basketball lightweight comfortable running in worn size fits perfectly. They are super comfortable and really beautiful. I love the finish and design. Basketball really top: light and flexible! as perfect for the running! I recommend this product!!!</v>
      </c>
    </row>
    <row r="8640">
      <c r="A8640" s="1">
        <v>5.0</v>
      </c>
      <c r="B8640" s="1" t="s">
        <v>8516</v>
      </c>
      <c r="C8640" t="str">
        <f>IFERROR(__xludf.DUMMYFUNCTION("GOOGLETRANSLATE(B8640, ""fr"", ""en"")"),"very satisfied Having lost my first shows I have recommended and am always satisfied too! Beautiful presentation is very useful")</f>
        <v>very satisfied Having lost my first shows I have recommended and am always satisfied too! Beautiful presentation is very useful</v>
      </c>
    </row>
    <row r="8641">
      <c r="A8641" s="1">
        <v>5.0</v>
      </c>
      <c r="B8641" s="1" t="s">
        <v>8517</v>
      </c>
      <c r="C8641" t="str">
        <f>IFERROR(__xludf.DUMMYFUNCTION("GOOGLETRANSLATE(B8641, ""fr"", ""en"")"),"super convenient commissioned to test and will return as markers of good quality! my kids have put them to the test on their black tables and their windows of their rooms and the record is great !!! very vivid color that are holding up well, which fade qu"&amp;"ickly with a cloth or damp sponge. As against pay attention to the porosity of the table because otherwise leaves small traces but it is well described before purchasing.")</f>
        <v>super convenient commissioned to test and will return as markers of good quality! my kids have put them to the test on their black tables and their windows of their rooms and the record is great !!! very vivid color that are holding up well, which fade quickly with a cloth or damp sponge. As against pay attention to the porosity of the table because otherwise leaves small traces but it is well described before purchasing.</v>
      </c>
    </row>
    <row r="8642">
      <c r="A8642" s="1">
        <v>5.0</v>
      </c>
      <c r="B8642" s="1" t="s">
        <v>8518</v>
      </c>
      <c r="C8642" t="str">
        <f>IFERROR(__xludf.DUMMYFUNCTION("GOOGLETRANSLATE(B8642, ""fr"", ""en"")"),"Good product Good product ....")</f>
        <v>Good product Good product ....</v>
      </c>
    </row>
    <row r="8643">
      <c r="A8643" s="1">
        <v>5.0</v>
      </c>
      <c r="B8643" s="1" t="s">
        <v>8519</v>
      </c>
      <c r="C8643" t="str">
        <f>IFERROR(__xludf.DUMMYFUNCTION("GOOGLETRANSLATE(B8643, ""fr"", ""en"")"),"Van's Perfect exact size!")</f>
        <v>Van's Perfect exact size!</v>
      </c>
    </row>
    <row r="8644">
      <c r="A8644" s="1">
        <v>5.0</v>
      </c>
      <c r="B8644" s="1" t="s">
        <v>8520</v>
      </c>
      <c r="C8644" t="str">
        <f>IFERROR(__xludf.DUMMYFUNCTION("GOOGLETRANSLATE(B8644, ""fr"", ""en"")"),"great function heat my circulation is not good, my feet were often cold, with the function of heat and Product Chinese acupuncture, the symptoms of my feet were greatly relieved.")</f>
        <v>great function heat my circulation is not good, my feet were often cold, with the function of heat and Product Chinese acupuncture, the symptoms of my feet were greatly relieved.</v>
      </c>
    </row>
    <row r="8645">
      <c r="A8645" s="1">
        <v>5.0</v>
      </c>
      <c r="B8645" s="1" t="s">
        <v>8521</v>
      </c>
      <c r="C8645" t="str">
        <f>IFERROR(__xludf.DUMMYFUNCTION("GOOGLETRANSLATE(B8645, ""fr"", ""en"")"),"Perfect I love its design, black color is very pretty and to turn very convenient.")</f>
        <v>Perfect I love its design, black color is very pretty and to turn very convenient.</v>
      </c>
    </row>
    <row r="8646">
      <c r="A8646" s="1">
        <v>5.0</v>
      </c>
      <c r="B8646" s="1" t="s">
        <v>8522</v>
      </c>
      <c r="C8646" t="str">
        <f>IFERROR(__xludf.DUMMYFUNCTION("GOOGLETRANSLATE(B8646, ""fr"", ""en"")"),"Nothing wrong Personally, I use the castor oil after seeing the film ""Teresa Venerdi"" by and with Vittorio de Sica in which in his capacity as physician prescribes a spoonful of castor oil to treat hay hay. I tried it and it helps me. Therefore...")</f>
        <v>Nothing wrong Personally, I use the castor oil after seeing the film "Teresa Venerdi" by and with Vittorio de Sica in which in his capacity as physician prescribes a spoonful of castor oil to treat hay hay. I tried it and it helps me. Therefore...</v>
      </c>
    </row>
    <row r="8647">
      <c r="A8647" s="1">
        <v>5.0</v>
      </c>
      <c r="B8647" s="1" t="s">
        <v>8523</v>
      </c>
      <c r="C8647" t="str">
        <f>IFERROR(__xludf.DUMMYFUNCTION("GOOGLETRANSLATE(B8647, ""fr"", ""en"")"),"Perfect for the transition from a bottle ... My sister is breastfeeding my niece for 2 and a half months and begins the transition to bottle ... well she tries but baby did not seem to agree at all! Result, she cries, even screams and refuses to drink ..."&amp;" Everyone was worried about it a lot and me too ... So I offered to try these bottles Dodie yesterday at home. I kept the chip all day, and from the first bottle prepared, I had no worries. The shape of the nipple has seemed to suit him immediately (my si"&amp;"ster had tried with other baby bottles and teats round), and she quickly realized she had to do less effort to suck because it flows more quick. In short, bottle emptied in record time and no colic reported. The second and third bottles have been as succe"&amp;"ssful! I'm super auntie !!!! The shape of the nipple, flat is perfect for the transition. The shape of the bottle is pleasant to grip, it's comfortable to bottle. The preparation is homogeneous with the triangular shape, and cleaning is made easy because "&amp;"the bottle is wide enough. In addition, they are really beautiful. The colors are beautiful, and the baby fascinated air. It really is a great product well thought and quality, and the price is very affordable. We conquered and baby love!")</f>
        <v>Perfect for the transition from a bottle ... My sister is breastfeeding my niece for 2 and a half months and begins the transition to bottle ... well she tries but baby did not seem to agree at all! Result, she cries, even screams and refuses to drink ... Everyone was worried about it a lot and me too ... So I offered to try these bottles Dodie yesterday at home. I kept the chip all day, and from the first bottle prepared, I had no worries. The shape of the nipple has seemed to suit him immediately (my sister had tried with other baby bottles and teats round), and she quickly realized she had to do less effort to suck because it flows more quick. In short, bottle emptied in record time and no colic reported. The second and third bottles have been as successful! I'm super auntie !!!! The shape of the nipple, flat is perfect for the transition. The shape of the bottle is pleasant to grip, it's comfortable to bottle. The preparation is homogeneous with the triangular shape, and cleaning is made easy because the bottle is wide enough. In addition, they are really beautiful. The colors are beautiful, and the baby fascinated air. It really is a great product well thought and quality, and the price is very affordable. We conquered and baby love!</v>
      </c>
    </row>
    <row r="8648">
      <c r="A8648" s="1">
        <v>2.0</v>
      </c>
      <c r="B8648" s="1" t="s">
        <v>8524</v>
      </c>
      <c r="C8648" t="str">
        <f>IFERROR(__xludf.DUMMYFUNCTION("GOOGLETRANSLATE(B8648, ""fr"", ""en"")"),"The problem bluetooth bluetooth going badly, the earphones if desapairent all the time, very mixed.")</f>
        <v>The problem bluetooth bluetooth going badly, the earphones if desapairent all the time, very mixed.</v>
      </c>
    </row>
    <row r="8649">
      <c r="A8649" s="1">
        <v>1.0</v>
      </c>
      <c r="B8649" s="1" t="s">
        <v>8525</v>
      </c>
      <c r="C8649" t="str">
        <f>IFERROR(__xludf.DUMMYFUNCTION("GOOGLETRANSLATE(B8649, ""fr"", ""en"")"),"Whatever ! Poor quality and not the ordered size. To avoid !")</f>
        <v>Whatever ! Poor quality and not the ordered size. To avoid !</v>
      </c>
    </row>
    <row r="8650">
      <c r="A8650" s="1">
        <v>1.0</v>
      </c>
      <c r="B8650" s="1" t="s">
        <v>8526</v>
      </c>
      <c r="C8650" t="str">
        <f>IFERROR(__xludf.DUMMYFUNCTION("GOOGLETRANSLATE(B8650, ""fr"", ""en"")"),"Slipper Slipper torn left totally torn after a few days, without reason Very disappointed")</f>
        <v>Slipper Slipper torn left totally torn after a few days, without reason Very disappointed</v>
      </c>
    </row>
    <row r="8651">
      <c r="A8651" s="1">
        <v>3.0</v>
      </c>
      <c r="B8651" s="1" t="s">
        <v>8527</v>
      </c>
      <c r="C8651" t="str">
        <f>IFERROR(__xludf.DUMMYFUNCTION("GOOGLETRANSLATE(B8651, ""fr"", ""en"")"),"Price / quality levi's a 50 euros it can not refuse And book ahead of schedule")</f>
        <v>Price / quality levi's a 50 euros it can not refuse And book ahead of schedule</v>
      </c>
    </row>
    <row r="8652">
      <c r="A8652" s="1">
        <v>4.0</v>
      </c>
      <c r="B8652" s="1" t="s">
        <v>8528</v>
      </c>
      <c r="C8652" t="str">
        <f>IFERROR(__xludf.DUMMYFUNCTION("GOOGLETRANSLATE(B8652, ""fr"", ""en"")"),"Very nice to. The sport")</f>
        <v>Very nice to. The sport</v>
      </c>
    </row>
    <row r="8653">
      <c r="A8653" s="1">
        <v>4.0</v>
      </c>
      <c r="B8653" s="1" t="s">
        <v>8529</v>
      </c>
      <c r="C8653" t="str">
        <f>IFERROR(__xludf.DUMMYFUNCTION("GOOGLETRANSLATE(B8653, ""fr"", ""en"")"),"Good product, very good product. Confirm the description. Suitable for leather bag. I recommend this product without hesitation. Reasonable price")</f>
        <v>Good product, very good product. Confirm the description. Suitable for leather bag. I recommend this product without hesitation. Reasonable price</v>
      </c>
    </row>
    <row r="8654">
      <c r="A8654" s="1">
        <v>4.0</v>
      </c>
      <c r="B8654" s="1" t="s">
        <v>8530</v>
      </c>
      <c r="C8654" t="str">
        <f>IFERROR(__xludf.DUMMYFUNCTION("GOOGLETRANSLATE(B8654, ""fr"", ""en"")"),"OK Super satchel bag. Just a little flat on the hook straps. The slot is too small and had to enlarge to secure.")</f>
        <v>OK Super satchel bag. Just a little flat on the hook straps. The slot is too small and had to enlarge to secure.</v>
      </c>
    </row>
    <row r="8655">
      <c r="A8655" s="1">
        <v>4.0</v>
      </c>
      <c r="B8655" s="1" t="s">
        <v>8531</v>
      </c>
      <c r="C8655" t="str">
        <f>IFERROR(__xludf.DUMMYFUNCTION("GOOGLETRANSLATE(B8655, ""fr"", ""en"")"),"I recommend Meets the description a little flat is struggling to be caught by the laminator if RAS")</f>
        <v>I recommend Meets the description a little flat is struggling to be caught by the laminator if RAS</v>
      </c>
    </row>
    <row r="8656">
      <c r="A8656" s="1">
        <v>5.0</v>
      </c>
      <c r="B8656" s="1" t="s">
        <v>8532</v>
      </c>
      <c r="C8656" t="str">
        <f>IFERROR(__xludf.DUMMYFUNCTION("GOOGLETRANSLATE(B8656, ""fr"", ""en"")"),"Well Perfect for a child begins to learn to read. Very good collection.")</f>
        <v>Well Perfect for a child begins to learn to read. Very good collection.</v>
      </c>
    </row>
    <row r="8657">
      <c r="A8657" s="1">
        <v>5.0</v>
      </c>
      <c r="B8657" s="1" t="s">
        <v>8533</v>
      </c>
      <c r="C8657" t="str">
        <f>IFERROR(__xludf.DUMMYFUNCTION("GOOGLETRANSLATE(B8657, ""fr"", ""en"")"),"Use useful product to offer to offer to my best friend. She appreciated. Easy regarding installation. Product according to the picture")</f>
        <v>Use useful product to offer to offer to my best friend. She appreciated. Easy regarding installation. Product according to the picture</v>
      </c>
    </row>
    <row r="8658">
      <c r="A8658" s="1">
        <v>5.0</v>
      </c>
      <c r="B8658" s="1" t="s">
        <v>8534</v>
      </c>
      <c r="C8658" t="str">
        <f>IFERROR(__xludf.DUMMYFUNCTION("GOOGLETRANSLATE(B8658, ""fr"", ""en"")"),"Very nice sweaters satisfied with these tops !! I bought a dozen different colors and different styles All are very nice !!!!! - After washing remains impeccable, almost did not crumple - Very soft material")</f>
        <v>Very nice sweaters satisfied with these tops !! I bought a dozen different colors and different styles All are very nice !!!!! - After washing remains impeccable, almost did not crumple - Very soft material</v>
      </c>
    </row>
    <row r="8659">
      <c r="A8659" s="1">
        <v>5.0</v>
      </c>
      <c r="B8659" s="1" t="s">
        <v>8496</v>
      </c>
      <c r="C8659" t="str">
        <f>IFERROR(__xludf.DUMMYFUNCTION("GOOGLETRANSLATE(B8659, ""fr"", ""en"")"),"super super")</f>
        <v>super super</v>
      </c>
    </row>
    <row r="8660">
      <c r="A8660" s="1">
        <v>5.0</v>
      </c>
      <c r="B8660" s="1" t="s">
        <v>8535</v>
      </c>
      <c r="C8660" t="str">
        <f>IFERROR(__xludf.DUMMYFUNCTION("GOOGLETRANSLATE(B8660, ""fr"", ""en"")"),"Article fragile, broken after less than 2 months of use, but quality customer service and problem solved, where 5 stars I am very disappointed with the quality of this product. At first and during the time I used it, I was very satisfied: - the sound qual"&amp;"ity is very good, the bass may lack slightly power for my taste, but the sounds are clear, defined and well balanced. - Ergonomics suits my ear (although I have read that this was not the case for all buyers), there is good isolation from outside noise an"&amp;"d headphones hold well in my ear. - reducing active noise is much better than what I expected. The volume is slightly increased when activated, but I also tested without music to make sure it worked and the difference was obvious! I tested it while travel"&amp;"ing by bus and train journeys. This kind of constant background noise is mitigated. By cons, and this is what justifies my assessment to 1 star, headphones are very fragile and bad bill. As I walked in listening to music, along headphone cable is caught i"&amp;"n a branch and, instead of the jack being disconnected from my mp3 player as happened to me dozens of times with other pairs of headphones, there is the cable which broke at the battery reducing active noise! Looking more closely, the connector attached t"&amp;"o the cable and which is supposed to secure into the hole of the battery is made of soft plastic, so it does not fulfill its function to secure the cable and that it is the son electrical undertaking it and of course break. I can not determine if it is am"&amp;"ateurish from the manufacturer, which is a little surprising given the sound quality headphones, or rather it is a calculation to encourage people to renew their equipment, but I am very disappointed with this purchase, the life span is less than 2 months"&amp;", the year amounts to 29.99 * 6 = € 179.94. At that price, it's probably possible to find the same quality and stronger headphones ...")</f>
        <v>Article fragile, broken after less than 2 months of use, but quality customer service and problem solved, where 5 stars I am very disappointed with the quality of this product. At first and during the time I used it, I was very satisfied: - the sound quality is very good, the bass may lack slightly power for my taste, but the sounds are clear, defined and well balanced. - Ergonomics suits my ear (although I have read that this was not the case for all buyers), there is good isolation from outside noise and headphones hold well in my ear. - reducing active noise is much better than what I expected. The volume is slightly increased when activated, but I also tested without music to make sure it worked and the difference was obvious! I tested it while traveling by bus and train journeys. This kind of constant background noise is mitigated. By cons, and this is what justifies my assessment to 1 star, headphones are very fragile and bad bill. As I walked in listening to music, along headphone cable is caught in a branch and, instead of the jack being disconnected from my mp3 player as happened to me dozens of times with other pairs of headphones, there is the cable which broke at the battery reducing active noise! Looking more closely, the connector attached to the cable and which is supposed to secure into the hole of the battery is made of soft plastic, so it does not fulfill its function to secure the cable and that it is the son electrical undertaking it and of course break. I can not determine if it is amateurish from the manufacturer, which is a little surprising given the sound quality headphones, or rather it is a calculation to encourage people to renew their equipment, but I am very disappointed with this purchase, the life span is less than 2 months, the year amounts to 29.99 * 6 = € 179.94. At that price, it's probably possible to find the same quality and stronger headphones ...</v>
      </c>
    </row>
    <row r="8661">
      <c r="A8661" s="1">
        <v>5.0</v>
      </c>
      <c r="B8661" s="1" t="s">
        <v>8536</v>
      </c>
      <c r="C8661" t="str">
        <f>IFERROR(__xludf.DUMMYFUNCTION("GOOGLETRANSLATE(B8661, ""fr"", ""en"")"),"calmed thank you! Finally, the ""bottle"" that saved my breastfeeding. My daughter did not want my breast after having some classic bottle, with it she has taken very easily. I highly recommend, even if the price is a little high if you want to continue t"&amp;"o breastfeed, do not hesitate because it is the only bottle that will prevent confusion (or laziness) breast / nipple. So I am very satisfied with my purchase !!")</f>
        <v>calmed thank you! Finally, the "bottle" that saved my breastfeeding. My daughter did not want my breast after having some classic bottle, with it she has taken very easily. I highly recommend, even if the price is a little high if you want to continue to breastfeed, do not hesitate because it is the only bottle that will prevent confusion (or laziness) breast / nipple. So I am very satisfied with my purchase !!</v>
      </c>
    </row>
    <row r="8662">
      <c r="A8662" s="1">
        <v>5.0</v>
      </c>
      <c r="B8662" s="1" t="s">
        <v>8537</v>
      </c>
      <c r="C8662" t="str">
        <f>IFERROR(__xludf.DUMMYFUNCTION("GOOGLETRANSLATE(B8662, ""fr"", ""en"")"),"Connect your camera to your Smartlav Reflex! Article ordered to accompany my Rode SmartLavPlus, which I use for my youtube videos to complement my USB microphone Blue Yeti. Objective succeeded: my little plug on microphone Rode on my SLR Panasonic G80 and"&amp;" enjoy a good quality sound And yes, if you plug its SmartLav + on something other than a smartphone, the sound is horrible blow this adapter is required . This adapter SC3 Rode, offers good value for money: it works, good quality, and this opens the poss"&amp;"ible fields for your micro pocket Cheap, I recommend supplementing a microphone jack extension, as if with your smartphone 1.5m cable was not too short, with a camera or camcorder that's another story! To move freely Rode proposes an extension: &amp; nbsp; &lt;a"&amp;" data-hook = ""product-link-linked"" class = ""a-link-normal"" href = ""/ Rode-SC1-extension-to-SmartLav Labrador SmartLav-6m / dp / B00WSNWFM8 / ref = ie = UTF8 cm_cr_arp_d_rvw_txt ""&gt; Rode SC1 extension SmartLav and SmartLav + - 6m &lt;/a&gt; with these two a"&amp;"ccessories you're all set to make all kinds of videos, in many conditions. In conclusion I recommend this purchase, tried on my youtube channel. If you have found this review helpful, click yes, thank you to you;)")</f>
        <v>Connect your camera to your Smartlav Reflex! Article ordered to accompany my Rode SmartLavPlus, which I use for my youtube videos to complement my USB microphone Blue Yeti. Objective succeeded: my little plug on microphone Rode on my SLR Panasonic G80 and enjoy a good quality sound And yes, if you plug its SmartLav + on something other than a smartphone, the sound is horrible blow this adapter is required . This adapter SC3 Rode, offers good value for money: it works, good quality, and this opens the possible fields for your micro pocket Cheap, I recommend supplementing a microphone jack extension, as if with your smartphone 1.5m cable was not too short, with a camera or camcorder that's another story! To move freely Rode proposes an extension: &amp; nbsp; &lt;a data-hook = "product-link-linked" class = "a-link-normal" href = "/ Rode-SC1-extension-to-SmartLav Labrador SmartLav-6m / dp / B00WSNWFM8 / ref = ie = UTF8 cm_cr_arp_d_rvw_txt "&gt; Rode SC1 extension SmartLav and SmartLav + - 6m &lt;/a&gt; with these two accessories you're all set to make all kinds of videos, in many conditions. In conclusion I recommend this purchase, tried on my youtube channel. If you have found this review helpful, click yes, thank you to you;)</v>
      </c>
    </row>
    <row r="8663">
      <c r="A8663" s="1">
        <v>5.0</v>
      </c>
      <c r="B8663" s="1" t="s">
        <v>8538</v>
      </c>
      <c r="C8663" t="str">
        <f>IFERROR(__xludf.DUMMYFUNCTION("GOOGLETRANSLATE(B8663, ""fr"", ""en"")"),"Quality perfect I wanted to try a different brand of cartridges other than the brand of the printer. My printer has noted that it was not the right cartridges so I was afraid that it does not work. But after having responded to the message that was displa"&amp;"yed, printing was perfect. No particular problem in the quality level. For the life I do not know because I just change it.")</f>
        <v>Quality perfect I wanted to try a different brand of cartridges other than the brand of the printer. My printer has noted that it was not the right cartridges so I was afraid that it does not work. But after having responded to the message that was displayed, printing was perfect. No particular problem in the quality level. For the life I do not know because I just change it.</v>
      </c>
    </row>
    <row r="8664">
      <c r="A8664" s="1">
        <v>5.0</v>
      </c>
      <c r="B8664" s="1" t="s">
        <v>8539</v>
      </c>
      <c r="C8664" t="str">
        <f>IFERROR(__xludf.DUMMYFUNCTION("GOOGLETRANSLATE(B8664, ""fr"", ""en"")"),"Very handy ... After a fast reception (received on Saturday instead of Monday as planned) I quickly tried my new toy! Quick and easy hand with a libretto in French, but good limit no need for use is very easy and intuitive. The sound is very good, pleasan"&amp;"t to wear earphones and the case is beautiful and practical with its digital display charge. Very practical also the possibility to use the unit as a battery charger externe..génial that! Very happy with my purchase at this time")</f>
        <v>Very handy ... After a fast reception (received on Saturday instead of Monday as planned) I quickly tried my new toy! Quick and easy hand with a libretto in French, but good limit no need for use is very easy and intuitive. The sound is very good, pleasant to wear earphones and the case is beautiful and practical with its digital display charge. Very practical also the possibility to use the unit as a battery charger externe..génial that! Very happy with my purchase at this time</v>
      </c>
    </row>
    <row r="8665">
      <c r="A8665" s="1">
        <v>5.0</v>
      </c>
      <c r="B8665" s="1" t="s">
        <v>8540</v>
      </c>
      <c r="C8665" t="str">
        <f>IFERROR(__xludf.DUMMYFUNCTION("GOOGLETRANSLATE(B8665, ""fr"", ""en"")"),"IN THE TOP !!! EXCELLENT QUALITY PERFECT PRICE SUPER COMFORTABLE AND SEXY !!!")</f>
        <v>IN THE TOP !!! EXCELLENT QUALITY PERFECT PRICE SUPER COMFORTABLE AND SEXY !!!</v>
      </c>
    </row>
    <row r="8666">
      <c r="A8666" s="1">
        <v>5.0</v>
      </c>
      <c r="B8666" s="1" t="s">
        <v>8541</v>
      </c>
      <c r="C8666" t="str">
        <f>IFERROR(__xludf.DUMMYFUNCTION("GOOGLETRANSLATE(B8666, ""fr"", ""en"")"),"Impeccable My son only take bottles with teats dodie flat, they are strong and great")</f>
        <v>Impeccable My son only take bottles with teats dodie flat, they are strong and great</v>
      </c>
    </row>
    <row r="8667">
      <c r="A8667" s="1">
        <v>5.0</v>
      </c>
      <c r="B8667" s="1" t="s">
        <v>8542</v>
      </c>
      <c r="C8667" t="str">
        <f>IFERROR(__xludf.DUMMYFUNCTION("GOOGLETRANSLATE(B8667, ""fr"", ""en"")"),"AGENDA product received with more than one week in advance. Consistent with the description, the agenda for enough space to write, and it's not written in tiny inside (hours etc). I recommend")</f>
        <v>AGENDA product received with more than one week in advance. Consistent with the description, the agenda for enough space to write, and it's not written in tiny inside (hours etc). I recommend</v>
      </c>
    </row>
    <row r="8668">
      <c r="A8668" s="1">
        <v>5.0</v>
      </c>
      <c r="B8668" s="1" t="s">
        <v>8543</v>
      </c>
      <c r="C8668" t="str">
        <f>IFERROR(__xludf.DUMMYFUNCTION("GOOGLETRANSLATE(B8668, ""fr"", ""en"")"),"Great gift for my wife. Casio is a guarantee of quality. My wife is not difficult and takes. Shipments and perfect package. I really recommend.")</f>
        <v>Great gift for my wife. Casio is a guarantee of quality. My wife is not difficult and takes. Shipments and perfect package. I really recommend.</v>
      </c>
    </row>
    <row r="8669">
      <c r="A8669" s="1">
        <v>5.0</v>
      </c>
      <c r="B8669" s="1" t="s">
        <v>8544</v>
      </c>
      <c r="C8669" t="str">
        <f>IFERROR(__xludf.DUMMYFUNCTION("GOOGLETRANSLATE(B8669, ""fr"", ""en"")"),"Satisfaction. This is a Christmas gift to my daughter. I received ahead of schedule and in a good quality packaging. My daughter who lives in a cold region is completely satisfied. Teacher, she wears them every day to go to school. She appreciates comfort"&amp;", quality manufacturing and their look. Of course these boots are not made for heavy use in the snow. I recommend these shoes without restriction.")</f>
        <v>Satisfaction. This is a Christmas gift to my daughter. I received ahead of schedule and in a good quality packaging. My daughter who lives in a cold region is completely satisfied. Teacher, she wears them every day to go to school. She appreciates comfort, quality manufacturing and their look. Of course these boots are not made for heavy use in the snow. I recommend these shoes without restriction.</v>
      </c>
    </row>
    <row r="8670">
      <c r="A8670" s="1">
        <v>5.0</v>
      </c>
      <c r="B8670" s="1" t="s">
        <v>8545</v>
      </c>
      <c r="C8670" t="str">
        <f>IFERROR(__xludf.DUMMYFUNCTION("GOOGLETRANSLATE(B8670, ""fr"", ""en"")"),"Perfect for over a year depending simply clean from time to time the tank, very good broadcaster")</f>
        <v>Perfect for over a year depending simply clean from time to time the tank, very good broadcaster</v>
      </c>
    </row>
    <row r="8671">
      <c r="A8671" s="1">
        <v>2.0</v>
      </c>
      <c r="B8671" s="1" t="s">
        <v>8546</v>
      </c>
      <c r="C8671" t="str">
        <f>IFERROR(__xludf.DUMMYFUNCTION("GOOGLETRANSLATE(B8671, ""fr"", ""en"")"),"volume too loud alarm at the lower of the volume is already super strong and wake the whole house ... more sounds are not very natural, and the quality of the speaker for radio is poor. the light does not wake me gently, but do not wake me at all ... it's"&amp;" not for me surmeent another negative point, the button above not pleasant to handle, which make a noise crazy too ... damage to an object that I wanted ""Zen""")</f>
        <v>volume too loud alarm at the lower of the volume is already super strong and wake the whole house ... more sounds are not very natural, and the quality of the speaker for radio is poor. the light does not wake me gently, but do not wake me at all ... it's not for me surmeent another negative point, the button above not pleasant to handle, which make a noise crazy too ... damage to an object that I wanted "Zen"</v>
      </c>
    </row>
    <row r="8672">
      <c r="A8672" s="1">
        <v>1.0</v>
      </c>
      <c r="B8672" s="1" t="s">
        <v>8547</v>
      </c>
      <c r="C8672" t="str">
        <f>IFERROR(__xludf.DUMMYFUNCTION("GOOGLETRANSLATE(B8672, ""fr"", ""en"")"),"really tough helmet already down level possible connector contact the vendor for a possible exchange. I'm disappointed because already down 8 months is all blah for Sony.")</f>
        <v>really tough helmet already down level possible connector contact the vendor for a possible exchange. I'm disappointed because already down 8 months is all blah for Sony.</v>
      </c>
    </row>
    <row r="8673">
      <c r="A8673" s="1">
        <v>3.0</v>
      </c>
      <c r="B8673" s="1" t="s">
        <v>8548</v>
      </c>
      <c r="C8673" t="str">
        <f>IFERROR(__xludf.DUMMYFUNCTION("GOOGLETRANSLATE(B8673, ""fr"", ""en"")"),"TB quality / price but ... The price / quality ratio is undeniable. Bluetooth headset with great sound, both in acute and severe. Beautiful finishes. Capacity and excellent battery faster reloading. Attention A low frequency whistle during Sound reducing "&amp;"startup may appear and become too bothersome during the absence of its audio. Certainly we expect less ambient noise, but that's because they are covered by this permanent hiss, which is annoying in the long run. UPDATE = on this, and as a result of my re"&amp;"view, I was contacted by the initiative sav seller. A new product was sent to me. After over a month of tests, including train rides and especially by plane, I am able to say that the first product was defective ... 2nd product actually works perfectly an"&amp;"d provides a reduction of sound without whistling. Do not however expect a quality comparable sound reduction to the best products on the market (but extremely more expensive ...) with headphones at this price point. But I repeat good quality / price rati"&amp;"o. I would also add that the quality of sav is rare enough to be underlined. As for the first product, the whistle is amplified and makes reducing its impossible to start ... if you're in that case, I encourage you to contact the seller sav.")</f>
        <v>TB quality / price but ... The price / quality ratio is undeniable. Bluetooth headset with great sound, both in acute and severe. Beautiful finishes. Capacity and excellent battery faster reloading. Attention A low frequency whistle during Sound reducing startup may appear and become too bothersome during the absence of its audio. Certainly we expect less ambient noise, but that's because they are covered by this permanent hiss, which is annoying in the long run. UPDATE = on this, and as a result of my review, I was contacted by the initiative sav seller. A new product was sent to me. After over a month of tests, including train rides and especially by plane, I am able to say that the first product was defective ... 2nd product actually works perfectly and provides a reduction of sound without whistling. Do not however expect a quality comparable sound reduction to the best products on the market (but extremely more expensive ...) with headphones at this price point. But I repeat good quality / price ratio. I would also add that the quality of sav is rare enough to be underlined. As for the first product, the whistle is amplified and makes reducing its impossible to start ... if you're in that case, I encourage you to contact the seller sav.</v>
      </c>
    </row>
    <row r="8674">
      <c r="A8674" s="1">
        <v>3.0</v>
      </c>
      <c r="B8674" s="1" t="s">
        <v>8549</v>
      </c>
      <c r="C8674" t="str">
        <f>IFERROR(__xludf.DUMMYFUNCTION("GOOGLETRANSLATE(B8674, ""fr"", ""en"")"),"Good but ... State shabby package, my son needs to work the week therefore comes time to go in removal proceedings. But I was yours anyway indicate my displeasure on 2 points: - the package is a mess - the courier TNT MARSEILLE is wrong mailbox !! I spent"&amp;" the day on the phone with amazon and all my city parcels relay to find the damn package until a neighbor comes ringing at my door !! In short you understood me. As for the shoes she is comfortable sneakers. My son and house painter and is very happy to t"&amp;"hrow his old shoes with the tip that rust and weighs almost twice the weight. I took the black and do not trust a photo or it appear dark gray, they are good good black. In short I counted to 5 star but the shoes 43 and are therefore too large pile -1 sta"&amp;"r, and as explained above -1 star for the driver and condition of the package.")</f>
        <v>Good but ... State shabby package, my son needs to work the week therefore comes time to go in removal proceedings. But I was yours anyway indicate my displeasure on 2 points: - the package is a mess - the courier TNT MARSEILLE is wrong mailbox !! I spent the day on the phone with amazon and all my city parcels relay to find the damn package until a neighbor comes ringing at my door !! In short you understood me. As for the shoes she is comfortable sneakers. My son and house painter and is very happy to throw his old shoes with the tip that rust and weighs almost twice the weight. I took the black and do not trust a photo or it appear dark gray, they are good good black. In short I counted to 5 star but the shoes 43 and are therefore too large pile -1 star, and as explained above -1 star for the driver and condition of the package.</v>
      </c>
    </row>
    <row r="8675">
      <c r="A8675" s="1">
        <v>4.0</v>
      </c>
      <c r="B8675" s="1" t="s">
        <v>8550</v>
      </c>
      <c r="C8675" t="str">
        <f>IFERROR(__xludf.DUMMYFUNCTION("GOOGLETRANSLATE(B8675, ""fr"", ""en"")"),"J CAN NOT ALL MY CONNECTING 2 UNITS les2 TIP SO THAT LEAD TO PUBLICATION DO NOT RETURNS SHOULD I ORDER IN ANOTHER (DIFFERENTGROSSEURS WITH IT'S 5 VOLT THERM PRO REMOTE SENSOR CETTEFOIIS CI THANK TESSIER")</f>
        <v>J CAN NOT ALL MY CONNECTING 2 UNITS les2 TIP SO THAT LEAD TO PUBLICATION DO NOT RETURNS SHOULD I ORDER IN ANOTHER (DIFFERENTGROSSEURS WITH IT'S 5 VOLT THERM PRO REMOTE SENSOR CETTEFOIIS CI THANK TESSIER</v>
      </c>
    </row>
    <row r="8676">
      <c r="A8676" s="1">
        <v>4.0</v>
      </c>
      <c r="B8676" s="1" t="s">
        <v>8551</v>
      </c>
      <c r="C8676" t="str">
        <f>IFERROR(__xludf.DUMMYFUNCTION("GOOGLETRANSLATE(B8676, ""fr"", ""en"")"),"Although Meets fast delivery")</f>
        <v>Although Meets fast delivery</v>
      </c>
    </row>
    <row r="8677">
      <c r="A8677" s="1">
        <v>4.0</v>
      </c>
      <c r="B8677" s="1" t="s">
        <v>8552</v>
      </c>
      <c r="C8677" t="str">
        <f>IFERROR(__xludf.DUMMYFUNCTION("GOOGLETRANSLATE(B8677, ""fr"", ""en"")"),"Good product Very good article! Both aesthetic, fast and mostly silent !!! Element silencer removed regularly I would highly recommend it!")</f>
        <v>Good product Very good article! Both aesthetic, fast and mostly silent !!! Element silencer removed regularly I would highly recommend it!</v>
      </c>
    </row>
    <row r="8678">
      <c r="A8678" s="1">
        <v>4.0</v>
      </c>
      <c r="B8678" s="1" t="s">
        <v>8553</v>
      </c>
      <c r="C8678" t="str">
        <f>IFERROR(__xludf.DUMMYFUNCTION("GOOGLETRANSLATE(B8678, ""fr"", ""en"")"),"Good Good light product and comfortable soft-soled my slides one can very smooth on soil protection is only in toe")</f>
        <v>Good Good light product and comfortable soft-soled my slides one can very smooth on soil protection is only in toe</v>
      </c>
    </row>
    <row r="8679">
      <c r="A8679" s="1">
        <v>4.0</v>
      </c>
      <c r="B8679" s="1" t="s">
        <v>8554</v>
      </c>
      <c r="C8679" t="str">
        <f>IFERROR(__xludf.DUMMYFUNCTION("GOOGLETRANSLATE(B8679, ""fr"", ""en"")"),"A good shoe right shoe of very good quality. My only complaint size, perfect length, just a little wide. This is all the more regrettable that this model is made of thick leather (this is why I chose it). There are no half size, which would be possible to"&amp;" avoid the inconvenience shown.")</f>
        <v>A good shoe right shoe of very good quality. My only complaint size, perfect length, just a little wide. This is all the more regrettable that this model is made of thick leather (this is why I chose it). There are no half size, which would be possible to avoid the inconvenience shown.</v>
      </c>
    </row>
    <row r="8680">
      <c r="A8680" s="1">
        <v>5.0</v>
      </c>
      <c r="B8680" s="1" t="s">
        <v>8555</v>
      </c>
      <c r="C8680" t="str">
        <f>IFERROR(__xludf.DUMMYFUNCTION("GOOGLETRANSLATE(B8680, ""fr"", ""en"")"),"Havaianas or not, there it looks like maybe wrong Stored slightly bent flanges but do not interfere with the time they will relax.")</f>
        <v>Havaianas or not, there it looks like maybe wrong Stored slightly bent flanges but do not interfere with the time they will relax.</v>
      </c>
    </row>
    <row r="8681">
      <c r="A8681" s="1">
        <v>5.0</v>
      </c>
      <c r="B8681" s="1" t="s">
        <v>8556</v>
      </c>
      <c r="C8681" t="str">
        <f>IFERROR(__xludf.DUMMYFUNCTION("GOOGLETRANSLATE(B8681, ""fr"", ""en"")"),"Washing very well even in cold and in addition, she takes care of our health ... My machine has a Bosch washing program Cotton 20 ° and I wanted to try this program with this solution and see if it was as though the program 30 ° where I usually mix cotton"&amp;" and synthetic. My clothes came out clean and I was more reassured by the anti-allergic qualities of this laundry. Of course, if you are allergic to accariens, you need to wash cotton at 60 to kill the critters. But as I found at Amazon comforter and a ma"&amp;"ttress cover that make these critters will not accommodate it, I can wash cold and better retain the qualities of the machine. I recommend this product where designers think first of our health before thinking about advertising that we will sell it.")</f>
        <v>Washing very well even in cold and in addition, she takes care of our health ... My machine has a Bosch washing program Cotton 20 ° and I wanted to try this program with this solution and see if it was as though the program 30 ° where I usually mix cotton and synthetic. My clothes came out clean and I was more reassured by the anti-allergic qualities of this laundry. Of course, if you are allergic to accariens, you need to wash cotton at 60 to kill the critters. But as I found at Amazon comforter and a mattress cover that make these critters will not accommodate it, I can wash cold and better retain the qualities of the machine. I recommend this product where designers think first of our health before thinking about advertising that we will sell it.</v>
      </c>
    </row>
    <row r="8682">
      <c r="A8682" s="1">
        <v>5.0</v>
      </c>
      <c r="B8682" s="1" t="s">
        <v>8557</v>
      </c>
      <c r="C8682" t="str">
        <f>IFERROR(__xludf.DUMMYFUNCTION("GOOGLETRANSLATE(B8682, ""fr"", ""en"")"),"Glad to purchase! I'm a fan of sneakers for my work and I have all the colors possible! Shoes exact size! A super beautiful color that goes with every outfit! I recommend a good investment")</f>
        <v>Glad to purchase! I'm a fan of sneakers for my work and I have all the colors possible! Shoes exact size! A super beautiful color that goes with every outfit! I recommend a good investment</v>
      </c>
    </row>
    <row r="8683">
      <c r="A8683" s="1">
        <v>5.0</v>
      </c>
      <c r="B8683" s="1" t="s">
        <v>8558</v>
      </c>
      <c r="C8683" t="str">
        <f>IFERROR(__xludf.DUMMYFUNCTION("GOOGLETRANSLATE(B8683, ""fr"", ""en"")"),"impeccable! Delighted with my purchase that little microphone has nothing to envy to the great I highly recommend it with a quality / price impeccable!")</f>
        <v>impeccable! Delighted with my purchase that little microphone has nothing to envy to the great I highly recommend it with a quality / price impeccable!</v>
      </c>
    </row>
    <row r="8684">
      <c r="A8684" s="1">
        <v>5.0</v>
      </c>
      <c r="B8684" s="1" t="s">
        <v>8559</v>
      </c>
      <c r="C8684" t="str">
        <f>IFERROR(__xludf.DUMMYFUNCTION("GOOGLETRANSLATE(B8684, ""fr"", ""en"")"),"Bluetooth wireless headset always has his phone near I both used for calls to listen to music and watch videos and nothing more convenient than wireless Bluetooth headphones I own in this collection have a real model is really great because it comes with "&amp;"a small package for recharging which serves more battery suddenly even outdoors can be twice as much energy as you can recharge them are small and mostly they take in my ears because that side is we're all different and some forms take more or less sound "&amp;"and very good in communication I spoke very well hear me when I speak all these factors shows that this item is useful and practical effective and everything has a rather reasonable price compared to others I've seen on other sites")</f>
        <v>Bluetooth wireless headset always has his phone near I both used for calls to listen to music and watch videos and nothing more convenient than wireless Bluetooth headphones I own in this collection have a real model is really great because it comes with a small package for recharging which serves more battery suddenly even outdoors can be twice as much energy as you can recharge them are small and mostly they take in my ears because that side is we're all different and some forms take more or less sound and very good in communication I spoke very well hear me when I speak all these factors shows that this item is useful and practical effective and everything has a rather reasonable price compared to others I've seen on other sites</v>
      </c>
    </row>
    <row r="8685">
      <c r="A8685" s="1">
        <v>5.0</v>
      </c>
      <c r="B8685" s="1" t="s">
        <v>8560</v>
      </c>
      <c r="C8685" t="str">
        <f>IFERROR(__xludf.DUMMYFUNCTION("GOOGLETRANSLATE(B8685, ""fr"", ""en"")"),"Very good material very good effective material for me that makes karaoke sound system and video projector")</f>
        <v>Very good material very good effective material for me that makes karaoke sound system and video projector</v>
      </c>
    </row>
    <row r="8686">
      <c r="A8686" s="1">
        <v>5.0</v>
      </c>
      <c r="B8686" s="1" t="s">
        <v>8561</v>
      </c>
      <c r="C8686" t="str">
        <f>IFERROR(__xludf.DUMMYFUNCTION("GOOGLETRANSLATE(B8686, ""fr"", ""en"")"),"Excellent I bought for my daughter of 15 who listen to much music and is delighted, the sound is top, the perfect comfort and excellent battery life really. Only flat, micro ... Could be used to call the person on the other end does not hear us. This is o"&amp;"nly a helmet and a helmet. But a very good :)")</f>
        <v>Excellent I bought for my daughter of 15 who listen to much music and is delighted, the sound is top, the perfect comfort and excellent battery life really. Only flat, micro ... Could be used to call the person on the other end does not hear us. This is only a helmet and a helmet. But a very good :)</v>
      </c>
    </row>
    <row r="8687">
      <c r="A8687" s="1">
        <v>5.0</v>
      </c>
      <c r="B8687" s="1" t="s">
        <v>8562</v>
      </c>
      <c r="C8687" t="str">
        <f>IFERROR(__xludf.DUMMYFUNCTION("GOOGLETRANSLATE(B8687, ""fr"", ""en"")"),"Superb Nice product.")</f>
        <v>Superb Nice product.</v>
      </c>
    </row>
    <row r="8688">
      <c r="A8688" s="1">
        <v>5.0</v>
      </c>
      <c r="B8688" s="1" t="s">
        <v>7485</v>
      </c>
      <c r="C8688" t="str">
        <f>IFERROR(__xludf.DUMMYFUNCTION("GOOGLETRANSLATE(B8688, ""fr"", ""en"")"),"Super Good Quality")</f>
        <v>Super Good Quality</v>
      </c>
    </row>
    <row r="8689">
      <c r="A8689" s="1">
        <v>5.0</v>
      </c>
      <c r="B8689" s="1" t="s">
        <v>8563</v>
      </c>
      <c r="C8689" t="str">
        <f>IFERROR(__xludf.DUMMYFUNCTION("GOOGLETRANSLATE(B8689, ""fr"", ""en"")"),"Product thank you Roger 2nd order placed today received")</f>
        <v>Product thank you Roger 2nd order placed today received</v>
      </c>
    </row>
    <row r="8690">
      <c r="A8690" s="1">
        <v>5.0</v>
      </c>
      <c r="B8690" s="1" t="s">
        <v>8564</v>
      </c>
      <c r="C8690" t="str">
        <f>IFERROR(__xludf.DUMMYFUNCTION("GOOGLETRANSLATE(B8690, ""fr"", ""en"")"),"Bigger inside than outside Despite its modest size, this bag allows you to carry a lot. The few pockets / storage are just sufficient to hold keys, wallet, Swiss Army knife, pens, lighters, alcohol gel, tissues, labelo, phone charger, headphones etc ... w"&amp;"hile keeping the main pocket for a free book A5, a 50cl bottle and some afternoon snacks for example. Ok at this level it begins to be rather inflated, but it holds up! I wore it every day for almost a year and never a seam has dropped, while I bourrais t"&amp;"o the brim regularly. Good look, not fragile, efficient, and with a mini almost secret pocket is a steal for the price!")</f>
        <v>Bigger inside than outside Despite its modest size, this bag allows you to carry a lot. The few pockets / storage are just sufficient to hold keys, wallet, Swiss Army knife, pens, lighters, alcohol gel, tissues, labelo, phone charger, headphones etc ... while keeping the main pocket for a free book A5, a 50cl bottle and some afternoon snacks for example. Ok at this level it begins to be rather inflated, but it holds up! I wore it every day for almost a year and never a seam has dropped, while I bourrais to the brim regularly. Good look, not fragile, efficient, and with a mini almost secret pocket is a steal for the price!</v>
      </c>
    </row>
    <row r="8691">
      <c r="A8691" s="1">
        <v>5.0</v>
      </c>
      <c r="B8691" s="1" t="s">
        <v>8565</v>
      </c>
      <c r="C8691" t="str">
        <f>IFERROR(__xludf.DUMMYFUNCTION("GOOGLETRANSLATE(B8691, ""fr"", ""en"")"),"Conforms 👍 Meets description This is a gift for Christmas I hope the quality will be the me because I know nothing Received with 1 day late")</f>
        <v>Conforms 👍 Meets description This is a gift for Christmas I hope the quality will be the me because I know nothing Received with 1 day late</v>
      </c>
    </row>
    <row r="8692">
      <c r="A8692" s="1">
        <v>5.0</v>
      </c>
      <c r="B8692" s="1" t="s">
        <v>8566</v>
      </c>
      <c r="C8692" t="str">
        <f>IFERROR(__xludf.DUMMYFUNCTION("GOOGLETRANSLATE(B8692, ""fr"", ""en"")"),"tongue scraper-pure copper Okay")</f>
        <v>tongue scraper-pure copper Okay</v>
      </c>
    </row>
    <row r="8693">
      <c r="A8693" s="1">
        <v>5.0</v>
      </c>
      <c r="B8693" s="1" t="s">
        <v>8567</v>
      </c>
      <c r="C8693" t="str">
        <f>IFERROR(__xludf.DUMMYFUNCTION("GOOGLETRANSLATE(B8693, ""fr"", ""en"")"),"Basketball purple metal Very pretty and comfortable c's just a shame that there was no other laces, ribbons are nice but I would love to other laces c is a detail I will order")</f>
        <v>Basketball purple metal Very pretty and comfortable c's just a shame that there was no other laces, ribbons are nice but I would love to other laces c is a detail I will order</v>
      </c>
    </row>
    <row r="8694">
      <c r="A8694" s="1">
        <v>5.0</v>
      </c>
      <c r="B8694" s="1" t="s">
        <v>787</v>
      </c>
      <c r="C8694" t="str">
        <f>IFERROR(__xludf.DUMMYFUNCTION("GOOGLETRANSLATE(B8694, ""fr"", ""en"")"),"Very good product great product")</f>
        <v>Very good product great product</v>
      </c>
    </row>
    <row r="8695">
      <c r="A8695" s="1">
        <v>2.0</v>
      </c>
      <c r="B8695" s="1" t="s">
        <v>8568</v>
      </c>
      <c r="C8695" t="str">
        <f>IFERROR(__xludf.DUMMYFUNCTION("GOOGLETRANSLATE(B8695, ""fr"", ""en"")"),"disappointed I am very disappointed by this game that is simple to understand but the pen that is the main tool does not work more ink !!!! the new packaging was closed but unfortunately the pen chono not working ... and in this case we can not play that "&amp;"using neutral pen: no interest to pay as much for having to use another pen I do not recommend this Thu")</f>
        <v>disappointed I am very disappointed by this game that is simple to understand but the pen that is the main tool does not work more ink !!!! the new packaging was closed but unfortunately the pen chono not working ... and in this case we can not play that using neutral pen: no interest to pay as much for having to use another pen I do not recommend this Thu</v>
      </c>
    </row>
    <row r="8696">
      <c r="A8696" s="1">
        <v>1.0</v>
      </c>
      <c r="B8696" s="1" t="s">
        <v>8569</v>
      </c>
      <c r="C8696" t="str">
        <f>IFERROR(__xludf.DUMMYFUNCTION("GOOGLETRANSLATE(B8696, ""fr"", ""en"")"),"The size and quality Too small for my robe, so do not put it, disappointed !!")</f>
        <v>The size and quality Too small for my robe, so do not put it, disappointed !!</v>
      </c>
    </row>
    <row r="8697">
      <c r="A8697" s="1">
        <v>1.0</v>
      </c>
      <c r="B8697" s="1" t="s">
        <v>8570</v>
      </c>
      <c r="C8697" t="str">
        <f>IFERROR(__xludf.DUMMYFUNCTION("GOOGLETRANSLATE(B8697, ""fr"", ""en"")"),"Decolle After three weeks everything off I have paid for repair")</f>
        <v>Decolle After three weeks everything off I have paid for repair</v>
      </c>
    </row>
    <row r="8698">
      <c r="A8698" s="1">
        <v>3.0</v>
      </c>
      <c r="B8698" s="1" t="s">
        <v>8571</v>
      </c>
      <c r="C8698" t="str">
        <f>IFERROR(__xludf.DUMMYFUNCTION("GOOGLETRANSLATE(B8698, ""fr"", ""en"")"),"Good battery life and comfortable. Lightweight and comfortable. Watch out for signs on the pads !!! Provide setting the equalizer (by downloading the application ""&amp; nbsp; CapTune &amp; nbsp;"". Noise Reduction is rather quiet (compared to my Parrot Zik) The "&amp;"beep helmet a little too much for my taste It will beep as during.. phone use, under certain conditions: When using the functions of some applications (no relation to the sound) as refresh a page, for example you will need time to adapt with the controls,"&amp;" once. helmet on, you'll probably have to fumble around for a few days to find the first time, the buttons corresponding to what you want to do. Still, it has a good battery life, it is comfortable and the sound is not so bad.")</f>
        <v>Good battery life and comfortable. Lightweight and comfortable. Watch out for signs on the pads !!! Provide setting the equalizer (by downloading the application "&amp; nbsp; CapTune &amp; nbsp;". Noise Reduction is rather quiet (compared to my Parrot Zik) The beep helmet a little too much for my taste It will beep as during.. phone use, under certain conditions: When using the functions of some applications (no relation to the sound) as refresh a page, for example you will need time to adapt with the controls, once. helmet on, you'll probably have to fumble around for a few days to find the first time, the buttons corresponding to what you want to do. Still, it has a good battery life, it is comfortable and the sound is not so bad.</v>
      </c>
    </row>
    <row r="8699">
      <c r="A8699" s="1">
        <v>3.0</v>
      </c>
      <c r="B8699" s="1" t="s">
        <v>8572</v>
      </c>
      <c r="C8699" t="str">
        <f>IFERROR(__xludf.DUMMYFUNCTION("GOOGLETRANSLATE(B8699, ""fr"", ""en"")"),"Not bad! Thomson headphones without son at 35 €! comfortable and classy with holder / charger! it gives a quite powerful and clean sound, I walk through my house without concern for signal it works nickel! it is advisable to put the device that outputs th"&amp;"e sound to the max and then adjust the volume on the headset;) by against the bass is not great and sometimes I hear the sizzle ... if we want quality must pay a little more ^^")</f>
        <v>Not bad! Thomson headphones without son at 35 €! comfortable and classy with holder / charger! it gives a quite powerful and clean sound, I walk through my house without concern for signal it works nickel! it is advisable to put the device that outputs the sound to the max and then adjust the volume on the headset;) by against the bass is not great and sometimes I hear the sizzle ... if we want quality must pay a little more ^^</v>
      </c>
    </row>
    <row r="8700">
      <c r="A8700" s="1">
        <v>4.0</v>
      </c>
      <c r="B8700" s="1" t="s">
        <v>8573</v>
      </c>
      <c r="C8700" t="str">
        <f>IFERROR(__xludf.DUMMYFUNCTION("GOOGLETRANSLATE(B8700, ""fr"", ""en"")"),"Aagreable Very Well")</f>
        <v>Aagreable Very Well</v>
      </c>
    </row>
    <row r="8701">
      <c r="A8701" s="1">
        <v>4.0</v>
      </c>
      <c r="B8701" s="1" t="s">
        <v>8574</v>
      </c>
      <c r="C8701" t="str">
        <f>IFERROR(__xludf.DUMMYFUNCTION("GOOGLETRANSLATE(B8701, ""fr"", ""en"")"),"Okay works well but there are a blow to take. You have to press the point when it is dry thus rehydrate on a support ""trash"" because it runs strong. I have a rotten project on first use. Otherwise I do not regret my purchase")</f>
        <v>Okay works well but there are a blow to take. You have to press the point when it is dry thus rehydrate on a support "trash" because it runs strong. I have a rotten project on first use. Otherwise I do not regret my purchase</v>
      </c>
    </row>
    <row r="8702">
      <c r="A8702" s="1">
        <v>4.0</v>
      </c>
      <c r="B8702" s="1" t="s">
        <v>8575</v>
      </c>
      <c r="C8702" t="str">
        <f>IFERROR(__xludf.DUMMYFUNCTION("GOOGLETRANSLATE(B8702, ""fr"", ""en"")"),"the quality I wish I had a good guaranteed")</f>
        <v>the quality I wish I had a good guaranteed</v>
      </c>
    </row>
    <row r="8703">
      <c r="A8703" s="1">
        <v>4.0</v>
      </c>
      <c r="B8703" s="1" t="s">
        <v>8576</v>
      </c>
      <c r="C8703" t="str">
        <f>IFERROR(__xludf.DUMMYFUNCTION("GOOGLETRANSLATE(B8703, ""fr"", ""en"")"),"These tutus tutu dancing were all the rage. reasonable purchase even for a night.")</f>
        <v>These tutus tutu dancing were all the rage. reasonable purchase even for a night.</v>
      </c>
    </row>
    <row r="8704">
      <c r="A8704" s="1">
        <v>5.0</v>
      </c>
      <c r="B8704" s="1" t="s">
        <v>8577</v>
      </c>
      <c r="C8704" t="str">
        <f>IFERROR(__xludf.DUMMYFUNCTION("GOOGLETRANSLATE(B8704, ""fr"", ""en"")"),"solid, aesthetic, practical, price A beautiful watch, pleasant colors. Simple but precise, slightly luminescent display. A good buy")</f>
        <v>solid, aesthetic, practical, price A beautiful watch, pleasant colors. Simple but precise, slightly luminescent display. A good buy</v>
      </c>
    </row>
    <row r="8705">
      <c r="A8705" s="1">
        <v>5.0</v>
      </c>
      <c r="B8705" s="1" t="s">
        <v>8578</v>
      </c>
      <c r="C8705" t="str">
        <f>IFERROR(__xludf.DUMMYFUNCTION("GOOGLETRANSLATE(B8705, ""fr"", ""en"")"),"Top Magnificent diffuser. Works great easy to use. Diffuse the scent in all the room. I recommend. Thank you")</f>
        <v>Top Magnificent diffuser. Works great easy to use. Diffuse the scent in all the room. I recommend. Thank you</v>
      </c>
    </row>
    <row r="8706">
      <c r="A8706" s="1">
        <v>5.0</v>
      </c>
      <c r="B8706" s="1" t="s">
        <v>8579</v>
      </c>
      <c r="C8706" t="str">
        <f>IFERROR(__xludf.DUMMYFUNCTION("GOOGLETRANSLATE(B8706, ""fr"", ""en"")"),"Convenient for cutting !!!!! Very convenient, very economical")</f>
        <v>Convenient for cutting !!!!! Very convenient, very economical</v>
      </c>
    </row>
    <row r="8707">
      <c r="A8707" s="1">
        <v>5.0</v>
      </c>
      <c r="B8707" s="1" t="s">
        <v>8580</v>
      </c>
      <c r="C8707" t="str">
        <f>IFERROR(__xludf.DUMMYFUNCTION("GOOGLETRANSLATE(B8707, ""fr"", ""en"")"),"Excellent value! This microphone has a very good audio quality. And accessories are ok. I highly recommend this microphone kit!")</f>
        <v>Excellent value! This microphone has a very good audio quality. And accessories are ok. I highly recommend this microphone kit!</v>
      </c>
    </row>
    <row r="8708">
      <c r="A8708" s="1">
        <v>5.0</v>
      </c>
      <c r="B8708" s="1" t="s">
        <v>8581</v>
      </c>
      <c r="C8708" t="str">
        <f>IFERROR(__xludf.DUMMYFUNCTION("GOOGLETRANSLATE(B8708, ""fr"", ""en"")"),"Top I'm glad it's hooks are very good I served to make earrings polymer clay")</f>
        <v>Top I'm glad it's hooks are very good I served to make earrings polymer clay</v>
      </c>
    </row>
    <row r="8709">
      <c r="A8709" s="1">
        <v>5.0</v>
      </c>
      <c r="B8709" s="1" t="s">
        <v>8582</v>
      </c>
      <c r="C8709" t="str">
        <f>IFERROR(__xludf.DUMMYFUNCTION("GOOGLETRANSLATE(B8709, ""fr"", ""en"")"),"Very good diffuser Very practical and easy to use, high capacity so diffuse long, and stops automatically when the tank is empty")</f>
        <v>Very good diffuser Very practical and easy to use, high capacity so diffuse long, and stops automatically when the tank is empty</v>
      </c>
    </row>
    <row r="8710">
      <c r="A8710" s="1">
        <v>5.0</v>
      </c>
      <c r="B8710" s="1" t="s">
        <v>8583</v>
      </c>
      <c r="C8710" t="str">
        <f>IFERROR(__xludf.DUMMYFUNCTION("GOOGLETRANSLATE(B8710, ""fr"", ""en"")"),"SHOULD THE STARS THE STARS SHOULD BE SUFFICIENT ENOUGH")</f>
        <v>SHOULD THE STARS THE STARS SHOULD BE SUFFICIENT ENOUGH</v>
      </c>
    </row>
    <row r="8711">
      <c r="A8711" s="1">
        <v>5.0</v>
      </c>
      <c r="B8711" s="1" t="s">
        <v>8584</v>
      </c>
      <c r="C8711" t="str">
        <f>IFERROR(__xludf.DUMMYFUNCTION("GOOGLETRANSLATE(B8711, ""fr"", ""en"")"),"It is good product works well on stopwatch and easily modify the date and time. He puts little trick to change the steel taile. Thank you. I like")</f>
        <v>It is good product works well on stopwatch and easily modify the date and time. He puts little trick to change the steel taile. Thank you. I like</v>
      </c>
    </row>
    <row r="8712">
      <c r="A8712" s="1">
        <v>5.0</v>
      </c>
      <c r="B8712" s="1" t="s">
        <v>8585</v>
      </c>
      <c r="C8712" t="str">
        <f>IFERROR(__xludf.DUMMYFUNCTION("GOOGLETRANSLATE(B8712, ""fr"", ""en"")"),"Perfect Perfect Comfortable with wish")</f>
        <v>Perfect Perfect Comfortable with wish</v>
      </c>
    </row>
    <row r="8713">
      <c r="A8713" s="1">
        <v>5.0</v>
      </c>
      <c r="B8713" s="1" t="s">
        <v>8586</v>
      </c>
      <c r="C8713" t="str">
        <f>IFERROR(__xludf.DUMMYFUNCTION("GOOGLETRANSLATE(B8713, ""fr"", ""en"")"),"Tongue Tongues Havaianas size 37 I wear them every day at home, they are perfect!")</f>
        <v>Tongue Tongues Havaianas size 37 I wear them every day at home, they are perfect!</v>
      </c>
    </row>
    <row r="8714">
      <c r="A8714" s="1">
        <v>5.0</v>
      </c>
      <c r="B8714" s="1" t="s">
        <v>8587</v>
      </c>
      <c r="C8714" t="str">
        <f>IFERROR(__xludf.DUMMYFUNCTION("GOOGLETRANSLATE(B8714, ""fr"", ""en"")"),"Size long after a first wash. Good quality and are slightly larger but I'm doing 41 so it's normal I think. And when you can do is wash shrink machine. The quality is pretty good I think. To see if they make holes in the coming months. Perfect for sneaker"&amp;"s.")</f>
        <v>Size long after a first wash. Good quality and are slightly larger but I'm doing 41 so it's normal I think. And when you can do is wash shrink machine. The quality is pretty good I think. To see if they make holes in the coming months. Perfect for sneakers.</v>
      </c>
    </row>
    <row r="8715">
      <c r="A8715" s="1">
        <v>5.0</v>
      </c>
      <c r="B8715" s="1" t="s">
        <v>8588</v>
      </c>
      <c r="C8715" t="str">
        <f>IFERROR(__xludf.DUMMYFUNCTION("GOOGLETRANSLATE(B8715, ""fr"", ""en"")"),"Perfect These kickers are perfect. I since the door a year, they have not changed and are as new. I was afraid of an infringement but perfectly genuine. All gravages, labels and markings are there.")</f>
        <v>Perfect These kickers are perfect. I since the door a year, they have not changed and are as new. I was afraid of an infringement but perfectly genuine. All gravages, labels and markings are there.</v>
      </c>
    </row>
    <row r="8716">
      <c r="A8716" s="1">
        <v>5.0</v>
      </c>
      <c r="B8716" s="1" t="s">
        <v>8589</v>
      </c>
      <c r="C8716" t="str">
        <f>IFERROR(__xludf.DUMMYFUNCTION("GOOGLETRANSLATE(B8716, ""fr"", ""en"")"),"The quality With this brand we are certain to have a good quality comfortable fabric to wear. Fast delivery in opaque plastic.")</f>
        <v>The quality With this brand we are certain to have a good quality comfortable fabric to wear. Fast delivery in opaque plastic.</v>
      </c>
    </row>
    <row r="8717">
      <c r="A8717" s="1">
        <v>5.0</v>
      </c>
      <c r="B8717" s="1" t="s">
        <v>8590</v>
      </c>
      <c r="C8717" t="str">
        <f>IFERROR(__xludf.DUMMYFUNCTION("GOOGLETRANSLATE(B8717, ""fr"", ""en"")"),"good for someone who slips due to illness first purchase for anyone living in the apartment that may fall because of the problem of high parkinson.Le port slipper stem and scratch unsuited .L Idea of ​​this purchase is positive and reassuring for the pers"&amp;"on and his entourage. Practical and Effective for people, children who can move much or that walking can be difficult or who put slippers is complicated.")</f>
        <v>good for someone who slips due to illness first purchase for anyone living in the apartment that may fall because of the problem of high parkinson.Le port slipper stem and scratch unsuited .L Idea of ​​this purchase is positive and reassuring for the person and his entourage. Practical and Effective for people, children who can move much or that walking can be difficult or who put slippers is complicated.</v>
      </c>
    </row>
    <row r="8718">
      <c r="A8718" s="1">
        <v>5.0</v>
      </c>
      <c r="B8718" s="1" t="s">
        <v>8591</v>
      </c>
      <c r="C8718" t="str">
        <f>IFERROR(__xludf.DUMMYFUNCTION("GOOGLETRANSLATE(B8718, ""fr"", ""en"")"),"it changes from blue I am happy with this purchase, it is beautiful visually and filled his role well. I recommend this purchase. I took the gray")</f>
        <v>it changes from blue I am happy with this purchase, it is beautiful visually and filled his role well. I recommend this purchase. I took the gray</v>
      </c>
    </row>
    <row r="8719">
      <c r="A8719" s="1">
        <v>2.0</v>
      </c>
      <c r="B8719" s="1" t="s">
        <v>8592</v>
      </c>
      <c r="C8719" t="str">
        <f>IFERROR(__xludf.DUMMYFUNCTION("GOOGLETRANSLATE(B8719, ""fr"", ""en"")"),"color but ok ... ok colors but what is it to put a chip in the cartridge if it is to indicate a transition from ""half full"" empty ""replace"" without further transition?")</f>
        <v>color but ok ... ok colors but what is it to put a chip in the cartridge if it is to indicate a transition from "half full" empty "replace" without further transition?</v>
      </c>
    </row>
    <row r="8720">
      <c r="A8720" s="1">
        <v>1.0</v>
      </c>
      <c r="B8720" s="1" t="s">
        <v>8593</v>
      </c>
      <c r="C8720" t="str">
        <f>IFERROR(__xludf.DUMMYFUNCTION("GOOGLETRANSLATE(B8720, ""fr"", ""en"")"),"Quality average I think. Beautiful presentation. The date already working. I'll return it.")</f>
        <v>Quality average I think. Beautiful presentation. The date already working. I'll return it.</v>
      </c>
    </row>
    <row r="8721">
      <c r="A8721" s="1">
        <v>1.0</v>
      </c>
      <c r="B8721" s="1" t="s">
        <v>8594</v>
      </c>
      <c r="C8721" t="str">
        <f>IFERROR(__xludf.DUMMYFUNCTION("GOOGLETRANSLATE(B8721, ""fr"", ""en"")"),"Disappointment: unusable as well as side microphone headphones ... Big disappointment despite the excellent reviews: - There is a constant sizzling. I hear it unless really in a very noisy environment (metro ...) - When you walk if the cable touch anythin"&amp;"g (coat, jacket ...) it makes a lot of noise that ""resonates"" in headphones to each friction. So at every step / movement actually. - The microphone is extremely poor: every time I took a call (via smartphone or laptop) I had to remove them. Unusable, n"&amp;"obody heard me correctly. Summary: If you are stationary and in a place a bit quiet you hear the sizzle. If you walk you hear very loud noise of friction in the headphones. If you want to use them to call you can not hear / not understand. As listeners ha"&amp;"d great reviews I bought 2 pairs immediately: one that stays in the office and one for travel. I have exactly the same problems on the 2. So it's not a pair that works poorly.")</f>
        <v>Disappointment: unusable as well as side microphone headphones ... Big disappointment despite the excellent reviews: - There is a constant sizzling. I hear it unless really in a very noisy environment (metro ...) - When you walk if the cable touch anything (coat, jacket ...) it makes a lot of noise that "resonates" in headphones to each friction. So at every step / movement actually. - The microphone is extremely poor: every time I took a call (via smartphone or laptop) I had to remove them. Unusable, nobody heard me correctly. Summary: If you are stationary and in a place a bit quiet you hear the sizzle. If you walk you hear very loud noise of friction in the headphones. If you want to use them to call you can not hear / not understand. As listeners had great reviews I bought 2 pairs immediately: one that stays in the office and one for travel. I have exactly the same problems on the 2. So it's not a pair that works poorly.</v>
      </c>
    </row>
    <row r="8722">
      <c r="A8722" s="1">
        <v>3.0</v>
      </c>
      <c r="B8722" s="1" t="s">
        <v>8595</v>
      </c>
      <c r="C8722" t="str">
        <f>IFERROR(__xludf.DUMMYFUNCTION("GOOGLETRANSLATE(B8722, ""fr"", ""en"")"),"Digital Frame I am disappointed because the product has a delivery date to December 23 and I have received that on December 27 or after Christmas it's a shame")</f>
        <v>Digital Frame I am disappointed because the product has a delivery date to December 23 and I have received that on December 27 or after Christmas it's a shame</v>
      </c>
    </row>
    <row r="8723">
      <c r="A8723" s="1">
        <v>3.0</v>
      </c>
      <c r="B8723" s="1" t="s">
        <v>8596</v>
      </c>
      <c r="C8723" t="str">
        <f>IFERROR(__xludf.DUMMYFUNCTION("GOOGLETRANSLATE(B8723, ""fr"", ""en"")"),"Not important Very nice end")</f>
        <v>Not important Very nice end</v>
      </c>
    </row>
    <row r="8724">
      <c r="A8724" s="1">
        <v>4.0</v>
      </c>
      <c r="B8724" s="1" t="s">
        <v>8597</v>
      </c>
      <c r="C8724" t="str">
        <f>IFERROR(__xludf.DUMMYFUNCTION("GOOGLETRANSLATE(B8724, ""fr"", ""en"")"),"the date of delivery and product quality as seen on advertising already is leather and at my age this bag is just fine")</f>
        <v>the date of delivery and product quality as seen on advertising already is leather and at my age this bag is just fine</v>
      </c>
    </row>
    <row r="8725">
      <c r="A8725" s="1">
        <v>4.0</v>
      </c>
      <c r="B8725" s="1" t="s">
        <v>8598</v>
      </c>
      <c r="C8725" t="str">
        <f>IFERROR(__xludf.DUMMYFUNCTION("GOOGLETRANSLATE(B8725, ""fr"", ""en"")"),"Although Felt Good")</f>
        <v>Although Felt Good</v>
      </c>
    </row>
    <row r="8726">
      <c r="A8726" s="1">
        <v>4.0</v>
      </c>
      <c r="B8726" s="1" t="s">
        <v>8599</v>
      </c>
      <c r="C8726" t="str">
        <f>IFERROR(__xludf.DUMMYFUNCTION("GOOGLETRANSLATE(B8726, ""fr"", ""en"")"),"The equivalent quality to its price Bought to play primarily on PC FPS and simulation game, I am more than happy. I had previously headphones Razer Kraken Pro V1, the notable difference is the lower one side the Razer had too much on the other Corsair is "&amp;"left with a more balanced. The sounds are much more distinctive thanks to software Corsair EUCI which allows a virtual 7.1. The Bluetooth connection is made without any difficulty. I have no complaints about this helmet. I appreciate especially having sem"&amp;"i-open headphones (very nice if someone calls or other). The simple design also very satisfied me short for purchasing 75 € in promotion, I do not regret my purchase in any case")</f>
        <v>The equivalent quality to its price Bought to play primarily on PC FPS and simulation game, I am more than happy. I had previously headphones Razer Kraken Pro V1, the notable difference is the lower one side the Razer had too much on the other Corsair is left with a more balanced. The sounds are much more distinctive thanks to software Corsair EUCI which allows a virtual 7.1. The Bluetooth connection is made without any difficulty. I have no complaints about this helmet. I appreciate especially having semi-open headphones (very nice if someone calls or other). The simple design also very satisfied me short for purchasing 75 € in promotion, I do not regret my purchase in any case</v>
      </c>
    </row>
    <row r="8727">
      <c r="A8727" s="1">
        <v>4.0</v>
      </c>
      <c r="B8727" s="1" t="s">
        <v>8600</v>
      </c>
      <c r="C8727" t="str">
        <f>IFERROR(__xludf.DUMMYFUNCTION("GOOGLETRANSLATE(B8727, ""fr"", ""en"")"),"in line with expectations Not much to say except that its shoes are their office to keep feet warm comma to a size 48 they are perfectly proportioned")</f>
        <v>in line with expectations Not much to say except that its shoes are their office to keep feet warm comma to a size 48 they are perfectly proportioned</v>
      </c>
    </row>
    <row r="8728">
      <c r="A8728" s="1">
        <v>5.0</v>
      </c>
      <c r="B8728" s="1" t="s">
        <v>8601</v>
      </c>
      <c r="C8728" t="str">
        <f>IFERROR(__xludf.DUMMYFUNCTION("GOOGLETRANSLATE(B8728, ""fr"", ""en"")"),"Well Pleased with my purchase.")</f>
        <v>Well Pleased with my purchase.</v>
      </c>
    </row>
    <row r="8729">
      <c r="A8729" s="1">
        <v>5.0</v>
      </c>
      <c r="B8729" s="1" t="s">
        <v>8602</v>
      </c>
      <c r="C8729" t="str">
        <f>IFERROR(__xludf.DUMMYFUNCTION("GOOGLETRANSLATE(B8729, ""fr"", ""en"")"),"A good smell of fresh A very good product with a good smell of fresh lemon ... sends fast and well packed")</f>
        <v>A good smell of fresh A very good product with a good smell of fresh lemon ... sends fast and well packed</v>
      </c>
    </row>
    <row r="8730">
      <c r="A8730" s="1">
        <v>5.0</v>
      </c>
      <c r="B8730" s="1" t="s">
        <v>8603</v>
      </c>
      <c r="C8730" t="str">
        <f>IFERROR(__xludf.DUMMYFUNCTION("GOOGLETRANSLATE(B8730, ""fr"", ""en"")"),"😤 Quality good but delivery 0")</f>
        <v>😤 Quality good but delivery 0</v>
      </c>
    </row>
    <row r="8731">
      <c r="A8731" s="1">
        <v>5.0</v>
      </c>
      <c r="B8731" s="1" t="s">
        <v>8604</v>
      </c>
      <c r="C8731" t="str">
        <f>IFERROR(__xludf.DUMMYFUNCTION("GOOGLETRANSLATE(B8731, ""fr"", ""en"")"),"Indispensable for a child I regretted not buying it earlier too practical for a sleeping child, op measuring the temperature and is reassured my daughter like her, and she no longer denies the measuring temperature before this purchase is hassle to do.")</f>
        <v>Indispensable for a child I regretted not buying it earlier too practical for a sleeping child, op measuring the temperature and is reassured my daughter like her, and she no longer denies the measuring temperature before this purchase is hassle to do.</v>
      </c>
    </row>
    <row r="8732">
      <c r="A8732" s="1">
        <v>5.0</v>
      </c>
      <c r="B8732" s="1" t="s">
        <v>8605</v>
      </c>
      <c r="C8732" t="str">
        <f>IFERROR(__xludf.DUMMYFUNCTION("GOOGLETRANSLATE(B8732, ""fr"", ""en"")"),"CASIO watch WAVERECPTOR EXCELLENT PRODUCT FUNCTIONALITY WITH SIMPLE. DESIGN PLEASANT TO THE EYE AND DO NOT UNDER SHIRT DEPARE CITY. PRODUCT RECOMMENDED.")</f>
        <v>CASIO watch WAVERECPTOR EXCELLENT PRODUCT FUNCTIONALITY WITH SIMPLE. DESIGN PLEASANT TO THE EYE AND DO NOT UNDER SHIRT DEPARE CITY. PRODUCT RECOMMENDED.</v>
      </c>
    </row>
    <row r="8733">
      <c r="A8733" s="1">
        <v>5.0</v>
      </c>
      <c r="B8733" s="1" t="s">
        <v>8606</v>
      </c>
      <c r="C8733" t="str">
        <f>IFERROR(__xludf.DUMMYFUNCTION("GOOGLETRANSLATE(B8733, ""fr"", ""en"")"),"Purchase Cheap and proper practice. I use it everyday ! Although not very beautiful and modern. Not easy to clean ....")</f>
        <v>Purchase Cheap and proper practice. I use it everyday ! Although not very beautiful and modern. Not easy to clean ....</v>
      </c>
    </row>
    <row r="8734">
      <c r="A8734" s="1">
        <v>5.0</v>
      </c>
      <c r="B8734" s="1" t="s">
        <v>8607</v>
      </c>
      <c r="C8734" t="str">
        <f>IFERROR(__xludf.DUMMYFUNCTION("GOOGLETRANSLATE(B8734, ""fr"", ""en"")"),"Not bad I went to the room with, treadmill, rowing machine, elliptical etc., they hold very well in the sound is good with no worries. They remained well connected and easy to connect elsewhere. The sound is loud enough if one puts the Max, reducing noise"&amp;" around is enough for me to not hear the music from the room itself (which is very strong) I found them comfortable, I did not hurt ears after 2 litters in a row")</f>
        <v>Not bad I went to the room with, treadmill, rowing machine, elliptical etc., they hold very well in the sound is good with no worries. They remained well connected and easy to connect elsewhere. The sound is loud enough if one puts the Max, reducing noise around is enough for me to not hear the music from the room itself (which is very strong) I found them comfortable, I did not hurt ears after 2 litters in a row</v>
      </c>
    </row>
    <row r="8735">
      <c r="A8735" s="1">
        <v>5.0</v>
      </c>
      <c r="B8735" s="1" t="s">
        <v>8608</v>
      </c>
      <c r="C8735" t="str">
        <f>IFERROR(__xludf.DUMMYFUNCTION("GOOGLETRANSLATE(B8735, ""fr"", ""en"")"),"Superb Very nice watch at a small price. I just love it !")</f>
        <v>Superb Very nice watch at a small price. I just love it !</v>
      </c>
    </row>
    <row r="8736">
      <c r="A8736" s="1">
        <v>5.0</v>
      </c>
      <c r="B8736" s="1" t="s">
        <v>8609</v>
      </c>
      <c r="C8736" t="str">
        <f>IFERROR(__xludf.DUMMYFUNCTION("GOOGLETRANSLATE(B8736, ""fr"", ""en"")"),"Good product Very well. solid and convenient bottle.")</f>
        <v>Good product Very well. solid and convenient bottle.</v>
      </c>
    </row>
    <row r="8737">
      <c r="A8737" s="1">
        <v>5.0</v>
      </c>
      <c r="B8737" s="1" t="s">
        <v>8610</v>
      </c>
      <c r="C8737" t="str">
        <f>IFERROR(__xludf.DUMMYFUNCTION("GOOGLETRANSLATE(B8737, ""fr"", ""en"")"),"Very appropriate for this old man. I love them! I'm deaf these are wonderful! Was so easy to connect. I also wonder about the house and continue to be well received. For the price, they are worth it.")</f>
        <v>Very appropriate for this old man. I love them! I'm deaf these are wonderful! Was so easy to connect. I also wonder about the house and continue to be well received. For the price, they are worth it.</v>
      </c>
    </row>
    <row r="8738">
      <c r="A8738" s="1">
        <v>5.0</v>
      </c>
      <c r="B8738" s="1" t="s">
        <v>8611</v>
      </c>
      <c r="C8738" t="str">
        <f>IFERROR(__xludf.DUMMYFUNCTION("GOOGLETRANSLATE(B8738, ""fr"", ""en"")"),"safety thanks to hinged clasp, the watch can not fall to replace a damaged bracelet. very easy to attach to the watch. thanks safety hinged clasp. the material of the bracelet is nice and pretty. Finally: the price")</f>
        <v>safety thanks to hinged clasp, the watch can not fall to replace a damaged bracelet. very easy to attach to the watch. thanks safety hinged clasp. the material of the bracelet is nice and pretty. Finally: the price</v>
      </c>
    </row>
    <row r="8739">
      <c r="A8739" s="1">
        <v>5.0</v>
      </c>
      <c r="B8739" s="1" t="s">
        <v>8612</v>
      </c>
      <c r="C8739" t="str">
        <f>IFERROR(__xludf.DUMMYFUNCTION("GOOGLETRANSLATE(B8739, ""fr"", ""en"")"),"Relax Very good gift for my boyfriend. He used to hurt leg machines .This can help to properly relax.")</f>
        <v>Relax Very good gift for my boyfriend. He used to hurt leg machines .This can help to properly relax.</v>
      </c>
    </row>
    <row r="8740">
      <c r="A8740" s="1">
        <v>5.0</v>
      </c>
      <c r="B8740" s="1" t="s">
        <v>8613</v>
      </c>
      <c r="C8740" t="str">
        <f>IFERROR(__xludf.DUMMYFUNCTION("GOOGLETRANSLATE(B8740, ""fr"", ""en"")"),"pleasant and comfortable wash under water, holds up well to foot, proper design, I use them as a slippers, does not seem to wear out quickly")</f>
        <v>pleasant and comfortable wash under water, holds up well to foot, proper design, I use them as a slippers, does not seem to wear out quickly</v>
      </c>
    </row>
    <row r="8741">
      <c r="A8741" s="1">
        <v>5.0</v>
      </c>
      <c r="B8741" s="1" t="s">
        <v>8614</v>
      </c>
      <c r="C8741" t="str">
        <f>IFERROR(__xludf.DUMMYFUNCTION("GOOGLETRANSLATE(B8741, ""fr"", ""en"")"),"Top style")</f>
        <v>Top style</v>
      </c>
    </row>
    <row r="8742">
      <c r="A8742" s="1">
        <v>5.0</v>
      </c>
      <c r="B8742" s="1" t="s">
        <v>8615</v>
      </c>
      <c r="C8742" t="str">
        <f>IFERROR(__xludf.DUMMYFUNCTION("GOOGLETRANSLATE(B8742, ""fr"", ""en"")"),"Perfect!!!!!! Perfect!!!!!!")</f>
        <v>Perfect!!!!!! Perfect!!!!!!</v>
      </c>
    </row>
    <row r="8743">
      <c r="A8743" s="1">
        <v>5.0</v>
      </c>
      <c r="B8743" s="1" t="s">
        <v>8616</v>
      </c>
      <c r="C8743" t="str">
        <f>IFERROR(__xludf.DUMMYFUNCTION("GOOGLETRANSLATE(B8743, ""fr"", ""en"")"),"Lovely This brush is really nice to use. It stimulates the scalp, deep dish and does not make knots! I was skeptical but I recommend!")</f>
        <v>Lovely This brush is really nice to use. It stimulates the scalp, deep dish and does not make knots! I was skeptical but I recommend!</v>
      </c>
    </row>
    <row r="8744">
      <c r="A8744" s="1">
        <v>2.0</v>
      </c>
      <c r="B8744" s="1" t="s">
        <v>8617</v>
      </c>
      <c r="C8744" t="str">
        <f>IFERROR(__xludf.DUMMYFUNCTION("GOOGLETRANSLATE(B8744, ""fr"", ""en"")"),"Not for my Baby One told me that of course this bottle but, outs thee different sound. My daughter exclusively breastfeed from birth do not like.")</f>
        <v>Not for my Baby One told me that of course this bottle but, outs thee different sound. My daughter exclusively breastfeed from birth do not like.</v>
      </c>
    </row>
    <row r="8745">
      <c r="A8745" s="1">
        <v>1.0</v>
      </c>
      <c r="B8745" s="1" t="s">
        <v>8618</v>
      </c>
      <c r="C8745" t="str">
        <f>IFERROR(__xludf.DUMMYFUNCTION("GOOGLETRANSLATE(B8745, ""fr"", ""en"")"),"Uncomfortable and bad sound on the phone I'm very surprised comments ... Headsets are large, uncomfortable and do not take well when doing the Running. I bought it for sport and work, certainly the sound is good, but how to keep more than 30 minutes witho"&amp;"ut feeling to have a potato in the ear. Moreover, telephone conversation, we hear bad. The box is pretty, easy connection to the phone, but it is useless if the rest does not follow.")</f>
        <v>Uncomfortable and bad sound on the phone I'm very surprised comments ... Headsets are large, uncomfortable and do not take well when doing the Running. I bought it for sport and work, certainly the sound is good, but how to keep more than 30 minutes without feeling to have a potato in the ear. Moreover, telephone conversation, we hear bad. The box is pretty, easy connection to the phone, but it is useless if the rest does not follow.</v>
      </c>
    </row>
    <row r="8746">
      <c r="A8746" s="1">
        <v>1.0</v>
      </c>
      <c r="B8746" s="1" t="s">
        <v>8619</v>
      </c>
      <c r="C8746" t="str">
        <f>IFERROR(__xludf.DUMMYFUNCTION("GOOGLETRANSLATE(B8746, ""fr"", ""en"")"),"Quality not there not top quality, slightly unstuck sole after 2 days of use. Also this pair shoes too small. Allow one size bigger. I had a pair that I flew in my service she was 10000 times better. So disappointed with this purchase.")</f>
        <v>Quality not there not top quality, slightly unstuck sole after 2 days of use. Also this pair shoes too small. Allow one size bigger. I had a pair that I flew in my service she was 10000 times better. So disappointed with this purchase.</v>
      </c>
    </row>
    <row r="8747">
      <c r="A8747" s="1">
        <v>3.0</v>
      </c>
      <c r="B8747" s="1" t="s">
        <v>8620</v>
      </c>
      <c r="C8747" t="str">
        <f>IFERROR(__xludf.DUMMYFUNCTION("GOOGLETRANSLATE(B8747, ""fr"", ""en"")"),"Small encyclopedia User too young (4 years) to enjoy")</f>
        <v>Small encyclopedia User too young (4 years) to enjoy</v>
      </c>
    </row>
    <row r="8748">
      <c r="A8748" s="1">
        <v>4.0</v>
      </c>
      <c r="B8748" s="1" t="s">
        <v>8621</v>
      </c>
      <c r="C8748" t="str">
        <f>IFERROR(__xludf.DUMMYFUNCTION("GOOGLETRANSLATE(B8748, ""fr"", ""en"")"),"Good solid brush, which cleans well my bottle of Mam brand. The small brush to clean the teats is not practical, I feel it cleans not much.")</f>
        <v>Good solid brush, which cleans well my bottle of Mam brand. The small brush to clean the teats is not practical, I feel it cleans not much.</v>
      </c>
    </row>
    <row r="8749">
      <c r="A8749" s="1">
        <v>4.0</v>
      </c>
      <c r="B8749" s="1" t="s">
        <v>8622</v>
      </c>
      <c r="C8749" t="str">
        <f>IFERROR(__xludf.DUMMYFUNCTION("GOOGLETRANSLATE(B8749, ""fr"", ""en"")"),"Very Good Very nice sneakers thin and discreet. I took them in size 43 for my husband who usually shoe size 42 and a half and it's perfect. I recommend this article")</f>
        <v>Very Good Very nice sneakers thin and discreet. I took them in size 43 for my husband who usually shoe size 42 and a half and it's perfect. I recommend this article</v>
      </c>
    </row>
    <row r="8750">
      <c r="A8750" s="1">
        <v>4.0</v>
      </c>
      <c r="B8750" s="1" t="s">
        <v>8623</v>
      </c>
      <c r="C8750" t="str">
        <f>IFERROR(__xludf.DUMMYFUNCTION("GOOGLETRANSLATE(B8750, ""fr"", ""en"")"),"Headphones In-Ear product well packaged, sound and very correct statement Prices")</f>
        <v>Headphones In-Ear product well packaged, sound and very correct statement Prices</v>
      </c>
    </row>
    <row r="8751">
      <c r="A8751" s="1">
        <v>4.0</v>
      </c>
      <c r="B8751" s="1" t="s">
        <v>8624</v>
      </c>
      <c r="C8751" t="str">
        <f>IFERROR(__xludf.DUMMYFUNCTION("GOOGLETRANSLATE(B8751, ""fr"", ""en"")"),"Cool Perfect nothing wrong I wore it for 5 months now surper!")</f>
        <v>Cool Perfect nothing wrong I wore it for 5 months now surper!</v>
      </c>
    </row>
    <row r="8752">
      <c r="A8752" s="1">
        <v>5.0</v>
      </c>
      <c r="B8752" s="1" t="s">
        <v>8625</v>
      </c>
      <c r="C8752" t="str">
        <f>IFERROR(__xludf.DUMMYFUNCTION("GOOGLETRANSLATE(B8752, ""fr"", ""en"")"),"Finally solidity After many pairs of thong and bought a lot of disappointment, I finally found a solid pair. I am very satisfied and I recommended. Sometimes you have to take the brand, even for simple everyday objects, for the quality.")</f>
        <v>Finally solidity After many pairs of thong and bought a lot of disappointment, I finally found a solid pair. I am very satisfied and I recommended. Sometimes you have to take the brand, even for simple everyday objects, for the quality.</v>
      </c>
    </row>
    <row r="8753">
      <c r="A8753" s="1">
        <v>5.0</v>
      </c>
      <c r="B8753" s="1" t="s">
        <v>8626</v>
      </c>
      <c r="C8753" t="str">
        <f>IFERROR(__xludf.DUMMYFUNCTION("GOOGLETRANSLATE(B8753, ""fr"", ""en"")"),"Offered in superb Christmas gift for my 7 year old daughter, product quality very good, both on the product's physical appearance, pleasant to wear as cot3 sound quality. You can buy eyes closed.")</f>
        <v>Offered in superb Christmas gift for my 7 year old daughter, product quality very good, both on the product's physical appearance, pleasant to wear as cot3 sound quality. You can buy eyes closed.</v>
      </c>
    </row>
    <row r="8754">
      <c r="A8754" s="1">
        <v>5.0</v>
      </c>
      <c r="B8754" s="1" t="s">
        <v>8627</v>
      </c>
      <c r="C8754" t="str">
        <f>IFERROR(__xludf.DUMMYFUNCTION("GOOGLETRANSLATE(B8754, ""fr"", ""en"")"),"Rebecca I vien to receive 2 May the day of my birthday she is even more beautiful than the pictures ///////// already here near me I aue 1 ais finger has not she bougée is wonderful")</f>
        <v>Rebecca I vien to receive 2 May the day of my birthday she is even more beautiful than the pictures ///////// already here near me I aue 1 ais finger has not she bougée is wonderful</v>
      </c>
    </row>
    <row r="8755">
      <c r="A8755" s="1">
        <v>5.0</v>
      </c>
      <c r="B8755" s="1" t="s">
        <v>8628</v>
      </c>
      <c r="C8755" t="str">
        <f>IFERROR(__xludf.DUMMYFUNCTION("GOOGLETRANSLATE(B8755, ""fr"", ""en"")"),"Perfect Ordered for my Avent baby bottles. Fully compatible and exactly the same as that of Philips. The only difference the price")</f>
        <v>Perfect Ordered for my Avent baby bottles. Fully compatible and exactly the same as that of Philips. The only difference the price</v>
      </c>
    </row>
    <row r="8756">
      <c r="A8756" s="1">
        <v>5.0</v>
      </c>
      <c r="B8756" s="1" t="s">
        <v>8629</v>
      </c>
      <c r="C8756" t="str">
        <f>IFERROR(__xludf.DUMMYFUNCTION("GOOGLETRANSLATE(B8756, ""fr"", ""en"")"),"Cool! Great!")</f>
        <v>Cool! Great!</v>
      </c>
    </row>
    <row r="8757">
      <c r="A8757" s="1">
        <v>5.0</v>
      </c>
      <c r="B8757" s="1" t="s">
        <v>8630</v>
      </c>
      <c r="C8757" t="str">
        <f>IFERROR(__xludf.DUMMYFUNCTION("GOOGLETRANSLATE(B8757, ""fr"", ""en"")"),"Very good buy The product is entirely my expectations. These shoes are not very heavy to wear and provide maximum security at foot at the ankle.")</f>
        <v>Very good buy The product is entirely my expectations. These shoes are not very heavy to wear and provide maximum security at foot at the ankle.</v>
      </c>
    </row>
    <row r="8758">
      <c r="A8758" s="1">
        <v>5.0</v>
      </c>
      <c r="B8758" s="1" t="s">
        <v>8631</v>
      </c>
      <c r="C8758" t="str">
        <f>IFERROR(__xludf.DUMMYFUNCTION("GOOGLETRANSLATE(B8758, ""fr"", ""en"")"),"comfortable comfortable")</f>
        <v>comfortable comfortable</v>
      </c>
    </row>
    <row r="8759">
      <c r="A8759" s="1">
        <v>5.0</v>
      </c>
      <c r="B8759" s="1" t="s">
        <v>8632</v>
      </c>
      <c r="C8759" t="str">
        <f>IFERROR(__xludf.DUMMYFUNCTION("GOOGLETRANSLATE(B8759, ""fr"", ""en"")"),"Very nice item very nice article")</f>
        <v>Very nice item very nice article</v>
      </c>
    </row>
    <row r="8760">
      <c r="A8760" s="1">
        <v>5.0</v>
      </c>
      <c r="B8760" s="1" t="s">
        <v>8633</v>
      </c>
      <c r="C8760" t="str">
        <f>IFERROR(__xludf.DUMMYFUNCTION("GOOGLETRANSLATE(B8760, ""fr"", ""en"")"),"Good It's good :)")</f>
        <v>Good It's good :)</v>
      </c>
    </row>
    <row r="8761">
      <c r="A8761" s="1">
        <v>5.0</v>
      </c>
      <c r="B8761" s="1" t="s">
        <v>8634</v>
      </c>
      <c r="C8761" t="str">
        <f>IFERROR(__xludf.DUMMYFUNCTION("GOOGLETRANSLATE(B8761, ""fr"", ""en"")"),"Made entirely his work really top, I was looking for a light alarm clock to test soft awakenings and this is the case the light is best and also serves as mood light with many colors I recommend if you are looking for a versatile light alarm clock!")</f>
        <v>Made entirely his work really top, I was looking for a light alarm clock to test soft awakenings and this is the case the light is best and also serves as mood light with many colors I recommend if you are looking for a versatile light alarm clock!</v>
      </c>
    </row>
    <row r="8762">
      <c r="A8762" s="1">
        <v>5.0</v>
      </c>
      <c r="B8762" s="1" t="s">
        <v>8635</v>
      </c>
      <c r="C8762" t="str">
        <f>IFERROR(__xludf.DUMMYFUNCTION("GOOGLETRANSLATE(B8762, ""fr"", ""en"")"),"Perfect stable and non-slip This is the second I bought and I'm still happy. From the right height there was a front of the sink of the bathroom and the new left in the toilet because my 3 year old son is about to release the film to go directly to the bi"&amp;"g toilet (it aimepas the pot). Anyway my son love it because it really allows him to do as adults. And law I am reassured because it is really anti slip on top despite splashing water and also on the floor supports.")</f>
        <v>Perfect stable and non-slip This is the second I bought and I'm still happy. From the right height there was a front of the sink of the bathroom and the new left in the toilet because my 3 year old son is about to release the film to go directly to the big toilet (it aimepas the pot). Anyway my son love it because it really allows him to do as adults. And law I am reassured because it is really anti slip on top despite splashing water and also on the floor supports.</v>
      </c>
    </row>
    <row r="8763">
      <c r="A8763" s="1">
        <v>5.0</v>
      </c>
      <c r="B8763" s="1" t="s">
        <v>8636</v>
      </c>
      <c r="C8763" t="str">
        <f>IFERROR(__xludf.DUMMYFUNCTION("GOOGLETRANSLATE(B8763, ""fr"", ""en"")"),"Defective but thank you Amazon! For now I have ordered that must be defective .. unpleasant noise in the right ear and battery that ignores the day. J expects to receive another peer (same model) to blacklist or not this brand. Edit: No problems with the "&amp;"new pair received .. Thank you Amazon to offer this opportunity!")</f>
        <v>Defective but thank you Amazon! For now I have ordered that must be defective .. unpleasant noise in the right ear and battery that ignores the day. J expects to receive another peer (same model) to blacklist or not this brand. Edit: No problems with the new pair received .. Thank you Amazon to offer this opportunity!</v>
      </c>
    </row>
    <row r="8764">
      <c r="A8764" s="1">
        <v>5.0</v>
      </c>
      <c r="B8764" s="1" t="s">
        <v>8637</v>
      </c>
      <c r="C8764" t="str">
        <f>IFERROR(__xludf.DUMMYFUNCTION("GOOGLETRANSLATE(B8764, ""fr"", ""en"")"),"Would recommend unreservedly use to wire my rear speakers. top sound quality (not heard of difference from other cable) rather thick sheath but flexible enough to be easily bent.")</f>
        <v>Would recommend unreservedly use to wire my rear speakers. top sound quality (not heard of difference from other cable) rather thick sheath but flexible enough to be easily bent.</v>
      </c>
    </row>
    <row r="8765">
      <c r="A8765" s="1">
        <v>5.0</v>
      </c>
      <c r="B8765" s="1" t="s">
        <v>8638</v>
      </c>
      <c r="C8765" t="str">
        <f>IFERROR(__xludf.DUMMYFUNCTION("GOOGLETRANSLATE(B8765, ""fr"", ""en"")"),"Beautiful bag Beautiful large bag and with a lot of space. I advise")</f>
        <v>Beautiful bag Beautiful large bag and with a lot of space. I advise</v>
      </c>
    </row>
    <row r="8766">
      <c r="A8766" s="1">
        <v>5.0</v>
      </c>
      <c r="B8766" s="1" t="s">
        <v>8639</v>
      </c>
      <c r="C8766" t="str">
        <f>IFERROR(__xludf.DUMMYFUNCTION("GOOGLETRANSLATE(B8766, ""fr"", ""en"")"),"Superb superb headphones, as the sound quality on the plastic product. suitable noise reduction, less than the Bose, but the sound quality is better. I listen to jazz, reggae, rock, anything goes, its super clear. top")</f>
        <v>Superb superb headphones, as the sound quality on the plastic product. suitable noise reduction, less than the Bose, but the sound quality is better. I listen to jazz, reggae, rock, anything goes, its super clear. top</v>
      </c>
    </row>
    <row r="8767">
      <c r="A8767" s="1">
        <v>2.0</v>
      </c>
      <c r="B8767" s="1" t="s">
        <v>8640</v>
      </c>
      <c r="C8767" t="str">
        <f>IFERROR(__xludf.DUMMYFUNCTION("GOOGLETRANSLATE(B8767, ""fr"", ""en"")"),"Pretty bola I have not received one ordered but it was a gift and I have not had time to return. Nice Bola but inevitably disappointed because it was not the one I ordered.")</f>
        <v>Pretty bola I have not received one ordered but it was a gift and I have not had time to return. Nice Bola but inevitably disappointed because it was not the one I ordered.</v>
      </c>
    </row>
    <row r="8768">
      <c r="A8768" s="1">
        <v>1.0</v>
      </c>
      <c r="B8768" s="1" t="s">
        <v>8641</v>
      </c>
      <c r="C8768" t="str">
        <f>IFERROR(__xludf.DUMMYFUNCTION("GOOGLETRANSLATE(B8768, ""fr"", ""en"")"),"The chain broke easily gave Him as a gift. Too bad the chain is broken so soon after buying. Seems too fragile.")</f>
        <v>The chain broke easily gave Him as a gift. Too bad the chain is broken so soon after buying. Seems too fragile.</v>
      </c>
    </row>
    <row r="8769">
      <c r="A8769" s="1">
        <v>3.0</v>
      </c>
      <c r="B8769" s="1" t="s">
        <v>8642</v>
      </c>
      <c r="C8769" t="str">
        <f>IFERROR(__xludf.DUMMYFUNCTION("GOOGLETRANSLATE(B8769, ""fr"", ""en"")"),"Okay Socks conform to the photo and match what my son was looking for. The color is a classic and it's perfect.")</f>
        <v>Okay Socks conform to the photo and match what my son was looking for. The color is a classic and it's perfect.</v>
      </c>
    </row>
    <row r="8770">
      <c r="A8770" s="1">
        <v>3.0</v>
      </c>
      <c r="B8770" s="1" t="s">
        <v>8643</v>
      </c>
      <c r="C8770" t="str">
        <f>IFERROR(__xludf.DUMMYFUNCTION("GOOGLETRANSLATE(B8770, ""fr"", ""en"")"),"Elodie Good product, however it is a bit heavy to carry on shoulders")</f>
        <v>Elodie Good product, however it is a bit heavy to carry on shoulders</v>
      </c>
    </row>
    <row r="8771">
      <c r="A8771" s="1">
        <v>4.0</v>
      </c>
      <c r="B8771" s="1" t="s">
        <v>8644</v>
      </c>
      <c r="C8771" t="str">
        <f>IFERROR(__xludf.DUMMYFUNCTION("GOOGLETRANSLATE(B8771, ""fr"", ""en"")"),"Satisfactory Ordered on Monday and received on Thursday, visited the great wood. Strong smell, provide a good mask during use (and gloves)")</f>
        <v>Satisfactory Ordered on Monday and received on Thursday, visited the great wood. Strong smell, provide a good mask during use (and gloves)</v>
      </c>
    </row>
    <row r="8772">
      <c r="A8772" s="1">
        <v>4.0</v>
      </c>
      <c r="B8772" s="1" t="s">
        <v>8645</v>
      </c>
      <c r="C8772" t="str">
        <f>IFERROR(__xludf.DUMMYFUNCTION("GOOGLETRANSLATE(B8772, ""fr"", ""en"")"),"that the gift arrives on time Gift")</f>
        <v>that the gift arrives on time Gift</v>
      </c>
    </row>
    <row r="8773">
      <c r="A8773" s="1">
        <v>4.0</v>
      </c>
      <c r="B8773" s="1" t="s">
        <v>8646</v>
      </c>
      <c r="C8773" t="str">
        <f>IFERROR(__xludf.DUMMYFUNCTION("GOOGLETRANSLATE(B8773, ""fr"", ""en"")"),"Look extra great product, great, quick look, the only drawback that makes him a star predre is the vagueness of the thermostat for water temperature")</f>
        <v>Look extra great product, great, quick look, the only drawback that makes him a star predre is the vagueness of the thermostat for water temperature</v>
      </c>
    </row>
    <row r="8774">
      <c r="A8774" s="1">
        <v>4.0</v>
      </c>
      <c r="B8774" s="1" t="s">
        <v>8647</v>
      </c>
      <c r="C8774" t="str">
        <f>IFERROR(__xludf.DUMMYFUNCTION("GOOGLETRANSLATE(B8774, ""fr"", ""en"")"),"Very useful Very useful to easily transport the baby food. I recommend it. Very attractive price on the site.")</f>
        <v>Very useful Very useful to easily transport the baby food. I recommend it. Very attractive price on the site.</v>
      </c>
    </row>
    <row r="8775">
      <c r="A8775" s="1">
        <v>5.0</v>
      </c>
      <c r="B8775" s="1" t="s">
        <v>1547</v>
      </c>
      <c r="C8775" t="str">
        <f>IFERROR(__xludf.DUMMYFUNCTION("GOOGLETRANSLATE(B8775, ""fr"", ""en"")"),"Ras Ras")</f>
        <v>Ras Ras</v>
      </c>
    </row>
    <row r="8776">
      <c r="A8776" s="1">
        <v>5.0</v>
      </c>
      <c r="B8776" s="1" t="s">
        <v>8648</v>
      </c>
      <c r="C8776" t="str">
        <f>IFERROR(__xludf.DUMMYFUNCTION("GOOGLETRANSLATE(B8776, ""fr"", ""en"")"),"Its nice and clean I am very satisfied with this headset, I use it for over 4 months now without encountering problems. I was looking for a closed helmet and neutral to listen to my music at work. I do not have extensive experience with headphones, but I "&amp;"find the sound of that one very nice and clean. This helmet is a monitoring headphones, the bass is not suddenly too forward (which I personally like, but it is good to know if you like headphones with bass very present). Note also that this headset is su"&amp;"itable for small heads. Most trade helmets fit me too, but not that one =). It is also very light, it can keep for hours on the head without problems. In short, very happy with my purchase.")</f>
        <v>Its nice and clean I am very satisfied with this headset, I use it for over 4 months now without encountering problems. I was looking for a closed helmet and neutral to listen to my music at work. I do not have extensive experience with headphones, but I find the sound of that one very nice and clean. This helmet is a monitoring headphones, the bass is not suddenly too forward (which I personally like, but it is good to know if you like headphones with bass very present). Note also that this headset is suitable for small heads. Most trade helmets fit me too, but not that one =). It is also very light, it can keep for hours on the head without problems. In short, very happy with my purchase.</v>
      </c>
    </row>
    <row r="8777">
      <c r="A8777" s="1">
        <v>5.0</v>
      </c>
      <c r="B8777" s="1" t="s">
        <v>8649</v>
      </c>
      <c r="C8777" t="str">
        <f>IFERROR(__xludf.DUMMYFUNCTION("GOOGLETRANSLATE(B8777, ""fr"", ""en"")"),"Top Ras, everything matches, and delivery in 1 day. Perfect")</f>
        <v>Top Ras, everything matches, and delivery in 1 day. Perfect</v>
      </c>
    </row>
    <row r="8778">
      <c r="A8778" s="1">
        <v>5.0</v>
      </c>
      <c r="B8778" s="1" t="s">
        <v>8650</v>
      </c>
      <c r="C8778" t="str">
        <f>IFERROR(__xludf.DUMMYFUNCTION("GOOGLETRANSLATE(B8778, ""fr"", ""en"")"),"I love this perfect ranges very good value for money really good")</f>
        <v>I love this perfect ranges very good value for money really good</v>
      </c>
    </row>
    <row r="8779">
      <c r="A8779" s="1">
        <v>5.0</v>
      </c>
      <c r="B8779" s="1" t="s">
        <v>8651</v>
      </c>
      <c r="C8779" t="str">
        <f>IFERROR(__xludf.DUMMYFUNCTION("GOOGLETRANSLATE(B8779, ""fr"", ""en"")"),"Okay This product is very good. I put in a pump bottle lasts very long. I recommend it")</f>
        <v>Okay This product is very good. I put in a pump bottle lasts very long. I recommend it</v>
      </c>
    </row>
    <row r="8780">
      <c r="A8780" s="1">
        <v>5.0</v>
      </c>
      <c r="B8780" s="1" t="s">
        <v>8652</v>
      </c>
      <c r="C8780" t="str">
        <f>IFERROR(__xludf.DUMMYFUNCTION("GOOGLETRANSLATE(B8780, ""fr"", ""en"")"),"Very pretty satisfied that doing well")</f>
        <v>Very pretty satisfied that doing well</v>
      </c>
    </row>
    <row r="8781">
      <c r="A8781" s="1">
        <v>5.0</v>
      </c>
      <c r="B8781" s="1" t="s">
        <v>8653</v>
      </c>
      <c r="C8781" t="str">
        <f>IFERROR(__xludf.DUMMYFUNCTION("GOOGLETRANSLATE(B8781, ""fr"", ""en"")"),"Perfect I was afraid of the stability with my helmet but no big concern I recommend")</f>
        <v>Perfect I was afraid of the stability with my helmet but no big concern I recommend</v>
      </c>
    </row>
    <row r="8782">
      <c r="A8782" s="1">
        <v>5.0</v>
      </c>
      <c r="B8782" s="1" t="s">
        <v>8654</v>
      </c>
      <c r="C8782" t="str">
        <f>IFERROR(__xludf.DUMMYFUNCTION("GOOGLETRANSLATE(B8782, ""fr"", ""en"")"),"The article recommends, fast delivery")</f>
        <v>The article recommends, fast delivery</v>
      </c>
    </row>
    <row r="8783">
      <c r="A8783" s="1">
        <v>5.0</v>
      </c>
      <c r="B8783" s="1" t="s">
        <v>8655</v>
      </c>
      <c r="C8783" t="str">
        <f>IFERROR(__xludf.DUMMYFUNCTION("GOOGLETRANSLATE(B8783, ""fr"", ""en"")"),"Top Super cannons and very comfortable. I do not regret my choice.")</f>
        <v>Top Super cannons and very comfortable. I do not regret my choice.</v>
      </c>
    </row>
    <row r="8784">
      <c r="A8784" s="1">
        <v>5.0</v>
      </c>
      <c r="B8784" s="1" t="s">
        <v>8656</v>
      </c>
      <c r="C8784" t="str">
        <f>IFERROR(__xludf.DUMMYFUNCTION("GOOGLETRANSLATE(B8784, ""fr"", ""en"")"),"Fast shipping and comfort to the feet !!! To walk.")</f>
        <v>Fast shipping and comfort to the feet !!! To walk.</v>
      </c>
    </row>
    <row r="8785">
      <c r="A8785" s="1">
        <v>5.0</v>
      </c>
      <c r="B8785" s="1" t="s">
        <v>8657</v>
      </c>
      <c r="C8785" t="str">
        <f>IFERROR(__xludf.DUMMYFUNCTION("GOOGLETRANSLATE(B8785, ""fr"", ""en"")"),"East Meets description exactly what I expected")</f>
        <v>East Meets description exactly what I expected</v>
      </c>
    </row>
    <row r="8786">
      <c r="A8786" s="1">
        <v>5.0</v>
      </c>
      <c r="B8786" s="1" t="s">
        <v>8658</v>
      </c>
      <c r="C8786" t="str">
        <f>IFERROR(__xludf.DUMMYFUNCTION("GOOGLETRANSLATE(B8786, ""fr"", ""en"")"),"Dehumidifier Rubson Very satisfied, there arises everywhere and it is not ugly it's done with a beautiful plastic it can really pass as a decorative element. Send quickly, I do not regret my purchase.")</f>
        <v>Dehumidifier Rubson Very satisfied, there arises everywhere and it is not ugly it's done with a beautiful plastic it can really pass as a decorative element. Send quickly, I do not regret my purchase.</v>
      </c>
    </row>
    <row r="8787">
      <c r="A8787" s="1">
        <v>5.0</v>
      </c>
      <c r="B8787" s="1" t="s">
        <v>8659</v>
      </c>
      <c r="C8787" t="str">
        <f>IFERROR(__xludf.DUMMYFUNCTION("GOOGLETRANSLATE(B8787, ""fr"", ""en"")"),"Model Stylish I liked the shape and color.")</f>
        <v>Model Stylish I liked the shape and color.</v>
      </c>
    </row>
    <row r="8788">
      <c r="A8788" s="1">
        <v>5.0</v>
      </c>
      <c r="B8788" s="1" t="s">
        <v>8660</v>
      </c>
      <c r="C8788" t="str">
        <f>IFERROR(__xludf.DUMMYFUNCTION("GOOGLETRANSLATE(B8788, ""fr"", ""en"")"),"On top Simply huge. Around 4000 sticker. It is very well pre-cut and very good quality. Several choices of sizes, shapes and color. Enough to have a good time with children")</f>
        <v>On top Simply huge. Around 4000 sticker. It is very well pre-cut and very good quality. Several choices of sizes, shapes and color. Enough to have a good time with children</v>
      </c>
    </row>
    <row r="8789">
      <c r="A8789" s="1">
        <v>5.0</v>
      </c>
      <c r="B8789" s="1" t="s">
        <v>8661</v>
      </c>
      <c r="C8789" t="str">
        <f>IFERROR(__xludf.DUMMYFUNCTION("GOOGLETRANSLATE(B8789, ""fr"", ""en"")"),"Shoes good product very nice, convenient to p'age with pebbles or rocks comfortable.")</f>
        <v>Shoes good product very nice, convenient to p'age with pebbles or rocks comfortable.</v>
      </c>
    </row>
    <row r="8790">
      <c r="A8790" s="1">
        <v>2.0</v>
      </c>
      <c r="B8790" s="1" t="s">
        <v>8662</v>
      </c>
      <c r="C8790" t="str">
        <f>IFERROR(__xludf.DUMMYFUNCTION("GOOGLETRANSLATE(B8790, ""fr"", ""en"")"),"do not keep very quickly broken belt, a first for a bag purchased, now the zipper begins to malfunction! Ok for appearances, nickel, but TPAS tine of all time! I even discourages very careful people (no worries with suir by cons)")</f>
        <v>do not keep very quickly broken belt, a first for a bag purchased, now the zipper begins to malfunction! Ok for appearances, nickel, but TPAS tine of all time! I even discourages very careful people (no worries with suir by cons)</v>
      </c>
    </row>
    <row r="8791">
      <c r="A8791" s="1">
        <v>1.0</v>
      </c>
      <c r="B8791" s="1" t="s">
        <v>8663</v>
      </c>
      <c r="C8791" t="str">
        <f>IFERROR(__xludf.DUMMYFUNCTION("GOOGLETRANSLATE(B8791, ""fr"", ""en"")"),"Very bad product arrived defective device, the oreilette left did not work ... Very disappointed by this product. Do not recommend this product.")</f>
        <v>Very bad product arrived defective device, the oreilette left did not work ... Very disappointed by this product. Do not recommend this product.</v>
      </c>
    </row>
    <row r="8792">
      <c r="A8792" s="1">
        <v>1.0</v>
      </c>
      <c r="B8792" s="1" t="s">
        <v>8664</v>
      </c>
      <c r="C8792" t="str">
        <f>IFERROR(__xludf.DUMMYFUNCTION("GOOGLETRANSLATE(B8792, ""fr"", ""en"")"),"Battery problem, less than 3 hours of rest in autonomy Just After 3 weeks of use the watch only held two hours of battery. Now more opportunity to return.")</f>
        <v>Battery problem, less than 3 hours of rest in autonomy Just After 3 weeks of use the watch only held two hours of battery. Now more opportunity to return.</v>
      </c>
    </row>
    <row r="8793">
      <c r="A8793" s="1">
        <v>3.0</v>
      </c>
      <c r="B8793" s="1" t="s">
        <v>8665</v>
      </c>
      <c r="C8793" t="str">
        <f>IFERROR(__xludf.DUMMYFUNCTION("GOOGLETRANSLATE(B8793, ""fr"", ""en"")"),"Down after after 4 months Jolie shows, but already down, blank screen after 4 months uncommon for a Casio, I wonder if this is not an infringement and of course no guarantee on the part of Amazon the next will be purchased in store for barely more expensi"&amp;"ve and at least a true guarantee of 1 year.")</f>
        <v>Down after after 4 months Jolie shows, but already down, blank screen after 4 months uncommon for a Casio, I wonder if this is not an infringement and of course no guarantee on the part of Amazon the next will be purchased in store for barely more expensive and at least a true guarantee of 1 year.</v>
      </c>
    </row>
    <row r="8794">
      <c r="A8794" s="1">
        <v>3.0</v>
      </c>
      <c r="B8794" s="1" t="s">
        <v>8666</v>
      </c>
      <c r="C8794" t="str">
        <f>IFERROR(__xludf.DUMMYFUNCTION("GOOGLETRANSLATE(B8794, ""fr"", ""en"")"),"just good quality received within the time")</f>
        <v>just good quality received within the time</v>
      </c>
    </row>
    <row r="8795">
      <c r="A8795" s="1">
        <v>4.0</v>
      </c>
      <c r="B8795" s="1" t="s">
        <v>8667</v>
      </c>
      <c r="C8795" t="str">
        <f>IFERROR(__xludf.DUMMYFUNCTION("GOOGLETRANSLATE(B8795, ""fr"", ""en"")"),"Top Very good bras, the quality is there. I had not used the frameless but finally I am very happy. The look is quite nice (sports). Nevertheless, I withdrew a star for the fact that they are washable by hand. I will test machine but for me all should be "&amp;"able to pass machine for your convenience!")</f>
        <v>Top Very good bras, the quality is there. I had not used the frameless but finally I am very happy. The look is quite nice (sports). Nevertheless, I withdrew a star for the fact that they are washable by hand. I will test machine but for me all should be able to pass machine for your convenience!</v>
      </c>
    </row>
    <row r="8796">
      <c r="A8796" s="1">
        <v>4.0</v>
      </c>
      <c r="B8796" s="1" t="s">
        <v>8668</v>
      </c>
      <c r="C8796" t="str">
        <f>IFERROR(__xludf.DUMMYFUNCTION("GOOGLETRANSLATE(B8796, ""fr"", ""en"")"),"OK OK for the price")</f>
        <v>OK OK for the price</v>
      </c>
    </row>
    <row r="8797">
      <c r="A8797" s="1">
        <v>4.0</v>
      </c>
      <c r="B8797" s="1" t="s">
        <v>8669</v>
      </c>
      <c r="C8797" t="str">
        <f>IFERROR(__xludf.DUMMYFUNCTION("GOOGLETRANSLATE(B8797, ""fr"", ""en"")"),"Practice Super solid, practical and fits perfectly to our trash ... I recommend this product ... No damage problem ...")</f>
        <v>Practice Super solid, practical and fits perfectly to our trash ... I recommend this product ... No damage problem ...</v>
      </c>
    </row>
    <row r="8798">
      <c r="A8798" s="1">
        <v>4.0</v>
      </c>
      <c r="B8798" s="1" t="s">
        <v>8670</v>
      </c>
      <c r="C8798" t="str">
        <f>IFERROR(__xludf.DUMMYFUNCTION("GOOGLETRANSLATE(B8798, ""fr"", ""en"")"),"Good product dark blue color on the back injury that will not be mentioned in the features The pictures suggest that it's black ...")</f>
        <v>Good product dark blue color on the back injury that will not be mentioned in the features The pictures suggest that it's black ...</v>
      </c>
    </row>
    <row r="8799">
      <c r="A8799" s="1">
        <v>5.0</v>
      </c>
      <c r="B8799" s="1" t="s">
        <v>8671</v>
      </c>
      <c r="C8799" t="str">
        <f>IFERROR(__xludf.DUMMYFUNCTION("GOOGLETRANSLATE(B8799, ""fr"", ""en"")"),"Gift Idea This is a very beautiful necklace and I like it a lot. The design is really good. It is very cute and the diamond shines above and looks very bright. And as it is made of silver and of good quality, it is also a great gift for your friends.")</f>
        <v>Gift Idea This is a very beautiful necklace and I like it a lot. The design is really good. It is very cute and the diamond shines above and looks very bright. And as it is made of silver and of good quality, it is also a great gift for your friends.</v>
      </c>
    </row>
    <row r="8800">
      <c r="A8800" s="1">
        <v>5.0</v>
      </c>
      <c r="B8800" s="1" t="s">
        <v>8672</v>
      </c>
      <c r="C8800" t="str">
        <f>IFERROR(__xludf.DUMMYFUNCTION("GOOGLETRANSLATE(B8800, ""fr"", ""en"")"),"Small and discreet Small and discreet, the colors are soothing. Plus, the sleep mode, more light and a light mist spreads. I recommand it")</f>
        <v>Small and discreet Small and discreet, the colors are soothing. Plus, the sleep mode, more light and a light mist spreads. I recommand it</v>
      </c>
    </row>
    <row r="8801">
      <c r="A8801" s="1">
        <v>5.0</v>
      </c>
      <c r="B8801" s="1" t="s">
        <v>8673</v>
      </c>
      <c r="C8801" t="str">
        <f>IFERROR(__xludf.DUMMYFUNCTION("GOOGLETRANSLATE(B8801, ""fr"", ""en"")"),"Timberland This is really perfect shoe fits perfectly in the photo I'm really disappointed I advise against as it is by suede he would like best waterproof")</f>
        <v>Timberland This is really perfect shoe fits perfectly in the photo I'm really disappointed I advise against as it is by suede he would like best waterproof</v>
      </c>
    </row>
    <row r="8802">
      <c r="A8802" s="1">
        <v>5.0</v>
      </c>
      <c r="B8802" s="1" t="s">
        <v>8674</v>
      </c>
      <c r="C8802" t="str">
        <f>IFERROR(__xludf.DUMMYFUNCTION("GOOGLETRANSLATE(B8802, ""fr"", ""en"")"),"Warm, soft and comfortable to wish Super quality")</f>
        <v>Warm, soft and comfortable to wish Super quality</v>
      </c>
    </row>
    <row r="8803">
      <c r="A8803" s="1">
        <v>5.0</v>
      </c>
      <c r="B8803" s="1" t="s">
        <v>8675</v>
      </c>
      <c r="C8803" t="str">
        <f>IFERROR(__xludf.DUMMYFUNCTION("GOOGLETRANSLATE(B8803, ""fr"", ""en"")"),"Channel Really a gift that really pleases designer jewelry really very unfortunate that there is more on the website")</f>
        <v>Channel Really a gift that really pleases designer jewelry really very unfortunate that there is more on the website</v>
      </c>
    </row>
    <row r="8804">
      <c r="A8804" s="1">
        <v>5.0</v>
      </c>
      <c r="B8804" s="1" t="s">
        <v>8676</v>
      </c>
      <c r="C8804" t="str">
        <f>IFERROR(__xludf.DUMMYFUNCTION("GOOGLETRANSLATE(B8804, ""fr"", ""en"")"),"Radio alarm clock elegant, clever offering you a great sunset! I fall asleep with the sun, or at least the lighting effect from the sun radio alarm system and much less traumatic even at 6am. Easy installation and French manual. It is an alarm clock that "&amp;"wakes you, it's not fun, but it can wake you with music, sounds of nature, light that intensifies the closer to the witching hour. 2 alarm clocks can be programmed to those who should have trouble getting out of bed Radio works great with saving favorite "&amp;"stations. A small + very convenient USB connection to charge the laptop. Works with a button battery. In short, a clock radio which I am very satisfied!")</f>
        <v>Radio alarm clock elegant, clever offering you a great sunset! I fall asleep with the sun, or at least the lighting effect from the sun radio alarm system and much less traumatic even at 6am. Easy installation and French manual. It is an alarm clock that wakes you, it's not fun, but it can wake you with music, sounds of nature, light that intensifies the closer to the witching hour. 2 alarm clocks can be programmed to those who should have trouble getting out of bed Radio works great with saving favorite stations. A small + very convenient USB connection to charge the laptop. Works with a button battery. In short, a clock radio which I am very satisfied!</v>
      </c>
    </row>
    <row r="8805">
      <c r="A8805" s="1">
        <v>5.0</v>
      </c>
      <c r="B8805" s="1" t="s">
        <v>8677</v>
      </c>
      <c r="C8805" t="str">
        <f>IFERROR(__xludf.DUMMYFUNCTION("GOOGLETRANSLATE(B8805, ""fr"", ""en"")"),"Perfect Same as the original product, delivered with pumps, no complaints, perfect. I could refurbish my watch which has almost 10 years. The size is 22 cm")</f>
        <v>Perfect Same as the original product, delivered with pumps, no complaints, perfect. I could refurbish my watch which has almost 10 years. The size is 22 cm</v>
      </c>
    </row>
    <row r="8806">
      <c r="A8806" s="1">
        <v>5.0</v>
      </c>
      <c r="B8806" s="1" t="s">
        <v>8678</v>
      </c>
      <c r="C8806" t="str">
        <f>IFERROR(__xludf.DUMMYFUNCTION("GOOGLETRANSLATE(B8806, ""fr"", ""en"")"),"Good bikes! Beautiful quality. Effective parasite zero shielding. The cable length is just right for a pedal-board. Why go spend more elsewhere?")</f>
        <v>Good bikes! Beautiful quality. Effective parasite zero shielding. The cable length is just right for a pedal-board. Why go spend more elsewhere?</v>
      </c>
    </row>
    <row r="8807">
      <c r="A8807" s="1">
        <v>5.0</v>
      </c>
      <c r="B8807" s="1" t="s">
        <v>8679</v>
      </c>
      <c r="C8807" t="str">
        <f>IFERROR(__xludf.DUMMYFUNCTION("GOOGLETRANSLATE(B8807, ""fr"", ""en"")"),"That's good cable copper. Just the right size to pass in the small clamp connector (not screw) of my amp. The 2.5 was too big ... Tested on 10m bous. Its Top with my Davis HERA 200 ... If bares well. Copper does not share in charpille as can be seen often"&amp;" on certain electric cable. And then I find it aesthetically nice copper color transparency of the sheath. I recommend.")</f>
        <v>That's good cable copper. Just the right size to pass in the small clamp connector (not screw) of my amp. The 2.5 was too big ... Tested on 10m bous. Its Top with my Davis HERA 200 ... If bares well. Copper does not share in charpille as can be seen often on certain electric cable. And then I find it aesthetically nice copper color transparency of the sheath. I recommend.</v>
      </c>
    </row>
    <row r="8808">
      <c r="A8808" s="1">
        <v>5.0</v>
      </c>
      <c r="B8808" s="1" t="s">
        <v>8680</v>
      </c>
      <c r="C8808" t="str">
        <f>IFERROR(__xludf.DUMMYFUNCTION("GOOGLETRANSLATE(B8808, ""fr"", ""en"")"),"Perfect Very practical, not very big helps to be easily taken anywhere and put the necessary amount of powder for large bottles. Received in blue.")</f>
        <v>Perfect Very practical, not very big helps to be easily taken anywhere and put the necessary amount of powder for large bottles. Received in blue.</v>
      </c>
    </row>
    <row r="8809">
      <c r="A8809" s="1">
        <v>5.0</v>
      </c>
      <c r="B8809" s="1" t="s">
        <v>8681</v>
      </c>
      <c r="C8809" t="str">
        <f>IFERROR(__xludf.DUMMYFUNCTION("GOOGLETRANSLATE(B8809, ""fr"", ""en"")"),"I recommend just the top they are quite thick as I wanted. Honestly I did not expect at all that quality, nothing to say, I recommend without hesitation.")</f>
        <v>I recommend just the top they are quite thick as I wanted. Honestly I did not expect at all that quality, nothing to say, I recommend without hesitation.</v>
      </c>
    </row>
    <row r="8810">
      <c r="A8810" s="1">
        <v>5.0</v>
      </c>
      <c r="B8810" s="1" t="s">
        <v>8682</v>
      </c>
      <c r="C8810" t="str">
        <f>IFERROR(__xludf.DUMMYFUNCTION("GOOGLETRANSLATE(B8810, ""fr"", ""en"")"),"Essential oils Fast delivery, product well packaged and protected against shocks. Inside there is a very pretty box, he peurrait perfectly suitable for a gift. One can feel a wonderful essential oils smell upon opening the box I put instead of about 6 dro"&amp;"ps in the diffuser &amp; nbsp;")</f>
        <v>Essential oils Fast delivery, product well packaged and protected against shocks. Inside there is a very pretty box, he peurrait perfectly suitable for a gift. One can feel a wonderful essential oils smell upon opening the box I put instead of about 6 drops in the diffuser &amp; nbsp;</v>
      </c>
    </row>
    <row r="8811">
      <c r="A8811" s="1">
        <v>5.0</v>
      </c>
      <c r="B8811" s="1" t="s">
        <v>8683</v>
      </c>
      <c r="C8811" t="str">
        <f>IFERROR(__xludf.DUMMYFUNCTION("GOOGLETRANSLATE(B8811, ""fr"", ""en"")"),"very practical hangers I bought these hangers because in travel hangers are hung on rods which are not removed and there are 12 for 3 people. So I have mine")</f>
        <v>very practical hangers I bought these hangers because in travel hangers are hung on rods which are not removed and there are 12 for 3 people. So I have mine</v>
      </c>
    </row>
    <row r="8812">
      <c r="A8812" s="1">
        <v>5.0</v>
      </c>
      <c r="B8812" s="1" t="s">
        <v>8684</v>
      </c>
      <c r="C8812" t="str">
        <f>IFERROR(__xludf.DUMMYFUNCTION("GOOGLETRANSLATE(B8812, ""fr"", ""en"")"),"Earphones KLIM hard to beat at this price level. Quality await pretty packaging you 5 pairs of different colors and diameters foams what more! for the price it really worth it I recommend eyes closed!")</f>
        <v>Earphones KLIM hard to beat at this price level. Quality await pretty packaging you 5 pairs of different colors and diameters foams what more! for the price it really worth it I recommend eyes closed!</v>
      </c>
    </row>
    <row r="8813">
      <c r="A8813" s="1">
        <v>5.0</v>
      </c>
      <c r="B8813" s="1" t="s">
        <v>8685</v>
      </c>
      <c r="C8813" t="str">
        <f>IFERROR(__xludf.DUMMYFUNCTION("GOOGLETRANSLATE(B8813, ""fr"", ""en"")"),"Good quality live the made in France and lively Charente, nice good quality shoes, to see through time wear")</f>
        <v>Good quality live the made in France and lively Charente, nice good quality shoes, to see through time wear</v>
      </c>
    </row>
    <row r="8814">
      <c r="A8814" s="1">
        <v>2.0</v>
      </c>
      <c r="B8814" s="1" t="s">
        <v>8686</v>
      </c>
      <c r="C8814" t="str">
        <f>IFERROR(__xludf.DUMMYFUNCTION("GOOGLETRANSLATE(B8814, ""fr"", ""en"")"),"Wrong size Watch your size! We must take a size more. I usually order the brand and size European and Brazilian size are different. However on Amazon, the conversion was made so far. Here I ordered my usual size 39 but they were too small, it would have t"&amp;"he size up")</f>
        <v>Wrong size Watch your size! We must take a size more. I usually order the brand and size European and Brazilian size are different. However on Amazon, the conversion was made so far. Here I ordered my usual size 39 but they were too small, it would have the size up</v>
      </c>
    </row>
    <row r="8815">
      <c r="A8815" s="1">
        <v>1.0</v>
      </c>
      <c r="B8815" s="1" t="s">
        <v>8687</v>
      </c>
      <c r="C8815" t="str">
        <f>IFERROR(__xludf.DUMMYFUNCTION("GOOGLETRANSLATE(B8815, ""fr"", ""en"")"),"Too small Commissioned in 37/38 36/37 received. Otherwise, flip flops friendly enough although uncomfortable even when trying. I much prefer the Havaianas thong.")</f>
        <v>Too small Commissioned in 37/38 36/37 received. Otherwise, flip flops friendly enough although uncomfortable even when trying. I much prefer the Havaianas thong.</v>
      </c>
    </row>
    <row r="8816">
      <c r="A8816" s="1">
        <v>1.0</v>
      </c>
      <c r="B8816" s="1" t="s">
        <v>8688</v>
      </c>
      <c r="C8816" t="str">
        <f>IFERROR(__xludf.DUMMYFUNCTION("GOOGLETRANSLATE(B8816, ""fr"", ""en"")"),"Less Very disappointed because the model is very low at the heel hold very model girl not any mixed")</f>
        <v>Less Very disappointed because the model is very low at the heel hold very model girl not any mixed</v>
      </c>
    </row>
    <row r="8817">
      <c r="A8817" s="1">
        <v>3.0</v>
      </c>
      <c r="B8817" s="1" t="s">
        <v>8689</v>
      </c>
      <c r="C8817" t="str">
        <f>IFERROR(__xludf.DUMMYFUNCTION("GOOGLETRANSLATE(B8817, ""fr"", ""en"")"),"Okay Good value")</f>
        <v>Okay Good value</v>
      </c>
    </row>
    <row r="8818">
      <c r="A8818" s="1">
        <v>4.0</v>
      </c>
      <c r="B8818" s="1" t="s">
        <v>8690</v>
      </c>
      <c r="C8818" t="str">
        <f>IFERROR(__xludf.DUMMYFUNCTION("GOOGLETRANSLATE(B8818, ""fr"", ""en"")"),"Good value I daily door. They are very light. The stems are slightly twisted, but it is only seen once worn and not related to metal allergy.")</f>
        <v>Good value I daily door. They are very light. The stems are slightly twisted, but it is only seen once worn and not related to metal allergy.</v>
      </c>
    </row>
    <row r="8819">
      <c r="A8819" s="1">
        <v>4.0</v>
      </c>
      <c r="B8819" s="1" t="s">
        <v>8691</v>
      </c>
      <c r="C8819" t="str">
        <f>IFERROR(__xludf.DUMMYFUNCTION("GOOGLETRANSLATE(B8819, ""fr"", ""en"")"),"I recommend Rather strong. And that place without too much difficulty. So you still have to cut it with a knife, scissors or cutter or a reel (not very given)")</f>
        <v>I recommend Rather strong. And that place without too much difficulty. So you still have to cut it with a knife, scissors or cutter or a reel (not very given)</v>
      </c>
    </row>
    <row r="8820">
      <c r="A8820" s="1">
        <v>4.0</v>
      </c>
      <c r="B8820" s="1" t="s">
        <v>8692</v>
      </c>
      <c r="C8820" t="str">
        <f>IFERROR(__xludf.DUMMYFUNCTION("GOOGLETRANSLATE(B8820, ""fr"", ""en"")"),"Good product and good seller Usage on tv well finished product easy to use")</f>
        <v>Good product and good seller Usage on tv well finished product easy to use</v>
      </c>
    </row>
    <row r="8821">
      <c r="A8821" s="1">
        <v>4.0</v>
      </c>
      <c r="B8821" s="1" t="s">
        <v>8693</v>
      </c>
      <c r="C8821" t="str">
        <f>IFERROR(__xludf.DUMMYFUNCTION("GOOGLETRANSLATE(B8821, ""fr"", ""en"")"),"very good product conforms to the specification, more than good quality for a price so low, I recommend for storing various small thing =)")</f>
        <v>very good product conforms to the specification, more than good quality for a price so low, I recommend for storing various small thing =)</v>
      </c>
    </row>
    <row r="8822">
      <c r="A8822" s="1">
        <v>4.0</v>
      </c>
      <c r="B8822" s="1" t="s">
        <v>8694</v>
      </c>
      <c r="C8822" t="str">
        <f>IFERROR(__xludf.DUMMYFUNCTION("GOOGLETRANSLATE(B8822, ""fr"", ""en"")"),"Nice I think that I should have taken one size bigger. Otherwise nice basketball")</f>
        <v>Nice I think that I should have taken one size bigger. Otherwise nice basketball</v>
      </c>
    </row>
    <row r="8823">
      <c r="A8823" s="1">
        <v>5.0</v>
      </c>
      <c r="B8823" s="1" t="s">
        <v>8695</v>
      </c>
      <c r="C8823" t="str">
        <f>IFERROR(__xludf.DUMMYFUNCTION("GOOGLETRANSLATE(B8823, ""fr"", ""en"")"),"delivery of timely new. super quality.")</f>
        <v>delivery of timely new. super quality.</v>
      </c>
    </row>
    <row r="8824">
      <c r="A8824" s="1">
        <v>5.0</v>
      </c>
      <c r="B8824" s="1" t="s">
        <v>8696</v>
      </c>
      <c r="C8824" t="str">
        <f>IFERROR(__xludf.DUMMYFUNCTION("GOOGLETRANSLATE(B8824, ""fr"", ""en"")"),"My opinion on lavalier SmartlavPlus Rode microphone It purchased less than 50 € offers amazing sound quality. Connected to an Apple smartphone, the sound is clear, strong, without artifacts .. In short it is pro! I recommend to take advantage of this exce"&amp;"llent sound, use the free app (on iOS) ""Reporter"" Rode which is free and is provided by the manufacturer of the microphone. This application sets the output format, compression level and the ""gain"" (sound power). Regarding the ""gain"", a color code t"&amp;"o detect when the microphone may ""saturate"" the sound is green (= OK) then turns to yellow if a deterioration is observed, finally to red ... This allows positioning the microphone in the right place and adjust the gain. Notice to owners of Android smar"&amp;"tphone! RODE only offers apps on iOS, it will have to find a software that can record from a lavalier in good conditions. Be careful not to use a basic voice recorder, your voice is too compressed (64 kbit / sec) and its poor. The microphone comes with: -"&amp;" a carrying case, - windscreen windscreen and pop-up blocking, - With a cable jack of about 1.50 m, - And a clip to attach to clothing, Finally I put 5 stars because for 50 euros you have a microphone that offers a level of service that only seems. I also"&amp;" use on my youtube channel with satisfaction, in parallel with my Blue Yeti with which he was not ashamed that in terms of sound quality. The only complaint I could make, regarding non-availability of an application for Android, it will get by on the Goog"&amp;"le Store. One could also blame a bit short cable in some cases, knowing that it is possible to buy an extension cord: https://www.amazon.fr/Rode-SC1-Rallonge-pour-SmartLav/dp/B00WSNWFM8/ref = = UTF8 as_li_ss_tl _encoding &amp; amp;? psc = 1 &amp; amp; refRID TDFE"&amp;"YB8BY8935DH2KG57 = &amp; amp; linkCode ll1 = &amp; amp; tag = sebyintutopc-21 &amp; amp; linkID = 3843c180698ce6ff5b3dd04f9dc6ba76. For use on a Reflex camera, Compact or camcorder you will need the adapter SC3: https: //www.amazon.fr/Rode-SC3-Adaptateur-pour-Smartla"&amp;"v/dp/B00L6C8PNU/ref=as_li_ss_tl _encoding = UTF8 &amp; amp; psc = 1 &amp; amp; refRID = TDFEYB8BY8935DH2KG57 &amp; amp; linkCode = ll1 &amp; amp; tag = sebyintutopc-21 &amp; amp; linkID = 1de02ea165ae24bb0cb0f35905b51ef6 in conclusion I therefore recommend this product if yo"&amp;"u are looking for a very good microphone, cheap, to record his voice in a situation mobility. Please note this is a tie microphone, therefore more fragile than a micro USB (to consider anyway). If you have found this review helpful, thank you to click yes"&amp;", it's nice :)")</f>
        <v>My opinion on lavalier SmartlavPlus Rode microphone It purchased less than 50 € offers amazing sound quality. Connected to an Apple smartphone, the sound is clear, strong, without artifacts .. In short it is pro! I recommend to take advantage of this excellent sound, use the free app (on iOS) "Reporter" Rode which is free and is provided by the manufacturer of the microphone. This application sets the output format, compression level and the "gain" (sound power). Regarding the "gain", a color code to detect when the microphone may "saturate" the sound is green (= OK) then turns to yellow if a deterioration is observed, finally to red ... This allows positioning the microphone in the right place and adjust the gain. Notice to owners of Android smartphone! RODE only offers apps on iOS, it will have to find a software that can record from a lavalier in good conditions. Be careful not to use a basic voice recorder, your voice is too compressed (64 kbit / sec) and its poor. The microphone comes with: - a carrying case, - windscreen windscreen and pop-up blocking, - With a cable jack of about 1.50 m, - And a clip to attach to clothing, Finally I put 5 stars because for 50 euros you have a microphone that offers a level of service that only seems. I also use on my youtube channel with satisfaction, in parallel with my Blue Yeti with which he was not ashamed that in terms of sound quality. The only complaint I could make, regarding non-availability of an application for Android, it will get by on the Google Store. One could also blame a bit short cable in some cases, knowing that it is possible to buy an extension cord: https://www.amazon.fr/Rode-SC1-Rallonge-pour-SmartLav/dp/B00WSNWFM8/ref = = UTF8 as_li_ss_tl _encoding &amp; amp;? psc = 1 &amp; amp; refRID TDFEYB8BY8935DH2KG57 = &amp; amp; linkCode ll1 = &amp; amp; tag = sebyintutopc-21 &amp; amp; linkID = 3843c180698ce6ff5b3dd04f9dc6ba76. For use on a Reflex camera, Compact or camcorder you will need the adapter SC3: https: //www.amazon.fr/Rode-SC3-Adaptateur-pour-Smartlav/dp/B00L6C8PNU/ref=as_li_ss_tl _encoding = UTF8 &amp; amp; psc = 1 &amp; amp; refRID = TDFEYB8BY8935DH2KG57 &amp; amp; linkCode = ll1 &amp; amp; tag = sebyintutopc-21 &amp; amp; linkID = 1de02ea165ae24bb0cb0f35905b51ef6 in conclusion I therefore recommend this product if you are looking for a very good microphone, cheap, to record his voice in a situation mobility. Please note this is a tie microphone, therefore more fragile than a micro USB (to consider anyway). If you have found this review helpful, thank you to click yes, it's nice :)</v>
      </c>
    </row>
    <row r="8825">
      <c r="A8825" s="1">
        <v>5.0</v>
      </c>
      <c r="B8825" s="1" t="s">
        <v>8697</v>
      </c>
      <c r="C8825" t="str">
        <f>IFERROR(__xludf.DUMMYFUNCTION("GOOGLETRANSLATE(B8825, ""fr"", ""en"")"),"Trainers timeless timeless !!! Everyone loves Stan smith !!! I say more .. they are comfortable ..")</f>
        <v>Trainers timeless timeless !!! Everyone loves Stan smith !!! I say more .. they are comfortable ..</v>
      </c>
    </row>
    <row r="8826">
      <c r="A8826" s="1">
        <v>5.0</v>
      </c>
      <c r="B8826" s="1" t="s">
        <v>8698</v>
      </c>
      <c r="C8826" t="str">
        <f>IFERROR(__xludf.DUMMYFUNCTION("GOOGLETRANSLATE(B8826, ""fr"", ""en"")"),"Top top very soft product")</f>
        <v>Top top very soft product</v>
      </c>
    </row>
    <row r="8827">
      <c r="A8827" s="1">
        <v>5.0</v>
      </c>
      <c r="B8827" s="1" t="s">
        <v>8699</v>
      </c>
      <c r="C8827" t="str">
        <f>IFERROR(__xludf.DUMMYFUNCTION("GOOGLETRANSLATE(B8827, ""fr"", ""en"")"),"Super good quality sweater, comfortable to wear. I ordered several colors, never disappointed. Soft to the touch and does not move after the first wash")</f>
        <v>Super good quality sweater, comfortable to wear. I ordered several colors, never disappointed. Soft to the touch and does not move after the first wash</v>
      </c>
    </row>
    <row r="8828">
      <c r="A8828" s="1">
        <v>5.0</v>
      </c>
      <c r="B8828" s="1" t="s">
        <v>8700</v>
      </c>
      <c r="C8828" t="str">
        <f>IFERROR(__xludf.DUMMYFUNCTION("GOOGLETRANSLATE(B8828, ""fr"", ""en"")"),"Perfect I tried recycled, without brands ... Nothing to do, the original is the one that works properly even if it is empty too quickly for my taste.")</f>
        <v>Perfect I tried recycled, without brands ... Nothing to do, the original is the one that works properly even if it is empty too quickly for my taste.</v>
      </c>
    </row>
    <row r="8829">
      <c r="A8829" s="1">
        <v>5.0</v>
      </c>
      <c r="B8829" s="1" t="s">
        <v>8701</v>
      </c>
      <c r="C8829" t="str">
        <f>IFERROR(__xludf.DUMMYFUNCTION("GOOGLETRANSLATE(B8829, ""fr"", ""en"")"),"Large and pleasant soft scarf, nice and very large: 1.90 m long x 1m wide, nice and modern theme!")</f>
        <v>Large and pleasant soft scarf, nice and very large: 1.90 m long x 1m wide, nice and modern theme!</v>
      </c>
    </row>
    <row r="8830">
      <c r="A8830" s="1">
        <v>5.0</v>
      </c>
      <c r="B8830" s="1" t="s">
        <v>8702</v>
      </c>
      <c r="C8830" t="str">
        <f>IFERROR(__xludf.DUMMYFUNCTION("GOOGLETRANSLATE(B8830, ""fr"", ""en"")"),"SUPER HELMET Satisfied with my purchase. Whether for home or for sport, this headset is great. The packaging includes the cable jack, the USB cable for charging, a house and the manual. The sound is very good, the bass is particularly intéressantes.Bon pr"&amp;"ice / quality ratio! I strongly advice this product!")</f>
        <v>SUPER HELMET Satisfied with my purchase. Whether for home or for sport, this headset is great. The packaging includes the cable jack, the USB cable for charging, a house and the manual. The sound is very good, the bass is particularly intéressantes.Bon price / quality ratio! I strongly advice this product!</v>
      </c>
    </row>
    <row r="8831">
      <c r="A8831" s="1">
        <v>5.0</v>
      </c>
      <c r="B8831" s="1" t="s">
        <v>8703</v>
      </c>
      <c r="C8831" t="str">
        <f>IFERROR(__xludf.DUMMYFUNCTION("GOOGLETRANSLATE(B8831, ""fr"", ""en"")"),"Really surprised Given the bargain, I did not expect to balance the accuracy and repeatability of weighing. Certainly this is not a balance of impeccable quality but rather the equivalent costs 450 euros then I recommend this purchase that does not need a"&amp;" certification or other cofrac for work.")</f>
        <v>Really surprised Given the bargain, I did not expect to balance the accuracy and repeatability of weighing. Certainly this is not a balance of impeccable quality but rather the equivalent costs 450 euros then I recommend this purchase that does not need a certification or other cofrac for work.</v>
      </c>
    </row>
    <row r="8832">
      <c r="A8832" s="1">
        <v>5.0</v>
      </c>
      <c r="B8832" s="1" t="s">
        <v>8704</v>
      </c>
      <c r="C8832" t="str">
        <f>IFERROR(__xludf.DUMMYFUNCTION("GOOGLETRANSLATE(B8832, ""fr"", ""en"")"),"True Fitted in bottles of the same brand, quality silicone easy to clean (dishwasher). Three flow positions. Package 2")</f>
        <v>True Fitted in bottles of the same brand, quality silicone easy to clean (dishwasher). Three flow positions. Package 2</v>
      </c>
    </row>
    <row r="8833">
      <c r="A8833" s="1">
        <v>5.0</v>
      </c>
      <c r="B8833" s="1" t="s">
        <v>8705</v>
      </c>
      <c r="C8833" t="str">
        <f>IFERROR(__xludf.DUMMYFUNCTION("GOOGLETRANSLATE(B8833, ""fr"", ""en"")"),"Although it right I'm really happy with the result, since the time I was looking for a sports bra to my chest not too expensive, this one is awesome")</f>
        <v>Although it right I'm really happy with the result, since the time I was looking for a sports bra to my chest not too expensive, this one is awesome</v>
      </c>
    </row>
    <row r="8834">
      <c r="A8834" s="1">
        <v>5.0</v>
      </c>
      <c r="B8834" s="1" t="s">
        <v>8706</v>
      </c>
      <c r="C8834" t="str">
        <f>IFERROR(__xludf.DUMMYFUNCTION("GOOGLETRANSLATE(B8834, ""fr"", ""en"")"),"A pound of extra range really a perfect book for learning to read. The price is really affordable My daughter is really pleased to receive")</f>
        <v>A pound of extra range really a perfect book for learning to read. The price is really affordable My daughter is really pleased to receive</v>
      </c>
    </row>
    <row r="8835">
      <c r="A8835" s="1">
        <v>5.0</v>
      </c>
      <c r="B8835" s="1" t="s">
        <v>8707</v>
      </c>
      <c r="C8835" t="str">
        <f>IFERROR(__xludf.DUMMYFUNCTION("GOOGLETRANSLATE(B8835, ""fr"", ""en"")"),"Perfect!!! A good warm bed in winter! Really great to not slip into cold sheets! I was a bit septic before purchase but since I have, I wonder how I could do without. I put it between the mattress and sheet, we do not feel at all. On 30 minutes before bed"&amp;"time, you slip into bed like a cocoon, (my room is heated. Little) Position 1 does not heat up much, 2 and 3 work very well. Too bad there is not a timer. The fluke is sufficient to bed 160; there are two buttons to heat each half lalèse. Everyone can cho"&amp;"sir degree heat. Delighted with my purchase")</f>
        <v>Perfect!!! A good warm bed in winter! Really great to not slip into cold sheets! I was a bit septic before purchase but since I have, I wonder how I could do without. I put it between the mattress and sheet, we do not feel at all. On 30 minutes before bedtime, you slip into bed like a cocoon, (my room is heated. Little) Position 1 does not heat up much, 2 and 3 work very well. Too bad there is not a timer. The fluke is sufficient to bed 160; there are two buttons to heat each half lalèse. Everyone can chosir degree heat. Delighted with my purchase</v>
      </c>
    </row>
    <row r="8836">
      <c r="A8836" s="1">
        <v>5.0</v>
      </c>
      <c r="B8836" s="1" t="s">
        <v>8708</v>
      </c>
      <c r="C8836" t="str">
        <f>IFERROR(__xludf.DUMMYFUNCTION("GOOGLETRANSLATE(B8836, ""fr"", ""en"")"),"Great product Bought for cycling and be able to put a helmet without being constrained by a thread. I'm really happy with the product. Aesthetically and ergonimiquement, I find them better than those of some major brands, such apple, clinging everywhere. "&amp;"He marries great ear and does not move. Since there is nothing that exceeds because they are in the pinna, even raising a sweat or a shirt, there is nothing that moves. The sound nikel and is super responsive to the Bluetooth connection, there is a voice "&amp;"message indicating the connection or disconnection. they are reactive to give commands to raise or lower the sound with an alert if the sound is at maximum. The small case can serve as a power bank. The case is somewhat magnetized, so the headphones will "&amp;"live there. Very happy with the product!")</f>
        <v>Great product Bought for cycling and be able to put a helmet without being constrained by a thread. I'm really happy with the product. Aesthetically and ergonimiquement, I find them better than those of some major brands, such apple, clinging everywhere. He marries great ear and does not move. Since there is nothing that exceeds because they are in the pinna, even raising a sweat or a shirt, there is nothing that moves. The sound nikel and is super responsive to the Bluetooth connection, there is a voice message indicating the connection or disconnection. they are reactive to give commands to raise or lower the sound with an alert if the sound is at maximum. The small case can serve as a power bank. The case is somewhat magnetized, so the headphones will live there. Very happy with the product!</v>
      </c>
    </row>
    <row r="8837">
      <c r="A8837" s="1">
        <v>5.0</v>
      </c>
      <c r="B8837" s="1" t="s">
        <v>8709</v>
      </c>
      <c r="C8837" t="str">
        <f>IFERROR(__xludf.DUMMYFUNCTION("GOOGLETRANSLATE(B8837, ""fr"", ""en"")"),"Very comfortable Very nice shoes, warm and comfortable. Rapid dispatch. I recommend.")</f>
        <v>Very comfortable Very nice shoes, warm and comfortable. Rapid dispatch. I recommend.</v>
      </c>
    </row>
    <row r="8838">
      <c r="A8838" s="1">
        <v>2.0</v>
      </c>
      <c r="B8838" s="1" t="s">
        <v>8710</v>
      </c>
      <c r="C8838" t="str">
        <f>IFERROR(__xludf.DUMMYFUNCTION("GOOGLETRANSLATE(B8838, ""fr"", ""en"")"),"despite the wind Hello, Receipt no problem, except that I noticed very légé siflement because of the wind, so I think he wants to do something pro, I do not really advice this article.")</f>
        <v>despite the wind Hello, Receipt no problem, except that I noticed very légé siflement because of the wind, so I think he wants to do something pro, I do not really advice this article.</v>
      </c>
    </row>
    <row r="8839">
      <c r="A8839" s="1">
        <v>1.0</v>
      </c>
      <c r="B8839" s="1" t="s">
        <v>8711</v>
      </c>
      <c r="C8839" t="str">
        <f>IFERROR(__xludf.DUMMYFUNCTION("GOOGLETRANSLATE(B8839, ""fr"", ""en"")"),"Bracelet really grandson I received the bracelet and I am very disappointed because it is really tiny, tiny. This is a bracelet for a little girl to an adult.")</f>
        <v>Bracelet really grandson I received the bracelet and I am very disappointed because it is really tiny, tiny. This is a bracelet for a little girl to an adult.</v>
      </c>
    </row>
    <row r="8840">
      <c r="A8840" s="1">
        <v>3.0</v>
      </c>
      <c r="B8840" s="1" t="s">
        <v>8712</v>
      </c>
      <c r="C8840" t="str">
        <f>IFERROR(__xludf.DUMMYFUNCTION("GOOGLETRANSLATE(B8840, ""fr"", ""en"")"),"To offer for a fan of the genre. Shows basic, for the price you can not ask for the moon! I have not tried it at a certain depth of water, I read that a customer is dissatisfied ... how Ether bacelet a leather-suede would it be suitable to go underwater? "&amp;"that aside, it works well - for now. I find it a bit thick. Is a bit ""clumsy"" as gifts. I'm just testing it, but I prefer more sophisticated models of famous brands ... To each his own and his purse.")</f>
        <v>To offer for a fan of the genre. Shows basic, for the price you can not ask for the moon! I have not tried it at a certain depth of water, I read that a customer is dissatisfied ... how Ether bacelet a leather-suede would it be suitable to go underwater? that aside, it works well - for now. I find it a bit thick. Is a bit "clumsy" as gifts. I'm just testing it, but I prefer more sophisticated models of famous brands ... To each his own and his purse.</v>
      </c>
    </row>
    <row r="8841">
      <c r="A8841" s="1">
        <v>3.0</v>
      </c>
      <c r="B8841" s="1" t="s">
        <v>8713</v>
      </c>
      <c r="C8841" t="str">
        <f>IFERROR(__xludf.DUMMYFUNCTION("GOOGLETRANSLATE(B8841, ""fr"", ""en"")"),"Size Hello! Is it possible to change the size for size S I bought M size, but huge in summer, though excellent for the languor of my legs. I 1m, 77 😬")</f>
        <v>Size Hello! Is it possible to change the size for size S I bought M size, but huge in summer, though excellent for the languor of my legs. I 1m, 77 😬</v>
      </c>
    </row>
    <row r="8842">
      <c r="A8842" s="1">
        <v>4.0</v>
      </c>
      <c r="B8842" s="1" t="s">
        <v>8714</v>
      </c>
      <c r="C8842" t="str">
        <f>IFERROR(__xludf.DUMMYFUNCTION("GOOGLETRANSLATE(B8842, ""fr"", ""en"")"),"Consistent with the description corresponds to the description, I received 2 teats.")</f>
        <v>Consistent with the description corresponds to the description, I received 2 teats.</v>
      </c>
    </row>
    <row r="8843">
      <c r="A8843" s="1">
        <v>4.0</v>
      </c>
      <c r="B8843" s="1" t="s">
        <v>8715</v>
      </c>
      <c r="C8843" t="str">
        <f>IFERROR(__xludf.DUMMYFUNCTION("GOOGLETRANSLATE(B8843, ""fr"", ""en"")"),"Very good size small even taking one size larger c just very nice basketball")</f>
        <v>Very good size small even taking one size larger c just very nice basketball</v>
      </c>
    </row>
    <row r="8844">
      <c r="A8844" s="1">
        <v>4.0</v>
      </c>
      <c r="B8844" s="1" t="s">
        <v>8716</v>
      </c>
      <c r="C8844" t="str">
        <f>IFERROR(__xludf.DUMMYFUNCTION("GOOGLETRANSLATE(B8844, ""fr"", ""en"")"),"Size to watch ... Good quality product but too small ... a little 41 rather than a real 42 ... It will take this into account when ordering ...")</f>
        <v>Size to watch ... Good quality product but too small ... a little 41 rather than a real 42 ... It will take this into account when ordering ...</v>
      </c>
    </row>
    <row r="8845">
      <c r="A8845" s="1">
        <v>4.0</v>
      </c>
      <c r="B8845" s="1" t="s">
        <v>8717</v>
      </c>
      <c r="C8845" t="str">
        <f>IFERROR(__xludf.DUMMYFUNCTION("GOOGLETRANSLATE(B8845, ""fr"", ""en"")"),"This brand is good quality Nothing to say it's good bottle")</f>
        <v>This brand is good quality Nothing to say it's good bottle</v>
      </c>
    </row>
    <row r="8846">
      <c r="A8846" s="1">
        <v>5.0</v>
      </c>
      <c r="B8846" s="1" t="s">
        <v>8718</v>
      </c>
      <c r="C8846" t="str">
        <f>IFERROR(__xludf.DUMMYFUNCTION("GOOGLETRANSLATE(B8846, ""fr"", ""en"")"),"product into the tent of my hope I have appreciated I am in")</f>
        <v>product into the tent of my hope I have appreciated I am in</v>
      </c>
    </row>
    <row r="8847">
      <c r="A8847" s="1">
        <v>5.0</v>
      </c>
      <c r="B8847" s="1" t="s">
        <v>8719</v>
      </c>
      <c r="C8847" t="str">
        <f>IFERROR(__xludf.DUMMYFUNCTION("GOOGLETRANSLATE(B8847, ""fr"", ""en"")"),"Practice Super convenient for mam baby bottles that I completely disassembled with each wash.")</f>
        <v>Practice Super convenient for mam baby bottles that I completely disassembled with each wash.</v>
      </c>
    </row>
    <row r="8848">
      <c r="A8848" s="1">
        <v>5.0</v>
      </c>
      <c r="B8848" s="1" t="s">
        <v>224</v>
      </c>
      <c r="C8848" t="str">
        <f>IFERROR(__xludf.DUMMYFUNCTION("GOOGLETRANSLATE(B8848, ""fr"", ""en"")"),"perfect perfect")</f>
        <v>perfect perfect</v>
      </c>
    </row>
    <row r="8849">
      <c r="A8849" s="1">
        <v>5.0</v>
      </c>
      <c r="B8849" s="1" t="s">
        <v>8720</v>
      </c>
      <c r="C8849" t="str">
        <f>IFERROR(__xludf.DUMMYFUNCTION("GOOGLETRANSLATE(B8849, ""fr"", ""en"")"),"super perfect for its price")</f>
        <v>super perfect for its price</v>
      </c>
    </row>
    <row r="8850">
      <c r="A8850" s="1">
        <v>5.0</v>
      </c>
      <c r="B8850" s="1" t="s">
        <v>8721</v>
      </c>
      <c r="C8850" t="str">
        <f>IFERROR(__xludf.DUMMYFUNCTION("GOOGLETRANSLATE(B8850, ""fr"", ""en"")"),"Very good headphones ""They always work perfectly, no extraneous noise and end caps allow the fit of your ears. The headphones are very good, they look good solid loyal to the description. The sound clearly, I am very satisfied with my purchase. I recomme"&amp;"nd this product. """)</f>
        <v>Very good headphones "They always work perfectly, no extraneous noise and end caps allow the fit of your ears. The headphones are very good, they look good solid loyal to the description. The sound clearly, I am very satisfied with my purchase. I recommend this product. "</v>
      </c>
    </row>
    <row r="8851">
      <c r="A8851" s="1">
        <v>5.0</v>
      </c>
      <c r="B8851" s="1" t="s">
        <v>8722</v>
      </c>
      <c r="C8851" t="str">
        <f>IFERROR(__xludf.DUMMYFUNCTION("GOOGLETRANSLATE(B8851, ""fr"", ""en"")"),"Very nice tea &lt;div id = ""video-block-R3P36JN6OHZ1R1"" class = ""a-section-spacing-small in-spacing-top mini video-block""&gt; &lt;/ div&gt; &lt;input type = ""hidden"" name = """" value = ""https://images-eu.ssl-images-amazon.com/images/I/81SW6N8xytS.mp4"" class = "&amp;"""video-url""&gt; &lt;input type = ""hidden"" name = """" value = ""https://images-eu.ssl-images-amazon.com/images/I/91PpNSILOgS.png"" class = ""video-slate-img-url""&gt; &amp; nbsp; Super kettle, very stylish but also very practical! The swan neck is great for use wi"&amp;"th hot water, the hole is small so it can be used properly, while conventional kettles rim is vulgar and coarse, difficult to serve well. The heating time is very short, I think the water rises quickly in temperature, on the handle you can adjust the temp"&amp;"erature you want. There are also on / off button and a button to keep the kettle at the selected temperature. Easy to clean and more. At the top, so I recommend.")</f>
        <v>Very nice tea &lt;div id = "video-block-R3P36JN6OHZ1R1" class = "a-section-spacing-small in-spacing-top mini video-block"&gt; &lt;/ div&gt; &lt;input type = "hidden" name = "" value = "https://images-eu.ssl-images-amazon.com/images/I/81SW6N8xytS.mp4" class = "video-url"&gt; &lt;input type = "hidden" name = "" value = "https://images-eu.ssl-images-amazon.com/images/I/91PpNSILOgS.png" class = "video-slate-img-url"&gt; &amp; nbsp; Super kettle, very stylish but also very practical! The swan neck is great for use with hot water, the hole is small so it can be used properly, while conventional kettles rim is vulgar and coarse, difficult to serve well. The heating time is very short, I think the water rises quickly in temperature, on the handle you can adjust the temperature you want. There are also on / off button and a button to keep the kettle at the selected temperature. Easy to clean and more. At the top, so I recommend.</v>
      </c>
    </row>
    <row r="8852">
      <c r="A8852" s="1">
        <v>5.0</v>
      </c>
      <c r="B8852" s="1" t="s">
        <v>8723</v>
      </c>
      <c r="C8852" t="str">
        <f>IFERROR(__xludf.DUMMYFUNCTION("GOOGLETRANSLATE(B8852, ""fr"", ""en"")"),"Add good quality mini glue point to be sure of holding.")</f>
        <v>Add good quality mini glue point to be sure of holding.</v>
      </c>
    </row>
    <row r="8853">
      <c r="A8853" s="1">
        <v>5.0</v>
      </c>
      <c r="B8853" s="1" t="s">
        <v>8724</v>
      </c>
      <c r="C8853" t="str">
        <f>IFERROR(__xludf.DUMMYFUNCTION("GOOGLETRANSLATE(B8853, ""fr"", ""en"")"),"good product very good product, reasonable price, thank you")</f>
        <v>good product very good product, reasonable price, thank you</v>
      </c>
    </row>
    <row r="8854">
      <c r="A8854" s="1">
        <v>5.0</v>
      </c>
      <c r="B8854" s="1" t="s">
        <v>8725</v>
      </c>
      <c r="C8854" t="str">
        <f>IFERROR(__xludf.DUMMYFUNCTION("GOOGLETRANSLATE(B8854, ""fr"", ""en"")"),"Very Good Very practical and well covers the shoulders and works perfectly")</f>
        <v>Very Good Very practical and well covers the shoulders and works perfectly</v>
      </c>
    </row>
    <row r="8855">
      <c r="A8855" s="1">
        <v>5.0</v>
      </c>
      <c r="B8855" s="1" t="s">
        <v>8726</v>
      </c>
      <c r="C8855" t="str">
        <f>IFERROR(__xludf.DUMMYFUNCTION("GOOGLETRANSLATE(B8855, ""fr"", ""en"")"),"I have it very nice buy for Christmas is my beautiful daughter, she the love, it is very beautiful")</f>
        <v>I have it very nice buy for Christmas is my beautiful daughter, she the love, it is very beautiful</v>
      </c>
    </row>
    <row r="8856">
      <c r="A8856" s="1">
        <v>5.0</v>
      </c>
      <c r="B8856" s="1" t="s">
        <v>8727</v>
      </c>
      <c r="C8856" t="str">
        <f>IFERROR(__xludf.DUMMYFUNCTION("GOOGLETRANSLATE(B8856, ""fr"", ""en"")"),"Fonctionnne very good The very aesthetic object, which is broadcasting the essential oils with abundant fog.")</f>
        <v>Fonctionnne very good The very aesthetic object, which is broadcasting the essential oils with abundant fog.</v>
      </c>
    </row>
    <row r="8857">
      <c r="A8857" s="1">
        <v>5.0</v>
      </c>
      <c r="B8857" s="1" t="s">
        <v>8728</v>
      </c>
      <c r="C8857" t="str">
        <f>IFERROR(__xludf.DUMMYFUNCTION("GOOGLETRANSLATE(B8857, ""fr"", ""en"")"),"Very nice shoes Very nice shoes, I daily door. Go well with jeans a dress. Shoes very good.")</f>
        <v>Very nice shoes Very nice shoes, I daily door. Go well with jeans a dress. Shoes very good.</v>
      </c>
    </row>
    <row r="8858">
      <c r="A8858" s="1">
        <v>5.0</v>
      </c>
      <c r="B8858" s="1" t="s">
        <v>8729</v>
      </c>
      <c r="C8858" t="str">
        <f>IFERROR(__xludf.DUMMYFUNCTION("GOOGLETRANSLATE(B8858, ""fr"", ""en"")"),"Although the noise cancellation works well. They do not seem tangled and resilient. cheap dynamic sound quality with fast service and quality.")</f>
        <v>Although the noise cancellation works well. They do not seem tangled and resilient. cheap dynamic sound quality with fast service and quality.</v>
      </c>
    </row>
    <row r="8859">
      <c r="A8859" s="1">
        <v>5.0</v>
      </c>
      <c r="B8859" s="1" t="s">
        <v>8730</v>
      </c>
      <c r="C8859" t="str">
        <f>IFERROR(__xludf.DUMMYFUNCTION("GOOGLETRANSLATE(B8859, ""fr"", ""en"")"),"New Balance 574 I have now used the 574, they are very comfortable. Very good product confirms the requirements. I recommend these great sneakers.")</f>
        <v>New Balance 574 I have now used the 574, they are very comfortable. Very good product confirms the requirements. I recommend these great sneakers.</v>
      </c>
    </row>
    <row r="8860">
      <c r="A8860" s="1">
        <v>5.0</v>
      </c>
      <c r="B8860" s="1" t="s">
        <v>8731</v>
      </c>
      <c r="C8860" t="str">
        <f>IFERROR(__xludf.DUMMYFUNCTION("GOOGLETRANSLATE(B8860, ""fr"", ""en"")"),"Of Praise. No problemo")</f>
        <v>Of Praise. No problemo</v>
      </c>
    </row>
    <row r="8861">
      <c r="A8861" s="1">
        <v>2.0</v>
      </c>
      <c r="B8861" s="1" t="s">
        <v>8732</v>
      </c>
      <c r="C8861" t="str">
        <f>IFERROR(__xludf.DUMMYFUNCTION("GOOGLETRANSLATE(B8861, ""fr"", ""en"")"),"No top! Pretty but not comfortable at all! Difficult to dance with a whole evening!")</f>
        <v>No top! Pretty but not comfortable at all! Difficult to dance with a whole evening!</v>
      </c>
    </row>
    <row r="8862">
      <c r="A8862" s="1">
        <v>1.0</v>
      </c>
      <c r="B8862" s="1" t="s">
        <v>8733</v>
      </c>
      <c r="C8862" t="str">
        <f>IFERROR(__xludf.DUMMYFUNCTION("GOOGLETRANSLATE(B8862, ""fr"", ""en"")"),"Do not buy do not correspond to the picture does not recommend")</f>
        <v>Do not buy do not correspond to the picture does not recommend</v>
      </c>
    </row>
    <row r="8863">
      <c r="A8863" s="1">
        <v>1.0</v>
      </c>
      <c r="B8863" s="1" t="s">
        <v>8734</v>
      </c>
      <c r="C8863" t="str">
        <f>IFERROR(__xludf.DUMMYFUNCTION("GOOGLETRANSLATE(B8863, ""fr"", ""en"")"),"Program in French To download the software on the computer to make it work is in English c c is so difficult to put into operation")</f>
        <v>Program in French To download the software on the computer to make it work is in English c c is so difficult to put into operation</v>
      </c>
    </row>
    <row r="8864">
      <c r="A8864" s="1">
        <v>3.0</v>
      </c>
      <c r="B8864" s="1" t="s">
        <v>8735</v>
      </c>
      <c r="C8864" t="str">
        <f>IFERROR(__xludf.DUMMYFUNCTION("GOOGLETRANSLATE(B8864, ""fr"", ""en"")"),"Kettle. Kettle good value for money!")</f>
        <v>Kettle. Kettle good value for money!</v>
      </c>
    </row>
    <row r="8865">
      <c r="A8865" s="1">
        <v>3.0</v>
      </c>
      <c r="B8865" s="1" t="s">
        <v>8736</v>
      </c>
      <c r="C8865" t="str">
        <f>IFERROR(__xludf.DUMMYFUNCTION("GOOGLETRANSLATE(B8865, ""fr"", ""en"")"),"Tracksuit pants SULKY 3XL For regular use and daily rest, cut and very approximate size required to resize, leg length - 15cm.")</f>
        <v>Tracksuit pants SULKY 3XL For regular use and daily rest, cut and very approximate size required to resize, leg length - 15cm.</v>
      </c>
    </row>
    <row r="8866">
      <c r="A8866" s="1">
        <v>4.0</v>
      </c>
      <c r="B8866" s="1" t="s">
        <v>8737</v>
      </c>
      <c r="C8866" t="str">
        <f>IFERROR(__xludf.DUMMYFUNCTION("GOOGLETRANSLATE(B8866, ""fr"", ""en"")"),"These handy wipes are a very good price / quality ratio compared to other wipes. These are the only that I bought several years now. I take off a star for the fact that the product they contain leaves traces. I usually leave it to then move a damp microfi"&amp;"ber cloth to remove traces.")</f>
        <v>These handy wipes are a very good price / quality ratio compared to other wipes. These are the only that I bought several years now. I take off a star for the fact that the product they contain leaves traces. I usually leave it to then move a damp microfiber cloth to remove traces.</v>
      </c>
    </row>
    <row r="8867">
      <c r="A8867" s="1">
        <v>4.0</v>
      </c>
      <c r="B8867" s="1" t="s">
        <v>8738</v>
      </c>
      <c r="C8867" t="str">
        <f>IFERROR(__xludf.DUMMYFUNCTION("GOOGLETRANSLATE(B8867, ""fr"", ""en"")"),"perfect is simple, practical, beautiful colors, fast delivery and consistent with the description, washes well, is careful as close screw is perfect")</f>
        <v>perfect is simple, practical, beautiful colors, fast delivery and consistent with the description, washes well, is careful as close screw is perfect</v>
      </c>
    </row>
    <row r="8868">
      <c r="A8868" s="1">
        <v>4.0</v>
      </c>
      <c r="B8868" s="1" t="s">
        <v>8739</v>
      </c>
      <c r="C8868" t="str">
        <f>IFERROR(__xludf.DUMMYFUNCTION("GOOGLETRANSLATE(B8868, ""fr"", ""en"")"),"Very satisfied. Very satisfied, perfect and strong elastic. I highly recommend. My bags do break more because of the shape of my trash.")</f>
        <v>Very satisfied. Very satisfied, perfect and strong elastic. I highly recommend. My bags do break more because of the shape of my trash.</v>
      </c>
    </row>
    <row r="8869">
      <c r="A8869" s="1">
        <v>4.0</v>
      </c>
      <c r="B8869" s="1" t="s">
        <v>8740</v>
      </c>
      <c r="C8869" t="str">
        <f>IFERROR(__xludf.DUMMYFUNCTION("GOOGLETRANSLATE(B8869, ""fr"", ""en"")"),"Almost perfect Good product for the price careful fixing the microphone if your microphone is too wide (diameter) it will not hold Fortunately I had another attachment home that could be screwed in place of the other Appart it perfect product that makes l"&amp;"ife easier")</f>
        <v>Almost perfect Good product for the price careful fixing the microphone if your microphone is too wide (diameter) it will not hold Fortunately I had another attachment home that could be screwed in place of the other Appart it perfect product that makes life easier</v>
      </c>
    </row>
    <row r="8870">
      <c r="A8870" s="1">
        <v>5.0</v>
      </c>
      <c r="B8870" s="1" t="s">
        <v>8741</v>
      </c>
      <c r="C8870" t="str">
        <f>IFERROR(__xludf.DUMMYFUNCTION("GOOGLETRANSLATE(B8870, ""fr"", ""en"")"),"Nike tracksuit Nice outfit, compliant and comfortable to wear.")</f>
        <v>Nike tracksuit Nice outfit, compliant and comfortable to wear.</v>
      </c>
    </row>
    <row r="8871">
      <c r="A8871" s="1">
        <v>5.0</v>
      </c>
      <c r="B8871" s="1" t="s">
        <v>8742</v>
      </c>
      <c r="C8871" t="str">
        <f>IFERROR(__xludf.DUMMYFUNCTION("GOOGLETRANSLATE(B8871, ""fr"", ""en"")"),"Top What your laundry with ease and the support of a sweet fragrance")</f>
        <v>Top What your laundry with ease and the support of a sweet fragrance</v>
      </c>
    </row>
    <row r="8872">
      <c r="A8872" s="1">
        <v>5.0</v>
      </c>
      <c r="B8872" s="1" t="s">
        <v>8743</v>
      </c>
      <c r="C8872" t="str">
        <f>IFERROR(__xludf.DUMMYFUNCTION("GOOGLETRANSLATE(B8872, ""fr"", ""en"")"),"1Size can be taken over for those just 1 the limit of sizes She rocks! 😂 !!!")</f>
        <v>1Size can be taken over for those just 1 the limit of sizes She rocks! 😂 !!!</v>
      </c>
    </row>
    <row r="8873">
      <c r="A8873" s="1">
        <v>5.0</v>
      </c>
      <c r="B8873" s="1" t="s">
        <v>8744</v>
      </c>
      <c r="C8873" t="str">
        <f>IFERROR(__xludf.DUMMYFUNCTION("GOOGLETRANSLATE(B8873, ""fr"", ""en"")"),"Swarovski necklace Beautiful, ""&amp; nbsp; class &amp; nbsp;"" and elegant !!! Brille well !!!! Sure value !! I just love it!!!!!!")</f>
        <v>Swarovski necklace Beautiful, "&amp; nbsp; class &amp; nbsp;" and elegant !!! Brille well !!!! Sure value !! I just love it!!!!!!</v>
      </c>
    </row>
    <row r="8874">
      <c r="A8874" s="1">
        <v>5.0</v>
      </c>
      <c r="B8874" s="1" t="s">
        <v>8745</v>
      </c>
      <c r="C8874" t="str">
        <f>IFERROR(__xludf.DUMMYFUNCTION("GOOGLETRANSLATE(B8874, ""fr"", ""en"")"),"I love this lamp alarm clock lamp .... Its design fits anywhere ... The buttons are on the top which does not spoil its beauty. Lamp, alarm clock, similuation sunrise and sunset ... Many natural sounds and especially a connected side which is very conveni"&amp;"ent ... I recommend ..")</f>
        <v>I love this lamp alarm clock lamp .... Its design fits anywhere ... The buttons are on the top which does not spoil its beauty. Lamp, alarm clock, similuation sunrise and sunset ... Many natural sounds and especially a connected side which is very convenient ... I recommend ..</v>
      </c>
    </row>
    <row r="8875">
      <c r="A8875" s="1">
        <v>5.0</v>
      </c>
      <c r="B8875" s="1" t="s">
        <v>8746</v>
      </c>
      <c r="C8875" t="str">
        <f>IFERROR(__xludf.DUMMYFUNCTION("GOOGLETRANSLATE(B8875, ""fr"", ""en"")"),"Educational and intellectual He easily explained and adequately")</f>
        <v>Educational and intellectual He easily explained and adequately</v>
      </c>
    </row>
    <row r="8876">
      <c r="A8876" s="1">
        <v>5.0</v>
      </c>
      <c r="B8876" s="1" t="s">
        <v>8747</v>
      </c>
      <c r="C8876" t="str">
        <f>IFERROR(__xludf.DUMMYFUNCTION("GOOGLETRANSLATE(B8876, ""fr"", ""en"")"),"Color is nice flashy as the picture, shoes are comfortable.")</f>
        <v>Color is nice flashy as the picture, shoes are comfortable.</v>
      </c>
    </row>
    <row r="8877">
      <c r="A8877" s="1">
        <v>5.0</v>
      </c>
      <c r="B8877" s="1" t="s">
        <v>8748</v>
      </c>
      <c r="C8877" t="str">
        <f>IFERROR(__xludf.DUMMYFUNCTION("GOOGLETRANSLATE(B8877, ""fr"", ""en"")"),"There are I'm not disappointed in the article.")</f>
        <v>There are I'm not disappointed in the article.</v>
      </c>
    </row>
    <row r="8878">
      <c r="A8878" s="1">
        <v>5.0</v>
      </c>
      <c r="B8878" s="1" t="s">
        <v>8749</v>
      </c>
      <c r="C8878" t="str">
        <f>IFERROR(__xludf.DUMMYFUNCTION("GOOGLETRANSLATE(B8878, ""fr"", ""en"")"),"Best Value for money at the top. The earrings are not too heavy and clasps hold well. I recommend !")</f>
        <v>Best Value for money at the top. The earrings are not too heavy and clasps hold well. I recommend !</v>
      </c>
    </row>
    <row r="8879">
      <c r="A8879" s="1">
        <v>5.0</v>
      </c>
      <c r="B8879" s="1" t="s">
        <v>1687</v>
      </c>
      <c r="C8879" t="str">
        <f>IFERROR(__xludf.DUMMYFUNCTION("GOOGLETRANSLATE(B8879, ""fr"", ""en"")"),"Super Super")</f>
        <v>Super Super</v>
      </c>
    </row>
    <row r="8880">
      <c r="A8880" s="1">
        <v>5.0</v>
      </c>
      <c r="B8880" s="1" t="s">
        <v>8750</v>
      </c>
      <c r="C8880" t="str">
        <f>IFERROR(__xludf.DUMMYFUNCTION("GOOGLETRANSLATE(B8880, ""fr"", ""en"")"),"More expensive than the generic but no problem he have to pay if we want to avoid trouble. The cartridges work perfectly the first time, no complaints, unlike multitudes of cheap cartridges found here and who do not work or may even damage the printer.")</f>
        <v>More expensive than the generic but no problem he have to pay if we want to avoid trouble. The cartridges work perfectly the first time, no complaints, unlike multitudes of cheap cartridges found here and who do not work or may even damage the printer.</v>
      </c>
    </row>
    <row r="8881">
      <c r="A8881" s="1">
        <v>5.0</v>
      </c>
      <c r="B8881" s="1" t="s">
        <v>8751</v>
      </c>
      <c r="C8881" t="str">
        <f>IFERROR(__xludf.DUMMYFUNCTION("GOOGLETRANSLATE(B8881, ""fr"", ""en"")"),"Finally, the headset is great after a bad experience Hello, Then, I expected noise canceling headphones but I'm really sorry to say but this headset reduces absolutely no noise other than having ears surrounded a foam. That's two days that I use and I fee"&amp;"l that this is a joke ... There is a switch to turn on and off but the one hand, the quality of the switch really leaves want because you have the stall in-between for the blue lED that lights up, and secondly the switch has no effect. Similarly to the so"&amp;"und quality is very poor, I heard much better for less. Only the comfort is good enough, and Bluetooth that connects quickly to my device but if it is the only goes well, it does not interest me. I'm really disappointed with this helmet, I'll get a refund"&amp;" and advise you not to spend your money for it. EDIT AFTER ANOTHER MODEL RECEIVED: I certainly received a defective model. Suddenly, I was contacted by a very friendly customer service brand which sent me another model. After testing the new helmet: great"&amp;" surprise, the logo was redesigned and changed, it is much prettier. The helmet has also changed its name, I see that it is now called ""SoundSurge 60"". At the sound quality is also much better than the one I received earlier. The quality of noise reduct"&amp;"ion is better but you have to put music to be truly isolated. The button to activate the noise reduction is now functional and not kidding as before where I had the stall to make it active. The pads are still cozy and comfortable, I love it. Always comes "&amp;"with its pretty cover. I confirm that I had received a defective model and that the model works very well received and I am very satisfied. This headset is a very good buy for a really fair price. Customer service is really competent and serious, it is a "&amp;"very good thing for a brand that really wants to satisfy its customers. I did not say it but I fully recommend this excellent helmet. thank you Taotronics")</f>
        <v>Finally, the headset is great after a bad experience Hello, Then, I expected noise canceling headphones but I'm really sorry to say but this headset reduces absolutely no noise other than having ears surrounded a foam. That's two days that I use and I feel that this is a joke ... There is a switch to turn on and off but the one hand, the quality of the switch really leaves want because you have the stall in-between for the blue lED that lights up, and secondly the switch has no effect. Similarly to the sound quality is very poor, I heard much better for less. Only the comfort is good enough, and Bluetooth that connects quickly to my device but if it is the only goes well, it does not interest me. I'm really disappointed with this helmet, I'll get a refund and advise you not to spend your money for it. EDIT AFTER ANOTHER MODEL RECEIVED: I certainly received a defective model. Suddenly, I was contacted by a very friendly customer service brand which sent me another model. After testing the new helmet: great surprise, the logo was redesigned and changed, it is much prettier. The helmet has also changed its name, I see that it is now called "SoundSurge 60". At the sound quality is also much better than the one I received earlier. The quality of noise reduction is better but you have to put music to be truly isolated. The button to activate the noise reduction is now functional and not kidding as before where I had the stall to make it active. The pads are still cozy and comfortable, I love it. Always comes with its pretty cover. I confirm that I had received a defective model and that the model works very well received and I am very satisfied. This headset is a very good buy for a really fair price. Customer service is really competent and serious, it is a very good thing for a brand that really wants to satisfy its customers. I did not say it but I fully recommend this excellent helmet. thank you Taotronics</v>
      </c>
    </row>
    <row r="8882">
      <c r="A8882" s="1">
        <v>5.0</v>
      </c>
      <c r="B8882" s="1" t="s">
        <v>8752</v>
      </c>
      <c r="C8882" t="str">
        <f>IFERROR(__xludf.DUMMYFUNCTION("GOOGLETRANSLATE(B8882, ""fr"", ""en"")"),"basketball compenssee 8cm super seller received well before I took my usual size very light genial n hesitate")</f>
        <v>basketball compenssee 8cm super seller received well before I took my usual size very light genial n hesitate</v>
      </c>
    </row>
    <row r="8883">
      <c r="A8883" s="1">
        <v>5.0</v>
      </c>
      <c r="B8883" s="1" t="s">
        <v>8753</v>
      </c>
      <c r="C8883" t="str">
        <f>IFERROR(__xludf.DUMMYFUNCTION("GOOGLETRANSLATE(B8883, ""fr"", ""en"")"),"very accurate beautiful watch")</f>
        <v>very accurate beautiful watch</v>
      </c>
    </row>
    <row r="8884">
      <c r="A8884" s="1">
        <v>5.0</v>
      </c>
      <c r="B8884" s="1" t="s">
        <v>8754</v>
      </c>
      <c r="C8884" t="str">
        <f>IFERROR(__xludf.DUMMYFUNCTION("GOOGLETRANSLATE(B8884, ""fr"", ""en"")"),"Scotch double-sided product is very reliable there a killer held once installed to remove it is hard but it is the goal sought now when I have things to reattach I use more glue I used scotch I recommends buying very simple to use product my life easier")</f>
        <v>Scotch double-sided product is very reliable there a killer held once installed to remove it is hard but it is the goal sought now when I have things to reattach I use more glue I used scotch I recommends buying very simple to use product my life easier</v>
      </c>
    </row>
    <row r="8885">
      <c r="A8885" s="1">
        <v>2.0</v>
      </c>
      <c r="B8885" s="1" t="s">
        <v>8755</v>
      </c>
      <c r="C8885" t="str">
        <f>IFERROR(__xludf.DUMMYFUNCTION("GOOGLETRANSLATE(B8885, ""fr"", ""en"")"),"Beautiful watch but nice watch but I found it a bit dirty, I think she already used")</f>
        <v>Beautiful watch but nice watch but I found it a bit dirty, I think she already used</v>
      </c>
    </row>
    <row r="8886">
      <c r="A8886" s="1">
        <v>1.0</v>
      </c>
      <c r="B8886" s="1" t="s">
        <v>8756</v>
      </c>
      <c r="C8886" t="str">
        <f>IFERROR(__xludf.DUMMYFUNCTION("GOOGLETRANSLATE(B8886, ""fr"", ""en"")"),"The poor quality product on the second day, the strap broke on the third day, it is the zipper that broke. 30 euros misspent ..")</f>
        <v>The poor quality product on the second day, the strap broke on the third day, it is the zipper that broke. 30 euros misspent ..</v>
      </c>
    </row>
    <row r="8887">
      <c r="A8887" s="1">
        <v>1.0</v>
      </c>
      <c r="B8887" s="1" t="s">
        <v>8757</v>
      </c>
      <c r="C8887" t="str">
        <f>IFERROR(__xludf.DUMMYFUNCTION("GOOGLETRANSLATE(B8887, ""fr"", ""en"")"),"Counterfeiting? I had purchased Adidas Stan Smith shop ... the quality of it suggests to me a copy. I return the product because despite the box the shoes appear to be counterfeit.")</f>
        <v>Counterfeiting? I had purchased Adidas Stan Smith shop ... the quality of it suggests to me a copy. I return the product because despite the box the shoes appear to be counterfeit.</v>
      </c>
    </row>
    <row r="8888">
      <c r="A8888" s="1">
        <v>3.0</v>
      </c>
      <c r="B8888" s="1" t="s">
        <v>8758</v>
      </c>
      <c r="C8888" t="str">
        <f>IFERROR(__xludf.DUMMYFUNCTION("GOOGLETRANSLATE(B8888, ""fr"", ""en"")"),"Battery Problem The battery will discharge very quickly Tre consumer")</f>
        <v>Battery Problem The battery will discharge very quickly Tre consumer</v>
      </c>
    </row>
    <row r="8889">
      <c r="A8889" s="1">
        <v>3.0</v>
      </c>
      <c r="B8889" s="1" t="s">
        <v>8759</v>
      </c>
      <c r="C8889" t="str">
        <f>IFERROR(__xludf.DUMMYFUNCTION("GOOGLETRANSLATE(B8889, ""fr"", ""en"")"),"Watch compliant but not packing the watch is great but watch the pictures there was a Superdry packaging box I've ever had ... despite 2 reference .. damage")</f>
        <v>Watch compliant but not packing the watch is great but watch the pictures there was a Superdry packaging box I've ever had ... despite 2 reference .. damage</v>
      </c>
    </row>
    <row r="8890">
      <c r="A8890" s="1">
        <v>4.0</v>
      </c>
      <c r="B8890" s="1" t="s">
        <v>8760</v>
      </c>
      <c r="C8890" t="str">
        <f>IFERROR(__xludf.DUMMYFUNCTION("GOOGLETRANSLATE(B8890, ""fr"", ""en"")"),"At first it goes everywhere doing wrong foot but now it will")</f>
        <v>At first it goes everywhere doing wrong foot but now it will</v>
      </c>
    </row>
    <row r="8891">
      <c r="A8891" s="1">
        <v>4.0</v>
      </c>
      <c r="B8891" s="1" t="s">
        <v>8761</v>
      </c>
      <c r="C8891" t="str">
        <f>IFERROR(__xludf.DUMMYFUNCTION("GOOGLETRANSLATE(B8891, ""fr"", ""en"")"),"Very nice blouse is very beautiful I just thought it was colored coral but I more like a short cut rose is beautiful and fabrics looks good. See with time until I recommend this article.")</f>
        <v>Very nice blouse is very beautiful I just thought it was colored coral but I more like a short cut rose is beautiful and fabrics looks good. See with time until I recommend this article.</v>
      </c>
    </row>
    <row r="8892">
      <c r="A8892" s="1">
        <v>4.0</v>
      </c>
      <c r="B8892" s="1" t="s">
        <v>8762</v>
      </c>
      <c r="C8892" t="str">
        <f>IFERROR(__xludf.DUMMYFUNCTION("GOOGLETRANSLATE(B8892, ""fr"", ""en"")"),"Kettle Cafe satifaisant very green tea")</f>
        <v>Kettle Cafe satifaisant very green tea</v>
      </c>
    </row>
    <row r="8893">
      <c r="A8893" s="1">
        <v>4.0</v>
      </c>
      <c r="B8893" s="1" t="s">
        <v>8763</v>
      </c>
      <c r="C8893" t="str">
        <f>IFERROR(__xludf.DUMMYFUNCTION("GOOGLETRANSLATE(B8893, ""fr"", ""en"")"),"Good product consultant. It is easy to use, adapts to Aven bottles, makes no noise, and the heating time is not very long, happy with my purchase.")</f>
        <v>Good product consultant. It is easy to use, adapts to Aven bottles, makes no noise, and the heating time is not very long, happy with my purchase.</v>
      </c>
    </row>
    <row r="8894">
      <c r="A8894" s="1">
        <v>5.0</v>
      </c>
      <c r="B8894" s="1" t="s">
        <v>8764</v>
      </c>
      <c r="C8894" t="str">
        <f>IFERROR(__xludf.DUMMYFUNCTION("GOOGLETRANSLATE(B8894, ""fr"", ""en"")"),"Excellent product Tresbon bottle, I was using already bb pr 1 and now bb2 Washes very well, my baby takes great pacifier.")</f>
        <v>Excellent product Tresbon bottle, I was using already bb pr 1 and now bb2 Washes very well, my baby takes great pacifier.</v>
      </c>
    </row>
    <row r="8895">
      <c r="A8895" s="1">
        <v>5.0</v>
      </c>
      <c r="B8895" s="1" t="s">
        <v>8765</v>
      </c>
      <c r="C8895" t="str">
        <f>IFERROR(__xludf.DUMMYFUNCTION("GOOGLETRANSLATE(B8895, ""fr"", ""en"")"),"Blue Bottle has dragee x24 Super happy is better than I thought for the price")</f>
        <v>Blue Bottle has dragee x24 Super happy is better than I thought for the price</v>
      </c>
    </row>
    <row r="8896">
      <c r="A8896" s="1">
        <v>5.0</v>
      </c>
      <c r="B8896" s="1" t="s">
        <v>8766</v>
      </c>
      <c r="C8896" t="str">
        <f>IFERROR(__xludf.DUMMYFUNCTION("GOOGLETRANSLATE(B8896, ""fr"", ""en"")"),"Perfect size, comfortable Good value for money. Lot 10 offers a large number of pairs, for a reasonable price with a real comfort of use.")</f>
        <v>Perfect size, comfortable Good value for money. Lot 10 offers a large number of pairs, for a reasonable price with a real comfort of use.</v>
      </c>
    </row>
    <row r="8897">
      <c r="A8897" s="1">
        <v>5.0</v>
      </c>
      <c r="B8897" s="1" t="s">
        <v>8767</v>
      </c>
      <c r="C8897" t="str">
        <f>IFERROR(__xludf.DUMMYFUNCTION("GOOGLETRANSLATE(B8897, ""fr"", ""en"")"),"Imùpeccable The cartridge is an original. She arrived on time. I tried it and do not worry it works great. It is recognized by HP. And it is full. Thank you so much.")</f>
        <v>Imùpeccable The cartridge is an original. She arrived on time. I tried it and do not worry it works great. It is recognized by HP. And it is full. Thank you so much.</v>
      </c>
    </row>
    <row r="8898">
      <c r="A8898" s="1">
        <v>5.0</v>
      </c>
      <c r="B8898" s="1" t="s">
        <v>8768</v>
      </c>
      <c r="C8898" t="str">
        <f>IFERROR(__xludf.DUMMYFUNCTION("GOOGLETRANSLATE(B8898, ""fr"", ""en"")"),"Good value Very satisfied of this purchase price")</f>
        <v>Good value Very satisfied of this purchase price</v>
      </c>
    </row>
    <row r="8899">
      <c r="A8899" s="1">
        <v>5.0</v>
      </c>
      <c r="B8899" s="1" t="s">
        <v>8769</v>
      </c>
      <c r="C8899" t="str">
        <f>IFERROR(__xludf.DUMMYFUNCTION("GOOGLETRANSLATE(B8899, ""fr"", ""en"")"),"comfort Entertainment")</f>
        <v>comfort Entertainment</v>
      </c>
    </row>
    <row r="8900">
      <c r="A8900" s="1">
        <v>5.0</v>
      </c>
      <c r="B8900" s="1" t="s">
        <v>8770</v>
      </c>
      <c r="C8900" t="str">
        <f>IFERROR(__xludf.DUMMYFUNCTION("GOOGLETRANSLATE(B8900, ""fr"", ""en"")"),"before Christmas I knew this album, I was sure to please! The story really liked the small and elders!")</f>
        <v>before Christmas I knew this album, I was sure to please! The story really liked the small and elders!</v>
      </c>
    </row>
    <row r="8901">
      <c r="A8901" s="1">
        <v>5.0</v>
      </c>
      <c r="B8901" s="1" t="s">
        <v>8771</v>
      </c>
      <c r="C8901" t="str">
        <f>IFERROR(__xludf.DUMMYFUNCTION("GOOGLETRANSLATE(B8901, ""fr"", ""en"")"),"I just love it ! I'm a little fun little casio old top nothing to say she is very thin but Jaime lot")</f>
        <v>I just love it ! I'm a little fun little casio old top nothing to say she is very thin but Jaime lot</v>
      </c>
    </row>
    <row r="8902">
      <c r="A8902" s="1">
        <v>5.0</v>
      </c>
      <c r="B8902" s="1" t="s">
        <v>8772</v>
      </c>
      <c r="C8902" t="str">
        <f>IFERROR(__xludf.DUMMYFUNCTION("GOOGLETRANSLATE(B8902, ""fr"", ""en"")"),"top pretty as the description, good size")</f>
        <v>top pretty as the description, good size</v>
      </c>
    </row>
    <row r="8903">
      <c r="A8903" s="1">
        <v>5.0</v>
      </c>
      <c r="B8903" s="1" t="s">
        <v>8773</v>
      </c>
      <c r="C8903" t="str">
        <f>IFERROR(__xludf.DUMMYFUNCTION("GOOGLETRANSLATE(B8903, ""fr"", ""en"")"),"I bought! I love this product! I use it very often stewed my babies. And I have no complaints. it is easy to use, it cleans very well.")</f>
        <v>I bought! I love this product! I use it very often stewed my babies. And I have no complaints. it is easy to use, it cleans very well.</v>
      </c>
    </row>
    <row r="8904">
      <c r="A8904" s="1">
        <v>5.0</v>
      </c>
      <c r="B8904" s="1" t="s">
        <v>8774</v>
      </c>
      <c r="C8904" t="str">
        <f>IFERROR(__xludf.DUMMYFUNCTION("GOOGLETRANSLATE(B8904, ""fr"", ""en"")"),"shows a beautiful watch that is accurate announced in time, with a strong battery life to two years.")</f>
        <v>shows a beautiful watch that is accurate announced in time, with a strong battery life to two years.</v>
      </c>
    </row>
    <row r="8905">
      <c r="A8905" s="1">
        <v>5.0</v>
      </c>
      <c r="B8905" s="1" t="s">
        <v>8775</v>
      </c>
      <c r="C8905" t="str">
        <f>IFERROR(__xludf.DUMMYFUNCTION("GOOGLETRANSLATE(B8905, ""fr"", ""en"")"),"very nice watch the fun")</f>
        <v>very nice watch the fun</v>
      </c>
    </row>
    <row r="8906">
      <c r="A8906" s="1">
        <v>5.0</v>
      </c>
      <c r="B8906" s="1" t="s">
        <v>8776</v>
      </c>
      <c r="C8906" t="str">
        <f>IFERROR(__xludf.DUMMYFUNCTION("GOOGLETRANSLATE(B8906, ""fr"", ""en"")"),"Good product Good product, comfortable and above all more beautiful than I thought.")</f>
        <v>Good product Good product, comfortable and above all more beautiful than I thought.</v>
      </c>
    </row>
    <row r="8907">
      <c r="A8907" s="1">
        <v>5.0</v>
      </c>
      <c r="B8907" s="1" t="s">
        <v>8777</v>
      </c>
      <c r="C8907" t="str">
        <f>IFERROR(__xludf.DUMMYFUNCTION("GOOGLETRANSLATE(B8907, ""fr"", ""en"")"),"Excellent perfect product, suitable size as indicated, very comfortable to wear, I recommend and I'll order another. Thank you")</f>
        <v>Excellent perfect product, suitable size as indicated, very comfortable to wear, I recommend and I'll order another. Thank you</v>
      </c>
    </row>
    <row r="8908">
      <c r="A8908" s="1">
        <v>5.0</v>
      </c>
      <c r="B8908" s="1" t="s">
        <v>8778</v>
      </c>
      <c r="C8908" t="str">
        <f>IFERROR(__xludf.DUMMYFUNCTION("GOOGLETRANSLATE(B8908, ""fr"", ""en"")"),"Vintage A kdo for geek.")</f>
        <v>Vintage A kdo for geek.</v>
      </c>
    </row>
    <row r="8909">
      <c r="A8909" s="1">
        <v>5.0</v>
      </c>
      <c r="B8909" s="1" t="s">
        <v>8779</v>
      </c>
      <c r="C8909" t="str">
        <f>IFERROR(__xludf.DUMMYFUNCTION("GOOGLETRANSLATE(B8909, ""fr"", ""en"")"),"on top is by far the best coffee I've ever owned, it is beautiful accurate and not very bulky I valid and I highly recommend")</f>
        <v>on top is by far the best coffee I've ever owned, it is beautiful accurate and not very bulky I valid and I highly recommend</v>
      </c>
    </row>
    <row r="8910">
      <c r="A8910" s="1">
        <v>2.0</v>
      </c>
      <c r="B8910" s="1" t="s">
        <v>8780</v>
      </c>
      <c r="C8910" t="str">
        <f>IFERROR(__xludf.DUMMYFUNCTION("GOOGLETRANSLATE(B8910, ""fr"", ""en"")"),"Poor protection bubbles resistance At the slightest handling the bubbles burst. Very poor quality for a sensible product protection.")</f>
        <v>Poor protection bubbles resistance At the slightest handling the bubbles burst. Very poor quality for a sensible product protection.</v>
      </c>
    </row>
    <row r="8911">
      <c r="A8911" s="1">
        <v>1.0</v>
      </c>
      <c r="B8911" s="1" t="s">
        <v>8781</v>
      </c>
      <c r="C8911" t="str">
        <f>IFERROR(__xludf.DUMMYFUNCTION("GOOGLETRANSLATE(B8911, ""fr"", ""en"")"),"Bad Wanted as a gift. Seemed to me the best quality picture. Disappointed made real.")</f>
        <v>Bad Wanted as a gift. Seemed to me the best quality picture. Disappointed made real.</v>
      </c>
    </row>
    <row r="8912">
      <c r="A8912" s="1">
        <v>1.0</v>
      </c>
      <c r="B8912" s="1" t="s">
        <v>8782</v>
      </c>
      <c r="C8912" t="str">
        <f>IFERROR(__xludf.DUMMYFUNCTION("GOOGLETRANSLATE(B8912, ""fr"", ""en"")"),"Disappointed Pants controlled in size S and size L received ... Needless to say I am absolutely not satisfied.")</f>
        <v>Disappointed Pants controlled in size S and size L received ... Needless to say I am absolutely not satisfied.</v>
      </c>
    </row>
    <row r="8913">
      <c r="A8913" s="1">
        <v>3.0</v>
      </c>
      <c r="B8913" s="1" t="s">
        <v>8783</v>
      </c>
      <c r="C8913" t="str">
        <f>IFERROR(__xludf.DUMMYFUNCTION("GOOGLETRANSLATE(B8913, ""fr"", ""en"")"),"Average quality No worries about the size, the product is very well packed. But I find the quality of the ""leather"" average. Considering the price I expected a little leather thicker and softer appearance and a little cheap. I'm afraid the leather craqu"&amp;"ele so fast it has already natural folds a worrying aspect. I would see the use. The cut is also Myenne. I had cheaper shoes with a cut a little more elaborate.")</f>
        <v>Average quality No worries about the size, the product is very well packed. But I find the quality of the "leather" average. Considering the price I expected a little leather thicker and softer appearance and a little cheap. I'm afraid the leather craquele so fast it has already natural folds a worrying aspect. I would see the use. The cut is also Myenne. I had cheaper shoes with a cut a little more elaborate.</v>
      </c>
    </row>
    <row r="8914">
      <c r="A8914" s="1">
        <v>4.0</v>
      </c>
      <c r="B8914" s="1" t="s">
        <v>8784</v>
      </c>
      <c r="C8914" t="str">
        <f>IFERROR(__xludf.DUMMYFUNCTION("GOOGLETRANSLATE(B8914, ""fr"", ""en"")"),"Meets After 3 weeks of use, I do not see yet effective, but it is probably too early. The stimulation is very strong in the end and you have to take a little self - a bit is not horrible - to go to the higher powers. I'm a size 36 and it's perfect, I have"&amp;" the margin but it holds.")</f>
        <v>Meets After 3 weeks of use, I do not see yet effective, but it is probably too early. The stimulation is very strong in the end and you have to take a little self - a bit is not horrible - to go to the higher powers. I'm a size 36 and it's perfect, I have the margin but it holds.</v>
      </c>
    </row>
    <row r="8915">
      <c r="A8915" s="1">
        <v>4.0</v>
      </c>
      <c r="B8915" s="1" t="s">
        <v>8785</v>
      </c>
      <c r="C8915" t="str">
        <f>IFERROR(__xludf.DUMMYFUNCTION("GOOGLETRANSLATE(B8915, ""fr"", ""en"")"),"Puma Return as too small girl and suddenly I'm not at all recommended, but very pretty")</f>
        <v>Puma Return as too small girl and suddenly I'm not at all recommended, but very pretty</v>
      </c>
    </row>
    <row r="8916">
      <c r="A8916" s="1">
        <v>4.0</v>
      </c>
      <c r="B8916" s="1" t="s">
        <v>8786</v>
      </c>
      <c r="C8916" t="str">
        <f>IFERROR(__xludf.DUMMYFUNCTION("GOOGLETRANSLATE(B8916, ""fr"", ""en"")"),"I adore earrings ears")</f>
        <v>I adore earrings ears</v>
      </c>
    </row>
    <row r="8917">
      <c r="A8917" s="1">
        <v>4.0</v>
      </c>
      <c r="B8917" s="1" t="s">
        <v>8787</v>
      </c>
      <c r="C8917" t="str">
        <f>IFERROR(__xludf.DUMMYFUNCTION("GOOGLETRANSLATE(B8917, ""fr"", ""en"")"),"Super Good product I am satisfied with my order")</f>
        <v>Super Good product I am satisfied with my order</v>
      </c>
    </row>
    <row r="8918">
      <c r="A8918" s="1">
        <v>5.0</v>
      </c>
      <c r="B8918" s="1" t="s">
        <v>8788</v>
      </c>
      <c r="C8918" t="str">
        <f>IFERROR(__xludf.DUMMYFUNCTION("GOOGLETRANSLATE(B8918, ""fr"", ""en"")"),"Super Great product. The design is top with its blue light and temperature selection is a real plus because depending on the type of tea, the degree is not the same. Simple to use and easy to clean I recommend this product without hesitation ☺")</f>
        <v>Super Great product. The design is top with its blue light and temperature selection is a real plus because depending on the type of tea, the degree is not the same. Simple to use and easy to clean I recommend this product without hesitation ☺</v>
      </c>
    </row>
    <row r="8919">
      <c r="A8919" s="1">
        <v>5.0</v>
      </c>
      <c r="B8919" s="1" t="s">
        <v>8789</v>
      </c>
      <c r="C8919" t="str">
        <f>IFERROR(__xludf.DUMMYFUNCTION("GOOGLETRANSLATE(B8919, ""fr"", ""en"")"),"Impeccable exhibition, thank you")</f>
        <v>Impeccable exhibition, thank you</v>
      </c>
    </row>
    <row r="8920">
      <c r="A8920" s="1">
        <v>5.0</v>
      </c>
      <c r="B8920" s="1" t="s">
        <v>8790</v>
      </c>
      <c r="C8920" t="str">
        <f>IFERROR(__xludf.DUMMYFUNCTION("GOOGLETRANSLATE(B8920, ""fr"", ""en"")"),"Great product I advice I advice it's prime for the discovery of solid baby food without risk of swallowing pieces")</f>
        <v>Great product I advice I advice it's prime for the discovery of solid baby food without risk of swallowing pieces</v>
      </c>
    </row>
    <row r="8921">
      <c r="A8921" s="1">
        <v>5.0</v>
      </c>
      <c r="B8921" s="1" t="s">
        <v>8791</v>
      </c>
      <c r="C8921" t="str">
        <f>IFERROR(__xludf.DUMMYFUNCTION("GOOGLETRANSLATE(B8921, ""fr"", ""en"")"),"As expected job and presents a pair of shoelaces and soles more. Thank you")</f>
        <v>As expected job and presents a pair of shoelaces and soles more. Thank you</v>
      </c>
    </row>
    <row r="8922">
      <c r="A8922" s="1">
        <v>5.0</v>
      </c>
      <c r="B8922" s="1" t="s">
        <v>8792</v>
      </c>
      <c r="C8922" t="str">
        <f>IFERROR(__xludf.DUMMYFUNCTION("GOOGLETRANSLATE(B8922, ""fr"", ""en"")"),"perfect Super")</f>
        <v>perfect Super</v>
      </c>
    </row>
    <row r="8923">
      <c r="A8923" s="1">
        <v>5.0</v>
      </c>
      <c r="B8923" s="1" t="s">
        <v>8793</v>
      </c>
      <c r="C8923" t="str">
        <f>IFERROR(__xludf.DUMMYFUNCTION("GOOGLETRANSLATE(B8923, ""fr"", ""en"")"),"a cozy bed after a few nights of use, this is a great product and quality requirements. I recommend to buy because I already used this kind of product but not with this comfort.")</f>
        <v>a cozy bed after a few nights of use, this is a great product and quality requirements. I recommend to buy because I already used this kind of product but not with this comfort.</v>
      </c>
    </row>
    <row r="8924">
      <c r="A8924" s="1">
        <v>5.0</v>
      </c>
      <c r="B8924" s="1" t="s">
        <v>8794</v>
      </c>
      <c r="C8924" t="str">
        <f>IFERROR(__xludf.DUMMYFUNCTION("GOOGLETRANSLATE(B8924, ""fr"", ""en"")"),"What more I ordered this headset following the positive opinion, but as I am audiophile, I still had doubts. The headset is flexible settings make it very discreet on the head. For clarity sound, while there, I was amazed. The sound is clear, bass present"&amp;" just enough, channel separation is top. In short, a long time ago that I had a helmet with a good audio quality and especially the price! How of Happiness.")</f>
        <v>What more I ordered this headset following the positive opinion, but as I am audiophile, I still had doubts. The headset is flexible settings make it very discreet on the head. For clarity sound, while there, I was amazed. The sound is clear, bass present just enough, channel separation is top. In short, a long time ago that I had a helmet with a good audio quality and especially the price! How of Happiness.</v>
      </c>
    </row>
    <row r="8925">
      <c r="A8925" s="1">
        <v>5.0</v>
      </c>
      <c r="B8925" s="1" t="s">
        <v>8795</v>
      </c>
      <c r="C8925" t="str">
        <f>IFERROR(__xludf.DUMMYFUNCTION("GOOGLETRANSLATE(B8925, ""fr"", ""en"")"),"Top Idee gifts my daughter is the product angel on top")</f>
        <v>Top Idee gifts my daughter is the product angel on top</v>
      </c>
    </row>
    <row r="8926">
      <c r="A8926" s="1">
        <v>5.0</v>
      </c>
      <c r="B8926" s="1" t="s">
        <v>8796</v>
      </c>
      <c r="C8926" t="str">
        <f>IFERROR(__xludf.DUMMYFUNCTION("GOOGLETRANSLATE(B8926, ""fr"", ""en"")"),"G-Shock guaranteed Commissioned effect for daily use ""nice"" and not for the heavy work, the style completely seduced me. I was hesitant given the size, considering my wrist as small. In the end, it makes it superbly well, is very light for its appearanc"&amp;"e and demonstrated unprecedented comfort for me. In short, I like it already. I simply point out that it is a watch ""tactical"": it features, but its primary purpose is discretion. It is not bling bling, its lighting highlights the needles but it's good "&amp;"enough when you know the purpose of the watch. UPDATE: 2 weeks later, I did removes more. This watch is really perfect. I read the reviews, some complain of its size, up to the call ""tractor wheel."" I certainly did not a big wrist and gives beautifully."&amp;" For the price, it's very high level.")</f>
        <v>G-Shock guaranteed Commissioned effect for daily use "nice" and not for the heavy work, the style completely seduced me. I was hesitant given the size, considering my wrist as small. In the end, it makes it superbly well, is very light for its appearance and demonstrated unprecedented comfort for me. In short, I like it already. I simply point out that it is a watch "tactical": it features, but its primary purpose is discretion. It is not bling bling, its lighting highlights the needles but it's good enough when you know the purpose of the watch. UPDATE: 2 weeks later, I did removes more. This watch is really perfect. I read the reviews, some complain of its size, up to the call "tractor wheel." I certainly did not a big wrist and gives beautifully. For the price, it's very high level.</v>
      </c>
    </row>
    <row r="8927">
      <c r="A8927" s="1">
        <v>5.0</v>
      </c>
      <c r="B8927" s="1" t="s">
        <v>8797</v>
      </c>
      <c r="C8927" t="str">
        <f>IFERROR(__xludf.DUMMYFUNCTION("GOOGLETRANSLATE(B8927, ""fr"", ""en"")"),"I conform shoes of 42, good socks held at the foot")</f>
        <v>I conform shoes of 42, good socks held at the foot</v>
      </c>
    </row>
    <row r="8928">
      <c r="A8928" s="1">
        <v>5.0</v>
      </c>
      <c r="B8928" s="1" t="s">
        <v>8798</v>
      </c>
      <c r="C8928" t="str">
        <f>IFERROR(__xludf.DUMMYFUNCTION("GOOGLETRANSLATE(B8928, ""fr"", ""en"")"),"Super Good quality and comfortable")</f>
        <v>Super Good quality and comfortable</v>
      </c>
    </row>
    <row r="8929">
      <c r="A8929" s="1">
        <v>5.0</v>
      </c>
      <c r="B8929" s="1" t="s">
        <v>8799</v>
      </c>
      <c r="C8929" t="str">
        <f>IFERROR(__xludf.DUMMYFUNCTION("GOOGLETRANSLATE(B8929, ""fr"", ""en"")"),"Toooop !!!! C is so awesome that thing! Very little noise to use and super easy! One can choose the massage intensity, time, heat ... really I love it!")</f>
        <v>Toooop !!!! C is so awesome that thing! Very little noise to use and super easy! One can choose the massage intensity, time, heat ... really I love it!</v>
      </c>
    </row>
    <row r="8930">
      <c r="A8930" s="1">
        <v>5.0</v>
      </c>
      <c r="B8930" s="1" t="s">
        <v>8800</v>
      </c>
      <c r="C8930" t="str">
        <f>IFERROR(__xludf.DUMMYFUNCTION("GOOGLETRANSLATE(B8930, ""fr"", ""en"")"),"Super bottle My daughter loves this new bottle! Teat very flat which allows good suction. She refused the bottle, and it saved my life")</f>
        <v>Super bottle My daughter loves this new bottle! Teat very flat which allows good suction. She refused the bottle, and it saved my life</v>
      </c>
    </row>
    <row r="8931">
      <c r="A8931" s="1">
        <v>5.0</v>
      </c>
      <c r="B8931" s="1" t="s">
        <v>8801</v>
      </c>
      <c r="C8931" t="str">
        <f>IFERROR(__xludf.DUMMYFUNCTION("GOOGLETRANSLATE(B8931, ""fr"", ""en"")"),"perfect! is perfect. Matches our attentes.je highly recommend, going very well with jeans or shorts. Atemporel.je recommends")</f>
        <v>perfect! is perfect. Matches our attentes.je highly recommend, going very well with jeans or shorts. Atemporel.je recommends</v>
      </c>
    </row>
    <row r="8932">
      <c r="A8932" s="1">
        <v>5.0</v>
      </c>
      <c r="B8932" s="1" t="s">
        <v>8802</v>
      </c>
      <c r="C8932" t="str">
        <f>IFERROR(__xludf.DUMMYFUNCTION("GOOGLETRANSLATE(B8932, ""fr"", ""en"")"),"well i iphone 7 suddenly no headphone jack and suddenly this is perfect for me")</f>
        <v>well i iphone 7 suddenly no headphone jack and suddenly this is perfect for me</v>
      </c>
    </row>
    <row r="8933">
      <c r="A8933" s="1">
        <v>2.0</v>
      </c>
      <c r="B8933" s="1" t="s">
        <v>8803</v>
      </c>
      <c r="C8933" t="str">
        <f>IFERROR(__xludf.DUMMYFUNCTION("GOOGLETRANSLATE(B8933, ""fr"", ""en"")"),"puma socks rather poor quality product, the tissue is extremely thin and snowsports socks on the skin which is not very pleasant at output a bit long .... ultimately disappointed by this article .....")</f>
        <v>puma socks rather poor quality product, the tissue is extremely thin and snowsports socks on the skin which is not very pleasant at output a bit long .... ultimately disappointed by this article .....</v>
      </c>
    </row>
    <row r="8934">
      <c r="A8934" s="1">
        <v>1.0</v>
      </c>
      <c r="B8934" s="1" t="s">
        <v>8804</v>
      </c>
      <c r="C8934" t="str">
        <f>IFERROR(__xludf.DUMMYFUNCTION("GOOGLETRANSLATE(B8934, ""fr"", ""en"")"),"Too small size does not fit all too small")</f>
        <v>Too small size does not fit all too small</v>
      </c>
    </row>
    <row r="8935">
      <c r="A8935" s="1">
        <v>3.0</v>
      </c>
      <c r="B8935" s="1" t="s">
        <v>8805</v>
      </c>
      <c r="C8935" t="str">
        <f>IFERROR(__xludf.DUMMYFUNCTION("GOOGLETRANSLATE(B8935, ""fr"", ""en"")"),"Good size a little late, bags conform to the picture but I find them a little thin: proof plastic bag of ""frieze"" slightly (see picture).")</f>
        <v>Good size a little late, bags conform to the picture but I find them a little thin: proof plastic bag of "frieze" slightly (see picture).</v>
      </c>
    </row>
    <row r="8936">
      <c r="A8936" s="1">
        <v>3.0</v>
      </c>
      <c r="B8936" s="1" t="s">
        <v>8806</v>
      </c>
      <c r="C8936" t="str">
        <f>IFERROR(__xludf.DUMMYFUNCTION("GOOGLETRANSLATE(B8936, ""fr"", ""en"")"),"very good - attention to the weight of the microphone, however - very good stabilization. I installed him as NT1-A Micro. this microphone is so heavy foot can have such stabilization problems because the tripod is short. However, if you do not need to use"&amp;" the boom to enjoy a certain distance there will be no stabilization problem. I am very satisfied though. the settings are clean, solid fixings.")</f>
        <v>very good - attention to the weight of the microphone, however - very good stabilization. I installed him as NT1-A Micro. this microphone is so heavy foot can have such stabilization problems because the tripod is short. However, if you do not need to use the boom to enjoy a certain distance there will be no stabilization problem. I am very satisfied though. the settings are clean, solid fixings.</v>
      </c>
    </row>
    <row r="8937">
      <c r="A8937" s="1">
        <v>4.0</v>
      </c>
      <c r="B8937" s="1" t="s">
        <v>2457</v>
      </c>
      <c r="C8937" t="str">
        <f>IFERROR(__xludf.DUMMYFUNCTION("GOOGLETRANSLATE(B8937, ""fr"", ""en"")"),"Ok Ok")</f>
        <v>Ok Ok</v>
      </c>
    </row>
    <row r="8938">
      <c r="A8938" s="1">
        <v>4.0</v>
      </c>
      <c r="B8938" s="1" t="s">
        <v>8807</v>
      </c>
      <c r="C8938" t="str">
        <f>IFERROR(__xludf.DUMMYFUNCTION("GOOGLETRANSLATE(B8938, ""fr"", ""en"")"),"Perfect .. Nice to table this achat..j was torn between several models because it takes into account the report criterion price / quality / comfort (thick mattress) / weight (light to carry) / aesthetic (beautiful table, beautiful finishes seams, warm wit"&amp;"h its wooden structure) / convenience (easy unfolding, folding table, accessories installation speed and height adjustment) .. cover transportation correct ... for the price it is perfect, I highly recommend!")</f>
        <v>Perfect .. Nice to table this achat..j was torn between several models because it takes into account the report criterion price / quality / comfort (thick mattress) / weight (light to carry) / aesthetic (beautiful table, beautiful finishes seams, warm with its wooden structure) / convenience (easy unfolding, folding table, accessories installation speed and height adjustment) .. cover transportation correct ... for the price it is perfect, I highly recommend!</v>
      </c>
    </row>
    <row r="8939">
      <c r="A8939" s="1">
        <v>4.0</v>
      </c>
      <c r="B8939" s="1" t="s">
        <v>8808</v>
      </c>
      <c r="C8939" t="str">
        <f>IFERROR(__xludf.DUMMYFUNCTION("GOOGLETRANSLATE(B8939, ""fr"", ""en"")"),"Had its effect even if the quality is just average The sweatshirt is very good and meets the aesthetic expectations. Only flaw, quality. Fabric a little late that could age badly. But for the price we are still happy.")</f>
        <v>Had its effect even if the quality is just average The sweatshirt is very good and meets the aesthetic expectations. Only flaw, quality. Fabric a little late that could age badly. But for the price we are still happy.</v>
      </c>
    </row>
    <row r="8940">
      <c r="A8940" s="1">
        <v>4.0</v>
      </c>
      <c r="B8940" s="1" t="s">
        <v>8809</v>
      </c>
      <c r="C8940" t="str">
        <f>IFERROR(__xludf.DUMMYFUNCTION("GOOGLETRANSLATE(B8940, ""fr"", ""en"")"),"These sneakers are very nice very nice and color according to the announcement. Attention to the size, I put on 35 and took 36 as recommended when choosing size and I do not regret because they are doing very well.")</f>
        <v>These sneakers are very nice very nice and color according to the announcement. Attention to the size, I put on 35 and took 36 as recommended when choosing size and I do not regret because they are doing very well.</v>
      </c>
    </row>
    <row r="8941">
      <c r="A8941" s="1">
        <v>5.0</v>
      </c>
      <c r="B8941" s="1" t="s">
        <v>8810</v>
      </c>
      <c r="C8941" t="str">
        <f>IFERROR(__xludf.DUMMYFUNCTION("GOOGLETRANSLATE(B8941, ""fr"", ""en"")"),"Divine Earrings Indian princess ears! They are beautiful, finesse and delicacy. I highly recommend these jewels to offer or afford!")</f>
        <v>Divine Earrings Indian princess ears! They are beautiful, finesse and delicacy. I highly recommend these jewels to offer or afford!</v>
      </c>
    </row>
    <row r="8942">
      <c r="A8942" s="1">
        <v>5.0</v>
      </c>
      <c r="B8942" s="1" t="s">
        <v>8811</v>
      </c>
      <c r="C8942" t="str">
        <f>IFERROR(__xludf.DUMMYFUNCTION("GOOGLETRANSLATE(B8942, ""fr"", ""en"")"),"Very good Everyday")</f>
        <v>Very good Everyday</v>
      </c>
    </row>
    <row r="8943">
      <c r="A8943" s="1">
        <v>5.0</v>
      </c>
      <c r="B8943" s="1" t="s">
        <v>8812</v>
      </c>
      <c r="C8943" t="str">
        <f>IFERROR(__xludf.DUMMYFUNCTION("GOOGLETRANSLATE(B8943, ""fr"", ""en"")"),"Excellent headphones I use this headset for nearly a me with total satisfaction. It keeps well on the head loosely and without being disturbed by the handle above his head, which was the case with my old helmet. I use it mainly at night so as not to distu"&amp;"rb the neighbors while enjoying a comfortable listening very correct and dynamic sound that captures the moods. The battery life is good, I recharge the headset about 3 times over a period of 2 weeks. It pretty well takes the same Bluetooth connection by "&amp;"going to a aure room until about 5 or 6 meters and 2 walls to cross")</f>
        <v>Excellent headphones I use this headset for nearly a me with total satisfaction. It keeps well on the head loosely and without being disturbed by the handle above his head, which was the case with my old helmet. I use it mainly at night so as not to disturb the neighbors while enjoying a comfortable listening very correct and dynamic sound that captures the moods. The battery life is good, I recharge the headset about 3 times over a period of 2 weeks. It pretty well takes the same Bluetooth connection by going to a aure room until about 5 or 6 meters and 2 walls to cross</v>
      </c>
    </row>
    <row r="8944">
      <c r="A8944" s="1">
        <v>5.0</v>
      </c>
      <c r="B8944" s="1" t="s">
        <v>8813</v>
      </c>
      <c r="C8944" t="str">
        <f>IFERROR(__xludf.DUMMYFUNCTION("GOOGLETRANSLATE(B8944, ""fr"", ""en"")"),"Comfort Go walk after work")</f>
        <v>Comfort Go walk after work</v>
      </c>
    </row>
    <row r="8945">
      <c r="A8945" s="1">
        <v>5.0</v>
      </c>
      <c r="B8945" s="1" t="s">
        <v>8814</v>
      </c>
      <c r="C8945" t="str">
        <f>IFERROR(__xludf.DUMMYFUNCTION("GOOGLETRANSLATE(B8945, ""fr"", ""en"")"),"A nice aesthetic and practical product for a low price, very convenient to listen without disturbing and stay abreast of ambient noise.")</f>
        <v>A nice aesthetic and practical product for a low price, very convenient to listen without disturbing and stay abreast of ambient noise.</v>
      </c>
    </row>
    <row r="8946">
      <c r="A8946" s="1">
        <v>5.0</v>
      </c>
      <c r="B8946" s="1" t="s">
        <v>8815</v>
      </c>
      <c r="C8946" t="str">
        <f>IFERROR(__xludf.DUMMYFUNCTION("GOOGLETRANSLATE(B8946, ""fr"", ""en"")"),"Perfect Perfect for the price, just what I needed!")</f>
        <v>Perfect Perfect for the price, just what I needed!</v>
      </c>
    </row>
    <row r="8947">
      <c r="A8947" s="1">
        <v>5.0</v>
      </c>
      <c r="B8947" s="1" t="s">
        <v>8816</v>
      </c>
      <c r="C8947" t="str">
        <f>IFERROR(__xludf.DUMMYFUNCTION("GOOGLETRANSLATE(B8947, ""fr"", ""en"")"),"Excellent shoes Very nice shoes, very comfortable, excellent quality / price! A quality customer service also. I was wrong in size and news reached me a few days later. I highly recommend !")</f>
        <v>Excellent shoes Very nice shoes, very comfortable, excellent quality / price! A quality customer service also. I was wrong in size and news reached me a few days later. I highly recommend !</v>
      </c>
    </row>
    <row r="8948">
      <c r="A8948" s="1">
        <v>5.0</v>
      </c>
      <c r="B8948" s="1" t="s">
        <v>8817</v>
      </c>
      <c r="C8948" t="str">
        <f>IFERROR(__xludf.DUMMYFUNCTION("GOOGLETRANSLATE(B8948, ""fr"", ""en"")"),"Check out super Tuesday Wednesday always received top amazon rapid fluid delivery the package intact and earpiece are superb me that was a little tank for the sport I was afraid that his remains in place in the right ear nickel I recommend this product")</f>
        <v>Check out super Tuesday Wednesday always received top amazon rapid fluid delivery the package intact and earpiece are superb me that was a little tank for the sport I was afraid that his remains in place in the right ear nickel I recommend this product</v>
      </c>
    </row>
    <row r="8949">
      <c r="A8949" s="1">
        <v>5.0</v>
      </c>
      <c r="B8949" s="1" t="s">
        <v>8818</v>
      </c>
      <c r="C8949" t="str">
        <f>IFERROR(__xludf.DUMMYFUNCTION("GOOGLETRANSLATE(B8949, ""fr"", ""en"")"),"Watch Pretty man watches I recommend")</f>
        <v>Watch Pretty man watches I recommend</v>
      </c>
    </row>
    <row r="8950">
      <c r="A8950" s="1">
        <v>5.0</v>
      </c>
      <c r="B8950" s="1" t="s">
        <v>8819</v>
      </c>
      <c r="C8950" t="str">
        <f>IFERROR(__xludf.DUMMYFUNCTION("GOOGLETRANSLATE(B8950, ""fr"", ""en"")"),"Purchase satisfactory size nickel - Good quality / soft socks FYI, they go back a little bit on the ankle so personally that's what I wanted to avoid that slip under my shoe. Very satisfied with my purchase")</f>
        <v>Purchase satisfactory size nickel - Good quality / soft socks FYI, they go back a little bit on the ankle so personally that's what I wanted to avoid that slip under my shoe. Very satisfied with my purchase</v>
      </c>
    </row>
    <row r="8951">
      <c r="A8951" s="1">
        <v>5.0</v>
      </c>
      <c r="B8951" s="1" t="s">
        <v>8820</v>
      </c>
      <c r="C8951" t="str">
        <f>IFERROR(__xludf.DUMMYFUNCTION("GOOGLETRANSLATE(B8951, ""fr"", ""en"")"),"Its comfort and the look I like his look.")</f>
        <v>Its comfort and the look I like his look.</v>
      </c>
    </row>
    <row r="8952">
      <c r="A8952" s="1">
        <v>5.0</v>
      </c>
      <c r="B8952" s="1" t="s">
        <v>8821</v>
      </c>
      <c r="C8952" t="str">
        <f>IFERROR(__xludf.DUMMYFUNCTION("GOOGLETRANSLATE(B8952, ""fr"", ""en"")"),"Effective Odor Perfect as all essential oils that I use either a few drops to deodorize garbage kitchen, bathroom or cat litter,")</f>
        <v>Effective Odor Perfect as all essential oils that I use either a few drops to deodorize garbage kitchen, bathroom or cat litter,</v>
      </c>
    </row>
    <row r="8953">
      <c r="A8953" s="1">
        <v>5.0</v>
      </c>
      <c r="B8953" s="1" t="s">
        <v>8822</v>
      </c>
      <c r="C8953" t="str">
        <f>IFERROR(__xludf.DUMMYFUNCTION("GOOGLETRANSLATE(B8953, ""fr"", ""en"")"),"Boots purchased to replace the same pattern but was tired after 10 years of boots purchased service to replace the same pattern but was tired after 10 years of service No remarks")</f>
        <v>Boots purchased to replace the same pattern but was tired after 10 years of boots purchased service to replace the same pattern but was tired after 10 years of service No remarks</v>
      </c>
    </row>
    <row r="8954">
      <c r="A8954" s="1">
        <v>5.0</v>
      </c>
      <c r="B8954" s="1" t="s">
        <v>8823</v>
      </c>
      <c r="C8954" t="str">
        <f>IFERROR(__xludf.DUMMYFUNCTION("GOOGLETRANSLATE(B8954, ""fr"", ""en"")"),"For a good start in life! Everything is well thought out in this kit: - nipples of baby bottles have a very broad base which allow a great comfort. - They are very well designed for the flow of milk is not too fast and that the baby does not have too much"&amp;" air while drinking. - Ergonomics of the bottle is perfect for all hands, large and small (I mean those who hold the bottle ... the baby is too small at that age!) - the proposed capabilities allow an evolution for the first months . - the nipple is rever"&amp;"sible. This form is my preference for the younger age (as opposed to the teats beveled) - the cleaning brush is designed for the bottle and nipples: unscrewing the handle and a small brush appears. - of course, BPA (since the time!) - Finally, I love the "&amp;"mixed colors for babies. Nothing better to start in life!")</f>
        <v>For a good start in life! Everything is well thought out in this kit: - nipples of baby bottles have a very broad base which allow a great comfort. - They are very well designed for the flow of milk is not too fast and that the baby does not have too much air while drinking. - Ergonomics of the bottle is perfect for all hands, large and small (I mean those who hold the bottle ... the baby is too small at that age!) - the proposed capabilities allow an evolution for the first months . - the nipple is reversible. This form is my preference for the younger age (as opposed to the teats beveled) - the cleaning brush is designed for the bottle and nipples: unscrewing the handle and a small brush appears. - of course, BPA (since the time!) - Finally, I love the mixed colors for babies. Nothing better to start in life!</v>
      </c>
    </row>
    <row r="8955">
      <c r="A8955" s="1">
        <v>5.0</v>
      </c>
      <c r="B8955" s="1" t="s">
        <v>8824</v>
      </c>
      <c r="C8955" t="str">
        <f>IFERROR(__xludf.DUMMYFUNCTION("GOOGLETRANSLATE(B8955, ""fr"", ""en"")"),"good quality I received my socks 1 week before the expected time very happy. The socks are of good quality health and well held after the washes Also the size is fine. I recommend !")</f>
        <v>good quality I received my socks 1 week before the expected time very happy. The socks are of good quality health and well held after the washes Also the size is fine. I recommend !</v>
      </c>
    </row>
    <row r="8956">
      <c r="A8956" s="1">
        <v>2.0</v>
      </c>
      <c r="B8956" s="1" t="s">
        <v>8825</v>
      </c>
      <c r="C8956" t="str">
        <f>IFERROR(__xludf.DUMMYFUNCTION("GOOGLETRANSLATE(B8956, ""fr"", ""en"")"),"Pretty but that's all pretty kettle but bulky and noisy. Not all aluminum. plastic elements inside. A brown liquid that flows from the handle joints and spout during the first use. persistent hot plastic odor.")</f>
        <v>Pretty but that's all pretty kettle but bulky and noisy. Not all aluminum. plastic elements inside. A brown liquid that flows from the handle joints and spout during the first use. persistent hot plastic odor.</v>
      </c>
    </row>
    <row r="8957">
      <c r="A8957" s="1">
        <v>1.0</v>
      </c>
      <c r="B8957" s="1" t="s">
        <v>8826</v>
      </c>
      <c r="C8957" t="str">
        <f>IFERROR(__xludf.DUMMYFUNCTION("GOOGLETRANSLATE(B8957, ""fr"", ""en"")"),"Does not improve the sound from the microphone of the phone's desprise had bought for her in concert. No improvement in the sound compared to the native microphone samsung s4. I sent the article.")</f>
        <v>Does not improve the sound from the microphone of the phone's desprise had bought for her in concert. No improvement in the sound compared to the native microphone samsung s4. I sent the article.</v>
      </c>
    </row>
    <row r="8958">
      <c r="A8958" s="1">
        <v>1.0</v>
      </c>
      <c r="B8958" s="1" t="s">
        <v>8827</v>
      </c>
      <c r="C8958" t="str">
        <f>IFERROR(__xludf.DUMMYFUNCTION("GOOGLETRANSLATE(B8958, ""fr"", ""en"")"),"Once opened and broken product. I advise against. The product happened to me late with damaged packaging and the product that was not working. I recommend suddenly, this kind of purchase on the Internet.")</f>
        <v>Once opened and broken product. I advise against. The product happened to me late with damaged packaging and the product that was not working. I recommend suddenly, this kind of purchase on the Internet.</v>
      </c>
    </row>
    <row r="8959">
      <c r="A8959" s="1">
        <v>3.0</v>
      </c>
      <c r="B8959" s="1" t="s">
        <v>8828</v>
      </c>
      <c r="C8959" t="str">
        <f>IFERROR(__xludf.DUMMYFUNCTION("GOOGLETRANSLATE(B8959, ""fr"", ""en"")"),"Outrageous I received of timberland but in a disproportionate size. In return however in no worries and I have repaid 👍")</f>
        <v>Outrageous I received of timberland but in a disproportionate size. In return however in no worries and I have repaid 👍</v>
      </c>
    </row>
    <row r="8960">
      <c r="A8960" s="1">
        <v>4.0</v>
      </c>
      <c r="B8960" s="1" t="s">
        <v>8829</v>
      </c>
      <c r="C8960" t="str">
        <f>IFERROR(__xludf.DUMMYFUNCTION("GOOGLETRANSLATE(B8960, ""fr"", ""en"")"),"this is to advise without problem I am quite satisfied with a very good article.")</f>
        <v>this is to advise without problem I am quite satisfied with a very good article.</v>
      </c>
    </row>
    <row r="8961">
      <c r="A8961" s="1">
        <v>4.0</v>
      </c>
      <c r="B8961" s="1" t="s">
        <v>8830</v>
      </c>
      <c r="C8961" t="str">
        <f>IFERROR(__xludf.DUMMYFUNCTION("GOOGLETRANSLATE(B8961, ""fr"", ""en"")"),"very stylish and warm I recommeded for every day of the casual outfit but also with basic jeans, with a jog or a miniskirt")</f>
        <v>very stylish and warm I recommeded for every day of the casual outfit but also with basic jeans, with a jog or a miniskirt</v>
      </c>
    </row>
    <row r="8962">
      <c r="A8962" s="1">
        <v>4.0</v>
      </c>
      <c r="B8962" s="1" t="s">
        <v>8831</v>
      </c>
      <c r="C8962" t="str">
        <f>IFERROR(__xludf.DUMMYFUNCTION("GOOGLETRANSLATE(B8962, ""fr"", ""en"")"),"good super jersey equipment s train indoors or outdoors it forms to your body pleasant to wear")</f>
        <v>good super jersey equipment s train indoors or outdoors it forms to your body pleasant to wear</v>
      </c>
    </row>
    <row r="8963">
      <c r="A8963" s="1">
        <v>4.0</v>
      </c>
      <c r="B8963" s="1" t="s">
        <v>8832</v>
      </c>
      <c r="C8963" t="str">
        <f>IFERROR(__xludf.DUMMYFUNCTION("GOOGLETRANSLATE(B8963, ""fr"", ""en"")"),"precaution to certain machine usually I use Cat Sensitive (washing liquid) that Dash 3 in 1 capsule ""equal volume"" is actually more efficient determined on stubborn stains (eg kitchen towel), it is more concentrated in the capsule, where the solution is"&amp;" diluted in a liquid detergent. if you look at the labels we realize that the Dash 3 in 1 bottle contains roughly 2x more active product is also more convenient to handle (it is easier to manipulate one or two capsules a bottle 3/4 liters of washing liqui"&amp;"d) Now personally what angry a little it is very artificial fragrance that emanates from the machine once washed. Beware though, that says more concentrated product, said of precaution, and the label on the Dash 3 in 1 no lack of warnings, including its u"&amp;"se is not recommended for wool and silk. Note: I realize my washes at 40 ° C Viewpoint efficiency / price compared to liquid laundry I would say it is tiend. Now according to your clothes Dash 3 in 1 does not seem to allow you to wash any type of machine."&amp;" So I tend to keep using the Liquid Cat for a little dirty standard wash, and use Dash 3 capsules of 1 to wash all that is spot fat guy (sauce stain) or laundry or you would sweating a lot (sportswear, following physical exertion or heat of summer)")</f>
        <v>precaution to certain machine usually I use Cat Sensitive (washing liquid) that Dash 3 in 1 capsule "equal volume" is actually more efficient determined on stubborn stains (eg kitchen towel), it is more concentrated in the capsule, where the solution is diluted in a liquid detergent. if you look at the labels we realize that the Dash 3 in 1 bottle contains roughly 2x more active product is also more convenient to handle (it is easier to manipulate one or two capsules a bottle 3/4 liters of washing liquid) Now personally what angry a little it is very artificial fragrance that emanates from the machine once washed. Beware though, that says more concentrated product, said of precaution, and the label on the Dash 3 in 1 no lack of warnings, including its use is not recommended for wool and silk. Note: I realize my washes at 40 ° C Viewpoint efficiency / price compared to liquid laundry I would say it is tiend. Now according to your clothes Dash 3 in 1 does not seem to allow you to wash any type of machine. So I tend to keep using the Liquid Cat for a little dirty standard wash, and use Dash 3 capsules of 1 to wash all that is spot fat guy (sauce stain) or laundry or you would sweating a lot (sportswear, following physical exertion or heat of summer)</v>
      </c>
    </row>
    <row r="8964">
      <c r="A8964" s="1">
        <v>4.0</v>
      </c>
      <c r="B8964" s="1" t="s">
        <v>8833</v>
      </c>
      <c r="C8964" t="str">
        <f>IFERROR(__xludf.DUMMYFUNCTION("GOOGLETRANSLATE(B8964, ""fr"", ""en"")"),"Become an indispensable Very nice for an extra of massage, it really relaxes! The tiresome balls so t can be a little hard but can be assayed support heat ... a real plus!")</f>
        <v>Become an indispensable Very nice for an extra of massage, it really relaxes! The tiresome balls so t can be a little hard but can be assayed support heat ... a real plus!</v>
      </c>
    </row>
    <row r="8965">
      <c r="A8965" s="1">
        <v>5.0</v>
      </c>
      <c r="B8965" s="1" t="s">
        <v>8834</v>
      </c>
      <c r="C8965" t="str">
        <f>IFERROR(__xludf.DUMMYFUNCTION("GOOGLETRANSLATE(B8965, ""fr"", ""en"")"),"Perfume A lovely fun")</f>
        <v>Perfume A lovely fun</v>
      </c>
    </row>
    <row r="8966">
      <c r="A8966" s="1">
        <v>5.0</v>
      </c>
      <c r="B8966" s="1" t="s">
        <v>8835</v>
      </c>
      <c r="C8966" t="str">
        <f>IFERROR(__xludf.DUMMYFUNCTION("GOOGLETRANSLATE(B8966, ""fr"", ""en"")"),"practical and very useful easy subject to transport and not too bulky. Very useful for a dysexecutive child who has trouble with the temporal organization")</f>
        <v>practical and very useful easy subject to transport and not too bulky. Very useful for a dysexecutive child who has trouble with the temporal organization</v>
      </c>
    </row>
    <row r="8967">
      <c r="A8967" s="1">
        <v>5.0</v>
      </c>
      <c r="B8967" s="1" t="s">
        <v>8836</v>
      </c>
      <c r="C8967" t="str">
        <f>IFERROR(__xludf.DUMMYFUNCTION("GOOGLETRANSLATE(B8967, ""fr"", ""en"")"),"Perfect Perfect Baby comfort is my bottle brand for all small and even when I offer kits for a newborn.")</f>
        <v>Perfect Perfect Baby comfort is my bottle brand for all small and even when I offer kits for a newborn.</v>
      </c>
    </row>
    <row r="8968">
      <c r="A8968" s="1">
        <v>5.0</v>
      </c>
      <c r="B8968" s="1" t="s">
        <v>8837</v>
      </c>
      <c r="C8968" t="str">
        <f>IFERROR(__xludf.DUMMYFUNCTION("GOOGLETRANSLATE(B8968, ""fr"", ""en"")"),"the height of the perfect good waterproof boot")</f>
        <v>the height of the perfect good waterproof boot</v>
      </c>
    </row>
    <row r="8969">
      <c r="A8969" s="1">
        <v>5.0</v>
      </c>
      <c r="B8969" s="1" t="s">
        <v>8838</v>
      </c>
      <c r="C8969" t="str">
        <f>IFERROR(__xludf.DUMMYFUNCTION("GOOGLETRANSLATE(B8969, ""fr"", ""en"")"),"very beautiful boots very good, very comfortable for wide feet, heel just as it should be: in short, impeccable! I just listened to the previous reviews and took a half size bigger (37.5 to 37)")</f>
        <v>very beautiful boots very good, very comfortable for wide feet, heel just as it should be: in short, impeccable! I just listened to the previous reviews and took a half size bigger (37.5 to 37)</v>
      </c>
    </row>
    <row r="8970">
      <c r="A8970" s="1">
        <v>5.0</v>
      </c>
      <c r="B8970" s="1" t="s">
        <v>8839</v>
      </c>
      <c r="C8970" t="str">
        <f>IFERROR(__xludf.DUMMYFUNCTION("GOOGLETRANSLATE(B8970, ""fr"", ""en"")"),"Very Good value Very Good value. When we see what can be sold at high prices in stores such as Fnac, it welcomes this type of product. The sound is very satisfactory and the headset is rather comfortable.")</f>
        <v>Very Good value Very Good value. When we see what can be sold at high prices in stores such as Fnac, it welcomes this type of product. The sound is very satisfactory and the headset is rather comfortable.</v>
      </c>
    </row>
    <row r="8971">
      <c r="A8971" s="1">
        <v>5.0</v>
      </c>
      <c r="B8971" s="1" t="s">
        <v>8840</v>
      </c>
      <c r="C8971" t="str">
        <f>IFERROR(__xludf.DUMMYFUNCTION("GOOGLETRANSLATE(B8971, ""fr"", ""en"")"),"The less common casio watches are very fashionable but it - is not found everywhere and is very unusual - very stylish with its black dial fully (no blue ink, red, or gold) Perfect a man's wrist.")</f>
        <v>The less common casio watches are very fashionable but it - is not found everywhere and is very unusual - very stylish with its black dial fully (no blue ink, red, or gold) Perfect a man's wrist.</v>
      </c>
    </row>
    <row r="8972">
      <c r="A8972" s="1">
        <v>5.0</v>
      </c>
      <c r="B8972" s="1" t="s">
        <v>8841</v>
      </c>
      <c r="C8972" t="str">
        <f>IFERROR(__xludf.DUMMYFUNCTION("GOOGLETRANSLATE(B8972, ""fr"", ""en"")"),"useful useful for doing his job, thank you adapter")</f>
        <v>useful useful for doing his job, thank you adapter</v>
      </c>
    </row>
    <row r="8973">
      <c r="A8973" s="1">
        <v>5.0</v>
      </c>
      <c r="B8973" s="1" t="s">
        <v>8842</v>
      </c>
      <c r="C8973" t="str">
        <f>IFERROR(__xludf.DUMMYFUNCTION("GOOGLETRANSLATE(B8973, ""fr"", ""en"")"),"The best waterproof digital watch market! ⏰ I sought a waterproof watch to withstand including many sea snorkeling sessions. Well you can say that I found it! For over a year I use it daily. Casio disappoints rarely and with a watch waterproof up to 100m,"&amp;" simple design / efficient and quality can not say otherwise. The watch is guaranteed for 2 years and a quality / price like this one can only congratulate the brand! The watch is perfect for small wrists and has all the advantages of a digital watch quin"&amp;"tessential (date display, timer, alarm, backlit display, lightness ...). You can also set a second time zone (useful for people traveling). No need also to take the lead to change the battery, the life span is 10 years ... Try it and adopt it, the watch w"&amp;"ill not leave me! I recommend (for those who like to have the time) :)")</f>
        <v>The best waterproof digital watch market! ⏰ I sought a waterproof watch to withstand including many sea snorkeling sessions. Well you can say that I found it! For over a year I use it daily. Casio disappoints rarely and with a watch waterproof up to 100m, simple design / efficient and quality can not say otherwise. The watch is guaranteed for 2 years and a quality / price like this one can only congratulate the brand! The watch is perfect for small wrists and has all the advantages of a digital watch quintessential (date display, timer, alarm, backlit display, lightness ...). You can also set a second time zone (useful for people traveling). No need also to take the lead to change the battery, the life span is 10 years ... Try it and adopt it, the watch will not leave me! I recommend (for those who like to have the time) :)</v>
      </c>
    </row>
    <row r="8974">
      <c r="A8974" s="1">
        <v>5.0</v>
      </c>
      <c r="B8974" s="1" t="s">
        <v>8843</v>
      </c>
      <c r="C8974" t="str">
        <f>IFERROR(__xludf.DUMMYFUNCTION("GOOGLETRANSLATE(B8974, ""fr"", ""en"")"),"Well Done the job. Produced entirely conform to its description, nothing more to add ... It is ridiculous to force the size of the basins comments products anyway ...")</f>
        <v>Well Done the job. Produced entirely conform to its description, nothing more to add ... It is ridiculous to force the size of the basins comments products anyway ...</v>
      </c>
    </row>
    <row r="8975">
      <c r="A8975" s="1">
        <v>5.0</v>
      </c>
      <c r="B8975" s="1" t="s">
        <v>8844</v>
      </c>
      <c r="C8975" t="str">
        <f>IFERROR(__xludf.DUMMYFUNCTION("GOOGLETRANSLATE(B8975, ""fr"", ""en"")"),"Top Magnificent I recommend this kettle easy to use design very robust I adore")</f>
        <v>Top Magnificent I recommend this kettle easy to use design very robust I adore</v>
      </c>
    </row>
    <row r="8976">
      <c r="A8976" s="1">
        <v>5.0</v>
      </c>
      <c r="B8976" s="1" t="s">
        <v>8845</v>
      </c>
      <c r="C8976" t="str">
        <f>IFERROR(__xludf.DUMMYFUNCTION("GOOGLETRANSLATE(B8976, ""fr"", ""en"")"),"It is filled but .. Good delivery. For the price you can say ""this is poor"" !! Honestly, they are beautiful. I confirm they are not in ""Money"" after several days wore on my wife she had an allergy to the ears .. So it goes the mettres just one day at "&amp;"a party. Indeed there is no punch but it tightens easily with fingers. Cordially.")</f>
        <v>It is filled but .. Good delivery. For the price you can say "this is poor" !! Honestly, they are beautiful. I confirm they are not in "Money" after several days wore on my wife she had an allergy to the ears .. So it goes the mettres just one day at a party. Indeed there is no punch but it tightens easily with fingers. Cordially.</v>
      </c>
    </row>
    <row r="8977">
      <c r="A8977" s="1">
        <v>5.0</v>
      </c>
      <c r="B8977" s="1" t="s">
        <v>8846</v>
      </c>
      <c r="C8977" t="str">
        <f>IFERROR(__xludf.DUMMYFUNCTION("GOOGLETRANSLATE(B8977, ""fr"", ""en"")"),"1000 km walk my son is delighted with his vans follower of the brand for several years effortless article found on the site neat and fast delivery item corresponds perfectly visually and in terms of size (controlled usual size)")</f>
        <v>1000 km walk my son is delighted with his vans follower of the brand for several years effortless article found on the site neat and fast delivery item corresponds perfectly visually and in terms of size (controlled usual size)</v>
      </c>
    </row>
    <row r="8978">
      <c r="A8978" s="1">
        <v>5.0</v>
      </c>
      <c r="B8978" s="1" t="s">
        <v>8847</v>
      </c>
      <c r="C8978" t="str">
        <f>IFERROR(__xludf.DUMMYFUNCTION("GOOGLETRANSLATE(B8978, ""fr"", ""en"")"),"Correct My son recent Bluetooth headsets which leaves more ... And if I could find better ... Having studied a little market and staying within a budget of fifty euros, I think I found something not hurt. With this type of product, we always ask the follo"&amp;"wing questions: sound quality? Ease of use one hand to move in our playlist and also to increase or decrease the sound. Another important point is the duration of a headset load. And it is a success. The tap tap on the atria possible depending on the numb"&amp;"er of tap and the right atrium or left to move in songs and adjust the volume. The duration of use of a charge is sufficient for my business. Once installed and launched the music, I isolate myself in a world of music. So, really pleased with this product"&amp;".")</f>
        <v>Correct My son recent Bluetooth headsets which leaves more ... And if I could find better ... Having studied a little market and staying within a budget of fifty euros, I think I found something not hurt. With this type of product, we always ask the following questions: sound quality? Ease of use one hand to move in our playlist and also to increase or decrease the sound. Another important point is the duration of a headset load. And it is a success. The tap tap on the atria possible depending on the number of tap and the right atrium or left to move in songs and adjust the volume. The duration of use of a charge is sufficient for my business. Once installed and launched the music, I isolate myself in a world of music. So, really pleased with this product.</v>
      </c>
    </row>
    <row r="8979">
      <c r="A8979" s="1">
        <v>5.0</v>
      </c>
      <c r="B8979" s="1" t="s">
        <v>8848</v>
      </c>
      <c r="C8979" t="str">
        <f>IFERROR(__xludf.DUMMYFUNCTION("GOOGLETRANSLATE(B8979, ""fr"", ""en"")"),"thank you Amazon beautiful basketball thank you very much I loved too thank you Amazon")</f>
        <v>thank you Amazon beautiful basketball thank you very much I loved too thank you Amazon</v>
      </c>
    </row>
    <row r="8980">
      <c r="A8980" s="1">
        <v>2.0</v>
      </c>
      <c r="B8980" s="1" t="s">
        <v>8849</v>
      </c>
      <c r="C8980" t="str">
        <f>IFERROR(__xludf.DUMMYFUNCTION("GOOGLETRANSLATE(B8980, ""fr"", ""en"")"),"Yes and No. The low're perfect, ais not putting up ....")</f>
        <v>Yes and No. The low're perfect, ais not putting up ....</v>
      </c>
    </row>
    <row r="8981">
      <c r="A8981" s="1">
        <v>1.0</v>
      </c>
      <c r="B8981" s="1" t="s">
        <v>8850</v>
      </c>
      <c r="C8981" t="str">
        <f>IFERROR(__xludf.DUMMYFUNCTION("GOOGLETRANSLATE(B8981, ""fr"", ""en"")"),"Sweat Gildan GULLIVER ON TOUR. Be careful to choose the lower size to your stature, indeed I dress L and the product received was cutting too much at least 2 sizes. In addition the seller who generously offers delivery does not reimburse even returns cost"&amp;"s with a standard exchange of the product key. Brief € 6.20 fee returns to my office for an article blunt to 12.80 € ... Any money lost lovers choose the good seller !!! Indeed, I found the same item sold and shipped by Amazon, I chose the size M, which s"&amp;"uits me perfectly, but I knew that if the article was bad I would have had no problem return and paying more standard exchange would have been just as easy and comfortable as without any constraints.")</f>
        <v>Sweat Gildan GULLIVER ON TOUR. Be careful to choose the lower size to your stature, indeed I dress L and the product received was cutting too much at least 2 sizes. In addition the seller who generously offers delivery does not reimburse even returns costs with a standard exchange of the product key. Brief € 6.20 fee returns to my office for an article blunt to 12.80 € ... Any money lost lovers choose the good seller !!! Indeed, I found the same item sold and shipped by Amazon, I chose the size M, which suits me perfectly, but I knew that if the article was bad I would have had no problem return and paying more standard exchange would have been just as easy and comfortable as without any constraints.</v>
      </c>
    </row>
    <row r="8982">
      <c r="A8982" s="1">
        <v>3.0</v>
      </c>
      <c r="B8982" s="1" t="s">
        <v>8851</v>
      </c>
      <c r="C8982" t="str">
        <f>IFERROR(__xludf.DUMMYFUNCTION("GOOGLETRANSLATE(B8982, ""fr"", ""en"")"),"Good quality / price This product seems to me rather good for the price / quality ratio. I opted for the white 30m 4mm² and I am not disappointed. For cons, I had not imagined that the 4mm² was as thick, had I known I would have taken the 2.5mm². That sai"&amp;"d, 30m 4mm² less than 16 € (during my purchase), it is difficult to find (even for the 2.5mm²), so for the price, I am very satisfied with this cable! ps: for those who, like me, is the question of whether there is keyed on the white version of this cable"&amp;", do not worry! there is a well !! By cons, no indication to signal a possible ""sense"" connection or even length; pity...")</f>
        <v>Good quality / price This product seems to me rather good for the price / quality ratio. I opted for the white 30m 4mm² and I am not disappointed. For cons, I had not imagined that the 4mm² was as thick, had I known I would have taken the 2.5mm². That said, 30m 4mm² less than 16 € (during my purchase), it is difficult to find (even for the 2.5mm²), so for the price, I am very satisfied with this cable! ps: for those who, like me, is the question of whether there is keyed on the white version of this cable, do not worry! there is a well !! By cons, no indication to signal a possible "sense" connection or even length; pity...</v>
      </c>
    </row>
    <row r="8983">
      <c r="A8983" s="1">
        <v>3.0</v>
      </c>
      <c r="B8983" s="1" t="s">
        <v>8852</v>
      </c>
      <c r="C8983" t="str">
        <f>IFERROR(__xludf.DUMMYFUNCTION("GOOGLETRANSLATE(B8983, ""fr"", ""en"")"),"CA LAIR NOT SOLID IN DURATION TO DO WRONG FOOT 2KM")</f>
        <v>CA LAIR NOT SOLID IN DURATION TO DO WRONG FOOT 2KM</v>
      </c>
    </row>
    <row r="8984">
      <c r="A8984" s="1">
        <v>3.0</v>
      </c>
      <c r="B8984" s="1" t="s">
        <v>8853</v>
      </c>
      <c r="C8984" t="str">
        <f>IFERROR(__xludf.DUMMYFUNCTION("GOOGLETRANSLATE(B8984, ""fr"", ""en"")"),"Disappointed, I regret my purchase. Faithful to this brand and model, I opted this time for scratches and no laces. Unfortunately, this model does not feet. At each step it tends to your shoes as the heel there is a problem. So I absolutely do not recomme"&amp;"nd this model for people who need to walk. And that's the goal right? I did not put that price in shoes to stay on my couch. I'm really disappointed.")</f>
        <v>Disappointed, I regret my purchase. Faithful to this brand and model, I opted this time for scratches and no laces. Unfortunately, this model does not feet. At each step it tends to your shoes as the heel there is a problem. So I absolutely do not recommend this model for people who need to walk. And that's the goal right? I did not put that price in shoes to stay on my couch. I'm really disappointed.</v>
      </c>
    </row>
    <row r="8985">
      <c r="A8985" s="1">
        <v>4.0</v>
      </c>
      <c r="B8985" s="1" t="s">
        <v>8854</v>
      </c>
      <c r="C8985" t="str">
        <f>IFERROR(__xludf.DUMMYFUNCTION("GOOGLETRANSLATE(B8985, ""fr"", ""en"")"),"Watch Super beautiful I find pretty much the perfect classic gift for my 15 year old son who loves watches.")</f>
        <v>Watch Super beautiful I find pretty much the perfect classic gift for my 15 year old son who loves watches.</v>
      </c>
    </row>
    <row r="8986">
      <c r="A8986" s="1">
        <v>4.0</v>
      </c>
      <c r="B8986" s="1" t="s">
        <v>8855</v>
      </c>
      <c r="C8986" t="str">
        <f>IFERROR(__xludf.DUMMYFUNCTION("GOOGLETRANSLATE(B8986, ""fr"", ""en"")"),"OK kettle good but not feeling very good .. even after 3 wash with boiling water as shown")</f>
        <v>OK kettle good but not feeling very good .. even after 3 wash with boiling water as shown</v>
      </c>
    </row>
    <row r="8987">
      <c r="A8987" s="1">
        <v>4.0</v>
      </c>
      <c r="B8987" s="1" t="s">
        <v>8856</v>
      </c>
      <c r="C8987" t="str">
        <f>IFERROR(__xludf.DUMMYFUNCTION("GOOGLETRANSLATE(B8987, ""fr"", ""en"")"),"happy my daughter is thrilled the only problem that size a bit small daughter makes 37 and I should have taken the 38 but I like him anyway")</f>
        <v>happy my daughter is thrilled the only problem that size a bit small daughter makes 37 and I should have taken the 38 but I like him anyway</v>
      </c>
    </row>
    <row r="8988">
      <c r="A8988" s="1">
        <v>4.0</v>
      </c>
      <c r="B8988" s="1" t="s">
        <v>8857</v>
      </c>
      <c r="C8988" t="str">
        <f>IFERROR(__xludf.DUMMYFUNCTION("GOOGLETRANSLATE(B8988, ""fr"", ""en"")"),"Colors do not match the image Excellent product. I had the same for my last child. However: color says ""nude"" picture visual: beige ... Is actually: pale pink! A little annoying for a lil guy then!")</f>
        <v>Colors do not match the image Excellent product. I had the same for my last child. However: color says "nude" picture visual: beige ... Is actually: pale pink! A little annoying for a lil guy then!</v>
      </c>
    </row>
    <row r="8989">
      <c r="A8989" s="1">
        <v>5.0</v>
      </c>
      <c r="B8989" s="1" t="s">
        <v>8858</v>
      </c>
      <c r="C8989" t="str">
        <f>IFERROR(__xludf.DUMMYFUNCTION("GOOGLETRANSLATE(B8989, ""fr"", ""en"")"),"Good quality for the price Beautiful")</f>
        <v>Good quality for the price Beautiful</v>
      </c>
    </row>
    <row r="8990">
      <c r="A8990" s="1">
        <v>5.0</v>
      </c>
      <c r="B8990" s="1" t="s">
        <v>8859</v>
      </c>
      <c r="C8990" t="str">
        <f>IFERROR(__xludf.DUMMYFUNCTION("GOOGLETRANSLATE(B8990, ""fr"", ""en"")"),"Good product Good product, used to make a body balm! Perfect")</f>
        <v>Good product Good product, used to make a body balm! Perfect</v>
      </c>
    </row>
    <row r="8991">
      <c r="A8991" s="1">
        <v>5.0</v>
      </c>
      <c r="B8991" s="1" t="s">
        <v>8860</v>
      </c>
      <c r="C8991" t="str">
        <f>IFERROR(__xludf.DUMMYFUNCTION("GOOGLETRANSLATE(B8991, ""fr"", ""en"")"),"Super bib (340 ml) This is a pair of ergonomic bottles for our little ones. First comment: GRADUATION 210 ML IS REGISTERED! unlike all the other bibs' I've had so far, and it was ""aiming"" between 200 and 220. At the level of the nipple, it mimics well t"&amp;"he nipple and I think it is ideal for breastfed babies. My daughter has adopted right away, but it is not hard on that side. Plus: there is a small valve next to the nipple which serves to depressurize the bottle to As of the suction, it is ingenious in t"&amp;"hat the milk flow is constant. For the rest, it's a classic bib that does its job properly.")</f>
        <v>Super bib (340 ml) This is a pair of ergonomic bottles for our little ones. First comment: GRADUATION 210 ML IS REGISTERED! unlike all the other bibs' I've had so far, and it was "aiming" between 200 and 220. At the level of the nipple, it mimics well the nipple and I think it is ideal for breastfed babies. My daughter has adopted right away, but it is not hard on that side. Plus: there is a small valve next to the nipple which serves to depressurize the bottle to As of the suction, it is ingenious in that the milk flow is constant. For the rest, it's a classic bib that does its job properly.</v>
      </c>
    </row>
    <row r="8992">
      <c r="A8992" s="1">
        <v>5.0</v>
      </c>
      <c r="B8992" s="1" t="s">
        <v>8861</v>
      </c>
      <c r="C8992" t="str">
        <f>IFERROR(__xludf.DUMMYFUNCTION("GOOGLETRANSLATE(B8992, ""fr"", ""en"")"),"Impeccable brush that filled its mission very well for our clean suede shoes of different brands (Timberland, Kickers, etc.)")</f>
        <v>Impeccable brush that filled its mission very well for our clean suede shoes of different brands (Timberland, Kickers, etc.)</v>
      </c>
    </row>
    <row r="8993">
      <c r="A8993" s="1">
        <v>5.0</v>
      </c>
      <c r="B8993" s="1" t="s">
        <v>8862</v>
      </c>
      <c r="C8993" t="str">
        <f>IFERROR(__xludf.DUMMYFUNCTION("GOOGLETRANSLATE(B8993, ""fr"", ""en"")"),"A delight! Bonjour.Produit perfectly matching my expectations and consistent with description.Comprend a small very practical tool to remove the bracelet stitches in a round main.La watch was already synchronized to the early Bruxelles.Je recommend this a"&amp;"rticle.")</f>
        <v>A delight! Bonjour.Produit perfectly matching my expectations and consistent with description.Comprend a small very practical tool to remove the bracelet stitches in a round main.La watch was already synchronized to the early Bruxelles.Je recommend this article.</v>
      </c>
    </row>
    <row r="8994">
      <c r="A8994" s="1">
        <v>5.0</v>
      </c>
      <c r="B8994" s="1" t="s">
        <v>8863</v>
      </c>
      <c r="C8994" t="str">
        <f>IFERROR(__xludf.DUMMYFUNCTION("GOOGLETRANSLATE(B8994, ""fr"", ""en"")"),"perfect for my daughter I already knew the brand suddenly no surprise but still excited, yes, I will recommend to my relatives")</f>
        <v>perfect for my daughter I already knew the brand suddenly no surprise but still excited, yes, I will recommend to my relatives</v>
      </c>
    </row>
    <row r="8995">
      <c r="A8995" s="1">
        <v>5.0</v>
      </c>
      <c r="B8995" s="1" t="s">
        <v>8864</v>
      </c>
      <c r="C8995" t="str">
        <f>IFERROR(__xludf.DUMMYFUNCTION("GOOGLETRANSLATE(B8995, ""fr"", ""en"")"),"bubble wrap for all uses Top, received quickly")</f>
        <v>bubble wrap for all uses Top, received quickly</v>
      </c>
    </row>
    <row r="8996">
      <c r="A8996" s="1">
        <v>5.0</v>
      </c>
      <c r="B8996" s="1" t="s">
        <v>8865</v>
      </c>
      <c r="C8996" t="str">
        <f>IFERROR(__xludf.DUMMYFUNCTION("GOOGLETRANSLATE(B8996, ""fr"", ""en"")"),"Very good service. fun shoes. Good quality, well made and a nice shape for me, I love them. Arrived about a week earlier in perfect condition. Will buy again!")</f>
        <v>Very good service. fun shoes. Good quality, well made and a nice shape for me, I love them. Arrived about a week earlier in perfect condition. Will buy again!</v>
      </c>
    </row>
    <row r="8997">
      <c r="A8997" s="1">
        <v>5.0</v>
      </c>
      <c r="B8997" s="1" t="s">
        <v>8866</v>
      </c>
      <c r="C8997" t="str">
        <f>IFERROR(__xludf.DUMMYFUNCTION("GOOGLETRANSLATE(B8997, ""fr"", ""en"")"),"Perfect product perfectly corresponds to the description. Quick reception.")</f>
        <v>Perfect product perfectly corresponds to the description. Quick reception.</v>
      </c>
    </row>
    <row r="8998">
      <c r="A8998" s="1">
        <v>5.0</v>
      </c>
      <c r="B8998" s="1" t="s">
        <v>8867</v>
      </c>
      <c r="C8998" t="str">
        <f>IFERROR(__xludf.DUMMYFUNCTION("GOOGLETRANSLATE(B8998, ""fr"", ""en"")"),"An excellent product An excellent product I'm just bluffing with this vacuum cleaner! Reluctant at first, and seeing the comments I'm tempted and I admit it's no regrets !!! top")</f>
        <v>An excellent product An excellent product I'm just bluffing with this vacuum cleaner! Reluctant at first, and seeing the comments I'm tempted and I admit it's no regrets !!! top</v>
      </c>
    </row>
    <row r="8999">
      <c r="A8999" s="1">
        <v>5.0</v>
      </c>
      <c r="B8999" s="1" t="s">
        <v>8868</v>
      </c>
      <c r="C8999" t="str">
        <f>IFERROR(__xludf.DUMMYFUNCTION("GOOGLETRANSLATE(B8999, ""fr"", ""en"")"),"Warning I took this sweatshirt because I am a fan of the hoodie (brief). I took it in size 36 knowing that I put the M It fits me perfectly as if I put the M If the color is red, the interior holds super hot.")</f>
        <v>Warning I took this sweatshirt because I am a fan of the hoodie (brief). I took it in size 36 knowing that I put the M It fits me perfectly as if I put the M If the color is red, the interior holds super hot.</v>
      </c>
    </row>
    <row r="9000">
      <c r="A9000" s="1">
        <v>5.0</v>
      </c>
      <c r="B9000" s="1" t="s">
        <v>8869</v>
      </c>
      <c r="C9000" t="str">
        <f>IFERROR(__xludf.DUMMYFUNCTION("GOOGLETRANSLATE(B9000, ""fr"", ""en"")"),"Bracelet Gift to which had its effect. Very satisfied. Bracelet very beautiful.")</f>
        <v>Bracelet Gift to which had its effect. Very satisfied. Bracelet very beautiful.</v>
      </c>
    </row>
    <row r="9001">
      <c r="A9001" s="1">
        <v>5.0</v>
      </c>
      <c r="B9001" s="1" t="s">
        <v>8870</v>
      </c>
      <c r="C9001" t="str">
        <f>IFERROR(__xludf.DUMMYFUNCTION("GOOGLETRANSLATE(B9001, ""fr"", ""en"")"),"express delivery, great quality Great, now when I tronpe me (wrong), I can erase!")</f>
        <v>express delivery, great quality Great, now when I tronpe me (wrong), I can erase!</v>
      </c>
    </row>
    <row r="9002">
      <c r="A9002" s="1">
        <v>5.0</v>
      </c>
      <c r="B9002" s="1" t="s">
        <v>8871</v>
      </c>
      <c r="C9002" t="str">
        <f>IFERROR(__xludf.DUMMYFUNCTION("GOOGLETRANSLATE(B9002, ""fr"", ""en"")"),"Silver bracelet This bracelet feminine elegant Perfect for a small woman wrist")</f>
        <v>Silver bracelet This bracelet feminine elegant Perfect for a small woman wrist</v>
      </c>
    </row>
    <row r="9003">
      <c r="A9003" s="1">
        <v>5.0</v>
      </c>
      <c r="B9003" s="1" t="s">
        <v>8872</v>
      </c>
      <c r="C9003" t="str">
        <f>IFERROR(__xludf.DUMMYFUNCTION("GOOGLETRANSLATE(B9003, ""fr"", ""en"")"),"Very nice beautiful")</f>
        <v>Very nice beautiful</v>
      </c>
    </row>
    <row r="9004">
      <c r="A9004" s="1">
        <v>2.0</v>
      </c>
      <c r="B9004" s="1" t="s">
        <v>8873</v>
      </c>
      <c r="C9004" t="str">
        <f>IFERROR(__xludf.DUMMYFUNCTION("GOOGLETRANSLATE(B9004, ""fr"", ""en"")"),"Very average Very disappointed. The seams are bad. The leather is not good. Many strokes and brands. Even the thickness of the leather bridles is not the same between the left and the right.")</f>
        <v>Very average Very disappointed. The seams are bad. The leather is not good. Many strokes and brands. Even the thickness of the leather bridles is not the same between the left and the right.</v>
      </c>
    </row>
    <row r="9005">
      <c r="A9005" s="1">
        <v>1.0</v>
      </c>
      <c r="B9005" s="1" t="s">
        <v>8874</v>
      </c>
      <c r="C9005" t="str">
        <f>IFERROR(__xludf.DUMMYFUNCTION("GOOGLETRANSLATE(B9005, ""fr"", ""en"")"),"Disappointed color and cut I am disappointed that the color is pastel blue clear and not like the picture. Moreover, the cut is not very beautiful.")</f>
        <v>Disappointed color and cut I am disappointed that the color is pastel blue clear and not like the picture. Moreover, the cut is not very beautiful.</v>
      </c>
    </row>
    <row r="9006">
      <c r="A9006" s="1">
        <v>1.0</v>
      </c>
      <c r="B9006" s="1" t="s">
        <v>8875</v>
      </c>
      <c r="C9006" t="str">
        <f>IFERROR(__xludf.DUMMYFUNCTION("GOOGLETRANSLATE(B9006, ""fr"", ""en"")"),"Broke down after two years I bought this toaster in March 2017, we are in June 2019 and it now blew my breaker. It is for the same reason that I had changed toaster, lack pot, the guarantee is exceeded by 3 months. I will not purchase the same model here "&amp;"are the problems encountered during these two years: - the bread jams in the metal rod - by removing it, it distorts the stem - the bread thus blocking more etc etc. vicious circle The problem primarily in the design, because the rod is held on one side a"&amp;"nd is very thin. It would take a rod held on both sides in a more robust materials. And of course the recurring problem that blew a fuse, so I have to renew my purchase for a new toaster. (Marked previous Tefal ??? next purchase)")</f>
        <v>Broke down after two years I bought this toaster in March 2017, we are in June 2019 and it now blew my breaker. It is for the same reason that I had changed toaster, lack pot, the guarantee is exceeded by 3 months. I will not purchase the same model here are the problems encountered during these two years: - the bread jams in the metal rod - by removing it, it distorts the stem - the bread thus blocking more etc etc. vicious circle The problem primarily in the design, because the rod is held on one side and is very thin. It would take a rod held on both sides in a more robust materials. And of course the recurring problem that blew a fuse, so I have to renew my purchase for a new toaster. (Marked previous Tefal ??? next purchase)</v>
      </c>
    </row>
    <row r="9007">
      <c r="A9007" s="1">
        <v>1.0</v>
      </c>
      <c r="B9007" s="1" t="s">
        <v>8876</v>
      </c>
      <c r="C9007" t="str">
        <f>IFERROR(__xludf.DUMMYFUNCTION("GOOGLETRANSLATE(B9007, ""fr"", ""en"")"),"Inaceptable !!! from Amazon I bought two new 62XL cartridges with HP HP5740 printer on Amazon in October. One 62XL cartridge is installed with the printer at the reception in October. Unable to install the second cartridge in December because not recogniz"&amp;"ed by the printer. It is also impossible to return the cartridge to Amazon for timeout, when the warranty date on the packaging- -marquée is !! May 2016; ; So 26, 52 euros thrown out the window !! I am extremely disappointed with Amazon selling faulty equ"&amp;"ipment so that it seems to buy a genuine HP cartridge. The next cartridge will be purchased from a local dealer who will take a faulty cartridge !!")</f>
        <v>Inaceptable !!! from Amazon I bought two new 62XL cartridges with HP HP5740 printer on Amazon in October. One 62XL cartridge is installed with the printer at the reception in October. Unable to install the second cartridge in December because not recognized by the printer. It is also impossible to return the cartridge to Amazon for timeout, when the warranty date on the packaging- -marquée is !! May 2016; ; So 26, 52 euros thrown out the window !! I am extremely disappointed with Amazon selling faulty equipment so that it seems to buy a genuine HP cartridge. The next cartridge will be purchased from a local dealer who will take a faulty cartridge !!</v>
      </c>
    </row>
    <row r="9008">
      <c r="A9008" s="1">
        <v>3.0</v>
      </c>
      <c r="B9008" s="1" t="s">
        <v>8877</v>
      </c>
      <c r="C9008" t="str">
        <f>IFERROR(__xludf.DUMMYFUNCTION("GOOGLETRANSLATE(B9008, ""fr"", ""en"")"),"Bracelet Watch delicate thin light and handy (light, stopwatch, waterproof ...) unfortunately the bracelet is fragile. It breaks every year. Every year, so I bought a watch because it's the same price as the bracelet.")</f>
        <v>Bracelet Watch delicate thin light and handy (light, stopwatch, waterproof ...) unfortunately the bracelet is fragile. It breaks every year. Every year, so I bought a watch because it's the same price as the bracelet.</v>
      </c>
    </row>
    <row r="9009">
      <c r="A9009" s="1">
        <v>4.0</v>
      </c>
      <c r="B9009" s="1" t="s">
        <v>8878</v>
      </c>
      <c r="C9009" t="str">
        <f>IFERROR(__xludf.DUMMYFUNCTION("GOOGLETRANSLATE(B9009, ""fr"", ""en"")"),"Good handy bag. It avoids the tackiness of bananas yet handy. After 6 months of use, the son of the seams begin to fray without.")</f>
        <v>Good handy bag. It avoids the tackiness of bananas yet handy. After 6 months of use, the son of the seams begin to fray without.</v>
      </c>
    </row>
    <row r="9010">
      <c r="A9010" s="1">
        <v>4.0</v>
      </c>
      <c r="B9010" s="1" t="s">
        <v>8879</v>
      </c>
      <c r="C9010" t="str">
        <f>IFERROR(__xludf.DUMMYFUNCTION("GOOGLETRANSLATE(B9010, ""fr"", ""en"")"),"Quite effective table, a kind of shape-memory foam, leatherette has almost resistant but after 6 months some tears begin to apparaîtrent. too low foam density to ensure the success of all your technical dog.")</f>
        <v>Quite effective table, a kind of shape-memory foam, leatherette has almost resistant but after 6 months some tears begin to apparaîtrent. too low foam density to ensure the success of all your technical dog.</v>
      </c>
    </row>
    <row r="9011">
      <c r="A9011" s="1">
        <v>4.0</v>
      </c>
      <c r="B9011" s="1" t="s">
        <v>8880</v>
      </c>
      <c r="C9011" t="str">
        <f>IFERROR(__xludf.DUMMYFUNCTION("GOOGLETRANSLATE(B9011, ""fr"", ""en"")"),"YES, BUT NOT IN THE SAND Good product but small size. Warning: think of a use on the pebbles or rocks in the sand because it is very unpleasant as it becomes embedded between the feet and shoes and when it dries it is even worse as it becomes irritating.")</f>
        <v>YES, BUT NOT IN THE SAND Good product but small size. Warning: think of a use on the pebbles or rocks in the sand because it is very unpleasant as it becomes embedded between the feet and shoes and when it dries it is even worse as it becomes irritating.</v>
      </c>
    </row>
    <row r="9012">
      <c r="A9012" s="1">
        <v>4.0</v>
      </c>
      <c r="B9012" s="1" t="s">
        <v>8881</v>
      </c>
      <c r="C9012" t="str">
        <f>IFERROR(__xludf.DUMMYFUNCTION("GOOGLETRANSLATE(B9012, ""fr"", ""en"")"),"Roger received but not tested baby not yet born. For ordered against blue and blank receipt.")</f>
        <v>Roger received but not tested baby not yet born. For ordered against blue and blank receipt.</v>
      </c>
    </row>
    <row r="9013">
      <c r="A9013" s="1">
        <v>5.0</v>
      </c>
      <c r="B9013" s="1" t="s">
        <v>8882</v>
      </c>
      <c r="C9013" t="str">
        <f>IFERROR(__xludf.DUMMYFUNCTION("GOOGLETRANSLATE(B9013, ""fr"", ""en"")"),"If the product matches the description to have better quality sneakers, comfort and dur longer.")</f>
        <v>If the product matches the description to have better quality sneakers, comfort and dur longer.</v>
      </c>
    </row>
    <row r="9014">
      <c r="A9014" s="1">
        <v>5.0</v>
      </c>
      <c r="B9014" s="1" t="s">
        <v>8883</v>
      </c>
      <c r="C9014" t="str">
        <f>IFERROR(__xludf.DUMMYFUNCTION("GOOGLETRANSLATE(B9014, ""fr"", ""en"")"),"Super super comfortable headphones for sports: keep very well in place ... great sound quality, good insulation from the outside Comes with 2 sets of ear hooks")</f>
        <v>Super super comfortable headphones for sports: keep very well in place ... great sound quality, good insulation from the outside Comes with 2 sets of ear hooks</v>
      </c>
    </row>
    <row r="9015">
      <c r="A9015" s="1">
        <v>5.0</v>
      </c>
      <c r="B9015" s="1" t="s">
        <v>8884</v>
      </c>
      <c r="C9015" t="str">
        <f>IFERROR(__xludf.DUMMYFUNCTION("GOOGLETRANSLATE(B9015, ""fr"", ""en"")"),"Article reference I begin my treatment only !!")</f>
        <v>Article reference I begin my treatment only !!</v>
      </c>
    </row>
    <row r="9016">
      <c r="A9016" s="1">
        <v>5.0</v>
      </c>
      <c r="B9016" s="1" t="s">
        <v>8885</v>
      </c>
      <c r="C9016" t="str">
        <f>IFERROR(__xludf.DUMMYFUNCTION("GOOGLETRANSLATE(B9016, ""fr"", ""en"")"),"Top Beau lot of stickers. Of round, square ... different colors. Sizes. My children whose super happy. I recommend")</f>
        <v>Top Beau lot of stickers. Of round, square ... different colors. Sizes. My children whose super happy. I recommend</v>
      </c>
    </row>
    <row r="9017">
      <c r="A9017" s="1">
        <v>5.0</v>
      </c>
      <c r="B9017" s="1" t="s">
        <v>8886</v>
      </c>
      <c r="C9017" t="str">
        <f>IFERROR(__xludf.DUMMYFUNCTION("GOOGLETRANSLATE(B9017, ""fr"", ""en"")"),"Although It is good")</f>
        <v>Although It is good</v>
      </c>
    </row>
    <row r="9018">
      <c r="A9018" s="1">
        <v>5.0</v>
      </c>
      <c r="B9018" s="1" t="s">
        <v>8887</v>
      </c>
      <c r="C9018" t="str">
        <f>IFERROR(__xludf.DUMMYFUNCTION("GOOGLETRANSLATE(B9018, ""fr"", ""en"")"),"practical bag making my rounds to secure my card for payment against the voles. Convenient storage when traveling.")</f>
        <v>practical bag making my rounds to secure my card for payment against the voles. Convenient storage when traveling.</v>
      </c>
    </row>
    <row r="9019">
      <c r="A9019" s="1">
        <v>5.0</v>
      </c>
      <c r="B9019" s="1" t="s">
        <v>8888</v>
      </c>
      <c r="C9019" t="str">
        <f>IFERROR(__xludf.DUMMYFUNCTION("GOOGLETRANSLATE(B9019, ""fr"", ""en"")"),"Relive my closets I had a very wet closet, it is not through these small discrete packets and handy. My clothes do feel more moisture.")</f>
        <v>Relive my closets I had a very wet closet, it is not through these small discrete packets and handy. My clothes do feel more moisture.</v>
      </c>
    </row>
    <row r="9020">
      <c r="A9020" s="1">
        <v>5.0</v>
      </c>
      <c r="B9020" s="1" t="s">
        <v>8889</v>
      </c>
      <c r="C9020" t="str">
        <f>IFERROR(__xludf.DUMMYFUNCTION("GOOGLETRANSLATE(B9020, ""fr"", ""en"")"),"cressi slippers for aquatic sports shoes plastic wrap well, drilled small holes for ventilation, light and resistant at the same time. Perfect.")</f>
        <v>cressi slippers for aquatic sports shoes plastic wrap well, drilled small holes for ventilation, light and resistant at the same time. Perfect.</v>
      </c>
    </row>
    <row r="9021">
      <c r="A9021" s="1">
        <v>5.0</v>
      </c>
      <c r="B9021" s="1" t="s">
        <v>8890</v>
      </c>
      <c r="C9021" t="str">
        <f>IFERROR(__xludf.DUMMYFUNCTION("GOOGLETRANSLATE(B9021, ""fr"", ""en"")"),"beautiful contine offered to a baby girl")</f>
        <v>beautiful contine offered to a baby girl</v>
      </c>
    </row>
    <row r="9022">
      <c r="A9022" s="1">
        <v>5.0</v>
      </c>
      <c r="B9022" s="1" t="s">
        <v>8891</v>
      </c>
      <c r="C9022" t="str">
        <f>IFERROR(__xludf.DUMMYFUNCTION("GOOGLETRANSLATE(B9022, ""fr"", ""en"")"),"Good quality product. Purchased with lavender, mixing the two oils is effective against muscle and joint pain. The scents are pleasant, peppermint is invigorating and gives tone. quality product bottle busy.")</f>
        <v>Good quality product. Purchased with lavender, mixing the two oils is effective against muscle and joint pain. The scents are pleasant, peppermint is invigorating and gives tone. quality product bottle busy.</v>
      </c>
    </row>
    <row r="9023">
      <c r="A9023" s="1">
        <v>5.0</v>
      </c>
      <c r="B9023" s="1" t="s">
        <v>8892</v>
      </c>
      <c r="C9023" t="str">
        <f>IFERROR(__xludf.DUMMYFUNCTION("GOOGLETRANSLATE(B9023, ""fr"", ""en"")"),"My Christmas tree full of poetry book to read during the holidays and especially during decorate the tree.")</f>
        <v>My Christmas tree full of poetry book to read during the holidays and especially during decorate the tree.</v>
      </c>
    </row>
    <row r="9024">
      <c r="A9024" s="1">
        <v>5.0</v>
      </c>
      <c r="B9024" s="1" t="s">
        <v>8893</v>
      </c>
      <c r="C9024" t="str">
        <f>IFERROR(__xludf.DUMMYFUNCTION("GOOGLETRANSLATE(B9024, ""fr"", ""en"")"),"PERFECT I ve buy this Bluetooth headset to turn on the Bluetooth Transmitter and Receiver Transmitter, Mixcder TR007 2-in-1 Audio Adapter Wireless Stereo I installed on my TV 2 that its connected without problem.")</f>
        <v>PERFECT I ve buy this Bluetooth headset to turn on the Bluetooth Transmitter and Receiver Transmitter, Mixcder TR007 2-in-1 Audio Adapter Wireless Stereo I installed on my TV 2 that its connected without problem.</v>
      </c>
    </row>
    <row r="9025">
      <c r="A9025" s="1">
        <v>5.0</v>
      </c>
      <c r="B9025" s="1" t="s">
        <v>8894</v>
      </c>
      <c r="C9025" t="str">
        <f>IFERROR(__xludf.DUMMYFUNCTION("GOOGLETRANSLATE(B9025, ""fr"", ""en"")"),"Compliant, good helmet tested for several years on piano same brand. Conforms bought to confirm that the former was working well and my piano had a concern.")</f>
        <v>Compliant, good helmet tested for several years on piano same brand. Conforms bought to confirm that the former was working well and my piano had a concern.</v>
      </c>
    </row>
    <row r="9026">
      <c r="A9026" s="1">
        <v>5.0</v>
      </c>
      <c r="B9026" s="1" t="s">
        <v>8895</v>
      </c>
      <c r="C9026" t="str">
        <f>IFERROR(__xludf.DUMMYFUNCTION("GOOGLETRANSLATE(B9026, ""fr"", ""en"")"),"Perfect Excellent support for combat sports. I'm a 90D and I took size M is perfect. So perfect that I just ordered a second!")</f>
        <v>Perfect Excellent support for combat sports. I'm a 90D and I took size M is perfect. So perfect that I just ordered a second!</v>
      </c>
    </row>
    <row r="9027">
      <c r="A9027" s="1">
        <v>5.0</v>
      </c>
      <c r="B9027" s="1" t="s">
        <v>8896</v>
      </c>
      <c r="C9027" t="str">
        <f>IFERROR(__xludf.DUMMYFUNCTION("GOOGLETRANSLATE(B9027, ""fr"", ""en"")"),"Very comfortable and very pleasant light I recommend normal size")</f>
        <v>Very comfortable and very pleasant light I recommend normal size</v>
      </c>
    </row>
    <row r="9028">
      <c r="A9028" s="1">
        <v>2.0</v>
      </c>
      <c r="B9028" s="1" t="s">
        <v>8897</v>
      </c>
      <c r="C9028" t="str">
        <f>IFERROR(__xludf.DUMMYFUNCTION("GOOGLETRANSLATE(B9028, ""fr"", ""en"")"),"Fabric too late. A good size, but the fabric is too late for sports socks!")</f>
        <v>Fabric too late. A good size, but the fabric is too late for sports socks!</v>
      </c>
    </row>
    <row r="9029">
      <c r="A9029" s="1">
        <v>1.0</v>
      </c>
      <c r="B9029" s="1" t="s">
        <v>8898</v>
      </c>
      <c r="C9029" t="str">
        <f>IFERROR(__xludf.DUMMYFUNCTION("GOOGLETRANSLATE(B9029, ""fr"", ""en"")"),"Too bad not prune for large shipyard")</f>
        <v>Too bad not prune for large shipyard</v>
      </c>
    </row>
    <row r="9030">
      <c r="A9030" s="1">
        <v>3.0</v>
      </c>
      <c r="B9030" s="1" t="s">
        <v>8899</v>
      </c>
      <c r="C9030" t="str">
        <f>IFERROR(__xludf.DUMMYFUNCTION("GOOGLETRANSLATE(B9030, ""fr"", ""en"")"),"Good but not great if this was a little bigger would be perfect. We see the use that this product is designed for small hands (I mean in the first sense). For the rest it does the job very correctly.")</f>
        <v>Good but not great if this was a little bigger would be perfect. We see the use that this product is designed for small hands (I mean in the first sense). For the rest it does the job very correctly.</v>
      </c>
    </row>
    <row r="9031">
      <c r="A9031" s="1">
        <v>3.0</v>
      </c>
      <c r="B9031" s="1" t="s">
        <v>8900</v>
      </c>
      <c r="C9031" t="str">
        <f>IFERROR(__xludf.DUMMYFUNCTION("GOOGLETRANSLATE(B9031, ""fr"", ""en"")"),"Although closures but I care a closure that has seized and has enraillée. I managed to recover but prefers not to use this pocket there. Otherwise fine.")</f>
        <v>Although closures but I care a closure that has seized and has enraillée. I managed to recover but prefers not to use this pocket there. Otherwise fine.</v>
      </c>
    </row>
    <row r="9032">
      <c r="A9032" s="1">
        <v>4.0</v>
      </c>
      <c r="B9032" s="1" t="s">
        <v>8901</v>
      </c>
      <c r="C9032" t="str">
        <f>IFERROR(__xludf.DUMMYFUNCTION("GOOGLETRANSLATE(B9032, ""fr"", ""en"")"),"good leather good")</f>
        <v>good leather good</v>
      </c>
    </row>
    <row r="9033">
      <c r="A9033" s="1">
        <v>4.0</v>
      </c>
      <c r="B9033" s="1" t="s">
        <v>8902</v>
      </c>
      <c r="C9033" t="str">
        <f>IFERROR(__xludf.DUMMYFUNCTION("GOOGLETRANSLATE(B9033, ""fr"", ""en"")"),"Light Noise RODE, quality but price. A little background noise with my 700D canon. but niquel to make compact :) videos and very good input range for youtube!")</f>
        <v>Light Noise RODE, quality but price. A little background noise with my 700D canon. but niquel to make compact :) videos and very good input range for youtube!</v>
      </c>
    </row>
    <row r="9034">
      <c r="A9034" s="1">
        <v>4.0</v>
      </c>
      <c r="B9034" s="1" t="s">
        <v>8903</v>
      </c>
      <c r="C9034" t="str">
        <f>IFERROR(__xludf.DUMMYFUNCTION("GOOGLETRANSLATE(B9034, ""fr"", ""en"")"),"quality and comfort I work in the field of IT and I wear this helmet every day, I can not do without me. The sound quality is good and the headset is swept away for many hours. Good sound is not equal to that of a Bose headset, but the price is affordable"&amp;"! You will not be disappointed. The bluetooth device when with him is easy to connect to your computer.")</f>
        <v>quality and comfort I work in the field of IT and I wear this helmet every day, I can not do without me. The sound quality is good and the headset is swept away for many hours. Good sound is not equal to that of a Bose headset, but the price is affordable! You will not be disappointed. The bluetooth device when with him is easy to connect to your computer.</v>
      </c>
    </row>
    <row r="9035">
      <c r="A9035" s="1">
        <v>4.0</v>
      </c>
      <c r="B9035" s="1" t="s">
        <v>8904</v>
      </c>
      <c r="C9035" t="str">
        <f>IFERROR(__xludf.DUMMYFUNCTION("GOOGLETRANSLATE(B9035, ""fr"", ""en"")"),"Good product Easy to peel and stick")</f>
        <v>Good product Easy to peel and stick</v>
      </c>
    </row>
    <row r="9036">
      <c r="A9036" s="1">
        <v>5.0</v>
      </c>
      <c r="B9036" s="1" t="s">
        <v>8905</v>
      </c>
      <c r="C9036" t="str">
        <f>IFERROR(__xludf.DUMMYFUNCTION("GOOGLETRANSLATE(B9036, ""fr"", ""en"")"),"Good quality from the box to the headphones packing everything seems made to last. The shape of the headphones is well chosen, they easily fit in the ears. We can shake his head they do not move! We find all commands on the headset with a single button th"&amp;"at is not touch (the touch is such a good idea for headphones, simply put them to touch the touch unintentionally ...). In terms of sound, we can increase volume without spitting bass and the sound is clear with good mids and treble present. The equipment"&amp;" is amazingly simple, just get them out of the box load and they are visible in the list of Bluetooth devices as his. If it helped you click useful.")</f>
        <v>Good quality from the box to the headphones packing everything seems made to last. The shape of the headphones is well chosen, they easily fit in the ears. We can shake his head they do not move! We find all commands on the headset with a single button that is not touch (the touch is such a good idea for headphones, simply put them to touch the touch unintentionally ...). In terms of sound, we can increase volume without spitting bass and the sound is clear with good mids and treble present. The equipment is amazingly simple, just get them out of the box load and they are visible in the list of Bluetooth devices as his. If it helped you click useful.</v>
      </c>
    </row>
    <row r="9037">
      <c r="A9037" s="1">
        <v>5.0</v>
      </c>
      <c r="B9037" s="1" t="s">
        <v>8906</v>
      </c>
      <c r="C9037" t="str">
        <f>IFERROR(__xludf.DUMMYFUNCTION("GOOGLETRANSLATE(B9037, ""fr"", ""en"")"),"Super Super, although a size 36 regular. I sow glitter but there's always all about the shoes.")</f>
        <v>Super Super, although a size 36 regular. I sow glitter but there's always all about the shoes.</v>
      </c>
    </row>
    <row r="9038">
      <c r="A9038" s="1">
        <v>5.0</v>
      </c>
      <c r="B9038" s="1" t="s">
        <v>8907</v>
      </c>
      <c r="C9038" t="str">
        <f>IFERROR(__xludf.DUMMYFUNCTION("GOOGLETRANSLATE(B9038, ""fr"", ""en"")"),"very good watch Fast shipping, good watch, my husband works in construction and this goes is unbreakable, perfect and beautiful, well aware I buy one for me")</f>
        <v>very good watch Fast shipping, good watch, my husband works in construction and this goes is unbreakable, perfect and beautiful, well aware I buy one for me</v>
      </c>
    </row>
    <row r="9039">
      <c r="A9039" s="1">
        <v>5.0</v>
      </c>
      <c r="B9039" s="1" t="s">
        <v>8908</v>
      </c>
      <c r="C9039" t="str">
        <f>IFERROR(__xludf.DUMMYFUNCTION("GOOGLETRANSLATE(B9039, ""fr"", ""en"")"),"Perfect I hope my review will be helpful to make your choice. I took my usual size, it's perfect. It is not so. They were in very good condition. Received as expected.")</f>
        <v>Perfect I hope my review will be helpful to make your choice. I took my usual size, it's perfect. It is not so. They were in very good condition. Received as expected.</v>
      </c>
    </row>
    <row r="9040">
      <c r="A9040" s="1">
        <v>5.0</v>
      </c>
      <c r="B9040" s="1" t="s">
        <v>8909</v>
      </c>
      <c r="C9040" t="str">
        <f>IFERROR(__xludf.DUMMYFUNCTION("GOOGLETRANSLATE(B9040, ""fr"", ""en"")"),"Good product for the price it's a great product, with arrows on the films that fade during hot rolling.")</f>
        <v>Good product for the price it's a great product, with arrows on the films that fade during hot rolling.</v>
      </c>
    </row>
    <row r="9041">
      <c r="A9041" s="1">
        <v>5.0</v>
      </c>
      <c r="B9041" s="1" t="s">
        <v>8910</v>
      </c>
      <c r="C9041" t="str">
        <f>IFERROR(__xludf.DUMMYFUNCTION("GOOGLETRANSLATE(B9041, ""fr"", ""en"")"),"Very good value for money Looking for a helmet in a ""reasonable"" price (I have trouble putting 300 balls in earphones or headphones) ... It is complete, comes in a good semi hard case bill with charging cord, airline adapter and wire to plug into a apar"&amp;"eil if no bluetooth. This product really is what I wanted. Easy to use, easy to apairer my phone, my tablet or my TV. It serves me to watch the series or movies at night without waking the house (better immersion in the warranty film), the office for list"&amp;"ening to music without disturbing colleagues (I'm in an open space) and to isolate the ambient noise, or on bus rides or walking. The sound quality is very good. The bass is present without being overbearing, Noise reduction is correct. We are talking abo"&amp;"ut noise reduction, no cancellation. In a very noisy environment (busy), it really reduces but does not completely isolated ... Comfort is good. Attention summer, it may tend to sweat because isolating headphones very well and it's hot, it keeps you warm "&amp;"ears. In winter, it's great for cons ... To choose between headphones and in-ear headphones, I'm choosing the helmet because even though I think it does not necessarily discreet, it's still more hygienic than the atria ...")</f>
        <v>Very good value for money Looking for a helmet in a "reasonable" price (I have trouble putting 300 balls in earphones or headphones) ... It is complete, comes in a good semi hard case bill with charging cord, airline adapter and wire to plug into a apareil if no bluetooth. This product really is what I wanted. Easy to use, easy to apairer my phone, my tablet or my TV. It serves me to watch the series or movies at night without waking the house (better immersion in the warranty film), the office for listening to music without disturbing colleagues (I'm in an open space) and to isolate the ambient noise, or on bus rides or walking. The sound quality is very good. The bass is present without being overbearing, Noise reduction is correct. We are talking about noise reduction, no cancellation. In a very noisy environment (busy), it really reduces but does not completely isolated ... Comfort is good. Attention summer, it may tend to sweat because isolating headphones very well and it's hot, it keeps you warm ears. In winter, it's great for cons ... To choose between headphones and in-ear headphones, I'm choosing the helmet because even though I think it does not necessarily discreet, it's still more hygienic than the atria ...</v>
      </c>
    </row>
    <row r="9042">
      <c r="A9042" s="1">
        <v>5.0</v>
      </c>
      <c r="B9042" s="1" t="s">
        <v>8911</v>
      </c>
      <c r="C9042" t="str">
        <f>IFERROR(__xludf.DUMMYFUNCTION("GOOGLETRANSLATE(B9042, ""fr"", ""en"")"),"essential great value for money it n there is no return of hot water as there could be in the low-end water bottles")</f>
        <v>essential great value for money it n there is no return of hot water as there could be in the low-end water bottles</v>
      </c>
    </row>
    <row r="9043">
      <c r="A9043" s="1">
        <v>5.0</v>
      </c>
      <c r="B9043" s="1" t="s">
        <v>8912</v>
      </c>
      <c r="C9043" t="str">
        <f>IFERROR(__xludf.DUMMYFUNCTION("GOOGLETRANSLATE(B9043, ""fr"", ""en"")"),"925 silver rhodium as I am always enchanted by the rings that mark. I already have 5, and I expect other three Saturday. The rings are good, I wear them every day, I do the dishes, cleaning, I take my shower with and they do not tarnish, do not oxide beca"&amp;"use they are recouvertent of a layer of rhodium (platinum) which allows to be harder and keep that shine like white gold jewelry ... I am delighted because the prices are very attractive and the quality is there.")</f>
        <v>925 silver rhodium as I am always enchanted by the rings that mark. I already have 5, and I expect other three Saturday. The rings are good, I wear them every day, I do the dishes, cleaning, I take my shower with and they do not tarnish, do not oxide because they are recouvertent of a layer of rhodium (platinum) which allows to be harder and keep that shine like white gold jewelry ... I am delighted because the prices are very attractive and the quality is there.</v>
      </c>
    </row>
    <row r="9044">
      <c r="A9044" s="1">
        <v>5.0</v>
      </c>
      <c r="B9044" s="1" t="s">
        <v>8913</v>
      </c>
      <c r="C9044" t="str">
        <f>IFERROR(__xludf.DUMMYFUNCTION("GOOGLETRANSLATE(B9044, ""fr"", ""en"")"),"I recommend I was looking for a bottle warmer that heats quickly and is wide enough for my bottles of different width (Nuby, Tigex). once we found mL it takes to warm the bottle with the pod is perfect example for 180 ml of milk in my bottle Nuby just ove"&amp;"r 15 ml of water is needed and less than 2 minutes it's ready no noise to signal that it is ready only light that goes off and it heats according to the principle of the steam purchase !!!")</f>
        <v>I recommend I was looking for a bottle warmer that heats quickly and is wide enough for my bottles of different width (Nuby, Tigex). once we found mL it takes to warm the bottle with the pod is perfect example for 180 ml of milk in my bottle Nuby just over 15 ml of water is needed and less than 2 minutes it's ready no noise to signal that it is ready only light that goes off and it heats according to the principle of the steam purchase !!!</v>
      </c>
    </row>
    <row r="9045">
      <c r="A9045" s="1">
        <v>5.0</v>
      </c>
      <c r="B9045" s="1" t="s">
        <v>8914</v>
      </c>
      <c r="C9045" t="str">
        <f>IFERROR(__xludf.DUMMYFUNCTION("GOOGLETRANSLATE(B9045, ""fr"", ""en"")"),"of butterfly earrings shaped bow and ball christmas very nice and very good quality and affordable")</f>
        <v>of butterfly earrings shaped bow and ball christmas very nice and very good quality and affordable</v>
      </c>
    </row>
    <row r="9046">
      <c r="A9046" s="1">
        <v>5.0</v>
      </c>
      <c r="B9046" s="1" t="s">
        <v>8915</v>
      </c>
      <c r="C9046" t="str">
        <f>IFERROR(__xludf.DUMMYFUNCTION("GOOGLETRANSLATE(B9046, ""fr"", ""en"")"),"RAS product delivered in a timely fashion in perfect condition")</f>
        <v>RAS product delivered in a timely fashion in perfect condition</v>
      </c>
    </row>
    <row r="9047">
      <c r="A9047" s="1">
        <v>5.0</v>
      </c>
      <c r="B9047" s="1" t="s">
        <v>8916</v>
      </c>
      <c r="C9047" t="str">
        <f>IFERROR(__xludf.DUMMYFUNCTION("GOOGLETRANSLATE(B9047, ""fr"", ""en"")"),"Super Hot sweater white sweater and good quality for the price I m lai taken and I'm doing if it is tight at length because I wanted a super wide but otherwise I think buy another")</f>
        <v>Super Hot sweater white sweater and good quality for the price I m lai taken and I'm doing if it is tight at length because I wanted a super wide but otherwise I think buy another</v>
      </c>
    </row>
    <row r="9048">
      <c r="A9048" s="1">
        <v>5.0</v>
      </c>
      <c r="B9048" s="1" t="s">
        <v>8917</v>
      </c>
      <c r="C9048" t="str">
        <f>IFERROR(__xludf.DUMMYFUNCTION("GOOGLETRANSLATE(B9048, ""fr"", ""en"")"),"Leaves Perfect quality thank you!")</f>
        <v>Leaves Perfect quality thank you!</v>
      </c>
    </row>
    <row r="9049">
      <c r="A9049" s="1">
        <v>5.0</v>
      </c>
      <c r="B9049" s="1" t="s">
        <v>8918</v>
      </c>
      <c r="C9049" t="str">
        <f>IFERROR(__xludf.DUMMYFUNCTION("GOOGLETRANSLATE(B9049, ""fr"", ""en"")"),"A big change from a headset microphone I changed for quality reasons. I wanted an affordable microphone to have a better quality audio during exchanges / conversations. Very pleased with this purchase, it did a few months that I have it and I've never had"&amp;" any problems with. It works very well, the microphone quality is top notch. For individuals, this is the must-have! Similarly for speakers, entrepreneurs looking for a good microphone webinars, video artists or simply people who want to improve the comfo"&amp;"rt of their interlocutors, do not hesitate about purchasing this microphone! I recommend")</f>
        <v>A big change from a headset microphone I changed for quality reasons. I wanted an affordable microphone to have a better quality audio during exchanges / conversations. Very pleased with this purchase, it did a few months that I have it and I've never had any problems with. It works very well, the microphone quality is top notch. For individuals, this is the must-have! Similarly for speakers, entrepreneurs looking for a good microphone webinars, video artists or simply people who want to improve the comfort of their interlocutors, do not hesitate about purchasing this microphone! I recommend</v>
      </c>
    </row>
    <row r="9050">
      <c r="A9050" s="1">
        <v>5.0</v>
      </c>
      <c r="B9050" s="1" t="s">
        <v>8919</v>
      </c>
      <c r="C9050" t="str">
        <f>IFERROR(__xludf.DUMMYFUNCTION("GOOGLETRANSLATE(B9050, ""fr"", ""en"")"),"Beautiful and well finished product delivered very quickly (less than 3 days) cute and above it have more solid than other bracelets of this type that I bought and it comes with a wireless replacement if the original breaks . Very well!")</f>
        <v>Beautiful and well finished product delivered very quickly (less than 3 days) cute and above it have more solid than other bracelets of this type that I bought and it comes with a wireless replacement if the original breaks . Very well!</v>
      </c>
    </row>
    <row r="9051">
      <c r="A9051" s="1">
        <v>2.0</v>
      </c>
      <c r="B9051" s="1" t="s">
        <v>8920</v>
      </c>
      <c r="C9051" t="str">
        <f>IFERROR(__xludf.DUMMYFUNCTION("GOOGLETRANSLATE(B9051, ""fr"", ""en"")"),"Disappointed Disappointed I have received strap c was indicated necklaces")</f>
        <v>Disappointed Disappointed I have received strap c was indicated necklaces</v>
      </c>
    </row>
    <row r="9052">
      <c r="A9052" s="1">
        <v>1.0</v>
      </c>
      <c r="B9052" s="1" t="s">
        <v>8921</v>
      </c>
      <c r="C9052" t="str">
        <f>IFERROR(__xludf.DUMMYFUNCTION("GOOGLETRANSLATE(B9052, ""fr"", ""en"")"),"Disappointed I expected that jogging more enjoyable and more beautiful. It is neither one nor the other. When I see my son with I'm really disappointed, but for the sport it's effective.")</f>
        <v>Disappointed I expected that jogging more enjoyable and more beautiful. It is neither one nor the other. When I see my son with I'm really disappointed, but for the sport it's effective.</v>
      </c>
    </row>
    <row r="9053">
      <c r="A9053" s="1">
        <v>1.0</v>
      </c>
      <c r="B9053" s="1" t="s">
        <v>8922</v>
      </c>
      <c r="C9053" t="str">
        <f>IFERROR(__xludf.DUMMYFUNCTION("GOOGLETRANSLATE(B9053, ""fr"", ""en"")"),"Sweat woman. Pull that badly ... and not to change the size or so all fees are your responsibility and it is more expensive than the sweater ... It offers a small compensation in return, but I never had. Very disappointed, I do not recommend at all this s"&amp;"eller.")</f>
        <v>Sweat woman. Pull that badly ... and not to change the size or so all fees are your responsibility and it is more expensive than the sweater ... It offers a small compensation in return, but I never had. Very disappointed, I do not recommend at all this seller.</v>
      </c>
    </row>
    <row r="9054">
      <c r="A9054" s="1">
        <v>3.0</v>
      </c>
      <c r="B9054" s="1" t="s">
        <v>8923</v>
      </c>
      <c r="C9054" t="str">
        <f>IFERROR(__xludf.DUMMYFUNCTION("GOOGLETRANSLATE(B9054, ""fr"", ""en"")"),"nice but lacks the small r authentication Do not believe people who say to take one size smaller, it's what I do and I took 41 because I'm 42 and it's like size 41 so take your usual size. quick refund but I do not understand the price differences between"&amp;" pointureset one day to the other the price is not the same")</f>
        <v>nice but lacks the small r authentication Do not believe people who say to take one size smaller, it's what I do and I took 41 because I'm 42 and it's like size 41 so take your usual size. quick refund but I do not understand the price differences between pointureset one day to the other the price is not the same</v>
      </c>
    </row>
    <row r="9055">
      <c r="A9055" s="1">
        <v>3.0</v>
      </c>
      <c r="B9055" s="1" t="s">
        <v>8924</v>
      </c>
      <c r="C9055" t="str">
        <f>IFERROR(__xludf.DUMMYFUNCTION("GOOGLETRANSLATE(B9055, ""fr"", ""en"")"),"but well ... but just too good considering the price, I reclassified pajama top and winter I would use it in tee shirt underneath as close to the body, beautiful material")</f>
        <v>but well ... but just too good considering the price, I reclassified pajama top and winter I would use it in tee shirt underneath as close to the body, beautiful material</v>
      </c>
    </row>
    <row r="9056">
      <c r="A9056" s="1">
        <v>4.0</v>
      </c>
      <c r="B9056" s="1" t="s">
        <v>8925</v>
      </c>
      <c r="C9056" t="str">
        <f>IFERROR(__xludf.DUMMYFUNCTION("GOOGLETRANSLATE(B9056, ""fr"", ""en"")"),"Very convenient Perfect aesthetics, proven dangerous ground, it lacks a can of protection at the sides and back .. otherwise top!")</f>
        <v>Very convenient Perfect aesthetics, proven dangerous ground, it lacks a can of protection at the sides and back .. otherwise top!</v>
      </c>
    </row>
    <row r="9057">
      <c r="A9057" s="1">
        <v>4.0</v>
      </c>
      <c r="B9057" s="1" t="s">
        <v>8926</v>
      </c>
      <c r="C9057" t="str">
        <f>IFERROR(__xludf.DUMMYFUNCTION("GOOGLETRANSLATE(B9057, ""fr"", ""en"")"),"Product in accordance product according to the description. soap smell! Not unpleasant. Texture fairly compact. I find the price a bit excessive.")</f>
        <v>Product in accordance product according to the description. soap smell! Not unpleasant. Texture fairly compact. I find the price a bit excessive.</v>
      </c>
    </row>
    <row r="9058">
      <c r="A9058" s="1">
        <v>4.0</v>
      </c>
      <c r="B9058" s="1" t="s">
        <v>8927</v>
      </c>
      <c r="C9058" t="str">
        <f>IFERROR(__xludf.DUMMYFUNCTION("GOOGLETRANSLATE(B9058, ""fr"", ""en"")"),"Comfortable, good style but not finishing at the top level Pretty comfortable model I use them during the week with the outfits ""chill"". I'm happy even if I happen to blame for Van's sole problems off at the bend of the foot.")</f>
        <v>Comfortable, good style but not finishing at the top level Pretty comfortable model I use them during the week with the outfits "chill". I'm happy even if I happen to blame for Van's sole problems off at the bend of the foot.</v>
      </c>
    </row>
    <row r="9059">
      <c r="A9059" s="1">
        <v>4.0</v>
      </c>
      <c r="B9059" s="1" t="s">
        <v>8928</v>
      </c>
      <c r="C9059" t="str">
        <f>IFERROR(__xludf.DUMMYFUNCTION("GOOGLETRANSLATE(B9059, ""fr"", ""en"")"),"It is great to get sports")</f>
        <v>It is great to get sports</v>
      </c>
    </row>
    <row r="9060">
      <c r="A9060" s="1">
        <v>5.0</v>
      </c>
      <c r="B9060" s="1" t="s">
        <v>8929</v>
      </c>
      <c r="C9060" t="str">
        <f>IFERROR(__xludf.DUMMYFUNCTION("GOOGLETRANSLATE(B9060, ""fr"", ""en"")"),"Good, really good. correct volume")</f>
        <v>Good, really good. correct volume</v>
      </c>
    </row>
    <row r="9061">
      <c r="A9061" s="1">
        <v>5.0</v>
      </c>
      <c r="B9061" s="1" t="s">
        <v>8930</v>
      </c>
      <c r="C9061" t="str">
        <f>IFERROR(__xludf.DUMMYFUNCTION("GOOGLETRANSLATE(B9061, ""fr"", ""en"")"),"I forget more Finally various object has self fingertips")</f>
        <v>I forget more Finally various object has self fingertips</v>
      </c>
    </row>
    <row r="9062">
      <c r="A9062" s="1">
        <v>5.0</v>
      </c>
      <c r="B9062" s="1" t="s">
        <v>8931</v>
      </c>
      <c r="C9062" t="str">
        <f>IFERROR(__xludf.DUMMYFUNCTION("GOOGLETRANSLATE(B9062, ""fr"", ""en"")"),"review on the product package Exacompta 100 To store the folder it's much better, I am confused much better, the package was well packed, no damage, the top and increasingly cheap pack of 100! (I did not count them but they seem to be there anyway) covera"&amp;"ge is rigid is really the top")</f>
        <v>review on the product package Exacompta 100 To store the folder it's much better, I am confused much better, the package was well packed, no damage, the top and increasingly cheap pack of 100! (I did not count them but they seem to be there anyway) coverage is rigid is really the top</v>
      </c>
    </row>
    <row r="9063">
      <c r="A9063" s="1">
        <v>5.0</v>
      </c>
      <c r="B9063" s="1" t="s">
        <v>8932</v>
      </c>
      <c r="C9063" t="str">
        <f>IFERROR(__xludf.DUMMYFUNCTION("GOOGLETRANSLATE(B9063, ""fr"", ""en"")"),"As expected I'm used to Skechers for their comfort, this one is no exception. See to use! Beautiful design and end")</f>
        <v>As expected I'm used to Skechers for their comfort, this one is no exception. See to use! Beautiful design and end</v>
      </c>
    </row>
    <row r="9064">
      <c r="A9064" s="1">
        <v>5.0</v>
      </c>
      <c r="B9064" s="1" t="s">
        <v>8933</v>
      </c>
      <c r="C9064" t="str">
        <f>IFERROR(__xludf.DUMMYFUNCTION("GOOGLETRANSLATE(B9064, ""fr"", ""en"")"),"perfect good use")</f>
        <v>perfect good use</v>
      </c>
    </row>
    <row r="9065">
      <c r="A9065" s="1">
        <v>5.0</v>
      </c>
      <c r="B9065" s="1" t="s">
        <v>8934</v>
      </c>
      <c r="C9065" t="str">
        <f>IFERROR(__xludf.DUMMYFUNCTION("GOOGLETRANSLATE(B9065, ""fr"", ""en"")"),"Perfect! No complaints ! This is what I expected")</f>
        <v>Perfect! No complaints ! This is what I expected</v>
      </c>
    </row>
    <row r="9066">
      <c r="A9066" s="1">
        <v>5.0</v>
      </c>
      <c r="B9066" s="1" t="s">
        <v>8935</v>
      </c>
      <c r="C9066" t="str">
        <f>IFERROR(__xludf.DUMMYFUNCTION("GOOGLETRANSLATE(B9066, ""fr"", ""en"")"),"Perfect Shoes very good. Price very interesting during sales")</f>
        <v>Perfect Shoes very good. Price very interesting during sales</v>
      </c>
    </row>
    <row r="9067">
      <c r="A9067" s="1">
        <v>5.0</v>
      </c>
      <c r="B9067" s="1" t="s">
        <v>8936</v>
      </c>
      <c r="C9067" t="str">
        <f>IFERROR(__xludf.DUMMYFUNCTION("GOOGLETRANSLATE(B9067, ""fr"", ""en"")"),"Very good quality, clear sound, perfect for my iphone.")</f>
        <v>Very good quality, clear sound, perfect for my iphone.</v>
      </c>
    </row>
    <row r="9068">
      <c r="A9068" s="1">
        <v>5.0</v>
      </c>
      <c r="B9068" s="1" t="s">
        <v>8937</v>
      </c>
      <c r="C9068" t="str">
        <f>IFERROR(__xludf.DUMMYFUNCTION("GOOGLETRANSLATE(B9068, ""fr"", ""en"")"),"drooling less I do not know if the necklace really works for pain (because this is the beginning for my daughter) but what is certain is that she drools a lot less.")</f>
        <v>drooling less I do not know if the necklace really works for pain (because this is the beginning for my daughter) but what is certain is that she drools a lot less.</v>
      </c>
    </row>
    <row r="9069">
      <c r="A9069" s="1">
        <v>5.0</v>
      </c>
      <c r="B9069" s="1" t="s">
        <v>8938</v>
      </c>
      <c r="C9069" t="str">
        <f>IFERROR(__xludf.DUMMYFUNCTION("GOOGLETRANSLATE(B9069, ""fr"", ""en"")"),"legendary watch. Very nice watch, Seiko is a BRAND, I hope I bought another model, I am more than satisfied, I suggest you buy it.")</f>
        <v>legendary watch. Very nice watch, Seiko is a BRAND, I hope I bought another model, I am more than satisfied, I suggest you buy it.</v>
      </c>
    </row>
    <row r="9070">
      <c r="A9070" s="1">
        <v>5.0</v>
      </c>
      <c r="B9070" s="1" t="s">
        <v>8939</v>
      </c>
      <c r="C9070" t="str">
        <f>IFERROR(__xludf.DUMMYFUNCTION("GOOGLETRANSLATE(B9070, ""fr"", ""en"")"),"Super Top very satisfied with this purchase only positive point is somewhat difficult cleaned but hey it gets worse as so brief please say has bought!")</f>
        <v>Super Top very satisfied with this purchase only positive point is somewhat difficult cleaned but hey it gets worse as so brief please say has bought!</v>
      </c>
    </row>
    <row r="9071">
      <c r="A9071" s="1">
        <v>5.0</v>
      </c>
      <c r="B9071" s="1" t="s">
        <v>8940</v>
      </c>
      <c r="C9071" t="str">
        <f>IFERROR(__xludf.DUMMYFUNCTION("GOOGLETRANSLATE(B9071, ""fr"", ""en"")"),"Super useful are essential in lot Explanation easy .. I recommend .. No problems with the delivery.")</f>
        <v>Super useful are essential in lot Explanation easy .. I recommend .. No problems with the delivery.</v>
      </c>
    </row>
    <row r="9072">
      <c r="A9072" s="1">
        <v>5.0</v>
      </c>
      <c r="B9072" s="1" t="s">
        <v>508</v>
      </c>
      <c r="C9072" t="str">
        <f>IFERROR(__xludf.DUMMYFUNCTION("GOOGLETRANSLATE(B9072, ""fr"", ""en"")"),"Very well very well")</f>
        <v>Very well very well</v>
      </c>
    </row>
    <row r="9073">
      <c r="A9073" s="1">
        <v>5.0</v>
      </c>
      <c r="B9073" s="1" t="s">
        <v>8941</v>
      </c>
      <c r="C9073" t="str">
        <f>IFERROR(__xludf.DUMMYFUNCTION("GOOGLETRANSLATE(B9073, ""fr"", ""en"")"),"Bought strong and large capacity to put in the break room at work for those who love tea and herbal tea because it is fashionable at the moment. set solid and flawless, easy to install, water comes to a boil in 2 minutes. Its large capacity allows filling"&amp;" about 6 mugs. Unanimous in break room! Easy cleaning thanks to its wide opening.")</f>
        <v>Bought strong and large capacity to put in the break room at work for those who love tea and herbal tea because it is fashionable at the moment. set solid and flawless, easy to install, water comes to a boil in 2 minutes. Its large capacity allows filling about 6 mugs. Unanimous in break room! Easy cleaning thanks to its wide opening.</v>
      </c>
    </row>
    <row r="9074">
      <c r="A9074" s="1">
        <v>5.0</v>
      </c>
      <c r="B9074" s="1" t="s">
        <v>8942</v>
      </c>
      <c r="C9074" t="str">
        <f>IFERROR(__xludf.DUMMYFUNCTION("GOOGLETRANSLATE(B9074, ""fr"", ""en"")"),"Very good product line with the announcement and very light foot to work")</f>
        <v>Very good product line with the announcement and very light foot to work</v>
      </c>
    </row>
    <row r="9075">
      <c r="A9075" s="1">
        <v>2.0</v>
      </c>
      <c r="B9075" s="1" t="s">
        <v>8943</v>
      </c>
      <c r="C9075" t="str">
        <f>IFERROR(__xludf.DUMMYFUNCTION("GOOGLETRANSLATE(B9075, ""fr"", ""en"")"),"Fragile lining which began to tear after having worn a dozen times. The top was torn at the bonding with the base after having worn 2-3 months. The sole deformed inside, one feels slight bumps")</f>
        <v>Fragile lining which began to tear after having worn a dozen times. The top was torn at the bonding with the base after having worn 2-3 months. The sole deformed inside, one feels slight bumps</v>
      </c>
    </row>
    <row r="9076">
      <c r="A9076" s="1">
        <v>1.0</v>
      </c>
      <c r="B9076" s="1" t="s">
        <v>8944</v>
      </c>
      <c r="C9076" t="str">
        <f>IFERROR(__xludf.DUMMYFUNCTION("GOOGLETRANSLATE(B9076, ""fr"", ""en"")"),"Very disappointed Watch offered the 02/03/2019 and the 03/11/2019 no longer works, stop the second hand constantly")</f>
        <v>Very disappointed Watch offered the 02/03/2019 and the 03/11/2019 no longer works, stop the second hand constantly</v>
      </c>
    </row>
    <row r="9077">
      <c r="A9077" s="1">
        <v>1.0</v>
      </c>
      <c r="B9077" s="1" t="s">
        <v>8945</v>
      </c>
      <c r="C9077" t="str">
        <f>IFERROR(__xludf.DUMMYFUNCTION("GOOGLETRANSLATE(B9077, ""fr"", ""en"")"),"Of basketball")</f>
        <v>Of basketball</v>
      </c>
    </row>
    <row r="9078">
      <c r="A9078" s="1">
        <v>3.0</v>
      </c>
      <c r="B9078" s="1" t="s">
        <v>8946</v>
      </c>
      <c r="C9078" t="str">
        <f>IFERROR(__xludf.DUMMYFUNCTION("GOOGLETRANSLATE(B9078, ""fr"", ""en"")"),"is not the right size I order I received from 37/38 35/36 NOT Contante")</f>
        <v>is not the right size I order I received from 37/38 35/36 NOT Contante</v>
      </c>
    </row>
    <row r="9079">
      <c r="A9079" s="1">
        <v>4.0</v>
      </c>
      <c r="B9079" s="1" t="s">
        <v>8947</v>
      </c>
      <c r="C9079" t="str">
        <f>IFERROR(__xludf.DUMMYFUNCTION("GOOGLETRANSLATE(B9079, ""fr"", ""en"")"),"great product consistent with the description and the photos I've seen. She is very pretty, big enough without being imposing and remains rather subdued. The bracelet is also quite large which I like because I have a rather large handful. In short, for th"&amp;"e price we can only be satisfied, yet to see the strength of the watch in time.")</f>
        <v>great product consistent with the description and the photos I've seen. She is very pretty, big enough without being imposing and remains rather subdued. The bracelet is also quite large which I like because I have a rather large handful. In short, for the price we can only be satisfied, yet to see the strength of the watch in time.</v>
      </c>
    </row>
    <row r="9080">
      <c r="A9080" s="1">
        <v>4.0</v>
      </c>
      <c r="B9080" s="1" t="s">
        <v>8948</v>
      </c>
      <c r="C9080" t="str">
        <f>IFERROR(__xludf.DUMMYFUNCTION("GOOGLETRANSLATE(B9080, ""fr"", ""en"")"),"Nike Sweat Good quality, respected color, correct thickness, aged well and does not shrink in the wash, a little wide for my son who is pretty menu.")</f>
        <v>Nike Sweat Good quality, respected color, correct thickness, aged well and does not shrink in the wash, a little wide for my son who is pretty menu.</v>
      </c>
    </row>
    <row r="9081">
      <c r="A9081" s="1">
        <v>4.0</v>
      </c>
      <c r="B9081" s="1" t="s">
        <v>8949</v>
      </c>
      <c r="C9081" t="str">
        <f>IFERROR(__xludf.DUMMYFUNCTION("GOOGLETRANSLATE(B9081, ""fr"", ""en"")"),"Better picture on my feet but still very comfortable, just the soles seem to be slippery but I have not tested in the wet. Good buy anyway.")</f>
        <v>Better picture on my feet but still very comfortable, just the soles seem to be slippery but I have not tested in the wet. Good buy anyway.</v>
      </c>
    </row>
    <row r="9082">
      <c r="A9082" s="1">
        <v>4.0</v>
      </c>
      <c r="B9082" s="1" t="s">
        <v>8950</v>
      </c>
      <c r="C9082" t="str">
        <f>IFERROR(__xludf.DUMMYFUNCTION("GOOGLETRANSLATE(B9082, ""fr"", ""en"")"),"Compact and powerful Supported by a PC with its DJ software, this little Hercules console and perfectly Pads will do their job in a small footprint while maintaining good ergonomics.")</f>
        <v>Compact and powerful Supported by a PC with its DJ software, this little Hercules console and perfectly Pads will do their job in a small footprint while maintaining good ergonomics.</v>
      </c>
    </row>
    <row r="9083">
      <c r="A9083" s="1">
        <v>5.0</v>
      </c>
      <c r="B9083" s="1" t="s">
        <v>8951</v>
      </c>
      <c r="C9083" t="str">
        <f>IFERROR(__xludf.DUMMYFUNCTION("GOOGLETRANSLATE(B9083, ""fr"", ""en"")"),"Perfect very good quality cut its particular charm sweater makes it perfectly meets my expectations I really advise this Article")</f>
        <v>Perfect very good quality cut its particular charm sweater makes it perfectly meets my expectations I really advise this Article</v>
      </c>
    </row>
    <row r="9084">
      <c r="A9084" s="1">
        <v>5.0</v>
      </c>
      <c r="B9084" s="1" t="s">
        <v>8952</v>
      </c>
      <c r="C9084" t="str">
        <f>IFERROR(__xludf.DUMMYFUNCTION("GOOGLETRANSLATE(B9084, ""fr"", ""en"")"),"Watch My father is very satisfied")</f>
        <v>Watch My father is very satisfied</v>
      </c>
    </row>
    <row r="9085">
      <c r="A9085" s="1">
        <v>5.0</v>
      </c>
      <c r="B9085" s="1" t="s">
        <v>8953</v>
      </c>
      <c r="C9085" t="str">
        <f>IFERROR(__xludf.DUMMYFUNCTION("GOOGLETRANSLATE(B9085, ""fr"", ""en"")"),"Reebok, a great value Very excited about these shoes. The size perfectly matched. Comfort is at the top, no adjustment period, I felt immediately comfortable in these shoes.")</f>
        <v>Reebok, a great value Very excited about these shoes. The size perfectly matched. Comfort is at the top, no adjustment period, I felt immediately comfortable in these shoes.</v>
      </c>
    </row>
    <row r="9086">
      <c r="A9086" s="1">
        <v>5.0</v>
      </c>
      <c r="B9086" s="1" t="s">
        <v>8954</v>
      </c>
      <c r="C9086" t="str">
        <f>IFERROR(__xludf.DUMMYFUNCTION("GOOGLETRANSLATE(B9086, ""fr"", ""en"")"),"Earpiece These headphones are proving good quality at a low price. They come in a small plastic box which allows the easy storage and does not damage them. So intense joy to find that part of it so cheap online.")</f>
        <v>Earpiece These headphones are proving good quality at a low price. They come in a small plastic box which allows the easy storage and does not damage them. So intense joy to find that part of it so cheap online.</v>
      </c>
    </row>
    <row r="9087">
      <c r="A9087" s="1">
        <v>5.0</v>
      </c>
      <c r="B9087" s="1" t="s">
        <v>8955</v>
      </c>
      <c r="C9087" t="str">
        <f>IFERROR(__xludf.DUMMYFUNCTION("GOOGLETRANSLATE(B9087, ""fr"", ""en"")"),"Support, comfort and elegance Stop supporting bras, I wanted lifejackets both comfortable and stylish. I ordered 3 lifejackets (white, black, flesh) and I am very happy, they bring together the criteria that I wanted ie maintenance (90 B) comfort and eleg"&amp;"ance. Very fast delivery and quality to go, I recommend.")</f>
        <v>Support, comfort and elegance Stop supporting bras, I wanted lifejackets both comfortable and stylish. I ordered 3 lifejackets (white, black, flesh) and I am very happy, they bring together the criteria that I wanted ie maintenance (90 B) comfort and elegance. Very fast delivery and quality to go, I recommend.</v>
      </c>
    </row>
    <row r="9088">
      <c r="A9088" s="1">
        <v>5.0</v>
      </c>
      <c r="B9088" s="1" t="s">
        <v>8956</v>
      </c>
      <c r="C9088" t="str">
        <f>IFERROR(__xludf.DUMMYFUNCTION("GOOGLETRANSLATE(B9088, ""fr"", ""en"")"),"This fine collection is very well done")</f>
        <v>This fine collection is very well done</v>
      </c>
    </row>
    <row r="9089">
      <c r="A9089" s="1">
        <v>5.0</v>
      </c>
      <c r="B9089" s="1" t="s">
        <v>8957</v>
      </c>
      <c r="C9089" t="str">
        <f>IFERROR(__xludf.DUMMYFUNCTION("GOOGLETRANSLATE(B9089, ""fr"", ""en"")"),"It's been good product I was looking for an essential oil diffuser cheap. This one is good and convenient to use. To see in the time I used it once.")</f>
        <v>It's been good product I was looking for an essential oil diffuser cheap. This one is good and convenient to use. To see in the time I used it once.</v>
      </c>
    </row>
    <row r="9090">
      <c r="A9090" s="1">
        <v>5.0</v>
      </c>
      <c r="B9090" s="1" t="s">
        <v>8958</v>
      </c>
      <c r="C9090" t="str">
        <f>IFERROR(__xludf.DUMMYFUNCTION("GOOGLETRANSLATE(B9090, ""fr"", ""en"")"),"dishwasher is not found in the store")</f>
        <v>dishwasher is not found in the store</v>
      </c>
    </row>
    <row r="9091">
      <c r="A9091" s="1">
        <v>5.0</v>
      </c>
      <c r="B9091" s="1" t="s">
        <v>8959</v>
      </c>
      <c r="C9091" t="str">
        <f>IFERROR(__xludf.DUMMYFUNCTION("GOOGLETRANSLATE(B9091, ""fr"", ""en"")"),"On top The watch is just beautiful, I am satisfied with my purchase. Having found (much) cheaper than other commercial sites I did not think twice to invest in this watch. I recommend it. If this is your course style 😊")</f>
        <v>On top The watch is just beautiful, I am satisfied with my purchase. Having found (much) cheaper than other commercial sites I did not think twice to invest in this watch. I recommend it. If this is your course style 😊</v>
      </c>
    </row>
    <row r="9092">
      <c r="A9092" s="1">
        <v>5.0</v>
      </c>
      <c r="B9092" s="1" t="s">
        <v>8960</v>
      </c>
      <c r="C9092" t="str">
        <f>IFERROR(__xludf.DUMMYFUNCTION("GOOGLETRANSLATE(B9092, ""fr"", ""en"")"),"very effective awesome product, it really works to cure many ailments; you really have to test it to believe it; it is a real product ""miracle""")</f>
        <v>very effective awesome product, it really works to cure many ailments; you really have to test it to believe it; it is a real product "miracle"</v>
      </c>
    </row>
    <row r="9093">
      <c r="A9093" s="1">
        <v>5.0</v>
      </c>
      <c r="B9093" s="1" t="s">
        <v>8961</v>
      </c>
      <c r="C9093" t="str">
        <f>IFERROR(__xludf.DUMMYFUNCTION("GOOGLETRANSLATE(B9093, ""fr"", ""en"")"),"Nickel Used to connect two jacks on the same amp. This adapter is of good quality and does not alter the sound.")</f>
        <v>Nickel Used to connect two jacks on the same amp. This adapter is of good quality and does not alter the sound.</v>
      </c>
    </row>
    <row r="9094">
      <c r="A9094" s="1">
        <v>5.0</v>
      </c>
      <c r="B9094" s="1" t="s">
        <v>8962</v>
      </c>
      <c r="C9094" t="str">
        <f>IFERROR(__xludf.DUMMYFUNCTION("GOOGLETRANSLATE(B9094, ""fr"", ""en"")"),"Nickel I bought this headset for my son and PS4. He delighted me less because it does not come when I call ... Well, that's good!")</f>
        <v>Nickel I bought this headset for my son and PS4. He delighted me less because it does not come when I call ... Well, that's good!</v>
      </c>
    </row>
    <row r="9095">
      <c r="A9095" s="1">
        <v>5.0</v>
      </c>
      <c r="B9095" s="1" t="s">
        <v>8963</v>
      </c>
      <c r="C9095" t="str">
        <f>IFERROR(__xludf.DUMMYFUNCTION("GOOGLETRANSLATE(B9095, ""fr"", ""en"")"),"Very satisfied Very pleased with this kettle. The quality of finishes is very good. You can set the desired temperature and when asked the kettle on its base that displays the current temperature of the water. This is perfect for my tea in the office.")</f>
        <v>Very satisfied Very pleased with this kettle. The quality of finishes is very good. You can set the desired temperature and when asked the kettle on its base that displays the current temperature of the water. This is perfect for my tea in the office.</v>
      </c>
    </row>
    <row r="9096">
      <c r="A9096" s="1">
        <v>5.0</v>
      </c>
      <c r="B9096" s="1" t="s">
        <v>8964</v>
      </c>
      <c r="C9096" t="str">
        <f>IFERROR(__xludf.DUMMYFUNCTION("GOOGLETRANSLATE(B9096, ""fr"", ""en"")"),"Although I had a fear that the size is too large, as was the case for another pair of baskettes. I had to give alas! So the size was good especially as I have to orthotics.")</f>
        <v>Although I had a fear that the size is too large, as was the case for another pair of baskettes. I had to give alas! So the size was good especially as I have to orthotics.</v>
      </c>
    </row>
    <row r="9097">
      <c r="A9097" s="1">
        <v>5.0</v>
      </c>
      <c r="B9097" s="1" t="s">
        <v>8965</v>
      </c>
      <c r="C9097" t="str">
        <f>IFERROR(__xludf.DUMMYFUNCTION("GOOGLETRANSLATE(B9097, ""fr"", ""en"")"),"Resistant Very good quality. I wanted to mark the test. I'm satisfied. No more bored bags leaking when the lifts!")</f>
        <v>Resistant Very good quality. I wanted to mark the test. I'm satisfied. No more bored bags leaking when the lifts!</v>
      </c>
    </row>
    <row r="9098">
      <c r="A9098" s="1">
        <v>5.0</v>
      </c>
      <c r="B9098" s="1" t="s">
        <v>7746</v>
      </c>
      <c r="C9098" t="str">
        <f>IFERROR(__xludf.DUMMYFUNCTION("GOOGLETRANSLATE(B9098, ""fr"", ""en"")"),"Conforms Okay")</f>
        <v>Conforms Okay</v>
      </c>
    </row>
    <row r="9099">
      <c r="A9099" s="1">
        <v>2.0</v>
      </c>
      <c r="B9099" s="1" t="s">
        <v>8966</v>
      </c>
      <c r="C9099" t="str">
        <f>IFERROR(__xludf.DUMMYFUNCTION("GOOGLETRANSLATE(B9099, ""fr"", ""en"")"),"Chaine really weak and is really pretty but really fragile. After a week or two it was already broken (chain)")</f>
        <v>Chaine really weak and is really pretty but really fragile. After a week or two it was already broken (chain)</v>
      </c>
    </row>
    <row r="9100">
      <c r="A9100" s="1">
        <v>1.0</v>
      </c>
      <c r="B9100" s="1" t="s">
        <v>8967</v>
      </c>
      <c r="C9100" t="str">
        <f>IFERROR(__xludf.DUMMYFUNCTION("GOOGLETRANSLATE(B9100, ""fr"", ""en"")"),"Bad It could be convenient to give the drugs but the round shape of the nipple was not suitable for my son. In addition he fled, total !!! I opted for a lollipop purchased in pharmacies.")</f>
        <v>Bad It could be convenient to give the drugs but the round shape of the nipple was not suitable for my son. In addition he fled, total !!! I opted for a lollipop purchased in pharmacies.</v>
      </c>
    </row>
    <row r="9101">
      <c r="A9101" s="1">
        <v>3.0</v>
      </c>
      <c r="B9101" s="1" t="s">
        <v>8968</v>
      </c>
      <c r="C9101" t="str">
        <f>IFERROR(__xludf.DUMMYFUNCTION("GOOGLETRANSLATE(B9101, ""fr"", ""en"")"),"Too good quality but far too big, I had to shorten the sleeves")</f>
        <v>Too good quality but far too big, I had to shorten the sleeves</v>
      </c>
    </row>
    <row r="9102">
      <c r="A9102" s="1">
        <v>3.0</v>
      </c>
      <c r="B9102" s="1" t="s">
        <v>8969</v>
      </c>
      <c r="C9102" t="str">
        <f>IFERROR(__xludf.DUMMYFUNCTION("GOOGLETRANSLATE(B9102, ""fr"", ""en"")"),"envelopes utility without luxury")</f>
        <v>envelopes utility without luxury</v>
      </c>
    </row>
    <row r="9103">
      <c r="A9103" s="1">
        <v>4.0</v>
      </c>
      <c r="B9103" s="1" t="s">
        <v>8970</v>
      </c>
      <c r="C9103" t="str">
        <f>IFERROR(__xludf.DUMMYFUNCTION("GOOGLETRANSLATE(B9103, ""fr"", ""en"")"),"Very interesting Coool")</f>
        <v>Very interesting Coool</v>
      </c>
    </row>
    <row r="9104">
      <c r="A9104" s="1">
        <v>4.0</v>
      </c>
      <c r="B9104" s="1" t="s">
        <v>8971</v>
      </c>
      <c r="C9104" t="str">
        <f>IFERROR(__xludf.DUMMYFUNCTION("GOOGLETRANSLATE(B9104, ""fr"", ""en"")"),"Although Bracelet")</f>
        <v>Although Bracelet</v>
      </c>
    </row>
    <row r="9105">
      <c r="A9105" s="1">
        <v>4.0</v>
      </c>
      <c r="B9105" s="1" t="s">
        <v>8972</v>
      </c>
      <c r="C9105" t="str">
        <f>IFERROR(__xludf.DUMMYFUNCTION("GOOGLETRANSLATE(B9105, ""fr"", ""en"")"),"WELL this is very good")</f>
        <v>WELL this is very good</v>
      </c>
    </row>
    <row r="9106">
      <c r="A9106" s="1">
        <v>4.0</v>
      </c>
      <c r="B9106" s="1" t="s">
        <v>8973</v>
      </c>
      <c r="C9106" t="str">
        <f>IFERROR(__xludf.DUMMYFUNCTION("GOOGLETRANSLATE(B9106, ""fr"", ""en"")"),"Very nice watch Good buy")</f>
        <v>Very nice watch Good buy</v>
      </c>
    </row>
    <row r="9107">
      <c r="A9107" s="1">
        <v>4.0</v>
      </c>
      <c r="B9107" s="1" t="s">
        <v>8974</v>
      </c>
      <c r="C9107" t="str">
        <f>IFERROR(__xludf.DUMMYFUNCTION("GOOGLETRANSLATE(B9107, ""fr"", ""en"")"),"product line with expectations and strong I bought this product because I already had a bottle drying rack rod which is quickly broken so I wanted the more solid that is the case. Takes a bit of room but enough class.")</f>
        <v>product line with expectations and strong I bought this product because I already had a bottle drying rack rod which is quickly broken so I wanted the more solid that is the case. Takes a bit of room but enough class.</v>
      </c>
    </row>
    <row r="9108">
      <c r="A9108" s="1">
        <v>5.0</v>
      </c>
      <c r="B9108" s="1" t="s">
        <v>1547</v>
      </c>
      <c r="C9108" t="str">
        <f>IFERROR(__xludf.DUMMYFUNCTION("GOOGLETRANSLATE(B9108, ""fr"", ""en"")"),"Ras Ras")</f>
        <v>Ras Ras</v>
      </c>
    </row>
    <row r="9109">
      <c r="A9109" s="1">
        <v>5.0</v>
      </c>
      <c r="B9109" s="1" t="s">
        <v>8975</v>
      </c>
      <c r="C9109" t="str">
        <f>IFERROR(__xludf.DUMMYFUNCTION("GOOGLETRANSLATE(B9109, ""fr"", ""en"")"),"Our elegant and stylish watch conform to the description")</f>
        <v>Our elegant and stylish watch conform to the description</v>
      </c>
    </row>
    <row r="9110">
      <c r="A9110" s="1">
        <v>5.0</v>
      </c>
      <c r="B9110" s="1" t="s">
        <v>8976</v>
      </c>
      <c r="C9110" t="str">
        <f>IFERROR(__xludf.DUMMYFUNCTION("GOOGLETRANSLATE(B9110, ""fr"", ""en"")"),"Nickel Nothing to say, go there")</f>
        <v>Nickel Nothing to say, go there</v>
      </c>
    </row>
    <row r="9111">
      <c r="A9111" s="1">
        <v>5.0</v>
      </c>
      <c r="B9111" s="1" t="s">
        <v>8977</v>
      </c>
      <c r="C9111" t="str">
        <f>IFERROR(__xludf.DUMMYFUNCTION("GOOGLETRANSLATE(B9111, ""fr"", ""en"")"),"Corresponds to my expectations Shoe Super nice!")</f>
        <v>Corresponds to my expectations Shoe Super nice!</v>
      </c>
    </row>
    <row r="9112">
      <c r="A9112" s="1">
        <v>5.0</v>
      </c>
      <c r="B9112" s="1" t="s">
        <v>8978</v>
      </c>
      <c r="C9112" t="str">
        <f>IFERROR(__xludf.DUMMYFUNCTION("GOOGLETRANSLATE(B9112, ""fr"", ""en"")"),"Product excellent use me tell")</f>
        <v>Product excellent use me tell</v>
      </c>
    </row>
    <row r="9113">
      <c r="A9113" s="1">
        <v>5.0</v>
      </c>
      <c r="B9113" s="1" t="s">
        <v>8979</v>
      </c>
      <c r="C9113" t="str">
        <f>IFERROR(__xludf.DUMMYFUNCTION("GOOGLETRANSLATE(B9113, ""fr"", ""en"")"),"Colander stylish I love it!")</f>
        <v>Colander stylish I love it!</v>
      </c>
    </row>
    <row r="9114">
      <c r="A9114" s="1">
        <v>5.0</v>
      </c>
      <c r="B9114" s="1" t="s">
        <v>8980</v>
      </c>
      <c r="C9114" t="str">
        <f>IFERROR(__xludf.DUMMYFUNCTION("GOOGLETRANSLATE(B9114, ""fr"", ""en"")"),"Roger of paper Beautiful and tightly wrapped super recommend")</f>
        <v>Roger of paper Beautiful and tightly wrapped super recommend</v>
      </c>
    </row>
    <row r="9115">
      <c r="A9115" s="1">
        <v>5.0</v>
      </c>
      <c r="B9115" s="1" t="s">
        <v>8981</v>
      </c>
      <c r="C9115" t="str">
        <f>IFERROR(__xludf.DUMMYFUNCTION("GOOGLETRANSLATE(B9115, ""fr"", ""en"")"),"Would recommend for fans of unicorns Very nice coloring book for a child 10 years")</f>
        <v>Would recommend for fans of unicorns Very nice coloring book for a child 10 years</v>
      </c>
    </row>
    <row r="9116">
      <c r="A9116" s="1">
        <v>5.0</v>
      </c>
      <c r="B9116" s="1" t="s">
        <v>8982</v>
      </c>
      <c r="C9116" t="str">
        <f>IFERROR(__xludf.DUMMYFUNCTION("GOOGLETRANSLATE(B9116, ""fr"", ""en"")"),"As Super pharmacy, no worries, received quickly")</f>
        <v>As Super pharmacy, no worries, received quickly</v>
      </c>
    </row>
    <row r="9117">
      <c r="A9117" s="1">
        <v>5.0</v>
      </c>
      <c r="B9117" s="1" t="s">
        <v>8983</v>
      </c>
      <c r="C9117" t="str">
        <f>IFERROR(__xludf.DUMMYFUNCTION("GOOGLETRANSLATE(B9117, ""fr"", ""en"")"),"Silent My main criterion was the silence .. mission accomplished by this excellent coffee. Special feature: The display allows you to monitor the temperature of the water.")</f>
        <v>Silent My main criterion was the silence .. mission accomplished by this excellent coffee. Special feature: The display allows you to monitor the temperature of the water.</v>
      </c>
    </row>
    <row r="9118">
      <c r="A9118" s="1">
        <v>5.0</v>
      </c>
      <c r="B9118" s="1" t="s">
        <v>8984</v>
      </c>
      <c r="C9118" t="str">
        <f>IFERROR(__xludf.DUMMYFUNCTION("GOOGLETRANSLATE(B9118, ""fr"", ""en"")"),"I recommend Great for the southern beaches of France!")</f>
        <v>I recommend Great for the southern beaches of France!</v>
      </c>
    </row>
    <row r="9119">
      <c r="A9119" s="1">
        <v>5.0</v>
      </c>
      <c r="B9119" s="1" t="s">
        <v>8985</v>
      </c>
      <c r="C9119" t="str">
        <f>IFERROR(__xludf.DUMMYFUNCTION("GOOGLETRANSLATE(B9119, ""fr"", ""en"")"),"TOP Sneakers Beautiful, comfortable from the first use. I put on the 39 but I ordered the 40 but that suits me because I put socks. It's true that there is a chemical smell when I received them, but I have sprayed with Febreze and left aired one night and"&amp;" the smell is gone. Very happy with my purchase.")</f>
        <v>TOP Sneakers Beautiful, comfortable from the first use. I put on the 39 but I ordered the 40 but that suits me because I put socks. It's true that there is a chemical smell when I received them, but I have sprayed with Febreze and left aired one night and the smell is gone. Very happy with my purchase.</v>
      </c>
    </row>
    <row r="9120">
      <c r="A9120" s="1">
        <v>5.0</v>
      </c>
      <c r="B9120" s="1" t="s">
        <v>8986</v>
      </c>
      <c r="C9120" t="str">
        <f>IFERROR(__xludf.DUMMYFUNCTION("GOOGLETRANSLATE(B9120, ""fr"", ""en"")"),"I recommend essential beautiful sneakers")</f>
        <v>I recommend essential beautiful sneakers</v>
      </c>
    </row>
    <row r="9121">
      <c r="A9121" s="1">
        <v>5.0</v>
      </c>
      <c r="B9121" s="1" t="s">
        <v>8987</v>
      </c>
      <c r="C9121" t="str">
        <f>IFERROR(__xludf.DUMMYFUNCTION("GOOGLETRANSLATE(B9121, ""fr"", ""en"")"),"Product niquel diffuser Excellent! A beautiful design, very good price / quality ratio")</f>
        <v>Product niquel diffuser Excellent! A beautiful design, very good price / quality ratio</v>
      </c>
    </row>
    <row r="9122">
      <c r="A9122" s="1">
        <v>5.0</v>
      </c>
      <c r="B9122" s="1" t="s">
        <v>8988</v>
      </c>
      <c r="C9122" t="str">
        <f>IFERROR(__xludf.DUMMYFUNCTION("GOOGLETRANSLATE(B9122, ""fr"", ""en"")"),"elegant !! Command compliant strap to length 19cm, comes with a small pouch Felt marked PANDORA and a certificate of authenticity, the box and the little heart were ordered in addition. very pretty jewel")</f>
        <v>elegant !! Command compliant strap to length 19cm, comes with a small pouch Felt marked PANDORA and a certificate of authenticity, the box and the little heart were ordered in addition. very pretty jewel</v>
      </c>
    </row>
    <row r="9123">
      <c r="A9123" s="1">
        <v>2.0</v>
      </c>
      <c r="B9123" s="1" t="s">
        <v>8989</v>
      </c>
      <c r="C9123" t="str">
        <f>IFERROR(__xludf.DUMMYFUNCTION("GOOGLETRANSLATE(B9123, ""fr"", ""en"")"),"Disappointed! Hello who have had a spray stain the ox gall (Eres) which was very good but I can not find on the market, I bought this solid soap but I see absolutely no efficacy !!! It does not come off. As much back to the old method is to soak the cloth"&amp;"es stained with conventional washing detergent in water for 1day before moving the machine, at least it works! ...")</f>
        <v>Disappointed! Hello who have had a spray stain the ox gall (Eres) which was very good but I can not find on the market, I bought this solid soap but I see absolutely no efficacy !!! It does not come off. As much back to the old method is to soak the clothes stained with conventional washing detergent in water for 1day before moving the machine, at least it works! ...</v>
      </c>
    </row>
    <row r="9124">
      <c r="A9124" s="1">
        <v>1.0</v>
      </c>
      <c r="B9124" s="1" t="s">
        <v>8990</v>
      </c>
      <c r="C9124" t="str">
        <f>IFERROR(__xludf.DUMMYFUNCTION("GOOGLETRANSLATE(B9124, ""fr"", ""en"")"),"Do not do not easily remove the bag when filled")</f>
        <v>Do not do not easily remove the bag when filled</v>
      </c>
    </row>
    <row r="9125">
      <c r="A9125" s="1">
        <v>1.0</v>
      </c>
      <c r="B9125" s="1" t="s">
        <v>8991</v>
      </c>
      <c r="C9125" t="str">
        <f>IFERROR(__xludf.DUMMYFUNCTION("GOOGLETRANSLATE(B9125, ""fr"", ""en"")"),"Not waterproof The coat is windproof but as the first in the rain I quickly realized that it is not waterproof at all ... Too bad for waterproof !!!")</f>
        <v>Not waterproof The coat is windproof but as the first in the rain I quickly realized that it is not waterproof at all ... Too bad for waterproof !!!</v>
      </c>
    </row>
    <row r="9126">
      <c r="A9126" s="1">
        <v>3.0</v>
      </c>
      <c r="B9126" s="1" t="s">
        <v>8992</v>
      </c>
      <c r="C9126" t="str">
        <f>IFERROR(__xludf.DUMMYFUNCTION("GOOGLETRANSLATE(B9126, ""fr"", ""en"")"),"not bad but soon broke My son loved to use it to bite pieces, especially those with juice ... but it did several times fell to the ground and the top of the high chair, its finished by broken .. shame because he really liked a lot use")</f>
        <v>not bad but soon broke My son loved to use it to bite pieces, especially those with juice ... but it did several times fell to the ground and the top of the high chair, its finished by broken .. shame because he really liked a lot use</v>
      </c>
    </row>
    <row r="9127">
      <c r="A9127" s="1">
        <v>3.0</v>
      </c>
      <c r="B9127" s="1" t="s">
        <v>8993</v>
      </c>
      <c r="C9127" t="str">
        <f>IFERROR(__xludf.DUMMYFUNCTION("GOOGLETRANSLATE(B9127, ""fr"", ""en"")"),"too heavy good product but little attention to the weight of a heavy shoe see time on the wear of those it")</f>
        <v>too heavy good product but little attention to the weight of a heavy shoe see time on the wear of those it</v>
      </c>
    </row>
    <row r="9128">
      <c r="A9128" s="1">
        <v>4.0</v>
      </c>
      <c r="B9128" s="1" t="s">
        <v>8994</v>
      </c>
      <c r="C9128" t="str">
        <f>IFERROR(__xludf.DUMMYFUNCTION("GOOGLETRANSLATE(B9128, ""fr"", ""en"")"),"Excellent quality / price Considering the price &amp; lt; 4 eur I did not expect a miracle but I was very pleasantly surprised.")</f>
        <v>Excellent quality / price Considering the price &amp; lt; 4 eur I did not expect a miracle but I was very pleasantly surprised.</v>
      </c>
    </row>
    <row r="9129">
      <c r="A9129" s="1">
        <v>4.0</v>
      </c>
      <c r="B9129" s="1" t="s">
        <v>8995</v>
      </c>
      <c r="C9129" t="str">
        <f>IFERROR(__xludf.DUMMYFUNCTION("GOOGLETRANSLATE(B9129, ""fr"", ""en"")"),"Beautiful Super sneakers pair. I play normally 40 but I ordered them to 39 in light of comments and fortunately because the size is perfect. Great quality laces.")</f>
        <v>Beautiful Super sneakers pair. I play normally 40 but I ordered them to 39 in light of comments and fortunately because the size is perfect. Great quality laces.</v>
      </c>
    </row>
    <row r="9130">
      <c r="A9130" s="1">
        <v>4.0</v>
      </c>
      <c r="B9130" s="1" t="s">
        <v>8996</v>
      </c>
      <c r="C9130" t="str">
        <f>IFERROR(__xludf.DUMMYFUNCTION("GOOGLETRANSLATE(B9130, ""fr"", ""en"")"),"Chausson Chausson comfortable soft and fluffy, I do not know until the foam will stay with this form of memory. The finish is not bad. We'll see if they take all winter. Bought at around 8 euros so it's worth it. I put on the 43 I took 44/45 in size and i"&amp;"t will nickel")</f>
        <v>Chausson Chausson comfortable soft and fluffy, I do not know until the foam will stay with this form of memory. The finish is not bad. We'll see if they take all winter. Bought at around 8 euros so it's worth it. I put on the 43 I took 44/45 in size and it will nickel</v>
      </c>
    </row>
    <row r="9131">
      <c r="A9131" s="1">
        <v>4.0</v>
      </c>
      <c r="B9131" s="1" t="s">
        <v>8997</v>
      </c>
      <c r="C9131" t="str">
        <f>IFERROR(__xludf.DUMMYFUNCTION("GOOGLETRANSLATE(B9131, ""fr"", ""en"")"),"Meets Dress consistent with the picture. Color respected. Comfortable to wear. I recommend")</f>
        <v>Meets Dress consistent with the picture. Color respected. Comfortable to wear. I recommend</v>
      </c>
    </row>
    <row r="9132">
      <c r="A9132" s="1">
        <v>5.0</v>
      </c>
      <c r="B9132" s="1" t="s">
        <v>8998</v>
      </c>
      <c r="C9132" t="str">
        <f>IFERROR(__xludf.DUMMYFUNCTION("GOOGLETRANSLATE(B9132, ""fr"", ""en"")"),"a4 paper already evaluated")</f>
        <v>a4 paper already evaluated</v>
      </c>
    </row>
    <row r="9133">
      <c r="A9133" s="1">
        <v>5.0</v>
      </c>
      <c r="B9133" s="1" t="s">
        <v>8999</v>
      </c>
      <c r="C9133" t="str">
        <f>IFERROR(__xludf.DUMMYFUNCTION("GOOGLETRANSLATE(B9133, ""fr"", ""en"")"),"Good bottle that lasts in time! Very good quality!")</f>
        <v>Good bottle that lasts in time! Very good quality!</v>
      </c>
    </row>
    <row r="9134">
      <c r="A9134" s="1">
        <v>5.0</v>
      </c>
      <c r="B9134" s="1" t="s">
        <v>9000</v>
      </c>
      <c r="C9134" t="str">
        <f>IFERROR(__xludf.DUMMYFUNCTION("GOOGLETRANSLATE(B9134, ""fr"", ""en"")"),"Very good behavior in the ear with a sound quality &lt;div id = ""video-block-R3R54HSMJ1Q0KB"" class = ""a-section-spacing-small-spacing has-top video mini-block""&gt; &lt;/ div&gt; &lt;input type = ""hidden"" name = """" value = ""https://images-eu.ssl-images-amazon.co"&amp;"m/images/I/B17+LBQ9IBS.mp4"" class = ""video-url""&gt; &lt;input type = ""hidden"" name = """" value = ""https://images-eu.ssl-images-amazon.com/images/I/91gFuzOgmyS.png"" class = ""video-slate-img-url""&gt; &amp; nbsp; really on top I am enormously satisfied, I wante"&amp;"d headphones with a good performance in the ear and discreet at the same time. But mostly Earphones because it really gives a sense of security when moving without fear of the fall! Something I can not find even with brand headphones. I brought you a litt"&amp;"le video of the contents of the box. 3 different nozzle size personal first suits me well. Big advantage as no bizzare manipulation to make the earpiece automatically synchronize when they are on.")</f>
        <v>Very good behavior in the ear with a sound quality &lt;div id = "video-block-R3R54HSMJ1Q0KB" class = "a-section-spacing-small-spacing has-top video mini-block"&gt; &lt;/ div&gt; &lt;input type = "hidden" name = "" value = "https://images-eu.ssl-images-amazon.com/images/I/B17+LBQ9IBS.mp4" class = "video-url"&gt; &lt;input type = "hidden" name = "" value = "https://images-eu.ssl-images-amazon.com/images/I/91gFuzOgmyS.png" class = "video-slate-img-url"&gt; &amp; nbsp; really on top I am enormously satisfied, I wanted headphones with a good performance in the ear and discreet at the same time. But mostly Earphones because it really gives a sense of security when moving without fear of the fall! Something I can not find even with brand headphones. I brought you a little video of the contents of the box. 3 different nozzle size personal first suits me well. Big advantage as no bizzare manipulation to make the earpiece automatically synchronize when they are on.</v>
      </c>
    </row>
    <row r="9135">
      <c r="A9135" s="1">
        <v>5.0</v>
      </c>
      <c r="B9135" s="1" t="s">
        <v>9001</v>
      </c>
      <c r="C9135" t="str">
        <f>IFERROR(__xludf.DUMMYFUNCTION("GOOGLETRANSLATE(B9135, ""fr"", ""en"")"),"Very good product I used for connection of a microphone and it is very good")</f>
        <v>Very good product I used for connection of a microphone and it is very good</v>
      </c>
    </row>
    <row r="9136">
      <c r="A9136" s="1">
        <v>5.0</v>
      </c>
      <c r="B9136" s="1" t="s">
        <v>9002</v>
      </c>
      <c r="C9136" t="str">
        <f>IFERROR(__xludf.DUMMYFUNCTION("GOOGLETRANSLATE(B9136, ""fr"", ""en"")"),"Ink good quality! Product ordered on 8 November and delivered 13 as announced at the achat.Produit properly packaged. Ink compatible with my printer as recognized by it. The print colors are very crisp and repectées. I recommend this ink.")</f>
        <v>Ink good quality! Product ordered on 8 November and delivered 13 as announced at the achat.Produit properly packaged. Ink compatible with my printer as recognized by it. The print colors are very crisp and repectées. I recommend this ink.</v>
      </c>
    </row>
    <row r="9137">
      <c r="A9137" s="1">
        <v>5.0</v>
      </c>
      <c r="B9137" s="1" t="s">
        <v>9003</v>
      </c>
      <c r="C9137" t="str">
        <f>IFERROR(__xludf.DUMMYFUNCTION("GOOGLETRANSLATE(B9137, ""fr"", ""en"")"),"Very nice bracelet Pandora This bangle is superb. It is very nice with a few charms, and even worn alone. Beware, there is no support for clips on this model, the charms are free to move across the ring. Unless block with small rubber clips, available in "&amp;"Pandora store.")</f>
        <v>Very nice bracelet Pandora This bangle is superb. It is very nice with a few charms, and even worn alone. Beware, there is no support for clips on this model, the charms are free to move across the ring. Unless block with small rubber clips, available in Pandora store.</v>
      </c>
    </row>
    <row r="9138">
      <c r="A9138" s="1">
        <v>5.0</v>
      </c>
      <c r="B9138" s="1" t="s">
        <v>9004</v>
      </c>
      <c r="C9138" t="str">
        <f>IFERROR(__xludf.DUMMYFUNCTION("GOOGLETRANSLATE(B9138, ""fr"", ""en"")"),"Very happy, full product It's a moment I was looking for an essential oil diffuser, and then I came across this one ... heart stroke. Which was confirmed upon receipt. It is very stylish, sleek, colors are very beautiful and is very intuitive. It can be p"&amp;"rogrammed to switch off after a certain time, which is very nice when you want to sleep lulled by the scents! And big positive: the functions are completely independent of each other, allowing to put together or not. I recommend it")</f>
        <v>Very happy, full product It's a moment I was looking for an essential oil diffuser, and then I came across this one ... heart stroke. Which was confirmed upon receipt. It is very stylish, sleek, colors are very beautiful and is very intuitive. It can be programmed to switch off after a certain time, which is very nice when you want to sleep lulled by the scents! And big positive: the functions are completely independent of each other, allowing to put together or not. I recommend it</v>
      </c>
    </row>
    <row r="9139">
      <c r="A9139" s="1">
        <v>5.0</v>
      </c>
      <c r="B9139" s="1" t="s">
        <v>9005</v>
      </c>
      <c r="C9139" t="str">
        <f>IFERROR(__xludf.DUMMYFUNCTION("GOOGLETRANSLATE(B9139, ""fr"", ""en"")"),"Excellent purchase good quality product, I'm in my second purchase, so, I took 2 lots. really super fast, 2 days before the scheduled date.")</f>
        <v>Excellent purchase good quality product, I'm in my second purchase, so, I took 2 lots. really super fast, 2 days before the scheduled date.</v>
      </c>
    </row>
    <row r="9140">
      <c r="A9140" s="1">
        <v>5.0</v>
      </c>
      <c r="B9140" s="1" t="s">
        <v>9006</v>
      </c>
      <c r="C9140" t="str">
        <f>IFERROR(__xludf.DUMMYFUNCTION("GOOGLETRANSLATE(B9140, ""fr"", ""en"")"),"Thank you Amazon !! Beautiful ball earrings. I'm so glad of my purchase. They arrived with three button and a pair of earrings available. I recommend it !")</f>
        <v>Thank you Amazon !! Beautiful ball earrings. I'm so glad of my purchase. They arrived with three button and a pair of earrings available. I recommend it !</v>
      </c>
    </row>
    <row r="9141">
      <c r="A9141" s="1">
        <v>5.0</v>
      </c>
      <c r="B9141" s="1" t="s">
        <v>9007</v>
      </c>
      <c r="C9141" t="str">
        <f>IFERROR(__xludf.DUMMYFUNCTION("GOOGLETRANSLATE(B9141, ""fr"", ""en"")"),"Small sponge that does what is asked This small sponge is effective and is ideal for small tables. The package was delivered very quickly. I recommend")</f>
        <v>Small sponge that does what is asked This small sponge is effective and is ideal for small tables. The package was delivered very quickly. I recommend</v>
      </c>
    </row>
    <row r="9142">
      <c r="A9142" s="1">
        <v>5.0</v>
      </c>
      <c r="B9142" s="1" t="s">
        <v>9008</v>
      </c>
      <c r="C9142" t="str">
        <f>IFERROR(__xludf.DUMMYFUNCTION("GOOGLETRANSLATE(B9142, ""fr"", ""en"")"),"nickel Excellent")</f>
        <v>nickel Excellent</v>
      </c>
    </row>
    <row r="9143">
      <c r="A9143" s="1">
        <v>5.0</v>
      </c>
      <c r="B9143" s="1" t="s">
        <v>9009</v>
      </c>
      <c r="C9143" t="str">
        <f>IFERROR(__xludf.DUMMYFUNCTION("GOOGLETRANSLATE(B9143, ""fr"", ""en"")"),"nice and reliable The colors are bright and true. writing is fluid, and drawing too. I like the texture of ink that does not flow and the mine does not stick. These pens can be used both for the drawing (not pro course) cheer for the books with titles and"&amp;" color highlights,")</f>
        <v>nice and reliable The colors are bright and true. writing is fluid, and drawing too. I like the texture of ink that does not flow and the mine does not stick. These pens can be used both for the drawing (not pro course) cheer for the books with titles and color highlights,</v>
      </c>
    </row>
    <row r="9144">
      <c r="A9144" s="1">
        <v>5.0</v>
      </c>
      <c r="B9144" s="1" t="s">
        <v>9010</v>
      </c>
      <c r="C9144" t="str">
        <f>IFERROR(__xludf.DUMMYFUNCTION("GOOGLETRANSLATE(B9144, ""fr"", ""en"")"),"Very nice super output")</f>
        <v>Very nice super output</v>
      </c>
    </row>
    <row r="9145">
      <c r="A9145" s="1">
        <v>5.0</v>
      </c>
      <c r="B9145" s="1" t="s">
        <v>9011</v>
      </c>
      <c r="C9145" t="str">
        <f>IFERROR(__xludf.DUMMYFUNCTION("GOOGLETRANSLATE(B9145, ""fr"", ""en"")"),"No more getting tangled son! Practice for super discreet to ride a bicycle, and he does not fear the rain. The sound is good and disconnection.")</f>
        <v>No more getting tangled son! Practice for super discreet to ride a bicycle, and he does not fear the rain. The sound is good and disconnection.</v>
      </c>
    </row>
    <row r="9146">
      <c r="A9146" s="1">
        <v>5.0</v>
      </c>
      <c r="B9146" s="1" t="s">
        <v>9012</v>
      </c>
      <c r="C9146" t="str">
        <f>IFERROR(__xludf.DUMMYFUNCTION("GOOGLETRANSLATE(B9146, ""fr"", ""en"")"),"very pleasantly surprised. Very nice product for the price. Mounted on a watch Hugo Boss, we see that the fire, very nice effect. very easy to replace.")</f>
        <v>very pleasantly surprised. Very nice product for the price. Mounted on a watch Hugo Boss, we see that the fire, very nice effect. very easy to replace.</v>
      </c>
    </row>
    <row r="9147">
      <c r="A9147" s="1">
        <v>2.0</v>
      </c>
      <c r="B9147" s="1" t="s">
        <v>9013</v>
      </c>
      <c r="C9147" t="str">
        <f>IFERROR(__xludf.DUMMYFUNCTION("GOOGLETRANSLATE(B9147, ""fr"", ""en"")"),"device unreliable device proper job but used only twice and failed. I'll test the service Amazon. Stay tuned ...")</f>
        <v>device unreliable device proper job but used only twice and failed. I'll test the service Amazon. Stay tuned ...</v>
      </c>
    </row>
    <row r="9148">
      <c r="A9148" s="1">
        <v>1.0</v>
      </c>
      <c r="B9148" s="1" t="s">
        <v>9014</v>
      </c>
      <c r="C9148" t="str">
        <f>IFERROR(__xludf.DUMMYFUNCTION("GOOGLETRANSLATE(B9148, ""fr"", ""en"")"),"Buying too small for my son. The picture does not represent the size of this bag that is too small. The front pocket is not closing.")</f>
        <v>Buying too small for my son. The picture does not represent the size of this bag that is too small. The front pocket is not closing.</v>
      </c>
    </row>
    <row r="9149">
      <c r="A9149" s="1">
        <v>1.0</v>
      </c>
      <c r="B9149" s="1" t="s">
        <v>9015</v>
      </c>
      <c r="C9149" t="str">
        <f>IFERROR(__xludf.DUMMYFUNCTION("GOOGLETRANSLATE(B9149, ""fr"", ""en"")"),"Mets unhappy too long to heat up, not effective at all !!! Even leaving the one hour it heats practically nothing. Pay dearly for nothing. I am very disappointed in this product.")</f>
        <v>Mets unhappy too long to heat up, not effective at all !!! Even leaving the one hour it heats practically nothing. Pay dearly for nothing. I am very disappointed in this product.</v>
      </c>
    </row>
    <row r="9150">
      <c r="A9150" s="1">
        <v>3.0</v>
      </c>
      <c r="B9150" s="1" t="s">
        <v>9016</v>
      </c>
      <c r="C9150" t="str">
        <f>IFERROR(__xludf.DUMMYFUNCTION("GOOGLETRANSLATE(B9150, ""fr"", ""en"")"),"Size too small! Far too little, not very pleasant material, extensible enough. I returned the same day.")</f>
        <v>Size too small! Far too little, not very pleasant material, extensible enough. I returned the same day.</v>
      </c>
    </row>
    <row r="9151">
      <c r="A9151" s="1">
        <v>3.0</v>
      </c>
      <c r="B9151" s="1" t="s">
        <v>9017</v>
      </c>
      <c r="C9151" t="str">
        <f>IFERROR(__xludf.DUMMYFUNCTION("GOOGLETRANSLATE(B9151, ""fr"", ""en"")"),"Satisfied Necklace going great pity that the diamond is a big can I will love to have smaller My main its longer has my daughter")</f>
        <v>Satisfied Necklace going great pity that the diamond is a big can I will love to have smaller My main its longer has my daughter</v>
      </c>
    </row>
    <row r="9152">
      <c r="A9152" s="1">
        <v>4.0</v>
      </c>
      <c r="B9152" s="1" t="s">
        <v>9018</v>
      </c>
      <c r="C9152" t="str">
        <f>IFERROR(__xludf.DUMMYFUNCTION("GOOGLETRANSLATE(B9152, ""fr"", ""en"")"),"Good. After a month of use, I think it's a good product, I had traces of which appeared that there was a heavy rain, nothing since I purchased the product. But the refills are expensive and the first lasted only one month to do so over the long term for t"&amp;"he budget. The product is pretty enough so it does not shock.")</f>
        <v>Good. After a month of use, I think it's a good product, I had traces of which appeared that there was a heavy rain, nothing since I purchased the product. But the refills are expensive and the first lasted only one month to do so over the long term for the budget. The product is pretty enough so it does not shock.</v>
      </c>
    </row>
    <row r="9153">
      <c r="A9153" s="1">
        <v>4.0</v>
      </c>
      <c r="B9153" s="1" t="s">
        <v>1236</v>
      </c>
      <c r="C9153" t="str">
        <f>IFERROR(__xludf.DUMMYFUNCTION("GOOGLETRANSLATE(B9153, ""fr"", ""en"")"),"very well very well")</f>
        <v>very well very well</v>
      </c>
    </row>
    <row r="9154">
      <c r="A9154" s="1">
        <v>4.0</v>
      </c>
      <c r="B9154" s="1" t="s">
        <v>9019</v>
      </c>
      <c r="C9154" t="str">
        <f>IFERROR(__xludf.DUMMYFUNCTION("GOOGLETRANSLATE(B9154, ""fr"", ""en"")"),"an ideal gift It was a gift for a teenager who was enchanté.et who enjoyed énormément.Je can only recommend this article is of good quality.")</f>
        <v>an ideal gift It was a gift for a teenager who was enchanté.et who enjoyed énormément.Je can only recommend this article is of good quality.</v>
      </c>
    </row>
    <row r="9155">
      <c r="A9155" s="1">
        <v>4.0</v>
      </c>
      <c r="B9155" s="1" t="s">
        <v>9020</v>
      </c>
      <c r="C9155" t="str">
        <f>IFERROR(__xludf.DUMMYFUNCTION("GOOGLETRANSLATE(B9155, ""fr"", ""en"")"),"Consistent with the description No fault on the bag. The shoulder strap has a wide margin setting. before closing wrong until the end, but I knew before buying. However, the cache can protect what's inside, key example. It is a little bigger than I though"&amp;"t, but at least it's a large enough pocket for safe keeping all his personal affairs without fearing a flight because the pouch is close to home. I recommend.")</f>
        <v>Consistent with the description No fault on the bag. The shoulder strap has a wide margin setting. before closing wrong until the end, but I knew before buying. However, the cache can protect what's inside, key example. It is a little bigger than I thought, but at least it's a large enough pocket for safe keeping all his personal affairs without fearing a flight because the pouch is close to home. I recommend.</v>
      </c>
    </row>
    <row r="9156">
      <c r="A9156" s="1">
        <v>5.0</v>
      </c>
      <c r="B9156" s="1" t="s">
        <v>9021</v>
      </c>
      <c r="C9156" t="str">
        <f>IFERROR(__xludf.DUMMYFUNCTION("GOOGLETRANSLATE(B9156, ""fr"", ""en"")"),"Super comfortable low price. Receiving a bit long but it is indicated for purchase. The size corresponds to what I ordered. It is super light, seem durable and of good quality and no odor unpacking. The look is modern without being flashy.")</f>
        <v>Super comfortable low price. Receiving a bit long but it is indicated for purchase. The size corresponds to what I ordered. It is super light, seem durable and of good quality and no odor unpacking. The look is modern without being flashy.</v>
      </c>
    </row>
    <row r="9157">
      <c r="A9157" s="1">
        <v>5.0</v>
      </c>
      <c r="B9157" s="1" t="s">
        <v>9022</v>
      </c>
      <c r="C9157" t="str">
        <f>IFERROR(__xludf.DUMMYFUNCTION("GOOGLETRANSLATE(B9157, ""fr"", ""en"")"),"Okay cartridge that I do not find in the store near my home, the price is right, it keeps me from several kilometers to buy, the ink does not dry")</f>
        <v>Okay cartridge that I do not find in the store near my home, the price is right, it keeps me from several kilometers to buy, the ink does not dry</v>
      </c>
    </row>
    <row r="9158">
      <c r="A9158" s="1">
        <v>5.0</v>
      </c>
      <c r="B9158" s="1" t="s">
        <v>9023</v>
      </c>
      <c r="C9158" t="str">
        <f>IFERROR(__xludf.DUMMYFUNCTION("GOOGLETRANSLATE(B9158, ""fr"", ""en"")"),"Comfortable Perfect for dance classes")</f>
        <v>Comfortable Perfect for dance classes</v>
      </c>
    </row>
    <row r="9159">
      <c r="A9159" s="1">
        <v>5.0</v>
      </c>
      <c r="B9159" s="1" t="s">
        <v>9024</v>
      </c>
      <c r="C9159" t="str">
        <f>IFERROR(__xludf.DUMMYFUNCTION("GOOGLETRANSLATE(B9159, ""fr"", ""en"")"),"small and beautiful pretty")</f>
        <v>small and beautiful pretty</v>
      </c>
    </row>
    <row r="9160">
      <c r="A9160" s="1">
        <v>5.0</v>
      </c>
      <c r="B9160" s="1" t="s">
        <v>9025</v>
      </c>
      <c r="C9160" t="str">
        <f>IFERROR(__xludf.DUMMYFUNCTION("GOOGLETRANSLATE(B9160, ""fr"", ""en"")"),"Very Good Good product. RAS")</f>
        <v>Very Good Good product. RAS</v>
      </c>
    </row>
    <row r="9161">
      <c r="A9161" s="1">
        <v>5.0</v>
      </c>
      <c r="B9161" s="1" t="s">
        <v>9026</v>
      </c>
      <c r="C9161" t="str">
        <f>IFERROR(__xludf.DUMMYFUNCTION("GOOGLETRANSLATE(B9161, ""fr"", ""en"")"),"Just perfect ! Earpiece of a huge quality !!!!!!! Jai never seen earphone as efficient and comfortable !!! I just love it !!!")</f>
        <v>Just perfect ! Earpiece of a huge quality !!!!!!! Jai never seen earphone as efficient and comfortable !!! I just love it !!!</v>
      </c>
    </row>
    <row r="9162">
      <c r="A9162" s="1">
        <v>5.0</v>
      </c>
      <c r="B9162" s="1" t="s">
        <v>9027</v>
      </c>
      <c r="C9162" t="str">
        <f>IFERROR(__xludf.DUMMYFUNCTION("GOOGLETRANSLATE(B9162, ""fr"", ""en"")"),"Top content")</f>
        <v>Top content</v>
      </c>
    </row>
    <row r="9163">
      <c r="A9163" s="1">
        <v>5.0</v>
      </c>
      <c r="B9163" s="1" t="s">
        <v>9028</v>
      </c>
      <c r="C9163" t="str">
        <f>IFERROR(__xludf.DUMMYFUNCTION("GOOGLETRANSLATE(B9163, ""fr"", ""en"")"),"See above This is for my son I could not tell you but he is very satisfied")</f>
        <v>See above This is for my son I could not tell you but he is very satisfied</v>
      </c>
    </row>
    <row r="9164">
      <c r="A9164" s="1">
        <v>5.0</v>
      </c>
      <c r="B9164" s="1" t="s">
        <v>9029</v>
      </c>
      <c r="C9164" t="str">
        <f>IFERROR(__xludf.DUMMYFUNCTION("GOOGLETRANSLATE(B9164, ""fr"", ""en"")"),"Better than expected Pouch man in black cloth. It is larger than expected in 48h adaptation is made. It puts the tablet. Lots of little pockets to hold the bag. The shoulder strap is adjustable and wide enough. Finally, my husband won")</f>
        <v>Better than expected Pouch man in black cloth. It is larger than expected in 48h adaptation is made. It puts the tablet. Lots of little pockets to hold the bag. The shoulder strap is adjustable and wide enough. Finally, my husband won</v>
      </c>
    </row>
    <row r="9165">
      <c r="A9165" s="1">
        <v>5.0</v>
      </c>
      <c r="B9165" s="1" t="s">
        <v>9030</v>
      </c>
      <c r="C9165" t="str">
        <f>IFERROR(__xludf.DUMMYFUNCTION("GOOGLETRANSLATE(B9165, ""fr"", ""en"")"),"Bags good containers These storage bags mult-use are very convenient to keep food fresh. The opening system - zip closure is fine to prevent odors and possible flows.")</f>
        <v>Bags good containers These storage bags mult-use are very convenient to keep food fresh. The opening system - zip closure is fine to prevent odors and possible flows.</v>
      </c>
    </row>
    <row r="9166">
      <c r="A9166" s="1">
        <v>5.0</v>
      </c>
      <c r="B9166" s="1" t="s">
        <v>9031</v>
      </c>
      <c r="C9166" t="str">
        <f>IFERROR(__xludf.DUMMYFUNCTION("GOOGLETRANSLATE(B9166, ""fr"", ""en"")"),"Great quality / price ratio Great price / quality ratio. I use it for two or three weeks and no complaints. Screen very readable. Typical functions. Good show.")</f>
        <v>Great quality / price ratio Great price / quality ratio. I use it for two or three weeks and no complaints. Screen very readable. Typical functions. Good show.</v>
      </c>
    </row>
    <row r="9167">
      <c r="A9167" s="1">
        <v>5.0</v>
      </c>
      <c r="B9167" s="1" t="s">
        <v>9032</v>
      </c>
      <c r="C9167" t="str">
        <f>IFERROR(__xludf.DUMMYFUNCTION("GOOGLETRANSLATE(B9167, ""fr"", ""en"")"),"beautiful teapot FILTER IS METAL I received this teapot as expected on the day set by Amazon. I tested immediately and is perfect. I already had an electric teapot SEB but the brown plastic filter is worn with time and can not find spare parts, so I bough"&amp;"t the teapot AICOOK where the metal filter will not wear and perfectly clean (remember that tea blackened task all containers, like for coffee. in fact this tea can also be used if you want coffee maker.")</f>
        <v>beautiful teapot FILTER IS METAL I received this teapot as expected on the day set by Amazon. I tested immediately and is perfect. I already had an electric teapot SEB but the brown plastic filter is worn with time and can not find spare parts, so I bought the teapot AICOOK where the metal filter will not wear and perfectly clean (remember that tea blackened task all containers, like for coffee. in fact this tea can also be used if you want coffee maker.</v>
      </c>
    </row>
    <row r="9168">
      <c r="A9168" s="1">
        <v>5.0</v>
      </c>
      <c r="B9168" s="1" t="s">
        <v>9033</v>
      </c>
      <c r="C9168" t="str">
        <f>IFERROR(__xludf.DUMMYFUNCTION("GOOGLETRANSLATE(B9168, ""fr"", ""en"")"),"pleased to offer as a gift, jewelry and sharowsky always please my wife")</f>
        <v>pleased to offer as a gift, jewelry and sharowsky always please my wife</v>
      </c>
    </row>
    <row r="9169">
      <c r="A9169" s="1">
        <v>5.0</v>
      </c>
      <c r="B9169" s="1" t="s">
        <v>9034</v>
      </c>
      <c r="C9169" t="str">
        <f>IFERROR(__xludf.DUMMYFUNCTION("GOOGLETRANSLATE(B9169, ""fr"", ""en"")"),"very nice legging sport it is very nice and comfortable I like the three-color cut with purple and white nice details that make more slender thigh. it is comfortable, size is high without compressing said ... this one size below me would have sufficed. No"&amp;"te a small key pocket in the waistband. L - 42: size very well. perfect for running, fitness, cardio ... I put all the time now.")</f>
        <v>very nice legging sport it is very nice and comfortable I like the three-color cut with purple and white nice details that make more slender thigh. it is comfortable, size is high without compressing said ... this one size below me would have sufficed. Note a small key pocket in the waistband. L - 42: size very well. perfect for running, fitness, cardio ... I put all the time now.</v>
      </c>
    </row>
    <row r="9170">
      <c r="A9170" s="1">
        <v>5.0</v>
      </c>
      <c r="B9170" s="1" t="s">
        <v>9035</v>
      </c>
      <c r="C9170" t="str">
        <f>IFERROR(__xludf.DUMMYFUNCTION("GOOGLETRANSLATE(B9170, ""fr"", ""en"")"),"Good. Comfortable. For the release of this shower is convenient and when we go out in the garden to avoid dirtying his slippers.")</f>
        <v>Good. Comfortable. For the release of this shower is convenient and when we go out in the garden to avoid dirtying his slippers.</v>
      </c>
    </row>
    <row r="9171">
      <c r="A9171" s="1">
        <v>2.0</v>
      </c>
      <c r="B9171" s="1" t="s">
        <v>9036</v>
      </c>
      <c r="C9171" t="str">
        <f>IFERROR(__xludf.DUMMYFUNCTION("GOOGLETRANSLATE(B9171, ""fr"", ""en"")"),"Sneakers low puma T44 Very nice shoes, nice design with a little logo ferrari good position shame about the size does not fit: I put on the 44 (see the 43 some shoes), so I control 44 as recommended in the comments. Not good, too right. I recommended at 4"&amp;"5, I expect.")</f>
        <v>Sneakers low puma T44 Very nice shoes, nice design with a little logo ferrari good position shame about the size does not fit: I put on the 44 (see the 43 some shoes), so I control 44 as recommended in the comments. Not good, too right. I recommended at 45, I expect.</v>
      </c>
    </row>
    <row r="9172">
      <c r="A9172" s="1">
        <v>1.0</v>
      </c>
      <c r="B9172" s="1" t="s">
        <v>9037</v>
      </c>
      <c r="C9172" t="str">
        <f>IFERROR(__xludf.DUMMYFUNCTION("GOOGLETRANSLATE(B9172, ""fr"", ""en"")"),"Not great at all Considering the comments (very) positive on this unit, I am afforded thinking it was going to be perfect, but very disappointed when in use, I have not signed! Instructions virtually useless, not all explanatory, more is poorly translated"&amp;". LCD function that does not work well .... we do not understand, in short, I returned it. I do not recommend at all, but after that remains my opinion!")</f>
        <v>Not great at all Considering the comments (very) positive on this unit, I am afforded thinking it was going to be perfect, but very disappointed when in use, I have not signed! Instructions virtually useless, not all explanatory, more is poorly translated. LCD function that does not work well .... we do not understand, in short, I returned it. I do not recommend at all, but after that remains my opinion!</v>
      </c>
    </row>
    <row r="9173">
      <c r="A9173" s="1">
        <v>1.0</v>
      </c>
      <c r="B9173" s="1" t="s">
        <v>9038</v>
      </c>
      <c r="C9173" t="str">
        <f>IFERROR(__xludf.DUMMYFUNCTION("GOOGLETRANSLATE(B9173, ""fr"", ""en"")"),"horrible Pathetic")</f>
        <v>horrible Pathetic</v>
      </c>
    </row>
    <row r="9174">
      <c r="A9174" s="1">
        <v>3.0</v>
      </c>
      <c r="B9174" s="1" t="s">
        <v>9039</v>
      </c>
      <c r="C9174" t="str">
        <f>IFERROR(__xludf.DUMMYFUNCTION("GOOGLETRANSLATE(B9174, ""fr"", ""en"")"),"No bowl I bought a complete equipment starting from Focusrite Scarlett Bird EM2 + + + Support Arm AKG ... it was missing was a XLR cable. Here it is. Except ... the installation done and redone, checked three times, two days to hair pulling, etc., the sou"&amp;"nd is muted. After opening catches welded on cable, I realize that Solder burr placed evil bypasses the sound. A DIY shot and presto everything works. We say that this accessory is dropped into the pot of workmanship. Too bad because the cable is still qu"&amp;"ality with solid taken. unlucky affair ???")</f>
        <v>No bowl I bought a complete equipment starting from Focusrite Scarlett Bird EM2 + + + Support Arm AKG ... it was missing was a XLR cable. Here it is. Except ... the installation done and redone, checked three times, two days to hair pulling, etc., the sound is muted. After opening catches welded on cable, I realize that Solder burr placed evil bypasses the sound. A DIY shot and presto everything works. We say that this accessory is dropped into the pot of workmanship. Too bad because the cable is still quality with solid taken. unlucky affair ???</v>
      </c>
    </row>
    <row r="9175">
      <c r="A9175" s="1">
        <v>4.0</v>
      </c>
      <c r="B9175" s="1" t="s">
        <v>9040</v>
      </c>
      <c r="C9175" t="str">
        <f>IFERROR(__xludf.DUMMYFUNCTION("GOOGLETRANSLATE(B9175, ""fr"", ""en"")"),"Satisfied Good product but the color adjustment of the lamp is not intuitive. When you turn on the lamp, the color scroll automatically, you must click several times to choose a static color that is not saved. Moreover, we have not found it was possible t"&amp;"o change the color of the lamp Modes ""wake"" and ""sleep"" (yellow by default). Otherwise, the sound, the radio work fine, prefinished the sounds are very nice, and different lighting colors are very significant. In conclusion, a good buy pleases much to"&amp;" my daughter to whom it was intended.")</f>
        <v>Satisfied Good product but the color adjustment of the lamp is not intuitive. When you turn on the lamp, the color scroll automatically, you must click several times to choose a static color that is not saved. Moreover, we have not found it was possible to change the color of the lamp Modes "wake" and "sleep" (yellow by default). Otherwise, the sound, the radio work fine, prefinished the sounds are very nice, and different lighting colors are very significant. In conclusion, a good buy pleases much to my daughter to whom it was intended.</v>
      </c>
    </row>
    <row r="9176">
      <c r="A9176" s="1">
        <v>4.0</v>
      </c>
      <c r="B9176" s="1" t="s">
        <v>9041</v>
      </c>
      <c r="C9176" t="str">
        <f>IFERROR(__xludf.DUMMYFUNCTION("GOOGLETRANSLATE(B9176, ""fr"", ""en"")"),"Did his job ...... Just 2 days use, for the moment RAS, pretty very, very easy and intuitive utilsation. Instructions in French and other languages, to service number in Germany ..... No deçue to see in time.")</f>
        <v>Did his job ...... Just 2 days use, for the moment RAS, pretty very, very easy and intuitive utilsation. Instructions in French and other languages, to service number in Germany ..... No deçue to see in time.</v>
      </c>
    </row>
    <row r="9177">
      <c r="A9177" s="1">
        <v>4.0</v>
      </c>
      <c r="B9177" s="1" t="s">
        <v>9042</v>
      </c>
      <c r="C9177" t="str">
        <f>IFERROR(__xludf.DUMMYFUNCTION("GOOGLETRANSLATE(B9177, ""fr"", ""en"")"),"Comfortable More harm or shoulder or back .soutien okay.")</f>
        <v>Comfortable More harm or shoulder or back .soutien okay.</v>
      </c>
    </row>
    <row r="9178">
      <c r="A9178" s="1">
        <v>4.0</v>
      </c>
      <c r="B9178" s="1" t="s">
        <v>9043</v>
      </c>
      <c r="C9178" t="str">
        <f>IFERROR(__xludf.DUMMYFUNCTION("GOOGLETRANSLATE(B9178, ""fr"", ""en"")"),"Very pretty 😍")</f>
        <v>Very pretty 😍</v>
      </c>
    </row>
    <row r="9179">
      <c r="A9179" s="1">
        <v>5.0</v>
      </c>
      <c r="B9179" s="1" t="s">
        <v>9044</v>
      </c>
      <c r="C9179" t="str">
        <f>IFERROR(__xludf.DUMMYFUNCTION("GOOGLETRANSLATE(B9179, ""fr"", ""en"")"),"Perfect Perfect, the grip and top nipples are fine. The cleaning kit is well thought out. No complaints. But most important is the baby, and it seems to suit him perfectly.")</f>
        <v>Perfect Perfect, the grip and top nipples are fine. The cleaning kit is well thought out. No complaints. But most important is the baby, and it seems to suit him perfectly.</v>
      </c>
    </row>
    <row r="9180">
      <c r="A9180" s="1">
        <v>5.0</v>
      </c>
      <c r="B9180" s="1" t="s">
        <v>9045</v>
      </c>
      <c r="C9180" t="str">
        <f>IFERROR(__xludf.DUMMYFUNCTION("GOOGLETRANSLATE(B9180, ""fr"", ""en"")"),"for a pincher to pincher is perfect for my mom, rather strong! I think it weighs 6 kg taken from the posted notice size xl")</f>
        <v>for a pincher to pincher is perfect for my mom, rather strong! I think it weighs 6 kg taken from the posted notice size xl</v>
      </c>
    </row>
    <row r="9181">
      <c r="A9181" s="1">
        <v>5.0</v>
      </c>
      <c r="B9181" s="1" t="s">
        <v>9046</v>
      </c>
      <c r="C9181" t="str">
        <f>IFERROR(__xludf.DUMMYFUNCTION("GOOGLETRANSLATE(B9181, ""fr"", ""en"")"),"Perfect as the picture perfect")</f>
        <v>Perfect as the picture perfect</v>
      </c>
    </row>
    <row r="9182">
      <c r="A9182" s="1">
        <v>5.0</v>
      </c>
      <c r="B9182" s="1" t="s">
        <v>9047</v>
      </c>
      <c r="C9182" t="str">
        <f>IFERROR(__xludf.DUMMYFUNCTION("GOOGLETRANSLATE(B9182, ""fr"", ""en"")"),"Although batteries.")</f>
        <v>Although batteries.</v>
      </c>
    </row>
    <row r="9183">
      <c r="A9183" s="1">
        <v>5.0</v>
      </c>
      <c r="B9183" s="1" t="s">
        <v>9048</v>
      </c>
      <c r="C9183" t="str">
        <f>IFERROR(__xludf.DUMMYFUNCTION("GOOGLETRANSLATE(B9183, ""fr"", ""en"")"),"Good quality and good sound Stereo sound is good even for listening to music (similar to another stereo headphones circum-aural I), and the microphone is convenient, close to the mouth and delivers clear sound. Bluetooth headset microphone cable can bend "&amp;"if you wish. Really like this conception.Profitez also the helmet is nice music.The.")</f>
        <v>Good quality and good sound Stereo sound is good even for listening to music (similar to another stereo headphones circum-aural I), and the microphone is convenient, close to the mouth and delivers clear sound. Bluetooth headset microphone cable can bend if you wish. Really like this conception.Profitez also the helmet is nice music.The.</v>
      </c>
    </row>
    <row r="9184">
      <c r="A9184" s="1">
        <v>5.0</v>
      </c>
      <c r="B9184" s="1" t="s">
        <v>9049</v>
      </c>
      <c r="C9184" t="str">
        <f>IFERROR(__xludf.DUMMYFUNCTION("GOOGLETRANSLATE(B9184, ""fr"", ""en"")"),"Corresponds to my expectations I bought this product first store and now monthly subscription. Many will say that it is useless but not for me. This product is the alternative to dinner liquids that feel extremely strong and leave a smell on the bib of my"&amp;" son, I wash hot or cold. I tested several brands of dishwashers liquids, organic, soft, big or sub brands, special sensitive hands, in short, I do not find myself. I am very satisfied with this product. The only downside is that is foam instead of liquid"&amp;" I found in stores. But otherwise it's perfect")</f>
        <v>Corresponds to my expectations I bought this product first store and now monthly subscription. Many will say that it is useless but not for me. This product is the alternative to dinner liquids that feel extremely strong and leave a smell on the bib of my son, I wash hot or cold. I tested several brands of dishwashers liquids, organic, soft, big or sub brands, special sensitive hands, in short, I do not find myself. I am very satisfied with this product. The only downside is that is foam instead of liquid I found in stores. But otherwise it's perfect</v>
      </c>
    </row>
    <row r="9185">
      <c r="A9185" s="1">
        <v>5.0</v>
      </c>
      <c r="B9185" s="1" t="s">
        <v>9050</v>
      </c>
      <c r="C9185" t="str">
        <f>IFERROR(__xludf.DUMMYFUNCTION("GOOGLETRANSLATE(B9185, ""fr"", ""en"")"),"Festina F16488 / 3 No reviews on Amazon service and delivery. The product is presented in a very beautiful setting with clear instructions. Beautiful clock that feels good on the wrist, easily readable dial. In short a beautiful watch and a brand that giv"&amp;"es me satisfaction for a long time.")</f>
        <v>Festina F16488 / 3 No reviews on Amazon service and delivery. The product is presented in a very beautiful setting with clear instructions. Beautiful clock that feels good on the wrist, easily readable dial. In short a beautiful watch and a brand that gives me satisfaction for a long time.</v>
      </c>
    </row>
    <row r="9186">
      <c r="A9186" s="1">
        <v>5.0</v>
      </c>
      <c r="B9186" s="1" t="s">
        <v>9051</v>
      </c>
      <c r="C9186" t="str">
        <f>IFERROR(__xludf.DUMMYFUNCTION("GOOGLETRANSLATE(B9186, ""fr"", ""en"")"),"Fidel at the photo Legging received in the period. Well, it is not red but dark pink. Personally, the actual color not care for sports. The texture is correct even if there is less spandex than what I already have. It keeps well and it looks pretty solid."&amp;" For the size I chose an L for the 40/42. I am very comfortable in it, I do not feel pressed me. I made quite a journey training no discomfort, no heating, no problem belt and pockets are so deep no problem for the smartphone")</f>
        <v>Fidel at the photo Legging received in the period. Well, it is not red but dark pink. Personally, the actual color not care for sports. The texture is correct even if there is less spandex than what I already have. It keeps well and it looks pretty solid. For the size I chose an L for the 40/42. I am very comfortable in it, I do not feel pressed me. I made quite a journey training no discomfort, no heating, no problem belt and pockets are so deep no problem for the smartphone</v>
      </c>
    </row>
    <row r="9187">
      <c r="A9187" s="1">
        <v>5.0</v>
      </c>
      <c r="B9187" s="1" t="s">
        <v>9052</v>
      </c>
      <c r="C9187" t="str">
        <f>IFERROR(__xludf.DUMMYFUNCTION("GOOGLETRANSLATE(B9187, ""fr"", ""en"")"),"Impeccable! Product conforms to the description!")</f>
        <v>Impeccable! Product conforms to the description!</v>
      </c>
    </row>
    <row r="9188">
      <c r="A9188" s="1">
        <v>5.0</v>
      </c>
      <c r="B9188" s="1" t="s">
        <v>9053</v>
      </c>
      <c r="C9188" t="str">
        <f>IFERROR(__xludf.DUMMYFUNCTION("GOOGLETRANSLATE(B9188, ""fr"", ""en"")"),"Product according to the description Perfect")</f>
        <v>Product according to the description Perfect</v>
      </c>
    </row>
    <row r="9189">
      <c r="A9189" s="1">
        <v>5.0</v>
      </c>
      <c r="B9189" s="1" t="s">
        <v>9054</v>
      </c>
      <c r="C9189" t="str">
        <f>IFERROR(__xludf.DUMMYFUNCTION("GOOGLETRANSLATE(B9189, ""fr"", ""en"")"),"Top Excellent Product")</f>
        <v>Top Excellent Product</v>
      </c>
    </row>
    <row r="9190">
      <c r="A9190" s="1">
        <v>5.0</v>
      </c>
      <c r="B9190" s="1" t="s">
        <v>9055</v>
      </c>
      <c r="C9190" t="str">
        <f>IFERROR(__xludf.DUMMYFUNCTION("GOOGLETRANSLATE(B9190, ""fr"", ""en"")"),"A good smell of clean and anti-scale These 2 blocks WC brief ""blue activ"" spread a fresh odor and help fight against the limestone. The smell is not too heady, unlike other. It installs in a snap and holds well. There are 2 products per pack, 2 packs or"&amp;" 4 products for € 6.50 that day ... I find it a bit expensive, but they seem to last long.")</f>
        <v>A good smell of clean and anti-scale These 2 blocks WC brief "blue activ" spread a fresh odor and help fight against the limestone. The smell is not too heady, unlike other. It installs in a snap and holds well. There are 2 products per pack, 2 packs or 4 products for € 6.50 that day ... I find it a bit expensive, but they seem to last long.</v>
      </c>
    </row>
    <row r="9191">
      <c r="A9191" s="1">
        <v>5.0</v>
      </c>
      <c r="B9191" s="1" t="s">
        <v>9056</v>
      </c>
      <c r="C9191" t="str">
        <f>IFERROR(__xludf.DUMMYFUNCTION("GOOGLETRANSLATE(B9191, ""fr"", ""en"")"),"I recommend Super perfect mark Very comfortable on and still feels good")</f>
        <v>I recommend Super perfect mark Very comfortable on and still feels good</v>
      </c>
    </row>
    <row r="9192">
      <c r="A9192" s="1">
        <v>5.0</v>
      </c>
      <c r="B9192" s="1" t="s">
        <v>9057</v>
      </c>
      <c r="C9192" t="str">
        <f>IFERROR(__xludf.DUMMYFUNCTION("GOOGLETRANSLATE(B9192, ""fr"", ""en"")"),"Chausson Satisfied with my article")</f>
        <v>Chausson Satisfied with my article</v>
      </c>
    </row>
    <row r="9193">
      <c r="A9193" s="1">
        <v>5.0</v>
      </c>
      <c r="B9193" s="1" t="s">
        <v>9058</v>
      </c>
      <c r="C9193" t="str">
        <f>IFERROR(__xludf.DUMMYFUNCTION("GOOGLETRANSLATE(B9193, ""fr"", ""en"")"),"Good product Good product delivery was faster thank you very much")</f>
        <v>Good product Good product delivery was faster thank you very much</v>
      </c>
    </row>
    <row r="9194">
      <c r="A9194" s="1">
        <v>2.0</v>
      </c>
      <c r="B9194" s="1" t="s">
        <v>9059</v>
      </c>
      <c r="C9194" t="str">
        <f>IFERROR(__xludf.DUMMYFUNCTION("GOOGLETRANSLATE(B9194, ""fr"", ""en"")"),"Fault on the metal butterfly Set received within time, the assembly has very good, but unfortunately, the silver butterfly has two defects, a large on the left and smaller on the right. Exchange Request.")</f>
        <v>Fault on the metal butterfly Set received within time, the assembly has very good, but unfortunately, the silver butterfly has two defects, a large on the left and smaller on the right. Exchange Request.</v>
      </c>
    </row>
    <row r="9195">
      <c r="A9195" s="1">
        <v>1.0</v>
      </c>
      <c r="B9195" s="1" t="s">
        <v>9060</v>
      </c>
      <c r="C9195" t="str">
        <f>IFERROR(__xludf.DUMMYFUNCTION("GOOGLETRANSLATE(B9195, ""fr"", ""en"")"),"The pair of size 40 basketball runing and 35 soles are of poor material after two days of accelerated wear school shoes on black rubber sole sticks to white Adidas has not been finally indulged out of stock")</f>
        <v>The pair of size 40 basketball runing and 35 soles are of poor material after two days of accelerated wear school shoes on black rubber sole sticks to white Adidas has not been finally indulged out of stock</v>
      </c>
    </row>
    <row r="9196">
      <c r="A9196" s="1">
        <v>3.0</v>
      </c>
      <c r="B9196" s="1" t="s">
        <v>9061</v>
      </c>
      <c r="C9196" t="str">
        <f>IFERROR(__xludf.DUMMYFUNCTION("GOOGLETRANSLATE(B9196, ""fr"", ""en"")"),"Cute little gem Lovely gem")</f>
        <v>Cute little gem Lovely gem</v>
      </c>
    </row>
    <row r="9197">
      <c r="A9197" s="1">
        <v>3.0</v>
      </c>
      <c r="B9197" s="1" t="s">
        <v>9062</v>
      </c>
      <c r="C9197" t="str">
        <f>IFERROR(__xludf.DUMMYFUNCTION("GOOGLETRANSLATE(B9197, ""fr"", ""en"")"),"Good but repackaged package well, but I received a parcel already open. Refurbished. The brush was crushed.")</f>
        <v>Good but repackaged package well, but I received a parcel already open. Refurbished. The brush was crushed.</v>
      </c>
    </row>
    <row r="9198">
      <c r="A9198" s="1">
        <v>4.0</v>
      </c>
      <c r="B9198" s="1" t="s">
        <v>9063</v>
      </c>
      <c r="C9198" t="str">
        <f>IFERROR(__xludf.DUMMYFUNCTION("GOOGLETRANSLATE(B9198, ""fr"", ""en"")"),"Very good value Nothing to say, flawless and fast")</f>
        <v>Very good value Nothing to say, flawless and fast</v>
      </c>
    </row>
    <row r="9199">
      <c r="A9199" s="1">
        <v>4.0</v>
      </c>
      <c r="B9199" s="1" t="s">
        <v>9064</v>
      </c>
      <c r="C9199" t="str">
        <f>IFERROR(__xludf.DUMMYFUNCTION("GOOGLETRANSLATE(B9199, ""fr"", ""en"")"),"nice and relaxing after several uses it relaxing and quite effective.")</f>
        <v>nice and relaxing after several uses it relaxing and quite effective.</v>
      </c>
    </row>
    <row r="9200">
      <c r="A9200" s="1">
        <v>4.0</v>
      </c>
      <c r="B9200" s="1" t="s">
        <v>9065</v>
      </c>
      <c r="C9200" t="str">
        <f>IFERROR(__xludf.DUMMYFUNCTION("GOOGLETRANSLATE(B9200, ""fr"", ""en"")"),"chic relaxation I was attracted by the design of this product. Its appearance and colors out of the traditional standards of massage chairs. The material is very pleasant. I was skeptical on the legs vibration function, but it was only a priori. The heat "&amp;"is soft (the lights turn red when it heats up). Several bottom massage functions back to the top of the neck. Used here by a woman of about 1.60 and a rather square man about 1m80 and everyone is benefiting. You can stay in one place if necessary. The spa"&amp;"cing of masseurs is manageable. The remote control is intuitive. The demo function is full. Easy installation. The only problem: providing a seat or chair straight enough and high enough to install it.")</f>
        <v>chic relaxation I was attracted by the design of this product. Its appearance and colors out of the traditional standards of massage chairs. The material is very pleasant. I was skeptical on the legs vibration function, but it was only a priori. The heat is soft (the lights turn red when it heats up). Several bottom massage functions back to the top of the neck. Used here by a woman of about 1.60 and a rather square man about 1m80 and everyone is benefiting. You can stay in one place if necessary. The spacing of masseurs is manageable. The remote control is intuitive. The demo function is full. Easy installation. The only problem: providing a seat or chair straight enough and high enough to install it.</v>
      </c>
    </row>
    <row r="9201">
      <c r="A9201" s="1">
        <v>4.0</v>
      </c>
      <c r="B9201" s="1" t="s">
        <v>9066</v>
      </c>
      <c r="C9201" t="str">
        <f>IFERROR(__xludf.DUMMYFUNCTION("GOOGLETRANSLATE(B9201, ""fr"", ""en"")"),"VERY COMFORTABLE I work up and is super comfortable, we not feel his feet what, lightweight custom exact poiture I recommend")</f>
        <v>VERY COMFORTABLE I work up and is super comfortable, we not feel his feet what, lightweight custom exact poiture I recommend</v>
      </c>
    </row>
    <row r="9202">
      <c r="A9202" s="1">
        <v>5.0</v>
      </c>
      <c r="B9202" s="1" t="s">
        <v>9067</v>
      </c>
      <c r="C9202" t="str">
        <f>IFERROR(__xludf.DUMMYFUNCTION("GOOGLETRANSLATE(B9202, ""fr"", ""en"")"),"Excellent alarm clock / bedside assistant! Excellent alarm clock / bedside assistant! I had a Philips similar, much larger, that was not the half of its functions ... The Android app is super convenient and accurate, we can control everything and quietly "&amp;"settle without ever touching the buttons waking 😁 . He found and recorded 43 radios at home, the light is ultra-progressive, and good quality speaker, impeccable. This criticism too look good, but frankly, I spent a good hour to turn in all directions ye"&amp;"sterday, I have had only good surprises. Do not hesitate, go for it, it is very penny.")</f>
        <v>Excellent alarm clock / bedside assistant! Excellent alarm clock / bedside assistant! I had a Philips similar, much larger, that was not the half of its functions ... The Android app is super convenient and accurate, we can control everything and quietly settle without ever touching the buttons waking 😁 . He found and recorded 43 radios at home, the light is ultra-progressive, and good quality speaker, impeccable. This criticism too look good, but frankly, I spent a good hour to turn in all directions yesterday, I have had only good surprises. Do not hesitate, go for it, it is very penny.</v>
      </c>
    </row>
    <row r="9203">
      <c r="A9203" s="1">
        <v>5.0</v>
      </c>
      <c r="B9203" s="1" t="s">
        <v>9068</v>
      </c>
      <c r="C9203" t="str">
        <f>IFERROR(__xludf.DUMMYFUNCTION("GOOGLETRANSLATE(B9203, ""fr"", ""en"")"),"Pretty Good quality")</f>
        <v>Pretty Good quality</v>
      </c>
    </row>
    <row r="9204">
      <c r="A9204" s="1">
        <v>5.0</v>
      </c>
      <c r="B9204" s="1" t="s">
        <v>9069</v>
      </c>
      <c r="C9204" t="str">
        <f>IFERROR(__xludf.DUMMYFUNCTION("GOOGLETRANSLATE(B9204, ""fr"", ""en"")"),"Design and effective! Beautiful design for this coffee drink. The light corresponds to the temperature request (and not the temperature of the water being heated). It is convenient to locate if you do not have his glasses to see the indicated temperature!"&amp;" Easy to program. Large volume. You just take the hit and aim well to get back on its base. To see if this lasts over time. For now, I recommend this product.")</f>
        <v>Design and effective! Beautiful design for this coffee drink. The light corresponds to the temperature request (and not the temperature of the water being heated). It is convenient to locate if you do not have his glasses to see the indicated temperature! Easy to program. Large volume. You just take the hit and aim well to get back on its base. To see if this lasts over time. For now, I recommend this product.</v>
      </c>
    </row>
    <row r="9205">
      <c r="A9205" s="1">
        <v>5.0</v>
      </c>
      <c r="B9205" s="1" t="s">
        <v>9070</v>
      </c>
      <c r="C9205" t="str">
        <f>IFERROR(__xludf.DUMMYFUNCTION("GOOGLETRANSLATE(B9205, ""fr"", ""en"")"),"good quality headphone very simple to use. Hello all a bit skeptical towards this headset but really surprised. Really not disappointed this helmet !!!! very light and very good qualiter with beautiful finition👍🏻👍🏻 This helmet is just perfect design /"&amp;" weight / pleasant to reach / rendering his / autonomy")</f>
        <v>good quality headphone very simple to use. Hello all a bit skeptical towards this headset but really surprised. Really not disappointed this helmet !!!! very light and very good qualiter with beautiful finition👍🏻👍🏻 This helmet is just perfect design / weight / pleasant to reach / rendering his / autonomy</v>
      </c>
    </row>
    <row r="9206">
      <c r="A9206" s="1">
        <v>5.0</v>
      </c>
      <c r="B9206" s="1" t="s">
        <v>9071</v>
      </c>
      <c r="C9206" t="str">
        <f>IFERROR(__xludf.DUMMYFUNCTION("GOOGLETRANSLATE(B9206, ""fr"", ""en"")"),"Pretty chain. Offered to my husband. The length is perfect. Very pretty. Thank you")</f>
        <v>Pretty chain. Offered to my husband. The length is perfect. Very pretty. Thank you</v>
      </c>
    </row>
    <row r="9207">
      <c r="A9207" s="1">
        <v>5.0</v>
      </c>
      <c r="B9207" s="1" t="s">
        <v>9072</v>
      </c>
      <c r="C9207" t="str">
        <f>IFERROR(__xludf.DUMMYFUNCTION("GOOGLETRANSLATE(B9207, ""fr"", ""en"")"),"Very good product to associate with the table emanté I use them with the table émanté lifestyle and is the perfect combination. To use them you have to shake them and press on several occasions on the ball until the chalk begins to emerge. The colors are "&amp;"super nice and bright. Fades with a dry cloth or paper towel but be careful not to iron the cloth / paper towel already stained chalk chalk otherwise re-deposited and the table is never clean.")</f>
        <v>Very good product to associate with the table emanté I use them with the table émanté lifestyle and is the perfect combination. To use them you have to shake them and press on several occasions on the ball until the chalk begins to emerge. The colors are super nice and bright. Fades with a dry cloth or paper towel but be careful not to iron the cloth / paper towel already stained chalk chalk otherwise re-deposited and the table is never clean.</v>
      </c>
    </row>
    <row r="9208">
      <c r="A9208" s="1">
        <v>5.0</v>
      </c>
      <c r="B9208" s="1" t="s">
        <v>9073</v>
      </c>
      <c r="C9208" t="str">
        <f>IFERROR(__xludf.DUMMYFUNCTION("GOOGLETRANSLATE(B9208, ""fr"", ""en"")"),"Stay warm :) Fast delivery, proper packaging, product true to the photo. This fleece jacket and very very sweet and very hot :) I wear it outside as well as a cozy evening at home. I just love it !! I recommend this article in good order.")</f>
        <v>Stay warm :) Fast delivery, proper packaging, product true to the photo. This fleece jacket and very very sweet and very hot :) I wear it outside as well as a cozy evening at home. I just love it !! I recommend this article in good order.</v>
      </c>
    </row>
    <row r="9209">
      <c r="A9209" s="1">
        <v>5.0</v>
      </c>
      <c r="B9209" s="1" t="s">
        <v>9074</v>
      </c>
      <c r="C9209" t="str">
        <f>IFERROR(__xludf.DUMMYFUNCTION("GOOGLETRANSLATE(B9209, ""fr"", ""en"")"),"earring very nice product matches the picture very good quality for this price is a very nice gift")</f>
        <v>earring very nice product matches the picture very good quality for this price is a very nice gift</v>
      </c>
    </row>
    <row r="9210">
      <c r="A9210" s="1">
        <v>5.0</v>
      </c>
      <c r="B9210" s="1" t="s">
        <v>9075</v>
      </c>
      <c r="C9210" t="str">
        <f>IFERROR(__xludf.DUMMYFUNCTION("GOOGLETRANSLATE(B9210, ""fr"", ""en"")"),"*** Great")</f>
        <v>*** Great</v>
      </c>
    </row>
    <row r="9211">
      <c r="A9211" s="1">
        <v>5.0</v>
      </c>
      <c r="B9211" s="1" t="s">
        <v>9076</v>
      </c>
      <c r="C9211" t="str">
        <f>IFERROR(__xludf.DUMMYFUNCTION("GOOGLETRANSLATE(B9211, ""fr"", ""en"")"),"Watch Perfect LIGE shows offered to my father that made him very happy, all functions are active, value for money, to see the use in time")</f>
        <v>Watch Perfect LIGE shows offered to my father that made him very happy, all functions are active, value for money, to see the use in time</v>
      </c>
    </row>
    <row r="9212">
      <c r="A9212" s="1">
        <v>5.0</v>
      </c>
      <c r="B9212" s="1" t="s">
        <v>9077</v>
      </c>
      <c r="C9212" t="str">
        <f>IFERROR(__xludf.DUMMYFUNCTION("GOOGLETRANSLATE(B9212, ""fr"", ""en"")"),"Adopted I bought this book because it was recommended on the blog of a teacher I really appreciate for its original ideas. We feasted family every night or I ouvrai to discover new episodes of the soap opera of Hermes ... my children are 11, 8 and 4 and t"&amp;"hey were all passionate .. We have also planned to invest in the other two operas of the collection: Theseus and Odysseus. We recommend warmly!")</f>
        <v>Adopted I bought this book because it was recommended on the blog of a teacher I really appreciate for its original ideas. We feasted family every night or I ouvrai to discover new episodes of the soap opera of Hermes ... my children are 11, 8 and 4 and they were all passionate .. We have also planned to invest in the other two operas of the collection: Theseus and Odysseus. We recommend warmly!</v>
      </c>
    </row>
    <row r="9213">
      <c r="A9213" s="1">
        <v>5.0</v>
      </c>
      <c r="B9213" s="1" t="s">
        <v>9078</v>
      </c>
      <c r="C9213" t="str">
        <f>IFERROR(__xludf.DUMMYFUNCTION("GOOGLETRANSLATE(B9213, ""fr"", ""en"")"),"Good quality / price Good quality product Pleasant to wear. See in time but satisfied!")</f>
        <v>Good quality / price Good quality product Pleasant to wear. See in time but satisfied!</v>
      </c>
    </row>
    <row r="9214">
      <c r="A9214" s="1">
        <v>5.0</v>
      </c>
      <c r="B9214" s="1" t="s">
        <v>9079</v>
      </c>
      <c r="C9214" t="str">
        <f>IFERROR(__xludf.DUMMYFUNCTION("GOOGLETRANSLATE(B9214, ""fr"", ""en"")"),"A wonder I use it in all circumstances: train, subway, airplane .... the noise reduction is really relaxing! Also the weight is insignificant thanks to its support tower cou.Jje highly recommend! The price is worth it.")</f>
        <v>A wonder I use it in all circumstances: train, subway, airplane .... the noise reduction is really relaxing! Also the weight is insignificant thanks to its support tower cou.Jje highly recommend! The price is worth it.</v>
      </c>
    </row>
    <row r="9215">
      <c r="A9215" s="1">
        <v>5.0</v>
      </c>
      <c r="B9215" s="1" t="s">
        <v>9080</v>
      </c>
      <c r="C9215" t="str">
        <f>IFERROR(__xludf.DUMMYFUNCTION("GOOGLETRANSLATE(B9215, ""fr"", ""en"")"),"PERFECT for DEODORIZE rug or mattress .... Perfect deodorising mattresses, carpets ... sofas in fabric ... For my carpet: I have fully sprinkle the carpet on one side, I entered bicarbonate, and rolled my mat for 24 hours before suck. I did the same on th"&amp;"e back of the carpet. More bad smell.")</f>
        <v>PERFECT for DEODORIZE rug or mattress .... Perfect deodorising mattresses, carpets ... sofas in fabric ... For my carpet: I have fully sprinkle the carpet on one side, I entered bicarbonate, and rolled my mat for 24 hours before suck. I did the same on the back of the carpet. More bad smell.</v>
      </c>
    </row>
    <row r="9216">
      <c r="A9216" s="1">
        <v>5.0</v>
      </c>
      <c r="B9216" s="1" t="s">
        <v>9081</v>
      </c>
      <c r="C9216" t="str">
        <f>IFERROR(__xludf.DUMMYFUNCTION("GOOGLETRANSLATE(B9216, ""fr"", ""en"")"),"Delivery Super")</f>
        <v>Delivery Super</v>
      </c>
    </row>
    <row r="9217">
      <c r="A9217" s="1">
        <v>2.0</v>
      </c>
      <c r="B9217" s="1" t="s">
        <v>9082</v>
      </c>
      <c r="C9217" t="str">
        <f>IFERROR(__xludf.DUMMYFUNCTION("GOOGLETRANSLATE(B9217, ""fr"", ""en"")"),"Hard to see the water onlin! - Difficult to see the water onlin! It looks very nice, but a pain in the butt trying to see how much water to put or how much water is already there. It is covered by the handle! Pity! Looks very nice but a pain in the derrie"&amp;"re try trying to see how much water to put in or how much water is already in there. It is covered by the handle!")</f>
        <v>Hard to see the water onlin! - Difficult to see the water onlin! It looks very nice, but a pain in the butt trying to see how much water to put or how much water is already there. It is covered by the handle! Pity! Looks very nice but a pain in the derriere try trying to see how much water to put in or how much water is already in there. It is covered by the handle!</v>
      </c>
    </row>
    <row r="9218">
      <c r="A9218" s="1">
        <v>1.0</v>
      </c>
      <c r="B9218" s="1" t="s">
        <v>9083</v>
      </c>
      <c r="C9218" t="str">
        <f>IFERROR(__xludf.DUMMYFUNCTION("GOOGLETRANSLATE(B9218, ""fr"", ""en"")"),"The drop of ink ... This is the command that made me buy a printer from another brand instead of my Canon! Yes, it was the right reference, except that it is a narrow cartridge, and needed a large. I did not return the product ... of course open, because "&amp;"I have noticed the error me in trying to install. What I sent is ... the printer to the recycling center.")</f>
        <v>The drop of ink ... This is the command that made me buy a printer from another brand instead of my Canon! Yes, it was the right reference, except that it is a narrow cartridge, and needed a large. I did not return the product ... of course open, because I have noticed the error me in trying to install. What I sent is ... the printer to the recycling center.</v>
      </c>
    </row>
    <row r="9219">
      <c r="A9219" s="1">
        <v>1.0</v>
      </c>
      <c r="B9219" s="1" t="s">
        <v>9084</v>
      </c>
      <c r="C9219" t="str">
        <f>IFERROR(__xludf.DUMMYFUNCTION("GOOGLETRANSLATE(B9219, ""fr"", ""en"")"),"no very bad attachment and not solid at all")</f>
        <v>no very bad attachment and not solid at all</v>
      </c>
    </row>
    <row r="9220">
      <c r="A9220" s="1">
        <v>3.0</v>
      </c>
      <c r="B9220" s="1" t="s">
        <v>9085</v>
      </c>
      <c r="C9220" t="str">
        <f>IFERROR(__xludf.DUMMYFUNCTION("GOOGLETRANSLATE(B9220, ""fr"", ""en"")"),"Elastic that bends all the time Good product but it rises too waist, high and elastic waist at the waist moves all the time and plaice")</f>
        <v>Elastic that bends all the time Good product but it rises too waist, high and elastic waist at the waist moves all the time and plaice</v>
      </c>
    </row>
    <row r="9221">
      <c r="A9221" s="1">
        <v>4.0</v>
      </c>
      <c r="B9221" s="1" t="s">
        <v>9086</v>
      </c>
      <c r="C9221" t="str">
        <f>IFERROR(__xludf.DUMMYFUNCTION("GOOGLETRANSLATE(B9221, ""fr"", ""en"")"),"Kettle impeccable. Kettle heats very quickly. No same plastic smell from the first use. Neither too big nor too small (1.5 liter). Quick delivery.")</f>
        <v>Kettle impeccable. Kettle heats very quickly. No same plastic smell from the first use. Neither too big nor too small (1.5 liter). Quick delivery.</v>
      </c>
    </row>
    <row r="9222">
      <c r="A9222" s="1">
        <v>4.0</v>
      </c>
      <c r="B9222" s="1" t="s">
        <v>9087</v>
      </c>
      <c r="C9222" t="str">
        <f>IFERROR(__xludf.DUMMYFUNCTION("GOOGLETRANSLATE(B9222, ""fr"", ""en"")"),"many fg fg gh hg hg g f g h f g h j j hg gh huj g kjhgh hh hg j j g k h gh jk h g h j k k yh tr l lk k jh jh k lm lml")</f>
        <v>many fg fg gh hg hg g f g h f g h j j hg gh huj g kjhgh hh hg j j g k h gh jk h g h j k k yh tr l lk k jh jh k lm lml</v>
      </c>
    </row>
    <row r="9223">
      <c r="A9223" s="1">
        <v>4.0</v>
      </c>
      <c r="B9223" s="1" t="s">
        <v>9088</v>
      </c>
      <c r="C9223" t="str">
        <f>IFERROR(__xludf.DUMMYFUNCTION("GOOGLETRANSLATE(B9223, ""fr"", ""en"")"),"Allows children to start reading alone Sami stories are frankly not exciting. But my daughter (early PC) manages to read so only those books like it when even a little. As the price is very cheap, it is worth it to have one or two to encourage the child.")</f>
        <v>Allows children to start reading alone Sami stories are frankly not exciting. But my daughter (early PC) manages to read so only those books like it when even a little. As the price is very cheap, it is worth it to have one or two to encourage the child.</v>
      </c>
    </row>
    <row r="9224">
      <c r="A9224" s="1">
        <v>4.0</v>
      </c>
      <c r="B9224" s="1" t="s">
        <v>9089</v>
      </c>
      <c r="C9224" t="str">
        <f>IFERROR(__xludf.DUMMYFUNCTION("GOOGLETRANSLATE(B9224, ""fr"", ""en"")"),"Suitable quality of music listening is fine but when the person hears more noise surrounding the telephone using the voice")</f>
        <v>Suitable quality of music listening is fine but when the person hears more noise surrounding the telephone using the voice</v>
      </c>
    </row>
    <row r="9225">
      <c r="A9225" s="1">
        <v>5.0</v>
      </c>
      <c r="B9225" s="1" t="s">
        <v>9090</v>
      </c>
      <c r="C9225" t="str">
        <f>IFERROR(__xludf.DUMMYFUNCTION("GOOGLETRANSLATE(B9225, ""fr"", ""en"")"),"Super happy Very happy fast delivery and excellent products amballés. Very convenient to open the bottom for very good price compared to cleaning shop price.")</f>
        <v>Super happy Very happy fast delivery and excellent products amballés. Very convenient to open the bottom for very good price compared to cleaning shop price.</v>
      </c>
    </row>
    <row r="9226">
      <c r="A9226" s="1">
        <v>5.0</v>
      </c>
      <c r="B9226" s="1" t="s">
        <v>9091</v>
      </c>
      <c r="C9226" t="str">
        <f>IFERROR(__xludf.DUMMYFUNCTION("GOOGLETRANSLATE(B9226, ""fr"", ""en"")"),"❤❤Siège massaging chauffant❤❤ product received very quickly and well emballé.Attention must be present at the delivery because the parcel is very large. quickly installed, I set up on my canapé.Ce which is pretty cool is that you can install it wherever y"&amp;"ou want, for example on an office chair, a single chair in the car (yes there is a socket for the cigarette lighter ^^). This seat is really well thought out and is good (faux leather). In the feature level is complet.On can choose to massage the neck, up"&amp;"per back, lower back, or fesses.Soit choosing the program that mass around, or we souhaitée.Tout target zone program through the use télécommande.Le booklet explains everything from a to Z. I personally prefer the massage to the neck and lower back, I fin"&amp;"d it back a little too toned, it surprises assez.D Besides, I'm not sure that the seat can be used on any pathology back ... Good to know: this seat is réglabe height, there is a heating function, and the intensity of the vibration at the seat is adjustab"&amp;"le. 👍👍Au final, I really appreciate the massaging seat, I find it relaxes me well in muscle, I do not advise donc.👍👍 hesitate to tell me if this comment was you utile😊")</f>
        <v>❤❤Siège massaging chauffant❤❤ product received very quickly and well emballé.Attention must be present at the delivery because the parcel is very large. quickly installed, I set up on my canapé.Ce which is pretty cool is that you can install it wherever you want, for example on an office chair, a single chair in the car (yes there is a socket for the cigarette lighter ^^). This seat is really well thought out and is good (faux leather). In the feature level is complet.On can choose to massage the neck, upper back, lower back, or fesses.Soit choosing the program that mass around, or we souhaitée.Tout target zone program through the use télécommande.Le booklet explains everything from a to Z. I personally prefer the massage to the neck and lower back, I find it back a little too toned, it surprises assez.D Besides, I'm not sure that the seat can be used on any pathology back ... Good to know: this seat is réglabe height, there is a heating function, and the intensity of the vibration at the seat is adjustable. 👍👍Au final, I really appreciate the massaging seat, I find it relaxes me well in muscle, I do not advise donc.👍👍 hesitate to tell me if this comment was you utile😊</v>
      </c>
    </row>
    <row r="9227">
      <c r="A9227" s="1">
        <v>5.0</v>
      </c>
      <c r="B9227" s="1" t="s">
        <v>9092</v>
      </c>
      <c r="C9227" t="str">
        <f>IFERROR(__xludf.DUMMYFUNCTION("GOOGLETRANSLATE(B9227, ""fr"", ""en"")"),"Nickel No I do not like the general boots, but they are great and positive, they hold the ankle.")</f>
        <v>Nickel No I do not like the general boots, but they are great and positive, they hold the ankle.</v>
      </c>
    </row>
    <row r="9228">
      <c r="A9228" s="1">
        <v>5.0</v>
      </c>
      <c r="B9228" s="1" t="s">
        <v>9093</v>
      </c>
      <c r="C9228" t="str">
        <f>IFERROR(__xludf.DUMMYFUNCTION("GOOGLETRANSLATE(B9228, ""fr"", ""en"")"),"pretty nice product sweatshirt, simple efficient delivery super super packaging thank you")</f>
        <v>pretty nice product sweatshirt, simple efficient delivery super super packaging thank you</v>
      </c>
    </row>
    <row r="9229">
      <c r="A9229" s="1">
        <v>5.0</v>
      </c>
      <c r="B9229" s="1" t="s">
        <v>9094</v>
      </c>
      <c r="C9229" t="str">
        <f>IFERROR(__xludf.DUMMYFUNCTION("GOOGLETRANSLATE(B9229, ""fr"", ""en"")"),"perfect! For the price this cap is perfect and super comfortable to wear! like any flexfit I highly recommend this product!")</f>
        <v>perfect! For the price this cap is perfect and super comfortable to wear! like any flexfit I highly recommend this product!</v>
      </c>
    </row>
    <row r="9230">
      <c r="A9230" s="1">
        <v>5.0</v>
      </c>
      <c r="B9230" s="1" t="s">
        <v>9095</v>
      </c>
      <c r="C9230" t="str">
        <f>IFERROR(__xludf.DUMMYFUNCTION("GOOGLETRANSLATE(B9230, ""fr"", ""en"")"),"excellent flexible and strong nipples teats both adapted to the morphology of the baby's mouth, have never found of wear, very resistant, used both with normal milk with a milk thickens or cereals.")</f>
        <v>excellent flexible and strong nipples teats both adapted to the morphology of the baby's mouth, have never found of wear, very resistant, used both with normal milk with a milk thickens or cereals.</v>
      </c>
    </row>
    <row r="9231">
      <c r="A9231" s="1">
        <v>5.0</v>
      </c>
      <c r="B9231" s="1" t="s">
        <v>9096</v>
      </c>
      <c r="C9231" t="str">
        <f>IFERROR(__xludf.DUMMYFUNCTION("GOOGLETRANSLATE(B9231, ""fr"", ""en"")"),"Wouaaaaaaaaaaaaa I am overwhelmed !! Wouaaaaaaaaaaaaa I am overwhelmed !! Tennis Perfect !! Besides that I ordered size 39 making a 39 and I got size 40 !!! But ultimately that's great, that's exactly what I needed! Shoes matching well to the model, exact"&amp;"ly the same, and when people say it feels like a slipper, it is exactly that !! it feels very good to, I STRONGLY RECOMMENDS THAT TYPE OF FOOTWEAR FOR PERSONS WITH PROBLEMS TO TOE facilitates foot, flat feet, heel pain, I could over my feet hurt and final"&amp;"ly I found a heel height and a sole that totally suits my problems !! I bought another site the same shoe style sneaker but kind, and it is happiness for the feet thanks to its weaving made with real elastic fits the feet completely, it is miraculous !! M"&amp;"ore heat of foot problems or swelling, shoes depend entirely on the feet is a total relief for those suffering feet. Thank you so much !")</f>
        <v>Wouaaaaaaaaaaaaa I am overwhelmed !! Wouaaaaaaaaaaaaa I am overwhelmed !! Tennis Perfect !! Besides that I ordered size 39 making a 39 and I got size 40 !!! But ultimately that's great, that's exactly what I needed! Shoes matching well to the model, exactly the same, and when people say it feels like a slipper, it is exactly that !! it feels very good to, I STRONGLY RECOMMENDS THAT TYPE OF FOOTWEAR FOR PERSONS WITH PROBLEMS TO TOE facilitates foot, flat feet, heel pain, I could over my feet hurt and finally I found a heel height and a sole that totally suits my problems !! I bought another site the same shoe style sneaker but kind, and it is happiness for the feet thanks to its weaving made with real elastic fits the feet completely, it is miraculous !! More heat of foot problems or swelling, shoes depend entirely on the feet is a total relief for those suffering feet. Thank you so much !</v>
      </c>
    </row>
    <row r="9232">
      <c r="A9232" s="1">
        <v>5.0</v>
      </c>
      <c r="B9232" s="1" t="s">
        <v>9097</v>
      </c>
      <c r="C9232" t="str">
        <f>IFERROR(__xludf.DUMMYFUNCTION("GOOGLETRANSLATE(B9232, ""fr"", ""en"")"),"Cable quality The cable has a good value, especially for an FOC. The plastic sheath is somewhat rigid, but it is easy to separate the two strands without stripping using scissors.")</f>
        <v>Cable quality The cable has a good value, especially for an FOC. The plastic sheath is somewhat rigid, but it is easy to separate the two strands without stripping using scissors.</v>
      </c>
    </row>
    <row r="9233">
      <c r="A9233" s="1">
        <v>5.0</v>
      </c>
      <c r="B9233" s="1" t="s">
        <v>9098</v>
      </c>
      <c r="C9233" t="str">
        <f>IFERROR(__xludf.DUMMYFUNCTION("GOOGLETRANSLATE(B9233, ""fr"", ""en"")"),"Good product Great product")</f>
        <v>Good product Great product</v>
      </c>
    </row>
    <row r="9234">
      <c r="A9234" s="1">
        <v>5.0</v>
      </c>
      <c r="B9234" s="1" t="s">
        <v>9099</v>
      </c>
      <c r="C9234" t="str">
        <f>IFERROR(__xludf.DUMMYFUNCTION("GOOGLETRANSLATE(B9234, ""fr"", ""en"")"),"Excellent Caution well put t_shirt because the spikes are a bit rough but the feeling of well being is perfect. I recommend it to those with muscle pain.")</f>
        <v>Excellent Caution well put t_shirt because the spikes are a bit rough but the feeling of well being is perfect. I recommend it to those with muscle pain.</v>
      </c>
    </row>
    <row r="9235">
      <c r="A9235" s="1">
        <v>5.0</v>
      </c>
      <c r="B9235" s="1" t="s">
        <v>9100</v>
      </c>
      <c r="C9235" t="str">
        <f>IFERROR(__xludf.DUMMYFUNCTION("GOOGLETRANSLATE(B9235, ""fr"", ""en"")"),"perfect value for money Unbeatable value for money, the tool comes with is very convenient! I was able to change the strap of my tissot in two minutes, keeping the original metal elements, 5 times cheaper than the bracelet sold under the brand Tissot")</f>
        <v>perfect value for money Unbeatable value for money, the tool comes with is very convenient! I was able to change the strap of my tissot in two minutes, keeping the original metal elements, 5 times cheaper than the bracelet sold under the brand Tissot</v>
      </c>
    </row>
    <row r="9236">
      <c r="A9236" s="1">
        <v>5.0</v>
      </c>
      <c r="B9236" s="1" t="s">
        <v>9101</v>
      </c>
      <c r="C9236" t="str">
        <f>IFERROR(__xludf.DUMMYFUNCTION("GOOGLETRANSLATE(B9236, ""fr"", ""en"")"),"Very good Meets handy picture! As baby sucks not the nipple water does not drip and ca this is great when your baby want to spill the water voluntarily, well he can not! I recommend")</f>
        <v>Very good Meets handy picture! As baby sucks not the nipple water does not drip and ca this is great when your baby want to spill the water voluntarily, well he can not! I recommend</v>
      </c>
    </row>
    <row r="9237">
      <c r="A9237" s="1">
        <v>5.0</v>
      </c>
      <c r="B9237" s="1" t="s">
        <v>9102</v>
      </c>
      <c r="C9237" t="str">
        <f>IFERROR(__xludf.DUMMYFUNCTION("GOOGLETRANSLATE(B9237, ""fr"", ""en"")"),"This is my first perfect pair. I use it as a slipper. The shoe is super lightweight and comfortable. Master key. Good product ! I left them more. I plan to order in a different color.")</f>
        <v>This is my first perfect pair. I use it as a slipper. The shoe is super lightweight and comfortable. Master key. Good product ! I left them more. I plan to order in a different color.</v>
      </c>
    </row>
    <row r="9238">
      <c r="A9238" s="1">
        <v>5.0</v>
      </c>
      <c r="B9238" s="1" t="s">
        <v>9103</v>
      </c>
      <c r="C9238" t="str">
        <f>IFERROR(__xludf.DUMMYFUNCTION("GOOGLETRANSLATE(B9238, ""fr"", ""en"")"),"Simple very nice bag")</f>
        <v>Simple very nice bag</v>
      </c>
    </row>
    <row r="9239">
      <c r="A9239" s="1">
        <v>5.0</v>
      </c>
      <c r="B9239" s="1" t="s">
        <v>4020</v>
      </c>
      <c r="C9239" t="str">
        <f>IFERROR(__xludf.DUMMYFUNCTION("GOOGLETRANSLATE(B9239, ""fr"", ""en"")"),"ok ok")</f>
        <v>ok ok</v>
      </c>
    </row>
    <row r="9240">
      <c r="A9240" s="1">
        <v>2.0</v>
      </c>
      <c r="B9240" s="1" t="s">
        <v>9104</v>
      </c>
      <c r="C9240" t="str">
        <f>IFERROR(__xludf.DUMMYFUNCTION("GOOGLETRANSLATE(B9240, ""fr"", ""en"")"),"Disappointed, closure does not take disappointment even if the worst is very pretty. They close very badly. My Goddaughter in lost heart several times to end up losing a full earring in a few days.")</f>
        <v>Disappointed, closure does not take disappointment even if the worst is very pretty. They close very badly. My Goddaughter in lost heart several times to end up losing a full earring in a few days.</v>
      </c>
    </row>
    <row r="9241">
      <c r="A9241" s="1">
        <v>1.0</v>
      </c>
      <c r="B9241" s="1" t="s">
        <v>9105</v>
      </c>
      <c r="C9241" t="str">
        <f>IFERROR(__xludf.DUMMYFUNCTION("GOOGLETRANSLATE(B9241, ""fr"", ""en"")"),"Device faulty In barely open and ... impossible to use! The item is defective !! Unable to detect my phone! Yet my bluetooth works great and detects other devices .... Very very disappointing !!!")</f>
        <v>Device faulty In barely open and ... impossible to use! The item is defective !! Unable to detect my phone! Yet my bluetooth works great and detects other devices .... Very very disappointing !!!</v>
      </c>
    </row>
    <row r="9242">
      <c r="A9242" s="1">
        <v>3.0</v>
      </c>
      <c r="B9242" s="1" t="s">
        <v>9106</v>
      </c>
      <c r="C9242" t="str">
        <f>IFERROR(__xludf.DUMMYFUNCTION("GOOGLETRANSLATE(B9242, ""fr"", ""en"")"),"Practice means for transporting bottles, cosmetic nice, but not really keeps you cool or warm. I'm mixed.")</f>
        <v>Practice means for transporting bottles, cosmetic nice, but not really keeps you cool or warm. I'm mixed.</v>
      </c>
    </row>
    <row r="9243">
      <c r="A9243" s="1">
        <v>3.0</v>
      </c>
      <c r="B9243" s="1" t="s">
        <v>9107</v>
      </c>
      <c r="C9243" t="str">
        <f>IFERROR(__xludf.DUMMYFUNCTION("GOOGLETRANSLATE(B9243, ""fr"", ""en"")"),"BOF! do not understand a PC 13; 3 inches !!!! Disappointed!")</f>
        <v>BOF! do not understand a PC 13; 3 inches !!!! Disappointed!</v>
      </c>
    </row>
    <row r="9244">
      <c r="A9244" s="1">
        <v>4.0</v>
      </c>
      <c r="B9244" s="1" t="s">
        <v>9108</v>
      </c>
      <c r="C9244" t="str">
        <f>IFERROR(__xludf.DUMMYFUNCTION("GOOGLETRANSLATE(B9244, ""fr"", ""en"")"),"Casio Watch golden gorgeous golden Casio I kept the same watch for more than 5 years without changing the battery without blem .the only drawback of this watch is that the document is not in French if the watch is in French it just takes a little touch bu"&amp;"ttons and you will understand the simple instructions slight problem with the wrist strap buckle")</f>
        <v>Casio Watch golden gorgeous golden Casio I kept the same watch for more than 5 years without changing the battery without blem .the only drawback of this watch is that the document is not in French if the watch is in French it just takes a little touch buttons and you will understand the simple instructions slight problem with the wrist strap buckle</v>
      </c>
    </row>
    <row r="9245">
      <c r="A9245" s="1">
        <v>4.0</v>
      </c>
      <c r="B9245" s="1" t="s">
        <v>9109</v>
      </c>
      <c r="C9245" t="str">
        <f>IFERROR(__xludf.DUMMYFUNCTION("GOOGLETRANSLATE(B9245, ""fr"", ""en"")"),"the blue color is duller than the photo presentation After a delivery problem, Maikes reacted very quickly to make me deliver another bracelet. Very positive! The color is paler more discret.Très good price-quality.")</f>
        <v>the blue color is duller than the photo presentation After a delivery problem, Maikes reacted very quickly to make me deliver another bracelet. Very positive! The color is paler more discret.Très good price-quality.</v>
      </c>
    </row>
    <row r="9246">
      <c r="A9246" s="1">
        <v>4.0</v>
      </c>
      <c r="B9246" s="1" t="s">
        <v>9110</v>
      </c>
      <c r="C9246" t="str">
        <f>IFERROR(__xludf.DUMMYFUNCTION("GOOGLETRANSLATE(B9246, ""fr"", ""en"")"),"jsuis fan !!! it is small, it's why I bought it, but as it is wide, everything fits perfectly and then I love the smell of leather and leather is so close, but it's the goat, and for the price it's really well and no, no seam defect or else I can do witho"&amp;"ut it !!!")</f>
        <v>jsuis fan !!! it is small, it's why I bought it, but as it is wide, everything fits perfectly and then I love the smell of leather and leather is so close, but it's the goat, and for the price it's really well and no, no seam defect or else I can do without it !!!</v>
      </c>
    </row>
    <row r="9247">
      <c r="A9247" s="1">
        <v>4.0</v>
      </c>
      <c r="B9247" s="1" t="s">
        <v>9111</v>
      </c>
      <c r="C9247" t="str">
        <f>IFERROR(__xludf.DUMMYFUNCTION("GOOGLETRANSLATE(B9247, ""fr"", ""en"")"),"Good product Good value no complaints")</f>
        <v>Good product Good value no complaints</v>
      </c>
    </row>
    <row r="9248">
      <c r="A9248" s="1">
        <v>5.0</v>
      </c>
      <c r="B9248" s="1" t="s">
        <v>9112</v>
      </c>
      <c r="C9248" t="str">
        <f>IFERROR(__xludf.DUMMYFUNCTION("GOOGLETRANSLATE(B9248, ""fr"", ""en"")"),"Good small kettle First thing to say: beware the size of the kettle. It is not ridiculously small, but it is not very large. With us, it suits us perfectly. Super also witness small internal volume of water inserted. And signing Russel Hobbs forces, it is"&amp;" a great design.")</f>
        <v>Good small kettle First thing to say: beware the size of the kettle. It is not ridiculously small, but it is not very large. With us, it suits us perfectly. Super also witness small internal volume of water inserted. And signing Russel Hobbs forces, it is a great design.</v>
      </c>
    </row>
    <row r="9249">
      <c r="A9249" s="1">
        <v>5.0</v>
      </c>
      <c r="B9249" s="1" t="s">
        <v>9113</v>
      </c>
      <c r="C9249" t="str">
        <f>IFERROR(__xludf.DUMMYFUNCTION("GOOGLETRANSLATE(B9249, ""fr"", ""en"")"),"Very good product but the price a bit excessive I use at work and drive handy as we just put them and the sound goes directly to the earphone product qualities have nothing to say the price I find it very expensive but good when see what it did on the wal"&amp;"k we fall often mediocre products. The AirPods like very goods charge and recharges quickly")</f>
        <v>Very good product but the price a bit excessive I use at work and drive handy as we just put them and the sound goes directly to the earphone product qualities have nothing to say the price I find it very expensive but good when see what it did on the walk we fall often mediocre products. The AirPods like very goods charge and recharges quickly</v>
      </c>
    </row>
    <row r="9250">
      <c r="A9250" s="1">
        <v>5.0</v>
      </c>
      <c r="B9250" s="1" t="s">
        <v>9114</v>
      </c>
      <c r="C9250" t="str">
        <f>IFERROR(__xludf.DUMMYFUNCTION("GOOGLETRANSLATE(B9250, ""fr"", ""en"")"),"Perfect for sports, good quality The first thing you notice upon opening the box is the small size of the hard case that contains the helmet. It folds clever way and transported easily while being well protected. Once in place it does not move, even when "&amp;"jogging. Also the fact that there is no wire Tension is very nice. Note that the doc is not French (German, English and Japanese), but the description of the commands to the manual of the center is clear enough to be understood. The pairing is done withou"&amp;"t difficulty (tested with Android smartphone, iPhone and iPad). The sound quality is very satisfactory. The telephony part works well too, so we're not in an environment too noisy. The music stops when a call. The charging cable is not very long, but it i"&amp;"s not a big worry. In summary a very convenient headphone and a very good price / quality ratio.")</f>
        <v>Perfect for sports, good quality The first thing you notice upon opening the box is the small size of the hard case that contains the helmet. It folds clever way and transported easily while being well protected. Once in place it does not move, even when jogging. Also the fact that there is no wire Tension is very nice. Note that the doc is not French (German, English and Japanese), but the description of the commands to the manual of the center is clear enough to be understood. The pairing is done without difficulty (tested with Android smartphone, iPhone and iPad). The sound quality is very satisfactory. The telephony part works well too, so we're not in an environment too noisy. The music stops when a call. The charging cable is not very long, but it is not a big worry. In summary a very convenient headphone and a very good price / quality ratio.</v>
      </c>
    </row>
    <row r="9251">
      <c r="A9251" s="1">
        <v>5.0</v>
      </c>
      <c r="B9251" s="1" t="s">
        <v>9115</v>
      </c>
      <c r="C9251" t="str">
        <f>IFERROR(__xludf.DUMMYFUNCTION("GOOGLETRANSLATE(B9251, ""fr"", ""en"")"),"Earrings I has-do-re ..! .. just by its shine extra bright, I compliments from everyone around me ....")</f>
        <v>Earrings I has-do-re ..! .. just by its shine extra bright, I compliments from everyone around me ....</v>
      </c>
    </row>
    <row r="9252">
      <c r="A9252" s="1">
        <v>5.0</v>
      </c>
      <c r="B9252" s="1" t="s">
        <v>9116</v>
      </c>
      <c r="C9252" t="str">
        <f>IFERROR(__xludf.DUMMYFUNCTION("GOOGLETRANSLATE(B9252, ""fr"", ""en"")"),"Safety shoes comfortable safety shoes, size is perfect and the more it kind of question ordinary work shoes. I'm so glad of my purchase.")</f>
        <v>Safety shoes comfortable safety shoes, size is perfect and the more it kind of question ordinary work shoes. I'm so glad of my purchase.</v>
      </c>
    </row>
    <row r="9253">
      <c r="A9253" s="1">
        <v>5.0</v>
      </c>
      <c r="B9253" s="1" t="s">
        <v>9117</v>
      </c>
      <c r="C9253" t="str">
        <f>IFERROR(__xludf.DUMMYFUNCTION("GOOGLETRANSLATE(B9253, ""fr"", ""en"")"),"Highly appealing to children. Fun and unusual")</f>
        <v>Highly appealing to children. Fun and unusual</v>
      </c>
    </row>
    <row r="9254">
      <c r="A9254" s="1">
        <v>5.0</v>
      </c>
      <c r="B9254" s="1" t="s">
        <v>9118</v>
      </c>
      <c r="C9254" t="str">
        <f>IFERROR(__xludf.DUMMYFUNCTION("GOOGLETRANSLATE(B9254, ""fr"", ""en"")"),"everything is perfect super helpful, big enough but not too much. ideal for a vacation or weekend")</f>
        <v>everything is perfect super helpful, big enough but not too much. ideal for a vacation or weekend</v>
      </c>
    </row>
    <row r="9255">
      <c r="A9255" s="1">
        <v>5.0</v>
      </c>
      <c r="B9255" s="1" t="s">
        <v>9119</v>
      </c>
      <c r="C9255" t="str">
        <f>IFERROR(__xludf.DUMMYFUNCTION("GOOGLETRANSLATE(B9255, ""fr"", ""en"")"),"Electric kettle with LED blue I wanted a kettle to replace an old one. This kettle has a large capacity 1.8L glass. It must put a minimum of 0.5L to boil. Boiling takes place quickly and blue LED lights simultaneously. automatic stopping of the kettle, on"&amp;"ce it is completed. The kettle holds well the water temperature.")</f>
        <v>Electric kettle with LED blue I wanted a kettle to replace an old one. This kettle has a large capacity 1.8L glass. It must put a minimum of 0.5L to boil. Boiling takes place quickly and blue LED lights simultaneously. automatic stopping of the kettle, once it is completed. The kettle holds well the water temperature.</v>
      </c>
    </row>
    <row r="9256">
      <c r="A9256" s="1">
        <v>5.0</v>
      </c>
      <c r="B9256" s="1" t="s">
        <v>9120</v>
      </c>
      <c r="C9256" t="str">
        <f>IFERROR(__xludf.DUMMYFUNCTION("GOOGLETRANSLATE(B9256, ""fr"", ""en"")"),"Perfect for workshop activity Perfect, ordered to do activities with my 5 year old son are great. Cheap and very good quality. I will recommended.")</f>
        <v>Perfect for workshop activity Perfect, ordered to do activities with my 5 year old son are great. Cheap and very good quality. I will recommended.</v>
      </c>
    </row>
    <row r="9257">
      <c r="A9257" s="1">
        <v>5.0</v>
      </c>
      <c r="B9257" s="1" t="s">
        <v>9121</v>
      </c>
      <c r="C9257" t="str">
        <f>IFERROR(__xludf.DUMMYFUNCTION("GOOGLETRANSLATE(B9257, ""fr"", ""en"")"),"Very good Pretty paper and attractive price, 50m is huge but at least we did not spend his time to buy rolls of 2m we store")</f>
        <v>Very good Pretty paper and attractive price, 50m is huge but at least we did not spend his time to buy rolls of 2m we store</v>
      </c>
    </row>
    <row r="9258">
      <c r="A9258" s="1">
        <v>5.0</v>
      </c>
      <c r="B9258" s="1" t="s">
        <v>9122</v>
      </c>
      <c r="C9258" t="str">
        <f>IFERROR(__xludf.DUMMYFUNCTION("GOOGLETRANSLATE(B9258, ""fr"", ""en"")"),"Pretty nice package box for use with a diffuser. The aromas are pleasant.")</f>
        <v>Pretty nice package box for use with a diffuser. The aromas are pleasant.</v>
      </c>
    </row>
    <row r="9259">
      <c r="A9259" s="1">
        <v>5.0</v>
      </c>
      <c r="B9259" s="1" t="s">
        <v>9123</v>
      </c>
      <c r="C9259" t="str">
        <f>IFERROR(__xludf.DUMMYFUNCTION("GOOGLETRANSLATE(B9259, ""fr"", ""en"")"),"Satisfied Very useful for the stay to motherhood. Do not hesitate to supplement with additional Tigex protections. I am very satisfied with the kit.")</f>
        <v>Satisfied Very useful for the stay to motherhood. Do not hesitate to supplement with additional Tigex protections. I am very satisfied with the kit.</v>
      </c>
    </row>
    <row r="9260">
      <c r="A9260" s="1">
        <v>5.0</v>
      </c>
      <c r="B9260" s="1" t="s">
        <v>9124</v>
      </c>
      <c r="C9260" t="str">
        <f>IFERROR(__xludf.DUMMYFUNCTION("GOOGLETRANSLATE(B9260, ""fr"", ""en"")"),"received a treat on time, proper packaging. I was surprised by the size of it is really great. I live in a region or autumn is gray and rainy, I really wanted to try light therapy. After one week, the effects are felt. I turn when I wake up, 30 40 min. I "&amp;"feel much less tired the day and I'm in a good mood. frankly it's a great investment!")</f>
        <v>received a treat on time, proper packaging. I was surprised by the size of it is really great. I live in a region or autumn is gray and rainy, I really wanted to try light therapy. After one week, the effects are felt. I turn when I wake up, 30 40 min. I feel much less tired the day and I'm in a good mood. frankly it's a great investment!</v>
      </c>
    </row>
    <row r="9261">
      <c r="A9261" s="1">
        <v>5.0</v>
      </c>
      <c r="B9261" s="1" t="s">
        <v>9125</v>
      </c>
      <c r="C9261" t="str">
        <f>IFERROR(__xludf.DUMMYFUNCTION("GOOGLETRANSLATE(B9261, ""fr"", ""en"")"),"Does the job asked of Bird UM1 This windscreen fits perfectly with my microphone Bird UM1, the resulting sound is excellent, the records are very pleasant reduced noise.")</f>
        <v>Does the job asked of Bird UM1 This windscreen fits perfectly with my microphone Bird UM1, the resulting sound is excellent, the records are very pleasant reduced noise.</v>
      </c>
    </row>
    <row r="9262">
      <c r="A9262" s="1">
        <v>5.0</v>
      </c>
      <c r="B9262" s="1" t="s">
        <v>9126</v>
      </c>
      <c r="C9262" t="str">
        <f>IFERROR(__xludf.DUMMYFUNCTION("GOOGLETRANSLATE(B9262, ""fr"", ""en"")"),"Satisfied They are beautiful bracelets. They perfectly match my expectations. This is so perfect offer. Thank you for this order")</f>
        <v>Satisfied They are beautiful bracelets. They perfectly match my expectations. This is so perfect offer. Thank you for this order</v>
      </c>
    </row>
    <row r="9263">
      <c r="A9263" s="1">
        <v>2.0</v>
      </c>
      <c r="B9263" s="1" t="s">
        <v>9127</v>
      </c>
      <c r="C9263" t="str">
        <f>IFERROR(__xludf.DUMMYFUNCTION("GOOGLETRANSLATE(B9263, ""fr"", ""en"")"),"But satisfied! Satisfied light takes out the only downsides solid lace up the crampant wears quickly and once used you can throw them!")</f>
        <v>But satisfied! Satisfied light takes out the only downsides solid lace up the crampant wears quickly and once used you can throw them!</v>
      </c>
    </row>
    <row r="9264">
      <c r="A9264" s="1">
        <v>1.0</v>
      </c>
      <c r="B9264" s="1" t="s">
        <v>9128</v>
      </c>
      <c r="C9264" t="str">
        <f>IFERROR(__xludf.DUMMYFUNCTION("GOOGLETRANSLATE(B9264, ""fr"", ""en"")"),"Product very doubtful! Certainly counterfeit or other defect, because the product is not recognized by the printer as an original HP product. Loss of unnecessary money. I will never recommend cartridges by this site. I am very unhappy and I especially pre"&amp;"fer alert other potential buyers so they do not make the same mistake as me. Best regards and good will to all.")</f>
        <v>Product very doubtful! Certainly counterfeit or other defect, because the product is not recognized by the printer as an original HP product. Loss of unnecessary money. I will never recommend cartridges by this site. I am very unhappy and I especially prefer alert other potential buyers so they do not make the same mistake as me. Best regards and good will to all.</v>
      </c>
    </row>
    <row r="9265">
      <c r="A9265" s="1">
        <v>1.0</v>
      </c>
      <c r="B9265" s="1" t="s">
        <v>9129</v>
      </c>
      <c r="C9265" t="str">
        <f>IFERROR(__xludf.DUMMYFUNCTION("GOOGLETRANSLATE(B9265, ""fr"", ""en"")"),"dangerous dangerous, these shoes slides, full service when it should run, it slides, it hurt to walk for a day's work, in short do not buy this unless you want an accident ..")</f>
        <v>dangerous dangerous, these shoes slides, full service when it should run, it slides, it hurt to walk for a day's work, in short do not buy this unless you want an accident ..</v>
      </c>
    </row>
    <row r="9266">
      <c r="A9266" s="1">
        <v>3.0</v>
      </c>
      <c r="B9266" s="1" t="s">
        <v>9130</v>
      </c>
      <c r="C9266" t="str">
        <f>IFERROR(__xludf.DUMMYFUNCTION("GOOGLETRANSLATE(B9266, ""fr"", ""en"")"),"Not satisfied I am a big fan of g-shock But a little disappointed The red is not red like the picture but duller Many discoloration smart pr report the clothes on.")</f>
        <v>Not satisfied I am a big fan of g-shock But a little disappointed The red is not red like the picture but duller Many discoloration smart pr report the clothes on.</v>
      </c>
    </row>
    <row r="9267">
      <c r="A9267" s="1">
        <v>3.0</v>
      </c>
      <c r="B9267" s="1" t="s">
        <v>9131</v>
      </c>
      <c r="C9267" t="str">
        <f>IFERROR(__xludf.DUMMYFUNCTION("GOOGLETRANSLATE(B9267, ""fr"", ""en"")"),"satisfactory Bag arrived safely, clean, good condition. A bit can be large, but each his own. Product together all what is requested. Convenient.")</f>
        <v>satisfactory Bag arrived safely, clean, good condition. A bit can be large, but each his own. Product together all what is requested. Convenient.</v>
      </c>
    </row>
    <row r="9268">
      <c r="A9268" s="1">
        <v>4.0</v>
      </c>
      <c r="B9268" s="1" t="s">
        <v>508</v>
      </c>
      <c r="C9268" t="str">
        <f>IFERROR(__xludf.DUMMYFUNCTION("GOOGLETRANSLATE(B9268, ""fr"", ""en"")"),"Very well very well")</f>
        <v>Very well very well</v>
      </c>
    </row>
    <row r="9269">
      <c r="A9269" s="1">
        <v>4.0</v>
      </c>
      <c r="B9269" s="1" t="s">
        <v>9132</v>
      </c>
      <c r="C9269" t="str">
        <f>IFERROR(__xludf.DUMMYFUNCTION("GOOGLETRANSLATE(B9269, ""fr"", ""en"")"),"Good value Paper is somewhat fragile, but it is always cheaper than buying several small rolls to an exorbitant price. Only downside ... a huge cardboard for delivery")</f>
        <v>Good value Paper is somewhat fragile, but it is always cheaper than buying several small rolls to an exorbitant price. Only downside ... a huge cardboard for delivery</v>
      </c>
    </row>
    <row r="9270">
      <c r="A9270" s="1">
        <v>4.0</v>
      </c>
      <c r="B9270" s="1" t="s">
        <v>9133</v>
      </c>
      <c r="C9270" t="str">
        <f>IFERROR(__xludf.DUMMYFUNCTION("GOOGLETRANSLATE(B9270, ""fr"", ""en"")"),"Nice watch Beautiful watch from the Fossil brand, bought it one year and I have always wrist injury which cost so dear was not necessarily all means!")</f>
        <v>Nice watch Beautiful watch from the Fossil brand, bought it one year and I have always wrist injury which cost so dear was not necessarily all means!</v>
      </c>
    </row>
    <row r="9271">
      <c r="A9271" s="1">
        <v>4.0</v>
      </c>
      <c r="B9271" s="1" t="s">
        <v>9134</v>
      </c>
      <c r="C9271" t="str">
        <f>IFERROR(__xludf.DUMMYFUNCTION("GOOGLETRANSLATE(B9271, ""fr"", ""en"")"),"Beautiful Product top quality sound beautiful, reduces background bruiit but not as raw voice engine is the helmet top when you're on the plane he reduced to more than half of the raw reactor is between a helmet headset has active noise reduction and more"&amp;" efficient helmet passive noise reduction is good between dzux")</f>
        <v>Beautiful Product top quality sound beautiful, reduces background bruiit but not as raw voice engine is the helmet top when you're on the plane he reduced to more than half of the raw reactor is between a helmet headset has active noise reduction and more efficient helmet passive noise reduction is good between dzux</v>
      </c>
    </row>
    <row r="9272">
      <c r="A9272" s="1">
        <v>5.0</v>
      </c>
      <c r="B9272" s="1" t="s">
        <v>9135</v>
      </c>
      <c r="C9272" t="str">
        <f>IFERROR(__xludf.DUMMYFUNCTION("GOOGLETRANSLATE(B9272, ""fr"", ""en"")"),"a beautiful bag to work this bag or satchel is really beautiful, large, convenient and good quality. The first advantage is the ability to bring it to the hand like a briefcase, with handle, but also to shoulder with the supplied shoulder strap, it is con"&amp;"venient. Then, the various interior compartments are useful for classifying and closet space, 15 ""laptop, notebooks, notepads, notebooks, folders, etc ... everything has its place, it is really great. It closes by leather straps which are threaded into l"&amp;"oops. I am delighted that model which suits my needs.")</f>
        <v>a beautiful bag to work this bag or satchel is really beautiful, large, convenient and good quality. The first advantage is the ability to bring it to the hand like a briefcase, with handle, but also to shoulder with the supplied shoulder strap, it is convenient. Then, the various interior compartments are useful for classifying and closet space, 15 "laptop, notebooks, notepads, notebooks, folders, etc ... everything has its place, it is really great. It closes by leather straps which are threaded into loops. I am delighted that model which suits my needs.</v>
      </c>
    </row>
    <row r="9273">
      <c r="A9273" s="1">
        <v>5.0</v>
      </c>
      <c r="B9273" s="1" t="s">
        <v>9136</v>
      </c>
      <c r="C9273" t="str">
        <f>IFERROR(__xludf.DUMMYFUNCTION("GOOGLETRANSLATE(B9273, ""fr"", ""en"")"),"Fast delivery of quality product. I think this bag is very nice. Long gone, closing and the fabric is of good quality. Color is a bit dark but it goes well with all the outfits. I used to bring my computer and some business classes. It is fairly broad and"&amp;" flexible. I love his various pockets, it allows me to rank well. A surprise is it does not hurt to shoulder even when it is full. In short, very good value. I recommend.")</f>
        <v>Fast delivery of quality product. I think this bag is very nice. Long gone, closing and the fabric is of good quality. Color is a bit dark but it goes well with all the outfits. I used to bring my computer and some business classes. It is fairly broad and flexible. I love his various pockets, it allows me to rank well. A surprise is it does not hurt to shoulder even when it is full. In short, very good value. I recommend.</v>
      </c>
    </row>
    <row r="9274">
      <c r="A9274" s="1">
        <v>5.0</v>
      </c>
      <c r="B9274" s="1" t="s">
        <v>9137</v>
      </c>
      <c r="C9274" t="str">
        <f>IFERROR(__xludf.DUMMYFUNCTION("GOOGLETRANSLATE(B9274, ""fr"", ""en"")"),"Ravi Perfect very good product")</f>
        <v>Ravi Perfect very good product</v>
      </c>
    </row>
    <row r="9275">
      <c r="A9275" s="1">
        <v>5.0</v>
      </c>
      <c r="B9275" s="1" t="s">
        <v>9138</v>
      </c>
      <c r="C9275" t="str">
        <f>IFERROR(__xludf.DUMMYFUNCTION("GOOGLETRANSLATE(B9275, ""fr"", ""en"")"),"parfais Received very quickly good quality no complaints")</f>
        <v>parfais Received very quickly good quality no complaints</v>
      </c>
    </row>
    <row r="9276">
      <c r="A9276" s="1">
        <v>5.0</v>
      </c>
      <c r="B9276" s="1" t="s">
        <v>9139</v>
      </c>
      <c r="C9276" t="str">
        <f>IFERROR(__xludf.DUMMYFUNCTION("GOOGLETRANSLATE(B9276, ""fr"", ""en"")"),"Very nice bag Hello I am very happy with my bag is similar to the picture just more than I think but do not mind thank you")</f>
        <v>Very nice bag Hello I am very happy with my bag is similar to the picture just more than I think but do not mind thank you</v>
      </c>
    </row>
    <row r="9277">
      <c r="A9277" s="1">
        <v>5.0</v>
      </c>
      <c r="B9277" s="1" t="s">
        <v>9140</v>
      </c>
      <c r="C9277" t="str">
        <f>IFERROR(__xludf.DUMMYFUNCTION("GOOGLETRANSLATE(B9277, ""fr"", ""en"")"),"All very well in line")</f>
        <v>All very well in line</v>
      </c>
    </row>
    <row r="9278">
      <c r="A9278" s="1">
        <v>5.0</v>
      </c>
      <c r="B9278" s="1" t="s">
        <v>9141</v>
      </c>
      <c r="C9278" t="str">
        <f>IFERROR(__xludf.DUMMYFUNCTION("GOOGLETRANSLATE(B9278, ""fr"", ""en"")"),"In perfect shop Swatch, I was assured would not be able to replace my bracelet identical neither matter nor color. I was offered other bracelets, and it was not given. In the end, I found here - the same color bracelet, and a nicer material than plastic -"&amp;" a bargain and delivered the utensil used to change the bracelet in less than a minute. If I had known, I would never moved me in the shop.")</f>
        <v>In perfect shop Swatch, I was assured would not be able to replace my bracelet identical neither matter nor color. I was offered other bracelets, and it was not given. In the end, I found here - the same color bracelet, and a nicer material than plastic - a bargain and delivered the utensil used to change the bracelet in less than a minute. If I had known, I would never moved me in the shop.</v>
      </c>
    </row>
    <row r="9279">
      <c r="A9279" s="1">
        <v>5.0</v>
      </c>
      <c r="B9279" s="1" t="s">
        <v>9142</v>
      </c>
      <c r="C9279" t="str">
        <f>IFERROR(__xludf.DUMMYFUNCTION("GOOGLETRANSLATE(B9279, ""fr"", ""en"")"),"Size small, take a size above the usual size Very comfortable, very good cushioning.")</f>
        <v>Size small, take a size above the usual size Very comfortable, very good cushioning.</v>
      </c>
    </row>
    <row r="9280">
      <c r="A9280" s="1">
        <v>5.0</v>
      </c>
      <c r="B9280" s="1" t="s">
        <v>9143</v>
      </c>
      <c r="C9280" t="str">
        <f>IFERROR(__xludf.DUMMYFUNCTION("GOOGLETRANSLATE(B9280, ""fr"", ""en"")"),"Perfect ! Superb highlighter Stabilo received in a short time, the idea that I had of pastel colors is good! I am thrilled, affordable compared to the competition. Sending neat, not a pet on board! I recommend")</f>
        <v>Perfect ! Superb highlighter Stabilo received in a short time, the idea that I had of pastel colors is good! I am thrilled, affordable compared to the competition. Sending neat, not a pet on board! I recommend</v>
      </c>
    </row>
    <row r="9281">
      <c r="A9281" s="1">
        <v>5.0</v>
      </c>
      <c r="B9281" s="1" t="s">
        <v>9144</v>
      </c>
      <c r="C9281" t="str">
        <f>IFERROR(__xludf.DUMMYFUNCTION("GOOGLETRANSLATE(B9281, ""fr"", ""en"")"),"A quality watch at very low prices! I bought this watch for sunny days arrive. It is perfect for that. This is a quality watch and a known brand in the world. And the price is really attractive. Moreover, it even more beautiful than the picture. It is per"&amp;"fect on my wrist.")</f>
        <v>A quality watch at very low prices! I bought this watch for sunny days arrive. It is perfect for that. This is a quality watch and a known brand in the world. And the price is really attractive. Moreover, it even more beautiful than the picture. It is perfect on my wrist.</v>
      </c>
    </row>
    <row r="9282">
      <c r="A9282" s="1">
        <v>5.0</v>
      </c>
      <c r="B9282" s="1" t="s">
        <v>9145</v>
      </c>
      <c r="C9282" t="str">
        <f>IFERROR(__xludf.DUMMYFUNCTION("GOOGLETRANSLATE(B9282, ""fr"", ""en"")"),"Used for laminating playing cards I ordered these pouches for laminating personalized playing cards. Printed on A4 paper and glued on thick paper Canson style pockets adhere very well to the support and stiffen the cards. I also tested on photos, no probl"&amp;"em. Very good product.")</f>
        <v>Used for laminating playing cards I ordered these pouches for laminating personalized playing cards. Printed on A4 paper and glued on thick paper Canson style pockets adhere very well to the support and stiffen the cards. I also tested on photos, no problem. Very good product.</v>
      </c>
    </row>
    <row r="9283">
      <c r="A9283" s="1">
        <v>5.0</v>
      </c>
      <c r="B9283" s="1" t="s">
        <v>9146</v>
      </c>
      <c r="C9283" t="str">
        <f>IFERROR(__xludf.DUMMYFUNCTION("GOOGLETRANSLATE(B9283, ""fr"", ""en"")"),"design, convenient, perfect for any kind of good tea kettle very design lights up with a beautiful blue to use; light that goes off when you take it off the base and does not restart once the kettle replaced on the base. against by the LED display remains"&amp;" on but not backlit. otherwise the trap works well despite the comments: yes, after heating the water it partially opens the expansion of the plastic but nothing major; especially since it is -me seems - not advisable to do here at the risk of burning wit"&amp;"h steam. heater 85 to 100 ° C in steps of 5. but nothing prevents heat to 70 ° C: is fixed any temperature, the temperature follows on the LED screen, and once reached, is stopped kettle! Briefly very happy with my purchase")</f>
        <v>design, convenient, perfect for any kind of good tea kettle very design lights up with a beautiful blue to use; light that goes off when you take it off the base and does not restart once the kettle replaced on the base. against by the LED display remains on but not backlit. otherwise the trap works well despite the comments: yes, after heating the water it partially opens the expansion of the plastic but nothing major; especially since it is -me seems - not advisable to do here at the risk of burning with steam. heater 85 to 100 ° C in steps of 5. but nothing prevents heat to 70 ° C: is fixed any temperature, the temperature follows on the LED screen, and once reached, is stopped kettle! Briefly very happy with my purchase</v>
      </c>
    </row>
    <row r="9284">
      <c r="A9284" s="1">
        <v>5.0</v>
      </c>
      <c r="B9284" s="1" t="s">
        <v>9147</v>
      </c>
      <c r="C9284" t="str">
        <f>IFERROR(__xludf.DUMMYFUNCTION("GOOGLETRANSLATE(B9284, ""fr"", ""en"")"),"Perfect for warm cousin is very soft and pleasant to the touch, I sleep for 2 days with and that is the total hearts. It heats well and is like no else or are you scorched the consulting peau.je")</f>
        <v>Perfect for warm cousin is very soft and pleasant to the touch, I sleep for 2 days with and that is the total hearts. It heats well and is like no else or are you scorched the consulting peau.je</v>
      </c>
    </row>
    <row r="9285">
      <c r="A9285" s="1">
        <v>5.0</v>
      </c>
      <c r="B9285" s="1" t="s">
        <v>9148</v>
      </c>
      <c r="C9285" t="str">
        <f>IFERROR(__xludf.DUMMYFUNCTION("GOOGLETRANSLATE(B9285, ""fr"", ""en"")"),"okokokoko okokokoko")</f>
        <v>okokokoko okokokoko</v>
      </c>
    </row>
    <row r="9286">
      <c r="A9286" s="1">
        <v>5.0</v>
      </c>
      <c r="B9286" s="1" t="s">
        <v>9149</v>
      </c>
      <c r="C9286" t="str">
        <f>IFERROR(__xludf.DUMMYFUNCTION("GOOGLETRANSLATE(B9286, ""fr"", ""en"")"),"Convenient, great quality / price ratio Really convenient, and more bottles and teats, I put pacifiers and teething rings, Sophie the giraffe stayed there sometimes. Just put cold water on the bottom and 5 minutes at full power in microwave 200mois. Great"&amp;" Value. Warning, when the fate of the microwave is very hot, I personally takes potholders oven ...")</f>
        <v>Convenient, great quality / price ratio Really convenient, and more bottles and teats, I put pacifiers and teething rings, Sophie the giraffe stayed there sometimes. Just put cold water on the bottom and 5 minutes at full power in microwave 200mois. Great Value. Warning, when the fate of the microwave is very hot, I personally takes potholders oven ...</v>
      </c>
    </row>
    <row r="9287">
      <c r="A9287" s="1">
        <v>5.0</v>
      </c>
      <c r="B9287" s="1" t="s">
        <v>9150</v>
      </c>
      <c r="C9287" t="str">
        <f>IFERROR(__xludf.DUMMYFUNCTION("GOOGLETRANSLATE(B9287, ""fr"", ""en"")"),"Wedge Basketball received before the scheduled date. Very comfortable, they are great. I recommend this product Small snag he let ventilated at least 1 week. A very persistent fuel odor that has struggled from.")</f>
        <v>Wedge Basketball received before the scheduled date. Very comfortable, they are great. I recommend this product Small snag he let ventilated at least 1 week. A very persistent fuel odor that has struggled from.</v>
      </c>
    </row>
    <row r="9288">
      <c r="A9288" s="1">
        <v>2.0</v>
      </c>
      <c r="B9288" s="1" t="s">
        <v>9151</v>
      </c>
      <c r="C9288" t="str">
        <f>IFERROR(__xludf.DUMMYFUNCTION("GOOGLETRANSLATE(B9288, ""fr"", ""en"")"),"Do NOT recommend at all of poor quality product. It constantly slips. And the seams already starting to depart s, yet c is my size.")</f>
        <v>Do NOT recommend at all of poor quality product. It constantly slips. And the seams already starting to depart s, yet c is my size.</v>
      </c>
    </row>
    <row r="9289">
      <c r="A9289" s="1">
        <v>1.0</v>
      </c>
      <c r="B9289" s="1" t="s">
        <v>9152</v>
      </c>
      <c r="C9289" t="str">
        <f>IFERROR(__xludf.DUMMYFUNCTION("GOOGLETRANSLATE(B9289, ""fr"", ""en"")"),"For silver earrings to disgust I have it is taken for my daughter apenne developed ear the lamb break very top has the redeeming lamb stronger I will order more from you")</f>
        <v>For silver earrings to disgust I have it is taken for my daughter apenne developed ear the lamb break very top has the redeeming lamb stronger I will order more from you</v>
      </c>
    </row>
    <row r="9290">
      <c r="A9290" s="1">
        <v>1.0</v>
      </c>
      <c r="B9290" s="1" t="s">
        <v>9153</v>
      </c>
      <c r="C9290" t="str">
        <f>IFERROR(__xludf.DUMMYFUNCTION("GOOGLETRANSLATE(B9290, ""fr"", ""en"")"),"Disappointed for the disappointment for the price. It's a hassle to reheat frozen milk. The bottle warmer stops then there is still ice in the milk. Can not say it to heat again. You must remove the water, put several times in cold water to accept to rese"&amp;"t and re fe a heating cycle. The galley z when a breastfed baby who therefore has the habit of waiting to eat.")</f>
        <v>Disappointed for the disappointment for the price. It's a hassle to reheat frozen milk. The bottle warmer stops then there is still ice in the milk. Can not say it to heat again. You must remove the water, put several times in cold water to accept to reset and re fe a heating cycle. The galley z when a breastfed baby who therefore has the habit of waiting to eat.</v>
      </c>
    </row>
    <row r="9291">
      <c r="A9291" s="1">
        <v>3.0</v>
      </c>
      <c r="B9291" s="1" t="s">
        <v>9154</v>
      </c>
      <c r="C9291" t="str">
        <f>IFERROR(__xludf.DUMMYFUNCTION("GOOGLETRANSLATE(B9291, ""fr"", ""en"")"),"Product lot and product description for what I have received! Satisfied with my purchase.")</f>
        <v>Product lot and product description for what I have received! Satisfied with my purchase.</v>
      </c>
    </row>
    <row r="9292">
      <c r="A9292" s="1">
        <v>4.0</v>
      </c>
      <c r="B9292" s="1" t="s">
        <v>508</v>
      </c>
      <c r="C9292" t="str">
        <f>IFERROR(__xludf.DUMMYFUNCTION("GOOGLETRANSLATE(B9292, ""fr"", ""en"")"),"Very well very well")</f>
        <v>Very well very well</v>
      </c>
    </row>
    <row r="9293">
      <c r="A9293" s="1">
        <v>4.0</v>
      </c>
      <c r="B9293" s="1" t="s">
        <v>9155</v>
      </c>
      <c r="C9293" t="str">
        <f>IFERROR(__xludf.DUMMYFUNCTION("GOOGLETRANSLATE(B9293, ""fr"", ""en"")"),"Super quality (but pricey) This set of 3 bottles in glasses is very good. They have a capacity of 240mL and suitable for babies from 0 to 6 months. Each bottle comes with a size of M anti-colic teat studied and sweet to make as pleasant as possible feedin"&amp;"g. She is very strong. Glass is recognized as less dangerous so I would tend to prefer the baby and apparently love too! I gave these bottles for my little nephew who accepted them very easily. And actually works well anti-colic effect. They wash easily. "&amp;"In short my little nephew and his parents are happy these bottles! Despite all their qualities, I think the price (€ 36.50) is still too high.")</f>
        <v>Super quality (but pricey) This set of 3 bottles in glasses is very good. They have a capacity of 240mL and suitable for babies from 0 to 6 months. Each bottle comes with a size of M anti-colic teat studied and sweet to make as pleasant as possible feeding. She is very strong. Glass is recognized as less dangerous so I would tend to prefer the baby and apparently love too! I gave these bottles for my little nephew who accepted them very easily. And actually works well anti-colic effect. They wash easily. In short my little nephew and his parents are happy these bottles! Despite all their qualities, I think the price (€ 36.50) is still too high.</v>
      </c>
    </row>
    <row r="9294">
      <c r="A9294" s="1">
        <v>4.0</v>
      </c>
      <c r="B9294" s="1" t="s">
        <v>9156</v>
      </c>
      <c r="C9294" t="str">
        <f>IFERROR(__xludf.DUMMYFUNCTION("GOOGLETRANSLATE(B9294, ""fr"", ""en"")"),"Basketball offset Very light and comfortable enough")</f>
        <v>Basketball offset Very light and comfortable enough</v>
      </c>
    </row>
    <row r="9295">
      <c r="A9295" s="1">
        <v>4.0</v>
      </c>
      <c r="B9295" s="1" t="s">
        <v>9157</v>
      </c>
      <c r="C9295" t="str">
        <f>IFERROR(__xludf.DUMMYFUNCTION("GOOGLETRANSLATE(B9295, ""fr"", ""en"")"),"Pretty nice sneakers sneakers beautiful colors - light - suitable for moderate sports")</f>
        <v>Pretty nice sneakers sneakers beautiful colors - light - suitable for moderate sports</v>
      </c>
    </row>
    <row r="9296">
      <c r="A9296" s="1">
        <v>4.0</v>
      </c>
      <c r="B9296" s="1" t="s">
        <v>9158</v>
      </c>
      <c r="C9296" t="str">
        <f>IFERROR(__xludf.DUMMYFUNCTION("GOOGLETRANSLATE(B9296, ""fr"", ""en"")"),"Okay Request friends abroad")</f>
        <v>Okay Request friends abroad</v>
      </c>
    </row>
    <row r="9297">
      <c r="A9297" s="1">
        <v>5.0</v>
      </c>
      <c r="B9297" s="1" t="s">
        <v>9159</v>
      </c>
      <c r="C9297" t="str">
        <f>IFERROR(__xludf.DUMMYFUNCTION("GOOGLETRANSLATE(B9297, ""fr"", ""en"")"),"Product impeccable perfect product")</f>
        <v>Product impeccable perfect product</v>
      </c>
    </row>
    <row r="9298">
      <c r="A9298" s="1">
        <v>5.0</v>
      </c>
      <c r="B9298" s="1" t="s">
        <v>9160</v>
      </c>
      <c r="C9298" t="str">
        <f>IFERROR(__xludf.DUMMYFUNCTION("GOOGLETRANSLATE(B9298, ""fr"", ""en"")"),"very nice, easy to use, as we have dry mucous problems, we had the idea to buy the broadcaster. Handling is very simple. You can add different flavors (oils) to your liking, drip (not too much) water. After powering up, a sort of water vapor continuously "&amp;"exits the unit, which makes the air incredibly ""cooler"". We have it in the bedroom and have the feeling of sleeping better since using the device. Absolutely recommended.")</f>
        <v>very nice, easy to use, as we have dry mucous problems, we had the idea to buy the broadcaster. Handling is very simple. You can add different flavors (oils) to your liking, drip (not too much) water. After powering up, a sort of water vapor continuously exits the unit, which makes the air incredibly "cooler". We have it in the bedroom and have the feeling of sleeping better since using the device. Absolutely recommended.</v>
      </c>
    </row>
    <row r="9299">
      <c r="A9299" s="1">
        <v>5.0</v>
      </c>
      <c r="B9299" s="1" t="s">
        <v>9161</v>
      </c>
      <c r="C9299" t="str">
        <f>IFERROR(__xludf.DUMMYFUNCTION("GOOGLETRANSLATE(B9299, ""fr"", ""en"")"),"Perfect Beautiful :)")</f>
        <v>Perfect Beautiful :)</v>
      </c>
    </row>
    <row r="9300">
      <c r="A9300" s="1">
        <v>5.0</v>
      </c>
      <c r="B9300" s="1" t="s">
        <v>9162</v>
      </c>
      <c r="C9300" t="str">
        <f>IFERROR(__xludf.DUMMYFUNCTION("GOOGLETRANSLATE(B9300, ""fr"", ""en"")"),"Top Ras")</f>
        <v>Top Ras</v>
      </c>
    </row>
    <row r="9301">
      <c r="A9301" s="1">
        <v>5.0</v>
      </c>
      <c r="B9301" s="1" t="s">
        <v>9163</v>
      </c>
      <c r="C9301" t="str">
        <f>IFERROR(__xludf.DUMMYFUNCTION("GOOGLETRANSLATE(B9301, ""fr"", ""en"")"),"Women's Shoes Not disappointed product The shoes are very beautiful and feminine for basketball Very chic laces and varnish side")</f>
        <v>Women's Shoes Not disappointed product The shoes are very beautiful and feminine for basketball Very chic laces and varnish side</v>
      </c>
    </row>
    <row r="9302">
      <c r="A9302" s="1">
        <v>5.0</v>
      </c>
      <c r="B9302" s="1" t="s">
        <v>9164</v>
      </c>
      <c r="C9302" t="str">
        <f>IFERROR(__xludf.DUMMYFUNCTION("GOOGLETRANSLATE(B9302, ""fr"", ""en"")"),"Top product 😊 full Super!")</f>
        <v>Top product 😊 full Super!</v>
      </c>
    </row>
    <row r="9303">
      <c r="A9303" s="1">
        <v>5.0</v>
      </c>
      <c r="B9303" s="1" t="s">
        <v>9165</v>
      </c>
      <c r="C9303" t="str">
        <f>IFERROR(__xludf.DUMMYFUNCTION("GOOGLETRANSLATE(B9303, ""fr"", ""en"")"),"Nice I had a little trouble to pair, you must first press the buttons on both ear cups for a few seconds the time they synchronize. (The memorandum of mistakes in French by the way) then you can pair it with a phone via bluetooth. Once installed it works "&amp;"well against it pretty hard time. After five hours the battery was surprisingly high. The charging mode is cool too, we have to put in the box and connect via cable to a portable charger (not supplied). It flashes occasionally, ca pleases my teenager. ;)")</f>
        <v>Nice I had a little trouble to pair, you must first press the buttons on both ear cups for a few seconds the time they synchronize. (The memorandum of mistakes in French by the way) then you can pair it with a phone via bluetooth. Once installed it works well against it pretty hard time. After five hours the battery was surprisingly high. The charging mode is cool too, we have to put in the box and connect via cable to a portable charger (not supplied). It flashes occasionally, ca pleases my teenager. ;)</v>
      </c>
    </row>
    <row r="9304">
      <c r="A9304" s="1">
        <v>5.0</v>
      </c>
      <c r="B9304" s="1" t="s">
        <v>9166</v>
      </c>
      <c r="C9304" t="str">
        <f>IFERROR(__xludf.DUMMYFUNCTION("GOOGLETRANSLATE(B9304, ""fr"", ""en"")"),"A good value for money A model very fashionable now and for quite some years already for a chic and sporty look. Very reasonably priced. A must of the moment")</f>
        <v>A good value for money A model very fashionable now and for quite some years already for a chic and sporty look. Very reasonably priced. A must of the moment</v>
      </c>
    </row>
    <row r="9305">
      <c r="A9305" s="1">
        <v>5.0</v>
      </c>
      <c r="B9305" s="1" t="s">
        <v>9167</v>
      </c>
      <c r="C9305" t="str">
        <f>IFERROR(__xludf.DUMMYFUNCTION("GOOGLETRANSLATE(B9305, ""fr"", ""en"")"),"I say yes! See for use but skating is very enjoyable too hot (to improve the effectiveness of a cream, a mask or serum) that cold to decongest the tissues. In addition massage can only do good and drain the tissues. I am delighted with my purchase and I a"&amp;"dvise.")</f>
        <v>I say yes! See for use but skating is very enjoyable too hot (to improve the effectiveness of a cream, a mask or serum) that cold to decongest the tissues. In addition massage can only do good and drain the tissues. I am delighted with my purchase and I advise.</v>
      </c>
    </row>
    <row r="9306">
      <c r="A9306" s="1">
        <v>5.0</v>
      </c>
      <c r="B9306" s="1" t="s">
        <v>9168</v>
      </c>
      <c r="C9306" t="str">
        <f>IFERROR(__xludf.DUMMYFUNCTION("GOOGLETRANSLATE(B9306, ""fr"", ""en"")"),"Very nice comfortable to wear Not disappointed")</f>
        <v>Very nice comfortable to wear Not disappointed</v>
      </c>
    </row>
    <row r="9307">
      <c r="A9307" s="1">
        <v>5.0</v>
      </c>
      <c r="B9307" s="1" t="s">
        <v>9169</v>
      </c>
      <c r="C9307" t="str">
        <f>IFERROR(__xludf.DUMMYFUNCTION("GOOGLETRANSLATE(B9307, ""fr"", ""en"")"),"On top hot or cold it is impeccable. I have trigeminal neuralgia which treatment ails me, and this simple little any object reduces pain significantly. I recommand it. Only downside: like any gel cushion, the temperature returns to normal in 20-30min, we "&amp;"would like it lasts longer.")</f>
        <v>On top hot or cold it is impeccable. I have trigeminal neuralgia which treatment ails me, and this simple little any object reduces pain significantly. I recommand it. Only downside: like any gel cushion, the temperature returns to normal in 20-30min, we would like it lasts longer.</v>
      </c>
    </row>
    <row r="9308">
      <c r="A9308" s="1">
        <v>5.0</v>
      </c>
      <c r="B9308" s="1" t="s">
        <v>9170</v>
      </c>
      <c r="C9308" t="str">
        <f>IFERROR(__xludf.DUMMYFUNCTION("GOOGLETRANSLATE(B9308, ""fr"", ""en"")"),"Although Corresponds to the description. Product line with my expectations")</f>
        <v>Although Corresponds to the description. Product line with my expectations</v>
      </c>
    </row>
    <row r="9309">
      <c r="A9309" s="1">
        <v>5.0</v>
      </c>
      <c r="B9309" s="1" t="s">
        <v>9171</v>
      </c>
      <c r="C9309" t="str">
        <f>IFERROR(__xludf.DUMMYFUNCTION("GOOGLETRANSLATE(B9309, ""fr"", ""en"")"),"Top Right. Dodie's brand bottles and nipples for my kids and I have tried before they are finally accepted by my senior who has taken the bottle until 1 year, refusing any before.")</f>
        <v>Top Right. Dodie's brand bottles and nipples for my kids and I have tried before they are finally accepted by my senior who has taken the bottle until 1 year, refusing any before.</v>
      </c>
    </row>
    <row r="9310">
      <c r="A9310" s="1">
        <v>5.0</v>
      </c>
      <c r="B9310" s="1" t="s">
        <v>9172</v>
      </c>
      <c r="C9310" t="str">
        <f>IFERROR(__xludf.DUMMYFUNCTION("GOOGLETRANSLATE(B9310, ""fr"", ""en"")"),"A great way to help learn to read book on top for learning to read, with a few questions at the end for the child")</f>
        <v>A great way to help learn to read book on top for learning to read, with a few questions at the end for the child</v>
      </c>
    </row>
    <row r="9311">
      <c r="A9311" s="1">
        <v>5.0</v>
      </c>
      <c r="B9311" s="1" t="s">
        <v>9173</v>
      </c>
      <c r="C9311" t="str">
        <f>IFERROR(__xludf.DUMMYFUNCTION("GOOGLETRANSLATE(B9311, ""fr"", ""en"")"),"Well I used this headset to listen to my songs in high definition without being disturbed by surrounding noises. And this one meets that need. Just thank you.")</f>
        <v>Well I used this headset to listen to my songs in high definition without being disturbed by surrounding noises. And this one meets that need. Just thank you.</v>
      </c>
    </row>
    <row r="9312">
      <c r="A9312" s="1">
        <v>2.0</v>
      </c>
      <c r="B9312" s="1" t="s">
        <v>9174</v>
      </c>
      <c r="C9312" t="str">
        <f>IFERROR(__xludf.DUMMYFUNCTION("GOOGLETRANSLATE(B9312, ""fr"", ""en"")"),"Successful model but recharge very effective absorber Humidity who lets forget, both in form and size. Comes with a refill whose absorption is low. Disaggregated by humidity from 70% to 19 degree in 3 weeks.")</f>
        <v>Successful model but recharge very effective absorber Humidity who lets forget, both in form and size. Comes with a refill whose absorption is low. Disaggregated by humidity from 70% to 19 degree in 3 weeks.</v>
      </c>
    </row>
    <row r="9313">
      <c r="A9313" s="1">
        <v>1.0</v>
      </c>
      <c r="B9313" s="1" t="s">
        <v>9175</v>
      </c>
      <c r="C9313" t="str">
        <f>IFERROR(__xludf.DUMMYFUNCTION("GOOGLETRANSLATE(B9313, ""fr"", ""en"")"),"especially to avoid I saw the ad, I say it's great, in short I followed the directions to use the ""magic eraser"" = 5 minutes later was the 1st to pieces !!! I read the user manual (= wet, the media on which it should be used ...) the second is not dead "&amp;"but close. no bowl I bought a pack of 3 packets. in short, a big lie, I do not have to call the manufacturer. and + is marked 50% + resistant, oops. like what we must not rely on the ad that says ""extraordinary power"" and not called me wonder woman.")</f>
        <v>especially to avoid I saw the ad, I say it's great, in short I followed the directions to use the "magic eraser" = 5 minutes later was the 1st to pieces !!! I read the user manual (= wet, the media on which it should be used ...) the second is not dead but close. no bowl I bought a pack of 3 packets. in short, a big lie, I do not have to call the manufacturer. and + is marked 50% + resistant, oops. like what we must not rely on the ad that says "extraordinary power" and not called me wonder woman.</v>
      </c>
    </row>
    <row r="9314">
      <c r="A9314" s="1">
        <v>3.0</v>
      </c>
      <c r="B9314" s="1" t="s">
        <v>9176</v>
      </c>
      <c r="C9314" t="str">
        <f>IFERROR(__xludf.DUMMYFUNCTION("GOOGLETRANSLATE(B9314, ""fr"", ""en"")"),"Do not hold easily on the hair. A tendency to slide. Great choice but poor quality. It stands on thick braids but falls regularly. I mixed .... 5/10")</f>
        <v>Do not hold easily on the hair. A tendency to slide. Great choice but poor quality. It stands on thick braids but falls regularly. I mixed .... 5/10</v>
      </c>
    </row>
    <row r="9315">
      <c r="A9315" s="1">
        <v>3.0</v>
      </c>
      <c r="B9315" s="1" t="s">
        <v>9177</v>
      </c>
      <c r="C9315" t="str">
        <f>IFERROR(__xludf.DUMMYFUNCTION("GOOGLETRANSLATE(B9315, ""fr"", ""en"")"),"I know not to use real c")</f>
        <v>I know not to use real c</v>
      </c>
    </row>
    <row r="9316">
      <c r="A9316" s="1">
        <v>4.0</v>
      </c>
      <c r="B9316" s="1" t="s">
        <v>9178</v>
      </c>
      <c r="C9316" t="str">
        <f>IFERROR(__xludf.DUMMYFUNCTION("GOOGLETRANSLATE(B9316, ""fr"", ""en"")"),"Untrès very good helmet use in without son listening to music more rock. Also used with TV (film and emissions)")</f>
        <v>Untrès very good helmet use in without son listening to music more rock. Also used with TV (film and emissions)</v>
      </c>
    </row>
    <row r="9317">
      <c r="A9317" s="1">
        <v>4.0</v>
      </c>
      <c r="B9317" s="1" t="s">
        <v>9179</v>
      </c>
      <c r="C9317" t="str">
        <f>IFERROR(__xludf.DUMMYFUNCTION("GOOGLETRANSLATE(B9317, ""fr"", ""en"")"),"quality / price top Works great, good sound but it's a shame that the maximum level is not a top coat, looks like now this kind of product is voluntarily bridé.Ok but hey, it's like the speed limit or it will it stop? Brief peak helpful too low.")</f>
        <v>quality / price top Works great, good sound but it's a shame that the maximum level is not a top coat, looks like now this kind of product is voluntarily bridé.Ok but hey, it's like the speed limit or it will it stop? Brief peak helpful too low.</v>
      </c>
    </row>
    <row r="9318">
      <c r="A9318" s="1">
        <v>4.0</v>
      </c>
      <c r="B9318" s="1" t="s">
        <v>9180</v>
      </c>
      <c r="C9318" t="str">
        <f>IFERROR(__xludf.DUMMYFUNCTION("GOOGLETRANSLATE(B9318, ""fr"", ""en"")"),"The quality are very high quality, very pretty.")</f>
        <v>The quality are very high quality, very pretty.</v>
      </c>
    </row>
    <row r="9319">
      <c r="A9319" s="1">
        <v>4.0</v>
      </c>
      <c r="B9319" s="1" t="s">
        <v>9181</v>
      </c>
      <c r="C9319" t="str">
        <f>IFERROR(__xludf.DUMMYFUNCTION("GOOGLETRANSLATE(B9319, ""fr"", ""en"")"),"Alu Good quality, very durable and does the job smoothly. Fast delivery from Amazon. For the price, I do not know I have not compared.")</f>
        <v>Alu Good quality, very durable and does the job smoothly. Fast delivery from Amazon. For the price, I do not know I have not compared.</v>
      </c>
    </row>
    <row r="9320">
      <c r="A9320" s="1">
        <v>5.0</v>
      </c>
      <c r="B9320" s="1" t="s">
        <v>9182</v>
      </c>
      <c r="C9320" t="str">
        <f>IFERROR(__xludf.DUMMYFUNCTION("GOOGLETRANSLATE(B9320, ""fr"", ""en"")"),"easy to use, appears to be effective at the beginning of the swollen legs, after a few uses traffic seems to be improving, I own this camera recently, I make 3 sessions per day of 30 minutes, I took the opportunity to relax")</f>
        <v>easy to use, appears to be effective at the beginning of the swollen legs, after a few uses traffic seems to be improving, I own this camera recently, I make 3 sessions per day of 30 minutes, I took the opportunity to relax</v>
      </c>
    </row>
    <row r="9321">
      <c r="A9321" s="1">
        <v>5.0</v>
      </c>
      <c r="B9321" s="1" t="s">
        <v>9183</v>
      </c>
      <c r="C9321" t="str">
        <f>IFERROR(__xludf.DUMMYFUNCTION("GOOGLETRANSLATE(B9321, ""fr"", ""en"")"),"perfect !! I had a doubt about the effectiveness, but after using it I'm hooked! Used on colored suede apricot to erase traces of black, miracle !! everything is gone! I recommend. Delivery tjrs the Amazon top fashion!")</f>
        <v>perfect !! I had a doubt about the effectiveness, but after using it I'm hooked! Used on colored suede apricot to erase traces of black, miracle !! everything is gone! I recommend. Delivery tjrs the Amazon top fashion!</v>
      </c>
    </row>
    <row r="9322">
      <c r="A9322" s="1">
        <v>5.0</v>
      </c>
      <c r="B9322" s="1" t="s">
        <v>9184</v>
      </c>
      <c r="C9322" t="str">
        <f>IFERROR(__xludf.DUMMYFUNCTION("GOOGLETRANSLATE(B9322, ""fr"", ""en"")"),"Heart pendant silver I received this beautiful sterling silver for a gift this effect is ideal except that I ordered for me I highly recommend 😄")</f>
        <v>Heart pendant silver I received this beautiful sterling silver for a gift this effect is ideal except that I ordered for me I highly recommend 😄</v>
      </c>
    </row>
    <row r="9323">
      <c r="A9323" s="1">
        <v>5.0</v>
      </c>
      <c r="B9323" s="1" t="s">
        <v>9185</v>
      </c>
      <c r="C9323" t="str">
        <f>IFERROR(__xludf.DUMMYFUNCTION("GOOGLETRANSLATE(B9323, ""fr"", ""en"")"),"Comfort and beauty For ease dancing and pretty feet, very happy")</f>
        <v>Comfort and beauty For ease dancing and pretty feet, very happy</v>
      </c>
    </row>
    <row r="9324">
      <c r="A9324" s="1">
        <v>5.0</v>
      </c>
      <c r="B9324" s="1" t="s">
        <v>9186</v>
      </c>
      <c r="C9324" t="str">
        <f>IFERROR(__xludf.DUMMYFUNCTION("GOOGLETRANSLATE(B9324, ""fr"", ""en"")"),"Very nice boots Motorcycle")</f>
        <v>Very nice boots Motorcycle</v>
      </c>
    </row>
    <row r="9325">
      <c r="A9325" s="1">
        <v>5.0</v>
      </c>
      <c r="B9325" s="1" t="s">
        <v>9187</v>
      </c>
      <c r="C9325" t="str">
        <f>IFERROR(__xludf.DUMMYFUNCTION("GOOGLETRANSLATE(B9325, ""fr"", ""en"")"),"These handy multi-purpose bags used to store food, but also many other things. They close perfectly and do not open with the cursor!")</f>
        <v>These handy multi-purpose bags used to store food, but also many other things. They close perfectly and do not open with the cursor!</v>
      </c>
    </row>
    <row r="9326">
      <c r="A9326" s="1">
        <v>5.0</v>
      </c>
      <c r="B9326" s="1" t="s">
        <v>9188</v>
      </c>
      <c r="C9326" t="str">
        <f>IFERROR(__xludf.DUMMYFUNCTION("GOOGLETRANSLATE(B9326, ""fr"", ""en"")"),"Awesome ! Device essential when baby drinks warm bottles Used to warm the bottle in seconds, very convenient especially at night")</f>
        <v>Awesome ! Device essential when baby drinks warm bottles Used to warm the bottle in seconds, very convenient especially at night</v>
      </c>
    </row>
    <row r="9327">
      <c r="A9327" s="1">
        <v>5.0</v>
      </c>
      <c r="B9327" s="1" t="s">
        <v>9189</v>
      </c>
      <c r="C9327" t="str">
        <f>IFERROR(__xludf.DUMMYFUNCTION("GOOGLETRANSLATE(B9327, ""fr"", ""en"")"),"Effective! very effective essential oil for inflammation, diluted with arnica oil. Feeling hot and very pleasant smell !!")</f>
        <v>Effective! very effective essential oil for inflammation, diluted with arnica oil. Feeling hot and very pleasant smell !!</v>
      </c>
    </row>
    <row r="9328">
      <c r="A9328" s="1">
        <v>5.0</v>
      </c>
      <c r="B9328" s="1" t="s">
        <v>9190</v>
      </c>
      <c r="C9328" t="str">
        <f>IFERROR(__xludf.DUMMYFUNCTION("GOOGLETRANSLATE(B9328, ""fr"", ""en"")"),"Super practical! I recommend!")</f>
        <v>Super practical! I recommend!</v>
      </c>
    </row>
    <row r="9329">
      <c r="A9329" s="1">
        <v>5.0</v>
      </c>
      <c r="B9329" s="1" t="s">
        <v>9191</v>
      </c>
      <c r="C9329" t="str">
        <f>IFERROR(__xludf.DUMMYFUNCTION("GOOGLETRANSLATE(B9329, ""fr"", ""en"")"),"Renewal of a purchase made it 3 years ago my husband love these sneakers he wears constantly. After a 1st purchase made it 3 years ago, and wear inexorable thereof, he wished recommend them. They are comfortable and solid.")</f>
        <v>Renewal of a purchase made it 3 years ago my husband love these sneakers he wears constantly. After a 1st purchase made it 3 years ago, and wear inexorable thereof, he wished recommend them. They are comfortable and solid.</v>
      </c>
    </row>
    <row r="9330">
      <c r="A9330" s="1">
        <v>5.0</v>
      </c>
      <c r="B9330" s="1" t="s">
        <v>9192</v>
      </c>
      <c r="C9330" t="str">
        <f>IFERROR(__xludf.DUMMYFUNCTION("GOOGLETRANSLATE(B9330, ""fr"", ""en"")"),"Good quality / price Very convenient, easy to fold, I wash in the dishwasher ...")</f>
        <v>Good quality / price Very convenient, easy to fold, I wash in the dishwasher ...</v>
      </c>
    </row>
    <row r="9331">
      <c r="A9331" s="1">
        <v>5.0</v>
      </c>
      <c r="B9331" s="1" t="s">
        <v>9193</v>
      </c>
      <c r="C9331" t="str">
        <f>IFERROR(__xludf.DUMMYFUNCTION("GOOGLETRANSLATE(B9331, ""fr"", ""en"")"),"Very happy! (I made a 95C) I first ordered L but too big but it's a mistake on my part DUCOUP I used to drag and pajamas to sleep without problems. DUCOUP I recommend M and it's perfect I would resume on the other for every color is on good comfortable fi"&amp;"t, I like, and they are pretty and more, and that comes with its padding can be set if you want and it's great to pack what! (Photo M)")</f>
        <v>Very happy! (I made a 95C) I first ordered L but too big but it's a mistake on my part DUCOUP I used to drag and pajamas to sleep without problems. DUCOUP I recommend M and it's perfect I would resume on the other for every color is on good comfortable fit, I like, and they are pretty and more, and that comes with its padding can be set if you want and it's great to pack what! (Photo M)</v>
      </c>
    </row>
    <row r="9332">
      <c r="A9332" s="1">
        <v>5.0</v>
      </c>
      <c r="B9332" s="1" t="s">
        <v>9194</v>
      </c>
      <c r="C9332" t="str">
        <f>IFERROR(__xludf.DUMMYFUNCTION("GOOGLETRANSLATE(B9332, ""fr"", ""en"")"),"Top fast and serious delivery. I recommend. Product complies with the description! ;)")</f>
        <v>Top fast and serious delivery. I recommend. Product complies with the description! ;)</v>
      </c>
    </row>
    <row r="9333">
      <c r="A9333" s="1">
        <v>5.0</v>
      </c>
      <c r="B9333" s="1" t="s">
        <v>9195</v>
      </c>
      <c r="C9333" t="str">
        <f>IFERROR(__xludf.DUMMYFUNCTION("GOOGLETRANSLATE(B9333, ""fr"", ""en"")"),"good quality bag big enough and good quality for the price. To see in the time ... I'm happy with my purchase")</f>
        <v>good quality bag big enough and good quality for the price. To see in the time ... I'm happy with my purchase</v>
      </c>
    </row>
    <row r="9334">
      <c r="A9334" s="1">
        <v>5.0</v>
      </c>
      <c r="B9334" s="1" t="s">
        <v>9196</v>
      </c>
      <c r="C9334" t="str">
        <f>IFERROR(__xludf.DUMMYFUNCTION("GOOGLETRANSLATE(B9334, ""fr"", ""en"")"),"Very good very good product that does what it request.Some negatives are of the manual in English (it is not intuitive as a simple kettle where just lower leverage), the blue LED remains H24 lit when the kettle is switched off and that suddenly the limest"&amp;"one is visible, however c is also an advantage because the fact to see the limestone fact that cleans more often. At 100 ° C it is our eggs in the morning At 90 ° C our black tea at 80 ° C our green tea and the little extra that fact that I'm a fan: At 40"&amp;" ° C is made bottles from the small 2 min chrono much faster and quieter than the microwave, especially for night feeding bottles. A buy without thinking")</f>
        <v>Very good very good product that does what it request.Some negatives are of the manual in English (it is not intuitive as a simple kettle where just lower leverage), the blue LED remains H24 lit when the kettle is switched off and that suddenly the limestone is visible, however c is also an advantage because the fact to see the limestone fact that cleans more often. At 100 ° C it is our eggs in the morning At 90 ° C our black tea at 80 ° C our green tea and the little extra that fact that I'm a fan: At 40 ° C is made bottles from the small 2 min chrono much faster and quieter than the microwave, especially for night feeding bottles. A buy without thinking</v>
      </c>
    </row>
    <row r="9335">
      <c r="A9335" s="1">
        <v>2.0</v>
      </c>
      <c r="B9335" s="1" t="s">
        <v>9197</v>
      </c>
      <c r="C9335" t="str">
        <f>IFERROR(__xludf.DUMMYFUNCTION("GOOGLETRANSLATE(B9335, ""fr"", ""en"")"),"Color Color is very ugly away from the photo. I chose the sailor. it is 'yuck' wish has. I feel that there remained another color in the tank ... I pass it to the machine to see if it gets better ...")</f>
        <v>Color Color is very ugly away from the photo. I chose the sailor. it is 'yuck' wish has. I feel that there remained another color in the tank ... I pass it to the machine to see if it gets better ...</v>
      </c>
    </row>
    <row r="9336">
      <c r="A9336" s="1">
        <v>1.0</v>
      </c>
      <c r="B9336" s="1" t="s">
        <v>9198</v>
      </c>
      <c r="C9336" t="str">
        <f>IFERROR(__xludf.DUMMYFUNCTION("GOOGLETRANSLATE(B9336, ""fr"", ""en"")"),"Not the right size. Much too small and does not meet the 46/48 French. The greenhouse chest and the chest is crushed, breasts go in all directions and are raplapla. Not ideal. In addition to returned after it is rather annoying because you have paid the p"&amp;"ostage to China, far more than the article itself .. I do not retenterai buying a product at home.")</f>
        <v>Not the right size. Much too small and does not meet the 46/48 French. The greenhouse chest and the chest is crushed, breasts go in all directions and are raplapla. Not ideal. In addition to returned after it is rather annoying because you have paid the postage to China, far more than the article itself .. I do not retenterai buying a product at home.</v>
      </c>
    </row>
    <row r="9337">
      <c r="A9337" s="1">
        <v>1.0</v>
      </c>
      <c r="B9337" s="1" t="s">
        <v>9199</v>
      </c>
      <c r="C9337" t="str">
        <f>IFERROR(__xludf.DUMMYFUNCTION("GOOGLETRANSLATE(B9337, ""fr"", ""en"")"),"Disappointed not solid cracked from too fine: which indicates that the strength of the chain is weak, it cracked the 2nd day! disappointed")</f>
        <v>Disappointed not solid cracked from too fine: which indicates that the strength of the chain is weak, it cracked the 2nd day! disappointed</v>
      </c>
    </row>
    <row r="9338">
      <c r="A9338" s="1">
        <v>3.0</v>
      </c>
      <c r="B9338" s="1" t="s">
        <v>9200</v>
      </c>
      <c r="C9338" t="str">
        <f>IFERROR(__xludf.DUMMYFUNCTION("GOOGLETRANSLATE(B9338, ""fr"", ""en"")"),"Watch Very nice but needs to be adjusted to wrist")</f>
        <v>Watch Very nice but needs to be adjusted to wrist</v>
      </c>
    </row>
    <row r="9339">
      <c r="A9339" s="1">
        <v>3.0</v>
      </c>
      <c r="B9339" s="1" t="s">
        <v>9201</v>
      </c>
      <c r="C9339" t="str">
        <f>IFERROR(__xludf.DUMMYFUNCTION("GOOGLETRANSLATE(B9339, ""fr"", ""en"")"),"I would like more details on sizes The product was too large for man is poorly explained on the size I lost a lot of in wanting to save money to buy cheaper disappointed 😔")</f>
        <v>I would like more details on sizes The product was too large for man is poorly explained on the size I lost a lot of in wanting to save money to buy cheaper disappointed 😔</v>
      </c>
    </row>
    <row r="9340">
      <c r="A9340" s="1">
        <v>4.0</v>
      </c>
      <c r="B9340" s="1" t="s">
        <v>9202</v>
      </c>
      <c r="C9340" t="str">
        <f>IFERROR(__xludf.DUMMYFUNCTION("GOOGLETRANSLATE(B9340, ""fr"", ""en"")"),"Carrying 20 cm Do not correspond to the visual: soft leather granulated good holding brown but beautiful finishes and good smell of leather. Full pockets. Gift nice. Damage, however it lacks a centimeter in height to contain one or checkbook an envelope. "&amp;"neat package, complete command. also satisfied with perfect delivery on the day on Amazon.")</f>
        <v>Carrying 20 cm Do not correspond to the visual: soft leather granulated good holding brown but beautiful finishes and good smell of leather. Full pockets. Gift nice. Damage, however it lacks a centimeter in height to contain one or checkbook an envelope. neat package, complete command. also satisfied with perfect delivery on the day on Amazon.</v>
      </c>
    </row>
    <row r="9341">
      <c r="A9341" s="1">
        <v>4.0</v>
      </c>
      <c r="B9341" s="1" t="s">
        <v>9203</v>
      </c>
      <c r="C9341" t="str">
        <f>IFERROR(__xludf.DUMMYFUNCTION("GOOGLETRANSLATE(B9341, ""fr"", ""en"")"),"At the top Take a size bigger, beautiful color. The tongue is quite rigid. The flakes fall slightly beginning of use but I think it is only the surplus")</f>
        <v>At the top Take a size bigger, beautiful color. The tongue is quite rigid. The flakes fall slightly beginning of use but I think it is only the surplus</v>
      </c>
    </row>
    <row r="9342">
      <c r="A9342" s="1">
        <v>4.0</v>
      </c>
      <c r="B9342" s="1" t="s">
        <v>9204</v>
      </c>
      <c r="C9342" t="str">
        <f>IFERROR(__xludf.DUMMYFUNCTION("GOOGLETRANSLATE(B9342, ""fr"", ""en"")"),"At the price it is, it's fine Super comfortable inside. I expect to see this time insole history.")</f>
        <v>At the price it is, it's fine Super comfortable inside. I expect to see this time insole history.</v>
      </c>
    </row>
    <row r="9343">
      <c r="A9343" s="1">
        <v>4.0</v>
      </c>
      <c r="B9343" s="1" t="s">
        <v>9205</v>
      </c>
      <c r="C9343" t="str">
        <f>IFERROR(__xludf.DUMMYFUNCTION("GOOGLETRANSLATE(B9343, ""fr"", ""en"")"),"Very good helmet, quality and comfort Seeking a headset to replace a Sennheiser HD200, (yes it is old;) I took the time to choose one that would allow me to play music and videos on PC and play bass on PC (apartment) through a guitar link, packet received"&amp;" in a beautiful package, jack adapter (3.5 / 6.5) provided, quality cable, large headphones around widely ear while leaving the outside noises penetrate though filtered . (Semi-open) The sound is much lower than with Sennheiser (increase of one third for "&amp;"lke same level) but what color the sound! Each note is crystal clear, on flac is happiness, deep bass and treble very pure. With the bass is perfect without bothering anyone I found almost the sound of the amp. Very lightweight headphones (even if after m"&amp;"ore than an hour just we sweat with leather pads but I have not tested the velvet), well finished and half-open to not be locked in a bubble for me it is almost perfect. The downside is the volume a little down forcing him to raise the output level (compa"&amp;"red to Sennheiser) and irremovable atria (you can not steer or turn) Summary: very good headset, the price is largely justified, from top quality at reasonable price.")</f>
        <v>Very good helmet, quality and comfort Seeking a headset to replace a Sennheiser HD200, (yes it is old;) I took the time to choose one that would allow me to play music and videos on PC and play bass on PC (apartment) through a guitar link, packet received in a beautiful package, jack adapter (3.5 / 6.5) provided, quality cable, large headphones around widely ear while leaving the outside noises penetrate though filtered . (Semi-open) The sound is much lower than with Sennheiser (increase of one third for lke same level) but what color the sound! Each note is crystal clear, on flac is happiness, deep bass and treble very pure. With the bass is perfect without bothering anyone I found almost the sound of the amp. Very lightweight headphones (even if after more than an hour just we sweat with leather pads but I have not tested the velvet), well finished and half-open to not be locked in a bubble for me it is almost perfect. The downside is the volume a little down forcing him to raise the output level (compared to Sennheiser) and irremovable atria (you can not steer or turn) Summary: very good headset, the price is largely justified, from top quality at reasonable price.</v>
      </c>
    </row>
    <row r="9344">
      <c r="A9344" s="1">
        <v>5.0</v>
      </c>
      <c r="B9344" s="1" t="s">
        <v>9206</v>
      </c>
      <c r="C9344" t="str">
        <f>IFERROR(__xludf.DUMMYFUNCTION("GOOGLETRANSLATE(B9344, ""fr"", ""en"")"),"Excellent product just need to learn to use it and then the result is perfect. As the resistance stays hot once the desired temperature is reached, it must be adjusted 5 degrees below the desired threshold and now it's done. Very aesthetic and excellent q"&amp;"uality / price.")</f>
        <v>Excellent product just need to learn to use it and then the result is perfect. As the resistance stays hot once the desired temperature is reached, it must be adjusted 5 degrees below the desired threshold and now it's done. Very aesthetic and excellent quality / price.</v>
      </c>
    </row>
    <row r="9345">
      <c r="A9345" s="1">
        <v>5.0</v>
      </c>
      <c r="B9345" s="1" t="s">
        <v>9207</v>
      </c>
      <c r="C9345" t="str">
        <f>IFERROR(__xludf.DUMMYFUNCTION("GOOGLETRANSLATE(B9345, ""fr"", ""en"")"),"Practice Practice the right size to carry the baby food. The colors and patterns are on top. Guard to cold and even warm.")</f>
        <v>Practice Practice the right size to carry the baby food. The colors and patterns are on top. Guard to cold and even warm.</v>
      </c>
    </row>
    <row r="9346">
      <c r="A9346" s="1">
        <v>5.0</v>
      </c>
      <c r="B9346" s="1" t="s">
        <v>9208</v>
      </c>
      <c r="C9346" t="str">
        <f>IFERROR(__xludf.DUMMYFUNCTION("GOOGLETRANSLATE(B9346, ""fr"", ""en"")"),"Turntable needle Very good product in a package worthy of a gem I can highly recommend")</f>
        <v>Turntable needle Very good product in a package worthy of a gem I can highly recommend</v>
      </c>
    </row>
    <row r="9347">
      <c r="A9347" s="1">
        <v>5.0</v>
      </c>
      <c r="B9347" s="1" t="s">
        <v>9209</v>
      </c>
      <c r="C9347" t="str">
        <f>IFERROR(__xludf.DUMMYFUNCTION("GOOGLETRANSLATE(B9347, ""fr"", ""en"")"),"Very good Super. Received quickly with nipple level 2, I wanted great. And very recommendable price considering the price of pharmacies.")</f>
        <v>Very good Super. Received quickly with nipple level 2, I wanted great. And very recommendable price considering the price of pharmacies.</v>
      </c>
    </row>
    <row r="9348">
      <c r="A9348" s="1">
        <v>5.0</v>
      </c>
      <c r="B9348" s="1" t="s">
        <v>9210</v>
      </c>
      <c r="C9348" t="str">
        <f>IFERROR(__xludf.DUMMYFUNCTION("GOOGLETRANSLATE(B9348, ""fr"", ""en"")"),"Nickel Converse Classic, I love")</f>
        <v>Nickel Converse Classic, I love</v>
      </c>
    </row>
    <row r="9349">
      <c r="A9349" s="1">
        <v>5.0</v>
      </c>
      <c r="B9349" s="1" t="s">
        <v>9211</v>
      </c>
      <c r="C9349" t="str">
        <f>IFERROR(__xludf.DUMMYFUNCTION("GOOGLETRANSLATE(B9349, ""fr"", ""en"")"),"Sending good helmet very fast, we have to try the evening of receipt. My son is delighted. He can talk network, the sound is good (on ps4) And the connection very simple Good product I recommend")</f>
        <v>Sending good helmet very fast, we have to try the evening of receipt. My son is delighted. He can talk network, the sound is good (on ps4) And the connection very simple Good product I recommend</v>
      </c>
    </row>
    <row r="9350">
      <c r="A9350" s="1">
        <v>5.0</v>
      </c>
      <c r="B9350" s="1" t="s">
        <v>9212</v>
      </c>
      <c r="C9350" t="str">
        <f>IFERROR(__xludf.DUMMYFUNCTION("GOOGLETRANSLATE(B9350, ""fr"", ""en"")"),"Super printable labels to print all the labels of my students!")</f>
        <v>Super printable labels to print all the labels of my students!</v>
      </c>
    </row>
    <row r="9351">
      <c r="A9351" s="1">
        <v>5.0</v>
      </c>
      <c r="B9351" s="1" t="s">
        <v>9213</v>
      </c>
      <c r="C9351" t="str">
        <f>IFERROR(__xludf.DUMMYFUNCTION("GOOGLETRANSLATE(B9351, ""fr"", ""en"")"),"Excellent says it all for the blessings of the body only downside is that any being written 25 different exercises but no explanation or written or how to do them. Otherwise nickel it feels good.")</f>
        <v>Excellent says it all for the blessings of the body only downside is that any being written 25 different exercises but no explanation or written or how to do them. Otherwise nickel it feels good.</v>
      </c>
    </row>
    <row r="9352">
      <c r="A9352" s="1">
        <v>5.0</v>
      </c>
      <c r="B9352" s="1" t="s">
        <v>9214</v>
      </c>
      <c r="C9352" t="str">
        <f>IFERROR(__xludf.DUMMYFUNCTION("GOOGLETRANSLATE(B9352, ""fr"", ""en"")"),"opinion casio watch brand quality and reliability recognized; recue the day after the order. packaging in perfect condition no complaints")</f>
        <v>opinion casio watch brand quality and reliability recognized; recue the day after the order. packaging in perfect condition no complaints</v>
      </c>
    </row>
    <row r="9353">
      <c r="A9353" s="1">
        <v>5.0</v>
      </c>
      <c r="B9353" s="1" t="s">
        <v>9215</v>
      </c>
      <c r="C9353" t="str">
        <f>IFERROR(__xludf.DUMMYFUNCTION("GOOGLETRANSLATE(B9353, ""fr"", ""en"")"),"conforms to the expected delivery time ok ok Good material prices")</f>
        <v>conforms to the expected delivery time ok ok Good material prices</v>
      </c>
    </row>
    <row r="9354">
      <c r="A9354" s="1">
        <v>5.0</v>
      </c>
      <c r="B9354" s="1" t="s">
        <v>9216</v>
      </c>
      <c r="C9354" t="str">
        <f>IFERROR(__xludf.DUMMYFUNCTION("GOOGLETRANSLATE(B9354, ""fr"", ""en"")"),"job well done, well packaged, good cables with. Do not even heated for its intensive use. I recommend.")</f>
        <v>job well done, well packaged, good cables with. Do not even heated for its intensive use. I recommend.</v>
      </c>
    </row>
    <row r="9355">
      <c r="A9355" s="1">
        <v>5.0</v>
      </c>
      <c r="B9355" s="1" t="s">
        <v>9217</v>
      </c>
      <c r="C9355" t="str">
        <f>IFERROR(__xludf.DUMMYFUNCTION("GOOGLETRANSLATE(B9355, ""fr"", ""en"")"),"As expected. The watch is simple but effective darkly you see I do not separate myself more. You can wear with anything she always goes unnoticed in sportswear as attire. I am a fan of digital dials easier to read and more accurate than a simple watch old"&amp;". Yet the style seems a bit ""old"" and I like it a lot. One of the buttons can illuminate the dial, very useful in the night, that detail matters a lot to me. In short, I recommend it! (Small detail, it is water resistant)")</f>
        <v>As expected. The watch is simple but effective darkly you see I do not separate myself more. You can wear with anything she always goes unnoticed in sportswear as attire. I am a fan of digital dials easier to read and more accurate than a simple watch old. Yet the style seems a bit "old" and I like it a lot. One of the buttons can illuminate the dial, very useful in the night, that detail matters a lot to me. In short, I recommend it! (Small detail, it is water resistant)</v>
      </c>
    </row>
    <row r="9356">
      <c r="A9356" s="1">
        <v>5.0</v>
      </c>
      <c r="B9356" s="1" t="s">
        <v>9218</v>
      </c>
      <c r="C9356" t="str">
        <f>IFERROR(__xludf.DUMMYFUNCTION("GOOGLETRANSLATE(B9356, ""fr"", ""en"")"),"top !! pk pay a fortune on the site Dolce Gusto when this one fits the bill! i have a bottle with clean tea and coffee!")</f>
        <v>top !! pk pay a fortune on the site Dolce Gusto when this one fits the bill! i have a bottle with clean tea and coffee!</v>
      </c>
    </row>
    <row r="9357">
      <c r="A9357" s="1">
        <v>5.0</v>
      </c>
      <c r="B9357" s="1" t="s">
        <v>9219</v>
      </c>
      <c r="C9357" t="str">
        <f>IFERROR(__xludf.DUMMYFUNCTION("GOOGLETRANSLATE(B9357, ""fr"", ""en"")"),"Nike Air Nickel")</f>
        <v>Nike Air Nickel</v>
      </c>
    </row>
    <row r="9358">
      <c r="A9358" s="1">
        <v>5.0</v>
      </c>
      <c r="B9358" s="1" t="s">
        <v>9220</v>
      </c>
      <c r="C9358" t="str">
        <f>IFERROR(__xludf.DUMMYFUNCTION("GOOGLETRANSLATE(B9358, ""fr"", ""en"")"),"Perfect ! Functional! I used these labels to mark our practice material fabric, all cotton (blankets, covers, bags). Easy to cut and install, with a simple little travel iron. The writing is very readable. It just seems a little pale to see how it behaves"&amp;" after washing. Gray is okay. A color ink was perhaps prettier. Still, it does the job. And that's fine!")</f>
        <v>Perfect ! Functional! I used these labels to mark our practice material fabric, all cotton (blankets, covers, bags). Easy to cut and install, with a simple little travel iron. The writing is very readable. It just seems a little pale to see how it behaves after washing. Gray is okay. A color ink was perhaps prettier. Still, it does the job. And that's fine!</v>
      </c>
    </row>
    <row r="9359">
      <c r="A9359" s="1">
        <v>2.0</v>
      </c>
      <c r="B9359" s="1" t="s">
        <v>9221</v>
      </c>
      <c r="C9359" t="str">
        <f>IFERROR(__xludf.DUMMYFUNCTION("GOOGLETRANSLATE(B9359, ""fr"", ""en"")"),"Too little too small for the indicated size Slippers")</f>
        <v>Too little too small for the indicated size Slippers</v>
      </c>
    </row>
    <row r="9360">
      <c r="A9360" s="1">
        <v>1.0</v>
      </c>
      <c r="B9360" s="1" t="s">
        <v>9222</v>
      </c>
      <c r="C9360" t="str">
        <f>IFERROR(__xludf.DUMMYFUNCTION("GOOGLETRANSLATE(B9360, ""fr"", ""en"")"),"I advice not disappointed his works not great")</f>
        <v>I advice not disappointed his works not great</v>
      </c>
    </row>
    <row r="9361">
      <c r="A9361" s="1">
        <v>1.0</v>
      </c>
      <c r="B9361" s="1" t="s">
        <v>9223</v>
      </c>
      <c r="C9361" t="str">
        <f>IFERROR(__xludf.DUMMYFUNCTION("GOOGLETRANSLATE(B9361, ""fr"", ""en"")"),"they returned item Shoe too big and if you have a little wide foot they are not comfortable in short everything I trusted myself to people's statements on how the sneakers cut and I should not have")</f>
        <v>they returned item Shoe too big and if you have a little wide foot they are not comfortable in short everything I trusted myself to people's statements on how the sneakers cut and I should not have</v>
      </c>
    </row>
    <row r="9362">
      <c r="A9362" s="1">
        <v>3.0</v>
      </c>
      <c r="B9362" s="1" t="s">
        <v>9224</v>
      </c>
      <c r="C9362" t="str">
        <f>IFERROR(__xludf.DUMMYFUNCTION("GOOGLETRANSLATE(B9362, ""fr"", ""en"")"),"Comfortable a little disappointed at the straps, but the three small locking hooks in the back are not practical (difficult to close more than two at once, and when you want to close the third, the first reopen. ...) on the other hand, the ""breathing"" a"&amp;"side, what interested me most is effective on the straps, hats, and under the arms, but after returning from a hike, the elastic bottom was soaked !! Am I the only one to sweat in that place?")</f>
        <v>Comfortable a little disappointed at the straps, but the three small locking hooks in the back are not practical (difficult to close more than two at once, and when you want to close the third, the first reopen. ...) on the other hand, the "breathing" aside, what interested me most is effective on the straps, hats, and under the arms, but after returning from a hike, the elastic bottom was soaked !! Am I the only one to sweat in that place?</v>
      </c>
    </row>
    <row r="9363">
      <c r="A9363" s="1">
        <v>3.0</v>
      </c>
      <c r="B9363" s="1" t="s">
        <v>9225</v>
      </c>
      <c r="C9363" t="str">
        <f>IFERROR(__xludf.DUMMYFUNCTION("GOOGLETRANSLATE(B9363, ""fr"", ""en"")"),"Works well after 1 year of use technically nothing to say. load great. Starts the time automatically. The bracelet is adjustable without going to the jeweler. Very functional.")</f>
        <v>Works well after 1 year of use technically nothing to say. load great. Starts the time automatically. The bracelet is adjustable without going to the jeweler. Very functional.</v>
      </c>
    </row>
    <row r="9364">
      <c r="A9364" s="1">
        <v>4.0</v>
      </c>
      <c r="B9364" s="1" t="s">
        <v>9226</v>
      </c>
      <c r="C9364" t="str">
        <f>IFERROR(__xludf.DUMMYFUNCTION("GOOGLETRANSLATE(B9364, ""fr"", ""en"")"),"Okay Ease of use, glue enough. Hint of special textile glue to hold two colors curtains bead between two parts, double-sided. also perfect for holding a sheet on a small kitchen table, one face bonded to the underside of the web (2 of length 1 and width o"&amp;"n the medium) and the other on the edge of the table top facing . Do not know yet if it keeps washing but with so many pairs, not too serious.")</f>
        <v>Okay Ease of use, glue enough. Hint of special textile glue to hold two colors curtains bead between two parts, double-sided. also perfect for holding a sheet on a small kitchen table, one face bonded to the underside of the web (2 of length 1 and width on the medium) and the other on the edge of the table top facing . Do not know yet if it keeps washing but with so many pairs, not too serious.</v>
      </c>
    </row>
    <row r="9365">
      <c r="A9365" s="1">
        <v>4.0</v>
      </c>
      <c r="B9365" s="1" t="s">
        <v>9227</v>
      </c>
      <c r="C9365" t="str">
        <f>IFERROR(__xludf.DUMMYFUNCTION("GOOGLETRANSLATE(B9365, ""fr"", ""en"")"),"Pretty Good, value. Took a size L XL usual.")</f>
        <v>Pretty Good, value. Took a size L XL usual.</v>
      </c>
    </row>
    <row r="9366">
      <c r="A9366" s="1">
        <v>4.0</v>
      </c>
      <c r="B9366" s="1" t="s">
        <v>9228</v>
      </c>
      <c r="C9366" t="str">
        <f>IFERROR(__xludf.DUMMYFUNCTION("GOOGLETRANSLATE(B9366, ""fr"", ""en"")"),"Bottle meet the basic expectations, as usual, very good bottle, to change very often because the liquid quickly takes the taste of plastic ... So I tasted content regularly to know when to change the bottle. Level pacifier, no complaints.")</f>
        <v>Bottle meet the basic expectations, as usual, very good bottle, to change very often because the liquid quickly takes the taste of plastic ... So I tasted content regularly to know when to change the bottle. Level pacifier, no complaints.</v>
      </c>
    </row>
    <row r="9367">
      <c r="A9367" s="1">
        <v>4.0</v>
      </c>
      <c r="B9367" s="1" t="s">
        <v>9229</v>
      </c>
      <c r="C9367" t="str">
        <f>IFERROR(__xludf.DUMMYFUNCTION("GOOGLETRANSLATE(B9367, ""fr"", ""en"")"),"Works perfectly . Action Camera Sound")</f>
        <v>Works perfectly . Action Camera Sound</v>
      </c>
    </row>
    <row r="9368">
      <c r="A9368" s="1">
        <v>5.0</v>
      </c>
      <c r="B9368" s="1" t="s">
        <v>9230</v>
      </c>
      <c r="C9368" t="str">
        <f>IFERROR(__xludf.DUMMYFUNCTION("GOOGLETRANSLATE(B9368, ""fr"", ""en"")"),"earphone original Perfect, is fully consistent with the description, fast sending and attractive price")</f>
        <v>earphone original Perfect, is fully consistent with the description, fast sending and attractive price</v>
      </c>
    </row>
    <row r="9369">
      <c r="A9369" s="1">
        <v>5.0</v>
      </c>
      <c r="B9369" s="1" t="s">
        <v>9231</v>
      </c>
      <c r="C9369" t="str">
        <f>IFERROR(__xludf.DUMMYFUNCTION("GOOGLETRANSLATE(B9369, ""fr"", ""en"")"),"Super C is super cool too .... superb pom pal .... works great ... if frozen well ... and instead to write on the packaging .....")</f>
        <v>Super C is super cool too .... superb pom pal .... works great ... if frozen well ... and instead to write on the packaging .....</v>
      </c>
    </row>
    <row r="9370">
      <c r="A9370" s="1">
        <v>5.0</v>
      </c>
      <c r="B9370" s="1" t="s">
        <v>9232</v>
      </c>
      <c r="C9370" t="str">
        <f>IFERROR(__xludf.DUMMYFUNCTION("GOOGLETRANSLATE(B9370, ""fr"", ""en"")"),"Select its usual size. Shoes identical to the picture and description.")</f>
        <v>Select its usual size. Shoes identical to the picture and description.</v>
      </c>
    </row>
    <row r="9371">
      <c r="A9371" s="1">
        <v>5.0</v>
      </c>
      <c r="B9371" s="1" t="s">
        <v>9233</v>
      </c>
      <c r="C9371" t="str">
        <f>IFERROR(__xludf.DUMMYFUNCTION("GOOGLETRANSLATE(B9371, ""fr"", ""en"")"),"Good Very practical and easy to clean")</f>
        <v>Good Very practical and easy to clean</v>
      </c>
    </row>
    <row r="9372">
      <c r="A9372" s="1">
        <v>5.0</v>
      </c>
      <c r="B9372" s="1" t="s">
        <v>9234</v>
      </c>
      <c r="C9372" t="str">
        <f>IFERROR(__xludf.DUMMYFUNCTION("GOOGLETRANSLATE(B9372, ""fr"", ""en"")"),"Very good headset This headset is very good. I wanted to pay the price, and I'm really not disappointed. The sound is really good, with very good bass. The controls on the headphones are easy to use. It comes with several cables, one cable jack and adapte"&amp;"r rather practical when the headset is unloaded and inoperable bluetooth. Besides the charge holds up well (about 10am with heavy use). THE headset is comfortable to wear and very comfortable. There is noise reduction to further isolate. Very good product"&amp;".")</f>
        <v>Very good headset This headset is very good. I wanted to pay the price, and I'm really not disappointed. The sound is really good, with very good bass. The controls on the headphones are easy to use. It comes with several cables, one cable jack and adapter rather practical when the headset is unloaded and inoperable bluetooth. Besides the charge holds up well (about 10am with heavy use). THE headset is comfortable to wear and very comfortable. There is noise reduction to further isolate. Very good product.</v>
      </c>
    </row>
    <row r="9373">
      <c r="A9373" s="1">
        <v>5.0</v>
      </c>
      <c r="B9373" s="1" t="s">
        <v>9235</v>
      </c>
      <c r="C9373" t="str">
        <f>IFERROR(__xludf.DUMMYFUNCTION("GOOGLETRANSLATE(B9373, ""fr"", ""en"")"),"Toaster Okay")</f>
        <v>Toaster Okay</v>
      </c>
    </row>
    <row r="9374">
      <c r="A9374" s="1">
        <v>5.0</v>
      </c>
      <c r="B9374" s="1" t="s">
        <v>9236</v>
      </c>
      <c r="C9374" t="str">
        <f>IFERROR(__xludf.DUMMYFUNCTION("GOOGLETRANSLATE(B9374, ""fr"", ""en"")"),"Suitable for any type of stove is easy to use. I like the vintage style. It adapts to any type of flame or plate")</f>
        <v>Suitable for any type of stove is easy to use. I like the vintage style. It adapts to any type of flame or plate</v>
      </c>
    </row>
    <row r="9375">
      <c r="A9375" s="1">
        <v>5.0</v>
      </c>
      <c r="B9375" s="1" t="s">
        <v>9237</v>
      </c>
      <c r="C9375" t="str">
        <f>IFERROR(__xludf.DUMMYFUNCTION("GOOGLETRANSLATE(B9375, ""fr"", ""en"")"),"impec stickers of different sizes and colors for working with our son fine motor skills, and algorithms, meets our needs, although some are very small, we would have preferred fewer but larger stickers")</f>
        <v>impec stickers of different sizes and colors for working with our son fine motor skills, and algorithms, meets our needs, although some are very small, we would have preferred fewer but larger stickers</v>
      </c>
    </row>
    <row r="9376">
      <c r="A9376" s="1">
        <v>5.0</v>
      </c>
      <c r="B9376" s="1" t="s">
        <v>9238</v>
      </c>
      <c r="C9376" t="str">
        <f>IFERROR(__xludf.DUMMYFUNCTION("GOOGLETRANSLATE(B9376, ""fr"", ""en"")"),"at the top my friend is delighted with this bag is super quality and good record, he just put his wallet, phone and everything that it deems useful, does not deform, top purchase!")</f>
        <v>at the top my friend is delighted with this bag is super quality and good record, he just put his wallet, phone and everything that it deems useful, does not deform, top purchase!</v>
      </c>
    </row>
    <row r="9377">
      <c r="A9377" s="1">
        <v>5.0</v>
      </c>
      <c r="B9377" s="1" t="s">
        <v>9239</v>
      </c>
      <c r="C9377" t="str">
        <f>IFERROR(__xludf.DUMMYFUNCTION("GOOGLETRANSLATE(B9377, ""fr"", ""en"")"),"Perfect! This pair of NB is quite what I wanted!")</f>
        <v>Perfect! This pair of NB is quite what I wanted!</v>
      </c>
    </row>
    <row r="9378">
      <c r="A9378" s="1">
        <v>5.0</v>
      </c>
      <c r="B9378" s="1" t="s">
        <v>9240</v>
      </c>
      <c r="C9378" t="str">
        <f>IFERROR(__xludf.DUMMYFUNCTION("GOOGLETRANSLATE(B9378, ""fr"", ""en"")"),"Nice to control the temperature and see the level of water Chauffeur water very quickly")</f>
        <v>Nice to control the temperature and see the level of water Chauffeur water very quickly</v>
      </c>
    </row>
    <row r="9379">
      <c r="A9379" s="1">
        <v>5.0</v>
      </c>
      <c r="B9379" s="1" t="s">
        <v>9241</v>
      </c>
      <c r="C9379" t="str">
        <f>IFERROR(__xludf.DUMMYFUNCTION("GOOGLETRANSLATE(B9379, ""fr"", ""en"")"),"Very good product cheap renew annually Very good product cheap to renew every year since lost a little texture to wash force (pill)")</f>
        <v>Very good product cheap renew annually Very good product cheap to renew every year since lost a little texture to wash force (pill)</v>
      </c>
    </row>
    <row r="9380">
      <c r="A9380" s="1">
        <v>5.0</v>
      </c>
      <c r="B9380" s="1" t="s">
        <v>9242</v>
      </c>
      <c r="C9380" t="str">
        <f>IFERROR(__xludf.DUMMYFUNCTION("GOOGLETRANSLATE(B9380, ""fr"", ""en"")"),"Very good product ! very useful product for presentations. The object was sent very quickly and works perfectly! In the top ! Would definitely recommend")</f>
        <v>Very good product ! very useful product for presentations. The object was sent very quickly and works perfectly! In the top ! Would definitely recommend</v>
      </c>
    </row>
    <row r="9381">
      <c r="A9381" s="1">
        <v>5.0</v>
      </c>
      <c r="B9381" s="1" t="s">
        <v>9243</v>
      </c>
      <c r="C9381" t="str">
        <f>IFERROR(__xludf.DUMMYFUNCTION("GOOGLETRANSLATE(B9381, ""fr"", ""en"")"),"super nice I wear it every day, it is convenient color is nice, the price was more interesting on Amazon for a pole in the decathlon and I notice that the quality is better.")</f>
        <v>super nice I wear it every day, it is convenient color is nice, the price was more interesting on Amazon for a pole in the decathlon and I notice that the quality is better.</v>
      </c>
    </row>
    <row r="9382">
      <c r="A9382" s="1">
        <v>5.0</v>
      </c>
      <c r="B9382" s="1" t="s">
        <v>9244</v>
      </c>
      <c r="C9382" t="str">
        <f>IFERROR(__xludf.DUMMYFUNCTION("GOOGLETRANSLATE(B9382, ""fr"", ""en"")"),"Practical and aesthetic isothermal bag handy with enough space for enmener bottles and jars.")</f>
        <v>Practical and aesthetic isothermal bag handy with enough space for enmener bottles and jars.</v>
      </c>
    </row>
    <row r="9383">
      <c r="A9383" s="1">
        <v>2.0</v>
      </c>
      <c r="B9383" s="1" t="s">
        <v>9245</v>
      </c>
      <c r="C9383" t="str">
        <f>IFERROR(__xludf.DUMMYFUNCTION("GOOGLETRANSLATE(B9383, ""fr"", ""en"")"),"Everything is said in the ratings, it's disappointing !!! Nothing more to say! It's very cheap to incorrect price! Disappointing !")</f>
        <v>Everything is said in the ratings, it's disappointing !!! Nothing more to say! It's very cheap to incorrect price! Disappointing !</v>
      </c>
    </row>
    <row r="9384">
      <c r="A9384" s="1">
        <v>1.0</v>
      </c>
      <c r="B9384" s="1" t="s">
        <v>9246</v>
      </c>
      <c r="C9384" t="str">
        <f>IFERROR(__xludf.DUMMYFUNCTION("GOOGLETRANSLATE(B9384, ""fr"", ""en"")"),"pull very bad qualitée product Clear very average its quality. just good to do the windows and on. after two lavanges it became a cloth")</f>
        <v>pull very bad qualitée product Clear very average its quality. just good to do the windows and on. after two lavanges it became a cloth</v>
      </c>
    </row>
    <row r="9385">
      <c r="A9385" s="1">
        <v>1.0</v>
      </c>
      <c r="B9385" s="1" t="s">
        <v>9247</v>
      </c>
      <c r="C9385" t="str">
        <f>IFERROR(__xludf.DUMMYFUNCTION("GOOGLETRANSLATE(B9385, ""fr"", ""en"")"),"Too broad I ordered this for size M shirt, which is normally my size but it is too long and too wide. The cut is missed. I not recommend this t shirt!")</f>
        <v>Too broad I ordered this for size M shirt, which is normally my size but it is too long and too wide. The cut is missed. I not recommend this t shirt!</v>
      </c>
    </row>
    <row r="9386">
      <c r="A9386" s="1">
        <v>3.0</v>
      </c>
      <c r="B9386" s="1" t="s">
        <v>9248</v>
      </c>
      <c r="C9386" t="str">
        <f>IFERROR(__xludf.DUMMYFUNCTION("GOOGLETRANSLATE(B9386, ""fr"", ""en"")"),"Good product Zipper for cutting the stretch film is the top and the box is so rigid it is very easy to ask the film.")</f>
        <v>Good product Zipper for cutting the stretch film is the top and the box is so rigid it is very easy to ask the film.</v>
      </c>
    </row>
    <row r="9387">
      <c r="A9387" s="1">
        <v>4.0</v>
      </c>
      <c r="B9387" s="1" t="s">
        <v>9249</v>
      </c>
      <c r="C9387" t="str">
        <f>IFERROR(__xludf.DUMMYFUNCTION("GOOGLETRANSLATE(B9387, ""fr"", ""en"")"),"simple and nice My son found these comfortable sneakers and appreciated their simplicity. It is just that the front of the basketball is a little wide, but at least its foot is not compressed when he puts rather thick sports socks")</f>
        <v>simple and nice My son found these comfortable sneakers and appreciated their simplicity. It is just that the front of the basketball is a little wide, but at least its foot is not compressed when he puts rather thick sports socks</v>
      </c>
    </row>
    <row r="9388">
      <c r="A9388" s="1">
        <v>4.0</v>
      </c>
      <c r="B9388" s="1" t="s">
        <v>9250</v>
      </c>
      <c r="C9388" t="str">
        <f>IFERROR(__xludf.DUMMYFUNCTION("GOOGLETRANSLATE(B9388, ""fr"", ""en"")"),"too good for a pleasant atmosphere for assénir ambient air of the house ""Lavender eucaliotus"" etc.")</f>
        <v>too good for a pleasant atmosphere for assénir ambient air of the house "Lavender eucaliotus" etc.</v>
      </c>
    </row>
    <row r="9389">
      <c r="A9389" s="1">
        <v>4.0</v>
      </c>
      <c r="B9389" s="1" t="s">
        <v>9251</v>
      </c>
      <c r="C9389" t="str">
        <f>IFERROR(__xludf.DUMMYFUNCTION("GOOGLETRANSLATE(B9389, ""fr"", ""en"")"),"Heating and reliable not bad at all, except the connection (connection?) On the electric cushion that can go dns if misplaced ribs. Too bad it is not supplied with a house as how to find a cover to its size, mystery. It said the washable yet I wish it com"&amp;"es with a protective")</f>
        <v>Heating and reliable not bad at all, except the connection (connection?) On the electric cushion that can go dns if misplaced ribs. Too bad it is not supplied with a house as how to find a cover to its size, mystery. It said the washable yet I wish it comes with a protective</v>
      </c>
    </row>
    <row r="9390">
      <c r="A9390" s="1">
        <v>4.0</v>
      </c>
      <c r="B9390" s="1" t="s">
        <v>9252</v>
      </c>
      <c r="C9390" t="str">
        <f>IFERROR(__xludf.DUMMYFUNCTION("GOOGLETRANSLATE(B9390, ""fr"", ""en"")"),"Comply with the description Aspire well but programming march 1 times 2. Using the remote control 1 meter. Good value for money. A bit noisy.")</f>
        <v>Comply with the description Aspire well but programming march 1 times 2. Using the remote control 1 meter. Good value for money. A bit noisy.</v>
      </c>
    </row>
    <row r="9391">
      <c r="A9391" s="1">
        <v>5.0</v>
      </c>
      <c r="B9391" s="1" t="s">
        <v>9253</v>
      </c>
      <c r="C9391" t="str">
        <f>IFERROR(__xludf.DUMMYFUNCTION("GOOGLETRANSLATE(B9391, ""fr"", ""en"")"),"excellent shine chifon for applying the product it gives shine to my boot remains well in hand alor thank you.")</f>
        <v>excellent shine chifon for applying the product it gives shine to my boot remains well in hand alor thank you.</v>
      </c>
    </row>
    <row r="9392">
      <c r="A9392" s="1">
        <v>5.0</v>
      </c>
      <c r="B9392" s="1" t="s">
        <v>9254</v>
      </c>
      <c r="C9392" t="str">
        <f>IFERROR(__xludf.DUMMYFUNCTION("GOOGLETRANSLATE(B9392, ""fr"", ""en"")"),"Top value Excellent value. A nice look, all the necessary functions. I kept 5 years previous before losing. Not a second shift in 5 years without battery replacement. I bought the same!")</f>
        <v>Top value Excellent value. A nice look, all the necessary functions. I kept 5 years previous before losing. Not a second shift in 5 years without battery replacement. I bought the same!</v>
      </c>
    </row>
    <row r="9393">
      <c r="A9393" s="1">
        <v>5.0</v>
      </c>
      <c r="B9393" s="1" t="s">
        <v>224</v>
      </c>
      <c r="C9393" t="str">
        <f>IFERROR(__xludf.DUMMYFUNCTION("GOOGLETRANSLATE(B9393, ""fr"", ""en"")"),"perfect perfect")</f>
        <v>perfect perfect</v>
      </c>
    </row>
    <row r="9394">
      <c r="A9394" s="1">
        <v>5.0</v>
      </c>
      <c r="B9394" s="1" t="s">
        <v>9255</v>
      </c>
      <c r="C9394" t="str">
        <f>IFERROR(__xludf.DUMMYFUNCTION("GOOGLETRANSLATE(B9394, ""fr"", ""en"")"),"Conforms to an'once For a gift")</f>
        <v>Conforms to an'once For a gift</v>
      </c>
    </row>
    <row r="9395">
      <c r="A9395" s="1">
        <v>5.0</v>
      </c>
      <c r="B9395" s="1" t="s">
        <v>9256</v>
      </c>
      <c r="C9395" t="str">
        <f>IFERROR(__xludf.DUMMYFUNCTION("GOOGLETRANSLATE(B9395, ""fr"", ""en"")"),"Bodum 1812-01 Assam Teapot Filter Piston Stainless 0.5L Excellent product piston can reveal all the aromas. Warning glass thin and fragile if not to recommend no problem")</f>
        <v>Bodum 1812-01 Assam Teapot Filter Piston Stainless 0.5L Excellent product piston can reveal all the aromas. Warning glass thin and fragile if not to recommend no problem</v>
      </c>
    </row>
    <row r="9396">
      <c r="A9396" s="1">
        <v>5.0</v>
      </c>
      <c r="B9396" s="1" t="s">
        <v>9257</v>
      </c>
      <c r="C9396" t="str">
        <f>IFERROR(__xludf.DUMMYFUNCTION("GOOGLETRANSLATE(B9396, ""fr"", ""en"")"),"Super super vacuum device. Lightweight. Quiet. It is perfect for sucking the hair of our dog several times a day. Speed ​​1 autonomy is very satisfactory. 45 min. The filter maintenance is easy to disassemble. A phone blower and it is spread! I'll buy wit"&amp;"hout hesitation. For the price it is great. For me it does the job as well as a Dyson!")</f>
        <v>Super super vacuum device. Lightweight. Quiet. It is perfect for sucking the hair of our dog several times a day. Speed ​​1 autonomy is very satisfactory. 45 min. The filter maintenance is easy to disassemble. A phone blower and it is spread! I'll buy without hesitation. For the price it is great. For me it does the job as well as a Dyson!</v>
      </c>
    </row>
    <row r="9397">
      <c r="A9397" s="1">
        <v>5.0</v>
      </c>
      <c r="B9397" s="1" t="s">
        <v>9258</v>
      </c>
      <c r="C9397" t="str">
        <f>IFERROR(__xludf.DUMMYFUNCTION("GOOGLETRANSLATE(B9397, ""fr"", ""en"")"),"Okay well delivered sweater, no complaints because it matches the photo. Would recommend to offer if your friend loves kawaii stuff")</f>
        <v>Okay well delivered sweater, no complaints because it matches the photo. Would recommend to offer if your friend loves kawaii stuff</v>
      </c>
    </row>
    <row r="9398">
      <c r="A9398" s="1">
        <v>5.0</v>
      </c>
      <c r="B9398" s="1" t="s">
        <v>9259</v>
      </c>
      <c r="C9398" t="str">
        <f>IFERROR(__xludf.DUMMYFUNCTION("GOOGLETRANSLATE(B9398, ""fr"", ""en"")"),"This is a very nice bag This is a very nice bag, good quality and strong and I'm proud to buy it for my son and I'm sure he'll be happy to have")</f>
        <v>This is a very nice bag This is a very nice bag, good quality and strong and I'm proud to buy it for my son and I'm sure he'll be happy to have</v>
      </c>
    </row>
    <row r="9399">
      <c r="A9399" s="1">
        <v>5.0</v>
      </c>
      <c r="B9399" s="1" t="s">
        <v>9260</v>
      </c>
      <c r="C9399" t="str">
        <f>IFERROR(__xludf.DUMMYFUNCTION("GOOGLETRANSLATE(B9399, ""fr"", ""en"")"),"Awesome ! People who complain that the balls inside out or the sole is hard, normal you do not seem to have read the manual but should not walk with !!! They only serve to warm the feet when you're on the couch for example! They keep warm, they are effect"&amp;"ive in what they are made for :)")</f>
        <v>Awesome ! People who complain that the balls inside out or the sole is hard, normal you do not seem to have read the manual but should not walk with !!! They only serve to warm the feet when you're on the couch for example! They keep warm, they are effective in what they are made for :)</v>
      </c>
    </row>
    <row r="9400">
      <c r="A9400" s="1">
        <v>5.0</v>
      </c>
      <c r="B9400" s="1" t="s">
        <v>9261</v>
      </c>
      <c r="C9400" t="str">
        <f>IFERROR(__xludf.DUMMYFUNCTION("GOOGLETRANSLATE(B9400, ""fr"", ""en"")"),"Great ! Good product, the highest quality in puma. I have full range (boxers, socks, shirt, pants, sweatshirts, shoes, jacket ...). The socks are cut. Comfortable and beautiful product.")</f>
        <v>Great ! Good product, the highest quality in puma. I have full range (boxers, socks, shirt, pants, sweatshirts, shoes, jacket ...). The socks are cut. Comfortable and beautiful product.</v>
      </c>
    </row>
    <row r="9401">
      <c r="A9401" s="1">
        <v>5.0</v>
      </c>
      <c r="B9401" s="1" t="s">
        <v>9262</v>
      </c>
      <c r="C9401" t="str">
        <f>IFERROR(__xludf.DUMMYFUNCTION("GOOGLETRANSLATE(B9401, ""fr"", ""en"")"),"RAS Article consistent with the description. The shoes carve well and are comfortable. I am satisfied with my purchase. Sending in time.")</f>
        <v>RAS Article consistent with the description. The shoes carve well and are comfortable. I am satisfied with my purchase. Sending in time.</v>
      </c>
    </row>
    <row r="9402">
      <c r="A9402" s="1">
        <v>5.0</v>
      </c>
      <c r="B9402" s="1" t="s">
        <v>9263</v>
      </c>
      <c r="C9402" t="str">
        <f>IFERROR(__xludf.DUMMYFUNCTION("GOOGLETRANSLATE(B9402, ""fr"", ""en"")"),"At the top I was not a fan of Converse but that was before, and with this leather model, it combines comfort and sports casual chic, perfect. Length fits well. I recommend :)")</f>
        <v>At the top I was not a fan of Converse but that was before, and with this leather model, it combines comfort and sports casual chic, perfect. Length fits well. I recommend :)</v>
      </c>
    </row>
    <row r="9403">
      <c r="A9403" s="1">
        <v>5.0</v>
      </c>
      <c r="B9403" s="1" t="s">
        <v>9264</v>
      </c>
      <c r="C9403" t="str">
        <f>IFERROR(__xludf.DUMMYFUNCTION("GOOGLETRANSLATE(B9403, ""fr"", ""en"")"),"Purchase Nickel veririfier nothing other typing")</f>
        <v>Purchase Nickel veririfier nothing other typing</v>
      </c>
    </row>
    <row r="9404">
      <c r="A9404" s="1">
        <v>5.0</v>
      </c>
      <c r="B9404" s="1" t="s">
        <v>9265</v>
      </c>
      <c r="C9404" t="str">
        <f>IFERROR(__xludf.DUMMYFUNCTION("GOOGLETRANSLATE(B9404, ""fr"", ""en"")"),"Oh yes ..... superb watch Following a newsletter Dealabs, I saw a small promotion on this show .... I had bought in 2007 ... 250 € instead of 450 € in a store that was shut down, and I was really happy with this watch, until almost the end of 2015, when i"&amp;"t stopped, alas, finally .. irreparable because dead battery and impossible to change. In short, this watch will like him very much though a little thicker, a little heavier ... but also that of qlques grams, however, the face of it is beautiful, and more"&amp;" beautiful than ""my old"" and much less expensive than my first. I am not a ""Casio agent"", but I strongly recommend.")</f>
        <v>Oh yes ..... superb watch Following a newsletter Dealabs, I saw a small promotion on this show .... I had bought in 2007 ... 250 € instead of 450 € in a store that was shut down, and I was really happy with this watch, until almost the end of 2015, when it stopped, alas, finally .. irreparable because dead battery and impossible to change. In short, this watch will like him very much though a little thicker, a little heavier ... but also that of qlques grams, however, the face of it is beautiful, and more beautiful than "my old" and much less expensive than my first. I am not a "Casio agent", but I strongly recommend.</v>
      </c>
    </row>
    <row r="9405">
      <c r="A9405" s="1">
        <v>5.0</v>
      </c>
      <c r="B9405" s="1" t="s">
        <v>9266</v>
      </c>
      <c r="C9405" t="str">
        <f>IFERROR(__xludf.DUMMYFUNCTION("GOOGLETRANSLATE(B9405, ""fr"", ""en"")"),"Very good model of great value. I was looking for a backpack with a small volume and very well designed it is perfect and perfectly matches the description.")</f>
        <v>Very good model of great value. I was looking for a backpack with a small volume and very well designed it is perfect and perfectly matches the description.</v>
      </c>
    </row>
    <row r="9406">
      <c r="A9406" s="1">
        <v>2.0</v>
      </c>
      <c r="B9406" s="1" t="s">
        <v>9267</v>
      </c>
      <c r="C9406" t="str">
        <f>IFERROR(__xludf.DUMMYFUNCTION("GOOGLETRANSLATE(B9406, ""fr"", ""en"")"),"size one size smaller I do not have especially large feet or larger, but I put on the 43.5 and bought these nikes at 44, and it was really too small. It hurt on the outer side of the foot. I gave them to a friend. Disappointed, especially that are not fou"&amp;"nd in price I originally paid.")</f>
        <v>size one size smaller I do not have especially large feet or larger, but I put on the 43.5 and bought these nikes at 44, and it was really too small. It hurt on the outer side of the foot. I gave them to a friend. Disappointed, especially that are not found in price I originally paid.</v>
      </c>
    </row>
    <row r="9407">
      <c r="A9407" s="1">
        <v>1.0</v>
      </c>
      <c r="B9407" s="1" t="s">
        <v>9268</v>
      </c>
      <c r="C9407" t="str">
        <f>IFERROR(__xludf.DUMMYFUNCTION("GOOGLETRANSLATE(B9407, ""fr"", ""en"")"),"the size I have not loved her going is too small desolated")</f>
        <v>the size I have not loved her going is too small desolated</v>
      </c>
    </row>
    <row r="9408">
      <c r="A9408" s="1">
        <v>3.0</v>
      </c>
      <c r="B9408" s="1" t="s">
        <v>9269</v>
      </c>
      <c r="C9408" t="str">
        <f>IFERROR(__xludf.DUMMYFUNCTION("GOOGLETRANSLATE(B9408, ""fr"", ""en"")"),"Very good shoes shoes bought for Recycling after the hikes. Size a little tight but I had taken the size bigger and I lose by chewing. Count my purchase")</f>
        <v>Very good shoes shoes bought for Recycling after the hikes. Size a little tight but I had taken the size bigger and I lose by chewing. Count my purchase</v>
      </c>
    </row>
    <row r="9409">
      <c r="A9409" s="1">
        <v>3.0</v>
      </c>
      <c r="B9409" s="1" t="s">
        <v>9270</v>
      </c>
      <c r="C9409" t="str">
        <f>IFERROR(__xludf.DUMMYFUNCTION("GOOGLETRANSLATE(B9409, ""fr"", ""en"")"),"Baby is happy Compact, simple and easy to use, even my companion immediately understood the operation of the unit. The five heating levels allow precise setting for the baby of happiness, the large opening and the big button to use with one hand, which is"&amp;" handy when the child decided it was the time IMMEDIATELY ^^ Now the blame. - He does not have tone or visual end heater. - It has a heater not very fast but it is still a good quality product, but a little expensive considering its flaws")</f>
        <v>Baby is happy Compact, simple and easy to use, even my companion immediately understood the operation of the unit. The five heating levels allow precise setting for the baby of happiness, the large opening and the big button to use with one hand, which is handy when the child decided it was the time IMMEDIATELY ^^ Now the blame. - He does not have tone or visual end heater. - It has a heater not very fast but it is still a good quality product, but a little expensive considering its flaws</v>
      </c>
    </row>
    <row r="9410">
      <c r="A9410" s="1">
        <v>4.0</v>
      </c>
      <c r="B9410" s="1" t="s">
        <v>9271</v>
      </c>
      <c r="C9410" t="str">
        <f>IFERROR(__xludf.DUMMYFUNCTION("GOOGLETRANSLATE(B9410, ""fr"", ""en"")"),"No 1/2 sizes. Too small in size 42 and size 43 too big. Too bad I see him again.")</f>
        <v>No 1/2 sizes. Too small in size 42 and size 43 too big. Too bad I see him again.</v>
      </c>
    </row>
    <row r="9411">
      <c r="A9411" s="1">
        <v>4.0</v>
      </c>
      <c r="B9411" s="1" t="s">
        <v>9272</v>
      </c>
      <c r="C9411" t="str">
        <f>IFERROR(__xludf.DUMMYFUNCTION("GOOGLETRANSLATE(B9411, ""fr"", ""en"")"),"Very good product I chose this draws milk because of the good reviews it had and I'm not disappointed. I had already tested two different tires rented milk, Ardo Calypso Personal Lactalina but I think that's a little better especially because of its small"&amp;" size and the pumping set that is very good. The bag comes with the more practice makes a carry. By cons must not expect a apareil who performs miracles, the amount of milk expressed will not bcp augmeter most is more a matter of convenience and time spen"&amp;"t for expressing milk .")</f>
        <v>Very good product I chose this draws milk because of the good reviews it had and I'm not disappointed. I had already tested two different tires rented milk, Ardo Calypso Personal Lactalina but I think that's a little better especially because of its small size and the pumping set that is very good. The bag comes with the more practice makes a carry. By cons must not expect a apareil who performs miracles, the amount of milk expressed will not bcp augmeter most is more a matter of convenience and time spent for expressing milk .</v>
      </c>
    </row>
    <row r="9412">
      <c r="A9412" s="1">
        <v>4.0</v>
      </c>
      <c r="B9412" s="1" t="s">
        <v>9273</v>
      </c>
      <c r="C9412" t="str">
        <f>IFERROR(__xludf.DUMMYFUNCTION("GOOGLETRANSLATE(B9412, ""fr"", ""en"")"),"Delivery size impeccably relay point before the scheduled yet during the holidays. It just size accordance anticipate to have a little thick socks and rising because the leather rubs on the front, but they are safety shoes. So great product.")</f>
        <v>Delivery size impeccably relay point before the scheduled yet during the holidays. It just size accordance anticipate to have a little thick socks and rising because the leather rubs on the front, but they are safety shoes. So great product.</v>
      </c>
    </row>
    <row r="9413">
      <c r="A9413" s="1">
        <v>4.0</v>
      </c>
      <c r="B9413" s="1" t="s">
        <v>9274</v>
      </c>
      <c r="C9413" t="str">
        <f>IFERROR(__xludf.DUMMYFUNCTION("GOOGLETRANSLATE(B9413, ""fr"", ""en"")"),"products comply Complies with the description.")</f>
        <v>products comply Complies with the description.</v>
      </c>
    </row>
    <row r="9414">
      <c r="A9414" s="1">
        <v>5.0</v>
      </c>
      <c r="B9414" s="1" t="s">
        <v>9275</v>
      </c>
      <c r="C9414" t="str">
        <f>IFERROR(__xludf.DUMMYFUNCTION("GOOGLETRANSLATE(B9414, ""fr"", ""en"")"),"Very good, very waterproof trench coat This long sleeve is waterproof. When I took a dress the day before it rained. I took it out to keep it in the rain. It was better than what I thought. It was resistant to rain. Put it in a ventilated area and do it a"&amp;"ll at once. I like a garment very practice that must be my good mate in winter.")</f>
        <v>Very good, very waterproof trench coat This long sleeve is waterproof. When I took a dress the day before it rained. I took it out to keep it in the rain. It was better than what I thought. It was resistant to rain. Put it in a ventilated area and do it all at once. I like a garment very practice that must be my good mate in winter.</v>
      </c>
    </row>
    <row r="9415">
      <c r="A9415" s="1">
        <v>5.0</v>
      </c>
      <c r="B9415" s="1" t="s">
        <v>9276</v>
      </c>
      <c r="C9415" t="str">
        <f>IFERROR(__xludf.DUMMYFUNCTION("GOOGLETRANSLATE(B9415, ""fr"", ""en"")"),"Good shoes I took size 39, it's my size in general. So perfect! If you want it to be a little wider, take a size up if taking your usual size. This is the first time I take the brand. Very comfortable for walking a long, very pretty. I just love it")</f>
        <v>Good shoes I took size 39, it's my size in general. So perfect! If you want it to be a little wider, take a size up if taking your usual size. This is the first time I take the brand. Very comfortable for walking a long, very pretty. I just love it</v>
      </c>
    </row>
    <row r="9416">
      <c r="A9416" s="1">
        <v>5.0</v>
      </c>
      <c r="B9416" s="1" t="s">
        <v>9277</v>
      </c>
      <c r="C9416" t="str">
        <f>IFERROR(__xludf.DUMMYFUNCTION("GOOGLETRANSLATE(B9416, ""fr"", ""en"")"),"Indestructible, buy eyes closed Beautiful")</f>
        <v>Indestructible, buy eyes closed Beautiful</v>
      </c>
    </row>
    <row r="9417">
      <c r="A9417" s="1">
        <v>5.0</v>
      </c>
      <c r="B9417" s="1" t="s">
        <v>204</v>
      </c>
      <c r="C9417" t="str">
        <f>IFERROR(__xludf.DUMMYFUNCTION("GOOGLETRANSLATE(B9417, ""fr"", ""en"")"),"Top Top")</f>
        <v>Top Top</v>
      </c>
    </row>
    <row r="9418">
      <c r="A9418" s="1">
        <v>5.0</v>
      </c>
      <c r="B9418" s="1" t="s">
        <v>9278</v>
      </c>
      <c r="C9418" t="str">
        <f>IFERROR(__xludf.DUMMYFUNCTION("GOOGLETRANSLATE(B9418, ""fr"", ""en"")"),"Super comfortable and pleasant light")</f>
        <v>Super comfortable and pleasant light</v>
      </c>
    </row>
    <row r="9419">
      <c r="A9419" s="1">
        <v>5.0</v>
      </c>
      <c r="B9419" s="1" t="s">
        <v>9279</v>
      </c>
      <c r="C9419" t="str">
        <f>IFERROR(__xludf.DUMMYFUNCTION("GOOGLETRANSLATE(B9419, ""fr"", ""en"")"),"Ability common printer uses")</f>
        <v>Ability common printer uses</v>
      </c>
    </row>
    <row r="9420">
      <c r="A9420" s="1">
        <v>5.0</v>
      </c>
      <c r="B9420" s="1" t="s">
        <v>9280</v>
      </c>
      <c r="C9420" t="str">
        <f>IFERROR(__xludf.DUMMYFUNCTION("GOOGLETRANSLATE(B9420, ""fr"", ""en"")"),"Quality Tiger Balm This batch of Patch Tiger Balm is very effective against pain. My dad used regularly after hiking. I recommend")</f>
        <v>Quality Tiger Balm This batch of Patch Tiger Balm is very effective against pain. My dad used regularly after hiking. I recommend</v>
      </c>
    </row>
    <row r="9421">
      <c r="A9421" s="1">
        <v>5.0</v>
      </c>
      <c r="B9421" s="1" t="s">
        <v>9281</v>
      </c>
      <c r="C9421" t="str">
        <f>IFERROR(__xludf.DUMMYFUNCTION("GOOGLETRANSLATE(B9421, ""fr"", ""en"")"),"Modern headphones! Earphones with an elegant and modern design. Very easy to use in pairs or alone. The sound quality is good. It is a product that I recommend.")</f>
        <v>Modern headphones! Earphones with an elegant and modern design. Very easy to use in pairs or alone. The sound quality is good. It is a product that I recommend.</v>
      </c>
    </row>
    <row r="9422">
      <c r="A9422" s="1">
        <v>5.0</v>
      </c>
      <c r="B9422" s="1" t="s">
        <v>9282</v>
      </c>
      <c r="C9422" t="str">
        <f>IFERROR(__xludf.DUMMYFUNCTION("GOOGLETRANSLATE(B9422, ""fr"", ""en"")"),"Top Great look, great comfort, great grip to the ground, I ve had to recommend a 2nd pair, my son is delighted")</f>
        <v>Top Great look, great comfort, great grip to the ground, I ve had to recommend a 2nd pair, my son is delighted</v>
      </c>
    </row>
    <row r="9423">
      <c r="A9423" s="1">
        <v>5.0</v>
      </c>
      <c r="B9423" s="1" t="s">
        <v>9283</v>
      </c>
      <c r="C9423" t="str">
        <f>IFERROR(__xludf.DUMMYFUNCTION("GOOGLETRANSLATE(B9423, ""fr"", ""en"")"),"Meets Photo Color consistent impeccable Size")</f>
        <v>Meets Photo Color consistent impeccable Size</v>
      </c>
    </row>
    <row r="9424">
      <c r="A9424" s="1">
        <v>5.0</v>
      </c>
      <c r="B9424" s="1" t="s">
        <v>9284</v>
      </c>
      <c r="C9424" t="str">
        <f>IFERROR(__xludf.DUMMYFUNCTION("GOOGLETRANSLATE(B9424, ""fr"", ""en"")"),"perfect nor too big nor too small, they are perfect!")</f>
        <v>perfect nor too big nor too small, they are perfect!</v>
      </c>
    </row>
    <row r="9425">
      <c r="A9425" s="1">
        <v>5.0</v>
      </c>
      <c r="B9425" s="1" t="s">
        <v>9285</v>
      </c>
      <c r="C9425" t="str">
        <f>IFERROR(__xludf.DUMMYFUNCTION("GOOGLETRANSLATE(B9425, ""fr"", ""en"")"),"Customer very satisfied G-shock still on top this watch is fabulous and super light one does not feel the same I recommend this product to all addicts g-shock Thanks to amazon for the speed of delivery.")</f>
        <v>Customer very satisfied G-shock still on top this watch is fabulous and super light one does not feel the same I recommend this product to all addicts g-shock Thanks to amazon for the speed of delivery.</v>
      </c>
    </row>
    <row r="9426">
      <c r="A9426" s="1">
        <v>5.0</v>
      </c>
      <c r="B9426" s="1" t="s">
        <v>9286</v>
      </c>
      <c r="C9426" t="str">
        <f>IFERROR(__xludf.DUMMYFUNCTION("GOOGLETRANSLATE(B9426, ""fr"", ""en"")"),"good quality product is of good quality, nice finish, size is respected. original with its node without laces. I advise")</f>
        <v>good quality product is of good quality, nice finish, size is respected. original with its node without laces. I advise</v>
      </c>
    </row>
    <row r="9427">
      <c r="A9427" s="1">
        <v>5.0</v>
      </c>
      <c r="B9427" s="1" t="s">
        <v>9287</v>
      </c>
      <c r="C9427" t="str">
        <f>IFERROR(__xludf.DUMMYFUNCTION("GOOGLETRANSLATE(B9427, ""fr"", ""en"")"),"Quality and comfort sports a super quality. Really comfortable. Light. perfect size! Pleasant surprise! Elegant and comfortable.")</f>
        <v>Quality and comfort sports a super quality. Really comfortable. Light. perfect size! Pleasant surprise! Elegant and comfortable.</v>
      </c>
    </row>
    <row r="9428">
      <c r="A9428" s="1">
        <v>5.0</v>
      </c>
      <c r="B9428" s="1" t="s">
        <v>9288</v>
      </c>
      <c r="C9428" t="str">
        <f>IFERROR(__xludf.DUMMYFUNCTION("GOOGLETRANSLATE(B9428, ""fr"", ""en"")"),"Nickel soon as I have to buy Accessoirie PC or smartphone I have UGREEN reflex on Amazon. I found exactly what I want and the quality I want. All my encouragement to maintain this level of quality and service.")</f>
        <v>Nickel soon as I have to buy Accessoirie PC or smartphone I have UGREEN reflex on Amazon. I found exactly what I want and the quality I want. All my encouragement to maintain this level of quality and service.</v>
      </c>
    </row>
    <row r="9429">
      <c r="A9429" s="1">
        <v>2.0</v>
      </c>
      <c r="B9429" s="1" t="s">
        <v>9289</v>
      </c>
      <c r="C9429" t="str">
        <f>IFERROR(__xludf.DUMMYFUNCTION("GOOGLETRANSLATE(B9429, ""fr"", ""en"")"),"defective product and 'made in China .. The product has defects. The most visible is the brand that reveal sleeves on the sides of the bag because I think it's wrong concervé (see photo). Otherwise it is a product 'Made in China', and even find the label "&amp;"on the product for the materials used.")</f>
        <v>defective product and 'made in China .. The product has defects. The most visible is the brand that reveal sleeves on the sides of the bag because I think it's wrong concervé (see photo). Otherwise it is a product 'Made in China', and even find the label on the product for the materials used.</v>
      </c>
    </row>
    <row r="9430">
      <c r="A9430" s="1">
        <v>1.0</v>
      </c>
      <c r="B9430" s="1" t="s">
        <v>9290</v>
      </c>
      <c r="C9430" t="str">
        <f>IFERROR(__xludf.DUMMYFUNCTION("GOOGLETRANSLATE(B9430, ""fr"", ""en"")"),"Glass striped Hello, I received the automatic design shows spitz (Gold-Black) as scheduled. The Glass 3 large scratch, I'm really disappointed")</f>
        <v>Glass striped Hello, I received the automatic design shows spitz (Gold-Black) as scheduled. The Glass 3 large scratch, I'm really disappointed</v>
      </c>
    </row>
    <row r="9431">
      <c r="A9431" s="1">
        <v>1.0</v>
      </c>
      <c r="B9431" s="1" t="s">
        <v>9291</v>
      </c>
      <c r="C9431" t="str">
        <f>IFERROR(__xludf.DUMMYFUNCTION("GOOGLETRANSLATE(B9431, ""fr"", ""en"")"),"Disappointing Material too fine and too extensible. Few maintenance")</f>
        <v>Disappointing Material too fine and too extensible. Few maintenance</v>
      </c>
    </row>
    <row r="9432">
      <c r="A9432" s="1">
        <v>3.0</v>
      </c>
      <c r="B9432" s="1" t="s">
        <v>9292</v>
      </c>
      <c r="C9432" t="str">
        <f>IFERROR(__xludf.DUMMYFUNCTION("GOOGLETRANSLATE(B9432, ""fr"", ""en"")"),"very slow to receive as many packages that come not a date very appreciated but not enough time to receive your packages to your date to make a gift")</f>
        <v>very slow to receive as many packages that come not a date very appreciated but not enough time to receive your packages to your date to make a gift</v>
      </c>
    </row>
    <row r="9433">
      <c r="A9433" s="1">
        <v>3.0</v>
      </c>
      <c r="B9433" s="1" t="s">
        <v>9293</v>
      </c>
      <c r="C9433" t="str">
        <f>IFERROR(__xludf.DUMMYFUNCTION("GOOGLETRANSLATE(B9433, ""fr"", ""en"")"),"Not bad at all. Very nice sweater. Well cut and well sewn with a good fabric. However it size small enough, if you are used to cut or Carhartt Dickies. The timberland XXL is too small for me, while the XL Carhartt is fine.")</f>
        <v>Not bad at all. Very nice sweater. Well cut and well sewn with a good fabric. However it size small enough, if you are used to cut or Carhartt Dickies. The timberland XXL is too small for me, while the XL Carhartt is fine.</v>
      </c>
    </row>
    <row r="9434">
      <c r="A9434" s="1">
        <v>4.0</v>
      </c>
      <c r="B9434" s="1" t="s">
        <v>9294</v>
      </c>
      <c r="C9434" t="str">
        <f>IFERROR(__xludf.DUMMYFUNCTION("GOOGLETRANSLATE(B9434, ""fr"", ""en"")"),"Thanks to good one that warned that faillais take one size below it is going a little wide size")</f>
        <v>Thanks to good one that warned that faillais take one size below it is going a little wide size</v>
      </c>
    </row>
    <row r="9435">
      <c r="A9435" s="1">
        <v>4.0</v>
      </c>
      <c r="B9435" s="1" t="s">
        <v>9295</v>
      </c>
      <c r="C9435" t="str">
        <f>IFERROR(__xludf.DUMMYFUNCTION("GOOGLETRANSLATE(B9435, ""fr"", ""en"")"),"Although almost top for large feet wide feet! Deform slightly after a machine but it's still comfortable compared to the 43-46 that you compress feet)")</f>
        <v>Although almost top for large feet wide feet! Deform slightly after a machine but it's still comfortable compared to the 43-46 that you compress feet)</v>
      </c>
    </row>
    <row r="9436">
      <c r="A9436" s="1">
        <v>4.0</v>
      </c>
      <c r="B9436" s="1" t="s">
        <v>9296</v>
      </c>
      <c r="C9436" t="str">
        <f>IFERROR(__xludf.DUMMYFUNCTION("GOOGLETRANSLATE(B9436, ""fr"", ""en"")"),"jade roll Fast shipping. I'll test it to see if there is a result.")</f>
        <v>jade roll Fast shipping. I'll test it to see if there is a result.</v>
      </c>
    </row>
    <row r="9437">
      <c r="A9437" s="1">
        <v>4.0</v>
      </c>
      <c r="B9437" s="1" t="s">
        <v>9297</v>
      </c>
      <c r="C9437" t="str">
        <f>IFERROR(__xludf.DUMMYFUNCTION("GOOGLETRANSLATE(B9437, ""fr"", ""en"")"),"looks great")</f>
        <v>looks great</v>
      </c>
    </row>
    <row r="9438">
      <c r="A9438" s="1">
        <v>5.0</v>
      </c>
      <c r="B9438" s="1" t="s">
        <v>9298</v>
      </c>
      <c r="C9438" t="str">
        <f>IFERROR(__xludf.DUMMYFUNCTION("GOOGLETRANSLATE(B9438, ""fr"", ""en"")"),"Diffuser top o &amp; amp; Deco. Hello good works well lapping pleasant unpleasant short everything but happiness thank you to you.")</f>
        <v>Diffuser top o &amp; amp; Deco. Hello good works well lapping pleasant unpleasant short everything but happiness thank you to you.</v>
      </c>
    </row>
    <row r="9439">
      <c r="A9439" s="1">
        <v>5.0</v>
      </c>
      <c r="B9439" s="1" t="s">
        <v>9299</v>
      </c>
      <c r="C9439" t="str">
        <f>IFERROR(__xludf.DUMMYFUNCTION("GOOGLETRANSLATE(B9439, ""fr"", ""en"")"),"Nice small and diffuser design very compact, multiple colors of light and not hurt to smoke exactly what I was looking for without spending too much hyper satisfied with my purchase")</f>
        <v>Nice small and diffuser design very compact, multiple colors of light and not hurt to smoke exactly what I was looking for without spending too much hyper satisfied with my purchase</v>
      </c>
    </row>
    <row r="9440">
      <c r="A9440" s="1">
        <v>5.0</v>
      </c>
      <c r="B9440" s="1" t="s">
        <v>9300</v>
      </c>
      <c r="C9440" t="str">
        <f>IFERROR(__xludf.DUMMYFUNCTION("GOOGLETRANSLATE(B9440, ""fr"", ""en"")"),"ink cartridges Mipelo sold ink cartridges compatible with Epson XP520 my printer from the description, are not accepted by the latter. So I cartridges I do not know what to do.")</f>
        <v>ink cartridges Mipelo sold ink cartridges compatible with Epson XP520 my printer from the description, are not accepted by the latter. So I cartridges I do not know what to do.</v>
      </c>
    </row>
    <row r="9441">
      <c r="A9441" s="1">
        <v>5.0</v>
      </c>
      <c r="B9441" s="1" t="s">
        <v>9301</v>
      </c>
      <c r="C9441" t="str">
        <f>IFERROR(__xludf.DUMMYFUNCTION("GOOGLETRANSLATE(B9441, ""fr"", ""en"")"),"a marvel following a report on Corsica, I wanted to test the oil ""immortal on my psoriasis. I see after a few days, an improvement.")</f>
        <v>a marvel following a report on Corsica, I wanted to test the oil "immortal on my psoriasis. I see after a few days, an improvement.</v>
      </c>
    </row>
    <row r="9442">
      <c r="A9442" s="1">
        <v>5.0</v>
      </c>
      <c r="B9442" s="1" t="s">
        <v>9302</v>
      </c>
      <c r="C9442" t="str">
        <f>IFERROR(__xludf.DUMMYFUNCTION("GOOGLETRANSLATE(B9442, ""fr"", ""en"")"),"Excellent headphones. clear sound. easy use. These headphones are very light and very well take the ears and they have a clear sound without sizzle. Initialization and easy connection BT. The charger-camera is equipped with a display that shows informatio"&amp;"n on the state of charge of the headphones, and that's very helpful. The functions volume communication outlet, etc ... super simple to use. Keys effective touch that facilitates the use of headphones. The range is home to a dozen meters inside my house t"&amp;"o the outside through the walls. Sure, I'll buy the same.")</f>
        <v>Excellent headphones. clear sound. easy use. These headphones are very light and very well take the ears and they have a clear sound without sizzle. Initialization and easy connection BT. The charger-camera is equipped with a display that shows information on the state of charge of the headphones, and that's very helpful. The functions volume communication outlet, etc ... super simple to use. Keys effective touch that facilitates the use of headphones. The range is home to a dozen meters inside my house to the outside through the walls. Sure, I'll buy the same.</v>
      </c>
    </row>
    <row r="9443">
      <c r="A9443" s="1">
        <v>5.0</v>
      </c>
      <c r="B9443" s="1" t="s">
        <v>9303</v>
      </c>
      <c r="C9443" t="str">
        <f>IFERROR(__xludf.DUMMYFUNCTION("GOOGLETRANSLATE(B9443, ""fr"", ""en"")"),"I love beautiful and comfortable")</f>
        <v>I love beautiful and comfortable</v>
      </c>
    </row>
    <row r="9444">
      <c r="A9444" s="1">
        <v>5.0</v>
      </c>
      <c r="B9444" s="1" t="s">
        <v>9304</v>
      </c>
      <c r="C9444" t="str">
        <f>IFERROR(__xludf.DUMMYFUNCTION("GOOGLETRANSLATE(B9444, ""fr"", ""en"")"),"massager equipment is well positioned as a scarf. massage is effective for cervical and relaxing. Bought absolutely")</f>
        <v>massager equipment is well positioned as a scarf. massage is effective for cervical and relaxing. Bought absolutely</v>
      </c>
    </row>
    <row r="9445">
      <c r="A9445" s="1">
        <v>5.0</v>
      </c>
      <c r="B9445" s="1" t="s">
        <v>9305</v>
      </c>
      <c r="C9445" t="str">
        <f>IFERROR(__xludf.DUMMYFUNCTION("GOOGLETRANSLATE(B9445, ""fr"", ""en"")"),"effective product I have not tried the balsam and the cleaner is great, I managed to leave traces impossible to remove with other products.")</f>
        <v>effective product I have not tried the balsam and the cleaner is great, I managed to leave traces impossible to remove with other products.</v>
      </c>
    </row>
    <row r="9446">
      <c r="A9446" s="1">
        <v>5.0</v>
      </c>
      <c r="B9446" s="1" t="s">
        <v>9306</v>
      </c>
      <c r="C9446" t="str">
        <f>IFERROR(__xludf.DUMMYFUNCTION("GOOGLETRANSLATE(B9446, ""fr"", ""en"")"),"RAS Met my expectations.")</f>
        <v>RAS Met my expectations.</v>
      </c>
    </row>
    <row r="9447">
      <c r="A9447" s="1">
        <v>5.0</v>
      </c>
      <c r="B9447" s="1" t="s">
        <v>9307</v>
      </c>
      <c r="C9447" t="str">
        <f>IFERROR(__xludf.DUMMYFUNCTION("GOOGLETRANSLATE(B9447, ""fr"", ""en"")"),"Shoes satisfied very good quality and good size. I recommend.")</f>
        <v>Shoes satisfied very good quality and good size. I recommend.</v>
      </c>
    </row>
    <row r="9448">
      <c r="A9448" s="1">
        <v>5.0</v>
      </c>
      <c r="B9448" s="1" t="s">
        <v>9308</v>
      </c>
      <c r="C9448" t="str">
        <f>IFERROR(__xludf.DUMMYFUNCTION("GOOGLETRANSLATE(B9448, ""fr"", ""en"")"),"Very nice watch Beautiful watch. Beautiful turquoise blue dial with reddish glints in the sun. The strap closure is nice and everything is good, I am more than happy. It is impressive and draws the eye. I have had nothing but compliments it. Supplied in a"&amp;" diesel square box, the watch being placed on a small cushion faux leather inside.")</f>
        <v>Very nice watch Beautiful watch. Beautiful turquoise blue dial with reddish glints in the sun. The strap closure is nice and everything is good, I am more than happy. It is impressive and draws the eye. I have had nothing but compliments it. Supplied in a diesel square box, the watch being placed on a small cushion faux leather inside.</v>
      </c>
    </row>
    <row r="9449">
      <c r="A9449" s="1">
        <v>5.0</v>
      </c>
      <c r="B9449" s="1" t="s">
        <v>9309</v>
      </c>
      <c r="C9449" t="str">
        <f>IFERROR(__xludf.DUMMYFUNCTION("GOOGLETRANSLATE(B9449, ""fr"", ""en"")"),"Excellent product. I use this cable to output stereo sound of my mixer to my pregnant. The cable is faithful to the description!")</f>
        <v>Excellent product. I use this cable to output stereo sound of my mixer to my pregnant. The cable is faithful to the description!</v>
      </c>
    </row>
    <row r="9450">
      <c r="A9450" s="1">
        <v>5.0</v>
      </c>
      <c r="B9450" s="1" t="s">
        <v>9310</v>
      </c>
      <c r="C9450" t="str">
        <f>IFERROR(__xludf.DUMMYFUNCTION("GOOGLETRANSLATE(B9450, ""fr"", ""en"")"),"Excellent sedentary use I use it every day in the office (open space so quite noisy) associated with a USB receiver (necessary to give full power). I'm very happy, it masks great noise (better than my previous Bose QC3), audio quality is excellent at this"&amp;" price level (with good quality source, I feel in my living room) and overall it is comfortable. A must.")</f>
        <v>Excellent sedentary use I use it every day in the office (open space so quite noisy) associated with a USB receiver (necessary to give full power). I'm very happy, it masks great noise (better than my previous Bose QC3), audio quality is excellent at this price level (with good quality source, I feel in my living room) and overall it is comfortable. A must.</v>
      </c>
    </row>
    <row r="9451">
      <c r="A9451" s="1">
        <v>5.0</v>
      </c>
      <c r="B9451" s="1" t="s">
        <v>9311</v>
      </c>
      <c r="C9451" t="str">
        <f>IFERROR(__xludf.DUMMYFUNCTION("GOOGLETRANSLATE(B9451, ""fr"", ""en"")"),"Good value I was looking for reimbursement slippers and tops, those above are though not padded case. The price of 24 € was given saw the mark.")</f>
        <v>Good value I was looking for reimbursement slippers and tops, those above are though not padded case. The price of 24 € was given saw the mark.</v>
      </c>
    </row>
    <row r="9452">
      <c r="A9452" s="1">
        <v>5.0</v>
      </c>
      <c r="B9452" s="1" t="s">
        <v>9312</v>
      </c>
      <c r="C9452" t="str">
        <f>IFERROR(__xludf.DUMMYFUNCTION("GOOGLETRANSLATE(B9452, ""fr"", ""en"")"),"Perfect Very good quality. perfect fit.")</f>
        <v>Perfect Very good quality. perfect fit.</v>
      </c>
    </row>
    <row r="9453">
      <c r="A9453" s="1">
        <v>5.0</v>
      </c>
      <c r="B9453" s="1" t="s">
        <v>9313</v>
      </c>
      <c r="C9453" t="str">
        <f>IFERROR(__xludf.DUMMYFUNCTION("GOOGLETRANSLATE(B9453, ""fr"", ""en"")"),"Although Super practical to put on the nipple that not ring like Mom like that we just put the clip without problem lollipop")</f>
        <v>Although Super practical to put on the nipple that not ring like Mom like that we just put the clip without problem lollipop</v>
      </c>
    </row>
    <row r="9454">
      <c r="A9454" s="1">
        <v>2.0</v>
      </c>
      <c r="B9454" s="1" t="s">
        <v>9314</v>
      </c>
      <c r="C9454" t="str">
        <f>IFERROR(__xludf.DUMMYFUNCTION("GOOGLETRANSLATE(B9454, ""fr"", ""en"")"),"Too expensive Too expensive compared to the quality of the product. The rods deform for nothing. I would have known, I would have put 5 € max any more.")</f>
        <v>Too expensive Too expensive compared to the quality of the product. The rods deform for nothing. I would have known, I would have put 5 € max any more.</v>
      </c>
    </row>
    <row r="9455">
      <c r="A9455" s="1">
        <v>1.0</v>
      </c>
      <c r="B9455" s="1" t="s">
        <v>9315</v>
      </c>
      <c r="C9455" t="str">
        <f>IFERROR(__xludf.DUMMYFUNCTION("GOOGLETRANSLATE(B9455, ""fr"", ""en"")"),"attractive but doubtful authenticity Price Vans sneakers sold by the seller ""hxjktxkul"" I very much doubt the authenticity given that they were sent without their original packaging, but packed in plastic bags ... more mixed for shoes, they are still ve"&amp;"ry wide when I n not yet have a foot end.")</f>
        <v>attractive but doubtful authenticity Price Vans sneakers sold by the seller "hxjktxkul" I very much doubt the authenticity given that they were sent without their original packaging, but packed in plastic bags ... more mixed for shoes, they are still very wide when I n not yet have a foot end.</v>
      </c>
    </row>
    <row r="9456">
      <c r="A9456" s="1">
        <v>1.0</v>
      </c>
      <c r="B9456" s="1" t="s">
        <v>9316</v>
      </c>
      <c r="C9456" t="str">
        <f>IFERROR(__xludf.DUMMYFUNCTION("GOOGLETRANSLATE(B9456, ""fr"", ""en"")"),"Well no !!! Not much to write. I took 2 but the tip is unscrewed door alone. Not good at all.")</f>
        <v>Well no !!! Not much to write. I took 2 but the tip is unscrewed door alone. Not good at all.</v>
      </c>
    </row>
    <row r="9457">
      <c r="A9457" s="1">
        <v>3.0</v>
      </c>
      <c r="B9457" s="1" t="s">
        <v>9317</v>
      </c>
      <c r="C9457" t="str">
        <f>IFERROR(__xludf.DUMMYFUNCTION("GOOGLETRANSLATE(B9457, ""fr"", ""en"")"),"great seller, very professional and trader! Size small. We took a size above: OK But there is a problem on two shoes. One of the shoes do not work at all. AND the second bug We contacted the seller that we returned a pair spontaneously without any difficu"&amp;"lties.")</f>
        <v>great seller, very professional and trader! Size small. We took a size above: OK But there is a problem on two shoes. One of the shoes do not work at all. AND the second bug We contacted the seller that we returned a pair spontaneously without any difficulties.</v>
      </c>
    </row>
    <row r="9458">
      <c r="A9458" s="1">
        <v>4.0</v>
      </c>
      <c r="B9458" s="1" t="s">
        <v>9318</v>
      </c>
      <c r="C9458" t="str">
        <f>IFERROR(__xludf.DUMMYFUNCTION("GOOGLETRANSLATE(B9458, ""fr"", ""en"")"),"Good value but too just size .. safety shoes")</f>
        <v>Good value but too just size .. safety shoes</v>
      </c>
    </row>
    <row r="9459">
      <c r="A9459" s="1">
        <v>4.0</v>
      </c>
      <c r="B9459" s="1" t="s">
        <v>9319</v>
      </c>
      <c r="C9459" t="str">
        <f>IFERROR(__xludf.DUMMYFUNCTION("GOOGLETRANSLATE(B9459, ""fr"", ""en"")"),"Nice product Very happy with this purchase.")</f>
        <v>Nice product Very happy with this purchase.</v>
      </c>
    </row>
    <row r="9460">
      <c r="A9460" s="1">
        <v>4.0</v>
      </c>
      <c r="B9460" s="1" t="s">
        <v>9320</v>
      </c>
      <c r="C9460" t="str">
        <f>IFERROR(__xludf.DUMMYFUNCTION("GOOGLETRANSLATE(B9460, ""fr"", ""en"")"),"Top Article corresponds to the pictures and description. I'm very satisfied with the quality is at the appointment. Material thick and warm good, very nice article I am satisfied")</f>
        <v>Top Article corresponds to the pictures and description. I'm very satisfied with the quality is at the appointment. Material thick and warm good, very nice article I am satisfied</v>
      </c>
    </row>
    <row r="9461">
      <c r="A9461" s="1">
        <v>4.0</v>
      </c>
      <c r="B9461" s="1" t="s">
        <v>9321</v>
      </c>
      <c r="C9461" t="str">
        <f>IFERROR(__xludf.DUMMYFUNCTION("GOOGLETRANSLATE(B9461, ""fr"", ""en"")"),"CAUTION TO THE SIZE note the size, I'm doing 37 I should take 36, a size more, otherwise very good product and nice color like the picture.")</f>
        <v>CAUTION TO THE SIZE note the size, I'm doing 37 I should take 36, a size more, otherwise very good product and nice color like the picture.</v>
      </c>
    </row>
    <row r="9462">
      <c r="A9462" s="1">
        <v>4.0</v>
      </c>
      <c r="B9462" s="1" t="s">
        <v>9322</v>
      </c>
      <c r="C9462" t="str">
        <f>IFERROR(__xludf.DUMMYFUNCTION("GOOGLETRANSLATE(B9462, ""fr"", ""en"")"),"Very practical and impeccable results. Good value for money. flawless result. Resistant after several washings")</f>
        <v>Very practical and impeccable results. Good value for money. flawless result. Resistant after several washings</v>
      </c>
    </row>
    <row r="9463">
      <c r="A9463" s="1">
        <v>5.0</v>
      </c>
      <c r="B9463" s="1" t="s">
        <v>9323</v>
      </c>
      <c r="C9463" t="str">
        <f>IFERROR(__xludf.DUMMYFUNCTION("GOOGLETRANSLATE(B9463, ""fr"", ""en"")"),"great product and delivery ok I am delighted of this product, having pets at home I wash their carpets and fabrics with Sanytol cap at the time of flushing and persistent smell after drying. I also use it for socks and towels.")</f>
        <v>great product and delivery ok I am delighted of this product, having pets at home I wash their carpets and fabrics with Sanytol cap at the time of flushing and persistent smell after drying. I also use it for socks and towels.</v>
      </c>
    </row>
    <row r="9464">
      <c r="A9464" s="1">
        <v>5.0</v>
      </c>
      <c r="B9464" s="1" t="s">
        <v>9324</v>
      </c>
      <c r="C9464" t="str">
        <f>IFERROR(__xludf.DUMMYFUNCTION("GOOGLETRANSLATE(B9464, ""fr"", ""en"")"),"reliable seller I am very happy baby amber necklace multi colors. The quality is good. The delivery was faster than expected. Nothing negative to say. I recommend this seller.")</f>
        <v>reliable seller I am very happy baby amber necklace multi colors. The quality is good. The delivery was faster than expected. Nothing negative to say. I recommend this seller.</v>
      </c>
    </row>
    <row r="9465">
      <c r="A9465" s="1">
        <v>5.0</v>
      </c>
      <c r="B9465" s="1" t="s">
        <v>9325</v>
      </c>
      <c r="C9465" t="str">
        <f>IFERROR(__xludf.DUMMYFUNCTION("GOOGLETRANSLATE(B9465, ""fr"", ""en"")"),"Good quality, fast heating First I would say that the material of the cover is very nice. The connection is made so that it can be move in the wash. She did not move after passing the washing machine and dryer. Rapid heating is outstanding and lasts 10 ho"&amp;"urs. I bought it for my father calf is very chilly, and he is delighted.")</f>
        <v>Good quality, fast heating First I would say that the material of the cover is very nice. The connection is made so that it can be move in the wash. She did not move after passing the washing machine and dryer. Rapid heating is outstanding and lasts 10 hours. I bought it for my father calf is very chilly, and he is delighted.</v>
      </c>
    </row>
    <row r="9466">
      <c r="A9466" s="1">
        <v>5.0</v>
      </c>
      <c r="B9466" s="1" t="s">
        <v>9326</v>
      </c>
      <c r="C9466" t="str">
        <f>IFERROR(__xludf.DUMMYFUNCTION("GOOGLETRANSLATE(B9466, ""fr"", ""en"")"),"GER I knew this and this is no surprise.Cette reference shoe is very pleasant to walk and very comfortable perfect. Patrick cdt")</f>
        <v>GER I knew this and this is no surprise.Cette reference shoe is very pleasant to walk and very comfortable perfect. Patrick cdt</v>
      </c>
    </row>
    <row r="9467">
      <c r="A9467" s="1">
        <v>5.0</v>
      </c>
      <c r="B9467" s="1" t="s">
        <v>9327</v>
      </c>
      <c r="C9467" t="str">
        <f>IFERROR(__xludf.DUMMYFUNCTION("GOOGLETRANSLATE(B9467, ""fr"", ""en"")"),"Genial Reveil bought for my girlfriend, who was tired of his cell as alarm, it changes his life! Reveil gently in the morning thanks to the light, then the radio to ""difficult morning."" Two negatives: - If you are sensitive to light, the light gradually"&amp;" triggers 1/2 hours before the scheduled time! So we can be awakened before the normal time! - No batteries in the alarm: If the jump shot, hello manual reconfig! It's silly enough anyway")</f>
        <v>Genial Reveil bought for my girlfriend, who was tired of his cell as alarm, it changes his life! Reveil gently in the morning thanks to the light, then the radio to "difficult morning." Two negatives: - If you are sensitive to light, the light gradually triggers 1/2 hours before the scheduled time! So we can be awakened before the normal time! - No batteries in the alarm: If the jump shot, hello manual reconfig! It's silly enough anyway</v>
      </c>
    </row>
    <row r="9468">
      <c r="A9468" s="1">
        <v>5.0</v>
      </c>
      <c r="B9468" s="1" t="s">
        <v>9328</v>
      </c>
      <c r="C9468" t="str">
        <f>IFERROR(__xludf.DUMMYFUNCTION("GOOGLETRANSLATE(B9468, ""fr"", ""en"")"),"Elegant Very easy to have a tidy and pleasant office to watch. In association with the magazine rack and the sorter 3 drawers.")</f>
        <v>Elegant Very easy to have a tidy and pleasant office to watch. In association with the magazine rack and the sorter 3 drawers.</v>
      </c>
    </row>
    <row r="9469">
      <c r="A9469" s="1">
        <v>5.0</v>
      </c>
      <c r="B9469" s="1" t="s">
        <v>9329</v>
      </c>
      <c r="C9469" t="str">
        <f>IFERROR(__xludf.DUMMYFUNCTION("GOOGLETRANSLATE(B9469, ""fr"", ""en"")"),"Quality and very satisfactory finish Very easy to use, although traps dust")</f>
        <v>Quality and very satisfactory finish Very easy to use, although traps dust</v>
      </c>
    </row>
    <row r="9470">
      <c r="A9470" s="1">
        <v>5.0</v>
      </c>
      <c r="B9470" s="1" t="s">
        <v>9330</v>
      </c>
      <c r="C9470" t="str">
        <f>IFERROR(__xludf.DUMMYFUNCTION("GOOGLETRANSLATE(B9470, ""fr"", ""en"")"),"Perfect Praise. Control entirely consistent")</f>
        <v>Perfect Praise. Control entirely consistent</v>
      </c>
    </row>
    <row r="9471">
      <c r="A9471" s="1">
        <v>5.0</v>
      </c>
      <c r="B9471" s="1" t="s">
        <v>9331</v>
      </c>
      <c r="C9471" t="str">
        <f>IFERROR(__xludf.DUMMYFUNCTION("GOOGLETRANSLATE(B9471, ""fr"", ""en"")"),"Super Good quality sneakers")</f>
        <v>Super Good quality sneakers</v>
      </c>
    </row>
    <row r="9472">
      <c r="A9472" s="1">
        <v>5.0</v>
      </c>
      <c r="B9472" s="1" t="s">
        <v>9332</v>
      </c>
      <c r="C9472" t="str">
        <f>IFERROR(__xludf.DUMMYFUNCTION("GOOGLETRANSLATE(B9472, ""fr"", ""en"")"),"Finally a quality article shoes that do not hurt the feet, comfortable for people with small problems to fit. a big thank-you")</f>
        <v>Finally a quality article shoes that do not hurt the feet, comfortable for people with small problems to fit. a big thank-you</v>
      </c>
    </row>
    <row r="9473">
      <c r="A9473" s="1">
        <v>5.0</v>
      </c>
      <c r="B9473" s="1" t="s">
        <v>9333</v>
      </c>
      <c r="C9473" t="str">
        <f>IFERROR(__xludf.DUMMYFUNCTION("GOOGLETRANSLATE(B9473, ""fr"", ""en"")"),"COMPLIANCE Compliance with the description, it's worked very well. RAS")</f>
        <v>COMPLIANCE Compliance with the description, it's worked very well. RAS</v>
      </c>
    </row>
    <row r="9474">
      <c r="A9474" s="1">
        <v>5.0</v>
      </c>
      <c r="B9474" s="1" t="s">
        <v>9334</v>
      </c>
      <c r="C9474" t="str">
        <f>IFERROR(__xludf.DUMMYFUNCTION("GOOGLETRANSLATE(B9474, ""fr"", ""en"")"),"Perfect for beginners in the observation of small well constructed book microcosm to start step by step, give ideas to our young curious: what and where to take? Learn to collect sample, take samples, perform preparations, coloring, fixing etc. The observ"&amp;"ation, description, holding a newspaper. naturalism elements, etc. Full of experience and observations ideas. The advice and the precautions to take to succeed. A summary that will give a better idea of ​​the contents: 1) See the little things in big 2) E"&amp;"xploration Habitat (bark, old wood, remains, soil, cow dung, meadow, pond ...) 3) The microscope ( the parts, handling, maintenance, auxiliary equipment) 4) First observation 5) life in a drop of water (review of common microorganisms) 6) the world of alg"&amp;"ae 7) Composition of plants (pollen, leaves etc.) 8) Cut and color 9) lichens and ferns Mosses 10) Do not be afraid of spiders 11) the most viewed insects near 12) sustainable Preparation (to make a collection of preparations that we can keep, handling gl"&amp;"ycerin-gelatin) 13) Blood and hair (hair, horsehair, etc.) 14) the wonderful world of crystals 15) on the trail of light (optical elements, how a magnifying glass, what that a focal length, etc.) 16) Making visible carbon (introduction to electron microsc"&amp;"opy) 17) The microscope and science 18) Micro (want to analyze the quality of a pond? The Microscopic Life in your aquarium ... etc) 19) Glossary Of course, this book is especially useful if you have a good quality microscope. There is a website you find "&amp;"with a few key words and offers a comparative quite useful to guide purchase. For less than 100 Euros, it's enough to acquire a quite correct microscope and that can even connect to a PC that enables you to photograph the comments.")</f>
        <v>Perfect for beginners in the observation of small well constructed book microcosm to start step by step, give ideas to our young curious: what and where to take? Learn to collect sample, take samples, perform preparations, coloring, fixing etc. The observation, description, holding a newspaper. naturalism elements, etc. Full of experience and observations ideas. The advice and the precautions to take to succeed. A summary that will give a better idea of ​​the contents: 1) See the little things in big 2) Exploration Habitat (bark, old wood, remains, soil, cow dung, meadow, pond ...) 3) The microscope ( the parts, handling, maintenance, auxiliary equipment) 4) First observation 5) life in a drop of water (review of common microorganisms) 6) the world of algae 7) Composition of plants (pollen, leaves etc.) 8) Cut and color 9) lichens and ferns Mosses 10) Do not be afraid of spiders 11) the most viewed insects near 12) sustainable Preparation (to make a collection of preparations that we can keep, handling glycerin-gelatin) 13) Blood and hair (hair, horsehair, etc.) 14) the wonderful world of crystals 15) on the trail of light (optical elements, how a magnifying glass, what that a focal length, etc.) 16) Making visible carbon (introduction to electron microscopy) 17) The microscope and science 18) Micro (want to analyze the quality of a pond? The Microscopic Life in your aquarium ... etc) 19) Glossary Of course, this book is especially useful if you have a good quality microscope. There is a website you find with a few key words and offers a comparative quite useful to guide purchase. For less than 100 Euros, it's enough to acquire a quite correct microscope and that can even connect to a PC that enables you to photograph the comments.</v>
      </c>
    </row>
    <row r="9475">
      <c r="A9475" s="1">
        <v>5.0</v>
      </c>
      <c r="B9475" s="1" t="s">
        <v>9335</v>
      </c>
      <c r="C9475" t="str">
        <f>IFERROR(__xludf.DUMMYFUNCTION("GOOGLETRANSLATE(B9475, ""fr"", ""en"")"),"Okay Super diffuser electric oil I recommend it 100%. Is no friendly light noise !! Thank you")</f>
        <v>Okay Super diffuser electric oil I recommend it 100%. Is no friendly light noise !! Thank you</v>
      </c>
    </row>
    <row r="9476">
      <c r="A9476" s="1">
        <v>5.0</v>
      </c>
      <c r="B9476" s="1" t="s">
        <v>9336</v>
      </c>
      <c r="C9476" t="str">
        <f>IFERROR(__xludf.DUMMYFUNCTION("GOOGLETRANSLATE(B9476, ""fr"", ""en"")"),"Really comfortable I do not regret my purchase really beautiful")</f>
        <v>Really comfortable I do not regret my purchase really beautiful</v>
      </c>
    </row>
    <row r="9477">
      <c r="A9477" s="1">
        <v>5.0</v>
      </c>
      <c r="B9477" s="1" t="s">
        <v>9337</v>
      </c>
      <c r="C9477" t="str">
        <f>IFERROR(__xludf.DUMMYFUNCTION("GOOGLETRANSLATE(B9477, ""fr"", ""en"")"),"One of the best micro market! I'm so glad owned this mic because it is really great, my friends recommended me and frankly for the price you can not fault him, he's nice and works really well, I make YouTube videos and quality is really great, no need to "&amp;"pay more to get better! I think this is the best value! Do not hesitate to buy it! Warning I talk about this being gamer, I am in no way singer *")</f>
        <v>One of the best micro market! I'm so glad owned this mic because it is really great, my friends recommended me and frankly for the price you can not fault him, he's nice and works really well, I make YouTube videos and quality is really great, no need to pay more to get better! I think this is the best value! Do not hesitate to buy it! Warning I talk about this being gamer, I am in no way singer *</v>
      </c>
    </row>
    <row r="9478">
      <c r="A9478" s="1">
        <v>2.0</v>
      </c>
      <c r="B9478" s="1" t="s">
        <v>9338</v>
      </c>
      <c r="C9478" t="str">
        <f>IFERROR(__xludf.DUMMYFUNCTION("GOOGLETRANSLATE(B9478, ""fr"", ""en"")"),"not great I bought these felts to 10 months of my son thinking they would survive it some saw the promises made on the boxes. But it was nothing after a week 3 was already more than mine! mines dry up very quickly! in short I do not recommend this other c"&amp;"ompetitors are doing much better children felt the same price")</f>
        <v>not great I bought these felts to 10 months of my son thinking they would survive it some saw the promises made on the boxes. But it was nothing after a week 3 was already more than mine! mines dry up very quickly! in short I do not recommend this other competitors are doing much better children felt the same price</v>
      </c>
    </row>
    <row r="9479">
      <c r="A9479" s="1">
        <v>1.0</v>
      </c>
      <c r="B9479" s="1" t="s">
        <v>9339</v>
      </c>
      <c r="C9479" t="str">
        <f>IFERROR(__xludf.DUMMYFUNCTION("GOOGLETRANSLATE(B9479, ""fr"", ""en"")"),"Very soft shoe hot shoe be little but like slippers after a week, not a single holding is affesse and deforms")</f>
        <v>Very soft shoe hot shoe be little but like slippers after a week, not a single holding is affesse and deforms</v>
      </c>
    </row>
    <row r="9480">
      <c r="A9480" s="1">
        <v>3.0</v>
      </c>
      <c r="B9480" s="1" t="s">
        <v>9340</v>
      </c>
      <c r="C9480" t="str">
        <f>IFERROR(__xludf.DUMMYFUNCTION("GOOGLETRANSLATE(B9480, ""fr"", ""en"")"),"Coloring book very childish very childish as said in another comment. Much more than horses in the same collection. A little disappointed the blow, but it will make heureuc anyway ..")</f>
        <v>Coloring book very childish very childish as said in another comment. Much more than horses in the same collection. A little disappointed the blow, but it will make heureuc anyway ..</v>
      </c>
    </row>
    <row r="9481">
      <c r="A9481" s="1">
        <v>3.0</v>
      </c>
      <c r="B9481" s="1" t="s">
        <v>9341</v>
      </c>
      <c r="C9481" t="str">
        <f>IFERROR(__xludf.DUMMYFUNCTION("GOOGLETRANSLATE(B9481, ""fr"", ""en"")"),"Poor quality and cheap product, but of poor quality. I do not advise")</f>
        <v>Poor quality and cheap product, but of poor quality. I do not advise</v>
      </c>
    </row>
    <row r="9482">
      <c r="A9482" s="1">
        <v>4.0</v>
      </c>
      <c r="B9482" s="1" t="s">
        <v>9342</v>
      </c>
      <c r="C9482" t="str">
        <f>IFERROR(__xludf.DUMMYFUNCTION("GOOGLETRANSLATE(B9482, ""fr"", ""en"")"),"Resistant Products solid")</f>
        <v>Resistant Products solid</v>
      </c>
    </row>
    <row r="9483">
      <c r="A9483" s="1">
        <v>4.0</v>
      </c>
      <c r="B9483" s="1" t="s">
        <v>9343</v>
      </c>
      <c r="C9483" t="str">
        <f>IFERROR(__xludf.DUMMYFUNCTION("GOOGLETRANSLATE(B9483, ""fr"", ""en"")"),"Beautiful neon together for my birthday. Order received quickly. Thank you Amazon. This batch of fluorescent products will serve me for my birthday (My 50) with the theme (It goes without saying) year 80 fluorescent. I have a black light lamp and apart br"&amp;"acelets and earrings, all is flashi! Only the orange strap spring well. As against the pearl necklaces are sparkling lights. Flat also for earrings. They are with some glitter but does not reflect the fluorescent purple. One can not have everything. . .")</f>
        <v>Beautiful neon together for my birthday. Order received quickly. Thank you Amazon. This batch of fluorescent products will serve me for my birthday (My 50) with the theme (It goes without saying) year 80 fluorescent. I have a black light lamp and apart bracelets and earrings, all is flashi! Only the orange strap spring well. As against the pearl necklaces are sparkling lights. Flat also for earrings. They are with some glitter but does not reflect the fluorescent purple. One can not have everything. . .</v>
      </c>
    </row>
    <row r="9484">
      <c r="A9484" s="1">
        <v>4.0</v>
      </c>
      <c r="B9484" s="1" t="s">
        <v>9344</v>
      </c>
      <c r="C9484" t="str">
        <f>IFERROR(__xludf.DUMMYFUNCTION("GOOGLETRANSLATE(B9484, ""fr"", ""en"")"),"My wife leaves him more Parcel received after 2 days in a too small Amazon envelope. Fortunately, the pendant and necklace was orange in their case, rather pretty. has inside of it, there was a small gold pocket or inside was a small zip pocket or there w"&amp;"as -finally- the necklace and pendant. it's still much protection layer for a simple necklace. Now the product: pendant small, about 2 cm high and 2 / 3cm wide, but which accurately corresponds to the photo. it looks pretty solid. The collar when to it's "&amp;"end, about 20 / 25cm in length (by eye) I do not think the collar make more than a few months saw finesse. Madame was fortunately very happy, she wears's reception. I would have put photos, but I do not know how the Amazon application. This 4-star because"&amp;" of the on product protection, in my opinion, the small zip bag was not mandatory.")</f>
        <v>My wife leaves him more Parcel received after 2 days in a too small Amazon envelope. Fortunately, the pendant and necklace was orange in their case, rather pretty. has inside of it, there was a small gold pocket or inside was a small zip pocket or there was -finally- the necklace and pendant. it's still much protection layer for a simple necklace. Now the product: pendant small, about 2 cm high and 2 / 3cm wide, but which accurately corresponds to the photo. it looks pretty solid. The collar when to it's end, about 20 / 25cm in length (by eye) I do not think the collar make more than a few months saw finesse. Madame was fortunately very happy, she wears's reception. I would have put photos, but I do not know how the Amazon application. This 4-star because of the on product protection, in my opinion, the small zip bag was not mandatory.</v>
      </c>
    </row>
    <row r="9485">
      <c r="A9485" s="1">
        <v>4.0</v>
      </c>
      <c r="B9485" s="1" t="s">
        <v>9345</v>
      </c>
      <c r="C9485" t="str">
        <f>IFERROR(__xludf.DUMMYFUNCTION("GOOGLETRANSLATE(B9485, ""fr"", ""en"")"),"Good cushion massage Suffering from back pain, so I tried the massage cushion. When the back is really sore, massage is too strong and difficult to bear. In my neck which is less sensitive, massage is perfect and greatly relaxes. The heating function is p"&amp;"erfect")</f>
        <v>Good cushion massage Suffering from back pain, so I tried the massage cushion. When the back is really sore, massage is too strong and difficult to bear. In my neck which is less sensitive, massage is perfect and greatly relaxes. The heating function is perfect</v>
      </c>
    </row>
    <row r="9486">
      <c r="A9486" s="1">
        <v>5.0</v>
      </c>
      <c r="B9486" s="1" t="s">
        <v>9346</v>
      </c>
      <c r="C9486" t="str">
        <f>IFERROR(__xludf.DUMMYFUNCTION("GOOGLETRANSLATE(B9486, ""fr"", ""en"")"),"Perfect Received the next day. Pretty little pouch for each tongue scraper. Product compliant and easy to use. Also the small card accompanying the products can play online user manual.")</f>
        <v>Perfect Received the next day. Pretty little pouch for each tongue scraper. Product compliant and easy to use. Also the small card accompanying the products can play online user manual.</v>
      </c>
    </row>
    <row r="9487">
      <c r="A9487" s="1">
        <v>5.0</v>
      </c>
      <c r="B9487" s="1" t="s">
        <v>9347</v>
      </c>
      <c r="C9487" t="str">
        <f>IFERROR(__xludf.DUMMYFUNCTION("GOOGLETRANSLATE(B9487, ""fr"", ""en"")"),"Perfect I recommend I recommend")</f>
        <v>Perfect I recommend I recommend</v>
      </c>
    </row>
    <row r="9488">
      <c r="A9488" s="1">
        <v>5.0</v>
      </c>
      <c r="B9488" s="1" t="s">
        <v>9348</v>
      </c>
      <c r="C9488" t="str">
        <f>IFERROR(__xludf.DUMMYFUNCTION("GOOGLETRANSLATE(B9488, ""fr"", ""en"")"),"While It consistent with the description. I do not know if it's less expensive buying here. But it is easier to buy here in my monthly subscriptions.")</f>
        <v>While It consistent with the description. I do not know if it's less expensive buying here. But it is easier to buy here in my monthly subscriptions.</v>
      </c>
    </row>
    <row r="9489">
      <c r="A9489" s="1">
        <v>5.0</v>
      </c>
      <c r="B9489" s="1" t="s">
        <v>9349</v>
      </c>
      <c r="C9489" t="str">
        <f>IFERROR(__xludf.DUMMYFUNCTION("GOOGLETRANSLATE(B9489, ""fr"", ""en"")"),"Good very good cable cord according to what is described")</f>
        <v>Good very good cable cord according to what is described</v>
      </c>
    </row>
    <row r="9490">
      <c r="A9490" s="1">
        <v>5.0</v>
      </c>
      <c r="B9490" s="1" t="s">
        <v>9350</v>
      </c>
      <c r="C9490" t="str">
        <f>IFERROR(__xludf.DUMMYFUNCTION("GOOGLETRANSLATE(B9490, ""fr"", ""en"")"),"Same as descriptive Collier arrived before the scheduled time is like the pretty pictures")</f>
        <v>Same as descriptive Collier arrived before the scheduled time is like the pretty pictures</v>
      </c>
    </row>
    <row r="9491">
      <c r="A9491" s="1">
        <v>5.0</v>
      </c>
      <c r="B9491" s="1" t="s">
        <v>9351</v>
      </c>
      <c r="C9491" t="str">
        <f>IFERROR(__xludf.DUMMYFUNCTION("GOOGLETRANSLATE(B9491, ""fr"", ""en"")"),"great pity that these cartridges are too expensive or so depending on the Canon consumer could make an effort rather give a discount depending on the amount consumed. To meditate")</f>
        <v>great pity that these cartridges are too expensive or so depending on the Canon consumer could make an effort rather give a discount depending on the amount consumed. To meditate</v>
      </c>
    </row>
    <row r="9492">
      <c r="A9492" s="1">
        <v>5.0</v>
      </c>
      <c r="B9492" s="1" t="s">
        <v>9352</v>
      </c>
      <c r="C9492" t="str">
        <f>IFERROR(__xludf.DUMMYFUNCTION("GOOGLETRANSLATE(B9492, ""fr"", ""en"")"),"Warm and comfortable to wear I bought this jacket for fall, to wear out, or winter inside, but this of course depends on the region where you live ... there waiting usual for an article that comes from far away, but that's normal. The jacket is nice to to"&amp;"uch and wear. I would say that size ""&amp; nbsp; normal &amp; nbsp;"" but it is better to take one size above his normal size to comfortably wear something underneath when, like me, you do not like the clothes too ""&amp; nbsp; &amp; nbsp slim;"". Nice color scheme, war"&amp;"m fabrics, practical and useful pockets hood. Happy with my purchase.")</f>
        <v>Warm and comfortable to wear I bought this jacket for fall, to wear out, or winter inside, but this of course depends on the region where you live ... there waiting usual for an article that comes from far away, but that's normal. The jacket is nice to touch and wear. I would say that size "&amp; nbsp; normal &amp; nbsp;" but it is better to take one size above his normal size to comfortably wear something underneath when, like me, you do not like the clothes too "&amp; nbsp; &amp; nbsp slim;". Nice color scheme, warm fabrics, practical and useful pockets hood. Happy with my purchase.</v>
      </c>
    </row>
    <row r="9493">
      <c r="A9493" s="1">
        <v>5.0</v>
      </c>
      <c r="B9493" s="1" t="s">
        <v>9353</v>
      </c>
      <c r="C9493" t="str">
        <f>IFERROR(__xludf.DUMMYFUNCTION("GOOGLETRANSLATE(B9493, ""fr"", ""en"")"),"Cool the body I bought this box for a reserve near the vinyl turntable. It perfectly meets my expectations. The only point is that it takes an electrical screwdriver to the assembly. It looks solid and does not damage the soil with these wheels.")</f>
        <v>Cool the body I bought this box for a reserve near the vinyl turntable. It perfectly meets my expectations. The only point is that it takes an electrical screwdriver to the assembly. It looks solid and does not damage the soil with these wheels.</v>
      </c>
    </row>
    <row r="9494">
      <c r="A9494" s="1">
        <v>5.0</v>
      </c>
      <c r="B9494" s="1" t="s">
        <v>9354</v>
      </c>
      <c r="C9494" t="str">
        <f>IFERROR(__xludf.DUMMYFUNCTION("GOOGLETRANSLATE(B9494, ""fr"", ""en"")"),"Perfect Offered to my mother for her birthday. This jewelry is very thin and delicate, it is beautiful. she loved it.")</f>
        <v>Perfect Offered to my mother for her birthday. This jewelry is very thin and delicate, it is beautiful. she loved it.</v>
      </c>
    </row>
    <row r="9495">
      <c r="A9495" s="1">
        <v>5.0</v>
      </c>
      <c r="B9495" s="1" t="s">
        <v>9355</v>
      </c>
      <c r="C9495" t="str">
        <f>IFERROR(__xludf.DUMMYFUNCTION("GOOGLETRANSLATE(B9495, ""fr"", ""en"")"),"Future Mom Meets description. My baby is not born yet ... so to do with the time!")</f>
        <v>Future Mom Meets description. My baby is not born yet ... so to do with the time!</v>
      </c>
    </row>
    <row r="9496">
      <c r="A9496" s="1">
        <v>5.0</v>
      </c>
      <c r="B9496" s="1" t="s">
        <v>9356</v>
      </c>
      <c r="C9496" t="str">
        <f>IFERROR(__xludf.DUMMYFUNCTION("GOOGLETRANSLATE(B9496, ""fr"", ""en"")"),"Great ! As debutante with the pendulum, I find it really very reactive. I find it quite light and heavy at the same time. It was delivered in his little velvet pouch. I recommand it.")</f>
        <v>Great ! As debutante with the pendulum, I find it really very reactive. I find it quite light and heavy at the same time. It was delivered in his little velvet pouch. I recommand it.</v>
      </c>
    </row>
    <row r="9497">
      <c r="A9497" s="1">
        <v>5.0</v>
      </c>
      <c r="B9497" s="1" t="s">
        <v>9357</v>
      </c>
      <c r="C9497" t="str">
        <f>IFERROR(__xludf.DUMMYFUNCTION("GOOGLETRANSLATE(B9497, ""fr"", ""en"")"),"Magnificent Basketball flexible and lightweight. Cushioning. The size is suitable as planned. She has been very successful. I recommend.")</f>
        <v>Magnificent Basketball flexible and lightweight. Cushioning. The size is suitable as planned. She has been very successful. I recommend.</v>
      </c>
    </row>
    <row r="9498">
      <c r="A9498" s="1">
        <v>5.0</v>
      </c>
      <c r="B9498" s="1" t="s">
        <v>9358</v>
      </c>
      <c r="C9498" t="str">
        <f>IFERROR(__xludf.DUMMYFUNCTION("GOOGLETRANSLATE(B9498, ""fr"", ""en"")"),"Good value Comfortable to wear - and soft fluid material - wash at 30 put on a hanger without ironing - This is the 3rd teeshirt I buy and I'm still happy")</f>
        <v>Good value Comfortable to wear - and soft fluid material - wash at 30 put on a hanger without ironing - This is the 3rd teeshirt I buy and I'm still happy</v>
      </c>
    </row>
    <row r="9499">
      <c r="A9499" s="1">
        <v>5.0</v>
      </c>
      <c r="B9499" s="1" t="s">
        <v>9359</v>
      </c>
      <c r="C9499" t="str">
        <f>IFERROR(__xludf.DUMMYFUNCTION("GOOGLETRANSLATE(B9499, ""fr"", ""en"")"),"Effective. Arriving in a perfectly closed box, very discreet packaging (no one can doubt what lies within!). To be taken into account if you want to keep this object away from prying eyes (children, roommates, etc.) device with """" respectable size """" "&amp;"it can be difficult to conceal .. therefore provide a place discreet to put away prospective curious. Sensations extra, very easy to use. Ability to change the vibration intensity (maximum guaranteed powerful enough so fun !!), ergonomic and fairly quiet!"&amp;" Perfect for use in solo but also in duo!")</f>
        <v>Effective. Arriving in a perfectly closed box, very discreet packaging (no one can doubt what lies within!). To be taken into account if you want to keep this object away from prying eyes (children, roommates, etc.) device with "" respectable size "" it can be difficult to conceal .. therefore provide a place discreet to put away prospective curious. Sensations extra, very easy to use. Ability to change the vibration intensity (maximum guaranteed powerful enough so fun !!), ergonomic and fairly quiet! Perfect for use in solo but also in duo!</v>
      </c>
    </row>
    <row r="9500">
      <c r="A9500" s="1">
        <v>5.0</v>
      </c>
      <c r="B9500" s="1" t="s">
        <v>9360</v>
      </c>
      <c r="C9500" t="str">
        <f>IFERROR(__xludf.DUMMYFUNCTION("GOOGLETRANSLATE(B9500, ""fr"", ""en"")"),"basketball lightweight and durable")</f>
        <v>basketball lightweight and durable</v>
      </c>
    </row>
    <row r="9501">
      <c r="A9501" s="1">
        <v>2.0</v>
      </c>
      <c r="B9501" s="1" t="s">
        <v>9361</v>
      </c>
      <c r="C9501" t="str">
        <f>IFERROR(__xludf.DUMMYFUNCTION("GOOGLETRANSLATE(B9501, ""fr"", ""en"")"),"4 different pens and not 8 Product quality is undeniable. However I thought offer 8 different markers from XS to 1.5. But this is not the case the box has 2 times 4 thicker. I do not know if this is a mistake.")</f>
        <v>4 different pens and not 8 Product quality is undeniable. However I thought offer 8 different markers from XS to 1.5. But this is not the case the box has 2 times 4 thicker. I do not know if this is a mistake.</v>
      </c>
    </row>
    <row r="9502">
      <c r="A9502" s="1">
        <v>1.0</v>
      </c>
      <c r="B9502" s="1" t="s">
        <v>9362</v>
      </c>
      <c r="C9502" t="str">
        <f>IFERROR(__xludf.DUMMYFUNCTION("GOOGLETRANSLATE(B9502, ""fr"", ""en"")"),"I expected still more for the price depreciated No No comfort fabrics Reche has inside shoe very low end")</f>
        <v>I expected still more for the price depreciated No No comfort fabrics Reche has inside shoe very low end</v>
      </c>
    </row>
    <row r="9503">
      <c r="A9503" s="1">
        <v>1.0</v>
      </c>
      <c r="B9503" s="1" t="s">
        <v>9363</v>
      </c>
      <c r="C9503" t="str">
        <f>IFERROR(__xludf.DUMMYFUNCTION("GOOGLETRANSLATE(B9503, ""fr"", ""en"")"),"Really important product against fashion. After a month and two days the status of the sole very damaged to the point water enters my foot hits the ground by both the sudden I recommend you")</f>
        <v>Really important product against fashion. After a month and two days the status of the sole very damaged to the point water enters my foot hits the ground by both the sudden I recommend you</v>
      </c>
    </row>
    <row r="9504">
      <c r="A9504" s="1">
        <v>3.0</v>
      </c>
      <c r="B9504" s="1" t="s">
        <v>9364</v>
      </c>
      <c r="C9504" t="str">
        <f>IFERROR(__xludf.DUMMYFUNCTION("GOOGLETRANSLATE(B9504, ""fr"", ""en"")"),"Although a little disappointed, the tongue is white on top, which I had not seen in photos")</f>
        <v>Although a little disappointed, the tongue is white on top, which I had not seen in photos</v>
      </c>
    </row>
    <row r="9505">
      <c r="A9505" s="1">
        <v>3.0</v>
      </c>
      <c r="B9505" s="1" t="s">
        <v>9365</v>
      </c>
      <c r="C9505" t="str">
        <f>IFERROR(__xludf.DUMMYFUNCTION("GOOGLETRANSLATE(B9505, ""fr"", ""en"")"),"Sports LED Skiboot problem with LEDs, do not flash it right and led different color when selecting a different color")</f>
        <v>Sports LED Skiboot problem with LEDs, do not flash it right and led different color when selecting a different color</v>
      </c>
    </row>
    <row r="9506">
      <c r="A9506" s="1">
        <v>4.0</v>
      </c>
      <c r="B9506" s="1" t="s">
        <v>9366</v>
      </c>
      <c r="C9506" t="str">
        <f>IFERROR(__xludf.DUMMYFUNCTION("GOOGLETRANSLATE(B9506, ""fr"", ""en"")"),"Linen soft and sweet scent Good softener makes clothes soft and gives off a fresh scent, light but lasting. Most importantly, it is environmentally friendly and is good for the skin of my baby.")</f>
        <v>Linen soft and sweet scent Good softener makes clothes soft and gives off a fresh scent, light but lasting. Most importantly, it is environmentally friendly and is good for the skin of my baby.</v>
      </c>
    </row>
    <row r="9507">
      <c r="A9507" s="1">
        <v>4.0</v>
      </c>
      <c r="B9507" s="1" t="s">
        <v>9367</v>
      </c>
      <c r="C9507" t="str">
        <f>IFERROR(__xludf.DUMMYFUNCTION("GOOGLETRANSLATE(B9507, ""fr"", ""en"")"),"Teat Teat good quality good quality, easy to clean (dishwasher safe). The plastic can be colored after much use. Well suited for small baby's mouth.")</f>
        <v>Teat Teat good quality good quality, easy to clean (dishwasher safe). The plastic can be colored after much use. Well suited for small baby's mouth.</v>
      </c>
    </row>
    <row r="9508">
      <c r="A9508" s="1">
        <v>4.0</v>
      </c>
      <c r="B9508" s="1" t="s">
        <v>9368</v>
      </c>
      <c r="C9508" t="str">
        <f>IFERROR(__xludf.DUMMYFUNCTION("GOOGLETRANSLATE(B9508, ""fr"", ""en"")"),"Gildan hoody Great. Nothing to report negative so that the transmission and packaging. The package arrived on time in proper condition. The quality is sufficient for that price but not luxury. I might consider additional purchases of this type in the futu"&amp;"re. Thank you")</f>
        <v>Gildan hoody Great. Nothing to report negative so that the transmission and packaging. The package arrived on time in proper condition. The quality is sufficient for that price but not luxury. I might consider additional purchases of this type in the future. Thank you</v>
      </c>
    </row>
    <row r="9509">
      <c r="A9509" s="1">
        <v>4.0</v>
      </c>
      <c r="B9509" s="1" t="s">
        <v>9369</v>
      </c>
      <c r="C9509" t="str">
        <f>IFERROR(__xludf.DUMMYFUNCTION("GOOGLETRANSLATE(B9509, ""fr"", ""en"")"),"Perfect for sports Very good behavior and very good sound")</f>
        <v>Perfect for sports Very good behavior and very good sound</v>
      </c>
    </row>
    <row r="9510">
      <c r="A9510" s="1">
        <v>5.0</v>
      </c>
      <c r="B9510" s="1" t="s">
        <v>9370</v>
      </c>
      <c r="C9510" t="str">
        <f>IFERROR(__xludf.DUMMYFUNCTION("GOOGLETRANSLATE(B9510, ""fr"", ""en"")"),"La.classe Class")</f>
        <v>La.classe Class</v>
      </c>
    </row>
    <row r="9511">
      <c r="A9511" s="1">
        <v>5.0</v>
      </c>
      <c r="B9511" s="1" t="s">
        <v>9371</v>
      </c>
      <c r="C9511" t="str">
        <f>IFERROR(__xludf.DUMMYFUNCTION("GOOGLETRANSLATE(B9511, ""fr"", ""en"")"),"I recommend it without hesitation I use it to relax my muscles and the wombs it works very well. In 10 minutes it's hot but it is better not to ask to the skin because it will be hot. In the morning it is still warm when I use it before bed so it lasts lo"&amp;"nger.")</f>
        <v>I recommend it without hesitation I use it to relax my muscles and the wombs it works very well. In 10 minutes it's hot but it is better not to ask to the skin because it will be hot. In the morning it is still warm when I use it before bed so it lasts longer.</v>
      </c>
    </row>
    <row r="9512">
      <c r="A9512" s="1">
        <v>5.0</v>
      </c>
      <c r="B9512" s="1" t="s">
        <v>9372</v>
      </c>
      <c r="C9512" t="str">
        <f>IFERROR(__xludf.DUMMYFUNCTION("GOOGLETRANSLATE(B9512, ""fr"", ""en"")"),"Perfect beautiful, I wear them every day. So authentic quality!")</f>
        <v>Perfect beautiful, I wear them every day. So authentic quality!</v>
      </c>
    </row>
    <row r="9513">
      <c r="A9513" s="1">
        <v>5.0</v>
      </c>
      <c r="B9513" s="1" t="s">
        <v>9373</v>
      </c>
      <c r="C9513" t="str">
        <f>IFERROR(__xludf.DUMMYFUNCTION("GOOGLETRANSLATE(B9513, ""fr"", ""en"")"),"Tracksuit Frankly useful I jog with very light")</f>
        <v>Tracksuit Frankly useful I jog with very light</v>
      </c>
    </row>
    <row r="9514">
      <c r="A9514" s="1">
        <v>5.0</v>
      </c>
      <c r="B9514" s="1" t="s">
        <v>9374</v>
      </c>
      <c r="C9514" t="str">
        <f>IFERROR(__xludf.DUMMYFUNCTION("GOOGLETRANSLATE(B9514, ""fr"", ""en"")"),"While I adore received")</f>
        <v>While I adore received</v>
      </c>
    </row>
    <row r="9515">
      <c r="A9515" s="1">
        <v>5.0</v>
      </c>
      <c r="B9515" s="1" t="s">
        <v>9375</v>
      </c>
      <c r="C9515" t="str">
        <f>IFERROR(__xludf.DUMMYFUNCTION("GOOGLETRANSLATE(B9515, ""fr"", ""en"")"),"Very satisfied! Good quality. I recommend.")</f>
        <v>Very satisfied! Good quality. I recommend.</v>
      </c>
    </row>
    <row r="9516">
      <c r="A9516" s="1">
        <v>5.0</v>
      </c>
      <c r="B9516" s="1" t="s">
        <v>9376</v>
      </c>
      <c r="C9516" t="str">
        <f>IFERROR(__xludf.DUMMYFUNCTION("GOOGLETRANSLATE(B9516, ""fr"", ""en"")"),"Very nice design beautiful Very light very good diffusion We are delighted. I recommend to all those who like to relax.")</f>
        <v>Very nice design beautiful Very light very good diffusion We are delighted. I recommend to all those who like to relax.</v>
      </c>
    </row>
    <row r="9517">
      <c r="A9517" s="1">
        <v>5.0</v>
      </c>
      <c r="B9517" s="1" t="s">
        <v>9377</v>
      </c>
      <c r="C9517" t="str">
        <f>IFERROR(__xludf.DUMMYFUNCTION("GOOGLETRANSLATE(B9517, ""fr"", ""en"")"),"The best compromise between portability and quality Being cheaper than the rode video mic or go pro, this video microphone is what it does best in terms of micro portable, very easy to carry in a pocket, high metal finish quality, buy eyes closed !!")</f>
        <v>The best compromise between portability and quality Being cheaper than the rode video mic or go pro, this video microphone is what it does best in terms of micro portable, very easy to carry in a pocket, high metal finish quality, buy eyes closed !!</v>
      </c>
    </row>
    <row r="9518">
      <c r="A9518" s="1">
        <v>5.0</v>
      </c>
      <c r="B9518" s="1" t="s">
        <v>9378</v>
      </c>
      <c r="C9518" t="str">
        <f>IFERROR(__xludf.DUMMYFUNCTION("GOOGLETRANSLATE(B9518, ""fr"", ""en"")"),"Lightweight with excellent sound. Excellent product that I use every day and during my sports sessions that are the outputs in cycling and running. I just wish greater autonomy.")</f>
        <v>Lightweight with excellent sound. Excellent product that I use every day and during my sports sessions that are the outputs in cycling and running. I just wish greater autonomy.</v>
      </c>
    </row>
    <row r="9519">
      <c r="A9519" s="1">
        <v>5.0</v>
      </c>
      <c r="B9519" s="1" t="s">
        <v>9379</v>
      </c>
      <c r="C9519" t="str">
        <f>IFERROR(__xludf.DUMMYFUNCTION("GOOGLETRANSLATE(B9519, ""fr"", ""en"")"),"Top bracelet super nice quality and I recommend")</f>
        <v>Top bracelet super nice quality and I recommend</v>
      </c>
    </row>
    <row r="9520">
      <c r="A9520" s="1">
        <v>5.0</v>
      </c>
      <c r="B9520" s="1" t="s">
        <v>9380</v>
      </c>
      <c r="C9520" t="str">
        <f>IFERROR(__xludf.DUMMYFUNCTION("GOOGLETRANSLATE(B9520, ""fr"", ""en"")"),"Palladium Comfortable and Stylish")</f>
        <v>Palladium Comfortable and Stylish</v>
      </c>
    </row>
    <row r="9521">
      <c r="A9521" s="1">
        <v>5.0</v>
      </c>
      <c r="B9521" s="1" t="s">
        <v>9381</v>
      </c>
      <c r="C9521" t="str">
        <f>IFERROR(__xludf.DUMMYFUNCTION("GOOGLETRANSLATE(B9521, ""fr"", ""en"")"),"Fast shipping Litotherapie")</f>
        <v>Fast shipping Litotherapie</v>
      </c>
    </row>
    <row r="9522">
      <c r="A9522" s="1">
        <v>5.0</v>
      </c>
      <c r="B9522" s="1" t="s">
        <v>9382</v>
      </c>
      <c r="C9522" t="str">
        <f>IFERROR(__xludf.DUMMYFUNCTION("GOOGLETRANSLATE(B9522, ""fr"", ""en"")"),"great headphones. jen am very happy! I use it for running and never have slipped. .. super careful headphones when you run on the outside! headphones can be dangerous when you made a difference on the route.car we have a tendency as being in a bubble")</f>
        <v>great headphones. jen am very happy! I use it for running and never have slipped. .. super careful headphones when you run on the outside! headphones can be dangerous when you made a difference on the route.car we have a tendency as being in a bubble</v>
      </c>
    </row>
    <row r="9523">
      <c r="A9523" s="1">
        <v>5.0</v>
      </c>
      <c r="B9523" s="1" t="s">
        <v>9383</v>
      </c>
      <c r="C9523" t="str">
        <f>IFERROR(__xludf.DUMMYFUNCTION("GOOGLETRANSLATE(B9523, ""fr"", ""en"")"),"Problem earphone solved 1 unit received last week and problem of connection after relies ds battery 1 earphone 2 worked, saw the problem with the seller, advice on reinit and since it does faisiat nothing they ma earphone is returned functioning him very "&amp;"well thanks to the professionalism of the seller and help. The Pic Quality of sound is very decent for the price and held ds ear is also, the laptop battery is also nice if no available socket The report Pic Quality / product price is excellent malgres my"&amp;" little worries of departure I board")</f>
        <v>Problem earphone solved 1 unit received last week and problem of connection after relies ds battery 1 earphone 2 worked, saw the problem with the seller, advice on reinit and since it does faisiat nothing they ma earphone is returned functioning him very well thanks to the professionalism of the seller and help. The Pic Quality of sound is very decent for the price and held ds ear is also, the laptop battery is also nice if no available socket The report Pic Quality / product price is excellent malgres my little worries of departure I board</v>
      </c>
    </row>
    <row r="9524">
      <c r="A9524" s="1">
        <v>5.0</v>
      </c>
      <c r="B9524" s="1" t="s">
        <v>9384</v>
      </c>
      <c r="C9524" t="str">
        <f>IFERROR(__xludf.DUMMYFUNCTION("GOOGLETRANSLATE(B9524, ""fr"", ""en"")"),"Very satisfied ! Clock radio very intuitive, the sound is clear and there are several well-chosen ringtone for the alarm. Brightness can be adjusted and the colors are beautiful and relaxing. Digital Clock I prefer as it's so quiet I recommend!")</f>
        <v>Very satisfied ! Clock radio very intuitive, the sound is clear and there are several well-chosen ringtone for the alarm. Brightness can be adjusted and the colors are beautiful and relaxing. Digital Clock I prefer as it's so quiet I recommend!</v>
      </c>
    </row>
    <row r="9525">
      <c r="A9525" s="1">
        <v>2.0</v>
      </c>
      <c r="B9525" s="1" t="s">
        <v>9385</v>
      </c>
      <c r="C9525" t="str">
        <f>IFERROR(__xludf.DUMMYFUNCTION("GOOGLETRANSLATE(B9525, ""fr"", ""en"")"),"Disappointed Do responding only partially necessary. I meet a big problem pairing between the two earphones. Individually, they connect well with the reading sail. If the second handset PAIR everything and cut. Very often when they are together, the sound"&amp;" passes from one to another, it's painful. I regret the purchase because my wife has another model, less properly functioning.")</f>
        <v>Disappointed Do responding only partially necessary. I meet a big problem pairing between the two earphones. Individually, they connect well with the reading sail. If the second handset PAIR everything and cut. Very often when they are together, the sound passes from one to another, it's painful. I regret the purchase because my wife has another model, less properly functioning.</v>
      </c>
    </row>
    <row r="9526">
      <c r="A9526" s="1">
        <v>1.0</v>
      </c>
      <c r="B9526" s="1" t="s">
        <v>9386</v>
      </c>
      <c r="C9526" t="str">
        <f>IFERROR(__xludf.DUMMYFUNCTION("GOOGLETRANSLATE(B9526, ""fr"", ""en"")"),"Do not recommend ... Order 40 received 39 is the tissue spoils very quickly and the metal hull move quickly ... Do not recommend")</f>
        <v>Do not recommend ... Order 40 received 39 is the tissue spoils very quickly and the metal hull move quickly ... Do not recommend</v>
      </c>
    </row>
    <row r="9527">
      <c r="A9527" s="1">
        <v>1.0</v>
      </c>
      <c r="B9527" s="1" t="s">
        <v>9387</v>
      </c>
      <c r="C9527" t="str">
        <f>IFERROR(__xludf.DUMMYFUNCTION("GOOGLETRANSLATE(B9527, ""fr"", ""en"")"),"blah It looks like false teeth, my mother had already other and this one looks like fangs at low cost ... bizzare, that are against the way? difficult to say but comfort is different from others.")</f>
        <v>blah It looks like false teeth, my mother had already other and this one looks like fangs at low cost ... bizzare, that are against the way? difficult to say but comfort is different from others.</v>
      </c>
    </row>
    <row r="9528">
      <c r="A9528" s="1">
        <v>3.0</v>
      </c>
      <c r="B9528" s="1" t="s">
        <v>9388</v>
      </c>
      <c r="C9528" t="str">
        <f>IFERROR(__xludf.DUMMYFUNCTION("GOOGLETRANSLATE(B9528, ""fr"", ""en"")"),"good trail shoes +: aesthetic, hangs on soft or uneven surfaces, quick and efficient lacing system -: very slippery on wet hard floors")</f>
        <v>good trail shoes +: aesthetic, hangs on soft or uneven surfaces, quick and efficient lacing system -: very slippery on wet hard floors</v>
      </c>
    </row>
    <row r="9529">
      <c r="A9529" s="1">
        <v>3.0</v>
      </c>
      <c r="B9529" s="1" t="s">
        <v>9389</v>
      </c>
      <c r="C9529" t="str">
        <f>IFERROR(__xludf.DUMMYFUNCTION("GOOGLETRANSLATE(B9529, ""fr"", ""en"")"),"Thick Silicone slightly thick, have preferred medela.")</f>
        <v>Thick Silicone slightly thick, have preferred medela.</v>
      </c>
    </row>
    <row r="9530">
      <c r="A9530" s="1">
        <v>4.0</v>
      </c>
      <c r="B9530" s="1" t="s">
        <v>9390</v>
      </c>
      <c r="C9530" t="str">
        <f>IFERROR(__xludf.DUMMYFUNCTION("GOOGLETRANSLATE(B9530, ""fr"", ""en"")"),"Product quality Delivery in advance, quality product")</f>
        <v>Product quality Delivery in advance, quality product</v>
      </c>
    </row>
    <row r="9531">
      <c r="A9531" s="1">
        <v>4.0</v>
      </c>
      <c r="B9531" s="1" t="s">
        <v>9391</v>
      </c>
      <c r="C9531" t="str">
        <f>IFERROR(__xludf.DUMMYFUNCTION("GOOGLETRANSLATE(B9531, ""fr"", ""en"")"),"Beautiful watch Very nice watch but not very quiet.")</f>
        <v>Beautiful watch Very nice watch but not very quiet.</v>
      </c>
    </row>
    <row r="9532">
      <c r="A9532" s="1">
        <v>4.0</v>
      </c>
      <c r="B9532" s="1" t="s">
        <v>9392</v>
      </c>
      <c r="C9532" t="str">
        <f>IFERROR(__xludf.DUMMYFUNCTION("GOOGLETRANSLATE(B9532, ""fr"", ""en"")"),"corresponding size Size ok !!")</f>
        <v>corresponding size Size ok !!</v>
      </c>
    </row>
    <row r="9533">
      <c r="A9533" s="1">
        <v>4.0</v>
      </c>
      <c r="B9533" s="1" t="s">
        <v>9393</v>
      </c>
      <c r="C9533" t="str">
        <f>IFERROR(__xludf.DUMMYFUNCTION("GOOGLETRANSLATE(B9533, ""fr"", ""en"")"),"Knitting relaxes over time but good price Complies with the description, good quality water bottle. Attention knitting relaxes gradually as. Overall, very good buy for the price.")</f>
        <v>Knitting relaxes over time but good price Complies with the description, good quality water bottle. Attention knitting relaxes gradually as. Overall, very good buy for the price.</v>
      </c>
    </row>
    <row r="9534">
      <c r="A9534" s="1">
        <v>5.0</v>
      </c>
      <c r="B9534" s="1" t="s">
        <v>9394</v>
      </c>
      <c r="C9534" t="str">
        <f>IFERROR(__xludf.DUMMYFUNCTION("GOOGLETRANSLATE(B9534, ""fr"", ""en"")"),"Quality product Buff, the seams have the strong air. Contrary to what was written, I find the size limit for A4 documents, especially when the flap is closed. You just know it but it does not detract from the quality of the product.")</f>
        <v>Quality product Buff, the seams have the strong air. Contrary to what was written, I find the size limit for A4 documents, especially when the flap is closed. You just know it but it does not detract from the quality of the product.</v>
      </c>
    </row>
    <row r="9535">
      <c r="A9535" s="1">
        <v>5.0</v>
      </c>
      <c r="B9535" s="1" t="s">
        <v>9395</v>
      </c>
      <c r="C9535" t="str">
        <f>IFERROR(__xludf.DUMMYFUNCTION("GOOGLETRANSLATE(B9535, ""fr"", ""en"")"),"very effective product: descales and removes fat deposited by the coffee Advocated by the score of my espresso machine semi-professional, it is a very effective product that meets the hardware. It removes the limestone but also the fat deposited by coffee"&amp;" (brown liquid well spring). Product certainly expensive but I have this machine for 30 years and after the change pump descaling lack of maintenance I would not risk myself using harsh products (a change of pump is extremely expensive ...). A small bottl"&amp;"e of 125 ml diluted with the same quantity of hot water seems little but in fact it is enough. Then 2 rinses are needed.")</f>
        <v>very effective product: descales and removes fat deposited by the coffee Advocated by the score of my espresso machine semi-professional, it is a very effective product that meets the hardware. It removes the limestone but also the fat deposited by coffee (brown liquid well spring). Product certainly expensive but I have this machine for 30 years and after the change pump descaling lack of maintenance I would not risk myself using harsh products (a change of pump is extremely expensive ...). A small bottle of 125 ml diluted with the same quantity of hot water seems little but in fact it is enough. Then 2 rinses are needed.</v>
      </c>
    </row>
    <row r="9536">
      <c r="A9536" s="1">
        <v>5.0</v>
      </c>
      <c r="B9536" s="1" t="s">
        <v>9396</v>
      </c>
      <c r="C9536" t="str">
        <f>IFERROR(__xludf.DUMMYFUNCTION("GOOGLETRANSLATE(B9536, ""fr"", ""en"")"),"Magnificent! Beautiful bracelet offered for Christmas, it rained a lot, pretty shiny stones on a pink gold plated mounting and fastening safety ... good price / quality ratio")</f>
        <v>Magnificent! Beautiful bracelet offered for Christmas, it rained a lot, pretty shiny stones on a pink gold plated mounting and fastening safety ... good price / quality ratio</v>
      </c>
    </row>
    <row r="9537">
      <c r="A9537" s="1">
        <v>5.0</v>
      </c>
      <c r="B9537" s="1" t="s">
        <v>9397</v>
      </c>
      <c r="C9537" t="str">
        <f>IFERROR(__xludf.DUMMYFUNCTION("GOOGLETRANSLATE(B9537, ""fr"", ""en"")"),"messenger bag all in keeping with the great descriptioncouleur nice big pocket Large capacity linterieur washable practice I recommend")</f>
        <v>messenger bag all in keeping with the great descriptioncouleur nice big pocket Large capacity linterieur washable practice I recommend</v>
      </c>
    </row>
    <row r="9538">
      <c r="A9538" s="1">
        <v>5.0</v>
      </c>
      <c r="B9538" s="1" t="s">
        <v>9398</v>
      </c>
      <c r="C9538" t="str">
        <f>IFERROR(__xludf.DUMMYFUNCTION("GOOGLETRANSLATE(B9538, ""fr"", ""en"")"),"Delighted !! Very pretty")</f>
        <v>Delighted !! Very pretty</v>
      </c>
    </row>
    <row r="9539">
      <c r="A9539" s="1">
        <v>5.0</v>
      </c>
      <c r="B9539" s="1" t="s">
        <v>9399</v>
      </c>
      <c r="C9539" t="str">
        <f>IFERROR(__xludf.DUMMYFUNCTION("GOOGLETRANSLATE(B9539, ""fr"", ""en"")"),"I discovered the wonderful moist toilet paper and loved, no unpleasant feeling like some intimate wipes, we love complete with toiletries. To stay clean in all situations. I recommand it")</f>
        <v>I discovered the wonderful moist toilet paper and loved, no unpleasant feeling like some intimate wipes, we love complete with toiletries. To stay clean in all situations. I recommand it</v>
      </c>
    </row>
    <row r="9540">
      <c r="A9540" s="1">
        <v>5.0</v>
      </c>
      <c r="B9540" s="1" t="s">
        <v>9400</v>
      </c>
      <c r="C9540" t="str">
        <f>IFERROR(__xludf.DUMMYFUNCTION("GOOGLETRANSLATE(B9540, ""fr"", ""en"")"),"great Nickel")</f>
        <v>great Nickel</v>
      </c>
    </row>
    <row r="9541">
      <c r="A9541" s="1">
        <v>5.0</v>
      </c>
      <c r="B9541" s="1" t="s">
        <v>9401</v>
      </c>
      <c r="C9541" t="str">
        <f>IFERROR(__xludf.DUMMYFUNCTION("GOOGLETRANSLATE(B9541, ""fr"", ""en"")"),"Good performance Great performance, I listened to my favorite music with these headphones, the sound was nice. In addition there is a small bag with, it's convenient to bring them back.")</f>
        <v>Good performance Great performance, I listened to my favorite music with these headphones, the sound was nice. In addition there is a small bag with, it's convenient to bring them back.</v>
      </c>
    </row>
    <row r="9542">
      <c r="A9542" s="1">
        <v>5.0</v>
      </c>
      <c r="B9542" s="1" t="s">
        <v>9402</v>
      </c>
      <c r="C9542" t="str">
        <f>IFERROR(__xludf.DUMMYFUNCTION("GOOGLETRANSLATE(B9542, ""fr"", ""en"")"),"Not disappointed disappointed expensive anyway")</f>
        <v>Not disappointed disappointed expensive anyway</v>
      </c>
    </row>
    <row r="9543">
      <c r="A9543" s="1">
        <v>5.0</v>
      </c>
      <c r="B9543" s="1" t="s">
        <v>9403</v>
      </c>
      <c r="C9543" t="str">
        <f>IFERROR(__xludf.DUMMYFUNCTION("GOOGLETRANSLATE(B9543, ""fr"", ""en"")"),"Fast &amp; amp; serious. Beautiful watch for my 7 year old son.")</f>
        <v>Fast &amp; amp; serious. Beautiful watch for my 7 year old son.</v>
      </c>
    </row>
    <row r="9544">
      <c r="A9544" s="1">
        <v>5.0</v>
      </c>
      <c r="B9544" s="1" t="s">
        <v>9404</v>
      </c>
      <c r="C9544" t="str">
        <f>IFERROR(__xludf.DUMMYFUNCTION("GOOGLETRANSLATE(B9544, ""fr"", ""en"")"),"Perfect Good value. No complaints about the product. I highly recommend it")</f>
        <v>Perfect Good value. No complaints about the product. I highly recommend it</v>
      </c>
    </row>
    <row r="9545">
      <c r="A9545" s="1">
        <v>5.0</v>
      </c>
      <c r="B9545" s="1" t="s">
        <v>3242</v>
      </c>
      <c r="C9545" t="str">
        <f>IFERROR(__xludf.DUMMYFUNCTION("GOOGLETRANSLATE(B9545, ""fr"", ""en"")"),"Super Very good")</f>
        <v>Super Very good</v>
      </c>
    </row>
    <row r="9546">
      <c r="A9546" s="1">
        <v>5.0</v>
      </c>
      <c r="B9546" s="1" t="s">
        <v>9405</v>
      </c>
      <c r="C9546" t="str">
        <f>IFERROR(__xludf.DUMMYFUNCTION("GOOGLETRANSLATE(B9546, ""fr"", ""en"")"),"Gel kind Hello, I just tried your gel and I say in all honesty that it is surprising, éfficace. I recommend this product.")</f>
        <v>Gel kind Hello, I just tried your gel and I say in all honesty that it is surprising, éfficace. I recommend this product.</v>
      </c>
    </row>
    <row r="9547">
      <c r="A9547" s="1">
        <v>5.0</v>
      </c>
      <c r="B9547" s="1" t="s">
        <v>9406</v>
      </c>
      <c r="C9547" t="str">
        <f>IFERROR(__xludf.DUMMYFUNCTION("GOOGLETRANSLATE(B9547, ""fr"", ""en"")"),"Excellent Received much faster than expected, it will be perfect for this Christmas, it is even more kitsch than we had hoped :) The size corespond well, the sweater does not drip pan and is comfortable as is a pleasant material . Print is niquel no drool"&amp;"ing or other color I am reassured, I hate to see the effect my guest a noel ^^")</f>
        <v>Excellent Received much faster than expected, it will be perfect for this Christmas, it is even more kitsch than we had hoped :) The size corespond well, the sweater does not drip pan and is comfortable as is a pleasant material . Print is niquel no drooling or other color I am reassured, I hate to see the effect my guest a noel ^^</v>
      </c>
    </row>
    <row r="9548">
      <c r="A9548" s="1">
        <v>5.0</v>
      </c>
      <c r="B9548" s="1" t="s">
        <v>9407</v>
      </c>
      <c r="C9548" t="str">
        <f>IFERROR(__xludf.DUMMYFUNCTION("GOOGLETRANSLATE(B9548, ""fr"", ""en"")"),"A classic I know this ... My daughter now has a bag to match her bag.")</f>
        <v>A classic I know this ... My daughter now has a bag to match her bag.</v>
      </c>
    </row>
    <row r="9549">
      <c r="A9549" s="1">
        <v>2.0</v>
      </c>
      <c r="B9549" s="1" t="s">
        <v>9408</v>
      </c>
      <c r="C9549" t="str">
        <f>IFERROR(__xludf.DUMMYFUNCTION("GOOGLETRANSLATE(B9549, ""fr"", ""en"")"),"Too I wonder if it is a defect or if it really was an authentic product ... because I have other converse all star store bought and the same size, which nevertheless fit me perfectly ... .")</f>
        <v>Too I wonder if it is a defect or if it really was an authentic product ... because I have other converse all star store bought and the same size, which nevertheless fit me perfectly ... .</v>
      </c>
    </row>
    <row r="9550">
      <c r="A9550" s="1">
        <v>1.0</v>
      </c>
      <c r="B9550" s="1" t="s">
        <v>9409</v>
      </c>
      <c r="C9550" t="str">
        <f>IFERROR(__xludf.DUMMYFUNCTION("GOOGLETRANSLATE(B9550, ""fr"", ""en"")"),"Take bigger than your size is not my size")</f>
        <v>Take bigger than your size is not my size</v>
      </c>
    </row>
    <row r="9551">
      <c r="A9551" s="1">
        <v>1.0</v>
      </c>
      <c r="B9551" s="1" t="s">
        <v>9410</v>
      </c>
      <c r="C9551" t="str">
        <f>IFERROR(__xludf.DUMMYFUNCTION("GOOGLETRANSLATE(B9551, ""fr"", ""en"")"),"very disappointed I am very disappointed by this coffee purchased in December 2014; in July 2015, the programming function of temperature was not working, so the kettle if it was not stopped before continuing to boil, very dangerous; and now, in June 2016"&amp;", it no longer works no interest to buy an expensive device if")</f>
        <v>very disappointed I am very disappointed by this coffee purchased in December 2014; in July 2015, the programming function of temperature was not working, so the kettle if it was not stopped before continuing to boil, very dangerous; and now, in June 2016, it no longer works no interest to buy an expensive device if</v>
      </c>
    </row>
    <row r="9552">
      <c r="A9552" s="1">
        <v>3.0</v>
      </c>
      <c r="B9552" s="1" t="s">
        <v>9411</v>
      </c>
      <c r="C9552" t="str">
        <f>IFERROR(__xludf.DUMMYFUNCTION("GOOGLETRANSLATE(B9552, ""fr"", ""en"")"),"Tough and pretty but features that could be better Beautiful watch, which seems solid. Excellent resistance to the wrist with a strap that is absolutely not feel (closure system and materials are very effective). However, complicated to adjust and time no"&amp;"t very visible when the light is low or non-existent ... the display of the digital time being too dark and not emerging from the background.")</f>
        <v>Tough and pretty but features that could be better Beautiful watch, which seems solid. Excellent resistance to the wrist with a strap that is absolutely not feel (closure system and materials are very effective). However, complicated to adjust and time not very visible when the light is low or non-existent ... the display of the digital time being too dark and not emerging from the background.</v>
      </c>
    </row>
    <row r="9553">
      <c r="A9553" s="1">
        <v>4.0</v>
      </c>
      <c r="B9553" s="1" t="s">
        <v>9412</v>
      </c>
      <c r="C9553" t="str">
        <f>IFERROR(__xludf.DUMMYFUNCTION("GOOGLETRANSLATE(B9553, ""fr"", ""en"")"),"Airmail ... I recommend more turn to Lotus Just 1: at last an innovative and enjoyable paper ... Although more economical as you think")</f>
        <v>Airmail ... I recommend more turn to Lotus Just 1: at last an innovative and enjoyable paper ... Although more economical as you think</v>
      </c>
    </row>
    <row r="9554">
      <c r="A9554" s="1">
        <v>4.0</v>
      </c>
      <c r="B9554" s="1" t="s">
        <v>9413</v>
      </c>
      <c r="C9554" t="str">
        <f>IFERROR(__xludf.DUMMYFUNCTION("GOOGLETRANSLATE(B9554, ""fr"", ""en"")"),"GEOX 3rd grade pair on essential comfort and elegance")</f>
        <v>GEOX 3rd grade pair on essential comfort and elegance</v>
      </c>
    </row>
    <row r="9555">
      <c r="A9555" s="1">
        <v>4.0</v>
      </c>
      <c r="B9555" s="1" t="s">
        <v>9414</v>
      </c>
      <c r="C9555" t="str">
        <f>IFERROR(__xludf.DUMMYFUNCTION("GOOGLETRANSLATE(B9555, ""fr"", ""en"")"),"beach shoe Convenient for home!")</f>
        <v>beach shoe Convenient for home!</v>
      </c>
    </row>
    <row r="9556">
      <c r="A9556" s="1">
        <v>4.0</v>
      </c>
      <c r="B9556" s="1" t="s">
        <v>9415</v>
      </c>
      <c r="C9556" t="str">
        <f>IFERROR(__xludf.DUMMYFUNCTION("GOOGLETRANSLATE(B9556, ""fr"", ""en"")"),"Okay I recommend this oil because it is very effective in pain.")</f>
        <v>Okay I recommend this oil because it is very effective in pain.</v>
      </c>
    </row>
    <row r="9557">
      <c r="A9557" s="1">
        <v>5.0</v>
      </c>
      <c r="B9557" s="1" t="s">
        <v>508</v>
      </c>
      <c r="C9557" t="str">
        <f>IFERROR(__xludf.DUMMYFUNCTION("GOOGLETRANSLATE(B9557, ""fr"", ""en"")"),"Very well very well")</f>
        <v>Very well very well</v>
      </c>
    </row>
    <row r="9558">
      <c r="A9558" s="1">
        <v>5.0</v>
      </c>
      <c r="B9558" s="1" t="s">
        <v>9416</v>
      </c>
      <c r="C9558" t="str">
        <f>IFERROR(__xludf.DUMMYFUNCTION("GOOGLETRANSLATE(B9558, ""fr"", ""en"")"),"Very functional upgrades instead of my sneakers with plastic sliding on sports mats, these socks are proving a very good hold on the foot and I slipped over on the carpet. Used for sports fitness style, crossfit. does not slip even when in push-up positio"&amp;"n.")</f>
        <v>Very functional upgrades instead of my sneakers with plastic sliding on sports mats, these socks are proving a very good hold on the foot and I slipped over on the carpet. Used for sports fitness style, crossfit. does not slip even when in push-up position.</v>
      </c>
    </row>
    <row r="9559">
      <c r="A9559" s="1">
        <v>5.0</v>
      </c>
      <c r="B9559" s="1" t="s">
        <v>9417</v>
      </c>
      <c r="C9559" t="str">
        <f>IFERROR(__xludf.DUMMYFUNCTION("GOOGLETRANSLATE(B9559, ""fr"", ""en"")"),"Very satisfied The watch is beautiful and a great value! I am completely satisfied with my purchase !!")</f>
        <v>Very satisfied The watch is beautiful and a great value! I am completely satisfied with my purchase !!</v>
      </c>
    </row>
    <row r="9560">
      <c r="A9560" s="1">
        <v>5.0</v>
      </c>
      <c r="B9560" s="1" t="s">
        <v>9418</v>
      </c>
      <c r="C9560" t="str">
        <f>IFERROR(__xludf.DUMMYFUNCTION("GOOGLETRANSLATE(B9560, ""fr"", ""en"")"),"Small and convenient Small size that fits very well for a handbag. The calendar is handy vertical")</f>
        <v>Small and convenient Small size that fits very well for a handbag. The calendar is handy vertical</v>
      </c>
    </row>
    <row r="9561">
      <c r="A9561" s="1">
        <v>5.0</v>
      </c>
      <c r="B9561" s="1" t="s">
        <v>9419</v>
      </c>
      <c r="C9561" t="str">
        <f>IFERROR(__xludf.DUMMYFUNCTION("GOOGLETRANSLATE(B9561, ""fr"", ""en"")"),"Mini kettle easy to carry I saw that it n there was no kettle in the cabin of the boat during my week cruise. I saw most of the photos and finally it is small c is impeccable for the slide in the suitcase. In addition it is mimi I would see to use Deliver"&amp;"y in 4 days c is perfect")</f>
        <v>Mini kettle easy to carry I saw that it n there was no kettle in the cabin of the boat during my week cruise. I saw most of the photos and finally it is small c is impeccable for the slide in the suitcase. In addition it is mimi I would see to use Delivery in 4 days c is perfect</v>
      </c>
    </row>
    <row r="9562">
      <c r="A9562" s="1">
        <v>5.0</v>
      </c>
      <c r="B9562" s="1" t="s">
        <v>9420</v>
      </c>
      <c r="C9562" t="str">
        <f>IFERROR(__xludf.DUMMYFUNCTION("GOOGLETRANSLATE(B9562, ""fr"", ""en"")"),"Beautiful watch at a small price. Watch small and discreet with the necessary functions: time, date, alarm, stopwatch, second time: just right, I'm happy with my purchase.")</f>
        <v>Beautiful watch at a small price. Watch small and discreet with the necessary functions: time, date, alarm, stopwatch, second time: just right, I'm happy with my purchase.</v>
      </c>
    </row>
    <row r="9563">
      <c r="A9563" s="1">
        <v>5.0</v>
      </c>
      <c r="B9563" s="1" t="s">
        <v>9421</v>
      </c>
      <c r="C9563" t="str">
        <f>IFERROR(__xludf.DUMMYFUNCTION("GOOGLETRANSLATE(B9563, ""fr"", ""en"")"),"Quick delivery, well packaged. very nice watch, long, light bracelet, no regrée.Qualité, parfait.Ne not hesitate price, I highly recommend this amateur shows already this marque.merci mazon.top has the top amazon")</f>
        <v>Quick delivery, well packaged. very nice watch, long, light bracelet, no regrée.Qualité, parfait.Ne not hesitate price, I highly recommend this amateur shows already this marque.merci mazon.top has the top amazon</v>
      </c>
    </row>
    <row r="9564">
      <c r="A9564" s="1">
        <v>5.0</v>
      </c>
      <c r="B9564" s="1" t="s">
        <v>9422</v>
      </c>
      <c r="C9564" t="str">
        <f>IFERROR(__xludf.DUMMYFUNCTION("GOOGLETRANSLATE(B9564, ""fr"", ""en"")"),"In the top !! 5 rounds for the price of one from HP is a good thing, print quality level I would say it is acceptable for my use essentially printing documents, I am not sure on the picture quality is present but printing whatever I wanted above all cartr"&amp;"idges that do not cost me more than the printer, and why doing what they are designed! So good deal, I recommend!")</f>
        <v>In the top !! 5 rounds for the price of one from HP is a good thing, print quality level I would say it is acceptable for my use essentially printing documents, I am not sure on the picture quality is present but printing whatever I wanted above all cartridges that do not cost me more than the printer, and why doing what they are designed! So good deal, I recommend!</v>
      </c>
    </row>
    <row r="9565">
      <c r="A9565" s="1">
        <v>5.0</v>
      </c>
      <c r="B9565" s="1" t="s">
        <v>9423</v>
      </c>
      <c r="C9565" t="str">
        <f>IFERROR(__xludf.DUMMYFUNCTION("GOOGLETRANSLATE(B9565, ""fr"", ""en"")"),"OCB Was great to 4 € 95 very good, very very rapude delivery")</f>
        <v>OCB Was great to 4 € 95 very good, very very rapude delivery</v>
      </c>
    </row>
    <row r="9566">
      <c r="A9566" s="1">
        <v>5.0</v>
      </c>
      <c r="B9566" s="1" t="s">
        <v>9424</v>
      </c>
      <c r="C9566" t="str">
        <f>IFERROR(__xludf.DUMMYFUNCTION("GOOGLETRANSLATE(B9566, ""fr"", ""en"")"),"Diffuser Super purchase except at the 2 buttons it looks like it is broken.")</f>
        <v>Diffuser Super purchase except at the 2 buttons it looks like it is broken.</v>
      </c>
    </row>
    <row r="9567">
      <c r="A9567" s="1">
        <v>5.0</v>
      </c>
      <c r="B9567" s="1" t="s">
        <v>9425</v>
      </c>
      <c r="C9567" t="str">
        <f>IFERROR(__xludf.DUMMYFUNCTION("GOOGLETRANSLATE(B9567, ""fr"", ""en"")"),"good mic micro nothing good price quality report fault")</f>
        <v>good mic micro nothing good price quality report fault</v>
      </c>
    </row>
    <row r="9568">
      <c r="A9568" s="1">
        <v>5.0</v>
      </c>
      <c r="B9568" s="1" t="s">
        <v>9426</v>
      </c>
      <c r="C9568" t="str">
        <f>IFERROR(__xludf.DUMMYFUNCTION("GOOGLETRANSLATE(B9568, ""fr"", ""en"")"),"Excellent value Very good value for money for this bluetooth headset I bought it because I was tired of the wire that was lying during my workouts. It is very comfortable and the sound is not bad. No need to charge it too often, autonomy is rather good")</f>
        <v>Excellent value Very good value for money for this bluetooth headset I bought it because I was tired of the wire that was lying during my workouts. It is very comfortable and the sound is not bad. No need to charge it too often, autonomy is rather good</v>
      </c>
    </row>
    <row r="9569">
      <c r="A9569" s="1">
        <v>5.0</v>
      </c>
      <c r="B9569" s="1" t="s">
        <v>9427</v>
      </c>
      <c r="C9569" t="str">
        <f>IFERROR(__xludf.DUMMYFUNCTION("GOOGLETRANSLATE(B9569, ""fr"", ""en"")"),"Baked Chicken Ideal for a chicken or a turkey in the oven. No risk of having a dry poultry. I am delighted, and the oven remains clean!")</f>
        <v>Baked Chicken Ideal for a chicken or a turkey in the oven. No risk of having a dry poultry. I am delighted, and the oven remains clean!</v>
      </c>
    </row>
    <row r="9570">
      <c r="A9570" s="1">
        <v>5.0</v>
      </c>
      <c r="B9570" s="1" t="s">
        <v>9428</v>
      </c>
      <c r="C9570" t="str">
        <f>IFERROR(__xludf.DUMMYFUNCTION("GOOGLETRANSLATE(B9570, ""fr"", ""en"")"),"Quality and comfort. I control the size 38.5 and I got size 39, but that's fine with me.")</f>
        <v>Quality and comfort. I control the size 38.5 and I got size 39, but that's fine with me.</v>
      </c>
    </row>
    <row r="9571">
      <c r="A9571" s="1">
        <v>5.0</v>
      </c>
      <c r="B9571" s="1" t="s">
        <v>9429</v>
      </c>
      <c r="C9571" t="str">
        <f>IFERROR(__xludf.DUMMYFUNCTION("GOOGLETRANSLATE(B9571, ""fr"", ""en"")"),"Very good product ! After a few days of use I can only recommend these headphones! The sound quality is very good, the autonomy of headphones is actually close to 4 hours and they load automatically upon storage in the cases! On headphones of this size cu"&amp;"rrently difficult to beat! To see in the term but at this price it is an excellent choice for this type of headphones!")</f>
        <v>Very good product ! After a few days of use I can only recommend these headphones! The sound quality is very good, the autonomy of headphones is actually close to 4 hours and they load automatically upon storage in the cases! On headphones of this size currently difficult to beat! To see in the term but at this price it is an excellent choice for this type of headphones!</v>
      </c>
    </row>
    <row r="9572">
      <c r="A9572" s="1">
        <v>2.0</v>
      </c>
      <c r="B9572" s="1" t="s">
        <v>9430</v>
      </c>
      <c r="C9572" t="str">
        <f>IFERROR(__xludf.DUMMYFUNCTION("GOOGLETRANSLATE(B9572, ""fr"", ""en"")"),"Article damaged Received Article Damaged flattens everything in brush that more useless !! Cardboard and protects brush all crushed !! Really not happy !! If the product itself as well and already order.")</f>
        <v>Article damaged Received Article Damaged flattens everything in brush that more useless !! Cardboard and protects brush all crushed !! Really not happy !! If the product itself as well and already order.</v>
      </c>
    </row>
    <row r="9573">
      <c r="A9573" s="1">
        <v>1.0</v>
      </c>
      <c r="B9573" s="1" t="s">
        <v>9431</v>
      </c>
      <c r="C9573" t="str">
        <f>IFERROR(__xludf.DUMMYFUNCTION("GOOGLETRANSLATE(B9573, ""fr"", ""en"")"),"is it really a origninale cartridge? J buys my hypermarket ink cartridges: either the original HP or then the generic brand of the supermarket that is fine. So there is no particular problem at the start except that the life is really too even too courte."&amp;"Donc I would not recommend this product. it is displayed print 190 pages or I made a big score up. From blank page, completely white. If I deliver my old used cartridge, bought in hypermarket, I have a very pale print but it works nonetheless. So Amazon c"&amp;"artridge is defective and I know how to obtain a refund.")</f>
        <v>is it really a origninale cartridge? J buys my hypermarket ink cartridges: either the original HP or then the generic brand of the supermarket that is fine. So there is no particular problem at the start except that the life is really too even too courte.Donc I would not recommend this product. it is displayed print 190 pages or I made a big score up. From blank page, completely white. If I deliver my old used cartridge, bought in hypermarket, I have a very pale print but it works nonetheless. So Amazon cartridge is defective and I know how to obtain a refund.</v>
      </c>
    </row>
    <row r="9574">
      <c r="A9574" s="1">
        <v>3.0</v>
      </c>
      <c r="B9574" s="1" t="s">
        <v>9432</v>
      </c>
      <c r="C9574" t="str">
        <f>IFERROR(__xludf.DUMMYFUNCTION("GOOGLETRANSLATE(B9574, ""fr"", ""en"")"),"Katana ... Why are you Katana? I expected a bag that really feel the leather, but I am rather disappointed .. Other color disappointment, I did not expect it to be as dark (EVERY articles leather same model differs each other) but the difference here is a"&amp;"sser striking. I chose this model over other as the color and contrast of the photo was me enormously more, suddenly it does not meet my expectations so .. Note that this is absolutely not the fault of the seller, my comment (or my criticism) is mainly th"&amp;"e brand Katana, this is not the first mishap I meet with this brand.")</f>
        <v>Katana ... Why are you Katana? I expected a bag that really feel the leather, but I am rather disappointed .. Other color disappointment, I did not expect it to be as dark (EVERY articles leather same model differs each other) but the difference here is asser striking. I chose this model over other as the color and contrast of the photo was me enormously more, suddenly it does not meet my expectations so .. Note that this is absolutely not the fault of the seller, my comment (or my criticism) is mainly the brand Katana, this is not the first mishap I meet with this brand.</v>
      </c>
    </row>
    <row r="9575">
      <c r="A9575" s="1">
        <v>3.0</v>
      </c>
      <c r="B9575" s="1" t="s">
        <v>9433</v>
      </c>
      <c r="C9575" t="str">
        <f>IFERROR(__xludf.DUMMYFUNCTION("GOOGLETRANSLATE(B9575, ""fr"", ""en"")"),"Electric cord a little short. The cord length of 73 cm plug provided. It toaster to laché after 6 months. As against it is a 2 year warranty and after sales service of Russell Hobbs is at the top. toaster replacement in less than a week. Bravo to the serv"&amp;"ice of Russell Hobbs.")</f>
        <v>Electric cord a little short. The cord length of 73 cm plug provided. It toaster to laché after 6 months. As against it is a 2 year warranty and after sales service of Russell Hobbs is at the top. toaster replacement in less than a week. Bravo to the service of Russell Hobbs.</v>
      </c>
    </row>
    <row r="9576">
      <c r="A9576" s="1">
        <v>4.0</v>
      </c>
      <c r="B9576" s="1" t="s">
        <v>9434</v>
      </c>
      <c r="C9576" t="str">
        <f>IFERROR(__xludf.DUMMYFUNCTION("GOOGLETRANSLATE(B9576, ""fr"", ""en"")"),"A sure I already had the same before. Alas my zipper broke, after 20 years ... It's going! So I bought the same. By cons I lost a node on a zipper at the end of the week. So check your knots. Otherwise perfect.")</f>
        <v>A sure I already had the same before. Alas my zipper broke, after 20 years ... It's going! So I bought the same. By cons I lost a node on a zipper at the end of the week. So check your knots. Otherwise perfect.</v>
      </c>
    </row>
    <row r="9577">
      <c r="A9577" s="1">
        <v>4.0</v>
      </c>
      <c r="B9577" s="1" t="s">
        <v>9435</v>
      </c>
      <c r="C9577" t="str">
        <f>IFERROR(__xludf.DUMMYFUNCTION("GOOGLETRANSLATE(B9577, ""fr"", ""en"")"),"Product compliant A little small for what I expected but I like it.")</f>
        <v>Product compliant A little small for what I expected but I like it.</v>
      </c>
    </row>
    <row r="9578">
      <c r="A9578" s="1">
        <v>4.0</v>
      </c>
      <c r="B9578" s="1" t="s">
        <v>9436</v>
      </c>
      <c r="C9578" t="str">
        <f>IFERROR(__xludf.DUMMYFUNCTION("GOOGLETRANSLATE(B9578, ""fr"", ""en"")"),"Felt Good product fabercastel")</f>
        <v>Felt Good product fabercastel</v>
      </c>
    </row>
    <row r="9579">
      <c r="A9579" s="1">
        <v>4.0</v>
      </c>
      <c r="B9579" s="1" t="s">
        <v>9437</v>
      </c>
      <c r="C9579" t="str">
        <f>IFERROR(__xludf.DUMMYFUNCTION("GOOGLETRANSLATE(B9579, ""fr"", ""en"")"),"Good headphones noise music at a reasonable price I do not want to spend 300 euros in a helmet, and that it corresponds to my expectations: good sound quality, works with or without cable, noise function relatively efficiently (we still hear some people t"&amp;"alk but not the engine noises and other sounds ""pests""). I wear it in public transport 40min morning and evening, his weight felt on the head but it remains comfortable ear pads are comfortable. The storage box is great for semi-rigid, but too big for m"&amp;"y bag, so I ranks in bulk, and 3 weeks of use, there is currently no damage.")</f>
        <v>Good headphones noise music at a reasonable price I do not want to spend 300 euros in a helmet, and that it corresponds to my expectations: good sound quality, works with or without cable, noise function relatively efficiently (we still hear some people talk but not the engine noises and other sounds "pests"). I wear it in public transport 40min morning and evening, his weight felt on the head but it remains comfortable ear pads are comfortable. The storage box is great for semi-rigid, but too big for my bag, so I ranks in bulk, and 3 weeks of use, there is currently no damage.</v>
      </c>
    </row>
    <row r="9580">
      <c r="A9580" s="1">
        <v>5.0</v>
      </c>
      <c r="B9580" s="1" t="s">
        <v>9438</v>
      </c>
      <c r="C9580" t="str">
        <f>IFERROR(__xludf.DUMMYFUNCTION("GOOGLETRANSLATE(B9580, ""fr"", ""en"")"),"satisfying more vivid than the pictures but I kept them because they were pretty I'm not decue")</f>
        <v>satisfying more vivid than the pictures but I kept them because they were pretty I'm not decue</v>
      </c>
    </row>
    <row r="9581">
      <c r="A9581" s="1">
        <v>5.0</v>
      </c>
      <c r="B9581" s="1" t="s">
        <v>9439</v>
      </c>
      <c r="C9581" t="str">
        <f>IFERROR(__xludf.DUMMYFUNCTION("GOOGLETRANSLATE(B9581, ""fr"", ""en"")"),"a watch ! Gives me time in lots of countries, date, wake up. if necessary. Responds to what I expected")</f>
        <v>a watch ! Gives me time in lots of countries, date, wake up. if necessary. Responds to what I expected</v>
      </c>
    </row>
    <row r="9582">
      <c r="A9582" s="1">
        <v>5.0</v>
      </c>
      <c r="B9582" s="1" t="s">
        <v>9440</v>
      </c>
      <c r="C9582" t="str">
        <f>IFERROR(__xludf.DUMMYFUNCTION("GOOGLETRANSLATE(B9582, ""fr"", ""en"")"),"Satisfied 👌🏼 Fast shipping and exactly the right size 👍🏼")</f>
        <v>Satisfied 👌🏼 Fast shipping and exactly the right size 👍🏼</v>
      </c>
    </row>
    <row r="9583">
      <c r="A9583" s="1">
        <v>5.0</v>
      </c>
      <c r="B9583" s="1" t="s">
        <v>9441</v>
      </c>
      <c r="C9583" t="str">
        <f>IFERROR(__xludf.DUMMYFUNCTION("GOOGLETRANSLATE(B9583, ""fr"", ""en"")"),"Perfect I took these leggings because I had an accident in the knee, so it needed a product that would allow me to put the brace after having the splint for 6 weeks. This product is very good, I can hand it to my being subsequently yoga. The material is n"&amp;"ice thick enough.")</f>
        <v>Perfect I took these leggings because I had an accident in the knee, so it needed a product that would allow me to put the brace after having the splint for 6 weeks. This product is very good, I can hand it to my being subsequently yoga. The material is nice thick enough.</v>
      </c>
    </row>
    <row r="9584">
      <c r="A9584" s="1">
        <v>5.0</v>
      </c>
      <c r="B9584" s="1" t="s">
        <v>9442</v>
      </c>
      <c r="C9584" t="str">
        <f>IFERROR(__xludf.DUMMYFUNCTION("GOOGLETRANSLATE(B9584, ""fr"", ""en"")"),"Helmet top headphone good in all its forms, ergonomic, lightweight and suitable for use TV and music")</f>
        <v>Helmet top headphone good in all its forms, ergonomic, lightweight and suitable for use TV and music</v>
      </c>
    </row>
    <row r="9585">
      <c r="A9585" s="1">
        <v>5.0</v>
      </c>
      <c r="B9585" s="1" t="s">
        <v>9443</v>
      </c>
      <c r="C9585" t="str">
        <f>IFERROR(__xludf.DUMMYFUNCTION("GOOGLETRANSLATE(B9585, ""fr"", ""en"")"),"Satisfied great product very happy Product")</f>
        <v>Satisfied great product very happy Product</v>
      </c>
    </row>
    <row r="9586">
      <c r="A9586" s="1">
        <v>5.0</v>
      </c>
      <c r="B9586" s="1" t="s">
        <v>9444</v>
      </c>
      <c r="C9586" t="str">
        <f>IFERROR(__xludf.DUMMYFUNCTION("GOOGLETRANSLATE(B9586, ""fr"", ""en"")"),"Pretty small kettle recent purchase but completely satisfied, I really wanted a small kettle and in this range the choice is not so wide that, this one at least was aesthetics, nothing to complain about, I appreciate To be able to select temperature and c"&amp;"ontrary to a notice small beeps absolutely not bother me, on the contrary are rather head in the air ... and the stop Automatic is also important for me mm for reasons as above. It heats quickly So that's positive to see in time")</f>
        <v>Pretty small kettle recent purchase but completely satisfied, I really wanted a small kettle and in this range the choice is not so wide that, this one at least was aesthetics, nothing to complain about, I appreciate To be able to select temperature and contrary to a notice small beeps absolutely not bother me, on the contrary are rather head in the air ... and the stop Automatic is also important for me mm for reasons as above. It heats quickly So that's positive to see in time</v>
      </c>
    </row>
    <row r="9587">
      <c r="A9587" s="1">
        <v>5.0</v>
      </c>
      <c r="B9587" s="1" t="s">
        <v>9445</v>
      </c>
      <c r="C9587" t="str">
        <f>IFERROR(__xludf.DUMMYFUNCTION("GOOGLETRANSLATE(B9587, ""fr"", ""en"")"),"Perfect Excellent product. Delighted with my purchase. Fast delivery, top.")</f>
        <v>Perfect Excellent product. Delighted with my purchase. Fast delivery, top.</v>
      </c>
    </row>
    <row r="9588">
      <c r="A9588" s="1">
        <v>5.0</v>
      </c>
      <c r="B9588" s="1" t="s">
        <v>9446</v>
      </c>
      <c r="C9588" t="str">
        <f>IFERROR(__xludf.DUMMYFUNCTION("GOOGLETRANSLATE(B9588, ""fr"", ""en"")"),"Ideal for baby pressed When baby crocs each second account and can quickly heat a bottle is a joy. My only regret not being able to remove the plastic grid in the history listed Holiday strength to clean thoroughly, but good vinegar works well")</f>
        <v>Ideal for baby pressed When baby crocs each second account and can quickly heat a bottle is a joy. My only regret not being able to remove the plastic grid in the history listed Holiday strength to clean thoroughly, but good vinegar works well</v>
      </c>
    </row>
    <row r="9589">
      <c r="A9589" s="1">
        <v>5.0</v>
      </c>
      <c r="B9589" s="1" t="s">
        <v>9447</v>
      </c>
      <c r="C9589" t="str">
        <f>IFERROR(__xludf.DUMMYFUNCTION("GOOGLETRANSLATE(B9589, ""fr"", ""en"")"),"very good calculator very well")</f>
        <v>very good calculator very well</v>
      </c>
    </row>
    <row r="9590">
      <c r="A9590" s="1">
        <v>5.0</v>
      </c>
      <c r="B9590" s="1" t="s">
        <v>9448</v>
      </c>
      <c r="C9590" t="str">
        <f>IFERROR(__xludf.DUMMYFUNCTION("GOOGLETRANSLATE(B9590, ""fr"", ""en"")"),"Top! I bought a set of 3 pairs ago 5 years, I returned to the same. They are resistant and comfortable (thick) but well ventilated. Playing tennis between 2 and 5 hours of tennis per week.")</f>
        <v>Top! I bought a set of 3 pairs ago 5 years, I returned to the same. They are resistant and comfortable (thick) but well ventilated. Playing tennis between 2 and 5 hours of tennis per week.</v>
      </c>
    </row>
    <row r="9591">
      <c r="A9591" s="1">
        <v>5.0</v>
      </c>
      <c r="B9591" s="1" t="s">
        <v>9449</v>
      </c>
      <c r="C9591" t="str">
        <f>IFERROR(__xludf.DUMMYFUNCTION("GOOGLETRANSLATE(B9591, ""fr"", ""en"")"),"Awesome ! Really great ! I could not live without it for washing baby bottles girl! The crank is really great practice! I recommend !")</f>
        <v>Awesome ! Really great ! I could not live without it for washing baby bottles girl! The crank is really great practice! I recommend !</v>
      </c>
    </row>
    <row r="9592">
      <c r="A9592" s="1">
        <v>5.0</v>
      </c>
      <c r="B9592" s="1" t="s">
        <v>9450</v>
      </c>
      <c r="C9592" t="str">
        <f>IFERROR(__xludf.DUMMYFUNCTION("GOOGLETRANSLATE(B9592, ""fr"", ""en"")"),"Very good and efficient. Diffuser small and efficient. More mosquitoes. Very satisfied with the product.")</f>
        <v>Very good and efficient. Diffuser small and efficient. More mosquitoes. Very satisfied with the product.</v>
      </c>
    </row>
    <row r="9593">
      <c r="A9593" s="1">
        <v>5.0</v>
      </c>
      <c r="B9593" s="1" t="s">
        <v>9451</v>
      </c>
      <c r="C9593" t="str">
        <f>IFERROR(__xludf.DUMMYFUNCTION("GOOGLETRANSLATE(B9593, ""fr"", ""en"")"),"Perfect, matches my expectations. Ordering directly 2 March 2016 and approved in the 03/05/2016. Reception very fast. As for the product, my husband uses it daily for business travel or everyday life. Communication is appreciable. Perfect, I recommend thi"&amp;"s product, as the seller 100%.")</f>
        <v>Perfect, matches my expectations. Ordering directly 2 March 2016 and approved in the 03/05/2016. Reception very fast. As for the product, my husband uses it daily for business travel or everyday life. Communication is appreciable. Perfect, I recommend this product, as the seller 100%.</v>
      </c>
    </row>
    <row r="9594">
      <c r="A9594" s="1">
        <v>5.0</v>
      </c>
      <c r="B9594" s="1" t="s">
        <v>9452</v>
      </c>
      <c r="C9594" t="str">
        <f>IFERROR(__xludf.DUMMYFUNCTION("GOOGLETRANSLATE(B9594, ""fr"", ""en"")"),"Puma uniquely authentic and very comfortable Delivered very quickly in their original box, they are true Cougar! Very good quality and beautiful, they are very comfortable and pleasant to wear. Do not hesitate to order them to the usual size.")</f>
        <v>Puma uniquely authentic and very comfortable Delivered very quickly in their original box, they are true Cougar! Very good quality and beautiful, they are very comfortable and pleasant to wear. Do not hesitate to order them to the usual size.</v>
      </c>
    </row>
    <row r="9595">
      <c r="A9595" s="1">
        <v>2.0</v>
      </c>
      <c r="B9595" s="1" t="s">
        <v>9453</v>
      </c>
      <c r="C9595" t="str">
        <f>IFERROR(__xludf.DUMMYFUNCTION("GOOGLETRANSLATE(B9595, ""fr"", ""en"")"),"Middle product too large and in addition the closing of scratch when closed extend at least 2 centimeters from the lower scratch.")</f>
        <v>Middle product too large and in addition the closing of scratch when closed extend at least 2 centimeters from the lower scratch.</v>
      </c>
    </row>
    <row r="9596">
      <c r="A9596" s="1">
        <v>1.0</v>
      </c>
      <c r="B9596" s="1" t="s">
        <v>9454</v>
      </c>
      <c r="C9596" t="str">
        <f>IFERROR(__xludf.DUMMYFUNCTION("GOOGLETRANSLATE(B9596, ""fr"", ""en"")"),"Sizzling right out of the sizzle from the first use. I had to buy new ones.")</f>
        <v>Sizzling right out of the sizzle from the first use. I had to buy new ones.</v>
      </c>
    </row>
    <row r="9597">
      <c r="A9597" s="1">
        <v>1.0</v>
      </c>
      <c r="B9597" s="1" t="s">
        <v>9455</v>
      </c>
      <c r="C9597" t="str">
        <f>IFERROR(__xludf.DUMMYFUNCTION("GOOGLETRANSLATE(B9597, ""fr"", ""en"")"),"Does not work I ve replaced one cartridge, the printer wonder if a continuous printing even though it is not a cartridge of the brand, I put ok and when I want to print, the color does not come. I ve tested on another color, like. unnecessary purchase")</f>
        <v>Does not work I ve replaced one cartridge, the printer wonder if a continuous printing even though it is not a cartridge of the brand, I put ok and when I want to print, the color does not come. I ve tested on another color, like. unnecessary purchase</v>
      </c>
    </row>
    <row r="9598">
      <c r="A9598" s="1">
        <v>3.0</v>
      </c>
      <c r="B9598" s="1" t="s">
        <v>9456</v>
      </c>
      <c r="C9598" t="str">
        <f>IFERROR(__xludf.DUMMYFUNCTION("GOOGLETRANSLATE(B9598, ""fr"", ""en"")"),"Good, but could have done better I used this microphone attached to a DSLR (Canon 5D) for several months on various reports and shootings. The first use of this microphone was for me to counter the noise of the internal microphone 5D when a stabilized len"&amp;"s. Using an external microphone, whatever it is, to avoid these unwanted background noise. On that side, the microphone has perfectly fulfilled its role. But I am disappointed that it did not, for example, can choose between a directive position and wider"&amp;", this microphone is quite directive. It has its advantages of course, but in reporting, it is often useful to also have the ability to make a recording sound more global. There no choice. We hear what is happening on camera, though the microphone is not "&amp;"very sensitive, but next and beyond 5 or 6 meters, nada. If you save someone who normally speaks to 5 or 7 meters away from you, it will be difficult to hear (but this can be corrected in post-production 'of course). Otherwise, no noise, no noise. Note ho"&amp;"wever the screw that holds the attachment shoe at the microphone. She too fast tend to unravel, and small rubber suspensions which drop too easily. Otherwise, it remains a good quality microphone.")</f>
        <v>Good, but could have done better I used this microphone attached to a DSLR (Canon 5D) for several months on various reports and shootings. The first use of this microphone was for me to counter the noise of the internal microphone 5D when a stabilized lens. Using an external microphone, whatever it is, to avoid these unwanted background noise. On that side, the microphone has perfectly fulfilled its role. But I am disappointed that it did not, for example, can choose between a directive position and wider, this microphone is quite directive. It has its advantages of course, but in reporting, it is often useful to also have the ability to make a recording sound more global. There no choice. We hear what is happening on camera, though the microphone is not very sensitive, but next and beyond 5 or 6 meters, nada. If you save someone who normally speaks to 5 or 7 meters away from you, it will be difficult to hear (but this can be corrected in post-production 'of course). Otherwise, no noise, no noise. Note however the screw that holds the attachment shoe at the microphone. She too fast tend to unravel, and small rubber suspensions which drop too easily. Otherwise, it remains a good quality microphone.</v>
      </c>
    </row>
    <row r="9599">
      <c r="A9599" s="1">
        <v>3.0</v>
      </c>
      <c r="B9599" s="1" t="s">
        <v>9457</v>
      </c>
      <c r="C9599" t="str">
        <f>IFERROR(__xludf.DUMMYFUNCTION("GOOGLETRANSLATE(B9599, ""fr"", ""en"")"),"very disappointed shoes smaller than previous kickers that I bought are narrower disappointing no longer corresponds to the quality kickers")</f>
        <v>very disappointed shoes smaller than previous kickers that I bought are narrower disappointing no longer corresponds to the quality kickers</v>
      </c>
    </row>
    <row r="9600">
      <c r="A9600" s="1">
        <v>4.0</v>
      </c>
      <c r="B9600" s="1" t="s">
        <v>9458</v>
      </c>
      <c r="C9600" t="str">
        <f>IFERROR(__xludf.DUMMYFUNCTION("GOOGLETRANSLATE(B9600, ""fr"", ""en"")"),"So practice the most important, I had trouble with my shoes last ones to close, I put a fou.Et time they hand over casser.Déjà these new shoes are already more practical that way, we will see with time for fastness.")</f>
        <v>So practice the most important, I had trouble with my shoes last ones to close, I put a fou.Et time they hand over casser.Déjà these new shoes are already more practical that way, we will see with time for fastness.</v>
      </c>
    </row>
    <row r="9601">
      <c r="A9601" s="1">
        <v>4.0</v>
      </c>
      <c r="B9601" s="1" t="s">
        <v>9459</v>
      </c>
      <c r="C9601" t="str">
        <f>IFERROR(__xludf.DUMMYFUNCTION("GOOGLETRANSLATE(B9601, ""fr"", ""en"")"),"Great coffee Very happy with this kettle can choose the desired temperature for tea or other very fast")</f>
        <v>Great coffee Very happy with this kettle can choose the desired temperature for tea or other very fast</v>
      </c>
    </row>
    <row r="9602">
      <c r="A9602" s="1">
        <v>4.0</v>
      </c>
      <c r="B9602" s="1" t="s">
        <v>9460</v>
      </c>
      <c r="C9602" t="str">
        <f>IFERROR(__xludf.DUMMYFUNCTION("GOOGLETRANSLATE(B9602, ""fr"", ""en"")"),"Very happy with my order this product G to paste a cell phone battery. It is very well .enable has dosed .livraison fast.")</f>
        <v>Very happy with my order this product G to paste a cell phone battery. It is very well .enable has dosed .livraison fast.</v>
      </c>
    </row>
    <row r="9603">
      <c r="A9603" s="1">
        <v>4.0</v>
      </c>
      <c r="B9603" s="1" t="s">
        <v>9461</v>
      </c>
      <c r="C9603" t="str">
        <f>IFERROR(__xludf.DUMMYFUNCTION("GOOGLETRANSLATE(B9603, ""fr"", ""en"")"),"Good morning, I hesitated before buying because there are a lot of negative comments on this helmet. But considering the price, I did not take too much risk and I'm not disappointed, I do not have the slightest wave interference when using the headset (4m"&amp;" from my pc to watch movies) and yet j 'am to 10 hours of battery life without having to reload while the average range is given for 8 hours! (I must say that I have a good sound card that allows me to increase the volume of the PC, not the headphones whe"&amp;"re energy saving). I'm happy with the product and put it 4 stars (I do not put it 5 stars because the product is a bit light manufacturing will require the handle gently to fit in time). By cons I intend to buy a second for use alternate and not be surpri"&amp;"sed by a vented helmet. I hope my review helped.")</f>
        <v>Good morning, I hesitated before buying because there are a lot of negative comments on this helmet. But considering the price, I did not take too much risk and I'm not disappointed, I do not have the slightest wave interference when using the headset (4m from my pc to watch movies) and yet j 'am to 10 hours of battery life without having to reload while the average range is given for 8 hours! (I must say that I have a good sound card that allows me to increase the volume of the PC, not the headphones where energy saving). I'm happy with the product and put it 4 stars (I do not put it 5 stars because the product is a bit light manufacturing will require the handle gently to fit in time). By cons I intend to buy a second for use alternate and not be surprised by a vented helmet. I hope my review helped.</v>
      </c>
    </row>
    <row r="9604">
      <c r="A9604" s="1">
        <v>4.0</v>
      </c>
      <c r="B9604" s="1" t="s">
        <v>9462</v>
      </c>
      <c r="C9604" t="str">
        <f>IFERROR(__xludf.DUMMYFUNCTION("GOOGLETRANSLATE(B9604, ""fr"", ""en"")"),"Good product Good product to see over time with the release of the teeth. By cons I saw more we will have to change it one time I think.")</f>
        <v>Good product Good product to see over time with the release of the teeth. By cons I saw more we will have to change it one time I think.</v>
      </c>
    </row>
    <row r="9605">
      <c r="A9605" s="1">
        <v>5.0</v>
      </c>
      <c r="B9605" s="1" t="s">
        <v>9463</v>
      </c>
      <c r="C9605" t="str">
        <f>IFERROR(__xludf.DUMMYFUNCTION("GOOGLETRANSLATE(B9605, ""fr"", ""en"")"),"Good quality 3 speed very well, lightweight and easy to use bottle.")</f>
        <v>Good quality 3 speed very well, lightweight and easy to use bottle.</v>
      </c>
    </row>
    <row r="9606">
      <c r="A9606" s="1">
        <v>5.0</v>
      </c>
      <c r="B9606" s="1" t="s">
        <v>9464</v>
      </c>
      <c r="C9606" t="str">
        <f>IFERROR(__xludf.DUMMYFUNCTION("GOOGLETRANSLATE(B9606, ""fr"", ""en"")"),"Produces very satisfactory Using Personal for a teen")</f>
        <v>Produces very satisfactory Using Personal for a teen</v>
      </c>
    </row>
    <row r="9607">
      <c r="A9607" s="1">
        <v>5.0</v>
      </c>
      <c r="B9607" s="1" t="s">
        <v>9465</v>
      </c>
      <c r="C9607" t="str">
        <f>IFERROR(__xludf.DUMMYFUNCTION("GOOGLETRANSLATE(B9607, ""fr"", ""en"")"),"Super cool! I am a huge fan of the brand Mam. Our daughter swears by these nipples (she refuses the others). Convenient, nice design, she loves. .. and U.S. too !")</f>
        <v>Super cool! I am a huge fan of the brand Mam. Our daughter swears by these nipples (she refuses the others). Convenient, nice design, she loves. .. and U.S. too !</v>
      </c>
    </row>
    <row r="9608">
      <c r="A9608" s="1">
        <v>5.0</v>
      </c>
      <c r="B9608" s="1" t="s">
        <v>9466</v>
      </c>
      <c r="C9608" t="str">
        <f>IFERROR(__xludf.DUMMYFUNCTION("GOOGLETRANSLATE(B9608, ""fr"", ""en"")"),"Five Stars Mam The nipples are very suitable for very young babies who tested the breast before.")</f>
        <v>Five Stars Mam The nipples are very suitable for very young babies who tested the breast before.</v>
      </c>
    </row>
    <row r="9609">
      <c r="A9609" s="1">
        <v>5.0</v>
      </c>
      <c r="B9609" s="1" t="s">
        <v>9467</v>
      </c>
      <c r="C9609" t="str">
        <f>IFERROR(__xludf.DUMMYFUNCTION("GOOGLETRANSLATE(B9609, ""fr"", ""en"")"),"Superb These sneakers are beautiful and make a nice effect. It feels like slippers. The size is a bit larger than my size; I have recommended with a half size below. I love them . I have also ordered for my daughter who adopted them and leaves them more.")</f>
        <v>Superb These sneakers are beautiful and make a nice effect. It feels like slippers. The size is a bit larger than my size; I have recommended with a half size below. I love them . I have also ordered for my daughter who adopted them and leaves them more.</v>
      </c>
    </row>
    <row r="9610">
      <c r="A9610" s="1">
        <v>5.0</v>
      </c>
      <c r="B9610" s="1" t="s">
        <v>9468</v>
      </c>
      <c r="C9610" t="str">
        <f>IFERROR(__xludf.DUMMYFUNCTION("GOOGLETRANSLATE(B9610, ""fr"", ""en"")"),"Product conforms to recommend product line with my expectations, light, gray color consistent. Warning this size just a bit, I make a 37,5 I took a 38 and it's perfect.")</f>
        <v>Product conforms to recommend product line with my expectations, light, gray color consistent. Warning this size just a bit, I make a 37,5 I took a 38 and it's perfect.</v>
      </c>
    </row>
    <row r="9611">
      <c r="A9611" s="1">
        <v>5.0</v>
      </c>
      <c r="B9611" s="1" t="s">
        <v>9469</v>
      </c>
      <c r="C9611" t="str">
        <f>IFERROR(__xludf.DUMMYFUNCTION("GOOGLETRANSLATE(B9611, ""fr"", ""en"")"),"Perfect practice for my son who is in college It has everything from great with its low price I recommend this calculator with case to protect it in the binder")</f>
        <v>Perfect practice for my son who is in college It has everything from great with its low price I recommend this calculator with case to protect it in the binder</v>
      </c>
    </row>
    <row r="9612">
      <c r="A9612" s="1">
        <v>5.0</v>
      </c>
      <c r="B9612" s="1" t="s">
        <v>9470</v>
      </c>
      <c r="C9612" t="str">
        <f>IFERROR(__xludf.DUMMYFUNCTION("GOOGLETRANSLATE(B9612, ""fr"", ""en"")"),"Very good buy Flawless !!")</f>
        <v>Very good buy Flawless !!</v>
      </c>
    </row>
    <row r="9613">
      <c r="A9613" s="1">
        <v>5.0</v>
      </c>
      <c r="B9613" s="1" t="s">
        <v>9471</v>
      </c>
      <c r="C9613" t="str">
        <f>IFERROR(__xludf.DUMMYFUNCTION("GOOGLETRANSLATE(B9613, ""fr"", ""en"")"),"perfect Ras")</f>
        <v>perfect Ras</v>
      </c>
    </row>
    <row r="9614">
      <c r="A9614" s="1">
        <v>5.0</v>
      </c>
      <c r="B9614" s="1" t="s">
        <v>9472</v>
      </c>
      <c r="C9614" t="str">
        <f>IFERROR(__xludf.DUMMYFUNCTION("GOOGLETRANSLATE(B9614, ""fr"", ""en"")"),"a little sweetness in a world of raw resealable pouch 6 fluorescent pastel bright colors. The colors are changing classic highlighters. Beveled tip well designed.")</f>
        <v>a little sweetness in a world of raw resealable pouch 6 fluorescent pastel bright colors. The colors are changing classic highlighters. Beveled tip well designed.</v>
      </c>
    </row>
    <row r="9615">
      <c r="A9615" s="1">
        <v>5.0</v>
      </c>
      <c r="B9615" s="1" t="s">
        <v>9473</v>
      </c>
      <c r="C9615" t="str">
        <f>IFERROR(__xludf.DUMMYFUNCTION("GOOGLETRANSLATE(B9615, ""fr"", ""en"")"),"Men Mules well")</f>
        <v>Men Mules well</v>
      </c>
    </row>
    <row r="9616">
      <c r="A9616" s="1">
        <v>5.0</v>
      </c>
      <c r="B9616" s="1" t="s">
        <v>9474</v>
      </c>
      <c r="C9616" t="str">
        <f>IFERROR(__xludf.DUMMYFUNCTION("GOOGLETRANSLATE(B9616, ""fr"", ""en"")"),"As descriptive Thermometer")</f>
        <v>As descriptive Thermometer</v>
      </c>
    </row>
    <row r="9617">
      <c r="A9617" s="1">
        <v>5.0</v>
      </c>
      <c r="B9617" s="1" t="s">
        <v>9475</v>
      </c>
      <c r="C9617" t="str">
        <f>IFERROR(__xludf.DUMMYFUNCTION("GOOGLETRANSLATE(B9617, ""fr"", ""en"")"),"Beautiful illustrations Beautiful Book beautiful illustrations")</f>
        <v>Beautiful illustrations Beautiful Book beautiful illustrations</v>
      </c>
    </row>
    <row r="9618">
      <c r="A9618" s="1">
        <v>5.0</v>
      </c>
      <c r="B9618" s="1" t="s">
        <v>9476</v>
      </c>
      <c r="C9618" t="str">
        <f>IFERROR(__xludf.DUMMYFUNCTION("GOOGLETRANSLATE(B9618, ""fr"", ""en"")"),"Relaxes and relax the muscles I offered to my husband who has problems of the lumbar and cevicales. The cushion relaxes and relax the muscles. he is very satisfied with the well-being it gives him. My husband is small sessions every day. It is not too noi"&amp;"sy. Super nice. The massage balls are not too violent while remaining effective. The heating system is a plus. And there is another decision that you can use in the car. C is nice for people leading many in the day.")</f>
        <v>Relaxes and relax the muscles I offered to my husband who has problems of the lumbar and cevicales. The cushion relaxes and relax the muscles. he is very satisfied with the well-being it gives him. My husband is small sessions every day. It is not too noisy. Super nice. The massage balls are not too violent while remaining effective. The heating system is a plus. And there is another decision that you can use in the car. C is nice for people leading many in the day.</v>
      </c>
    </row>
    <row r="9619">
      <c r="A9619" s="1">
        <v>5.0</v>
      </c>
      <c r="B9619" s="1" t="s">
        <v>9477</v>
      </c>
      <c r="C9619" t="str">
        <f>IFERROR(__xludf.DUMMYFUNCTION("GOOGLETRANSLATE(B9619, ""fr"", ""en"")"),"Great Product !! At the top even by recording sound very violent !!!")</f>
        <v>Great Product !! At the top even by recording sound very violent !!!</v>
      </c>
    </row>
    <row r="9620">
      <c r="A9620" s="1">
        <v>2.0</v>
      </c>
      <c r="B9620" s="1" t="s">
        <v>9478</v>
      </c>
      <c r="C9620" t="str">
        <f>IFERROR(__xludf.DUMMYFUNCTION("GOOGLETRANSLATE(B9620, ""fr"", ""en"")"),"Not good for reading Word formats - Excel - PPT single product to use, compact, packaged very well - very fast delivery with AMAZON. By cons very disappointed with the brightness: you have to be almost in total darkness to enjoy it; moreover, only suitabl"&amp;"e for professional presentations on laptops, type PPT presentation or Excel or Word. Characters fuzzy and unreadable even after adjustments. In fact, I saw him after, it is indicated on the leaflet (in French) of the manufacturer. But in presenting produc"&amp;"t on AMAZON, this is not indicated. So I returned the product; immediate refund and return the service always perfect with AMAZON.")</f>
        <v>Not good for reading Word formats - Excel - PPT single product to use, compact, packaged very well - very fast delivery with AMAZON. By cons very disappointed with the brightness: you have to be almost in total darkness to enjoy it; moreover, only suitable for professional presentations on laptops, type PPT presentation or Excel or Word. Characters fuzzy and unreadable even after adjustments. In fact, I saw him after, it is indicated on the leaflet (in French) of the manufacturer. But in presenting product on AMAZON, this is not indicated. So I returned the product; immediate refund and return the service always perfect with AMAZON.</v>
      </c>
    </row>
    <row r="9621">
      <c r="A9621" s="1">
        <v>1.0</v>
      </c>
      <c r="B9621" s="1" t="s">
        <v>9479</v>
      </c>
      <c r="C9621" t="str">
        <f>IFERROR(__xludf.DUMMYFUNCTION("GOOGLETRANSLATE(B9621, ""fr"", ""en"")"),"Cartridge Very dissatisfied empty half of its ink cartridges not very expensive but ultimately not anchor in a cartridge photocopy of twenty already dead I prefer paying more and ultimately see filled ink cartridges")</f>
        <v>Cartridge Very dissatisfied empty half of its ink cartridges not very expensive but ultimately not anchor in a cartridge photocopy of twenty already dead I prefer paying more and ultimately see filled ink cartridges</v>
      </c>
    </row>
    <row r="9622">
      <c r="A9622" s="1">
        <v>1.0</v>
      </c>
      <c r="B9622" s="1" t="s">
        <v>9480</v>
      </c>
      <c r="C9622" t="str">
        <f>IFERROR(__xludf.DUMMYFUNCTION("GOOGLETRANSLATE(B9622, ""fr"", ""en"")"),"Silent but poor quality I bought this kettle for his silence and I must say it makes less noise than any I've used before, even if it has become increasingly noisy time. However, it suffers from poor build quality (the filter no longer holds it rust and s"&amp;"cale is difficult to remove). The most serious is that she started today shorted, which has set a new record low longevity for this type of device about me. Avoid so ...")</f>
        <v>Silent but poor quality I bought this kettle for his silence and I must say it makes less noise than any I've used before, even if it has become increasingly noisy time. However, it suffers from poor build quality (the filter no longer holds it rust and scale is difficult to remove). The most serious is that she started today shorted, which has set a new record low longevity for this type of device about me. Avoid so ...</v>
      </c>
    </row>
    <row r="9623">
      <c r="A9623" s="1">
        <v>3.0</v>
      </c>
      <c r="B9623" s="1" t="s">
        <v>9481</v>
      </c>
      <c r="C9623" t="str">
        <f>IFERROR(__xludf.DUMMYFUNCTION("GOOGLETRANSLATE(B9623, ""fr"", ""en"")"),"Pretty efficient but not iso nice but not isolated, suddenly the steel wall is hot when the water is hot")</f>
        <v>Pretty efficient but not iso nice but not isolated, suddenly the steel wall is hot when the water is hot</v>
      </c>
    </row>
    <row r="9624">
      <c r="A9624" s="1">
        <v>3.0</v>
      </c>
      <c r="B9624" s="1" t="s">
        <v>9482</v>
      </c>
      <c r="C9624" t="str">
        <f>IFERROR(__xludf.DUMMYFUNCTION("GOOGLETRANSLATE(B9624, ""fr"", ""en"")"),"After two weeks means a shoelace broke otherwise handy")</f>
        <v>After two weeks means a shoelace broke otherwise handy</v>
      </c>
    </row>
    <row r="9625">
      <c r="A9625" s="1">
        <v>4.0</v>
      </c>
      <c r="B9625" s="1" t="s">
        <v>9483</v>
      </c>
      <c r="C9625" t="str">
        <f>IFERROR(__xludf.DUMMYFUNCTION("GOOGLETRANSLATE(B9625, ""fr"", ""en"")"),"comfortable socks that fit all sizes from 36 to 47 Super good quality socks, comfortable, solid that stretch well. I put on the 43 and my son from 45-46 and everyone is satisfied. I recommend this article.")</f>
        <v>comfortable socks that fit all sizes from 36 to 47 Super good quality socks, comfortable, solid that stretch well. I put on the 43 and my son from 45-46 and everyone is satisfied. I recommend this article.</v>
      </c>
    </row>
    <row r="9626">
      <c r="A9626" s="1">
        <v>4.0</v>
      </c>
      <c r="B9626" s="1" t="s">
        <v>9484</v>
      </c>
      <c r="C9626" t="str">
        <f>IFERROR(__xludf.DUMMYFUNCTION("GOOGLETRANSLATE(B9626, ""fr"", ""en"")"),"RAS RAS GOOD CARTRIDGE")</f>
        <v>RAS RAS GOOD CARTRIDGE</v>
      </c>
    </row>
    <row r="9627">
      <c r="A9627" s="1">
        <v>4.0</v>
      </c>
      <c r="B9627" s="1" t="s">
        <v>9485</v>
      </c>
      <c r="C9627" t="str">
        <f>IFERROR(__xludf.DUMMYFUNCTION("GOOGLETRANSLATE(B9627, ""fr"", ""en"")"),"size just good cut I read the comments I make a C 105 XL price so I too just for the price I control the size above. I recommend")</f>
        <v>size just good cut I read the comments I make a C 105 XL price so I too just for the price I control the size above. I recommend</v>
      </c>
    </row>
    <row r="9628">
      <c r="A9628" s="1">
        <v>4.0</v>
      </c>
      <c r="B9628" s="1" t="s">
        <v>9486</v>
      </c>
      <c r="C9628" t="str">
        <f>IFERROR(__xludf.DUMMYFUNCTION("GOOGLETRANSLATE(B9628, ""fr"", ""en"")"),"Autonomy to review Disappointed by the time listening to music 2h30 to 3 hours. Too disappointed I'm going to have to buy a more autonomous ...")</f>
        <v>Autonomy to review Disappointed by the time listening to music 2h30 to 3 hours. Too disappointed I'm going to have to buy a more autonomous ...</v>
      </c>
    </row>
    <row r="9629">
      <c r="A9629" s="1">
        <v>5.0</v>
      </c>
      <c r="B9629" s="1" t="s">
        <v>9487</v>
      </c>
      <c r="C9629" t="str">
        <f>IFERROR(__xludf.DUMMYFUNCTION("GOOGLETRANSLATE(B9629, ""fr"", ""en"")"),"Pretty colors I love writing with these pens have a very pretty color. The mine is fine and allows to write correctly. Plus, they last long. So my son, who is in 6th, asked me to write the same in his notebooks and decorate their cards revisions.")</f>
        <v>Pretty colors I love writing with these pens have a very pretty color. The mine is fine and allows to write correctly. Plus, they last long. So my son, who is in 6th, asked me to write the same in his notebooks and decorate their cards revisions.</v>
      </c>
    </row>
    <row r="9630">
      <c r="A9630" s="1">
        <v>5.0</v>
      </c>
      <c r="B9630" s="1" t="s">
        <v>9488</v>
      </c>
      <c r="C9630" t="str">
        <f>IFERROR(__xludf.DUMMYFUNCTION("GOOGLETRANSLATE(B9630, ""fr"", ""en"")"),"Very good value The microphone has a very good sound, it looks like a studio microphone with its strengths and weaknesses, its strength is that it has a good sound without background noise etc ... but the other, it captures all the sounds and it can be an"&amp;"noying, it captures what I say when I'm at my microphone 30m shouting. Otherwise great with the kit for just 30 euros and I do not use pop filter as too big for the gaming I see nothing")</f>
        <v>Very good value The microphone has a very good sound, it looks like a studio microphone with its strengths and weaknesses, its strength is that it has a good sound without background noise etc ... but the other, it captures all the sounds and it can be annoying, it captures what I say when I'm at my microphone 30m shouting. Otherwise great with the kit for just 30 euros and I do not use pop filter as too big for the gaming I see nothing</v>
      </c>
    </row>
    <row r="9631">
      <c r="A9631" s="1">
        <v>5.0</v>
      </c>
      <c r="B9631" s="1" t="s">
        <v>9489</v>
      </c>
      <c r="C9631" t="str">
        <f>IFERROR(__xludf.DUMMYFUNCTION("GOOGLETRANSLATE(B9631, ""fr"", ""en"")"),"Good headphones Bought for my son to play online on Xbox Live, among others")</f>
        <v>Good headphones Bought for my son to play online on Xbox Live, among others</v>
      </c>
    </row>
    <row r="9632">
      <c r="A9632" s="1">
        <v>5.0</v>
      </c>
      <c r="B9632" s="1" t="s">
        <v>9490</v>
      </c>
      <c r="C9632" t="str">
        <f>IFERROR(__xludf.DUMMYFUNCTION("GOOGLETRANSLATE(B9632, ""fr"", ""en"")"),"perfect perfect size, colors expected. even the teacher of my son love this sweater!")</f>
        <v>perfect perfect size, colors expected. even the teacher of my son love this sweater!</v>
      </c>
    </row>
    <row r="9633">
      <c r="A9633" s="1">
        <v>5.0</v>
      </c>
      <c r="B9633" s="1" t="s">
        <v>9491</v>
      </c>
      <c r="C9633" t="str">
        <f>IFERROR(__xludf.DUMMYFUNCTION("GOOGLETRANSLATE(B9633, ""fr"", ""en"")"),"Perfect Very comfortable, but adding Scholl soles for the cushioning effect. I almost return, but ultimately kept with the soles. Otherwise, no cushioning effect.")</f>
        <v>Perfect Very comfortable, but adding Scholl soles for the cushioning effect. I almost return, but ultimately kept with the soles. Otherwise, no cushioning effect.</v>
      </c>
    </row>
    <row r="9634">
      <c r="A9634" s="1">
        <v>5.0</v>
      </c>
      <c r="B9634" s="1" t="s">
        <v>9492</v>
      </c>
      <c r="C9634" t="str">
        <f>IFERROR(__xludf.DUMMYFUNCTION("GOOGLETRANSLATE(B9634, ""fr"", ""en"")"),"Super Supzr. true")</f>
        <v>Super Supzr. true</v>
      </c>
    </row>
    <row r="9635">
      <c r="A9635" s="1">
        <v>5.0</v>
      </c>
      <c r="B9635" s="1" t="s">
        <v>9493</v>
      </c>
      <c r="C9635" t="str">
        <f>IFERROR(__xludf.DUMMYFUNCTION("GOOGLETRANSLATE(B9635, ""fr"", ""en"")"),"Perfect Perfect very comfortable we do not want to change shoes so it is in very satisfied recommended")</f>
        <v>Perfect Perfect very comfortable we do not want to change shoes so it is in very satisfied recommended</v>
      </c>
    </row>
    <row r="9636">
      <c r="A9636" s="1">
        <v>5.0</v>
      </c>
      <c r="B9636" s="1" t="s">
        <v>9494</v>
      </c>
      <c r="C9636" t="str">
        <f>IFERROR(__xludf.DUMMYFUNCTION("GOOGLETRANSLATE(B9636, ""fr"", ""en"")"),"Blue annual calendar lecas Very good aesthetics, the color blue is nice, my size I have taken is a bit small, if it is clear and legible.")</f>
        <v>Blue annual calendar lecas Very good aesthetics, the color blue is nice, my size I have taken is a bit small, if it is clear and legible.</v>
      </c>
    </row>
    <row r="9637">
      <c r="A9637" s="1">
        <v>5.0</v>
      </c>
      <c r="B9637" s="1" t="s">
        <v>9495</v>
      </c>
      <c r="C9637" t="str">
        <f>IFERROR(__xludf.DUMMYFUNCTION("GOOGLETRANSLATE(B9637, ""fr"", ""en"")"),"Perfect Beautiful appearance, beautiful and good product ... Worn several times, washed several times, they are like new. Since the purchase price, we can say bargain")</f>
        <v>Perfect Beautiful appearance, beautiful and good product ... Worn several times, washed several times, they are like new. Since the purchase price, we can say bargain</v>
      </c>
    </row>
    <row r="9638">
      <c r="A9638" s="1">
        <v>5.0</v>
      </c>
      <c r="B9638" s="1" t="s">
        <v>9496</v>
      </c>
      <c r="C9638" t="str">
        <f>IFERROR(__xludf.DUMMYFUNCTION("GOOGLETRANSLATE(B9638, ""fr"", ""en"")"),"Good value Very good product s my son amused for months with")</f>
        <v>Good value Very good product s my son amused for months with</v>
      </c>
    </row>
    <row r="9639">
      <c r="A9639" s="1">
        <v>5.0</v>
      </c>
      <c r="B9639" s="1" t="s">
        <v>7418</v>
      </c>
      <c r="C9639" t="str">
        <f>IFERROR(__xludf.DUMMYFUNCTION("GOOGLETRANSLATE(B9639, ""fr"", ""en"")"),"perfect Nickel")</f>
        <v>perfect Nickel</v>
      </c>
    </row>
    <row r="9640">
      <c r="A9640" s="1">
        <v>5.0</v>
      </c>
      <c r="B9640" s="1" t="s">
        <v>9497</v>
      </c>
      <c r="C9640" t="str">
        <f>IFERROR(__xludf.DUMMYFUNCTION("GOOGLETRANSLATE(B9640, ""fr"", ""en"")"),"Unbeatable !! I took advantage of a promo on amazon for giving me this sweatshirt because I could never pay me the full price (110 €). Specials will not last long at all with this brand so I did not hesitate. Super happy with this sweatshirt: well cut, pl"&amp;"easant material, nickel finishes, sober and trendy at the same time. I chose the color green, it is really beautiful and it changes navy blue, gray and other customary colors. In short you can trust and Lacoste has once again thank amazon for this promo, "&amp;"I also regularly monitors specials on amazon. Do like me ! I really recommend this sweatshirt, remains to choose your favorite color !!")</f>
        <v>Unbeatable !! I took advantage of a promo on amazon for giving me this sweatshirt because I could never pay me the full price (110 €). Specials will not last long at all with this brand so I did not hesitate. Super happy with this sweatshirt: well cut, pleasant material, nickel finishes, sober and trendy at the same time. I chose the color green, it is really beautiful and it changes navy blue, gray and other customary colors. In short you can trust and Lacoste has once again thank amazon for this promo, I also regularly monitors specials on amazon. Do like me ! I really recommend this sweatshirt, remains to choose your favorite color !!</v>
      </c>
    </row>
    <row r="9641">
      <c r="A9641" s="1">
        <v>5.0</v>
      </c>
      <c r="B9641" s="1" t="s">
        <v>9498</v>
      </c>
      <c r="C9641" t="str">
        <f>IFERROR(__xludf.DUMMYFUNCTION("GOOGLETRANSLATE(B9641, ""fr"", ""en"")"),"Great product This is my second purchased helmet. Bought for my father to pair with his iPhone. I relied on the comments from Amazon and I do not regret. Very ergonomic, good sound quality. Materials that seems robust in use. I find, for its price, really"&amp;" good. the battery life SIEE me.")</f>
        <v>Great product This is my second purchased helmet. Bought for my father to pair with his iPhone. I relied on the comments from Amazon and I do not regret. Very ergonomic, good sound quality. Materials that seems robust in use. I find, for its price, really good. the battery life SIEE me.</v>
      </c>
    </row>
    <row r="9642">
      <c r="A9642" s="1">
        <v>5.0</v>
      </c>
      <c r="B9642" s="1" t="s">
        <v>9499</v>
      </c>
      <c r="C9642" t="str">
        <f>IFERROR(__xludf.DUMMYFUNCTION("GOOGLETRANSLATE(B9642, ""fr"", ""en"")"),"Flawless Very nice model, consistent with the picture !!! I have offered to my husband who is the brilliant !!! It is comfortable, casual and yet very classy !!! I recommend !!!!")</f>
        <v>Flawless Very nice model, consistent with the picture !!! I have offered to my husband who is the brilliant !!! It is comfortable, casual and yet very classy !!! I recommend !!!!</v>
      </c>
    </row>
    <row r="9643">
      <c r="A9643" s="1">
        <v>5.0</v>
      </c>
      <c r="B9643" s="1" t="s">
        <v>9500</v>
      </c>
      <c r="C9643" t="str">
        <f>IFERROR(__xludf.DUMMYFUNCTION("GOOGLETRANSLATE(B9643, ""fr"", ""en"")"),"Man Woman Sneakers Running Shoes Sneakers exellent thank you")</f>
        <v>Man Woman Sneakers Running Shoes Sneakers exellent thank you</v>
      </c>
    </row>
    <row r="9644">
      <c r="A9644" s="1">
        <v>5.0</v>
      </c>
      <c r="B9644" s="1" t="s">
        <v>9501</v>
      </c>
      <c r="C9644" t="str">
        <f>IFERROR(__xludf.DUMMYFUNCTION("GOOGLETRANSLATE(B9644, ""fr"", ""en"")"),"Product ink cartridge according to the picture and description")</f>
        <v>Product ink cartridge according to the picture and description</v>
      </c>
    </row>
    <row r="9645">
      <c r="A9645" s="1">
        <v>2.0</v>
      </c>
      <c r="B9645" s="1" t="s">
        <v>9502</v>
      </c>
      <c r="C9645" t="str">
        <f>IFERROR(__xludf.DUMMYFUNCTION("GOOGLETRANSLATE(B9645, ""fr"", ""en"")"),"essential oil diffuser Works great but suitable for small rooms beyond 20m2 One feels not much")</f>
        <v>essential oil diffuser Works great but suitable for small rooms beyond 20m2 One feels not much</v>
      </c>
    </row>
    <row r="9646">
      <c r="A9646" s="1">
        <v>1.0</v>
      </c>
      <c r="B9646" s="1" t="s">
        <v>9503</v>
      </c>
      <c r="C9646" t="str">
        <f>IFERROR(__xludf.DUMMYFUNCTION("GOOGLETRANSLATE(B9646, ""fr"", ""en"")"),"Okay Dishwasher")</f>
        <v>Okay Dishwasher</v>
      </c>
    </row>
    <row r="9647">
      <c r="A9647" s="1">
        <v>1.0</v>
      </c>
      <c r="B9647" s="1" t="s">
        <v>9504</v>
      </c>
      <c r="C9647" t="str">
        <f>IFERROR(__xludf.DUMMYFUNCTION("GOOGLETRANSLATE(B9647, ""fr"", ""en"")"),"Watch out, I'm very disappointed because this watch was not working when I received it. I had to return it. Now I méfierai me very inexpensive watches.")</f>
        <v>Watch out, I'm very disappointed because this watch was not working when I received it. I had to return it. Now I méfierai me very inexpensive watches.</v>
      </c>
    </row>
    <row r="9648">
      <c r="A9648" s="1">
        <v>3.0</v>
      </c>
      <c r="B9648" s="1" t="s">
        <v>9505</v>
      </c>
      <c r="C9648" t="str">
        <f>IFERROR(__xludf.DUMMYFUNCTION("GOOGLETRANSLATE(B9648, ""fr"", ""en"")"),"Not bad a little small, difficult to settle and not waterproof but disign nice and useful functions")</f>
        <v>Not bad a little small, difficult to settle and not waterproof but disign nice and useful functions</v>
      </c>
    </row>
    <row r="9649">
      <c r="A9649" s="1">
        <v>4.0</v>
      </c>
      <c r="B9649" s="1" t="s">
        <v>9506</v>
      </c>
      <c r="C9649" t="str">
        <f>IFERROR(__xludf.DUMMYFUNCTION("GOOGLETRANSLATE(B9649, ""fr"", ""en"")"),"not bad but size a little big I find them less comfortable than gazelles such, but they cost a half their price, so good ... Attention to the size that a large size tad, I will say a half size larger .. if you hesitate between sizes Take the smallest.")</f>
        <v>not bad but size a little big I find them less comfortable than gazelles such, but they cost a half their price, so good ... Attention to the size that a large size tad, I will say a half size larger .. if you hesitate between sizes Take the smallest.</v>
      </c>
    </row>
    <row r="9650">
      <c r="A9650" s="1">
        <v>4.0</v>
      </c>
      <c r="B9650" s="1" t="s">
        <v>9507</v>
      </c>
      <c r="C9650" t="str">
        <f>IFERROR(__xludf.DUMMYFUNCTION("GOOGLETRANSLATE(B9650, ""fr"", ""en"")"),"almost well I bought these shoes for running in minimalist fashion size if you want to without sock c is too large in size with socks's going soft, but not too much, you feel the ground but without pain in the feet against not easy to run with must really"&amp;" concentrate if you attack with the heel and LA it stings to see in time if I will do my very small output for time with more walking than running")</f>
        <v>almost well I bought these shoes for running in minimalist fashion size if you want to without sock c is too large in size with socks's going soft, but not too much, you feel the ground but without pain in the feet against not easy to run with must really concentrate if you attack with the heel and LA it stings to see in time if I will do my very small output for time with more walking than running</v>
      </c>
    </row>
    <row r="9651">
      <c r="A9651" s="1">
        <v>4.0</v>
      </c>
      <c r="B9651" s="1" t="s">
        <v>9508</v>
      </c>
      <c r="C9651" t="str">
        <f>IFERROR(__xludf.DUMMYFUNCTION("GOOGLETRANSLATE(B9651, ""fr"", ""en"")"),"sheet rolling fast delivery of good quality leaves no différances to those I could bought in a tobacco shop I give it a good score")</f>
        <v>sheet rolling fast delivery of good quality leaves no différances to those I could bought in a tobacco shop I give it a good score</v>
      </c>
    </row>
    <row r="9652">
      <c r="A9652" s="1">
        <v>4.0</v>
      </c>
      <c r="B9652" s="1" t="s">
        <v>9509</v>
      </c>
      <c r="C9652" t="str">
        <f>IFERROR(__xludf.DUMMYFUNCTION("GOOGLETRANSLATE(B9652, ""fr"", ""en"")"),"Okay Okay")</f>
        <v>Okay Okay</v>
      </c>
    </row>
    <row r="9653">
      <c r="A9653" s="1">
        <v>5.0</v>
      </c>
      <c r="B9653" s="1" t="s">
        <v>9510</v>
      </c>
      <c r="C9653" t="str">
        <f>IFERROR(__xludf.DUMMYFUNCTION("GOOGLETRANSLATE(B9653, ""fr"", ""en"")"),"compliant product meets the description delivery is been completed according to delay the announced feature consistent product with its excellent radio reception object")</f>
        <v>compliant product meets the description delivery is been completed according to delay the announced feature consistent product with its excellent radio reception object</v>
      </c>
    </row>
    <row r="9654">
      <c r="A9654" s="1">
        <v>5.0</v>
      </c>
      <c r="B9654" s="1" t="s">
        <v>9511</v>
      </c>
      <c r="C9654" t="str">
        <f>IFERROR(__xludf.DUMMYFUNCTION("GOOGLETRANSLATE(B9654, ""fr"", ""en"")"),"Excellent me great product. '' '' '' '' '' '' '' '' '' '' '' ,,,,,,,,,,,,,,,, ,,,,,,,, ,,,, ,,,,,,,,,,, recommends all ,,,,,,,,,, ,,,,, ,,,,, ,,,,, ,,,,,, ,,,,? , ,,,,, ,,,, ,,,,, ,,,,")</f>
        <v>Excellent me great product. '' '' '' '' '' '' '' '' '' '' '' ,,,,,,,,,,,,,,,, ,,,,,,,, ,,,, ,,,,,,,,,,, recommends all ,,,,,,,,,, ,,,,, ,,,,, ,,,,, ,,,,,, ,,,,? , ,,,,, ,,,, ,,,,, ,,,,</v>
      </c>
    </row>
    <row r="9655">
      <c r="A9655" s="1">
        <v>5.0</v>
      </c>
      <c r="B9655" s="1" t="s">
        <v>9512</v>
      </c>
      <c r="C9655" t="str">
        <f>IFERROR(__xludf.DUMMYFUNCTION("GOOGLETRANSLATE(B9655, ""fr"", ""en"")"),"entertaining my 2 year old son loves. nice story, too long to tell. he can not get .I recommend")</f>
        <v>entertaining my 2 year old son loves. nice story, too long to tell. he can not get .I recommend</v>
      </c>
    </row>
    <row r="9656">
      <c r="A9656" s="1">
        <v>5.0</v>
      </c>
      <c r="B9656" s="1" t="s">
        <v>9513</v>
      </c>
      <c r="C9656" t="str">
        <f>IFERROR(__xludf.DUMMYFUNCTION("GOOGLETRANSLATE(B9656, ""fr"", ""en"")"),"Oil very effective during pregnancy I used 2 times a day my whole pregnancy and after the birth of almost the entire body and no stretch marks! At a great price competitive. Bottle handy with its measuring cap.")</f>
        <v>Oil very effective during pregnancy I used 2 times a day my whole pregnancy and after the birth of almost the entire body and no stretch marks! At a great price competitive. Bottle handy with its measuring cap.</v>
      </c>
    </row>
    <row r="9657">
      <c r="A9657" s="1">
        <v>5.0</v>
      </c>
      <c r="B9657" s="1" t="s">
        <v>9514</v>
      </c>
      <c r="C9657" t="str">
        <f>IFERROR(__xludf.DUMMYFUNCTION("GOOGLETRANSLATE(B9657, ""fr"", ""en"")"),"Super very beautiful sweater style..effectivement good size a little big, but I still took the usual size of my son who does not like to be in his tight sweater and it was perfect neither too tight nor too wide my son 1m75 for 80kilos the door and it's pe"&amp;"rfect, no regrets")</f>
        <v>Super very beautiful sweater style..effectivement good size a little big, but I still took the usual size of my son who does not like to be in his tight sweater and it was perfect neither too tight nor too wide my son 1m75 for 80kilos the door and it's perfect, no regrets</v>
      </c>
    </row>
    <row r="9658">
      <c r="A9658" s="1">
        <v>5.0</v>
      </c>
      <c r="B9658" s="1" t="s">
        <v>9515</v>
      </c>
      <c r="C9658" t="str">
        <f>IFERROR(__xludf.DUMMYFUNCTION("GOOGLETRANSLATE(B9658, ""fr"", ""en"")"),"This is solid bags are great, well-sealed as necessary and very solid. The handle system is more convenient than the son or one makes a node.")</f>
        <v>This is solid bags are great, well-sealed as necessary and very solid. The handle system is more convenient than the son or one makes a node.</v>
      </c>
    </row>
    <row r="9659">
      <c r="A9659" s="1">
        <v>5.0</v>
      </c>
      <c r="B9659" s="1" t="s">
        <v>9516</v>
      </c>
      <c r="C9659" t="str">
        <f>IFERROR(__xludf.DUMMYFUNCTION("GOOGLETRANSLATE(B9659, ""fr"", ""en"")"),"Perfect. Leakage between the reservoir and the Circolo coffee Krups. 6 screws to remove and shoo it go again. Careful Torx screws with a ""rod"" in the middle.")</f>
        <v>Perfect. Leakage between the reservoir and the Circolo coffee Krups. 6 screws to remove and shoo it go again. Careful Torx screws with a "rod" in the middle.</v>
      </c>
    </row>
    <row r="9660">
      <c r="A9660" s="1">
        <v>5.0</v>
      </c>
      <c r="B9660" s="1" t="s">
        <v>9517</v>
      </c>
      <c r="C9660" t="str">
        <f>IFERROR(__xludf.DUMMYFUNCTION("GOOGLETRANSLATE(B9660, ""fr"", ""en"")"),"I really hesitated to buy I really hesitated to buy, so good I do not regret, we do not feel at all on the ears, ideal for sport and quite sour and small caps offered with doreille this is great, the service life of me seems long and there is a really bea"&amp;"utiful sound with his increasingly small caps that we isolate noise that can be emitted around us. I'm just happy with my purchase")</f>
        <v>I really hesitated to buy I really hesitated to buy, so good I do not regret, we do not feel at all on the ears, ideal for sport and quite sour and small caps offered with doreille this is great, the service life of me seems long and there is a really beautiful sound with his increasingly small caps that we isolate noise that can be emitted around us. I'm just happy with my purchase</v>
      </c>
    </row>
    <row r="9661">
      <c r="A9661" s="1">
        <v>5.0</v>
      </c>
      <c r="B9661" s="1" t="s">
        <v>9518</v>
      </c>
      <c r="C9661" t="str">
        <f>IFERROR(__xludf.DUMMYFUNCTION("GOOGLETRANSLATE(B9661, ""fr"", ""en"")"),"Impeccable under a dress size very well, I took a size S for the 36 lovely fabric, that does not run. Thick belt that holds in the stomach. White is however rather an off white / off white, slightly transparent. I put it under my dresses.")</f>
        <v>Impeccable under a dress size very well, I took a size S for the 36 lovely fabric, that does not run. Thick belt that holds in the stomach. White is however rather an off white / off white, slightly transparent. I put it under my dresses.</v>
      </c>
    </row>
    <row r="9662">
      <c r="A9662" s="1">
        <v>5.0</v>
      </c>
      <c r="B9662" s="1" t="s">
        <v>9519</v>
      </c>
      <c r="C9662" t="str">
        <f>IFERROR(__xludf.DUMMYFUNCTION("GOOGLETRANSLATE(B9662, ""fr"", ""en"")"),"Conforms adequate, good quality.")</f>
        <v>Conforms adequate, good quality.</v>
      </c>
    </row>
    <row r="9663">
      <c r="A9663" s="1">
        <v>5.0</v>
      </c>
      <c r="B9663" s="1" t="s">
        <v>9520</v>
      </c>
      <c r="C9663" t="str">
        <f>IFERROR(__xludf.DUMMYFUNCTION("GOOGLETRANSLATE(B9663, ""fr"", ""en"")"),"Simple, functional and affordable Everyone knows that a bad sound on a good video, it's been a bad video. Nothing worse than a YouTubeur whose voice causes of echo or whose sound is so low that it would have a level 250 on the button volume to begin to un"&amp;"derstand something. In my still shooting in the studio, I wanted something that is both aesthetic, functional and sound quality without proper ruin me. Although delivered without mounting instructions, it only took me 5 minutes to put everything together "&amp;"and install it on my office shooting. Fixed with a vise, foot hold out a move a little but nothing abnormal, simply shake well (bonus tip: two small wedges rubber end avoid leaving marks on the desktop;)) The microphone is sober with a its direct return o"&amp;"f -11.4 Db on average compared to my tie microphone, which is quite correct. For once, I'm happy with this purchase! To see the long term but I'm not worried so far after hours 10aine location")</f>
        <v>Simple, functional and affordable Everyone knows that a bad sound on a good video, it's been a bad video. Nothing worse than a YouTubeur whose voice causes of echo or whose sound is so low that it would have a level 250 on the button volume to begin to understand something. In my still shooting in the studio, I wanted something that is both aesthetic, functional and sound quality without proper ruin me. Although delivered without mounting instructions, it only took me 5 minutes to put everything together and install it on my office shooting. Fixed with a vise, foot hold out a move a little but nothing abnormal, simply shake well (bonus tip: two small wedges rubber end avoid leaving marks on the desktop;)) The microphone is sober with a its direct return of -11.4 Db on average compared to my tie microphone, which is quite correct. For once, I'm happy with this purchase! To see the long term but I'm not worried so far after hours 10aine location</v>
      </c>
    </row>
    <row r="9664">
      <c r="A9664" s="1">
        <v>5.0</v>
      </c>
      <c r="B9664" s="1" t="s">
        <v>9521</v>
      </c>
      <c r="C9664" t="str">
        <f>IFERROR(__xludf.DUMMYFUNCTION("GOOGLETRANSLATE(B9664, ""fr"", ""en"")"),"Good quality cable This cable jack instrument - jack is good. Thick and sturdy, it works perfectly and does not add to its breath")</f>
        <v>Good quality cable This cable jack instrument - jack is good. Thick and sturdy, it works perfectly and does not add to its breath</v>
      </c>
    </row>
    <row r="9665">
      <c r="A9665" s="1">
        <v>5.0</v>
      </c>
      <c r="B9665" s="1" t="s">
        <v>9522</v>
      </c>
      <c r="C9665" t="str">
        <f>IFERROR(__xludf.DUMMYFUNCTION("GOOGLETRANSLATE(B9665, ""fr"", ""en"")"),"Very. Ien Great product fast delivery nickel.")</f>
        <v>Very. Ien Great product fast delivery nickel.</v>
      </c>
    </row>
    <row r="9666">
      <c r="A9666" s="1">
        <v>5.0</v>
      </c>
      <c r="B9666" s="1" t="s">
        <v>9523</v>
      </c>
      <c r="C9666" t="str">
        <f>IFERROR(__xludf.DUMMYFUNCTION("GOOGLETRANSLATE(B9666, ""fr"", ""en"")"),"Nice surprise ! I had a priori on the Crocs brand famous pairs that we know well, heavy crude. Here, none of that: it feels good tong, having no discomfort and short life of the famous flops beaches at 5 €.")</f>
        <v>Nice surprise ! I had a priori on the Crocs brand famous pairs that we know well, heavy crude. Here, none of that: it feels good tong, having no discomfort and short life of the famous flops beaches at 5 €.</v>
      </c>
    </row>
    <row r="9667">
      <c r="A9667" s="1">
        <v>5.0</v>
      </c>
      <c r="B9667" s="1" t="s">
        <v>9524</v>
      </c>
      <c r="C9667" t="str">
        <f>IFERROR(__xludf.DUMMYFUNCTION("GOOGLETRANSLATE(B9667, ""fr"", ""en"")"),"effective super value for money")</f>
        <v>effective super value for money</v>
      </c>
    </row>
    <row r="9668">
      <c r="A9668" s="1">
        <v>2.0</v>
      </c>
      <c r="B9668" s="1" t="s">
        <v>9525</v>
      </c>
      <c r="C9668" t="str">
        <f>IFERROR(__xludf.DUMMYFUNCTION("GOOGLETRANSLATE(B9668, ""fr"", ""en"")"),"Not having to watch problem too small for my taste. I prefer to wear men's watches, so actually shows too fine for me.")</f>
        <v>Not having to watch problem too small for my taste. I prefer to wear men's watches, so actually shows too fine for me.</v>
      </c>
    </row>
    <row r="9669">
      <c r="A9669" s="1">
        <v>1.0</v>
      </c>
      <c r="B9669" s="1" t="s">
        <v>9526</v>
      </c>
      <c r="C9669" t="str">
        <f>IFERROR(__xludf.DUMMYFUNCTION("GOOGLETRANSLATE(B9669, ""fr"", ""en"")"),"Too small to video Luc Rycote too small for a video Luc Rycote is not long enough and barely wide enough shame because the quality is the")</f>
        <v>Too small to video Luc Rycote too small for a video Luc Rycote is not long enough and barely wide enough shame because the quality is the</v>
      </c>
    </row>
    <row r="9670">
      <c r="A9670" s="1">
        <v>3.0</v>
      </c>
      <c r="B9670" s="1" t="s">
        <v>9527</v>
      </c>
      <c r="C9670" t="str">
        <f>IFERROR(__xludf.DUMMYFUNCTION("GOOGLETRANSLATE(B9670, ""fr"", ""en"")"),"Failure to receive Very pretty curls received before the due date. However, of the four loops paid, I really have only three, since the last one, I just received the stem and clasp ... bad ... Without this incident, I have recommended the product.")</f>
        <v>Failure to receive Very pretty curls received before the due date. However, of the four loops paid, I really have only three, since the last one, I just received the stem and clasp ... bad ... Without this incident, I have recommended the product.</v>
      </c>
    </row>
    <row r="9671">
      <c r="A9671" s="1">
        <v>3.0</v>
      </c>
      <c r="B9671" s="1" t="s">
        <v>9528</v>
      </c>
      <c r="C9671" t="str">
        <f>IFERROR(__xludf.DUMMYFUNCTION("GOOGLETRANSLATE(B9671, ""fr"", ""en"")"),"fat very hard this fat is very hard, difficult gift of property spread over the leather, really not easy I do not advise")</f>
        <v>fat very hard this fat is very hard, difficult gift of property spread over the leather, really not easy I do not advise</v>
      </c>
    </row>
    <row r="9672">
      <c r="A9672" s="1">
        <v>4.0</v>
      </c>
      <c r="B9672" s="1" t="s">
        <v>9529</v>
      </c>
      <c r="C9672" t="str">
        <f>IFERROR(__xludf.DUMMYFUNCTION("GOOGLETRANSLATE(B9672, ""fr"", ""en"")"),"interesting")</f>
        <v>interesting</v>
      </c>
    </row>
    <row r="9673">
      <c r="A9673" s="1">
        <v>4.0</v>
      </c>
      <c r="B9673" s="1" t="s">
        <v>9530</v>
      </c>
      <c r="C9673" t="str">
        <f>IFERROR(__xludf.DUMMYFUNCTION("GOOGLETRANSLATE(B9673, ""fr"", ""en"")"),"Very good natural scrub very good natural scrub! Effective careful not to leave too long if you act a little fragile skin. It says exposure time of 5 to 10 minutes but you adapt to suit your skin. The smell Super it's like in Morocco!")</f>
        <v>Very good natural scrub very good natural scrub! Effective careful not to leave too long if you act a little fragile skin. It says exposure time of 5 to 10 minutes but you adapt to suit your skin. The smell Super it's like in Morocco!</v>
      </c>
    </row>
    <row r="9674">
      <c r="A9674" s="1">
        <v>4.0</v>
      </c>
      <c r="B9674" s="1" t="s">
        <v>9531</v>
      </c>
      <c r="C9674" t="str">
        <f>IFERROR(__xludf.DUMMYFUNCTION("GOOGLETRANSLATE(B9674, ""fr"", ""en"")"),"Satisfied Very Good product and good quality. The flow is perfect for a newborn and I think can be used for larger even if it is a size s")</f>
        <v>Satisfied Very Good product and good quality. The flow is perfect for a newborn and I think can be used for larger even if it is a size s</v>
      </c>
    </row>
    <row r="9675">
      <c r="A9675" s="1">
        <v>4.0</v>
      </c>
      <c r="B9675" s="1" t="s">
        <v>9532</v>
      </c>
      <c r="C9675" t="str">
        <f>IFERROR(__xludf.DUMMYFUNCTION("GOOGLETRANSLATE(B9675, ""fr"", ""en"")"),"As expected ... ... but it's not the first Crocs I buy. Note that the strap lengths too random: from both a bit too long (not serious) and once again too short (you can not fold it forward).")</f>
        <v>As expected ... ... but it's not the first Crocs I buy. Note that the strap lengths too random: from both a bit too long (not serious) and once again too short (you can not fold it forward).</v>
      </c>
    </row>
    <row r="9676">
      <c r="A9676" s="1">
        <v>5.0</v>
      </c>
      <c r="B9676" s="1" t="s">
        <v>9533</v>
      </c>
      <c r="C9676" t="str">
        <f>IFERROR(__xludf.DUMMYFUNCTION("GOOGLETRANSLATE(B9676, ""fr"", ""en"")"),"I make a small size 40/41, I took a 40 store since it is said that the large size brand. Big mistake.")</f>
        <v>I make a small size 40/41, I took a 40 store since it is said that the large size brand. Big mistake.</v>
      </c>
    </row>
    <row r="9677">
      <c r="A9677" s="1">
        <v>5.0</v>
      </c>
      <c r="B9677" s="1" t="s">
        <v>9534</v>
      </c>
      <c r="C9677" t="str">
        <f>IFERROR(__xludf.DUMMYFUNCTION("GOOGLETRANSLATE(B9677, ""fr"", ""en"")"),"Well Super! To me the money !!! Well after 5 or 6 washings printheads if not black but it works very well !! The cartridges are individually packaged, good quality! I recommend")</f>
        <v>Well Super! To me the money !!! Well after 5 or 6 washings printheads if not black but it works very well !! The cartridges are individually packaged, good quality! I recommend</v>
      </c>
    </row>
    <row r="9678">
      <c r="A9678" s="1">
        <v>5.0</v>
      </c>
      <c r="B9678" s="1" t="s">
        <v>9535</v>
      </c>
      <c r="C9678" t="str">
        <f>IFERROR(__xludf.DUMMYFUNCTION("GOOGLETRANSLATE(B9678, ""fr"", ""en"")"),"Excellent blocker to block different charms")</f>
        <v>Excellent blocker to block different charms</v>
      </c>
    </row>
    <row r="9679">
      <c r="A9679" s="1">
        <v>5.0</v>
      </c>
      <c r="B9679" s="1" t="s">
        <v>9536</v>
      </c>
      <c r="C9679" t="str">
        <f>IFERROR(__xludf.DUMMYFUNCTION("GOOGLETRANSLATE(B9679, ""fr"", ""en"")"),"Impec Good Light settings does well to go from cold to hot by level and preci viariateur especially powerful this is hard parfoix with Led")</f>
        <v>Impec Good Light settings does well to go from cold to hot by level and preci viariateur especially powerful this is hard parfoix with Led</v>
      </c>
    </row>
    <row r="9680">
      <c r="A9680" s="1">
        <v>5.0</v>
      </c>
      <c r="B9680" s="1" t="s">
        <v>9537</v>
      </c>
      <c r="C9680" t="str">
        <f>IFERROR(__xludf.DUMMYFUNCTION("GOOGLETRANSLATE(B9680, ""fr"", ""en"")"),"Very beautiful necklace beautiful necklace plated white gold with a heart shaped pendant decorated with cristaux.Il is discreet and light, my wife the door every day whether to go out or home it is doing at all times even for a party or a wedding output s"&amp;"oiree.Ce did gem a blast at my femme.Rapport quality very reasonable price 👍")</f>
        <v>Very beautiful necklace beautiful necklace plated white gold with a heart shaped pendant decorated with cristaux.Il is discreet and light, my wife the door every day whether to go out or home it is doing at all times even for a party or a wedding output soiree.Ce did gem a blast at my femme.Rapport quality very reasonable price 👍</v>
      </c>
    </row>
    <row r="9681">
      <c r="A9681" s="1">
        <v>5.0</v>
      </c>
      <c r="B9681" s="1" t="s">
        <v>9538</v>
      </c>
      <c r="C9681" t="str">
        <f>IFERROR(__xludf.DUMMYFUNCTION("GOOGLETRANSLATE(B9681, ""fr"", ""en"")"),"Zippo Lighter brand new fame to a great sale price. Its simple form makes it easy to achieve a leather case, and sealing is ""improvable"" with a piece of bicycle inner tube, which also helps keep the essence longer.")</f>
        <v>Zippo Lighter brand new fame to a great sale price. Its simple form makes it easy to achieve a leather case, and sealing is "improvable" with a piece of bicycle inner tube, which also helps keep the essence longer.</v>
      </c>
    </row>
    <row r="9682">
      <c r="A9682" s="1">
        <v>5.0</v>
      </c>
      <c r="B9682" s="1" t="s">
        <v>9539</v>
      </c>
      <c r="C9682" t="str">
        <f>IFERROR(__xludf.DUMMYFUNCTION("GOOGLETRANSLATE(B9682, ""fr"", ""en"")"),"Very satisfied Very nice work. I will only have 4 students in my class CE1 next year and I wanted a book of small experiments that can achieve independently. Full of ideas.")</f>
        <v>Very satisfied Very nice work. I will only have 4 students in my class CE1 next year and I wanted a book of small experiments that can achieve independently. Full of ideas.</v>
      </c>
    </row>
    <row r="9683">
      <c r="A9683" s="1">
        <v>5.0</v>
      </c>
      <c r="B9683" s="1" t="s">
        <v>9540</v>
      </c>
      <c r="C9683" t="str">
        <f>IFERROR(__xludf.DUMMYFUNCTION("GOOGLETRANSLATE(B9683, ""fr"", ""en"")"),"Top As my first order, quick and neat and sending at least these cartridges are compatible with my Epson printer (while others supposed to be finished in recycling directly!). I do not hesitate to recommend even if I would like the opportunity to have tha"&amp;"t color cartridges! I recommend of course!")</f>
        <v>Top As my first order, quick and neat and sending at least these cartridges are compatible with my Epson printer (while others supposed to be finished in recycling directly!). I do not hesitate to recommend even if I would like the opportunity to have that color cartridges! I recommend of course!</v>
      </c>
    </row>
    <row r="9684">
      <c r="A9684" s="1">
        <v>5.0</v>
      </c>
      <c r="B9684" s="1" t="s">
        <v>9541</v>
      </c>
      <c r="C9684" t="str">
        <f>IFERROR(__xludf.DUMMYFUNCTION("GOOGLETRANSLATE(B9684, ""fr"", ""en"")"),"O 👌🏽")</f>
        <v>O 👌🏽</v>
      </c>
    </row>
    <row r="9685">
      <c r="A9685" s="1">
        <v>5.0</v>
      </c>
      <c r="B9685" s="1" t="s">
        <v>9542</v>
      </c>
      <c r="C9685" t="str">
        <f>IFERROR(__xludf.DUMMYFUNCTION("GOOGLETRANSLATE(B9685, ""fr"", ""en"")"),"Good quality paper produced entirely in line with expectations, good print quality, even texture, perfectly white, is quite suitable to impimante")</f>
        <v>Good quality paper produced entirely in line with expectations, good print quality, even texture, perfectly white, is quite suitable to impimante</v>
      </c>
    </row>
    <row r="9686">
      <c r="A9686" s="1">
        <v>5.0</v>
      </c>
      <c r="B9686" s="1" t="s">
        <v>9543</v>
      </c>
      <c r="C9686" t="str">
        <f>IFERROR(__xludf.DUMMYFUNCTION("GOOGLETRANSLATE(B9686, ""fr"", ""en"")"),"I recommend!! super laminator laminator on top! fast delivery works great and in addition the seller offers sheets for laminator 3 sizes gift. sehr gut! zoomyo danke!")</f>
        <v>I recommend!! super laminator laminator on top! fast delivery works great and in addition the seller offers sheets for laminator 3 sizes gift. sehr gut! zoomyo danke!</v>
      </c>
    </row>
    <row r="9687">
      <c r="A9687" s="1">
        <v>5.0</v>
      </c>
      <c r="B9687" s="1" t="s">
        <v>9544</v>
      </c>
      <c r="C9687" t="str">
        <f>IFERROR(__xludf.DUMMYFUNCTION("GOOGLETRANSLATE(B9687, ""fr"", ""en"")"),"Super scrub that smells extremely good, practice makes the skin soft and silky. At the top and then cheap to brand")</f>
        <v>Super scrub that smells extremely good, practice makes the skin soft and silky. At the top and then cheap to brand</v>
      </c>
    </row>
    <row r="9688">
      <c r="A9688" s="1">
        <v>5.0</v>
      </c>
      <c r="B9688" s="1" t="s">
        <v>9545</v>
      </c>
      <c r="C9688" t="str">
        <f>IFERROR(__xludf.DUMMYFUNCTION("GOOGLETRANSLATE(B9688, ""fr"", ""en"")"),"although the socks are packed in quality and product texture bag is well made, to now see over time but I am for now pleasantly surprised.")</f>
        <v>although the socks are packed in quality and product texture bag is well made, to now see over time but I am for now pleasantly surprised.</v>
      </c>
    </row>
    <row r="9689">
      <c r="A9689" s="1">
        <v>5.0</v>
      </c>
      <c r="B9689" s="1" t="s">
        <v>9546</v>
      </c>
      <c r="C9689" t="str">
        <f>IFERROR(__xludf.DUMMYFUNCTION("GOOGLETRANSLATE(B9689, ""fr"", ""en"")"),"Super beautiful and practical to replace a white band that had yellowed. The bracelet comes in a nice case with the small tool needed and small hooks surcharge. But in addition the bracelet is incredibly easy to install because the hooks with a small devi"&amp;"ce which simply press to secure the strap on the watch. Bravo for the design and quality of the bracelet.")</f>
        <v>Super beautiful and practical to replace a white band that had yellowed. The bracelet comes in a nice case with the small tool needed and small hooks surcharge. But in addition the bracelet is incredibly easy to install because the hooks with a small device which simply press to secure the strap on the watch. Bravo for the design and quality of the bracelet.</v>
      </c>
    </row>
    <row r="9690">
      <c r="A9690" s="1">
        <v>5.0</v>
      </c>
      <c r="B9690" s="1" t="s">
        <v>9547</v>
      </c>
      <c r="C9690" t="str">
        <f>IFERROR(__xludf.DUMMYFUNCTION("GOOGLETRANSLATE(B9690, ""fr"", ""en"")"),"Baby adopted here! I use MAM since the birth of my son and I am very satisfied")</f>
        <v>Baby adopted here! I use MAM since the birth of my son and I am very satisfied</v>
      </c>
    </row>
    <row r="9691">
      <c r="A9691" s="1">
        <v>2.0</v>
      </c>
      <c r="B9691" s="1" t="s">
        <v>9548</v>
      </c>
      <c r="C9691" t="str">
        <f>IFERROR(__xludf.DUMMYFUNCTION("GOOGLETRANSLATE(B9691, ""fr"", ""en"")"),"No not received bjr I still have not received my package and the relay point said that he did not is either so or is t he?")</f>
        <v>No not received bjr I still have not received my package and the relay point said that he did not is either so or is t he?</v>
      </c>
    </row>
    <row r="9692">
      <c r="A9692" s="1">
        <v>1.0</v>
      </c>
      <c r="B9692" s="1" t="s">
        <v>9549</v>
      </c>
      <c r="C9692" t="str">
        <f>IFERROR(__xludf.DUMMYFUNCTION("GOOGLETRANSLATE(B9692, ""fr"", ""en"")"),"It looks very cheap This necklace looks very cheap look, its material is not good and does not meet my expectations.")</f>
        <v>It looks very cheap This necklace looks very cheap look, its material is not good and does not meet my expectations.</v>
      </c>
    </row>
    <row r="9693">
      <c r="A9693" s="1">
        <v>1.0</v>
      </c>
      <c r="B9693" s="1" t="s">
        <v>9550</v>
      </c>
      <c r="C9693" t="str">
        <f>IFERROR(__xludf.DUMMYFUNCTION("GOOGLETRANSLATE(B9693, ""fr"", ""en"")"),"Size very small in this color J have ordered these shorts to sleep at night and hanging out at home. This super small size size about 2 see 3 below.")</f>
        <v>Size very small in this color J have ordered these shorts to sleep at night and hanging out at home. This super small size size about 2 see 3 below.</v>
      </c>
    </row>
    <row r="9694">
      <c r="A9694" s="1">
        <v>3.0</v>
      </c>
      <c r="B9694" s="1" t="s">
        <v>9551</v>
      </c>
      <c r="C9694" t="str">
        <f>IFERROR(__xludf.DUMMYFUNCTION("GOOGLETRANSLATE(B9694, ""fr"", ""en"")"),"Are split rapidly Super teats but variable speed they are split too rapidly.")</f>
        <v>Are split rapidly Super teats but variable speed they are split too rapidly.</v>
      </c>
    </row>
    <row r="9695">
      <c r="A9695" s="1">
        <v>3.0</v>
      </c>
      <c r="B9695" s="1" t="s">
        <v>9552</v>
      </c>
      <c r="C9695" t="str">
        <f>IFERROR(__xludf.DUMMYFUNCTION("GOOGLETRANSLATE(B9695, ""fr"", ""en"")"),"Bra Bra in no case made for the sport. I bought them to spare me the agony of the bra the weekend. What I like are the braces because they are adjustable.")</f>
        <v>Bra Bra in no case made for the sport. I bought them to spare me the agony of the bra the weekend. What I like are the braces because they are adjustable.</v>
      </c>
    </row>
    <row r="9696">
      <c r="A9696" s="1">
        <v>4.0</v>
      </c>
      <c r="B9696" s="1" t="s">
        <v>9553</v>
      </c>
      <c r="C9696" t="str">
        <f>IFERROR(__xludf.DUMMYFUNCTION("GOOGLETRANSLATE(B9696, ""fr"", ""en"")"),"Very comfortable! Jogging pants super comfortable! On me it is somewhat adjusted, I have therefore preferred a little wider. Do not hesitate to take one size up if you like it a little wide (as pictured). I measure 1m72, I usually do a size XL or XXL base"&amp;"d brands. The length is perfect! And does not serve the waist. Good product, I do not regret my purchase.")</f>
        <v>Very comfortable! Jogging pants super comfortable! On me it is somewhat adjusted, I have therefore preferred a little wider. Do not hesitate to take one size up if you like it a little wide (as pictured). I measure 1m72, I usually do a size XL or XXL based brands. The length is perfect! And does not serve the waist. Good product, I do not regret my purchase.</v>
      </c>
    </row>
    <row r="9697">
      <c r="A9697" s="1">
        <v>4.0</v>
      </c>
      <c r="B9697" s="1" t="s">
        <v>9554</v>
      </c>
      <c r="C9697" t="str">
        <f>IFERROR(__xludf.DUMMYFUNCTION("GOOGLETRANSLATE(B9697, ""fr"", ""en"")"),"OK Value I bought this for my Shih Tzu. That's twice as I 3yrs buys because the other was worn. I am very satisfied. 😊Et he is very happy during cool periods. The price is very interesting")</f>
        <v>OK Value I bought this for my Shih Tzu. That's twice as I 3yrs buys because the other was worn. I am very satisfied. 😊Et he is very happy during cool periods. The price is very interesting</v>
      </c>
    </row>
    <row r="9698">
      <c r="A9698" s="1">
        <v>4.0</v>
      </c>
      <c r="B9698" s="1" t="s">
        <v>9555</v>
      </c>
      <c r="C9698" t="str">
        <f>IFERROR(__xludf.DUMMYFUNCTION("GOOGLETRANSLATE(B9698, ""fr"", ""en"")"),"Great product I ordered these shoes for my brother who complained of feeling the stones with old sneakers. He is very pleased and recommend this product. Size it right. You have to like tight shoes. 👍")</f>
        <v>Great product I ordered these shoes for my brother who complained of feeling the stones with old sneakers. He is very pleased and recommend this product. Size it right. You have to like tight shoes. 👍</v>
      </c>
    </row>
    <row r="9699">
      <c r="A9699" s="1">
        <v>4.0</v>
      </c>
      <c r="B9699" s="1" t="s">
        <v>9556</v>
      </c>
      <c r="C9699" t="str">
        <f>IFERROR(__xludf.DUMMYFUNCTION("GOOGLETRANSLATE(B9699, ""fr"", ""en"")"),"Basketball's what my daughter wanted")</f>
        <v>Basketball's what my daughter wanted</v>
      </c>
    </row>
    <row r="9700">
      <c r="A9700" s="1">
        <v>5.0</v>
      </c>
      <c r="B9700" s="1" t="s">
        <v>9557</v>
      </c>
      <c r="C9700" t="str">
        <f>IFERROR(__xludf.DUMMYFUNCTION("GOOGLETRANSLATE(B9700, ""fr"", ""en"")"),"Nikel Good product meets")</f>
        <v>Nikel Good product meets</v>
      </c>
    </row>
    <row r="9701">
      <c r="A9701" s="1">
        <v>5.0</v>
      </c>
      <c r="B9701" s="1" t="s">
        <v>9558</v>
      </c>
      <c r="C9701" t="str">
        <f>IFERROR(__xludf.DUMMYFUNCTION("GOOGLETRANSLATE(B9701, ""fr"", ""en"")"),"Very good quality Works great noiseless")</f>
        <v>Very good quality Works great noiseless</v>
      </c>
    </row>
    <row r="9702">
      <c r="A9702" s="1">
        <v>5.0</v>
      </c>
      <c r="B9702" s="1" t="s">
        <v>9559</v>
      </c>
      <c r="C9702" t="str">
        <f>IFERROR(__xludf.DUMMYFUNCTION("GOOGLETRANSLATE(B9702, ""fr"", ""en"")"),"Superb The legging is really beautiful, beautiful colors. The size corresponds.")</f>
        <v>Superb The legging is really beautiful, beautiful colors. The size corresponds.</v>
      </c>
    </row>
    <row r="9703">
      <c r="A9703" s="1">
        <v>5.0</v>
      </c>
      <c r="B9703" s="1" t="s">
        <v>9560</v>
      </c>
      <c r="C9703" t="str">
        <f>IFERROR(__xludf.DUMMYFUNCTION("GOOGLETRANSLATE(B9703, ""fr"", ""en"")"),"adidas pace value for money, as ordered")</f>
        <v>adidas pace value for money, as ordered</v>
      </c>
    </row>
    <row r="9704">
      <c r="A9704" s="1">
        <v>5.0</v>
      </c>
      <c r="B9704" s="1" t="s">
        <v>9561</v>
      </c>
      <c r="C9704" t="str">
        <f>IFERROR(__xludf.DUMMYFUNCTION("GOOGLETRANSLATE(B9704, ""fr"", ""en"")"),"Superb watch the vintage look. Frankly, no complaints. I love the design of Casio watches. This is for me a bit more charming than the other. Simple to adjust and understand, in 30 minutes she was in my wrist. In short nothing wrong (especially for the pr"&amp;"ice)")</f>
        <v>Superb watch the vintage look. Frankly, no complaints. I love the design of Casio watches. This is for me a bit more charming than the other. Simple to adjust and understand, in 30 minutes she was in my wrist. In short nothing wrong (especially for the price)</v>
      </c>
    </row>
    <row r="9705">
      <c r="A9705" s="1">
        <v>5.0</v>
      </c>
      <c r="B9705" s="1" t="s">
        <v>9562</v>
      </c>
      <c r="C9705" t="str">
        <f>IFERROR(__xludf.DUMMYFUNCTION("GOOGLETRANSLATE(B9705, ""fr"", ""en"")"),"Good accessory comfortable shoes.")</f>
        <v>Good accessory comfortable shoes.</v>
      </c>
    </row>
    <row r="9706">
      <c r="A9706" s="1">
        <v>5.0</v>
      </c>
      <c r="B9706" s="1" t="s">
        <v>9563</v>
      </c>
      <c r="C9706" t="str">
        <f>IFERROR(__xludf.DUMMYFUNCTION("GOOGLETRANSLATE(B9706, ""fr"", ""en"")"),"Pack newborn top, Dodie offers here a newborn Anti-Colic kit of blue and yellow boy. This batch consists of: -2 bottles of 150 ml of 270 ml bottles -2 -2 -1 bottles of 330ml brush 2 in 1 -an anatomical pacifier valves teats have an anti colic system.")</f>
        <v>Pack newborn top, Dodie offers here a newborn Anti-Colic kit of blue and yellow boy. This batch consists of: -2 bottles of 150 ml of 270 ml bottles -2 -2 -1 bottles of 330ml brush 2 in 1 -an anatomical pacifier valves teats have an anti colic system.</v>
      </c>
    </row>
    <row r="9707">
      <c r="A9707" s="1">
        <v>5.0</v>
      </c>
      <c r="B9707" s="1" t="s">
        <v>9564</v>
      </c>
      <c r="C9707" t="str">
        <f>IFERROR(__xludf.DUMMYFUNCTION("GOOGLETRANSLATE(B9707, ""fr"", ""en"")"),"Very suitable Laundry")</f>
        <v>Very suitable Laundry</v>
      </c>
    </row>
    <row r="9708">
      <c r="A9708" s="1">
        <v>5.0</v>
      </c>
      <c r="B9708" s="1" t="s">
        <v>9565</v>
      </c>
      <c r="C9708" t="str">
        <f>IFERROR(__xludf.DUMMYFUNCTION("GOOGLETRANSLATE(B9708, ""fr"", ""en"")"),"Very good very good value for money, with a number of packets respected very original Reasons I'm satisfied (there is just a tiny odor, paper or plastic, but not uncomfortable for me)")</f>
        <v>Very good very good value for money, with a number of packets respected very original Reasons I'm satisfied (there is just a tiny odor, paper or plastic, but not uncomfortable for me)</v>
      </c>
    </row>
    <row r="9709">
      <c r="A9709" s="1">
        <v>5.0</v>
      </c>
      <c r="B9709" s="1" t="s">
        <v>9566</v>
      </c>
      <c r="C9709" t="str">
        <f>IFERROR(__xludf.DUMMYFUNCTION("GOOGLETRANSLATE(B9709, ""fr"", ""en"")"),"QUALITY PRODUCT This product perfectly fits my criteria, range, noise reduction, quality and low weight ...... Price also correct for the quality product Hifi")</f>
        <v>QUALITY PRODUCT This product perfectly fits my criteria, range, noise reduction, quality and low weight ...... Price also correct for the quality product Hifi</v>
      </c>
    </row>
    <row r="9710">
      <c r="A9710" s="1">
        <v>5.0</v>
      </c>
      <c r="B9710" s="1" t="s">
        <v>9567</v>
      </c>
      <c r="C9710" t="str">
        <f>IFERROR(__xludf.DUMMYFUNCTION("GOOGLETRANSLATE(B9710, ""fr"", ""en"")"),"Top Buy there a while now. Scissors very good, solid. I use them often and they always cut as well. I regret a little size, but it remains strictly personal. I recommend")</f>
        <v>Top Buy there a while now. Scissors very good, solid. I use them often and they always cut as well. I regret a little size, but it remains strictly personal. I recommend</v>
      </c>
    </row>
    <row r="9711">
      <c r="A9711" s="1">
        <v>5.0</v>
      </c>
      <c r="B9711" s="1" t="s">
        <v>9568</v>
      </c>
      <c r="C9711" t="str">
        <f>IFERROR(__xludf.DUMMYFUNCTION("GOOGLETRANSLATE(B9711, ""fr"", ""en"")"),"Okay well adjusted model, in size M. A sober and discreet black and white, consistent with the picture. Cressi quality. I recommend.")</f>
        <v>Okay well adjusted model, in size M. A sober and discreet black and white, consistent with the picture. Cressi quality. I recommend.</v>
      </c>
    </row>
    <row r="9712">
      <c r="A9712" s="1">
        <v>5.0</v>
      </c>
      <c r="B9712" s="1" t="s">
        <v>9569</v>
      </c>
      <c r="C9712" t="str">
        <f>IFERROR(__xludf.DUMMYFUNCTION("GOOGLETRANSLATE(B9712, ""fr"", ""en"")"),"Although resistant")</f>
        <v>Although resistant</v>
      </c>
    </row>
    <row r="9713">
      <c r="A9713" s="1">
        <v>5.0</v>
      </c>
      <c r="B9713" s="1" t="s">
        <v>9570</v>
      </c>
      <c r="C9713" t="str">
        <f>IFERROR(__xludf.DUMMYFUNCTION("GOOGLETRANSLATE(B9713, ""fr"", ""en"")"),"Perfect! Exactly like the picture, the assembly of these bracelets gives a great effect!")</f>
        <v>Perfect! Exactly like the picture, the assembly of these bracelets gives a great effect!</v>
      </c>
    </row>
    <row r="9714">
      <c r="A9714" s="1">
        <v>5.0</v>
      </c>
      <c r="B9714" s="1" t="s">
        <v>9571</v>
      </c>
      <c r="C9714" t="str">
        <f>IFERROR(__xludf.DUMMYFUNCTION("GOOGLETRANSLATE(B9714, ""fr"", ""en"")"),"nice sneakers My son is very happy. Nike sneakers size small so I took a size up and it's perfect! Maintain good foot, nice finish")</f>
        <v>nice sneakers My son is very happy. Nike sneakers size small so I took a size up and it's perfect! Maintain good foot, nice finish</v>
      </c>
    </row>
    <row r="9715">
      <c r="A9715" s="1">
        <v>2.0</v>
      </c>
      <c r="B9715" s="1" t="s">
        <v>9572</v>
      </c>
      <c r="C9715" t="str">
        <f>IFERROR(__xludf.DUMMYFUNCTION("GOOGLETRANSLATE(B9715, ""fr"", ""en"")"),"Disappointed disappointed because size really too small")</f>
        <v>Disappointed disappointed because size really too small</v>
      </c>
    </row>
    <row r="9716">
      <c r="A9716" s="1">
        <v>1.0</v>
      </c>
      <c r="B9716" s="1" t="s">
        <v>9573</v>
      </c>
      <c r="C9716" t="str">
        <f>IFERROR(__xludf.DUMMYFUNCTION("GOOGLETRANSLATE(B9716, ""fr"", ""en"")"),"Quickly defective I used very little of this device since, after ten of use, it was not working !! I contacted the seller and I hope he can get me an exchange or a refund! To be continued")</f>
        <v>Quickly defective I used very little of this device since, after ten of use, it was not working !! I contacted the seller and I hope he can get me an exchange or a refund! To be continued</v>
      </c>
    </row>
    <row r="9717">
      <c r="A9717" s="1">
        <v>1.0</v>
      </c>
      <c r="B9717" s="1" t="s">
        <v>9574</v>
      </c>
      <c r="C9717" t="str">
        <f>IFERROR(__xludf.DUMMYFUNCTION("GOOGLETRANSLATE(B9717, ""fr"", ""en"")"),"Never had never received")</f>
        <v>Never had never received</v>
      </c>
    </row>
    <row r="9718">
      <c r="A9718" s="1">
        <v>3.0</v>
      </c>
      <c r="B9718" s="1" t="s">
        <v>9575</v>
      </c>
      <c r="C9718" t="str">
        <f>IFERROR(__xludf.DUMMYFUNCTION("GOOGLETRANSLATE(B9718, ""fr"", ""en"")"),"This kettle not great works rather well but it is very ""cheap"", plastic and lightweight, it is the game in the button and it is not very solid, we'll see over time but I already regret my purchase.")</f>
        <v>This kettle not great works rather well but it is very "cheap", plastic and lightweight, it is the game in the button and it is not very solid, we'll see over time but I already regret my purchase.</v>
      </c>
    </row>
    <row r="9719">
      <c r="A9719" s="1">
        <v>4.0</v>
      </c>
      <c r="B9719" s="1" t="s">
        <v>9576</v>
      </c>
      <c r="C9719" t="str">
        <f>IFERROR(__xludf.DUMMYFUNCTION("GOOGLETRANSLATE(B9719, ""fr"", ""en"")"),"well nothing special to report on the matter for this product. satisfactory overall in its use can recommend this product")</f>
        <v>well nothing special to report on the matter for this product. satisfactory overall in its use can recommend this product</v>
      </c>
    </row>
    <row r="9720">
      <c r="A9720" s="1">
        <v>4.0</v>
      </c>
      <c r="B9720" s="1" t="s">
        <v>9577</v>
      </c>
      <c r="C9720" t="str">
        <f>IFERROR(__xludf.DUMMYFUNCTION("GOOGLETRANSLATE(B9720, ""fr"", ""en"")"),"Small kettle for 1 to 2 &amp; nbsp; people This kettle can heat up 800ml which makes it suitable for use by one or two people. The heating time is short because the power is important. A very good product easy to use I recommend it.")</f>
        <v>Small kettle for 1 to 2 &amp; nbsp; people This kettle can heat up 800ml which makes it suitable for use by one or two people. The heating time is short because the power is important. A very good product easy to use I recommend it.</v>
      </c>
    </row>
    <row r="9721">
      <c r="A9721" s="1">
        <v>4.0</v>
      </c>
      <c r="B9721" s="1" t="s">
        <v>1837</v>
      </c>
      <c r="C9721" t="str">
        <f>IFERROR(__xludf.DUMMYFUNCTION("GOOGLETRANSLATE(B9721, ""fr"", ""en"")"),"Good Good")</f>
        <v>Good Good</v>
      </c>
    </row>
    <row r="9722">
      <c r="A9722" s="1">
        <v>4.0</v>
      </c>
      <c r="B9722" s="1" t="s">
        <v>9578</v>
      </c>
      <c r="C9722" t="str">
        <f>IFERROR(__xludf.DUMMYFUNCTION("GOOGLETRANSLATE(B9722, ""fr"", ""en"")"),"A reference Avent bottles are for us a reference, that is the ones we use for a long time at home. The new bottles have a valve anti colic system. This system is made so that baby swallows less air, and it's very convenient. It is a system that is added i"&amp;"n the ring of the bottle before closing. However, it can be removed to use the bottle in conventional manner. A reference.")</f>
        <v>A reference Avent bottles are for us a reference, that is the ones we use for a long time at home. The new bottles have a valve anti colic system. This system is made so that baby swallows less air, and it's very convenient. It is a system that is added in the ring of the bottle before closing. However, it can be removed to use the bottle in conventional manner. A reference.</v>
      </c>
    </row>
    <row r="9723">
      <c r="A9723" s="1">
        <v>5.0</v>
      </c>
      <c r="B9723" s="1" t="s">
        <v>9579</v>
      </c>
      <c r="C9723" t="str">
        <f>IFERROR(__xludf.DUMMYFUNCTION("GOOGLETRANSLATE(B9723, ""fr"", ""en"")"),"Good value J'adore! Enfiin found compensated sneakers that look like normal shoes! So you can win a few centimeters while lol discretion. they are very beautiful very comfortable, identical to photos..Parcontre take one size bigger, although in the descri"&amp;"ption mentions European size small size it .. I put the 35 in the offset but they shake me ..so if you are mistaken for size because this is damn return the product cost as much as the product itself and return fees are not supported ..but the seller is v"&amp;"ery professional, responsive and does its best to satisfy ns for .. conclude I love, I'm going to recommend in 36 this time")</f>
        <v>Good value J'adore! Enfiin found compensated sneakers that look like normal shoes! So you can win a few centimeters while lol discretion. they are very beautiful very comfortable, identical to photos..Parcontre take one size bigger, although in the description mentions European size small size it .. I put the 35 in the offset but they shake me ..so if you are mistaken for size because this is damn return the product cost as much as the product itself and return fees are not supported ..but the seller is very professional, responsive and does its best to satisfy ns for .. conclude I love, I'm going to recommend in 36 this time</v>
      </c>
    </row>
    <row r="9724">
      <c r="A9724" s="1">
        <v>5.0</v>
      </c>
      <c r="B9724" s="1" t="s">
        <v>9580</v>
      </c>
      <c r="C9724" t="str">
        <f>IFERROR(__xludf.DUMMYFUNCTION("GOOGLETRANSLATE(B9724, ""fr"", ""en"")"),"Aromatherapy I use it a lot to add moisture to the air. There is some noise but I find it relaxing because it is so subtle and water based. You can time it to turn off at different intervals, you can turn colors, and it is easy to fill and empty. The only"&amp;" drawback is that the oils do not last as long in the machine in a burner, for example.")</f>
        <v>Aromatherapy I use it a lot to add moisture to the air. There is some noise but I find it relaxing because it is so subtle and water based. You can time it to turn off at different intervals, you can turn colors, and it is easy to fill and empty. The only drawback is that the oils do not last as long in the machine in a burner, for example.</v>
      </c>
    </row>
    <row r="9725">
      <c r="A9725" s="1">
        <v>5.0</v>
      </c>
      <c r="B9725" s="1" t="s">
        <v>9581</v>
      </c>
      <c r="C9725" t="str">
        <f>IFERROR(__xludf.DUMMYFUNCTION("GOOGLETRANSLATE(B9725, ""fr"", ""en"")"),"Super evolution of the previous model. The previous model of the same brand, who passed away after 5 years, after loyal service, I replaced by this comprehensive and practical model at any point: Playback of progress the vacuum, Integration of the film ro"&amp;"ll, vertical storage, .... Please do not deprive yourself of this tool ideal for storing food.")</f>
        <v>Super evolution of the previous model. The previous model of the same brand, who passed away after 5 years, after loyal service, I replaced by this comprehensive and practical model at any point: Playback of progress the vacuum, Integration of the film roll, vertical storage, .... Please do not deprive yourself of this tool ideal for storing food.</v>
      </c>
    </row>
    <row r="9726">
      <c r="A9726" s="1">
        <v>5.0</v>
      </c>
      <c r="B9726" s="1" t="s">
        <v>9582</v>
      </c>
      <c r="C9726" t="str">
        <f>IFERROR(__xludf.DUMMYFUNCTION("GOOGLETRANSLATE(B9726, ""fr"", ""en"")"),"Super Super Kettle Kettle, lovely design. The kettle is very solid. It is light, easy to use, very easy to wash. The water heats up quickly and the kettle stops by itself once the water is boiling.")</f>
        <v>Super Super Kettle Kettle, lovely design. The kettle is very solid. It is light, easy to use, very easy to wash. The water heats up quickly and the kettle stops by itself once the water is boiling.</v>
      </c>
    </row>
    <row r="9727">
      <c r="A9727" s="1">
        <v>5.0</v>
      </c>
      <c r="B9727" s="1" t="s">
        <v>9583</v>
      </c>
      <c r="C9727" t="str">
        <f>IFERROR(__xludf.DUMMYFUNCTION("GOOGLETRANSLATE(B9727, ""fr"", ""en"")"),"Good volume and easy cleaning Very good volume. I was tired of my old kettle with resistance inside. It is very beautiful and inside flat surface. Easy cleaning.")</f>
        <v>Good volume and easy cleaning Very good volume. I was tired of my old kettle with resistance inside. It is very beautiful and inside flat surface. Easy cleaning.</v>
      </c>
    </row>
    <row r="9728">
      <c r="A9728" s="1">
        <v>5.0</v>
      </c>
      <c r="B9728" s="1" t="s">
        <v>9584</v>
      </c>
      <c r="C9728" t="str">
        <f>IFERROR(__xludf.DUMMYFUNCTION("GOOGLETRANSLATE(B9728, ""fr"", ""en"")"),"Size impecable. I recommend")</f>
        <v>Size impecable. I recommend</v>
      </c>
    </row>
    <row r="9729">
      <c r="A9729" s="1">
        <v>5.0</v>
      </c>
      <c r="B9729" s="1" t="s">
        <v>2457</v>
      </c>
      <c r="C9729" t="str">
        <f>IFERROR(__xludf.DUMMYFUNCTION("GOOGLETRANSLATE(B9729, ""fr"", ""en"")"),"Ok Ok")</f>
        <v>Ok Ok</v>
      </c>
    </row>
    <row r="9730">
      <c r="A9730" s="1">
        <v>5.0</v>
      </c>
      <c r="B9730" s="1" t="s">
        <v>9585</v>
      </c>
      <c r="C9730" t="str">
        <f>IFERROR(__xludf.DUMMYFUNCTION("GOOGLETRANSLATE(B9730, ""fr"", ""en"")"),"Hot and class Okay to stay warm. Very good quality product. No complaints. A nice Christmas present!")</f>
        <v>Hot and class Okay to stay warm. Very good quality product. No complaints. A nice Christmas present!</v>
      </c>
    </row>
    <row r="9731">
      <c r="A9731" s="1">
        <v>5.0</v>
      </c>
      <c r="B9731" s="1" t="s">
        <v>9586</v>
      </c>
      <c r="C9731" t="str">
        <f>IFERROR(__xludf.DUMMYFUNCTION("GOOGLETRANSLATE(B9731, ""fr"", ""en"")"),"First single test Socks socks are cut and hold well. To see the behavior in time but it suits me.")</f>
        <v>First single test Socks socks are cut and hold well. To see the behavior in time but it suits me.</v>
      </c>
    </row>
    <row r="9732">
      <c r="A9732" s="1">
        <v>5.0</v>
      </c>
      <c r="B9732" s="1" t="s">
        <v>9587</v>
      </c>
      <c r="C9732" t="str">
        <f>IFERROR(__xludf.DUMMYFUNCTION("GOOGLETRANSLATE(B9732, ""fr"", ""en"")"),"Rings silver rings are perfect. I smallest port in my two and third holes of ears, I do not removed, they have not moved. They are very small hard to put with my big fingers ... the biggest no complaints. received quickly")</f>
        <v>Rings silver rings are perfect. I smallest port in my two and third holes of ears, I do not removed, they have not moved. They are very small hard to put with my big fingers ... the biggest no complaints. received quickly</v>
      </c>
    </row>
    <row r="9733">
      <c r="A9733" s="1">
        <v>5.0</v>
      </c>
      <c r="B9733" s="1" t="s">
        <v>9588</v>
      </c>
      <c r="C9733" t="str">
        <f>IFERROR(__xludf.DUMMYFUNCTION("GOOGLETRANSLATE(B9733, ""fr"", ""en"")"),"Very useful Corresponds to what I wanted. Delivery day announced")</f>
        <v>Very useful Corresponds to what I wanted. Delivery day announced</v>
      </c>
    </row>
    <row r="9734">
      <c r="A9734" s="1">
        <v>5.0</v>
      </c>
      <c r="B9734" s="1" t="s">
        <v>9589</v>
      </c>
      <c r="C9734" t="str">
        <f>IFERROR(__xludf.DUMMYFUNCTION("GOOGLETRANSLATE(B9734, ""fr"", ""en"")"),"Super Super and its good quality.")</f>
        <v>Super Super and its good quality.</v>
      </c>
    </row>
    <row r="9735">
      <c r="A9735" s="1">
        <v>5.0</v>
      </c>
      <c r="B9735" s="1" t="s">
        <v>9590</v>
      </c>
      <c r="C9735" t="str">
        <f>IFERROR(__xludf.DUMMYFUNCTION("GOOGLETRANSLATE(B9735, ""fr"", ""en"")"),"original cut and neatly trimmed neatly trimmed jacket, nice and warm.")</f>
        <v>original cut and neatly trimmed neatly trimmed jacket, nice and warm.</v>
      </c>
    </row>
    <row r="9736">
      <c r="A9736" s="1">
        <v>5.0</v>
      </c>
      <c r="B9736" s="1" t="s">
        <v>9591</v>
      </c>
      <c r="C9736" t="str">
        <f>IFERROR(__xludf.DUMMYFUNCTION("GOOGLETRANSLATE(B9736, ""fr"", ""en"")"),"Satisfied Efficient, comfortable, practical and design. Just not too much on the quality of the microphone.")</f>
        <v>Satisfied Efficient, comfortable, practical and design. Just not too much on the quality of the microphone.</v>
      </c>
    </row>
    <row r="9737">
      <c r="A9737" s="1">
        <v>5.0</v>
      </c>
      <c r="B9737" s="1" t="s">
        <v>9592</v>
      </c>
      <c r="C9737" t="str">
        <f>IFERROR(__xludf.DUMMYFUNCTION("GOOGLETRANSLATE(B9737, ""fr"", ""en"")"),"I loved this product is very functional and beautiful and very design ,,,, I took pleasure in relaxing fashion feel better")</f>
        <v>I loved this product is very functional and beautiful and very design ,,,, I took pleasure in relaxing fashion feel better</v>
      </c>
    </row>
    <row r="9738">
      <c r="A9738" s="1">
        <v>2.0</v>
      </c>
      <c r="B9738" s="1" t="s">
        <v>9593</v>
      </c>
      <c r="C9738" t="str">
        <f>IFERROR(__xludf.DUMMYFUNCTION("GOOGLETRANSLATE(B9738, ""fr"", ""en"")"),"Against so or not? My daughter who is in college very disappointed with the purchase. The writings in red on the sides representing the brand of the shoe disappear more and more. We realize that it is a way against? She already had a pair without any prob"&amp;"lems. I am waiting for your answer.")</f>
        <v>Against so or not? My daughter who is in college very disappointed with the purchase. The writings in red on the sides representing the brand of the shoe disappear more and more. We realize that it is a way against? She already had a pair without any problems. I am waiting for your answer.</v>
      </c>
    </row>
    <row r="9739">
      <c r="A9739" s="1">
        <v>1.0</v>
      </c>
      <c r="B9739" s="1" t="s">
        <v>9594</v>
      </c>
      <c r="C9739" t="str">
        <f>IFERROR(__xludf.DUMMYFUNCTION("GOOGLETRANSLATE(B9739, ""fr"", ""en"")"),"Despite its poor quality every setting possible via the application, these headphones sorely lacking in bass. Furthermore the parties hear you very badly during a call. In this price range, I bought AirPods I find much better and easier to use.")</f>
        <v>Despite its poor quality every setting possible via the application, these headphones sorely lacking in bass. Furthermore the parties hear you very badly during a call. In this price range, I bought AirPods I find much better and easier to use.</v>
      </c>
    </row>
    <row r="9740">
      <c r="A9740" s="1">
        <v>3.0</v>
      </c>
      <c r="B9740" s="1" t="s">
        <v>9595</v>
      </c>
      <c r="C9740" t="str">
        <f>IFERROR(__xludf.DUMMYFUNCTION("GOOGLETRANSLATE(B9740, ""fr"", ""en"")"),"Not terrible Petite quality. It looks like the shoe that could have a discount store")</f>
        <v>Not terrible Petite quality. It looks like the shoe that could have a discount store</v>
      </c>
    </row>
    <row r="9741">
      <c r="A9741" s="1">
        <v>3.0</v>
      </c>
      <c r="B9741" s="1" t="s">
        <v>9596</v>
      </c>
      <c r="C9741" t="str">
        <f>IFERROR(__xludf.DUMMYFUNCTION("GOOGLETRANSLATE(B9741, ""fr"", ""en"")"),"Not bad, can better What I like is that there are many in the packet against I think the paper is not thick enough and you should do self biodegradable and disposable rolls in the toilet")</f>
        <v>Not bad, can better What I like is that there are many in the packet against I think the paper is not thick enough and you should do self biodegradable and disposable rolls in the toilet</v>
      </c>
    </row>
    <row r="9742">
      <c r="A9742" s="1">
        <v>4.0</v>
      </c>
      <c r="B9742" s="1" t="s">
        <v>9597</v>
      </c>
      <c r="C9742" t="str">
        <f>IFERROR(__xludf.DUMMYFUNCTION("GOOGLETRANSLATE(B9742, ""fr"", ""en"")"),"convenient and enjoyable for everyday use site. resistant, waterproof and comfortable")</f>
        <v>convenient and enjoyable for everyday use site. resistant, waterproof and comfortable</v>
      </c>
    </row>
    <row r="9743">
      <c r="A9743" s="1">
        <v>4.0</v>
      </c>
      <c r="B9743" s="1" t="s">
        <v>9598</v>
      </c>
      <c r="C9743" t="str">
        <f>IFERROR(__xludf.DUMMYFUNCTION("GOOGLETRANSLATE(B9743, ""fr"", ""en"")"),"not very strong beautiful bracelet, to review quality in the long term")</f>
        <v>not very strong beautiful bracelet, to review quality in the long term</v>
      </c>
    </row>
    <row r="9744">
      <c r="A9744" s="1">
        <v>4.0</v>
      </c>
      <c r="B9744" s="1" t="s">
        <v>9599</v>
      </c>
      <c r="C9744" t="str">
        <f>IFERROR(__xludf.DUMMYFUNCTION("GOOGLETRANSLATE(B9744, ""fr"", ""en"")"),"TB! Hiking on the GR34. Comfort!")</f>
        <v>TB! Hiking on the GR34. Comfort!</v>
      </c>
    </row>
    <row r="9745">
      <c r="A9745" s="1">
        <v>4.0</v>
      </c>
      <c r="B9745" s="1" t="s">
        <v>9600</v>
      </c>
      <c r="C9745" t="str">
        <f>IFERROR(__xludf.DUMMYFUNCTION("GOOGLETRANSLATE(B9745, ""fr"", ""en"")"),"Because of the effect is very good on my wrist")</f>
        <v>Because of the effect is very good on my wrist</v>
      </c>
    </row>
    <row r="9746">
      <c r="A9746" s="1">
        <v>4.0</v>
      </c>
      <c r="B9746" s="1" t="s">
        <v>9601</v>
      </c>
      <c r="C9746" t="str">
        <f>IFERROR(__xludf.DUMMYFUNCTION("GOOGLETRANSLATE(B9746, ""fr"", ""en"")"),"Again conquered 😊 Edit of 02/11/2017 I return to my previous commentaire.Le after sales service is fast and efficient. After initially optimal use the microphone stops working and the cable has intermittent contact problems. I do not recommend this artic"&amp;"le.")</f>
        <v>Again conquered 😊 Edit of 02/11/2017 I return to my previous commentaire.Le after sales service is fast and efficient. After initially optimal use the microphone stops working and the cable has intermittent contact problems. I do not recommend this article.</v>
      </c>
    </row>
    <row r="9747">
      <c r="A9747" s="1">
        <v>5.0</v>
      </c>
      <c r="B9747" s="1" t="s">
        <v>9602</v>
      </c>
      <c r="C9747" t="str">
        <f>IFERROR(__xludf.DUMMYFUNCTION("GOOGLETRANSLATE(B9747, ""fr"", ""en"")"),"At the feet !!! Use size 42 yard work that needs to be a little 42 1/2 but with socks in winter it's the")</f>
        <v>At the feet !!! Use size 42 yard work that needs to be a little 42 1/2 but with socks in winter it's the</v>
      </c>
    </row>
    <row r="9748">
      <c r="A9748" s="1">
        <v>5.0</v>
      </c>
      <c r="B9748" s="1" t="s">
        <v>9603</v>
      </c>
      <c r="C9748" t="str">
        <f>IFERROR(__xludf.DUMMYFUNCTION("GOOGLETRANSLATE(B9748, ""fr"", ""en"")"),"Ideal Ideal. I'm happy with my purchase. I tried the hot and cold! Top. We'll see as time goes on.")</f>
        <v>Ideal Ideal. I'm happy with my purchase. I tried the hot and cold! Top. We'll see as time goes on.</v>
      </c>
    </row>
    <row r="9749">
      <c r="A9749" s="1">
        <v>5.0</v>
      </c>
      <c r="B9749" s="1" t="s">
        <v>9604</v>
      </c>
      <c r="C9749" t="str">
        <f>IFERROR(__xludf.DUMMYFUNCTION("GOOGLETRANSLATE(B9749, ""fr"", ""en"")"),"impeccable Ras")</f>
        <v>impeccable Ras</v>
      </c>
    </row>
    <row r="9750">
      <c r="A9750" s="1">
        <v>5.0</v>
      </c>
      <c r="B9750" s="1" t="s">
        <v>9605</v>
      </c>
      <c r="C9750" t="str">
        <f>IFERROR(__xludf.DUMMYFUNCTION("GOOGLETRANSLATE(B9750, ""fr"", ""en"")"),"Perfect for deformed feet I bought last twenty years it size small: I take the 44 when I put on the 43. I removed the removable insole and replaces it with the (orthopedic) My podiatrist. I wear it almost constantly. The beige color scheme seems a less br"&amp;"oad hint")</f>
        <v>Perfect for deformed feet I bought last twenty years it size small: I take the 44 when I put on the 43. I removed the removable insole and replaces it with the (orthopedic) My podiatrist. I wear it almost constantly. The beige color scheme seems a less broad hint</v>
      </c>
    </row>
    <row r="9751">
      <c r="A9751" s="1">
        <v>5.0</v>
      </c>
      <c r="B9751" s="1" t="s">
        <v>9606</v>
      </c>
      <c r="C9751" t="str">
        <f>IFERROR(__xludf.DUMMYFUNCTION("GOOGLETRANSLATE(B9751, ""fr"", ""en"")"),"beautiful very nice bracelet for what is the size that is correct for a woman's wrist worry")</f>
        <v>beautiful very nice bracelet for what is the size that is correct for a woman's wrist worry</v>
      </c>
    </row>
    <row r="9752">
      <c r="A9752" s="1">
        <v>5.0</v>
      </c>
      <c r="B9752" s="1" t="s">
        <v>9607</v>
      </c>
      <c r="C9752" t="str">
        <f>IFERROR(__xludf.DUMMYFUNCTION("GOOGLETRANSLATE(B9752, ""fr"", ""en"")"),"Very good bag. Spacious, comfortable, lots of pockets, quick access compartment for shoes or other down very convenient! Definitely recommended!")</f>
        <v>Very good bag. Spacious, comfortable, lots of pockets, quick access compartment for shoes or other down very convenient! Definitely recommended!</v>
      </c>
    </row>
    <row r="9753">
      <c r="A9753" s="1">
        <v>5.0</v>
      </c>
      <c r="B9753" s="1" t="s">
        <v>9608</v>
      </c>
      <c r="C9753" t="str">
        <f>IFERROR(__xludf.DUMMYFUNCTION("GOOGLETRANSLATE(B9753, ""fr"", ""en"")"),"Very light and comfortable Very good product, excellent sound quality, for the price it's really the quality I highly recommend seeing time")</f>
        <v>Very light and comfortable Very good product, excellent sound quality, for the price it's really the quality I highly recommend seeing time</v>
      </c>
    </row>
    <row r="9754">
      <c r="A9754" s="1">
        <v>5.0</v>
      </c>
      <c r="B9754" s="1" t="s">
        <v>9609</v>
      </c>
      <c r="C9754" t="str">
        <f>IFERROR(__xludf.DUMMYFUNCTION("GOOGLETRANSLATE(B9754, ""fr"", ""en"")"),"Good acquisition This bag looks good, it's a little bigger than average and that's just what I was looking for (see dimensions in the item description). There are a myriad of pockets, really, so if like me you like to compartmentalize things you will be t"&amp;"hrilled. The color complies with photos, and casual style / urban rather easy to match. I intended more for use as daily travel, because its size makes it easy to store a small digital camera or a 7-inch tablet, and to have everything on hand when traveli"&amp;"ng.")</f>
        <v>Good acquisition This bag looks good, it's a little bigger than average and that's just what I was looking for (see dimensions in the item description). There are a myriad of pockets, really, so if like me you like to compartmentalize things you will be thrilled. The color complies with photos, and casual style / urban rather easy to match. I intended more for use as daily travel, because its size makes it easy to store a small digital camera or a 7-inch tablet, and to have everything on hand when traveling.</v>
      </c>
    </row>
    <row r="9755">
      <c r="A9755" s="1">
        <v>5.0</v>
      </c>
      <c r="B9755" s="1" t="s">
        <v>9610</v>
      </c>
      <c r="C9755" t="str">
        <f>IFERROR(__xludf.DUMMYFUNCTION("GOOGLETRANSLATE(B9755, ""fr"", ""en"")"),"I've owned 4 old still work with their original battery, since some 8 or 9 years. Too bad the bracelets are much shorter in recent fabrications, probably set for fine fasteners Asian male ... So it would become almost a woman's watch. In any case it is a "&amp;"purchase recommended.")</f>
        <v>I've owned 4 old still work with their original battery, since some 8 or 9 years. Too bad the bracelets are much shorter in recent fabrications, probably set for fine fasteners Asian male ... So it would become almost a woman's watch. In any case it is a purchase recommended.</v>
      </c>
    </row>
    <row r="9756">
      <c r="A9756" s="1">
        <v>5.0</v>
      </c>
      <c r="B9756" s="1" t="s">
        <v>9611</v>
      </c>
      <c r="C9756" t="str">
        <f>IFERROR(__xludf.DUMMYFUNCTION("GOOGLETRANSLATE(B9756, ""fr"", ""en"")"),"Teat perfect for vegetable pacifier with a big enough hole to pass suffisement small ham pieces, fish, zucchini mixed with milk. Do not lUse you if you put milk with cereal, flows too quickly if too much fluid and becomes gavage")</f>
        <v>Teat perfect for vegetable pacifier with a big enough hole to pass suffisement small ham pieces, fish, zucchini mixed with milk. Do not lUse you if you put milk with cereal, flows too quickly if too much fluid and becomes gavage</v>
      </c>
    </row>
    <row r="9757">
      <c r="A9757" s="1">
        <v>5.0</v>
      </c>
      <c r="B9757" s="1" t="s">
        <v>9612</v>
      </c>
      <c r="C9757" t="str">
        <f>IFERROR(__xludf.DUMMYFUNCTION("GOOGLETRANSLATE(B9757, ""fr"", ""en"")"),"strong and warm socks I was looking solid socks and take a moment at the ankle (as it is often that the elastic does not hold up) and they are perfect. In addition they are hot!")</f>
        <v>strong and warm socks I was looking solid socks and take a moment at the ankle (as it is often that the elastic does not hold up) and they are perfect. In addition they are hot!</v>
      </c>
    </row>
    <row r="9758">
      <c r="A9758" s="1">
        <v>5.0</v>
      </c>
      <c r="B9758" s="1" t="s">
        <v>9613</v>
      </c>
      <c r="C9758" t="str">
        <f>IFERROR(__xludf.DUMMYFUNCTION("GOOGLETRANSLATE(B9758, ""fr"", ""en"")"),"The best headphones I've ever had (or so from now) ... [Update at 31.08.2019] Wanting a good open headphones (for the monitoring, the 770 serves me the voice recording, guitar to avoid repisse into the microphone) I cracked open for the brother, the DT 99"&amp;"0 Pro 250 Ohm this time (note this impedance difference also plays maybe, I do not know not). It is still running but it seems higher than the 770 already exceptional. Anyway their signature sound is really different. The scene 990 is logically more open "&amp;"although the 770 is already really amazing on this for closed. On some pieces it is day and night. On Dancing With Your Ghost Sasha Sloan is terrible! The 770 is great for a closed in this area, but even there it exploded. The voices are least in the medi"&amp;"a ... It is also the voice that both headsets are distinguished as in the first comparative listening. The difference is obvious. The 990 transcribes with less mediums, more heat, while the 770 is of advantage in the midrange with a more ""plastic"" (I ca"&amp;"n not express how I feel). It's not bad, just very different. As against the 990 seems a bit less bass (he still, pay attention, are they loyal?), Open headphones obliges, but I refine my judgment after a good running. They are less striking but very nice"&amp;" and really seem fair. There the 990 out of the box, it can move a lot. I love coffee but hate those, artificial, provided by fashionable helmets that screw up / reinterpret the pieces. Both Beyer transcribe the fair, go down very low but never overdo, mi"&amp;"srepresent the pieces. [End update!] I've owned a lot of helmets. Sennheiser (HD 25 and HD 598), Sony, AKG (K 242 HD) Koss, Focal Spirit One ... From the open hi-fi, closed in Bluetooth djeuns hyper Basseux (sold a few months later), etc. Doing a little h"&amp;"ome studio I bought AKG few years ago. He had advised me to the neutral side. But after a jack problem I had to fall back on the Sennheiser 598 recently. And there, the rendering was so different between the two that I did not know whom to trust. Knowing "&amp;"the DT 770 Pro reputation I inquired everywhere on the web. Ok, this is it. At worst, if not the top, I would refer. Then so good reviews for a price rather low, I did not take too many risks. I took the 32 Omh. Although I am equipped with external sound "&amp;"card I want to also use it directly with a laptop without external sound card or on my iPhone. I read anything and everything about the different versions. In the end the 80 seems a bit exaggerated (for the sound) and the other two, 250 and 32, seem to lo"&amp;"ok like and be a bit more purpose (mixing). Upon receipt I compared with my other headsets, tried many styles of music. And here I can say that this is by far the best headphones I've had. Low down ultra deep (5 Hz), but without any rot like some, the hig"&amp;"hs are super detailed, not stifled mediums like on a lot of helmets or as far forward as my Sennheiser. I read some time this headset was not provided low. Uh ... I've never had a helmet transcribing them as well. Low, if it is given, it is! I dare say th"&amp;"is is one of its strengths. He will not survitaminer artificially as some to the point of distorting the rendering and crumble under 20 or 30 Hz. It has made a range of these low exceptionally wide. Again, my and my AKG Sennheiser are dropped on this poin"&amp;"t. Try Angel Massive Attack, pieces of justice delivered on (power and finesse) bass for me. While my other helmets at all retransmit many low infra, they are present with the Beyerdynamic, detailed, ultra deep. The bass drum is much more accurate for exa"&amp;"mple. For those who know means the slick infra bass and a light texture when typing. That, that is simply not on other helmets. He did not invent the bass, he does not exaggerate, they are there and it is capable, it to transcribe. And from 5 Hz !!! Going"&amp;" back to the overall result, my 13 year old son whom I did tried told me what he thought in his own way that I find just as imaged that ""it is as if we had before listened to music as if it were a flat drawing and drawing with the helmet going 3D, that f"&amp;"ull details appeared one after the other. "" It's exactly that. Next, the Sennheiser 598 (300 balls out anyway) is below. Clutter, very medium, typed too, ultimately reinterpret pieces. AKG is in the same range as the DT 770. Neutral. But less detailed, l"&amp;"ess accurate. As more choked, filtered. The Beyerdynamic is largely over. Frankly the value for money is just phenomenal. I remember feeling all on much more expensive helmets (600 €). There for 120 balls I do not see how also find powerful, precise. This"&amp;" helmet is a must have and it is not for nothing that throne in many studios. It is impossible to plant in purchasing. Only slight inconvenience for me, I have mostly been used to open the helmet, which is heresy recording / sound elsewhere. But comfort i"&amp;"s top for me. The DT 770 Pro, 32 moreover, strongly isolates (-20 db to -18 db and 32 for 80 and 250 and velvet cushions). For me it is a habit, not necessarily natural. I like to hear what is happening around me, do not feel this effect choking helmets c"&amp;"losed. And there we really feel to become deaf when it is put;) But it is first quality for a closed helmet, which is more oriented monitoring. It bothers person and listening is not disturbed ... My advice to 200%. Ok this is not Bluetooth but for this q"&amp;"uality it is mandatory wired.")</f>
        <v>The best headphones I've ever had (or so from now) ... [Update at 31.08.2019] Wanting a good open headphones (for the monitoring, the 770 serves me the voice recording, guitar to avoid repisse into the microphone) I cracked open for the brother, the DT 990 Pro 250 Ohm this time (note this impedance difference also plays maybe, I do not know not). It is still running but it seems higher than the 770 already exceptional. Anyway their signature sound is really different. The scene 990 is logically more open although the 770 is already really amazing on this for closed. On some pieces it is day and night. On Dancing With Your Ghost Sasha Sloan is terrible! The 770 is great for a closed in this area, but even there it exploded. The voices are least in the media ... It is also the voice that both headsets are distinguished as in the first comparative listening. The difference is obvious. The 990 transcribes with less mediums, more heat, while the 770 is of advantage in the midrange with a more "plastic" (I can not express how I feel). It's not bad, just very different. As against the 990 seems a bit less bass (he still, pay attention, are they loyal?), Open headphones obliges, but I refine my judgment after a good running. They are less striking but very nice and really seem fair. There the 990 out of the box, it can move a lot. I love coffee but hate those, artificial, provided by fashionable helmets that screw up / reinterpret the pieces. Both Beyer transcribe the fair, go down very low but never overdo, misrepresent the pieces. [End update!] I've owned a lot of helmets. Sennheiser (HD 25 and HD 598), Sony, AKG (K 242 HD) Koss, Focal Spirit One ... From the open hi-fi, closed in Bluetooth djeuns hyper Basseux (sold a few months later), etc. Doing a little home studio I bought AKG few years ago. He had advised me to the neutral side. But after a jack problem I had to fall back on the Sennheiser 598 recently. And there, the rendering was so different between the two that I did not know whom to trust. Knowing the DT 770 Pro reputation I inquired everywhere on the web. Ok, this is it. At worst, if not the top, I would refer. Then so good reviews for a price rather low, I did not take too many risks. I took the 32 Omh. Although I am equipped with external sound card I want to also use it directly with a laptop without external sound card or on my iPhone. I read anything and everything about the different versions. In the end the 80 seems a bit exaggerated (for the sound) and the other two, 250 and 32, seem to look like and be a bit more purpose (mixing). Upon receipt I compared with my other headsets, tried many styles of music. And here I can say that this is by far the best headphones I've had. Low down ultra deep (5 Hz), but without any rot like some, the highs are super detailed, not stifled mediums like on a lot of helmets or as far forward as my Sennheiser. I read some time this headset was not provided low. Uh ... I've never had a helmet transcribing them as well. Low, if it is given, it is! I dare say this is one of its strengths. He will not survitaminer artificially as some to the point of distorting the rendering and crumble under 20 or 30 Hz. It has made a range of these low exceptionally wide. Again, my and my AKG Sennheiser are dropped on this point. Try Angel Massive Attack, pieces of justice delivered on (power and finesse) bass for me. While my other helmets at all retransmit many low infra, they are present with the Beyerdynamic, detailed, ultra deep. The bass drum is much more accurate for example. For those who know means the slick infra bass and a light texture when typing. That, that is simply not on other helmets. He did not invent the bass, he does not exaggerate, they are there and it is capable, it to transcribe. And from 5 Hz !!! Going back to the overall result, my 13 year old son whom I did tried told me what he thought in his own way that I find just as imaged that "it is as if we had before listened to music as if it were a flat drawing and drawing with the helmet going 3D, that full details appeared one after the other. " It's exactly that. Next, the Sennheiser 598 (300 balls out anyway) is below. Clutter, very medium, typed too, ultimately reinterpret pieces. AKG is in the same range as the DT 770. Neutral. But less detailed, less accurate. As more choked, filtered. The Beyerdynamic is largely over. Frankly the value for money is just phenomenal. I remember feeling all on much more expensive helmets (600 €). There for 120 balls I do not see how also find powerful, precise. This helmet is a must have and it is not for nothing that throne in many studios. It is impossible to plant in purchasing. Only slight inconvenience for me, I have mostly been used to open the helmet, which is heresy recording / sound elsewhere. But comfort is top for me. The DT 770 Pro, 32 moreover, strongly isolates (-20 db to -18 db and 32 for 80 and 250 and velvet cushions). For me it is a habit, not necessarily natural. I like to hear what is happening around me, do not feel this effect choking helmets closed. And there we really feel to become deaf when it is put;) But it is first quality for a closed helmet, which is more oriented monitoring. It bothers person and listening is not disturbed ... My advice to 200%. Ok this is not Bluetooth but for this quality it is mandatory wired.</v>
      </c>
    </row>
    <row r="9759">
      <c r="A9759" s="1">
        <v>5.0</v>
      </c>
      <c r="B9759" s="1" t="s">
        <v>9614</v>
      </c>
      <c r="C9759" t="str">
        <f>IFERROR(__xludf.DUMMYFUNCTION("GOOGLETRANSLATE(B9759, ""fr"", ""en"")"),"effectiveness to recommend ... Clearly I had a little doubt before buying ... There were a lot of positive comments but we all learned to be wary of comments is not it? So try in waterproof motorcycle boots (so not very breathable) taking more regular rai"&amp;"n lately (so external moisture) and are stored in a closed cupboard at work: I put a bag by boot and hop miracle no smell of humidity or sweating. I put the big bags in the shoe closet of the house and it calms clearly the enthusiasm of baskettes my teens"&amp;". I still do not have the ""reload"" in the sun to do regularly. The next ""natural"" and the fact that the recycling in the garden are clearly a plus, it is to believe that erased from the collective memory that natural products can do the job and can ha"&amp;"ppen of a lot of manufactured products pollutants ... so warmly recommend.")</f>
        <v>effectiveness to recommend ... Clearly I had a little doubt before buying ... There were a lot of positive comments but we all learned to be wary of comments is not it? So try in waterproof motorcycle boots (so not very breathable) taking more regular rain lately (so external moisture) and are stored in a closed cupboard at work: I put a bag by boot and hop miracle no smell of humidity or sweating. I put the big bags in the shoe closet of the house and it calms clearly the enthusiasm of baskettes my teens. I still do not have the "reload" in the sun to do regularly. The next "natural" and the fact that the recycling in the garden are clearly a plus, it is to believe that erased from the collective memory that natural products can do the job and can happen of a lot of manufactured products pollutants ... so warmly recommend.</v>
      </c>
    </row>
    <row r="9760">
      <c r="A9760" s="1">
        <v>5.0</v>
      </c>
      <c r="B9760" s="1" t="s">
        <v>9615</v>
      </c>
      <c r="C9760" t="str">
        <f>IFERROR(__xludf.DUMMYFUNCTION("GOOGLETRANSLATE(B9760, ""fr"", ""en"")"),"So convenient We can not do without to refrigerate food.")</f>
        <v>So convenient We can not do without to refrigerate food.</v>
      </c>
    </row>
    <row r="9761">
      <c r="A9761" s="1">
        <v>5.0</v>
      </c>
      <c r="B9761" s="1" t="s">
        <v>9616</v>
      </c>
      <c r="C9761" t="str">
        <f>IFERROR(__xludf.DUMMYFUNCTION("GOOGLETRANSLATE(B9761, ""fr"", ""en"")"),"Perfect Good quality and very convenient, nothing to say, do not hesitate to pick up the you will be completely satisfied.")</f>
        <v>Perfect Good quality and very convenient, nothing to say, do not hesitate to pick up the you will be completely satisfied.</v>
      </c>
    </row>
    <row r="9762">
      <c r="A9762" s="1">
        <v>2.0</v>
      </c>
      <c r="B9762" s="1" t="s">
        <v>9617</v>
      </c>
      <c r="C9762" t="str">
        <f>IFERROR(__xludf.DUMMYFUNCTION("GOOGLETRANSLATE(B9762, ""fr"", ""en"")"),"While checking the lot number ... I am disappointed .. When looking at the product it says 18 lots, I order and receive only 6 lots ... Looking at the order it is actually written 6 lots .. . There is a big difference between the number before order and t"&amp;"he number after order ... Otherwise they carve well ..")</f>
        <v>While checking the lot number ... I am disappointed .. When looking at the product it says 18 lots, I order and receive only 6 lots ... Looking at the order it is actually written 6 lots .. . There is a big difference between the number before order and the number after order ... Otherwise they carve well ..</v>
      </c>
    </row>
    <row r="9763">
      <c r="A9763" s="1">
        <v>1.0</v>
      </c>
      <c r="B9763" s="1" t="s">
        <v>9618</v>
      </c>
      <c r="C9763" t="str">
        <f>IFERROR(__xludf.DUMMYFUNCTION("GOOGLETRANSLATE(B9763, ""fr"", ""en"")"),"I ordered always broken article 3 times and 3 times, this one arrived broken. I stop the charges because after 3 times, there is little hope that things change")</f>
        <v>I ordered always broken article 3 times and 3 times, this one arrived broken. I stop the charges because after 3 times, there is little hope that things change</v>
      </c>
    </row>
    <row r="9764">
      <c r="A9764" s="1">
        <v>1.0</v>
      </c>
      <c r="B9764" s="1" t="s">
        <v>9619</v>
      </c>
      <c r="C9764" t="str">
        <f>IFERROR(__xludf.DUMMYFUNCTION("GOOGLETRANSLATE(B9764, ""fr"", ""en"")"),"device straight cut rather than cross! On my first try, the device was well cross-section, but since I use little, I perceived it yesterday by emptying the tank, the cut became RIGHT ""!!! Since when I .. do not know because the tank is emptied about once"&amp;" every 18 months and I absent more than 6 months ... the straight cut is useless for confidential documents such as bank eg .. at this price there, we make destructive straight cut to 20 euros .... I do not know if this material is reparable.")</f>
        <v>device straight cut rather than cross! On my first try, the device was well cross-section, but since I use little, I perceived it yesterday by emptying the tank, the cut became RIGHT "!!! Since when I .. do not know because the tank is emptied about once every 18 months and I absent more than 6 months ... the straight cut is useless for confidential documents such as bank eg .. at this price there, we make destructive straight cut to 20 euros .... I do not know if this material is reparable.</v>
      </c>
    </row>
    <row r="9765">
      <c r="A9765" s="1">
        <v>3.0</v>
      </c>
      <c r="B9765" s="1" t="s">
        <v>9620</v>
      </c>
      <c r="C9765" t="str">
        <f>IFERROR(__xludf.DUMMYFUNCTION("GOOGLETRANSLATE(B9765, ""fr"", ""en"")"),"Not bad. Because dogs in my car back seat was nasty. Tasks are old and very extensive. I rub vigorously with this product and a micro fiber cloth. I reiterated three times the operation with one week gap between each use, and the result is quite satisfact"&amp;"ory, not anything miraculous. A good product anyway, to be very effective on fresh stains.")</f>
        <v>Not bad. Because dogs in my car back seat was nasty. Tasks are old and very extensive. I rub vigorously with this product and a micro fiber cloth. I reiterated three times the operation with one week gap between each use, and the result is quite satisfactory, not anything miraculous. A good product anyway, to be very effective on fresh stains.</v>
      </c>
    </row>
    <row r="9766">
      <c r="A9766" s="1">
        <v>3.0</v>
      </c>
      <c r="B9766" s="1" t="s">
        <v>9621</v>
      </c>
      <c r="C9766" t="str">
        <f>IFERROR(__xludf.DUMMYFUNCTION("GOOGLETRANSLATE(B9766, ""fr"", ""en"")"),"Take too small a size above your usual size because this jacket really small size")</f>
        <v>Take too small a size above your usual size because this jacket really small size</v>
      </c>
    </row>
    <row r="9767">
      <c r="A9767" s="1">
        <v>4.0</v>
      </c>
      <c r="B9767" s="1" t="s">
        <v>9622</v>
      </c>
      <c r="C9767" t="str">
        <f>IFERROR(__xludf.DUMMYFUNCTION("GOOGLETRANSLATE(B9767, ""fr"", ""en"")"),"More than okay Used primarily for listening to TV without disturbing, I appreciate the acoustic and physical comfort. The ear is well wrapped and the headset is not used too. In Hi-Fi, the sound is not as crystalline as on some products but it is in the s"&amp;"ame range.")</f>
        <v>More than okay Used primarily for listening to TV without disturbing, I appreciate the acoustic and physical comfort. The ear is well wrapped and the headset is not used too. In Hi-Fi, the sound is not as crystalline as on some products but it is in the same range.</v>
      </c>
    </row>
    <row r="9768">
      <c r="A9768" s="1">
        <v>4.0</v>
      </c>
      <c r="B9768" s="1" t="s">
        <v>9623</v>
      </c>
      <c r="C9768" t="str">
        <f>IFERROR(__xludf.DUMMYFUNCTION("GOOGLETRANSLATE(B9768, ""fr"", ""en"")"),"Expensive but efficient This product is quite expensive, I only use it to wash sheets or towels. Just add it to the drum with the machine, and the machine comes out perfectly clean and disinfected. For more frequent washing, liquid version of this product"&amp;" cheaper cost.")</f>
        <v>Expensive but efficient This product is quite expensive, I only use it to wash sheets or towels. Just add it to the drum with the machine, and the machine comes out perfectly clean and disinfected. For more frequent washing, liquid version of this product cheaper cost.</v>
      </c>
    </row>
    <row r="9769">
      <c r="A9769" s="1">
        <v>4.0</v>
      </c>
      <c r="B9769" s="1" t="s">
        <v>9624</v>
      </c>
      <c r="C9769" t="str">
        <f>IFERROR(__xludf.DUMMYFUNCTION("GOOGLETRANSLATE(B9769, ""fr"", ""en"")"),"Great for winter cocooning DAYS Very comfortable and warm")</f>
        <v>Great for winter cocooning DAYS Very comfortable and warm</v>
      </c>
    </row>
    <row r="9770">
      <c r="A9770" s="1">
        <v>4.0</v>
      </c>
      <c r="B9770" s="1" t="s">
        <v>9625</v>
      </c>
      <c r="C9770" t="str">
        <f>IFERROR(__xludf.DUMMYFUNCTION("GOOGLETRANSLATE(B9770, ""fr"", ""en"")"),"Perfect we already had two but our daughter has a broken one, which is replaced. Great sound, not too heavy, the great length of wire to connect to the TV is excellent.")</f>
        <v>Perfect we already had two but our daughter has a broken one, which is replaced. Great sound, not too heavy, the great length of wire to connect to the TV is excellent.</v>
      </c>
    </row>
    <row r="9771">
      <c r="A9771" s="1">
        <v>5.0</v>
      </c>
      <c r="B9771" s="1" t="s">
        <v>9626</v>
      </c>
      <c r="C9771" t="str">
        <f>IFERROR(__xludf.DUMMYFUNCTION("GOOGLETRANSLATE(B9771, ""fr"", ""en"")"),"Fast delivery and perfect product Very good! super fast delivery. Very suitable to wear in the evening at home to be more relaxed. Very soft and comfortable to wear. Size very well and looks good")</f>
        <v>Fast delivery and perfect product Very good! super fast delivery. Very suitable to wear in the evening at home to be more relaxed. Very soft and comfortable to wear. Size very well and looks good</v>
      </c>
    </row>
    <row r="9772">
      <c r="A9772" s="1">
        <v>5.0</v>
      </c>
      <c r="B9772" s="1" t="s">
        <v>9627</v>
      </c>
      <c r="C9772" t="str">
        <f>IFERROR(__xludf.DUMMYFUNCTION("GOOGLETRANSLATE(B9772, ""fr"", ""en"")"),"matches the description superb color Size a little big and wide")</f>
        <v>matches the description superb color Size a little big and wide</v>
      </c>
    </row>
    <row r="9773">
      <c r="A9773" s="1">
        <v>5.0</v>
      </c>
      <c r="B9773" s="1" t="s">
        <v>9628</v>
      </c>
      <c r="C9773" t="str">
        <f>IFERROR(__xludf.DUMMYFUNCTION("GOOGLETRANSLATE(B9773, ""fr"", ""en"")"),"Good price / performance ratio First, I will briefly talk about the packaging which is pretty neat, but not amazing, but for the price it's not bad. Premium aboard the helmet is rather massive and solid. For features: adjustable LED lights Microphone Conn"&amp;"ector: 3.5mm mini jack (for audio) and USB (for LED) Compatibility: PC, PS4, smartphones and tablets Impedance: 32 Ohm Cable length: Approx. 2.2 m Weight: 330 g Warranty: 1 year So without going into details I will list the points that I liked or not. Pos"&amp;"itives: - It has a good insulation of outside noise, not completely closed, but still good for immersion. - the order for the sound, the microphone is always a plus for switch setting in -. The microphone is adjustable vertically - comfort is good, but no"&amp;"t excellent, acceptable in terms of price. - the design of the helmet is not bad, not quiet, but it's not what you search with a helmet GAMER - LEDs - The sound, but keeping in mind the price of the helmet. It is good for this price range, not great, but "&amp;"for a first helmet GAMER this is enough. The points that angry: - rendering the microphone that is just OK, nothing to counter breath. - the general quality. Although outside the helmet is solid, if one can mistreat, it cracks slightly. (Keep price in min"&amp;"d!) It's not catastrophic either. - the effect of glossy lovely helmet, but hellos fingerprints (for more manic!) So to summarize: The sound quality of this headset is quite acceptable. The design, control sound, adjustable microphone make it a very good "&amp;"playmate who does not want to ruin. There a few flaws, but are not prohibitive nothing. Keep in mind the price of the helmet and you get a very good price / performance ratio. I recommend strongly to headphones as headset 1 or simply to tight budgets.")</f>
        <v>Good price / performance ratio First, I will briefly talk about the packaging which is pretty neat, but not amazing, but for the price it's not bad. Premium aboard the helmet is rather massive and solid. For features: adjustable LED lights Microphone Connector: 3.5mm mini jack (for audio) and USB (for LED) Compatibility: PC, PS4, smartphones and tablets Impedance: 32 Ohm Cable length: Approx. 2.2 m Weight: 330 g Warranty: 1 year So without going into details I will list the points that I liked or not. Positives: - It has a good insulation of outside noise, not completely closed, but still good for immersion. - the order for the sound, the microphone is always a plus for switch setting in -. The microphone is adjustable vertically - comfort is good, but not excellent, acceptable in terms of price. - the design of the helmet is not bad, not quiet, but it's not what you search with a helmet GAMER - LEDs - The sound, but keeping in mind the price of the helmet. It is good for this price range, not great, but for a first helmet GAMER this is enough. The points that angry: - rendering the microphone that is just OK, nothing to counter breath. - the general quality. Although outside the helmet is solid, if one can mistreat, it cracks slightly. (Keep price in mind!) It's not catastrophic either. - the effect of glossy lovely helmet, but hellos fingerprints (for more manic!) So to summarize: The sound quality of this headset is quite acceptable. The design, control sound, adjustable microphone make it a very good playmate who does not want to ruin. There a few flaws, but are not prohibitive nothing. Keep in mind the price of the helmet and you get a very good price / performance ratio. I recommend strongly to headphones as headset 1 or simply to tight budgets.</v>
      </c>
    </row>
    <row r="9774">
      <c r="A9774" s="1">
        <v>5.0</v>
      </c>
      <c r="B9774" s="1" t="s">
        <v>9629</v>
      </c>
      <c r="C9774" t="str">
        <f>IFERROR(__xludf.DUMMYFUNCTION("GOOGLETRANSLATE(B9774, ""fr"", ""en"")"),"PERFECT I love it perfect and besides I'm jealous :) Fashion sport-chic, it goes with everything. Solid and great for all my mess!")</f>
        <v>PERFECT I love it perfect and besides I'm jealous :) Fashion sport-chic, it goes with everything. Solid and great for all my mess!</v>
      </c>
    </row>
    <row r="9775">
      <c r="A9775" s="1">
        <v>5.0</v>
      </c>
      <c r="B9775" s="1" t="s">
        <v>9630</v>
      </c>
      <c r="C9775" t="str">
        <f>IFERROR(__xludf.DUMMYFUNCTION("GOOGLETRANSLATE(B9775, ""fr"", ""en"")"),"Comfortable they are top! it's really nice that type of basketball, the sole is super soft it feels on cloud nine. I think it's good for the foot. they carve normally. I make 38 and they are quite ""thin"" on the walk, I pass by me.")</f>
        <v>Comfortable they are top! it's really nice that type of basketball, the sole is super soft it feels on cloud nine. I think it's good for the foot. they carve normally. I make 38 and they are quite "thin" on the walk, I pass by me.</v>
      </c>
    </row>
    <row r="9776">
      <c r="A9776" s="1">
        <v>5.0</v>
      </c>
      <c r="B9776" s="1" t="s">
        <v>9631</v>
      </c>
      <c r="C9776" t="str">
        <f>IFERROR(__xludf.DUMMYFUNCTION("GOOGLETRANSLATE(B9776, ""fr"", ""en"")"),"Perfect ! Superb pairs of shoes. Purchased for the start of my great 3rd. She is happy! I was able to enjoy the offer to 50% more, so that's great.")</f>
        <v>Perfect ! Superb pairs of shoes. Purchased for the start of my great 3rd. She is happy! I was able to enjoy the offer to 50% more, so that's great.</v>
      </c>
    </row>
    <row r="9777">
      <c r="A9777" s="1">
        <v>5.0</v>
      </c>
      <c r="B9777" s="1" t="s">
        <v>9632</v>
      </c>
      <c r="C9777" t="str">
        <f>IFERROR(__xludf.DUMMYFUNCTION("GOOGLETRANSLATE(B9777, ""fr"", ""en"")"),"Very convenient for travel to travel more that a handbag")</f>
        <v>Very convenient for travel to travel more that a handbag</v>
      </c>
    </row>
    <row r="9778">
      <c r="A9778" s="1">
        <v>5.0</v>
      </c>
      <c r="B9778" s="1" t="s">
        <v>9633</v>
      </c>
      <c r="C9778" t="str">
        <f>IFERROR(__xludf.DUMMYFUNCTION("GOOGLETRANSLATE(B9778, ""fr"", ""en"")"),"soft material. Not bad this little high. Too bad this is not a V-neck")</f>
        <v>soft material. Not bad this little high. Too bad this is not a V-neck</v>
      </c>
    </row>
    <row r="9779">
      <c r="A9779" s="1">
        <v>5.0</v>
      </c>
      <c r="B9779" s="1" t="s">
        <v>9634</v>
      </c>
      <c r="C9779" t="str">
        <f>IFERROR(__xludf.DUMMYFUNCTION("GOOGLETRANSLATE(B9779, ""fr"", ""en"")"),"stylish sneakers. To my beautiful son sneakers, consistent with the description, fast shipment.")</f>
        <v>stylish sneakers. To my beautiful son sneakers, consistent with the description, fast shipment.</v>
      </c>
    </row>
    <row r="9780">
      <c r="A9780" s="1">
        <v>5.0</v>
      </c>
      <c r="B9780" s="1" t="s">
        <v>9635</v>
      </c>
      <c r="C9780" t="str">
        <f>IFERROR(__xludf.DUMMYFUNCTION("GOOGLETRANSLATE(B9780, ""fr"", ""en"")"),"Compliant size compliant product according :)")</f>
        <v>Compliant size compliant product according :)</v>
      </c>
    </row>
    <row r="9781">
      <c r="A9781" s="1">
        <v>5.0</v>
      </c>
      <c r="B9781" s="1" t="s">
        <v>9636</v>
      </c>
      <c r="C9781" t="str">
        <f>IFERROR(__xludf.DUMMYFUNCTION("GOOGLETRANSLATE(B9781, ""fr"", ""en"")"),"shows very beautiful watch my son is happy")</f>
        <v>shows very beautiful watch my son is happy</v>
      </c>
    </row>
    <row r="9782">
      <c r="A9782" s="1">
        <v>5.0</v>
      </c>
      <c r="B9782" s="1" t="s">
        <v>9637</v>
      </c>
      <c r="C9782" t="str">
        <f>IFERROR(__xludf.DUMMYFUNCTION("GOOGLETRANSLATE(B9782, ""fr"", ""en"")"),"Super handy product, essential when traveling. As I have twins who do not take the same milk, two different colors are an asset. I recommend.")</f>
        <v>Super handy product, essential when traveling. As I have twins who do not take the same milk, two different colors are an asset. I recommend.</v>
      </c>
    </row>
    <row r="9783">
      <c r="A9783" s="1">
        <v>5.0</v>
      </c>
      <c r="B9783" s="1" t="s">
        <v>9638</v>
      </c>
      <c r="C9783" t="str">
        <f>IFERROR(__xludf.DUMMYFUNCTION("GOOGLETRANSLATE(B9783, ""fr"", ""en"")"),"very Perfect for a 5 year old that arises full of questions about things of everyday life.")</f>
        <v>very Perfect for a 5 year old that arises full of questions about things of everyday life.</v>
      </c>
    </row>
    <row r="9784">
      <c r="A9784" s="1">
        <v>5.0</v>
      </c>
      <c r="B9784" s="1" t="s">
        <v>9639</v>
      </c>
      <c r="C9784" t="str">
        <f>IFERROR(__xludf.DUMMYFUNCTION("GOOGLETRANSLATE(B9784, ""fr"", ""en"")"),"Product conforms to the description, it promises. Baby Heats very convenient that you can take anywhere. Just need to boil water before you go and hop voila. No need electricity, the bottle can be heated throughout, and the water stays warm for at least 6"&amp;" hours!")</f>
        <v>Product conforms to the description, it promises. Baby Heats very convenient that you can take anywhere. Just need to boil water before you go and hop voila. No need electricity, the bottle can be heated throughout, and the water stays warm for at least 6 hours!</v>
      </c>
    </row>
    <row r="9785">
      <c r="A9785" s="1">
        <v>5.0</v>
      </c>
      <c r="B9785" s="1" t="s">
        <v>9640</v>
      </c>
      <c r="C9785" t="str">
        <f>IFERROR(__xludf.DUMMYFUNCTION("GOOGLETRANSLATE(B9785, ""fr"", ""en"")"),"Solid As the description.")</f>
        <v>Solid As the description.</v>
      </c>
    </row>
    <row r="9786">
      <c r="A9786" s="1">
        <v>2.0</v>
      </c>
      <c r="B9786" s="1" t="s">
        <v>9641</v>
      </c>
      <c r="C9786" t="str">
        <f>IFERROR(__xludf.DUMMYFUNCTION("GOOGLETRANSLATE(B9786, ""fr"", ""en"")"),"not what I expected, disappointed disappointed by the product, high but not broad I expected more, I thought I found the perfect bag, ba not, it will leave on Monday, everything is a shriveled inside! very disappointed")</f>
        <v>not what I expected, disappointed disappointed by the product, high but not broad I expected more, I thought I found the perfect bag, ba not, it will leave on Monday, everything is a shriveled inside! very disappointed</v>
      </c>
    </row>
    <row r="9787">
      <c r="A9787" s="1">
        <v>1.0</v>
      </c>
      <c r="B9787" s="1" t="s">
        <v>9642</v>
      </c>
      <c r="C9787" t="str">
        <f>IFERROR(__xludf.DUMMYFUNCTION("GOOGLETRANSLATE(B9787, ""fr"", ""en"")"),"Needless No effect")</f>
        <v>Needless No effect</v>
      </c>
    </row>
    <row r="9788">
      <c r="A9788" s="1">
        <v>1.0</v>
      </c>
      <c r="B9788" s="1" t="s">
        <v>9643</v>
      </c>
      <c r="C9788" t="str">
        <f>IFERROR(__xludf.DUMMYFUNCTION("GOOGLETRANSLATE(B9788, ""fr"", ""en"")"),"Too small I love the product, although I took a size above it is too tight.")</f>
        <v>Too small I love the product, although I took a size above it is too tight.</v>
      </c>
    </row>
    <row r="9789">
      <c r="A9789" s="1">
        <v>3.0</v>
      </c>
      <c r="B9789" s="1" t="s">
        <v>9644</v>
      </c>
      <c r="C9789" t="str">
        <f>IFERROR(__xludf.DUMMYFUNCTION("GOOGLETRANSLATE(B9789, ""fr"", ""en"")"),"May not really good ... more I see no difference in the reduction of noise from the model before it is even a regression with phone usage (cutting or chopping) by against the Bose music application iPhone is frankly NUL apparatus is random and tedious. th"&amp;"e same Temp not again I had the same problem with the sound bar 700. So for an acquisition it's great for a renewal of hope with a new and improved while the noise reduction is frankly disappointment.")</f>
        <v>May not really good ... more I see no difference in the reduction of noise from the model before it is even a regression with phone usage (cutting or chopping) by against the Bose music application iPhone is frankly NUL apparatus is random and tedious. the same Temp not again I had the same problem with the sound bar 700. So for an acquisition it's great for a renewal of hope with a new and improved while the noise reduction is frankly disappointment.</v>
      </c>
    </row>
    <row r="9790">
      <c r="A9790" s="1">
        <v>3.0</v>
      </c>
      <c r="B9790" s="1" t="s">
        <v>9645</v>
      </c>
      <c r="C9790" t="str">
        <f>IFERROR(__xludf.DUMMYFUNCTION("GOOGLETRANSLATE(B9790, ""fr"", ""en"")"),"Okay After an unsuccessful attempt, and read the instructions a bit complex, were finally able to ask these tabs.")</f>
        <v>Okay After an unsuccessful attempt, and read the instructions a bit complex, were finally able to ask these tabs.</v>
      </c>
    </row>
    <row r="9791">
      <c r="A9791" s="1">
        <v>4.0</v>
      </c>
      <c r="B9791" s="1" t="s">
        <v>9646</v>
      </c>
      <c r="C9791" t="str">
        <f>IFERROR(__xludf.DUMMYFUNCTION("GOOGLETRANSLATE(B9791, ""fr"", ""en"")"),"THE GENTLE THIS VEST I watch TV, it is very comfortable the only problem is that you always stay connected and especially do not forget to unplug EDF")</f>
        <v>THE GENTLE THIS VEST I watch TV, it is very comfortable the only problem is that you always stay connected and especially do not forget to unplug EDF</v>
      </c>
    </row>
    <row r="9792">
      <c r="A9792" s="1">
        <v>4.0</v>
      </c>
      <c r="B9792" s="1" t="s">
        <v>9647</v>
      </c>
      <c r="C9792" t="str">
        <f>IFERROR(__xludf.DUMMYFUNCTION("GOOGLETRANSLATE(B9792, ""fr"", ""en"")"),"Sock nice color nice, value")</f>
        <v>Sock nice color nice, value</v>
      </c>
    </row>
    <row r="9793">
      <c r="A9793" s="1">
        <v>4.0</v>
      </c>
      <c r="B9793" s="1" t="s">
        <v>9648</v>
      </c>
      <c r="C9793" t="str">
        <f>IFERROR(__xludf.DUMMYFUNCTION("GOOGLETRANSLATE(B9793, ""fr"", ""en"")"),"Finally a shirt in my size! The material is very comfortable to wear. The question is how it will be after washing. A question I ask myself: I label the message ""buy one get one free"" even if my English is not very good I understand that I can ask anoth"&amp;"er !!!! how to do ?")</f>
        <v>Finally a shirt in my size! The material is very comfortable to wear. The question is how it will be after washing. A question I ask myself: I label the message "buy one get one free" even if my English is not very good I understand that I can ask another !!!! how to do ?</v>
      </c>
    </row>
    <row r="9794">
      <c r="A9794" s="1">
        <v>4.0</v>
      </c>
      <c r="B9794" s="1" t="s">
        <v>9649</v>
      </c>
      <c r="C9794" t="str">
        <f>IFERROR(__xludf.DUMMYFUNCTION("GOOGLETRANSLATE(B9794, ""fr"", ""en"")"),"Pointe a fragile low shoes Pointe surface of the fragile outdoor shoe")</f>
        <v>Pointe a fragile low shoes Pointe surface of the fragile outdoor shoe</v>
      </c>
    </row>
    <row r="9795">
      <c r="A9795" s="1">
        <v>5.0</v>
      </c>
      <c r="B9795" s="1" t="s">
        <v>9650</v>
      </c>
      <c r="C9795" t="str">
        <f>IFERROR(__xludf.DUMMYFUNCTION("GOOGLETRANSLATE(B9795, ""fr"", ""en"")"),"* * The best ... The best cream polish that I have more try before. Cleans, nourishes, repairs ... I dropped the high surface products.")</f>
        <v>* * The best ... The best cream polish that I have more try before. Cleans, nourishes, repairs ... I dropped the high surface products.</v>
      </c>
    </row>
    <row r="9796">
      <c r="A9796" s="1">
        <v>5.0</v>
      </c>
      <c r="B9796" s="1" t="s">
        <v>9651</v>
      </c>
      <c r="C9796" t="str">
        <f>IFERROR(__xludf.DUMMYFUNCTION("GOOGLETRANSLATE(B9796, ""fr"", ""en"")"),"very affordable and good quality")</f>
        <v>very affordable and good quality</v>
      </c>
    </row>
    <row r="9797">
      <c r="A9797" s="1">
        <v>5.0</v>
      </c>
      <c r="B9797" s="1" t="s">
        <v>9652</v>
      </c>
      <c r="C9797" t="str">
        <f>IFERROR(__xludf.DUMMYFUNCTION("GOOGLETRANSLATE(B9797, ""fr"", ""en"")"),"Article coform and fast delivery item coform and fast delivery")</f>
        <v>Article coform and fast delivery item coform and fast delivery</v>
      </c>
    </row>
    <row r="9798">
      <c r="A9798" s="1">
        <v>5.0</v>
      </c>
      <c r="B9798" s="1" t="s">
        <v>9653</v>
      </c>
      <c r="C9798" t="str">
        <f>IFERROR(__xludf.DUMMYFUNCTION("GOOGLETRANSLATE(B9798, ""fr"", ""en"")"),"Perfect ! Intensive use in a house of 6 people, tea drinkers and soluble coffee. Easy to décalcariser: fill with water, add vinegar, boil and let stand 30 'rinse. Very pleased with this purchase, great value!")</f>
        <v>Perfect ! Intensive use in a house of 6 people, tea drinkers and soluble coffee. Easy to décalcariser: fill with water, add vinegar, boil and let stand 30 'rinse. Very pleased with this purchase, great value!</v>
      </c>
    </row>
    <row r="9799">
      <c r="A9799" s="1">
        <v>5.0</v>
      </c>
      <c r="B9799" s="1" t="s">
        <v>1547</v>
      </c>
      <c r="C9799" t="str">
        <f>IFERROR(__xludf.DUMMYFUNCTION("GOOGLETRANSLATE(B9799, ""fr"", ""en"")"),"Ras Ras")</f>
        <v>Ras Ras</v>
      </c>
    </row>
    <row r="9800">
      <c r="A9800" s="1">
        <v>5.0</v>
      </c>
      <c r="B9800" s="1" t="s">
        <v>9654</v>
      </c>
      <c r="C9800" t="str">
        <f>IFERROR(__xludf.DUMMYFUNCTION("GOOGLETRANSLATE(B9800, ""fr"", ""en"")"),"Top ! Top and stylish! I recommend ! Comfortable after a day!")</f>
        <v>Top ! Top and stylish! I recommend ! Comfortable after a day!</v>
      </c>
    </row>
    <row r="9801">
      <c r="A9801" s="1">
        <v>5.0</v>
      </c>
      <c r="B9801" s="1" t="s">
        <v>9655</v>
      </c>
      <c r="C9801" t="str">
        <f>IFERROR(__xludf.DUMMYFUNCTION("GOOGLETRANSLATE(B9801, ""fr"", ""en"")"),"A perfect and impeccable hygiene This is a week that I tested this wet toilet paper. If at first during the first use I was somewhat surprised by its freshness, it has now become a daily gesture, a new clean routine to feel good. the wet toilet paper is u"&amp;"sed in addition to the traditional toilet paper, practice as an ordinary toilet paper that is thrown in the toilet! Its formula gently aloe leaves skin clean without irritation problem. The whole family now uses this wet toilet paper, and the girls in the"&amp;" house are more than delighted especially at certain time of the month! I definitely recommend this product becomes the trump cleanliness of the family, now that we had the wet Lotus on toilet paper goes without power")</f>
        <v>A perfect and impeccable hygiene This is a week that I tested this wet toilet paper. If at first during the first use I was somewhat surprised by its freshness, it has now become a daily gesture, a new clean routine to feel good. the wet toilet paper is used in addition to the traditional toilet paper, practice as an ordinary toilet paper that is thrown in the toilet! Its formula gently aloe leaves skin clean without irritation problem. The whole family now uses this wet toilet paper, and the girls in the house are more than delighted especially at certain time of the month! I definitely recommend this product becomes the trump cleanliness of the family, now that we had the wet Lotus on toilet paper goes without power</v>
      </c>
    </row>
    <row r="9802">
      <c r="A9802" s="1">
        <v>5.0</v>
      </c>
      <c r="B9802" s="1" t="s">
        <v>9656</v>
      </c>
      <c r="C9802" t="str">
        <f>IFERROR(__xludf.DUMMYFUNCTION("GOOGLETRANSLATE(B9802, ""fr"", ""en"")"),"At the top I am very happy with my purchase! Very comfortable, very good connectivity yours ... I had a bad experience in the listener without son, nests are successful 👍 I recommend")</f>
        <v>At the top I am very happy with my purchase! Very comfortable, very good connectivity yours ... I had a bad experience in the listener without son, nests are successful 👍 I recommend</v>
      </c>
    </row>
    <row r="9803">
      <c r="A9803" s="1">
        <v>5.0</v>
      </c>
      <c r="B9803" s="1" t="s">
        <v>9657</v>
      </c>
      <c r="C9803" t="str">
        <f>IFERROR(__xludf.DUMMYFUNCTION("GOOGLETRANSLATE(B9803, ""fr"", ""en"")"),"Impeccable Perfect as tjrs in converse, size a little big, I took a half size smaller.")</f>
        <v>Impeccable Perfect as tjrs in converse, size a little big, I took a half size smaller.</v>
      </c>
    </row>
    <row r="9804">
      <c r="A9804" s="1">
        <v>5.0</v>
      </c>
      <c r="B9804" s="1" t="s">
        <v>9658</v>
      </c>
      <c r="C9804" t="str">
        <f>IFERROR(__xludf.DUMMYFUNCTION("GOOGLETRANSLATE(B9804, ""fr"", ""en"")"),"Top shopping Fast delivery perfect match with the description, great! I recommend 👌🏼")</f>
        <v>Top shopping Fast delivery perfect match with the description, great! I recommend 👌🏼</v>
      </c>
    </row>
    <row r="9805">
      <c r="A9805" s="1">
        <v>5.0</v>
      </c>
      <c r="B9805" s="1" t="s">
        <v>9659</v>
      </c>
      <c r="C9805" t="str">
        <f>IFERROR(__xludf.DUMMYFUNCTION("GOOGLETRANSLATE(B9805, ""fr"", ""en"")"),"Crocs, what else ?! An original product that we do not need to present it. Beautiful, practical and very warm. Maximum comfort.")</f>
        <v>Crocs, what else ?! An original product that we do not need to present it. Beautiful, practical and very warm. Maximum comfort.</v>
      </c>
    </row>
    <row r="9806">
      <c r="A9806" s="1">
        <v>5.0</v>
      </c>
      <c r="B9806" s="1" t="s">
        <v>9660</v>
      </c>
      <c r="C9806" t="str">
        <f>IFERROR(__xludf.DUMMYFUNCTION("GOOGLETRANSLATE(B9806, ""fr"", ""en"")"),"Very good buy! Very good quality item level price !! I strongly advice! I recommend, beautiful design and functional all what I expected from this article!")</f>
        <v>Very good buy! Very good quality item level price !! I strongly advice! I recommend, beautiful design and functional all what I expected from this article!</v>
      </c>
    </row>
    <row r="9807">
      <c r="A9807" s="1">
        <v>5.0</v>
      </c>
      <c r="B9807" s="1" t="s">
        <v>9661</v>
      </c>
      <c r="C9807" t="str">
        <f>IFERROR(__xludf.DUMMYFUNCTION("GOOGLETRANSLATE(B9807, ""fr"", ""en"")"),"Magnificent ! I gave this bracelet to my darling, and it's even more beautiful in real life. The Swarovski box is present and a certificate of authenticity, full packaging. Thank you Amazon to offer this product at a price as advantageous :) I highly reco"&amp;"mmend this bracelet!")</f>
        <v>Magnificent ! I gave this bracelet to my darling, and it's even more beautiful in real life. The Swarovski box is present and a certificate of authenticity, full packaging. Thank you Amazon to offer this product at a price as advantageous :) I highly recommend this bracelet!</v>
      </c>
    </row>
    <row r="9808">
      <c r="A9808" s="1">
        <v>5.0</v>
      </c>
      <c r="B9808" s="1" t="s">
        <v>9662</v>
      </c>
      <c r="C9808" t="str">
        <f>IFERROR(__xludf.DUMMYFUNCTION("GOOGLETRANSLATE(B9808, ""fr"", ""en"")"),"Practice Practice and does not take up much space. You can put 8 bottles and teats much.")</f>
        <v>Practice Practice and does not take up much space. You can put 8 bottles and teats much.</v>
      </c>
    </row>
    <row r="9809">
      <c r="A9809" s="1">
        <v>5.0</v>
      </c>
      <c r="B9809" s="1" t="s">
        <v>9663</v>
      </c>
      <c r="C9809" t="str">
        <f>IFERROR(__xludf.DUMMYFUNCTION("GOOGLETRANSLATE(B9809, ""fr"", ""en"")"),"Doser I do not regret at all having to buy ... If you take a dose with you, you must not forget to put the lid that attaches more ....")</f>
        <v>Doser I do not regret at all having to buy ... If you take a dose with you, you must not forget to put the lid that attaches more ....</v>
      </c>
    </row>
    <row r="9810">
      <c r="A9810" s="1">
        <v>2.0</v>
      </c>
      <c r="B9810" s="1" t="s">
        <v>9664</v>
      </c>
      <c r="C9810" t="str">
        <f>IFERROR(__xludf.DUMMYFUNCTION("GOOGLETRANSLATE(B9810, ""fr"", ""en"")"),"Bad not Evil size top to toe")</f>
        <v>Bad not Evil size top to toe</v>
      </c>
    </row>
    <row r="9811">
      <c r="A9811" s="1">
        <v>1.0</v>
      </c>
      <c r="B9811" s="1" t="s">
        <v>9665</v>
      </c>
      <c r="C9811" t="str">
        <f>IFERROR(__xludf.DUMMYFUNCTION("GOOGLETRANSLATE(B9811, ""fr"", ""en"")"),"Earphones rotten The earphones are copies, I would not recommended to the acheters. Low suck the sound quality is really bad.")</f>
        <v>Earphones rotten The earphones are copies, I would not recommended to the acheters. Low suck the sound quality is really bad.</v>
      </c>
    </row>
    <row r="9812">
      <c r="A9812" s="1">
        <v>1.0</v>
      </c>
      <c r="B9812" s="1" t="s">
        <v>9666</v>
      </c>
      <c r="C9812" t="str">
        <f>IFERROR(__xludf.DUMMYFUNCTION("GOOGLETRANSLATE(B9812, ""fr"", ""en"")"),"Quality How all Amazon jewelry worthless")</f>
        <v>Quality How all Amazon jewelry worthless</v>
      </c>
    </row>
    <row r="9813">
      <c r="A9813" s="1">
        <v>3.0</v>
      </c>
      <c r="B9813" s="1" t="s">
        <v>9667</v>
      </c>
      <c r="C9813" t="str">
        <f>IFERROR(__xludf.DUMMYFUNCTION("GOOGLETRANSLATE(B9813, ""fr"", ""en"")"),"Yeah the price is too high compared to the quality of the fabric.")</f>
        <v>Yeah the price is too high compared to the quality of the fabric.</v>
      </c>
    </row>
    <row r="9814">
      <c r="A9814" s="1">
        <v>4.0</v>
      </c>
      <c r="B9814" s="1" t="s">
        <v>9668</v>
      </c>
      <c r="C9814" t="str">
        <f>IFERROR(__xludf.DUMMYFUNCTION("GOOGLETRANSLATE(B9814, ""fr"", ""en"")"),"The size These slippers are very good, easy to wear and cheap, but watch out for size! Shoe too small, wary me I took the biggest 44-45, doing 43 and it fits perfectly. Take 2 sizes above")</f>
        <v>The size These slippers are very good, easy to wear and cheap, but watch out for size! Shoe too small, wary me I took the biggest 44-45, doing 43 and it fits perfectly. Take 2 sizes above</v>
      </c>
    </row>
    <row r="9815">
      <c r="A9815" s="1">
        <v>4.0</v>
      </c>
      <c r="B9815" s="1" t="s">
        <v>9669</v>
      </c>
      <c r="C9815" t="str">
        <f>IFERROR(__xludf.DUMMYFUNCTION("GOOGLETRANSLATE(B9815, ""fr"", ""en"")"),"Just Listen")</f>
        <v>Just Listen</v>
      </c>
    </row>
    <row r="9816">
      <c r="A9816" s="1">
        <v>4.0</v>
      </c>
      <c r="B9816" s="1" t="s">
        <v>9670</v>
      </c>
      <c r="C9816" t="str">
        <f>IFERROR(__xludf.DUMMYFUNCTION("GOOGLETRANSLATE(B9816, ""fr"", ""en"")"),"good product good product by cons at first, it seems a little less sweat a girl once worn")</f>
        <v>good product good product by cons at first, it seems a little less sweat a girl once worn</v>
      </c>
    </row>
    <row r="9817">
      <c r="A9817" s="1">
        <v>4.0</v>
      </c>
      <c r="B9817" s="1" t="s">
        <v>9671</v>
      </c>
      <c r="C9817" t="str">
        <f>IFERROR(__xludf.DUMMYFUNCTION("GOOGLETRANSLATE(B9817, ""fr"", ""en"")"),"enough discreet look, not too heavy, good spikes. See the use if they are waterproof. they carve properly: we took the usual size and that is fine.")</f>
        <v>enough discreet look, not too heavy, good spikes. See the use if they are waterproof. they carve properly: we took the usual size and that is fine.</v>
      </c>
    </row>
    <row r="9818">
      <c r="A9818" s="1">
        <v>5.0</v>
      </c>
      <c r="B9818" s="1" t="s">
        <v>9672</v>
      </c>
      <c r="C9818" t="str">
        <f>IFERROR(__xludf.DUMMYFUNCTION("GOOGLETRANSLATE(B9818, ""fr"", ""en"")"),"Perfect Excellent product, you can release the golf club coarse dirt, the bottom of my golf shoes can also be cleaned.")</f>
        <v>Perfect Excellent product, you can release the golf club coarse dirt, the bottom of my golf shoes can also be cleaned.</v>
      </c>
    </row>
    <row r="9819">
      <c r="A9819" s="1">
        <v>5.0</v>
      </c>
      <c r="B9819" s="1" t="s">
        <v>9673</v>
      </c>
      <c r="C9819" t="str">
        <f>IFERROR(__xludf.DUMMYFUNCTION("GOOGLETRANSLATE(B9819, ""fr"", ""en"")"),"Splendid Very happy with my purchase Headphones are a pleasure Having already worn wireless headphones which cost me a little more expensive, they are simply the best in terms of everything (design, sound quality, autonomy and lightness )  I recommend :-)")</f>
        <v>Splendid Very happy with my purchase Headphones are a pleasure Having already worn wireless headphones which cost me a little more expensive, they are simply the best in terms of everything (design, sound quality, autonomy and lightness )  I recommend :-)</v>
      </c>
    </row>
    <row r="9820">
      <c r="A9820" s="1">
        <v>5.0</v>
      </c>
      <c r="B9820" s="1" t="s">
        <v>508</v>
      </c>
      <c r="C9820" t="str">
        <f>IFERROR(__xludf.DUMMYFUNCTION("GOOGLETRANSLATE(B9820, ""fr"", ""en"")"),"Very well very well")</f>
        <v>Very well very well</v>
      </c>
    </row>
    <row r="9821">
      <c r="A9821" s="1">
        <v>5.0</v>
      </c>
      <c r="B9821" s="1" t="s">
        <v>9674</v>
      </c>
      <c r="C9821" t="str">
        <f>IFERROR(__xludf.DUMMYFUNCTION("GOOGLETRANSLATE(B9821, ""fr"", ""en"")"),"Start your perfect length ideal quality no complaints")</f>
        <v>Start your perfect length ideal quality no complaints</v>
      </c>
    </row>
    <row r="9822">
      <c r="A9822" s="1">
        <v>5.0</v>
      </c>
      <c r="B9822" s="1" t="s">
        <v>9675</v>
      </c>
      <c r="C9822" t="str">
        <f>IFERROR(__xludf.DUMMYFUNCTION("GOOGLETRANSLATE(B9822, ""fr"", ""en"")"),"Perfect for fall I'm a size 38 and I chose the size M. It's fine with me! the material is soft. Perfect for fall. I am very satisfied with my purchase.")</f>
        <v>Perfect for fall I'm a size 38 and I chose the size M. It's fine with me! the material is soft. Perfect for fall. I am very satisfied with my purchase.</v>
      </c>
    </row>
    <row r="9823">
      <c r="A9823" s="1">
        <v>5.0</v>
      </c>
      <c r="B9823" s="1" t="s">
        <v>9676</v>
      </c>
      <c r="C9823" t="str">
        <f>IFERROR(__xludf.DUMMYFUNCTION("GOOGLETRANSLATE(B9823, ""fr"", ""en"")"),"Quality / price ratio; Excellent product I wanted to offer me ear buds (buds Samsung style) and I find (after various research models (and they are a package versions &amp; amp; opinion) than I desired course my final choice. was brought on ALL the positive o"&amp;"pinion of EC just fantastic products both disign, comfort to wear (I had doubts about maintaining the ears but it is perfect even for small ears which is my case), the comfort of subtle listening, powerful and effective as the quality of bass, medium &amp; am"&amp;"p; acute all without saturation of any kind is little adjusting, forward / backward, up / down, unhook / recrocher &amp; amp;. pause / play the two atria and this independently of the other or one another. We either use it in stereo of course but above all in"&amp;"dividually (mono) which is very convenient because actually reducer noise is there and therefore extremely effective any discomfort by ambient noise and ""it"" in all possible conditions. The scope and indicates Bluetooth 5.0 and fast and perfect when we "&amp;"know that the maximum recommended distance is 10m long after my test I put a distance ~ 20m and I've had no obviously cut beyond the connection cut himself. small light &amp; amp charging station; convenient especially you can recharge your Smartphone using t"&amp;"he USB port located on the front and is also used as a backup battery (sound combo) Issue price; bin 5 * Price / I you STRONGLY advice as to have also tested some marks &amp; amp; given the exorbitant rates of sales (as it varies between retailers 149.99 / 17"&amp;"9'90 €) for exactly the same view less its quality and where else not there noise reduction function !!! VIGORUN thank you for this quality product My ratings; 10/10")</f>
        <v>Quality / price ratio; Excellent product I wanted to offer me ear buds (buds Samsung style) and I find (after various research models (and they are a package versions &amp; amp; opinion) than I desired course my final choice. was brought on ALL the positive opinion of EC just fantastic products both disign, comfort to wear (I had doubts about maintaining the ears but it is perfect even for small ears which is my case), the comfort of subtle listening, powerful and effective as the quality of bass, medium &amp; amp; acute all without saturation of any kind is little adjusting, forward / backward, up / down, unhook / recrocher &amp; amp;. pause / play the two atria and this independently of the other or one another. We either use it in stereo of course but above all individually (mono) which is very convenient because actually reducer noise is there and therefore extremely effective any discomfort by ambient noise and "it" in all possible conditions. The scope and indicates Bluetooth 5.0 and fast and perfect when we know that the maximum recommended distance is 10m long after my test I put a distance ~ 20m and I've had no obviously cut beyond the connection cut himself. small light &amp; amp charging station; convenient especially you can recharge your Smartphone using the USB port located on the front and is also used as a backup battery (sound combo) Issue price; bin 5 * Price / I you STRONGLY advice as to have also tested some marks &amp; amp; given the exorbitant rates of sales (as it varies between retailers 149.99 / 179'90 €) for exactly the same view less its quality and where else not there noise reduction function !!! VIGORUN thank you for this quality product My ratings; 10/10</v>
      </c>
    </row>
    <row r="9824">
      <c r="A9824" s="1">
        <v>5.0</v>
      </c>
      <c r="B9824" s="1" t="s">
        <v>9677</v>
      </c>
      <c r="C9824" t="str">
        <f>IFERROR(__xludf.DUMMYFUNCTION("GOOGLETRANSLATE(B9824, ""fr"", ""en"")"),"Light and comfortable soles in the house are a strange sensation as pied.j have bought a gel insole. Otherwise it is lightweight and comfortable")</f>
        <v>Light and comfortable soles in the house are a strange sensation as pied.j have bought a gel insole. Otherwise it is lightweight and comfortable</v>
      </c>
    </row>
    <row r="9825">
      <c r="A9825" s="1">
        <v>5.0</v>
      </c>
      <c r="B9825" s="1" t="s">
        <v>9678</v>
      </c>
      <c r="C9825" t="str">
        <f>IFERROR(__xludf.DUMMYFUNCTION("GOOGLETRANSLATE(B9825, ""fr"", ""en"")"),"Nickel! I do not expect a sound so good for the price of this helmet is bluffing!. Moreover it is very easy to use .The storage pocket is nice. Very good article, I highly recommend.")</f>
        <v>Nickel! I do not expect a sound so good for the price of this helmet is bluffing!. Moreover it is very easy to use .The storage pocket is nice. Very good article, I highly recommend.</v>
      </c>
    </row>
    <row r="9826">
      <c r="A9826" s="1">
        <v>5.0</v>
      </c>
      <c r="B9826" s="1" t="s">
        <v>9679</v>
      </c>
      <c r="C9826" t="str">
        <f>IFERROR(__xludf.DUMMYFUNCTION("GOOGLETRANSLATE(B9826, ""fr"", ""en"")"),"Opinion Maker Design carrera great, just watch when the water temperature has reached the body of the kettle is hot. So do not ask or catch the kettle by the body but the cove is for. Level up to temperature, the weather is good.")</f>
        <v>Opinion Maker Design carrera great, just watch when the water temperature has reached the body of the kettle is hot. So do not ask or catch the kettle by the body but the cove is for. Level up to temperature, the weather is good.</v>
      </c>
    </row>
    <row r="9827">
      <c r="A9827" s="1">
        <v>5.0</v>
      </c>
      <c r="B9827" s="1" t="s">
        <v>9680</v>
      </c>
      <c r="C9827" t="str">
        <f>IFERROR(__xludf.DUMMYFUNCTION("GOOGLETRANSLATE(B9827, ""fr"", ""en"")"),"Nice product comfortable and durable product")</f>
        <v>Nice product comfortable and durable product</v>
      </c>
    </row>
    <row r="9828">
      <c r="A9828" s="1">
        <v>5.0</v>
      </c>
      <c r="B9828" s="1" t="s">
        <v>9681</v>
      </c>
      <c r="C9828" t="str">
        <f>IFERROR(__xludf.DUMMYFUNCTION("GOOGLETRANSLATE(B9828, ""fr"", ""en"")"),"Good product and good sound Very good sound (even I am not a professional) !! The xiaomi products are cheap and of high quality. Easy to carry and set up with his phone. On both with two headsets with only one too. Fan of this product !!")</f>
        <v>Good product and good sound Very good sound (even I am not a professional) !! The xiaomi products are cheap and of high quality. Easy to carry and set up with his phone. On both with two headsets with only one too. Fan of this product !!</v>
      </c>
    </row>
    <row r="9829">
      <c r="A9829" s="1">
        <v>5.0</v>
      </c>
      <c r="B9829" s="1" t="s">
        <v>9682</v>
      </c>
      <c r="C9829" t="str">
        <f>IFERROR(__xludf.DUMMYFUNCTION("GOOGLETRANSLATE(B9829, ""fr"", ""en"")"),"Flexible and lightweight Apart from their adorable style. I find these very comfortable shoe. Thanks to their flexibility and lightness, I used to do sports in the gym. as perfect for the running.")</f>
        <v>Flexible and lightweight Apart from their adorable style. I find these very comfortable shoe. Thanks to their flexibility and lightness, I used to do sports in the gym. as perfect for the running.</v>
      </c>
    </row>
    <row r="9830">
      <c r="A9830" s="1">
        <v>5.0</v>
      </c>
      <c r="B9830" s="1" t="s">
        <v>9683</v>
      </c>
      <c r="C9830" t="str">
        <f>IFERROR(__xludf.DUMMYFUNCTION("GOOGLETRANSLATE(B9830, ""fr"", ""en"")"),"Very satisfied ! Bluetooth headphones were delivered quickly, in a nice cardboard box that contains: wireless headphones, a portable charging case, a USB charging cable, nozzles of different sizes, a carrying bag and a user manual (in English). The headph"&amp;"ones are very good, the sound quality is great (and sharp declines), the sound is very clear, autonomy is good, they cling great ears (even current), they more are discreet. There are no buttons is the touch key (top) which can control the volume, turn of"&amp;"f ... etc. The connection with the phone is super fast (Bluetooth 5.0, up to 20 meters). Also, they are waterproof (IPX8). Headphones are magnetically retained in the case to avoid dropping them if it opens. It has 3500mAh capacity (30 times full charge B"&amp;"luetooth headset, max 120 hours autonomy). There are lights that indicate the charge level. The quality / price is very good for the price it's a great product, nothing to say, I recommend it highly!")</f>
        <v>Very satisfied ! Bluetooth headphones were delivered quickly, in a nice cardboard box that contains: wireless headphones, a portable charging case, a USB charging cable, nozzles of different sizes, a carrying bag and a user manual (in English). The headphones are very good, the sound quality is great (and sharp declines), the sound is very clear, autonomy is good, they cling great ears (even current), they more are discreet. There are no buttons is the touch key (top) which can control the volume, turn off ... etc. The connection with the phone is super fast (Bluetooth 5.0, up to 20 meters). Also, they are waterproof (IPX8). Headphones are magnetically retained in the case to avoid dropping them if it opens. It has 3500mAh capacity (30 times full charge Bluetooth headset, max 120 hours autonomy). There are lights that indicate the charge level. The quality / price is very good for the price it's a great product, nothing to say, I recommend it highly!</v>
      </c>
    </row>
    <row r="9831">
      <c r="A9831" s="1">
        <v>5.0</v>
      </c>
      <c r="B9831" s="1" t="s">
        <v>9684</v>
      </c>
      <c r="C9831" t="str">
        <f>IFERROR(__xludf.DUMMYFUNCTION("GOOGLETRANSLATE(B9831, ""fr"", ""en"")"),"Nostalgic 80's Excellent product. Met my expectations. Fast delivery, in perfect condition. Great for fans like me of the 80's and in passing to ""BACK TO THE FUTURE"".")</f>
        <v>Nostalgic 80's Excellent product. Met my expectations. Fast delivery, in perfect condition. Great for fans like me of the 80's and in passing to "BACK TO THE FUTURE".</v>
      </c>
    </row>
    <row r="9832">
      <c r="A9832" s="1">
        <v>5.0</v>
      </c>
      <c r="B9832" s="1" t="s">
        <v>9685</v>
      </c>
      <c r="C9832" t="str">
        <f>IFERROR(__xludf.DUMMYFUNCTION("GOOGLETRANSLATE(B9832, ""fr"", ""en"")"),"Jogging Jogging comfortable great value. Grand-thin, snug size XL (192cm, 78kg). Very comfortable.")</f>
        <v>Jogging Jogging comfortable great value. Grand-thin, snug size XL (192cm, 78kg). Very comfortable.</v>
      </c>
    </row>
    <row r="9833">
      <c r="A9833" s="1">
        <v>5.0</v>
      </c>
      <c r="B9833" s="1" t="s">
        <v>9686</v>
      </c>
      <c r="C9833" t="str">
        <f>IFERROR(__xludf.DUMMYFUNCTION("GOOGLETRANSLATE(B9833, ""fr"", ""en"")"),"Glad I was looking for a kettle ""intelligenete"" that is to say that can be set at different temperatures. It's actually very fast too much water. Only downside: the outdoor heat of the unit and if I can afford the kettle is boiling.")</f>
        <v>Glad I was looking for a kettle "intelligenete" that is to say that can be set at different temperatures. It's actually very fast too much water. Only downside: the outdoor heat of the unit and if I can afford the kettle is boiling.</v>
      </c>
    </row>
    <row r="9834">
      <c r="A9834" s="1">
        <v>2.0</v>
      </c>
      <c r="B9834" s="1" t="s">
        <v>9687</v>
      </c>
      <c r="C9834" t="str">
        <f>IFERROR(__xludf.DUMMYFUNCTION("GOOGLETRANSLATE(B9834, ""fr"", ""en"")"),"Assisi too long with well thought Mounting the steps to follow. Caution with awls key, although the introduction into the screw before turning gun because it is easy to screw heads. 1 months that I use daily that chair and I am rather disappointed. For a "&amp;"gamer use, the seat is actually too long side lap, so that when I want to be sitting upright with your back against the backrest, calves are compressed cutter tip of the seat if I want the vertical shins , feet flat. So we tend to have buttocks that shift"&amp;" to the front, and thus the back is not right. I measure 1m78 for 73kg. It's a shame because for the rest the chair is comfortable, but not being able to stand upright in the duration ... it spoils everything.")</f>
        <v>Assisi too long with well thought Mounting the steps to follow. Caution with awls key, although the introduction into the screw before turning gun because it is easy to screw heads. 1 months that I use daily that chair and I am rather disappointed. For a gamer use, the seat is actually too long side lap, so that when I want to be sitting upright with your back against the backrest, calves are compressed cutter tip of the seat if I want the vertical shins , feet flat. So we tend to have buttocks that shift to the front, and thus the back is not right. I measure 1m78 for 73kg. It's a shame because for the rest the chair is comfortable, but not being able to stand upright in the duration ... it spoils everything.</v>
      </c>
    </row>
    <row r="9835">
      <c r="A9835" s="1">
        <v>1.0</v>
      </c>
      <c r="B9835" s="1" t="s">
        <v>9688</v>
      </c>
      <c r="C9835" t="str">
        <f>IFERROR(__xludf.DUMMYFUNCTION("GOOGLETRANSLATE(B9835, ""fr"", ""en"")"),"No attention is glass I'm so upset I wanted glass bottles and did not his. Very disappointed displeased")</f>
        <v>No attention is glass I'm so upset I wanted glass bottles and did not his. Very disappointed displeased</v>
      </c>
    </row>
    <row r="9836">
      <c r="A9836" s="1">
        <v>3.0</v>
      </c>
      <c r="B9836" s="1" t="s">
        <v>9689</v>
      </c>
      <c r="C9836" t="str">
        <f>IFERROR(__xludf.DUMMYFUNCTION("GOOGLETRANSLATE(B9836, ""fr"", ""en"")"),"Size small Victoria my fetish shoes as comfortable there but me who's 40 shoes are tight in the width and the length not to damage the socks. I try to enlarge by all means ..: /")</f>
        <v>Size small Victoria my fetish shoes as comfortable there but me who's 40 shoes are tight in the width and the length not to damage the socks. I try to enlarge by all means ..: /</v>
      </c>
    </row>
    <row r="9837">
      <c r="A9837" s="1">
        <v>3.0</v>
      </c>
      <c r="B9837" s="1" t="s">
        <v>9690</v>
      </c>
      <c r="C9837" t="str">
        <f>IFERROR(__xludf.DUMMYFUNCTION("GOOGLETRANSLATE(B9837, ""fr"", ""en"")"),"Disappointed disappointed because I received my package but the necklace is broken when I tried to put more he was too good and I do not get it repaired ☹️")</f>
        <v>Disappointed disappointed because I received my package but the necklace is broken when I tried to put more he was too good and I do not get it repaired ☹️</v>
      </c>
    </row>
    <row r="9838">
      <c r="A9838" s="1">
        <v>4.0</v>
      </c>
      <c r="B9838" s="1" t="s">
        <v>9691</v>
      </c>
      <c r="C9838" t="str">
        <f>IFERROR(__xludf.DUMMYFUNCTION("GOOGLETRANSLATE(B9838, ""fr"", ""en"")"),"Beautiful Gorgeous Cougar! As against the red spring rather dark pink ... Pleasant to wear but rather fragile ... But a good record!")</f>
        <v>Beautiful Gorgeous Cougar! As against the red spring rather dark pink ... Pleasant to wear but rather fragile ... But a good record!</v>
      </c>
    </row>
    <row r="9839">
      <c r="A9839" s="1">
        <v>4.0</v>
      </c>
      <c r="B9839" s="1" t="s">
        <v>1261</v>
      </c>
      <c r="C9839" t="str">
        <f>IFERROR(__xludf.DUMMYFUNCTION("GOOGLETRANSLATE(B9839, ""fr"", ""en"")"),"good good")</f>
        <v>good good</v>
      </c>
    </row>
    <row r="9840">
      <c r="A9840" s="1">
        <v>4.0</v>
      </c>
      <c r="B9840" s="1" t="s">
        <v>9692</v>
      </c>
      <c r="C9840" t="str">
        <f>IFERROR(__xludf.DUMMYFUNCTION("GOOGLETRANSLATE(B9840, ""fr"", ""en"")"),"Pleasant It is convenient, works well, and rather nice")</f>
        <v>Pleasant It is convenient, works well, and rather nice</v>
      </c>
    </row>
    <row r="9841">
      <c r="A9841" s="1">
        <v>4.0</v>
      </c>
      <c r="B9841" s="1" t="s">
        <v>9693</v>
      </c>
      <c r="C9841" t="str">
        <f>IFERROR(__xludf.DUMMYFUNCTION("GOOGLETRANSLATE(B9841, ""fr"", ""en"")"),"A basic to have nice watch, fine enough, pleasant to wear. Perfect for work and everyday life. By cons attention to water, it is noted that it is splash-resistant, but I will not try to keep her in the shower. Perfect for the weekend, everyday life")</f>
        <v>A basic to have nice watch, fine enough, pleasant to wear. Perfect for work and everyday life. By cons attention to water, it is noted that it is splash-resistant, but I will not try to keep her in the shower. Perfect for the weekend, everyday life</v>
      </c>
    </row>
    <row r="9842">
      <c r="A9842" s="1">
        <v>5.0</v>
      </c>
      <c r="B9842" s="1" t="s">
        <v>9694</v>
      </c>
      <c r="C9842" t="str">
        <f>IFERROR(__xludf.DUMMYFUNCTION("GOOGLETRANSLATE(B9842, ""fr"", ""en"")"),"kettle very well")</f>
        <v>kettle very well</v>
      </c>
    </row>
    <row r="9843">
      <c r="A9843" s="1">
        <v>5.0</v>
      </c>
      <c r="B9843" s="1" t="s">
        <v>9695</v>
      </c>
      <c r="C9843" t="str">
        <f>IFERROR(__xludf.DUMMYFUNCTION("GOOGLETRANSLATE(B9843, ""fr"", ""en"")"),"On top Very happy and excited my cousin she did not shake at top thank you")</f>
        <v>On top Very happy and excited my cousin she did not shake at top thank you</v>
      </c>
    </row>
    <row r="9844">
      <c r="A9844" s="1">
        <v>5.0</v>
      </c>
      <c r="B9844" s="1" t="s">
        <v>9696</v>
      </c>
      <c r="C9844" t="str">
        <f>IFERROR(__xludf.DUMMYFUNCTION("GOOGLETRANSLATE(B9844, ""fr"", ""en"")"),"Ravi Watch chic and sober mind vintage.parfait. Received in its pretty box, it does not fail to give you the look, if I believe some women ☺️")</f>
        <v>Ravi Watch chic and sober mind vintage.parfait. Received in its pretty box, it does not fail to give you the look, if I believe some women ☺️</v>
      </c>
    </row>
    <row r="9845">
      <c r="A9845" s="1">
        <v>5.0</v>
      </c>
      <c r="B9845" s="1" t="s">
        <v>9697</v>
      </c>
      <c r="C9845" t="str">
        <f>IFERROR(__xludf.DUMMYFUNCTION("GOOGLETRANSLATE(B9845, ""fr"", ""en"")"),"Bouillotte very nice :) Very happy with this hot water bottle which is pretty big and heavy but not too much, not feel bad during heating, the grains are very small and it is better than cherry stones and they keep amazingly heat well. Only ""&amp; nbsp; &amp; nb"&amp;"sp flat,"" is that the fabric is a kind of thriller and I did not expect this because it tends to hold the hair or dust a little more than cotton for example ... but either it retains heat better so why not this is mild and pleasant :) Ideal for my baby a"&amp;" month that has colic but also to ask him warm on the abdomen and so give the impression of his presence sides to facilitate sleep! In short very happy with my purchase.")</f>
        <v>Bouillotte very nice :) Very happy with this hot water bottle which is pretty big and heavy but not too much, not feel bad during heating, the grains are very small and it is better than cherry stones and they keep amazingly heat well. Only "&amp; nbsp; &amp; nbsp flat," is that the fabric is a kind of thriller and I did not expect this because it tends to hold the hair or dust a little more than cotton for example ... but either it retains heat better so why not this is mild and pleasant :) Ideal for my baby a month that has colic but also to ask him warm on the abdomen and so give the impression of his presence sides to facilitate sleep! In short very happy with my purchase.</v>
      </c>
    </row>
    <row r="9846">
      <c r="A9846" s="1">
        <v>5.0</v>
      </c>
      <c r="B9846" s="1" t="s">
        <v>9698</v>
      </c>
      <c r="C9846" t="str">
        <f>IFERROR(__xludf.DUMMYFUNCTION("GOOGLETRANSLATE(B9846, ""fr"", ""en"")"),"Quick delivery. Easy maintenance. Wearable Fast delivery. Easy maintenance, repeatedly washed without worry. Comfortable to wear as say my husband very athletic, well take the foot without heating.")</f>
        <v>Quick delivery. Easy maintenance. Wearable Fast delivery. Easy maintenance, repeatedly washed without worry. Comfortable to wear as say my husband very athletic, well take the foot without heating.</v>
      </c>
    </row>
    <row r="9847">
      <c r="A9847" s="1">
        <v>5.0</v>
      </c>
      <c r="B9847" s="1" t="s">
        <v>9699</v>
      </c>
      <c r="C9847" t="str">
        <f>IFERROR(__xludf.DUMMYFUNCTION("GOOGLETRANSLATE(B9847, ""fr"", ""en"")"),"Satisfied Already I wish to confirm that this is indeed the real product from Wincase.Je am very happy with this purchase. I already had bluetooth headphones but both were connected by a cord, and they were not necessarily easy to turn on / pair. So I fel"&amp;"l for the AirPods (which are here at a price lower than that posted in Wincase) and I am fully satisfied for their ease of use with an iPhone.")</f>
        <v>Satisfied Already I wish to confirm that this is indeed the real product from Wincase.Je am very happy with this purchase. I already had bluetooth headphones but both were connected by a cord, and they were not necessarily easy to turn on / pair. So I fell for the AirPods (which are here at a price lower than that posted in Wincase) and I am fully satisfied for their ease of use with an iPhone.</v>
      </c>
    </row>
    <row r="9848">
      <c r="A9848" s="1">
        <v>5.0</v>
      </c>
      <c r="B9848" s="1" t="s">
        <v>9700</v>
      </c>
      <c r="C9848" t="str">
        <f>IFERROR(__xludf.DUMMYFUNCTION("GOOGLETRANSLATE(B9848, ""fr"", ""en"")"),"good for personal needs")</f>
        <v>good for personal needs</v>
      </c>
    </row>
    <row r="9849">
      <c r="A9849" s="1">
        <v>5.0</v>
      </c>
      <c r="B9849" s="1" t="s">
        <v>1687</v>
      </c>
      <c r="C9849" t="str">
        <f>IFERROR(__xludf.DUMMYFUNCTION("GOOGLETRANSLATE(B9849, ""fr"", ""en"")"),"Super Super")</f>
        <v>Super Super</v>
      </c>
    </row>
    <row r="9850">
      <c r="A9850" s="1">
        <v>5.0</v>
      </c>
      <c r="B9850" s="1" t="s">
        <v>9701</v>
      </c>
      <c r="C9850" t="str">
        <f>IFERROR(__xludf.DUMMYFUNCTION("GOOGLETRANSLATE(B9850, ""fr"", ""en"")"),"j perfect love for now it works we will see in a few months .... but otherwise beautiful design .... because of the effect and a real calm and pleasant diffusion of essential oils very well and I recommande..livraison fast")</f>
        <v>j perfect love for now it works we will see in a few months .... but otherwise beautiful design .... because of the effect and a real calm and pleasant diffusion of essential oils very well and I recommande..livraison fast</v>
      </c>
    </row>
    <row r="9851">
      <c r="A9851" s="1">
        <v>5.0</v>
      </c>
      <c r="B9851" s="1" t="s">
        <v>9702</v>
      </c>
      <c r="C9851" t="str">
        <f>IFERROR(__xludf.DUMMYFUNCTION("GOOGLETRANSLATE(B9851, ""fr"", ""en"")"),"Dangerously beautiful ... The jewel meets the website photos. The pendant, gorgeous, resplendent in light and attracts attention: every time I wear it, there's always someone to admire ... or for lust! This is the case of my niece (age 8) who trick and ar"&amp;"gues for over a year for me to give him! Finally, this year, I ordered him one for Christmas ... So, buy it without fear, but be aware that you may, like me, have to invest again for someone you know!")</f>
        <v>Dangerously beautiful ... The jewel meets the website photos. The pendant, gorgeous, resplendent in light and attracts attention: every time I wear it, there's always someone to admire ... or for lust! This is the case of my niece (age 8) who trick and argues for over a year for me to give him! Finally, this year, I ordered him one for Christmas ... So, buy it without fear, but be aware that you may, like me, have to invest again for someone you know!</v>
      </c>
    </row>
    <row r="9852">
      <c r="A9852" s="1">
        <v>5.0</v>
      </c>
      <c r="B9852" s="1" t="s">
        <v>9703</v>
      </c>
      <c r="C9852" t="str">
        <f>IFERROR(__xludf.DUMMYFUNCTION("GOOGLETRANSLATE(B9852, ""fr"", ""en"")"),"Headphones that change everything headphones used to listen to music. very good sound, even if the earbuds slightly less obscure outside sounds than conventional ear pressed more in the ears. Easy to pair. What freedom of movement! ls finished son hanging"&amp;"! No need to type your smartphone to adjust the volume. Must be very convenient as well to take a call. A great product at a mini price !!!")</f>
        <v>Headphones that change everything headphones used to listen to music. very good sound, even if the earbuds slightly less obscure outside sounds than conventional ear pressed more in the ears. Easy to pair. What freedom of movement! ls finished son hanging! No need to type your smartphone to adjust the volume. Must be very convenient as well to take a call. A great product at a mini price !!!</v>
      </c>
    </row>
    <row r="9853">
      <c r="A9853" s="1">
        <v>5.0</v>
      </c>
      <c r="B9853" s="1" t="s">
        <v>9704</v>
      </c>
      <c r="C9853" t="str">
        <f>IFERROR(__xludf.DUMMYFUNCTION("GOOGLETRANSLATE(B9853, ""fr"", ""en"")"),"Good quality paper! I had already bought the Clairefontaine Paper to make gifts and was not disappointed notice. Here again the paper is of good quality, no surprises at the print level that keeps well. Great product I highly recommend!")</f>
        <v>Good quality paper! I had already bought the Clairefontaine Paper to make gifts and was not disappointed notice. Here again the paper is of good quality, no surprises at the print level that keeps well. Great product I highly recommend!</v>
      </c>
    </row>
    <row r="9854">
      <c r="A9854" s="1">
        <v>5.0</v>
      </c>
      <c r="B9854" s="1" t="s">
        <v>9705</v>
      </c>
      <c r="C9854" t="str">
        <f>IFERROR(__xludf.DUMMYFUNCTION("GOOGLETRANSLATE(B9854, ""fr"", ""en"")"),"Very good Perfect Printing Canon MG 3550. But as the printer almost two years, I think add a few euros and buy new equipment. This means that as in other brands a lot of two black cartridges and color is not very far value price of a new printer of the sa"&amp;"me type. So ...")</f>
        <v>Very good Perfect Printing Canon MG 3550. But as the printer almost two years, I think add a few euros and buy new equipment. This means that as in other brands a lot of two black cartridges and color is not very far value price of a new printer of the same type. So ...</v>
      </c>
    </row>
    <row r="9855">
      <c r="A9855" s="1">
        <v>5.0</v>
      </c>
      <c r="B9855" s="1" t="s">
        <v>9706</v>
      </c>
      <c r="C9855" t="str">
        <f>IFERROR(__xludf.DUMMYFUNCTION("GOOGLETRANSLATE(B9855, ""fr"", ""en"")"),"Merrell, c is excellent! comfortable shoes to wear summer and winter hardy, well ventilated but also quite .... waterproof up to a point of course, large rain puddles and do not pose any problem. at first they seem quite large: false illusion !! s they qu"&amp;"ickly soften it confuse them with sneakers. Attention however Merrell small size: you must choose 1/2 size above your usual size. they are ultra comfortable slippers true as to the price on amazon c is unbeatable !!!! keep you long, I wear almost daily th"&amp;"is model for 3 years and they will still last. Wholesale placing an order I renew the stock before he ^^ n y have more ^^")</f>
        <v>Merrell, c is excellent! comfortable shoes to wear summer and winter hardy, well ventilated but also quite .... waterproof up to a point of course, large rain puddles and do not pose any problem. at first they seem quite large: false illusion !! s they quickly soften it confuse them with sneakers. Attention however Merrell small size: you must choose 1/2 size above your usual size. they are ultra comfortable slippers true as to the price on amazon c is unbeatable !!!! keep you long, I wear almost daily this model for 3 years and they will still last. Wholesale placing an order I renew the stock before he ^^ n y have more ^^</v>
      </c>
    </row>
    <row r="9856">
      <c r="A9856" s="1">
        <v>5.0</v>
      </c>
      <c r="B9856" s="1" t="s">
        <v>9707</v>
      </c>
      <c r="C9856" t="str">
        <f>IFERROR(__xludf.DUMMYFUNCTION("GOOGLETRANSLATE(B9856, ""fr"", ""en"")"),"karaoke microphone Bluetooth On the occasion of 60 years of mom, I was looking for a wireless microphone and finally I found this model is more karaoke. it is very easy to use, it recharges with its micro USB cable. The Bluetooth connection is easily done"&amp;" on phone and tablet, however I have not managed to pair it on speaker sound system, but this is a detail, especially since it can accommodate SD micro card with you can put a playlist for karaoke. the sound is amplified and broadcast through the loudspea"&amp;"kers of the microphone and the sound is fluide.la voice into the microphone is clear. Ultimately, I am delighted with my achatt that promises beautiful evenings karaoke. I highly recommend this product with good value for money.")</f>
        <v>karaoke microphone Bluetooth On the occasion of 60 years of mom, I was looking for a wireless microphone and finally I found this model is more karaoke. it is very easy to use, it recharges with its micro USB cable. The Bluetooth connection is easily done on phone and tablet, however I have not managed to pair it on speaker sound system, but this is a detail, especially since it can accommodate SD micro card with you can put a playlist for karaoke. the sound is amplified and broadcast through the loudspeakers of the microphone and the sound is fluide.la voice into the microphone is clear. Ultimately, I am delighted with my achatt that promises beautiful evenings karaoke. I highly recommend this product with good value for money.</v>
      </c>
    </row>
    <row r="9857">
      <c r="A9857" s="1">
        <v>2.0</v>
      </c>
      <c r="B9857" s="1" t="s">
        <v>9708</v>
      </c>
      <c r="C9857" t="str">
        <f>IFERROR(__xludf.DUMMYFUNCTION("GOOGLETRANSLATE(B9857, ""fr"", ""en"")"),"So good but its mass well after its bubble for a few bubbles serves its almost anything the dimension")</f>
        <v>So good but its mass well after its bubble for a few bubbles serves its almost anything the dimension</v>
      </c>
    </row>
    <row r="9858">
      <c r="A9858" s="1">
        <v>1.0</v>
      </c>
      <c r="B9858" s="1" t="s">
        <v>9709</v>
      </c>
      <c r="C9858" t="str">
        <f>IFERROR(__xludf.DUMMYFUNCTION("GOOGLETRANSLATE(B9858, ""fr"", ""en"")"),"Empty cartridges or ink-dried! ? Dice setting in the printer, it reported that it was necessary to change the cartridges either in the NB (540XL) or color (541XL). To try to save money, you may have to pay more! I had to replace both cartridges by two oth"&amp;"er brand of the supermarket where I bought them! These at least walk!")</f>
        <v>Empty cartridges or ink-dried! ? Dice setting in the printer, it reported that it was necessary to change the cartridges either in the NB (540XL) or color (541XL). To try to save money, you may have to pay more! I had to replace both cartridges by two other brand of the supermarket where I bought them! These at least walk!</v>
      </c>
    </row>
    <row r="9859">
      <c r="A9859" s="1">
        <v>1.0</v>
      </c>
      <c r="B9859" s="1" t="s">
        <v>9710</v>
      </c>
      <c r="C9859" t="str">
        <f>IFERROR(__xludf.DUMMYFUNCTION("GOOGLETRANSLATE(B9859, ""fr"", ""en"")"),"I do not validate Disappointed too small compared to the photo I saw on Amazon and too expensive")</f>
        <v>I do not validate Disappointed too small compared to the photo I saw on Amazon and too expensive</v>
      </c>
    </row>
    <row r="9860">
      <c r="A9860" s="1">
        <v>3.0</v>
      </c>
      <c r="B9860" s="1" t="s">
        <v>9711</v>
      </c>
      <c r="C9860" t="str">
        <f>IFERROR(__xludf.DUMMYFUNCTION("GOOGLETRANSLATE(B9860, ""fr"", ""en"")"),"Disappointed photo description Misdescriptions over the picture! there are shown side pockets and you get a legging with only a small pocket at the rear, there is no bag (s) side (s) on the side of the legging !!! I keep it because it puts tjrs useful but"&amp;" disappointed ....")</f>
        <v>Disappointed photo description Misdescriptions over the picture! there are shown side pockets and you get a legging with only a small pocket at the rear, there is no bag (s) side (s) on the side of the legging !!! I keep it because it puts tjrs useful but disappointed ....</v>
      </c>
    </row>
    <row r="9861">
      <c r="A9861" s="1">
        <v>3.0</v>
      </c>
      <c r="B9861" s="1" t="s">
        <v>9712</v>
      </c>
      <c r="C9861" t="str">
        <f>IFERROR(__xludf.DUMMYFUNCTION("GOOGLETRANSLATE(B9861, ""fr"", ""en"")"),"They look smart but weak. I like their look, very cool, but they developed holes after only two uses.")</f>
        <v>They look smart but weak. I like their look, very cool, but they developed holes after only two uses.</v>
      </c>
    </row>
    <row r="9862">
      <c r="A9862" s="1">
        <v>4.0</v>
      </c>
      <c r="B9862" s="1" t="s">
        <v>9713</v>
      </c>
      <c r="C9862" t="str">
        <f>IFERROR(__xludf.DUMMYFUNCTION("GOOGLETRANSLATE(B9862, ""fr"", ""en"")"),"Fits a teenager â My daughter is thrilled. Only downside in 2 months the color of the bracelet inside starts from")</f>
        <v>Fits a teenager â My daughter is thrilled. Only downside in 2 months the color of the bracelet inside starts from</v>
      </c>
    </row>
    <row r="9863">
      <c r="A9863" s="1">
        <v>4.0</v>
      </c>
      <c r="B9863" s="1" t="s">
        <v>9714</v>
      </c>
      <c r="C9863" t="str">
        <f>IFERROR(__xludf.DUMMYFUNCTION("GOOGLETRANSLATE(B9863, ""fr"", ""en"")"),"Very nice Very nice little dress, fluid material, pleasant. The dress is not lined transparency. Size very well, as the picture Length: at the knee, perfect for me")</f>
        <v>Very nice Very nice little dress, fluid material, pleasant. The dress is not lined transparency. Size very well, as the picture Length: at the knee, perfect for me</v>
      </c>
    </row>
    <row r="9864">
      <c r="A9864" s="1">
        <v>4.0</v>
      </c>
      <c r="B9864" s="1" t="s">
        <v>9715</v>
      </c>
      <c r="C9864" t="str">
        <f>IFERROR(__xludf.DUMMYFUNCTION("GOOGLETRANSLATE(B9864, ""fr"", ""en"")"),"cute delicate Chain")</f>
        <v>cute delicate Chain</v>
      </c>
    </row>
    <row r="9865">
      <c r="A9865" s="1">
        <v>4.0</v>
      </c>
      <c r="B9865" s="1" t="s">
        <v>9716</v>
      </c>
      <c r="C9865" t="str">
        <f>IFERROR(__xludf.DUMMYFUNCTION("GOOGLETRANSLATE(B9865, ""fr"", ""en"")"),"Comfortable. Comfortable.")</f>
        <v>Comfortable. Comfortable.</v>
      </c>
    </row>
    <row r="9866">
      <c r="A9866" s="1">
        <v>5.0</v>
      </c>
      <c r="B9866" s="1" t="s">
        <v>9717</v>
      </c>
      <c r="C9866" t="str">
        <f>IFERROR(__xludf.DUMMYFUNCTION("GOOGLETRANSLATE(B9866, ""fr"", ""en"")"),"Purchase satisfactory value very reasonable price &lt;div id = ""video-block-RXK8MJPXMXTY"" class = ""a-section-spacing-small in-spacing-top mini video-block""&gt; &lt;div tabindex = ""0"" class = ""airy airy-svg vmin-supported airy-skin-beacon"" style = ""backgro"&amp;"und-color: rgb (0, 0, 0); position: relative; width: 100%; height: 100%; font-size: 0px ; overflow: hidden; outline: none; ""&gt; &lt;div class ="" airy-renderer-container ""style ="" position: relative; height: 100%; width: 100%; ""&gt; &lt;video id ="" 77 ""preload"&amp;" = ""auto"" src = ""https://images-eu.ssl-images-amazon.com/images/I/B1Zex2fzy3S.mp4"" style = ""position: absolute; left: 0px; top: 0px; overflow: hidden; height : 1px; width: 1px; ""&gt; &lt;/ video&gt; &lt;/ div&gt; &lt;div id ="" airy-slate-preload ""style ="" backgrou"&amp;"nd-color: rgb (0, 0, 0); background-image: url ( &amp; quot; https: //images-eu.ssl-images-amazon.com/images/I/81C88xBfrIS.png&amp;quot;); background-size: contain; background-position: center center; background-repeat: no-repeat; position : absolute; top: 0px; l"&amp;"eft: 0px; visibility: visible; width: 100 %; height: 100% ""&gt; &lt;/ div&gt; &lt;iframe scrolling ="" no ""frameborder ="" 0 ""src ="" about: blank ""style ="" display: none; ""&gt; &lt;/ iframe&gt; &lt;div tabindex ="" - 1 ""class ="" airy-controls-container ""style ="" opaci"&amp;"ty: 0; visibility: hidden; ""&gt; &lt;div tabindex ="" - 1 ""class ="" airy-screen-size-toggle airy-fullscreen ""&gt; &lt;/ div&gt; &lt;div tabindex ="" - 1 ""class ="" airy-container-bottom "" &gt; &lt;div tabindex = ""- 1"" class = ""airy-track-bar spacer-left"" style = ""widt"&amp;"h: 11px;""&gt; &lt;/ div&gt; &lt;div tabindex = ""- 1"" class = ""airy-play- toggle airy-play ""style ="" width: 12px; margin-right: 12px; ""&gt; &lt;/ div&gt; &lt;div tabindex ="" - 1 ""class ="" airy-audio-elements ""style ="" float: right; width: 34px; ""&gt; &lt;div tabindex ="" -"&amp;" 1 ""class ="" airy-audio-toggle airy-on ""&gt; &lt;/ div&gt; &lt;div tabindex ="" - 1 ""class ="" airy-audio-container ""style = ""opacity: 0; visibility: hidden; ""&gt; &lt;div tabindex ="" - 1 ""class ="" airy-audio-track-bar ""style ="" height: 80%; ""&gt; &lt;div tabindex ="&amp;""" - 1 ""class ="" airy-audio- scrubber bar ""style ="" height: 85% ""&gt; &lt;/ div&gt; &lt;div tabindex ="" - 1 ""class ="" airy-audio-scrubber ""style ="" height: 12px; bottom: 85% ""&gt; &lt;/ div&gt; &lt;/ div&gt; &lt;/ div&gt; &lt;/ div&gt; &lt;div tabindex ="" - 1 ""class ="" airy-duration"&amp;"-label ""style ="" float: right; width: 26px; margin-right: 4px; text-align: center; ""&gt; 0:00 &lt;/ div&gt; &lt;div tabindex ="" - 1 ""class ="" airy-track-bar spacer-right ""style ="" float: right; width: 11px; ""&gt; &lt;/ div&gt; &lt;div tabindex ="" - 1 ""class ="" airy-t"&amp;"rack-bar-container ""style ="" margin-left: 35px; margin-right: 75px; ""&gt; &lt;div tabindex ="" - 1 ""class ="" airy-airy-track-bar vertical-centering-table ""&gt; &lt;div tabindex ="" - 1 ""class ="" airy-vertical-centering- table-cell ""&gt; &lt;div tabindex ="" - 1 """&amp;"class ="" airy-track-bar elements ""&gt; &lt;div tabindex ="" - 1 ""class ="" airy-progress bar ""&gt; &lt;/ div&gt; &lt;div tabindex = ""- 1"" class = ""airy-scrubber bar""&gt; &lt;/ div&gt; &lt;div tabindex = ""- 1"" class = ""airy-scrubber""&gt; &lt;div tabindex = ""- 1"" class = ""airy-"&amp;"scrubber- icon ""&gt; &lt;/ div&gt; &lt;div tabindex ="" - 1 ""class ="" airy-adjusted-aui-tooltip ""style ="" opacity: 0; visibility: hidden; ""&gt; &lt;div tabindex ="" - 1 ""class ="" airy-adjusted-aui-tooltip-inner ""&gt; &lt;div tabindex ="" - 1 ""class ="" airy-current-tim"&amp;"e-label ""&gt; 0 00 &lt;/ div&gt; &lt;/ div&gt; &lt;div tabindex = ""- 1"" class = ""airy-adjusted-aui-arrow-border""&gt; &lt;div tabindex = ""- 1"" class = ""airy-adjusted-aui-arrow"" &gt; &lt;/ div&gt; &lt;/ div&gt; &lt;/ div&gt; &lt;/ div&gt; &lt;/ div&gt; &lt;/ div&gt; &lt;/ div&gt; &lt;/ div&gt; &lt;/ div&gt; &lt;/ div&gt; &lt;div tabinde"&amp;"x = ""- 1"" class = ""airy-airy-age-gate course airy-vertical-centering table-airy-dialog"" style = ""opacity: 0; visibility: hidden; ""&gt; &lt;div tabindex ="" - 1 ""class ="" airy-age-gate-vertical-centering-table-cell airy-vertical-centering-table-cell ""&gt; "&amp;"&lt;div tabindex ="" - 1 ""class = ""airy-vertical-centering-wrapper airy-age-gate-elements-wrapper""&gt; &lt;div tabindex = ""- 1"" class = ""airy-age-gate-elements airy-dialog-elements""&gt; &lt;div tabindex = "" -1 ""class ="" airy-age-gate-prompt ""&gt; This video is n"&amp;"ot Intended for all audiences What time were you born &lt;/ div&gt; &lt;div tabindex =.?"" - 1 ""class ="" airy-age-gate -inputs airy-dialog-inner-elements ""&gt; &lt;select tabindex ="" - 1 ""class ="" airy-age-gate-month ""&gt; &lt;option value ="" 1 ""&gt; January &lt;/ option&gt; "&amp;"&lt;option value ="" 2 ""&gt; February &lt;/ option&gt; &lt;option value ="" 3 ""&gt; March &lt;/ option&gt; &lt;option value ="" 4 ""&gt; April &lt;/ option&gt; &lt;option value ="" 5 ""&gt; May &lt;/ option&gt; &lt;option value = ""6""&gt; June &lt;/ option&gt; &lt;option value = ""7""&gt; July &lt;/ option&gt; &lt;option valu"&amp;"e = ""8""&gt; August &lt;/ option&gt; &lt;option value = ""9""&gt; September &lt;/ option&gt; &lt;option value = ""10""&gt; October &lt;/ option&gt; &lt;option value = ""11""&gt; November &lt;/ option&gt; &lt;option value = ""12""&gt; December &lt;/ option&gt; &lt;/ select&gt; &lt;select tabindex = ""- 1"" class = ""air"&amp;"y-age-gate-day""&gt; &lt;opti = One value ""1""&gt; 1 &lt;/ option&gt; &lt;option value = ""2""&gt; 2 &lt;/ option&gt; &lt;option value = ""3""&gt; 3 &lt;/ option&gt; &lt;option value = ""4""&gt; 4 &lt;/ option &gt; &lt;option value = ""5""&gt; 5 &lt;/ option&gt; &lt;option value = ""6""&gt; 6 &lt;/ option&gt; &lt;option value = """&amp;"7""&gt; 7 &lt;/ option&gt; &lt;option value = ""8""&gt; 8 &lt; / option&gt; &lt;option value = ""9""&gt; 9 &lt;/ option&gt; &lt;option value = ""10""&gt; 10 &lt;/ option&gt; &lt;option value = ""11""&gt; 11 &lt;/ option&gt; &lt;option value = ""12""&gt; 12 &lt;/ option&gt; &lt;option value = ""13""&gt; 13 &lt;/ option&gt; &lt;option valu"&amp;"e = ""14""&gt; 14 &lt;/ option&gt; &lt;option value = ""15""&gt; 15 &lt;/ option&gt; &lt;option value = ""16 ""&gt; 16 &lt;/ option&gt; &lt;option value ="" 17 ""&gt; 17 &lt;/ option&gt; &lt;option value ="" 18 ""&gt; 18 &lt;/ option&gt; &lt;option value ="" 19 ""&gt; 19 &lt;/ option&gt; &lt;option value = ""20""&gt; 20 &lt;/ optio"&amp;"n&gt; &lt;option value = ""21""&gt; 21 &lt;/ option&gt; &lt;option value = ""22""&gt; 22 &lt;/ option&gt; &lt;option value = ""23""&gt; 23 &lt;/ option&gt; &lt;option value = ""24""&gt; 24 &lt;/ option&gt; &lt;option value = ""25""&gt; 25 &lt;/ option&gt; &lt;option value = ""26""&gt; 26 &lt;/ option&gt; &lt;option value = ""27""&gt; "&amp;"27 &lt;/ option&gt; &lt;option value = ""28""&gt; 28 &lt;/ option&gt; &lt;option value = ""29""&gt; 29 &lt;/ option&gt; &lt;option value = ""30""&gt; 30 &lt;/ option&gt; &lt;option value = ""31""&gt; 31 &lt;/ option&gt; &lt;/ select&gt; &lt;select tabindex = ""- 1"" class = ""airy-age-gate-year""&gt; &lt;option value = ""2"&amp;"019""&gt; 2019 &lt;/ option&gt; &lt; option value = ""2018""&gt; 2018 &lt;/ option&gt; &lt;option value = ""2017""&gt; 2017 &lt;/ option&gt; &lt;option value = ""2016""&gt; ​​2016 &lt;/ option&gt; &lt;option value = ""2015""&gt; 2015 &lt;/ option &gt; &lt;option value = ""2014""&gt; 2014 &lt;/ option&gt; &lt;option value = """&amp;"2013""&gt; 2013 &lt;/ option&gt; &lt;option value = ""2012""&gt; 2012 &lt;/ option&gt; &lt;option value = ""2011""&gt; 2011 &lt; / option&gt; &lt;option value = ""2010""&gt; 2010 &lt;/ option&gt; &lt;option value = ""2009""&gt; 2009 &lt;/ option&gt; &lt;option value = ""2008""&gt; 2008 &lt;/ option&gt; &lt;option value = ""20"&amp;"07""&gt; 2007 &lt;/ option&gt; &lt;option value = ""2006""&gt; 2006 &lt;/ option&gt; &lt;option value = ""2005""&gt; 2005 &lt;/ option&gt; &lt;option value = ""2004""&gt; 2004 &lt;/ option&gt; &lt;option value = ""2003 ""&gt; 2003 &lt;/ option&gt; &lt;option value ="" 2002 ""&gt; 2002 &lt;/ option&gt; &lt;option value ="" 200"&amp;"1 ""&gt;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"&amp;"""&gt; 1989 &lt;/ option&gt; &lt;option value ="" 1988 ""&gt; 1988 &lt;/ option&gt; &lt;option value ="" 1987 ""&gt; 1987 &lt;/ option&gt; &lt;option value ="" 1986 ""&gt; 1986 &lt;/ option&gt; &lt;option value = ""1985""&gt; 1985 &lt;/ option&gt; &lt;option value = ""1984""&gt; 1984 &lt;/ option&gt; &lt;option value = ""1983"&amp;"""&gt; 1983 &lt;/ option&gt; &lt;option value = ""1982""&gt; 1982 &lt;/ option&gt; &lt; option value = ""1981""&gt; 1981 &lt;/ option&gt; &lt;option value = ""1980""&gt; 1980 &lt;/ option&gt; &lt;option value = ""1979""&gt; 1979 &lt;/ option&gt; &lt;option value = ""1978""&gt; 1978 &lt;/ option &gt; &lt;option value = ""1977"&amp;"""&gt; 1977 &lt;/ option&gt; &lt;option value = ""1976""&gt; 1976 &lt;/ option&gt; &lt;option value = ""1975""&gt; 1975 &lt;/ option&gt; &lt;option value = ""1974""&gt; 1974 &lt; / option&gt; &lt;option value = ""1973""&gt; 1973 &lt;/ option&gt; &lt;option value = ""1972""&gt; 1972 &lt;/ option&gt; &lt;option value = ""1971"""&amp;"&gt; 1971 &lt;/ option&gt; &lt;option value = ""1970""&gt; 1970 &lt;/ option&gt; &lt;option value = ""1969""&gt; 1969 &lt;/ option&gt; &lt;option value = ""1968""&gt; 1968 &lt;/ option&gt; &lt;option value = ""1967""&gt; 1967 &lt;/ option&gt; &lt;option value = ""1966 ""&gt; 1966 &lt;/ option&gt; &lt;option value ="" 1965 ""&gt;"&amp;" 1965 &lt;/ option&gt; &lt;option value ="" 1964 ""&gt; 1964 &lt;/ option&gt; &lt;option value ="" 1963 ""&gt; 1963 &lt;/ option&gt; &lt;option value = ""1962""&gt; 1962 &lt;/ option&gt; &lt;option value = ""1961""&gt; 1961 &lt;/ option&gt; &lt;option value = ""1960""&gt; 1960 &lt;/ op tion&gt; &lt;option value = ""1959""&gt;"&amp;" 1959 &lt;/ option&gt; &lt;option value = ""1958""&gt; 1958 &lt;/ option&gt; &lt;option value = ""1957""&gt; 1957 &lt;/ option&gt; &lt;option value = ""1956""&gt; 1956 &lt;/ option&gt; &lt;option value = ""1955""&gt; 1955 &lt;/ option&gt; &lt;option value = ""1954""&gt; 1954 &lt;/ option&gt; &lt;option value = ""1953""&gt; 19"&amp;"53 &lt;/ option&gt; &lt;option value = ""1952"" &gt; 1952 &lt;/ option&gt; &lt;option value = ""1951""&gt; 1951 &lt;/ option&gt; &lt;option value = ""1950""&gt; 1950 &lt;/ option&gt; &lt;option value = ""1949""&gt; 1949 &lt;/ option&gt; &lt;option value = "" 1948 ""&gt; 1948 &lt;/ option&gt; &lt;option value ="" 1947 ""&gt; 1"&amp;"947 &lt;/ option&gt; &lt;option value ="" 1946 ""&gt; 1946 &lt;/ option&gt; &lt;option value ="" 1945 ""&gt; 1945 &lt;/ option&gt; &lt;option value = ""1944""&gt; 1944 &lt;/ option&gt; &lt;option value = ""1943""&gt; 1943 &lt;/ option&gt; &lt;option value = ""1942""&gt; 1942 &lt;/ option&gt; &lt;option value = ""1941""&gt; 19"&amp;"41 &lt;/ option&gt; &lt; option value = ""1940""&gt; 1940 &lt;/ option&gt; &lt;option value = ""1939""&gt; 1939 &lt;/ option&gt; &lt;option value = ""1938""&gt; 1938 &lt;/ option&gt; &lt;option value = ""1937""&gt; 1937 &lt;/ option &gt; &lt;option value = ""1936""&gt; 1936 &lt;/ option&gt; &lt;option value = ""1935""&gt; 193"&amp;"5 &lt;/ option&gt; &lt;option value = ""1934""&gt; 1934 &lt;/ option&gt; &lt;option value = ""1933""&gt; 1933 &lt; / option&gt; &lt;option value = ""1932""&gt; 1932 &lt;/ option&gt; &lt;option value = ""1931""&gt; 1931 &lt;/ option&gt; &lt;option v alue = ""1930""&gt; 1930 &lt;/ option&gt; &lt;option value = ""1929""&gt; 1929"&amp;" &lt;/ option&gt; &lt;option value = ""1928""&gt; 1928 &lt;/ option&gt; &lt;option value = ""1927""&gt; 1927 &lt;/ option&gt; &lt;option value = ""1926""&gt; 1926 &lt;/ option&gt; &lt;option value = ""1925""&gt; 1925 &lt;/ option&gt; &lt;option value = ""1924""&gt; 1924 &lt;/ option&gt; &lt;option value = ""1923""&gt; 1923 &lt;/"&amp;" option&gt; &lt;option value = ""1922""&gt; 1922 &lt;/ option&gt; &lt;option value = ""1921""&gt; 1921 &lt;/ option&gt; &lt;option value = ""1920""&gt; 1920 &lt;/ option&gt; &lt;option value = ""1919""&gt; 1919 &lt;/ option&gt; &lt;option value = ""1918""&gt; 1918 &lt;/ option&gt; &lt;option value = ""1917""&gt; 1917 &lt;/ op"&amp;"tion&gt; &lt;option value = ""1916""&gt; 1916 &lt;/ option&gt; &lt;option value = ""1915"" &gt; 1915 &lt;/ option&gt; &lt;option value = ""1914""&gt; 1914 &lt;/ option&gt; &lt;option value = ""1913""&gt; 1913 &lt;/ option&gt; &lt;option value = ""1912""&gt; 1912 &lt;/ option&gt; &lt;option value = "" 1911 ""&gt; 1911 &lt;/ op"&amp;"tion&gt; &lt;option value ="" 1910 ""&gt; 1910 &lt;/ option&gt; &lt;option value ="" 1909 ""&gt; 1909 &lt;/ option&gt; &lt;option value ="" 1908 ""&gt; 1908 &lt;/ option&gt; &lt;option value = ""1907""&gt; 1907 &lt;/ option&gt; &lt;option value = ""1906""&gt; 1906 &lt;/ option&gt; &lt;option value = ""1905""&gt; 1905 &lt;/ op"&amp;"tion&gt; &lt;option value = ""1904""&gt; 1904 &lt;/ option&gt; &lt; option value = ""1903""&gt; 1903 &lt;/ option&gt; &lt;option value = ""1902""&gt; 1902 &lt;/ option&gt; &lt;option value = ""1901""&gt; 19 01 &lt;/ option&gt; &lt;option value = ""1900""&gt; 1900 &lt;/ option&gt; &lt;/ select&gt; &lt;div tabindex = ""- 1"" cl"&amp;"ass = ""airy-age-gate-submit airy-submit-button airy airy-submit- disabled ""&gt; Submit &lt;/ div&gt; &lt;/ div&gt; &lt;/ div&gt; &lt;/ div&gt; &lt;/ div&gt; &lt;/ div&gt; &lt;div tabindex ="" - 1 ""class ="" airy-install-flash-dialog airy-course airy -Vertical-centering-table dialog airy-airy-d"&amp;"enied ""style ="" opacity: 0; visibility: hidden; ""&gt; &lt;div tabindex ="" - 1 ""class ="" airy-install-flash-vertical-centering-table-cell airy-vertical-centering-table-cell ""&gt; &lt;div tabindex ="" - 1 ""class = ""airy-vertical-centering-wrapper airy-install-"&amp;"flash-elements-wrapper""&gt; &lt;div tabindex = ""- 1"" class = ""airy-install-flash-elements airy-dialog-elements""&gt; &lt;div tabindex = "" -1 ""class ="" airy-install-flash-prompt ""&gt; Adobe Flash Player is required to watch this video &lt;/ div&gt; &lt;div = tabindex."" -"&amp;" 1 ""class ="" airy-install-flash-button-wrapper airy -dialog-inner-elements ""&gt; &lt;div tabindex ="" - 1 ""class ="" airy-install-flash-button airy-button ""&gt; install Flash Player &lt;/ div&gt; &lt;/ div&gt; &lt;/ div&gt; &lt;/ div&gt; &lt;/ div&gt; &lt;/ div&gt; &lt;div tabindex = ""- 1"" class"&amp;" = ""airy-video-unsupported-dialog airy-course airy-vertical-centering table-airy-dialog airy-denied"" style = ""opacity: 0; visibility: hidden; ""&gt; &lt;div tabindex ="" - 1 ""class ="" airy-video-unsupported-vertical-centering-table-cell airy-vertical-cente"&amp;"ring-table-cell ""&gt; &lt;div tabindex ="" - 1 ""class = ""airy-vertical-centering-wrapper airy-video-unsupported-elements-wrapper""&gt; &lt;div tabindex = ""- 1"" class = ""airy-video-unsupported-elements airy-dialog-elements""&gt; &lt;div tabindex = "" -1 ""class ="" ai"&amp;"ry-video-unsupported-prompt ""&gt; &lt;/ div&gt; &lt;/ div&gt; &lt;/ div&gt; &lt;/ div&gt; &lt;/ div&gt; &lt;div tabindex ="" - 1 ""class ="" airy-loading- spinner-stage airy-stage ""&gt; &lt;div tabindex ="" - 1 ""class ="" airy-loading-spinner-vertical-centering-table-cell airy-vertical-centeri"&amp;"ng-table-cell ""&gt; &lt;div tabindex ="" - 1 ""class ="" airy-loading-spinner container airy-scalable-hint-container ""&gt; &lt;div tabindex ="" - 1 ""class ="" airy-loading-spinner-dummy airy-scalable-dummy ""&gt; &lt;/ div&gt; &lt; div tabindex = ""- 1"" class = ""airy-loadin"&amp;"g-spinner airy-hint"" style = ""visibility: hidden;""&gt; &lt;/ div&gt; &lt;/ div&gt; &lt;/ div&gt; &lt;/ div&gt; &lt;div tabindex = ""- 1 ""class ="" airy-ads-screen-size-toggle airy-screen-size-toggle airy-fullscreen ""style ="" visibility: hidden; ""&gt; &lt;/ div&gt; &lt;div tabindex = ""-1"""&amp;" class = ""airy-ad-prompt-container"" style = ""visibility: hidden;""&gt; &lt;div tabindex = ""- 1"" class = ""airy-ad-prompt-vertical-centering table-airy-vertical- centering-table ""&gt; &lt;div tabindex ="" - 1 ""class ="" airy-ad-prompt-vertical-centering-table-c"&amp;"ell airy-vertical-centering-table-cell ""&gt; &lt;div tabindex ="" - 1 ""class = ""airy-ad-prompt-label""&gt; &lt;/ div&gt; &lt;/ div&gt; &lt;/ div&gt; &lt;/ div&gt; &lt;div tabindex = ""- 1"" class = ""airy-ads-controls-container"" style = ""visibility: hidden; ""&gt; &lt;div tabindex ="" - 1 """&amp;"class ="" airy-ads-audio-toggle airy-audio-toggle airy-on ""style ="" visibility: hidden; ""&gt; &lt;/ div&gt; &lt;div tabindex ="" - 1 ""class ="" airy-time-remaining-label-container ""&gt; &lt;div tabindex ="" - 1 ""class ="" airy-time-remaining-vertical-centering table-"&amp;"airy-vertical-centering-table ""&gt; &lt;div tabindex = ""- 1"" class = ""airy-time-remaining-vertical-centering-table-cell airy-vertical-centering-table-cell""&gt; &lt;div tabindex = ""- 1"" class = ""airy-vertical-centering-wrapper airy-time-remaining-label-wrapper"&amp;" ""&gt; &lt;div tabindex ="" - 1 ""class ="" airy-time-remaining-label ""style ="" visibility: hidden; ""&gt; &lt;/ div&gt; &lt;div tabi ndex = ""- 1"" class = ""airy-ad-skip"" style = ""visibility: hidden;""&gt; &lt;/ div&gt; &lt;div tabindex = ""- 1"" class = ""airy-ad-end"" style ="&amp;" ""visibility: hidden; ""&gt; &lt;/ div&gt; &lt;/ div&gt; &lt;/ div&gt; &lt;/ div&gt; &lt;/ div&gt; &lt;div tabindex ="" - 1 ""class ="" airy-learn-more ""style ="" visibility: hidden; ""&gt; &lt;/ div&gt; &lt;/ div&gt; &lt;div tabindex = ""- 1"" class = ""airy-play-toggle-hint-stage airy-course airy-cursor"&amp;"""&gt; &lt;div tabindex = ""- 1"" class = ""airy-play -toggle-hint-vertical-centering-table-cell airy-vertical-centering-table-cell airy-cursor ""&gt; &lt;div tabindex ="" - 1 ""class ="" airy-play-toggle-hint-container airy-scalable- hint-container ""&gt; &lt;div tabindex"&amp;" ="" - 1 ""class ="" airy-play-toggle-hint-dummy airy-scalable-dummy ""&gt; &lt;/ div&gt; &lt;div tabindex ="" - 1 ""class ="" airy-play -toggle airy-hint-hint-hint airy-play ""style ="" opacity: 1; visibility: visible; ""&gt; &lt;/ div&gt; &lt;/ div&gt; &lt;/ div&gt; &lt;/ div&gt; &lt;div tabind"&amp;"ex ="" - 1 ""class ="" airy-replay-hint-stage airy-stage ""style ="" visibility: hidden ; ""&gt; &lt;div tabindex ="" - 1 ""class ="" airy-replay-hint-vertical-centering-table-cell airy-vertical-centering-table-cell airy-cursor ""&gt; &lt;div tabindex ="" - 1 ""class"&amp;" = ""airy-replay-hint-container airy-scalable-hint-container""&gt; &lt;div tabindex = ""- 1"" class = ""airy-replay-hint-dummy airy-scalable-dummy""&gt; &lt;/ div&gt; &lt;div tabindex = ""- 1"" class = ""airy-replay-hint airy-hint""&gt; &lt;/ div&gt; &lt;/ div&gt; &lt;/ div&gt; &lt;/ div&gt; &lt;div ta"&amp;"bindex = ""- 1"" class = ""airy-autoplay-hint -stage airy-stage ""style ="" visibility: hidden; ""&gt; &lt;div tabindex ="" - 1 ""class ="" airy-autoplay-hint-vertical-centering-table-cell airy-vertical-centering-table-cell airy- cursor ""&gt; &lt;div tabindex ="" - "&amp;"1 ""class ="" autoplay airy-airy-hint-container-scalable-hint-container ""&gt; &lt;div tabindex ="" - 1 ""class ="" airy-autoplay-hint-dummy airy- scalable-dummy ""&gt; &lt;/ div&gt; &lt;/ div&gt; &lt;/ div&gt; &lt;/ div&gt; &lt;/ div&gt; &lt;/ div&gt; &lt;input type ="" hidden ""name ="" ""value ="" h"&amp;"ttps: // pictures-eu .ssl-image amazon.com / images / I / B1Zex2fzy3S.mp4 ""Class ="" video-url ""&gt; &lt;input type ="" hidden ""name ="" ""value ="" https://images-eu.ssl-images-amazon.com/images/I/81C88xBfrIS.png ""class ="" video-slate-img-url ""&gt; &amp; nbsp; "&amp;"headphones arrived in time, Quality top, very comfortable, I'm very happy, they fit perfectly in my ears, I find the very good sound, so they are suitable with my iPhone, Comfortable to wear, beautiful design, wholesale BT headphones the finest to buy.")</f>
        <v>Purchase satisfactory value very reasonable price &lt;div id = "video-block-RXK8MJPXMXTY" class = "a-section-spacing-small in-spacing-top mini video-block"&gt; &lt;div tabindex = "0" class = "airy airy-svg vmin-supported airy-skin-beacon" style = "background-color: rgb (0, 0, 0); position: relative; width: 100%; height: 100%; font-size: 0px ; overflow: hidden; outline: none; "&gt; &lt;div class =" airy-renderer-container "style =" position: relative; height: 100%; width: 100%; "&gt; &lt;video id =" 77 "preload = "auto" src = "https://images-eu.ssl-images-amazon.com/images/I/B1Zex2fzy3S.mp4" style = "position: absolute; left: 0px; top: 0px; overflow: hidden; height : 1px; width: 1px; "&gt; &lt;/ video&gt; &lt;/ div&gt; &lt;div id =" airy-slate-preload "style =" background-color: rgb (0, 0, 0); background-image: url ( &amp; quot; https: //images-eu.ssl-images-amazon.com/images/I/81C88xBfrIS.png&amp;quot;); background-size: contain; background-position: center center; background-repeat: no-repeat; position : absolute; top: 0px; left: 0px; visibility: visible; width: 100 %; height: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B1Zex2fzy3S.mp4 "Class =" video-url "&gt; &lt;input type =" hidden "name =" "value =" https://images-eu.ssl-images-amazon.com/images/I/81C88xBfrIS.png "class =" video-slate-img-url "&gt; &amp; nbsp; headphones arrived in time, Quality top, very comfortable, I'm very happy, they fit perfectly in my ears, I find the very good sound, so they are suitable with my iPhone, Comfortable to wear, beautiful design, wholesale BT headphones the finest to buy.</v>
      </c>
    </row>
    <row r="9867">
      <c r="A9867" s="1">
        <v>5.0</v>
      </c>
      <c r="B9867" s="1" t="s">
        <v>9718</v>
      </c>
      <c r="C9867" t="str">
        <f>IFERROR(__xludf.DUMMYFUNCTION("GOOGLETRANSLATE(B9867, ""fr"", ""en"")"),"Size Would recommend suitable. Product arrived within the stated time")</f>
        <v>Size Would recommend suitable. Product arrived within the stated time</v>
      </c>
    </row>
    <row r="9868">
      <c r="A9868" s="1">
        <v>5.0</v>
      </c>
      <c r="B9868" s="1" t="s">
        <v>9719</v>
      </c>
      <c r="C9868" t="str">
        <f>IFERROR(__xludf.DUMMYFUNCTION("GOOGLETRANSLATE(B9868, ""fr"", ""en"")"),"perfect microphone for new broadcasters or videographers! A microphone at this price with such a clean sound I have rarely seen! Fits many people who embark on youtube oi twitch and even for others! I highly recommend !")</f>
        <v>perfect microphone for new broadcasters or videographers! A microphone at this price with such a clean sound I have rarely seen! Fits many people who embark on youtube oi twitch and even for others! I highly recommend !</v>
      </c>
    </row>
    <row r="9869">
      <c r="A9869" s="1">
        <v>5.0</v>
      </c>
      <c r="B9869" s="1" t="s">
        <v>9720</v>
      </c>
      <c r="C9869" t="str">
        <f>IFERROR(__xludf.DUMMYFUNCTION("GOOGLETRANSLATE(B9869, ""fr"", ""en"")"),"Nickel Super whitening")</f>
        <v>Nickel Super whitening</v>
      </c>
    </row>
    <row r="9870">
      <c r="A9870" s="1">
        <v>5.0</v>
      </c>
      <c r="B9870" s="1" t="s">
        <v>9721</v>
      </c>
      <c r="C9870" t="str">
        <f>IFERROR(__xludf.DUMMYFUNCTION("GOOGLETRANSLATE(B9870, ""fr"", ""en"")"),"When a find it was in hand we notice the quality of leather and stitching. I use it as a handbag because it is practical by its large storage pockets and one that is central and convenient to store A4 documents. Little detail this bag is difficult to rule"&amp;" over as the loop of the strap does not pass the part of leather and rubber that prevents the leather ""shearing"" the shoulder. But all depends on your ""gabari"" I happen to hip (1m60) and that is enough to properly open the bag.")</f>
        <v>When a find it was in hand we notice the quality of leather and stitching. I use it as a handbag because it is practical by its large storage pockets and one that is central and convenient to store A4 documents. Little detail this bag is difficult to rule over as the loop of the strap does not pass the part of leather and rubber that prevents the leather "shearing" the shoulder. But all depends on your "gabari" I happen to hip (1m60) and that is enough to properly open the bag.</v>
      </c>
    </row>
    <row r="9871">
      <c r="A9871" s="1">
        <v>5.0</v>
      </c>
      <c r="B9871" s="1" t="s">
        <v>9722</v>
      </c>
      <c r="C9871" t="str">
        <f>IFERROR(__xludf.DUMMYFUNCTION("GOOGLETRANSLATE(B9871, ""fr"", ""en"")"),"good quality is very good for the price and the product complies with pictures. I am satisfied and I recommend.")</f>
        <v>good quality is very good for the price and the product complies with pictures. I am satisfied and I recommend.</v>
      </c>
    </row>
    <row r="9872">
      <c r="A9872" s="1">
        <v>5.0</v>
      </c>
      <c r="B9872" s="1" t="s">
        <v>9723</v>
      </c>
      <c r="C9872" t="str">
        <f>IFERROR(__xludf.DUMMYFUNCTION("GOOGLETRANSLATE(B9872, ""fr"", ""en"")"),"Nice dress Very nice to put everyday or for celebrations, cloth very nice and very fluid, very well to body size")</f>
        <v>Nice dress Very nice to put everyday or for celebrations, cloth very nice and very fluid, very well to body size</v>
      </c>
    </row>
    <row r="9873">
      <c r="A9873" s="1">
        <v>5.0</v>
      </c>
      <c r="B9873" s="1" t="s">
        <v>9724</v>
      </c>
      <c r="C9873" t="str">
        <f>IFERROR(__xludf.DUMMYFUNCTION("GOOGLETRANSLATE(B9873, ""fr"", ""en"")"),"Nothing It's a beautiful sweater")</f>
        <v>Nothing It's a beautiful sweater</v>
      </c>
    </row>
    <row r="9874">
      <c r="A9874" s="1">
        <v>5.0</v>
      </c>
      <c r="B9874" s="1" t="s">
        <v>9725</v>
      </c>
      <c r="C9874" t="str">
        <f>IFERROR(__xludf.DUMMYFUNCTION("GOOGLETRANSLATE(B9874, ""fr"", ""en"")"),"Although I bought this watch because I was tired of the vagueness of a classic digital watch and having to change the time every six months.")</f>
        <v>Although I bought this watch because I was tired of the vagueness of a classic digital watch and having to change the time every six months.</v>
      </c>
    </row>
    <row r="9875">
      <c r="A9875" s="1">
        <v>5.0</v>
      </c>
      <c r="B9875" s="1" t="s">
        <v>9726</v>
      </c>
      <c r="C9875" t="str">
        <f>IFERROR(__xludf.DUMMYFUNCTION("GOOGLETRANSLATE(B9875, ""fr"", ""en"")"),"Super Toaster I chose this toaster for its retro look and I am very happy, it is practical does not take much space and grill that sits on top of the toaster to warm croissants is fine thinking with even a depression for over a growing really handy. And o"&amp;"f course it toasts very well bread!")</f>
        <v>Super Toaster I chose this toaster for its retro look and I am very happy, it is practical does not take much space and grill that sits on top of the toaster to warm croissants is fine thinking with even a depression for over a growing really handy. And of course it toasts very well bread!</v>
      </c>
    </row>
    <row r="9876">
      <c r="A9876" s="1">
        <v>5.0</v>
      </c>
      <c r="B9876" s="1" t="s">
        <v>9727</v>
      </c>
      <c r="C9876" t="str">
        <f>IFERROR(__xludf.DUMMYFUNCTION("GOOGLETRANSLATE(B9876, ""fr"", ""en"")"),"Meets Expectations met my expectations.")</f>
        <v>Meets Expectations met my expectations.</v>
      </c>
    </row>
    <row r="9877">
      <c r="A9877" s="1">
        <v>5.0</v>
      </c>
      <c r="B9877" s="1" t="s">
        <v>9728</v>
      </c>
      <c r="C9877" t="str">
        <f>IFERROR(__xludf.DUMMYFUNCTION("GOOGLETRANSLATE(B9877, ""fr"", ""en"")"),"On top Avoids make holes wall is impeccable")</f>
        <v>On top Avoids make holes wall is impeccable</v>
      </c>
    </row>
    <row r="9878">
      <c r="A9878" s="1">
        <v>5.0</v>
      </c>
      <c r="B9878" s="1" t="s">
        <v>9729</v>
      </c>
      <c r="C9878" t="str">
        <f>IFERROR(__xludf.DUMMYFUNCTION("GOOGLETRANSLATE(B9878, ""fr"", ""en"")"),"Great ! Socket for my companion, he is going very well and like very warm perfect for cocooning at home especially if like us you have tiles")</f>
        <v>Great ! Socket for my companion, he is going very well and like very warm perfect for cocooning at home especially if like us you have tiles</v>
      </c>
    </row>
    <row r="9879">
      <c r="A9879" s="1">
        <v>5.0</v>
      </c>
      <c r="B9879" s="1" t="s">
        <v>9730</v>
      </c>
      <c r="C9879" t="str">
        <f>IFERROR(__xludf.DUMMYFUNCTION("GOOGLETRANSLATE(B9879, ""fr"", ""en"")"),"Perfect! I wanted a bottle warmer that does not cost too much and that can be used both at home and output. This one is simple but effective and not need electricity if it is provided to the water in the thermos in advance. It does not take up too much ro"&amp;"om in a bag. Small problem: the water does not stay hot through the night for example.")</f>
        <v>Perfect! I wanted a bottle warmer that does not cost too much and that can be used both at home and output. This one is simple but effective and not need electricity if it is provided to the water in the thermos in advance. It does not take up too much room in a bag. Small problem: the water does not stay hot through the night for example.</v>
      </c>
    </row>
    <row r="9880">
      <c r="A9880" s="1">
        <v>5.0</v>
      </c>
      <c r="B9880" s="1" t="s">
        <v>9731</v>
      </c>
      <c r="C9880" t="str">
        <f>IFERROR(__xludf.DUMMYFUNCTION("GOOGLETRANSLATE(B9880, ""fr"", ""en"")"),"Perfect white Converse basic easier to wear than rising, maintains super easy, carefree pass machine with stain remover before washing.")</f>
        <v>Perfect white Converse basic easier to wear than rising, maintains super easy, carefree pass machine with stain remover before washing.</v>
      </c>
    </row>
    <row r="9881">
      <c r="A9881" s="1">
        <v>2.0</v>
      </c>
      <c r="B9881" s="1" t="s">
        <v>9732</v>
      </c>
      <c r="C9881" t="str">
        <f>IFERROR(__xludf.DUMMYFUNCTION("GOOGLETRANSLATE(B9881, ""fr"", ""en"")"),"Financing increasingly necessary The package arrived on time. But I find it a pity that the belt has no hole. This is something to settle before offering funding and therefore more. There is no battery in the watch, so funding and more. Otherwise it is we"&amp;"ll packaged, the box is very pretty.")</f>
        <v>Financing increasingly necessary The package arrived on time. But I find it a pity that the belt has no hole. This is something to settle before offering funding and therefore more. There is no battery in the watch, so funding and more. Otherwise it is well packaged, the box is very pretty.</v>
      </c>
    </row>
    <row r="9882">
      <c r="A9882" s="1">
        <v>1.0</v>
      </c>
      <c r="B9882" s="1" t="s">
        <v>9733</v>
      </c>
      <c r="C9882" t="str">
        <f>IFERROR(__xludf.DUMMYFUNCTION("GOOGLETRANSLATE(B9882, ""fr"", ""en"")"),"Opportunity or very bad Hello, Received as if it was already used in the more ""film"" of protection is not yours, it's not very nice ... really disappointed! Instead, take a foam that is placed directly on the microphone!")</f>
        <v>Opportunity or very bad Hello, Received as if it was already used in the more "film" of protection is not yours, it's not very nice ... really disappointed! Instead, take a foam that is placed directly on the microphone!</v>
      </c>
    </row>
    <row r="9883">
      <c r="A9883" s="1">
        <v>1.0</v>
      </c>
      <c r="B9883" s="1" t="s">
        <v>9734</v>
      </c>
      <c r="C9883" t="str">
        <f>IFERROR(__xludf.DUMMYFUNCTION("GOOGLETRANSLATE(B9883, ""fr"", ""en"")"),"Waterproofing that first job and last time I used this product I strongly advise for the simple reason that it is highly visible stains on light suede (beige in my case).")</f>
        <v>Waterproofing that first job and last time I used this product I strongly advise for the simple reason that it is highly visible stains on light suede (beige in my case).</v>
      </c>
    </row>
    <row r="9884">
      <c r="A9884" s="1">
        <v>3.0</v>
      </c>
      <c r="B9884" s="1" t="s">
        <v>9735</v>
      </c>
      <c r="C9884" t="str">
        <f>IFERROR(__xludf.DUMMYFUNCTION("GOOGLETRANSLATE(B9884, ""fr"", ""en"")"),"To avoid hurt me on the back foot at the heel. Too hard for shoes that have custody at least 8 feet")</f>
        <v>To avoid hurt me on the back foot at the heel. Too hard for shoes that have custody at least 8 feet</v>
      </c>
    </row>
    <row r="9885">
      <c r="A9885" s="1">
        <v>4.0</v>
      </c>
      <c r="B9885" s="1" t="s">
        <v>9736</v>
      </c>
      <c r="C9885" t="str">
        <f>IFERROR(__xludf.DUMMYFUNCTION("GOOGLETRANSLATE(B9885, ""fr"", ""en"")"),"Meets expected kettle Beautiful but warm walls")</f>
        <v>Meets expected kettle Beautiful but warm walls</v>
      </c>
    </row>
    <row r="9886">
      <c r="A9886" s="1">
        <v>4.0</v>
      </c>
      <c r="B9886" s="1" t="s">
        <v>9737</v>
      </c>
      <c r="C9886" t="str">
        <f>IFERROR(__xludf.DUMMYFUNCTION("GOOGLETRANSLATE(B9886, ""fr"", ""en"")"),"Well, A BIG FAILURE Watch works as it should, is worth its price malgrés fault CLOSE: The small rod of the clip is too short and goes to the other side of the buckle clasp, this repeatedly, preventing close properly")</f>
        <v>Well, A BIG FAILURE Watch works as it should, is worth its price malgrés fault CLOSE: The small rod of the clip is too short and goes to the other side of the buckle clasp, this repeatedly, preventing close properly</v>
      </c>
    </row>
    <row r="9887">
      <c r="A9887" s="1">
        <v>4.0</v>
      </c>
      <c r="B9887" s="1" t="s">
        <v>9738</v>
      </c>
      <c r="C9887" t="str">
        <f>IFERROR(__xludf.DUMMYFUNCTION("GOOGLETRANSLATE(B9887, ""fr"", ""en"")"),"That remains a ring my wife likes Beautiful")</f>
        <v>That remains a ring my wife likes Beautiful</v>
      </c>
    </row>
    <row r="9888">
      <c r="A9888" s="1">
        <v>4.0</v>
      </c>
      <c r="B9888" s="1" t="s">
        <v>9739</v>
      </c>
      <c r="C9888" t="str">
        <f>IFERROR(__xludf.DUMMYFUNCTION("GOOGLETRANSLATE(B9888, ""fr"", ""en"")"),"Although I took a half size too, based on the reviews. It was a mistake, becuase they are slightly too wide! little breathable shoes")</f>
        <v>Although I took a half size too, based on the reviews. It was a mistake, becuase they are slightly too wide! little breathable shoes</v>
      </c>
    </row>
    <row r="9889">
      <c r="A9889" s="1">
        <v>4.0</v>
      </c>
      <c r="B9889" s="1" t="s">
        <v>9740</v>
      </c>
      <c r="C9889" t="str">
        <f>IFERROR(__xludf.DUMMYFUNCTION("GOOGLETRANSLATE(B9889, ""fr"", ""en"")"),"Quality perfect, but ... You can not criticize a Bose product. The sound quality, holding the ear as well as the lifetime of the battery are just perfect. The only negative is that they are a little uncomfortable to wear from today ... which justifies the"&amp;" missing star. In general I am happy with my purchase despite the price a bit ridiculous for headphones 😅")</f>
        <v>Quality perfect, but ... You can not criticize a Bose product. The sound quality, holding the ear as well as the lifetime of the battery are just perfect. The only negative is that they are a little uncomfortable to wear from today ... which justifies the missing star. In general I am happy with my purchase despite the price a bit ridiculous for headphones 😅</v>
      </c>
    </row>
    <row r="9890">
      <c r="A9890" s="1">
        <v>5.0</v>
      </c>
      <c r="B9890" s="1" t="s">
        <v>9741</v>
      </c>
      <c r="C9890" t="str">
        <f>IFERROR(__xludf.DUMMYFUNCTION("GOOGLETRANSLATE(B9890, ""fr"", ""en"")"),"Recommend Very practical and pretty")</f>
        <v>Recommend Very practical and pretty</v>
      </c>
    </row>
    <row r="9891">
      <c r="A9891" s="1">
        <v>5.0</v>
      </c>
      <c r="B9891" s="1" t="s">
        <v>9742</v>
      </c>
      <c r="C9891" t="str">
        <f>IFERROR(__xludf.DUMMYFUNCTION("GOOGLETRANSLATE(B9891, ""fr"", ""en"")"),"quality cotton socks. These socks are soft and the strong air. The top does not fall.")</f>
        <v>quality cotton socks. These socks are soft and the strong air. The top does not fall.</v>
      </c>
    </row>
    <row r="9892">
      <c r="A9892" s="1">
        <v>5.0</v>
      </c>
      <c r="B9892" s="1" t="s">
        <v>9743</v>
      </c>
      <c r="C9892" t="str">
        <f>IFERROR(__xludf.DUMMYFUNCTION("GOOGLETRANSLATE(B9892, ""fr"", ""en"")"),"nothing to say very satisfied with these titin. Delivery was fast")</f>
        <v>nothing to say very satisfied with these titin. Delivery was fast</v>
      </c>
    </row>
    <row r="9893">
      <c r="A9893" s="1">
        <v>5.0</v>
      </c>
      <c r="B9893" s="1" t="s">
        <v>9744</v>
      </c>
      <c r="C9893" t="str">
        <f>IFERROR(__xludf.DUMMYFUNCTION("GOOGLETRANSLATE(B9893, ""fr"", ""en"")"),"The sound of the bell Pregnancy")</f>
        <v>The sound of the bell Pregnancy</v>
      </c>
    </row>
    <row r="9894">
      <c r="A9894" s="1">
        <v>5.0</v>
      </c>
      <c r="B9894" s="1" t="s">
        <v>9745</v>
      </c>
      <c r="C9894" t="str">
        <f>IFERROR(__xludf.DUMMYFUNCTION("GOOGLETRANSLATE(B9894, ""fr"", ""en"")"),"Just gorgeous It is now 1 year that I have these nice shoes and I'm really happy. These are the real superga and the quality is excellent. I've washed 3 times since and are still intact! They are very comfortable and are worn with everything. I put them w"&amp;"ith dresses, skirts and jeans. The timeless shoes! This is a purchase that proves to me once you can trust Amazon!")</f>
        <v>Just gorgeous It is now 1 year that I have these nice shoes and I'm really happy. These are the real superga and the quality is excellent. I've washed 3 times since and are still intact! They are very comfortable and are worn with everything. I put them with dresses, skirts and jeans. The timeless shoes! This is a purchase that proves to me once you can trust Amazon!</v>
      </c>
    </row>
    <row r="9895">
      <c r="A9895" s="1">
        <v>5.0</v>
      </c>
      <c r="B9895" s="1" t="s">
        <v>9746</v>
      </c>
      <c r="C9895" t="str">
        <f>IFERROR(__xludf.DUMMYFUNCTION("GOOGLETRANSLATE(B9895, ""fr"", ""en"")"),"Comfort with style Very satisfied with the product, comfortable and look good")</f>
        <v>Comfort with style Very satisfied with the product, comfortable and look good</v>
      </c>
    </row>
    <row r="9896">
      <c r="A9896" s="1">
        <v>5.0</v>
      </c>
      <c r="B9896" s="1" t="s">
        <v>9747</v>
      </c>
      <c r="C9896" t="str">
        <f>IFERROR(__xludf.DUMMYFUNCTION("GOOGLETRANSLATE(B9896, ""fr"", ""en"")"),"Recommended Brand distributor of high quality. Recommended")</f>
        <v>Recommended Brand distributor of high quality. Recommended</v>
      </c>
    </row>
    <row r="9897">
      <c r="A9897" s="1">
        <v>5.0</v>
      </c>
      <c r="B9897" s="1" t="s">
        <v>9748</v>
      </c>
      <c r="C9897" t="str">
        <f>IFERROR(__xludf.DUMMYFUNCTION("GOOGLETRANSLATE(B9897, ""fr"", ""en"")"),"Perfect Received 1 day late but perfect as the beautiful pictures")</f>
        <v>Perfect Received 1 day late but perfect as the beautiful pictures</v>
      </c>
    </row>
    <row r="9898">
      <c r="A9898" s="1">
        <v>5.0</v>
      </c>
      <c r="B9898" s="1" t="s">
        <v>9749</v>
      </c>
      <c r="C9898" t="str">
        <f>IFERROR(__xludf.DUMMYFUNCTION("GOOGLETRANSLATE(B9898, ""fr"", ""en"")"),"They do the job every day I work up and I stalled a lot so I need comfortable shoes.")</f>
        <v>They do the job every day I work up and I stalled a lot so I need comfortable shoes.</v>
      </c>
    </row>
    <row r="9899">
      <c r="A9899" s="1">
        <v>5.0</v>
      </c>
      <c r="B9899" s="1" t="s">
        <v>9750</v>
      </c>
      <c r="C9899" t="str">
        <f>IFERROR(__xludf.DUMMYFUNCTION("GOOGLETRANSLATE(B9899, ""fr"", ""en"")"),"nothing to say consistent with the description extra solid dependable good stuff")</f>
        <v>nothing to say consistent with the description extra solid dependable good stuff</v>
      </c>
    </row>
    <row r="9900">
      <c r="A9900" s="1">
        <v>5.0</v>
      </c>
      <c r="B9900" s="1" t="s">
        <v>9751</v>
      </c>
      <c r="C9900" t="str">
        <f>IFERROR(__xludf.DUMMYFUNCTION("GOOGLETRANSLATE(B9900, ""fr"", ""en"")"),"Genial Genial. Coupons cervical, lumbar ...")</f>
        <v>Genial Genial. Coupons cervical, lumbar ...</v>
      </c>
    </row>
    <row r="9901">
      <c r="A9901" s="1">
        <v>5.0</v>
      </c>
      <c r="B9901" s="1" t="s">
        <v>9752</v>
      </c>
      <c r="C9901" t="str">
        <f>IFERROR(__xludf.DUMMYFUNCTION("GOOGLETRANSLATE(B9901, ""fr"", ""en"")"),"Affordable, quality and timely printing for very good product family")</f>
        <v>Affordable, quality and timely printing for very good product family</v>
      </c>
    </row>
    <row r="9902">
      <c r="A9902" s="1">
        <v>5.0</v>
      </c>
      <c r="B9902" s="1" t="s">
        <v>9753</v>
      </c>
      <c r="C9902" t="str">
        <f>IFERROR(__xludf.DUMMYFUNCTION("GOOGLETRANSLATE(B9902, ""fr"", ""en"")"),"excellent Lacoste affordable Good product Lacoste, comfortable and very well cut perfect either at home or outside")</f>
        <v>excellent Lacoste affordable Good product Lacoste, comfortable and very well cut perfect either at home or outside</v>
      </c>
    </row>
    <row r="9903">
      <c r="A9903" s="1">
        <v>5.0</v>
      </c>
      <c r="B9903" s="1" t="s">
        <v>9754</v>
      </c>
      <c r="C9903" t="str">
        <f>IFERROR(__xludf.DUMMYFUNCTION("GOOGLETRANSLATE(B9903, ""fr"", ""en"")"),"Although official Perfect Pacifier")</f>
        <v>Although official Perfect Pacifier</v>
      </c>
    </row>
    <row r="9904">
      <c r="A9904" s="1">
        <v>5.0</v>
      </c>
      <c r="B9904" s="1" t="s">
        <v>9755</v>
      </c>
      <c r="C9904" t="str">
        <f>IFERROR(__xludf.DUMMYFUNCTION("GOOGLETRANSLATE(B9904, ""fr"", ""en"")"),"Top Exactly what I wanted")</f>
        <v>Top Exactly what I wanted</v>
      </c>
    </row>
    <row r="9905">
      <c r="A9905" s="1">
        <v>2.0</v>
      </c>
      <c r="B9905" s="1" t="s">
        <v>9756</v>
      </c>
      <c r="C9905" t="str">
        <f>IFERROR(__xludf.DUMMYFUNCTION("GOOGLETRANSLATE(B9905, ""fr"", ""en"")"),"No noise reduction Disappointed with my purchase, I returned it. Noise reduction corresponds to that of a passive hearing protection Peltor (by the effect of circumauriculaires beads) but less well, with or without activation of the ANC. To be more exact,"&amp;" by activating the ANC, some specific frequencies are removed and there is a difference when you put a range hood on, but regarding the human voice and ambient sounds, no difference with or without ANC .. Otherwise, the helmet is nice, the pairing is easy"&amp;" and headset reconnects it when you leave the reception area.")</f>
        <v>No noise reduction Disappointed with my purchase, I returned it. Noise reduction corresponds to that of a passive hearing protection Peltor (by the effect of circumauriculaires beads) but less well, with or without activation of the ANC. To be more exact, by activating the ANC, some specific frequencies are removed and there is a difference when you put a range hood on, but regarding the human voice and ambient sounds, no difference with or without ANC .. Otherwise, the helmet is nice, the pairing is easy and headset reconnects it when you leave the reception area.</v>
      </c>
    </row>
    <row r="9906">
      <c r="A9906" s="1">
        <v>1.0</v>
      </c>
      <c r="B9906" s="1" t="s">
        <v>9757</v>
      </c>
      <c r="C9906" t="str">
        <f>IFERROR(__xludf.DUMMYFUNCTION("GOOGLETRANSLATE(B9906, ""fr"", ""en"")"),"when will I be refunded? when I'd rembourserde this purchase, which do not have the corespondait article describes and i returned after three days without even using the zero star")</f>
        <v>when will I be refunded? when I'd rembourserde this purchase, which do not have the corespondait article describes and i returned after three days without even using the zero star</v>
      </c>
    </row>
    <row r="9907">
      <c r="A9907" s="1">
        <v>3.0</v>
      </c>
      <c r="B9907" s="1" t="s">
        <v>9758</v>
      </c>
      <c r="C9907" t="str">
        <f>IFERROR(__xludf.DUMMYFUNCTION("GOOGLETRANSLATE(B9907, ""fr"", ""en"")"),"good price but very easy to install, self-adhesive, well ..... but the problem is the price of the paper is its expensive millimeter so wait until the price drops and buy wholesale.")</f>
        <v>good price but very easy to install, self-adhesive, well ..... but the problem is the price of the paper is its expensive millimeter so wait until the price drops and buy wholesale.</v>
      </c>
    </row>
    <row r="9908">
      <c r="A9908" s="1">
        <v>3.0</v>
      </c>
      <c r="B9908" s="1" t="s">
        <v>9759</v>
      </c>
      <c r="C9908" t="str">
        <f>IFERROR(__xludf.DUMMYFUNCTION("GOOGLETRANSLATE(B9908, ""fr"", ""en"")"),"Efficient and cleans well. Perfect cleaning baby bottles. Le.sac yours soon is practical. The negative point small brush not yours well in the handle")</f>
        <v>Efficient and cleans well. Perfect cleaning baby bottles. Le.sac yours soon is practical. The negative point small brush not yours well in the handle</v>
      </c>
    </row>
    <row r="9909">
      <c r="A9909" s="1">
        <v>4.0</v>
      </c>
      <c r="B9909" s="1" t="s">
        <v>9760</v>
      </c>
      <c r="C9909" t="str">
        <f>IFERROR(__xludf.DUMMYFUNCTION("GOOGLETRANSLATE(B9909, ""fr"", ""en"")"),"Conforms What I needed but still expensive for possible printing meu")</f>
        <v>Conforms What I needed but still expensive for possible printing meu</v>
      </c>
    </row>
    <row r="9910">
      <c r="A9910" s="1">
        <v>4.0</v>
      </c>
      <c r="B9910" s="1" t="s">
        <v>9761</v>
      </c>
      <c r="C9910" t="str">
        <f>IFERROR(__xludf.DUMMYFUNCTION("GOOGLETRANSLATE(B9910, ""fr"", ""en"")"),"Material Not bad not great I think the size was appropriate rather well")</f>
        <v>Material Not bad not great I think the size was appropriate rather well</v>
      </c>
    </row>
    <row r="9911">
      <c r="A9911" s="1">
        <v>4.0</v>
      </c>
      <c r="B9911" s="1" t="s">
        <v>9762</v>
      </c>
      <c r="C9911" t="str">
        <f>IFERROR(__xludf.DUMMYFUNCTION("GOOGLETRANSLATE(B9911, ""fr"", ""en"")"),"I m very well use it to avoid the rats that he seems to grow back. I do not know if it works but I can not say exactly")</f>
        <v>I m very well use it to avoid the rats that he seems to grow back. I do not know if it works but I can not say exactly</v>
      </c>
    </row>
    <row r="9912">
      <c r="A9912" s="1">
        <v>4.0</v>
      </c>
      <c r="B9912" s="1" t="s">
        <v>9763</v>
      </c>
      <c r="C9912" t="str">
        <f>IFERROR(__xludf.DUMMYFUNCTION("GOOGLETRANSLATE(B9912, ""fr"", ""en"")"),"suitable price good original cartridge from HP nothing wrong of bone quality")</f>
        <v>suitable price good original cartridge from HP nothing wrong of bone quality</v>
      </c>
    </row>
    <row r="9913">
      <c r="A9913" s="1">
        <v>5.0</v>
      </c>
      <c r="B9913" s="1" t="s">
        <v>9764</v>
      </c>
      <c r="C9913" t="str">
        <f>IFERROR(__xludf.DUMMYFUNCTION("GOOGLETRANSLATE(B9913, ""fr"", ""en"")"),"Excellent Used to tendinitis in the shoulder and it's great my wife is delighted and would recommend")</f>
        <v>Excellent Used to tendinitis in the shoulder and it's great my wife is delighted and would recommend</v>
      </c>
    </row>
    <row r="9914">
      <c r="A9914" s="1">
        <v>5.0</v>
      </c>
      <c r="B9914" s="1" t="s">
        <v>9765</v>
      </c>
      <c r="C9914" t="str">
        <f>IFERROR(__xludf.DUMMYFUNCTION("GOOGLETRANSLATE(B9914, ""fr"", ""en"")"),"Perfect. Easy to use, this metering box to carry around thanks to its small size (fits easily into a diaper bag) 3 doses of milk (both bottles of 60cc for the 180cc and bottles) . Each party is ""screwed"" them and remains sealed. The stopper allows pour "&amp;"the powder properly and accurately. Cleans and sterilizes without problems.")</f>
        <v>Perfect. Easy to use, this metering box to carry around thanks to its small size (fits easily into a diaper bag) 3 doses of milk (both bottles of 60cc for the 180cc and bottles) . Each party is "screwed" them and remains sealed. The stopper allows pour the powder properly and accurately. Cleans and sterilizes without problems.</v>
      </c>
    </row>
    <row r="9915">
      <c r="A9915" s="1">
        <v>5.0</v>
      </c>
      <c r="B9915" s="1" t="s">
        <v>9766</v>
      </c>
      <c r="C9915" t="str">
        <f>IFERROR(__xludf.DUMMYFUNCTION("GOOGLETRANSLATE(B9915, ""fr"", ""en"")"),"Product very good Very good product at a great price because cheaper than smaller cartridges of ink so more impression I recommend")</f>
        <v>Product very good Very good product at a great price because cheaper than smaller cartridges of ink so more impression I recommend</v>
      </c>
    </row>
    <row r="9916">
      <c r="A9916" s="1">
        <v>5.0</v>
      </c>
      <c r="B9916" s="1" t="s">
        <v>9767</v>
      </c>
      <c r="C9916" t="str">
        <f>IFERROR(__xludf.DUMMYFUNCTION("GOOGLETRANSLATE(B9916, ""fr"", ""en"")"),"Okay, I'm very satisfied with my purchase. comfortable socks and appear to be of good quality. And they are doing without discomfort in shoes.")</f>
        <v>Okay, I'm very satisfied with my purchase. comfortable socks and appear to be of good quality. And they are doing without discomfort in shoes.</v>
      </c>
    </row>
    <row r="9917">
      <c r="A9917" s="1">
        <v>5.0</v>
      </c>
      <c r="B9917" s="1" t="s">
        <v>9768</v>
      </c>
      <c r="C9917" t="str">
        <f>IFERROR(__xludf.DUMMYFUNCTION("GOOGLETRANSLATE(B9917, ""fr"", ""en"")"),"Nickel life everyday")</f>
        <v>Nickel life everyday</v>
      </c>
    </row>
    <row r="9918">
      <c r="A9918" s="1">
        <v>5.0</v>
      </c>
      <c r="B9918" s="1" t="s">
        <v>9769</v>
      </c>
      <c r="C9918" t="str">
        <f>IFERROR(__xludf.DUMMYFUNCTION("GOOGLETRANSLATE(B9918, ""fr"", ""en"")"),"Although Superb headphones that works very well for their small price")</f>
        <v>Although Superb headphones that works very well for their small price</v>
      </c>
    </row>
    <row r="9919">
      <c r="A9919" s="1">
        <v>5.0</v>
      </c>
      <c r="B9919" s="1" t="s">
        <v>9770</v>
      </c>
      <c r="C9919" t="str">
        <f>IFERROR(__xludf.DUMMYFUNCTION("GOOGLETRANSLATE(B9919, ""fr"", ""en"")"),"Ideal for making baby formula with thickening Our son needs a thickener in its milk adjuvant. To avoid big milk packets and facilitate dissolution was complicated manual. Fortunately, the discovery of this special dipping blender bottle greatly facilitate"&amp;"d us life, and especially that of our son, waiting less time to eat! We also used to homogeneously mix salad dressings sparingly, and also comes with a frother milk, perfect for home lattes!")</f>
        <v>Ideal for making baby formula with thickening Our son needs a thickener in its milk adjuvant. To avoid big milk packets and facilitate dissolution was complicated manual. Fortunately, the discovery of this special dipping blender bottle greatly facilitated us life, and especially that of our son, waiting less time to eat! We also used to homogeneously mix salad dressings sparingly, and also comes with a frother milk, perfect for home lattes!</v>
      </c>
    </row>
    <row r="9920">
      <c r="A9920" s="1">
        <v>5.0</v>
      </c>
      <c r="B9920" s="1" t="s">
        <v>9771</v>
      </c>
      <c r="C9920" t="str">
        <f>IFERROR(__xludf.DUMMYFUNCTION("GOOGLETRANSLATE(B9920, ""fr"", ""en"")"),"Diffuser awesome ... very nice design with color choices bcp, a possibility to adjust the time and at 2 different mode for steam .. it's perfect. In addition, its switching on it rapidly diffuses the scent of essential oils. I recommend this article.")</f>
        <v>Diffuser awesome ... very nice design with color choices bcp, a possibility to adjust the time and at 2 different mode for steam .. it's perfect. In addition, its switching on it rapidly diffuses the scent of essential oils. I recommend this article.</v>
      </c>
    </row>
    <row r="9921">
      <c r="A9921" s="1">
        <v>5.0</v>
      </c>
      <c r="B9921" s="1" t="s">
        <v>9772</v>
      </c>
      <c r="C9921" t="str">
        <f>IFERROR(__xludf.DUMMYFUNCTION("GOOGLETRANSLATE(B9921, ""fr"", ""en"")"),"At the top on top! I had taken the same for my eldest son and I loved it in so I again for the second!")</f>
        <v>At the top on top! I had taken the same for my eldest son and I loved it in so I again for the second!</v>
      </c>
    </row>
    <row r="9922">
      <c r="A9922" s="1">
        <v>5.0</v>
      </c>
      <c r="B9922" s="1" t="s">
        <v>9773</v>
      </c>
      <c r="C9922" t="str">
        <f>IFERROR(__xludf.DUMMYFUNCTION("GOOGLETRANSLATE(B9922, ""fr"", ""en"")"),"very good book is a great little book for a first approach of the microscope. well done and well explained. my husband is delighted")</f>
        <v>very good book is a great little book for a first approach of the microscope. well done and well explained. my husband is delighted</v>
      </c>
    </row>
    <row r="9923">
      <c r="A9923" s="1">
        <v>5.0</v>
      </c>
      <c r="B9923" s="1" t="s">
        <v>9774</v>
      </c>
      <c r="C9923" t="str">
        <f>IFERROR(__xludf.DUMMYFUNCTION("GOOGLETRANSLATE(B9923, ""fr"", ""en"")"),"Well built well designed, a little heavy to handle. It's a thermos kettle, and its announced characteristics apply.")</f>
        <v>Well built well designed, a little heavy to handle. It's a thermos kettle, and its announced characteristics apply.</v>
      </c>
    </row>
    <row r="9924">
      <c r="A9924" s="1">
        <v>5.0</v>
      </c>
      <c r="B9924" s="1" t="s">
        <v>9775</v>
      </c>
      <c r="C9924" t="str">
        <f>IFERROR(__xludf.DUMMYFUNCTION("GOOGLETRANSLATE(B9924, ""fr"", ""en"")"),"Done the job well Very good product that precisely adjust the heating temperature. product design brushed aluminum. Only downside: too beeps, but the noise level is reasonable")</f>
        <v>Done the job well Very good product that precisely adjust the heating temperature. product design brushed aluminum. Only downside: too beeps, but the noise level is reasonable</v>
      </c>
    </row>
    <row r="9925">
      <c r="A9925" s="1">
        <v>5.0</v>
      </c>
      <c r="B9925" s="1" t="s">
        <v>9776</v>
      </c>
      <c r="C9925" t="str">
        <f>IFERROR(__xludf.DUMMYFUNCTION("GOOGLETRANSLATE(B9925, ""fr"", ""en"")"),"Good product Good value")</f>
        <v>Good product Good value</v>
      </c>
    </row>
    <row r="9926">
      <c r="A9926" s="1">
        <v>5.0</v>
      </c>
      <c r="B9926" s="1" t="s">
        <v>9777</v>
      </c>
      <c r="C9926" t="str">
        <f>IFERROR(__xludf.DUMMYFUNCTION("GOOGLETRANSLATE(B9926, ""fr"", ""en"")"),"Awesome ! Take good ears, the sound is parfait.Tres handy cheap.")</f>
        <v>Awesome ! Take good ears, the sound is parfait.Tres handy cheap.</v>
      </c>
    </row>
    <row r="9927">
      <c r="A9927" s="1">
        <v>5.0</v>
      </c>
      <c r="B9927" s="1" t="s">
        <v>9778</v>
      </c>
      <c r="C9927" t="str">
        <f>IFERROR(__xludf.DUMMYFUNCTION("GOOGLETRANSLATE(B9927, ""fr"", ""en"")"),"client review and arrive a great time product I am delighted")</f>
        <v>client review and arrive a great time product I am delighted</v>
      </c>
    </row>
    <row r="9928">
      <c r="A9928" s="1">
        <v>2.0</v>
      </c>
      <c r="B9928" s="1" t="s">
        <v>9779</v>
      </c>
      <c r="C9928" t="str">
        <f>IFERROR(__xludf.DUMMYFUNCTION("GOOGLETRANSLATE(B9928, ""fr"", ""en"")"),"No manufacturer specified weight The product looks well made but lacks crucial information: the counterweight to be applied to the arm. Not wanting to damage my discs or diamond, I seek information before using the product")</f>
        <v>No manufacturer specified weight The product looks well made but lacks crucial information: the counterweight to be applied to the arm. Not wanting to damage my discs or diamond, I seek information before using the product</v>
      </c>
    </row>
    <row r="9929">
      <c r="A9929" s="1">
        <v>1.0</v>
      </c>
      <c r="B9929" s="1" t="s">
        <v>9780</v>
      </c>
      <c r="C9929" t="str">
        <f>IFERROR(__xludf.DUMMYFUNCTION("GOOGLETRANSLATE(B9929, ""fr"", ""en"")"),"Received defective product quickly enough but what a disappointment .... Bra unpacking a little long to maintain zero Pants with holes or poorly sewn with a hooked less dark color (more gray) I'm not at all satisfied with this purchase")</f>
        <v>Received defective product quickly enough but what a disappointment .... Bra unpacking a little long to maintain zero Pants with holes or poorly sewn with a hooked less dark color (more gray) I'm not at all satisfied with this purchase</v>
      </c>
    </row>
    <row r="9930">
      <c r="A9930" s="1">
        <v>1.0</v>
      </c>
      <c r="B9930" s="1" t="s">
        <v>9781</v>
      </c>
      <c r="C9930" t="str">
        <f>IFERROR(__xludf.DUMMYFUNCTION("GOOGLETRANSLATE(B9930, ""fr"", ""en"")"),"Decue ... don 't have absolutely no obligation on my wall and even less on the mirror I wanted to stick yet very light, I wonder if the product has not been ill-conditioned because given the number of positive comments I have really made this purchase wit"&amp;"h confidence! Unfortunately here I am extremely disappointed to have invested in this product for the final duty use any disposable unusable because ....")</f>
        <v>Decue ... don 't have absolutely no obligation on my wall and even less on the mirror I wanted to stick yet very light, I wonder if the product has not been ill-conditioned because given the number of positive comments I have really made this purchase with confidence! Unfortunately here I am extremely disappointed to have invested in this product for the final duty use any disposable unusable because ....</v>
      </c>
    </row>
    <row r="9931">
      <c r="A9931" s="1">
        <v>3.0</v>
      </c>
      <c r="B9931" s="1" t="s">
        <v>9782</v>
      </c>
      <c r="C9931" t="str">
        <f>IFERROR(__xludf.DUMMYFUNCTION("GOOGLETRANSLATE(B9931, ""fr"", ""en"")"),"descriptive functions of the screen. No mention of the guarantee? Product fine but no records to explain the features of what appears on the screen of the watch.")</f>
        <v>descriptive functions of the screen. No mention of the guarantee? Product fine but no records to explain the features of what appears on the screen of the watch.</v>
      </c>
    </row>
    <row r="9932">
      <c r="A9932" s="1">
        <v>3.0</v>
      </c>
      <c r="B9932" s="1" t="s">
        <v>9783</v>
      </c>
      <c r="C9932" t="str">
        <f>IFERROR(__xludf.DUMMYFUNCTION("GOOGLETRANSLATE(B9932, ""fr"", ""en"")"),"Lightweight For days at a daily walk.")</f>
        <v>Lightweight For days at a daily walk.</v>
      </c>
    </row>
    <row r="9933">
      <c r="A9933" s="1">
        <v>4.0</v>
      </c>
      <c r="B9933" s="1" t="s">
        <v>9784</v>
      </c>
      <c r="C9933" t="str">
        <f>IFERROR(__xludf.DUMMYFUNCTION("GOOGLETRANSLATE(B9933, ""fr"", ""en"")"),"meets deadlines met, proper packaging, product corresponding to the announcement, only one downside manual no French and no guarantee from what I understood")</f>
        <v>meets deadlines met, proper packaging, product corresponding to the announcement, only one downside manual no French and no guarantee from what I understood</v>
      </c>
    </row>
    <row r="9934">
      <c r="A9934" s="1">
        <v>4.0</v>
      </c>
      <c r="B9934" s="1" t="s">
        <v>9785</v>
      </c>
      <c r="C9934" t="str">
        <f>IFERROR(__xludf.DUMMYFUNCTION("GOOGLETRANSLATE(B9934, ""fr"", ""en"")"),"good product product line with my expectations, strength, quality. Good quality material. Very good quality / price ratio I recommend this product without hesitation.")</f>
        <v>good product product line with my expectations, strength, quality. Good quality material. Very good quality / price ratio I recommend this product without hesitation.</v>
      </c>
    </row>
    <row r="9935">
      <c r="A9935" s="1">
        <v>4.0</v>
      </c>
      <c r="B9935" s="1" t="s">
        <v>9786</v>
      </c>
      <c r="C9935" t="str">
        <f>IFERROR(__xludf.DUMMYFUNCTION("GOOGLETRANSLATE(B9935, ""fr"", ""en"")"),"Works perfectly Perfect")</f>
        <v>Works perfectly Perfect</v>
      </c>
    </row>
    <row r="9936">
      <c r="A9936" s="1">
        <v>4.0</v>
      </c>
      <c r="B9936" s="1" t="s">
        <v>9787</v>
      </c>
      <c r="C9936" t="str">
        <f>IFERROR(__xludf.DUMMYFUNCTION("GOOGLETRANSLATE(B9936, ""fr"", ""en"")"),"Conforms to perfect my wish")</f>
        <v>Conforms to perfect my wish</v>
      </c>
    </row>
    <row r="9937">
      <c r="A9937" s="1">
        <v>5.0</v>
      </c>
      <c r="B9937" s="1" t="s">
        <v>9788</v>
      </c>
      <c r="C9937" t="str">
        <f>IFERROR(__xludf.DUMMYFUNCTION("GOOGLETRANSLATE(B9937, ""fr"", ""en"")"),"not put more expensive it is to see Lidl trash")</f>
        <v>not put more expensive it is to see Lidl trash</v>
      </c>
    </row>
    <row r="9938">
      <c r="A9938" s="1">
        <v>5.0</v>
      </c>
      <c r="B9938" s="1" t="s">
        <v>9789</v>
      </c>
      <c r="C9938" t="str">
        <f>IFERROR(__xludf.DUMMYFUNCTION("GOOGLETRANSLATE(B9938, ""fr"", ""en"")"),"Super Good Quality")</f>
        <v>Super Good Quality</v>
      </c>
    </row>
    <row r="9939">
      <c r="A9939" s="1">
        <v>5.0</v>
      </c>
      <c r="B9939" s="1" t="s">
        <v>9790</v>
      </c>
      <c r="C9939" t="str">
        <f>IFERROR(__xludf.DUMMYFUNCTION("GOOGLETRANSLATE(B9939, ""fr"", ""en"")"),"Very nice Very nice and good quality")</f>
        <v>Very nice Very nice and good quality</v>
      </c>
    </row>
    <row r="9940">
      <c r="A9940" s="1">
        <v>5.0</v>
      </c>
      <c r="B9940" s="1" t="s">
        <v>9791</v>
      </c>
      <c r="C9940" t="str">
        <f>IFERROR(__xludf.DUMMYFUNCTION("GOOGLETRANSLATE(B9940, ""fr"", ""en"")"),"Although Very nice shoes. Perfect size.")</f>
        <v>Although Very nice shoes. Perfect size.</v>
      </c>
    </row>
    <row r="9941">
      <c r="A9941" s="1">
        <v>5.0</v>
      </c>
      <c r="B9941" s="1" t="s">
        <v>9792</v>
      </c>
      <c r="C9941" t="str">
        <f>IFERROR(__xludf.DUMMYFUNCTION("GOOGLETRANSLATE(B9941, ""fr"", ""en"")"),"very practical and solid hull")</f>
        <v>very practical and solid hull</v>
      </c>
    </row>
    <row r="9942">
      <c r="A9942" s="1">
        <v>5.0</v>
      </c>
      <c r="B9942" s="1" t="s">
        <v>9793</v>
      </c>
      <c r="C9942" t="str">
        <f>IFERROR(__xludf.DUMMYFUNCTION("GOOGLETRANSLATE(B9942, ""fr"", ""en"")"),"Sublime bracelet Lovely on my hand, I love heart pattern pink purple, I put a few days and it is always brilliant. The quality looks fine, I'm happy anyway, to recommend.")</f>
        <v>Sublime bracelet Lovely on my hand, I love heart pattern pink purple, I put a few days and it is always brilliant. The quality looks fine, I'm happy anyway, to recommend.</v>
      </c>
    </row>
    <row r="9943">
      <c r="A9943" s="1">
        <v>5.0</v>
      </c>
      <c r="B9943" s="1" t="s">
        <v>9794</v>
      </c>
      <c r="C9943" t="str">
        <f>IFERROR(__xludf.DUMMYFUNCTION("GOOGLETRANSLATE(B9943, ""fr"", ""en"")"),"Useful Received quickly: this nice design with blue light: high capacity ... great for breakfast with large table. Easy to use and easy to clean: its job properly, I recommend")</f>
        <v>Useful Received quickly: this nice design with blue light: high capacity ... great for breakfast with large table. Easy to use and easy to clean: its job properly, I recommend</v>
      </c>
    </row>
    <row r="9944">
      <c r="A9944" s="1">
        <v>5.0</v>
      </c>
      <c r="B9944" s="1" t="s">
        <v>9795</v>
      </c>
      <c r="C9944" t="str">
        <f>IFERROR(__xludf.DUMMYFUNCTION("GOOGLETRANSLATE(B9944, ""fr"", ""en"")"),"Colors very gays and price / quality perfect ... I recommend as a gift 🎁 Bracelets for Summer")</f>
        <v>Colors very gays and price / quality perfect ... I recommend as a gift 🎁 Bracelets for Summer</v>
      </c>
    </row>
    <row r="9945">
      <c r="A9945" s="1">
        <v>5.0</v>
      </c>
      <c r="B9945" s="1" t="s">
        <v>9796</v>
      </c>
      <c r="C9945" t="str">
        <f>IFERROR(__xludf.DUMMYFUNCTION("GOOGLETRANSLATE(B9945, ""fr"", ""en"")"),"Very good quality Sport")</f>
        <v>Very good quality Sport</v>
      </c>
    </row>
    <row r="9946">
      <c r="A9946" s="1">
        <v>5.0</v>
      </c>
      <c r="B9946" s="1" t="s">
        <v>9797</v>
      </c>
      <c r="C9946" t="str">
        <f>IFERROR(__xludf.DUMMYFUNCTION("GOOGLETRANSLATE(B9946, ""fr"", ""en"")"),"Perfect product beautiful Manufacturing according to the description. Solid and elegant. Thank you.")</f>
        <v>Perfect product beautiful Manufacturing according to the description. Solid and elegant. Thank you.</v>
      </c>
    </row>
    <row r="9947">
      <c r="A9947" s="1">
        <v>5.0</v>
      </c>
      <c r="B9947" s="1" t="s">
        <v>9798</v>
      </c>
      <c r="C9947" t="str">
        <f>IFERROR(__xludf.DUMMYFUNCTION("GOOGLETRANSLATE(B9947, ""fr"", ""en"")"),"this is my 2nd I love this shoe is waterproof and very resistant solid class HIC white and the quality of some jeans back rub this one on the shoes but for once that has come nikes survive for more a year at my feet I say FINALLY!")</f>
        <v>this is my 2nd I love this shoe is waterproof and very resistant solid class HIC white and the quality of some jeans back rub this one on the shoes but for once that has come nikes survive for more a year at my feet I say FINALLY!</v>
      </c>
    </row>
    <row r="9948">
      <c r="A9948" s="1">
        <v>5.0</v>
      </c>
      <c r="B9948" s="1" t="s">
        <v>9799</v>
      </c>
      <c r="C9948" t="str">
        <f>IFERROR(__xludf.DUMMYFUNCTION("GOOGLETRANSLATE(B9948, ""fr"", ""en"")"),"nothing will! no section! I am disgusted he just fail it is guaranteed two years and I know how to return it for repair! I'm angry amazon you annoy me!")</f>
        <v>nothing will! no section! I am disgusted he just fail it is guaranteed two years and I know how to return it for repair! I'm angry amazon you annoy me!</v>
      </c>
    </row>
    <row r="9949">
      <c r="A9949" s="1">
        <v>5.0</v>
      </c>
      <c r="B9949" s="1" t="s">
        <v>9800</v>
      </c>
      <c r="C9949" t="str">
        <f>IFERROR(__xludf.DUMMYFUNCTION("GOOGLETRANSLATE(B9949, ""fr"", ""en"")"),"Perfect ! I use this model cartridges from 4 or 5 years with an HP OfficeJet Pro 8600 multifunction. These cartridges are perfect, the ink dries quickly, the impression is of a perfect smoothness, toner changes quick edt is very simple, and huge capacity "&amp;"... What more? The price ? It is very reasonable, especially with this kind of packaging. Of course, one will find remanufactured slightly cheaper, but these differences fade over the years, and the quality is unstoppable, so long ago that I do not take m"&amp;"ore than ""real"", I'm sure of be winner. As the two goons Tontons Flingueurs said comparing their guns, ""The price is forgotten, the quality remains"" Audiard ... Thanks!")</f>
        <v>Perfect ! I use this model cartridges from 4 or 5 years with an HP OfficeJet Pro 8600 multifunction. These cartridges are perfect, the ink dries quickly, the impression is of a perfect smoothness, toner changes quick edt is very simple, and huge capacity ... What more? The price ? It is very reasonable, especially with this kind of packaging. Of course, one will find remanufactured slightly cheaper, but these differences fade over the years, and the quality is unstoppable, so long ago that I do not take more than "real", I'm sure of be winner. As the two goons Tontons Flingueurs said comparing their guns, "The price is forgotten, the quality remains" Audiard ... Thanks!</v>
      </c>
    </row>
    <row r="9950">
      <c r="A9950" s="1">
        <v>5.0</v>
      </c>
      <c r="B9950" s="1" t="s">
        <v>9801</v>
      </c>
      <c r="C9950" t="str">
        <f>IFERROR(__xludf.DUMMYFUNCTION("GOOGLETRANSLATE(B9950, ""fr"", ""en"")"),"Good product Super comfortable size correct color. By cons late.")</f>
        <v>Good product Super comfortable size correct color. By cons late.</v>
      </c>
    </row>
    <row r="9951">
      <c r="A9951" s="1">
        <v>5.0</v>
      </c>
      <c r="B9951" s="1" t="s">
        <v>9802</v>
      </c>
      <c r="C9951" t="str">
        <f>IFERROR(__xludf.DUMMYFUNCTION("GOOGLETRANSLATE(B9951, ""fr"", ""en"")"),"Very nice watch No Regrets when to purchase this watch. I had doubts at the wrist made on end because I have small wrist, but eventually ca makes it very well, it does not disproportionately watch. The leather strap looks very strong. In the end I really "&amp;"advice this watch if its price does not exceed € 120.")</f>
        <v>Very nice watch No Regrets when to purchase this watch. I had doubts at the wrist made on end because I have small wrist, but eventually ca makes it very well, it does not disproportionately watch. The leather strap looks very strong. In the end I really advice this watch if its price does not exceed € 120.</v>
      </c>
    </row>
    <row r="9952">
      <c r="A9952" s="1">
        <v>2.0</v>
      </c>
      <c r="B9952" s="1" t="s">
        <v>9803</v>
      </c>
      <c r="C9952" t="str">
        <f>IFERROR(__xludf.DUMMYFUNCTION("GOOGLETRANSLATE(B9952, ""fr"", ""en"")"),"Good shows connected ... Used !!! Very good watch, a bit heavy but very ""lifestyle"" from the usual connected watches (Fitbit, Polar, Apple Watch ...) more oriented geek or sport. I manage such music on my phone (pause, next song ...) without leaving the"&amp;" iPhone in the pocket, practice. This is less connected than others, and this is good for me that sought to less track all my data ... By cons, my box did not seem new; sticker on the watch had bubbles and there are only 80% of battery ... more thing, I d"&amp;"o not have the key to change the battery! I bought it new, not used ... I am disappointed, I am a regular customer of Amazon (on several continents) and this is the second time it happens to me !!!")</f>
        <v>Good shows connected ... Used !!! Very good watch, a bit heavy but very "lifestyle" from the usual connected watches (Fitbit, Polar, Apple Watch ...) more oriented geek or sport. I manage such music on my phone (pause, next song ...) without leaving the iPhone in the pocket, practice. This is less connected than others, and this is good for me that sought to less track all my data ... By cons, my box did not seem new; sticker on the watch had bubbles and there are only 80% of battery ... more thing, I do not have the key to change the battery! I bought it new, not used ... I am disappointed, I am a regular customer of Amazon (on several continents) and this is the second time it happens to me !!!</v>
      </c>
    </row>
    <row r="9953">
      <c r="A9953" s="1">
        <v>1.0</v>
      </c>
      <c r="B9953" s="1" t="s">
        <v>9804</v>
      </c>
      <c r="C9953" t="str">
        <f>IFERROR(__xludf.DUMMYFUNCTION("GOOGLETRANSLATE(B9953, ""fr"", ""en"")"),"Take a size up. These sandals size small. To avoid this problem, Amazon should specify whether the announced sizes are French or European or British or Brazilian. Otherwise, it is impossible to navigate.")</f>
        <v>Take a size up. These sandals size small. To avoid this problem, Amazon should specify whether the announced sizes are French or European or British or Brazilian. Otherwise, it is impossible to navigate.</v>
      </c>
    </row>
    <row r="9954">
      <c r="A9954" s="1">
        <v>1.0</v>
      </c>
      <c r="B9954" s="1" t="s">
        <v>9805</v>
      </c>
      <c r="C9954" t="str">
        <f>IFERROR(__xludf.DUMMYFUNCTION("GOOGLETRANSLATE(B9954, ""fr"", ""en"")"),"Avoid for lovers of good sounds. A helmet without interest. Great packaging, but I do not understand the value of this headset so the sound is flat, veiled ... without fishing. Not to mention the keys is impossible to guess blindly, we must have an eye on"&amp;" it so remove the head for use. The radio that breaks the ears for a research station. Received, unpacked and returned immediately. To flee....")</f>
        <v>Avoid for lovers of good sounds. A helmet without interest. Great packaging, but I do not understand the value of this headset so the sound is flat, veiled ... without fishing. Not to mention the keys is impossible to guess blindly, we must have an eye on it so remove the head for use. The radio that breaks the ears for a research station. Received, unpacked and returned immediately. To flee....</v>
      </c>
    </row>
    <row r="9955">
      <c r="A9955" s="1">
        <v>3.0</v>
      </c>
      <c r="B9955" s="1" t="s">
        <v>9806</v>
      </c>
      <c r="C9955" t="str">
        <f>IFERROR(__xludf.DUMMYFUNCTION("GOOGLETRANSLATE(B9955, ""fr"", ""en"")"),"3 year subscription gone up in smoke 3 stars for the quality of the paper, which is correct. It is different for the new exorbitant rate. After 3 years of subscription, I do not get over the package of toilet paper for 2 months. It tells me that the produ"&amp;"ct is no longer available. Now I see that I can buy without subscription. Only problem, the package of 24 rolls rose to 19 euros! In 2015 I was paying 6.31 euros. In September 2018, I was paying 7.74 euros. At Chronodrive, without subscription or coupon, "&amp;"it cost 7.49 euros. My choice is made. This will Chronodrive. It will not be delivered, but that's incidental. As for quality, the paper became thinner over the years. This does not bother us. It was still mild enough for small buttocks all, learning clea"&amp;"nliness.")</f>
        <v>3 year subscription gone up in smoke 3 stars for the quality of the paper, which is correct. It is different for the new exorbitant rate. After 3 years of subscription, I do not get over the package of toilet paper for 2 months. It tells me that the product is no longer available. Now I see that I can buy without subscription. Only problem, the package of 24 rolls rose to 19 euros! In 2015 I was paying 6.31 euros. In September 2018, I was paying 7.74 euros. At Chronodrive, without subscription or coupon, it cost 7.49 euros. My choice is made. This will Chronodrive. It will not be delivered, but that's incidental. As for quality, the paper became thinner over the years. This does not bother us. It was still mild enough for small buttocks all, learning cleanliness.</v>
      </c>
    </row>
    <row r="9956">
      <c r="A9956" s="1">
        <v>3.0</v>
      </c>
      <c r="B9956" s="1" t="s">
        <v>9807</v>
      </c>
      <c r="C9956" t="str">
        <f>IFERROR(__xludf.DUMMYFUNCTION("GOOGLETRANSLATE(B9956, ""fr"", ""en"")"),"Too big but top quality size a little big: a pair of winter socks and the problem is solved. The quality is there, at reasonable prices.")</f>
        <v>Too big but top quality size a little big: a pair of winter socks and the problem is solved. The quality is there, at reasonable prices.</v>
      </c>
    </row>
    <row r="9957">
      <c r="A9957" s="1">
        <v>4.0</v>
      </c>
      <c r="B9957" s="1" t="s">
        <v>9808</v>
      </c>
      <c r="C9957" t="str">
        <f>IFERROR(__xludf.DUMMYFUNCTION("GOOGLETRANSLATE(B9957, ""fr"", ""en"")"),"They were nice but ... I relied on the reviews, I ordered one more and in fact they were too large size!")</f>
        <v>They were nice but ... I relied on the reviews, I ordered one more and in fact they were too large size!</v>
      </c>
    </row>
    <row r="9958">
      <c r="A9958" s="1">
        <v>4.0</v>
      </c>
      <c r="B9958" s="1" t="s">
        <v>9809</v>
      </c>
      <c r="C9958" t="str">
        <f>IFERROR(__xludf.DUMMYFUNCTION("GOOGLETRANSLATE(B9958, ""fr"", ""en"")"),"Good reawakening A revival that is really nice when you want to wake up gently. The light that simulates dawn allows to wake gradually. It is also good when you are two since the light is not aggressive and therefore the / a spouse / e can go back to slee"&amp;"p easily, even after the bell which is very nice too. The only thing I regret is that you can not adjust the ""color"" for the morning. I find red tone more pleasant to wake up (I am sensitive to light). But apart from this detail, this awakening to my ex"&amp;"pectations.")</f>
        <v>Good reawakening A revival that is really nice when you want to wake up gently. The light that simulates dawn allows to wake gradually. It is also good when you are two since the light is not aggressive and therefore the / a spouse / e can go back to sleep easily, even after the bell which is very nice too. The only thing I regret is that you can not adjust the "color" for the morning. I find red tone more pleasant to wake up (I am sensitive to light). But apart from this detail, this awakening to my expectations.</v>
      </c>
    </row>
    <row r="9959">
      <c r="A9959" s="1">
        <v>4.0</v>
      </c>
      <c r="B9959" s="1" t="s">
        <v>9810</v>
      </c>
      <c r="C9959" t="str">
        <f>IFERROR(__xludf.DUMMYFUNCTION("GOOGLETRANSLATE(B9959, ""fr"", ""en"")"),"super large size but my son was looking for this style, and he is really pleased. Good material, hot only downside, it makes a big can.")</f>
        <v>super large size but my son was looking for this style, and he is really pleased. Good material, hot only downside, it makes a big can.</v>
      </c>
    </row>
    <row r="9960">
      <c r="A9960" s="1">
        <v>4.0</v>
      </c>
      <c r="B9960" s="1" t="s">
        <v>9811</v>
      </c>
      <c r="C9960" t="str">
        <f>IFERROR(__xludf.DUMMYFUNCTION("GOOGLETRANSLATE(B9960, ""fr"", ""en"")"),"Lightness use and ease of use")</f>
        <v>Lightness use and ease of use</v>
      </c>
    </row>
    <row r="9961">
      <c r="A9961" s="1">
        <v>5.0</v>
      </c>
      <c r="B9961" s="1" t="s">
        <v>9812</v>
      </c>
      <c r="C9961" t="str">
        <f>IFERROR(__xludf.DUMMYFUNCTION("GOOGLETRANSLATE(B9961, ""fr"", ""en"")"),"Good product. very nice product, visually simple, without artifice. It works well, sufficient chain length. I recommend.")</f>
        <v>Good product. very nice product, visually simple, without artifice. It works well, sufficient chain length. I recommend.</v>
      </c>
    </row>
    <row r="9962">
      <c r="A9962" s="1">
        <v>5.0</v>
      </c>
      <c r="B9962" s="1" t="s">
        <v>9813</v>
      </c>
      <c r="C9962" t="str">
        <f>IFERROR(__xludf.DUMMYFUNCTION("GOOGLETRANSLATE(B9962, ""fr"", ""en"")"),"Reliable and robust Garden")</f>
        <v>Reliable and robust Garden</v>
      </c>
    </row>
    <row r="9963">
      <c r="A9963" s="1">
        <v>5.0</v>
      </c>
      <c r="B9963" s="1" t="s">
        <v>6783</v>
      </c>
      <c r="C9963" t="str">
        <f>IFERROR(__xludf.DUMMYFUNCTION("GOOGLETRANSLATE(B9963, ""fr"", ""en"")"),"Super Vans")</f>
        <v>Super Vans</v>
      </c>
    </row>
    <row r="9964">
      <c r="A9964" s="1">
        <v>5.0</v>
      </c>
      <c r="B9964" s="1" t="s">
        <v>9814</v>
      </c>
      <c r="C9964" t="str">
        <f>IFERROR(__xludf.DUMMYFUNCTION("GOOGLETRANSLATE(B9964, ""fr"", ""en"")"),"Very good value Super product. Very design with blue LED that lights up during use. Makes noise but like any tea indeed! Easy to clean because the resistance is not apparent. promo price during black friday ... the value sudden price!")</f>
        <v>Very good value Super product. Very design with blue LED that lights up during use. Makes noise but like any tea indeed! Easy to clean because the resistance is not apparent. promo price during black friday ... the value sudden price!</v>
      </c>
    </row>
    <row r="9965">
      <c r="A9965" s="1">
        <v>5.0</v>
      </c>
      <c r="B9965" s="1" t="s">
        <v>9815</v>
      </c>
      <c r="C9965" t="str">
        <f>IFERROR(__xludf.DUMMYFUNCTION("GOOGLETRANSLATE(B9965, ""fr"", ""en"")"),"Comfortable Perfect. Beautiful velvet and good size a little big")</f>
        <v>Comfortable Perfect. Beautiful velvet and good size a little big</v>
      </c>
    </row>
    <row r="9966">
      <c r="A9966" s="1">
        <v>5.0</v>
      </c>
      <c r="B9966" s="1" t="s">
        <v>9816</v>
      </c>
      <c r="C9966" t="str">
        <f>IFERROR(__xludf.DUMMYFUNCTION("GOOGLETRANSLATE(B9966, ""fr"", ""en"")"),"Much more effective Very effective for pain (back pain, knee, neck ...), than any anti inflammatory rheumatic or ointment tube ... !! And no need to put much. One small annoyance, red balm task a bit ... but is even more powerful than white ..")</f>
        <v>Much more effective Very effective for pain (back pain, knee, neck ...), than any anti inflammatory rheumatic or ointment tube ... !! And no need to put much. One small annoyance, red balm task a bit ... but is even more powerful than white ..</v>
      </c>
    </row>
    <row r="9967">
      <c r="A9967" s="1">
        <v>5.0</v>
      </c>
      <c r="B9967" s="1" t="s">
        <v>9817</v>
      </c>
      <c r="C9967" t="str">
        <f>IFERROR(__xludf.DUMMYFUNCTION("GOOGLETRANSLATE(B9967, ""fr"", ""en"")"),"Great Excellent product to do everything in the house. Its price is a bit high but the result is at the top")</f>
        <v>Great Excellent product to do everything in the house. Its price is a bit high but the result is at the top</v>
      </c>
    </row>
    <row r="9968">
      <c r="A9968" s="1">
        <v>5.0</v>
      </c>
      <c r="B9968" s="1" t="s">
        <v>9818</v>
      </c>
      <c r="C9968" t="str">
        <f>IFERROR(__xludf.DUMMYFUNCTION("GOOGLETRANSLATE(B9968, ""fr"", ""en"")"),"very good book to top top")</f>
        <v>very good book to top top</v>
      </c>
    </row>
    <row r="9969">
      <c r="A9969" s="1">
        <v>5.0</v>
      </c>
      <c r="B9969" s="1" t="s">
        <v>224</v>
      </c>
      <c r="C9969" t="str">
        <f>IFERROR(__xludf.DUMMYFUNCTION("GOOGLETRANSLATE(B9969, ""fr"", ""en"")"),"perfect perfect")</f>
        <v>perfect perfect</v>
      </c>
    </row>
    <row r="9970">
      <c r="A9970" s="1">
        <v>5.0</v>
      </c>
      <c r="B9970" s="1" t="s">
        <v>9819</v>
      </c>
      <c r="C9970" t="str">
        <f>IFERROR(__xludf.DUMMYFUNCTION("GOOGLETRANSLATE(B9970, ""fr"", ""en"")"),"Fondalement there that the addition of the valve that changes the game for the rest found which made the success of the brand: solid bottles that withstand high heat sterilization and through their wide neck are at once easy to fill and clean. The grip is"&amp;" always nice for the parent or care taker. This new valve left me enough septic but eventually in a baby very susceptible to colic, causing no miracle she brings a real plus in comfort. To recommend.")</f>
        <v>Fondalement there that the addition of the valve that changes the game for the rest found which made the success of the brand: solid bottles that withstand high heat sterilization and through their wide neck are at once easy to fill and clean. The grip is always nice for the parent or care taker. This new valve left me enough septic but eventually in a baby very susceptible to colic, causing no miracle she brings a real plus in comfort. To recommend.</v>
      </c>
    </row>
    <row r="9971">
      <c r="A9971" s="1">
        <v>5.0</v>
      </c>
      <c r="B9971" s="1" t="s">
        <v>9820</v>
      </c>
      <c r="C9971" t="str">
        <f>IFERROR(__xludf.DUMMYFUNCTION("GOOGLETRANSLATE(B9971, ""fr"", ""en"")"),"Too pretty for me personally.")</f>
        <v>Too pretty for me personally.</v>
      </c>
    </row>
    <row r="9972">
      <c r="A9972" s="1">
        <v>5.0</v>
      </c>
      <c r="B9972" s="1" t="s">
        <v>9821</v>
      </c>
      <c r="C9972" t="str">
        <f>IFERROR(__xludf.DUMMYFUNCTION("GOOGLETRANSLATE(B9972, ""fr"", ""en"")"),"Perfect I love design")</f>
        <v>Perfect I love design</v>
      </c>
    </row>
    <row r="9973">
      <c r="A9973" s="1">
        <v>5.0</v>
      </c>
      <c r="B9973" s="1" t="s">
        <v>9822</v>
      </c>
      <c r="C9973" t="str">
        <f>IFERROR(__xludf.DUMMYFUNCTION("GOOGLETRANSLATE(B9973, ""fr"", ""en"")"),"Satisfied Very nice watch for sport I love.")</f>
        <v>Satisfied Very nice watch for sport I love.</v>
      </c>
    </row>
    <row r="9974">
      <c r="A9974" s="1">
        <v>5.0</v>
      </c>
      <c r="B9974" s="1" t="s">
        <v>224</v>
      </c>
      <c r="C9974" t="str">
        <f>IFERROR(__xludf.DUMMYFUNCTION("GOOGLETRANSLATE(B9974, ""fr"", ""en"")"),"perfect perfect")</f>
        <v>perfect perfect</v>
      </c>
    </row>
    <row r="9975">
      <c r="A9975" s="1">
        <v>5.0</v>
      </c>
      <c r="B9975" s="1" t="s">
        <v>9823</v>
      </c>
      <c r="C9975" t="str">
        <f>IFERROR(__xludf.DUMMYFUNCTION("GOOGLETRANSLATE(B9975, ""fr"", ""en"")"),"Good value for money. Good value for money. Very light, very easy to adjust strap. Time and legible date. good quality housing.")</f>
        <v>Good value for money. Good value for money. Very light, very easy to adjust strap. Time and legible date. good quality housing.</v>
      </c>
    </row>
    <row r="9976">
      <c r="A9976" s="1">
        <v>2.0</v>
      </c>
      <c r="B9976" s="1" t="s">
        <v>9824</v>
      </c>
      <c r="C9976" t="str">
        <f>IFERROR(__xludf.DUMMYFUNCTION("GOOGLETRANSLATE(B9976, ""fr"", ""en"")"),"Product blah well but lacks a timer and it is long enough to heat up. I am a follower of product shortage but I find not too quality")</f>
        <v>Product blah well but lacks a timer and it is long enough to heat up. I am a follower of product shortage but I find not too quality</v>
      </c>
    </row>
    <row r="9977">
      <c r="A9977" s="1">
        <v>1.0</v>
      </c>
      <c r="B9977" s="1" t="s">
        <v>9825</v>
      </c>
      <c r="C9977" t="str">
        <f>IFERROR(__xludf.DUMMYFUNCTION("GOOGLETRANSLATE(B9977, ""fr"", ""en"")"),"Disappointed I bought a color box, the other in black, ink color works perfectly but the black does not work, although the color level indication shows that the ink is full ...")</f>
        <v>Disappointed I bought a color box, the other in black, ink color works perfectly but the black does not work, although the color level indication shows that the ink is full ...</v>
      </c>
    </row>
    <row r="9978">
      <c r="A9978" s="1">
        <v>1.0</v>
      </c>
      <c r="B9978" s="1" t="s">
        <v>9826</v>
      </c>
      <c r="C9978" t="str">
        <f>IFERROR(__xludf.DUMMYFUNCTION("GOOGLETRANSLATE(B9978, ""fr"", ""en"")"),"Fake It looks fake")</f>
        <v>Fake It looks fake</v>
      </c>
    </row>
    <row r="9979">
      <c r="A9979" s="1">
        <v>3.0</v>
      </c>
      <c r="B9979" s="1" t="s">
        <v>9827</v>
      </c>
      <c r="C9979" t="str">
        <f>IFERROR(__xludf.DUMMYFUNCTION("GOOGLETRANSLATE(B9979, ""fr"", ""en"")"),"Good but expensive As always I am surprised at the few pages that can be printed, but the absence of these HP cartridges. Black is intense.")</f>
        <v>Good but expensive As always I am surprised at the few pages that can be printed, but the absence of these HP cartridges. Black is intense.</v>
      </c>
    </row>
    <row r="9980">
      <c r="A9980" s="1">
        <v>4.0</v>
      </c>
      <c r="B9980" s="1" t="s">
        <v>9828</v>
      </c>
      <c r="C9980" t="str">
        <f>IFERROR(__xludf.DUMMYFUNCTION("GOOGLETRANSLATE(B9980, ""fr"", ""en"")"),"Asics Asics simply")</f>
        <v>Asics Asics simply</v>
      </c>
    </row>
    <row r="9981">
      <c r="A9981" s="1">
        <v>4.0</v>
      </c>
      <c r="B9981" s="1" t="s">
        <v>9829</v>
      </c>
      <c r="C9981" t="str">
        <f>IFERROR(__xludf.DUMMYFUNCTION("GOOGLETRANSLATE(B9981, ""fr"", ""en"")"),"nothing to prove efficacy, goes everywhere, sobriety in this color. nothing wrong, we know the strength of this brand fast shipping")</f>
        <v>nothing to prove efficacy, goes everywhere, sobriety in this color. nothing wrong, we know the strength of this brand fast shipping</v>
      </c>
    </row>
    <row r="9982">
      <c r="A9982" s="1">
        <v>4.0</v>
      </c>
      <c r="B9982" s="1" t="s">
        <v>9830</v>
      </c>
      <c r="C9982" t="str">
        <f>IFERROR(__xludf.DUMMYFUNCTION("GOOGLETRANSLATE(B9982, ""fr"", ""en"")"),"Meets Practice, it quite makes life easier :) large in size, it takes up space. The closure system is impractical. must try several times to engage the notches together and open or close easily. Good value for money")</f>
        <v>Meets Practice, it quite makes life easier :) large in size, it takes up space. The closure system is impractical. must try several times to engage the notches together and open or close easily. Good value for money</v>
      </c>
    </row>
    <row r="9983">
      <c r="A9983" s="1">
        <v>4.0</v>
      </c>
      <c r="B9983" s="1" t="s">
        <v>9831</v>
      </c>
      <c r="C9983" t="str">
        <f>IFERROR(__xludf.DUMMYFUNCTION("GOOGLETRANSLATE(B9983, ""fr"", ""en"")"),"pot a little book moisture resistant to accompany tactfully a very important step. A nice graphics and without sentimentality")</f>
        <v>pot a little book moisture resistant to accompany tactfully a very important step. A nice graphics and without sentimentality</v>
      </c>
    </row>
    <row r="9984">
      <c r="A9984" s="1">
        <v>5.0</v>
      </c>
      <c r="B9984" s="1" t="s">
        <v>9832</v>
      </c>
      <c r="C9984" t="str">
        <f>IFERROR(__xludf.DUMMYFUNCTION("GOOGLETRANSLATE(B9984, ""fr"", ""en"")"),"thank you Grandpa")</f>
        <v>thank you Grandpa</v>
      </c>
    </row>
    <row r="9985">
      <c r="A9985" s="1">
        <v>5.0</v>
      </c>
      <c r="B9985" s="1" t="s">
        <v>1051</v>
      </c>
      <c r="C9985" t="str">
        <f>IFERROR(__xludf.DUMMYFUNCTION("GOOGLETRANSLATE(B9985, ""fr"", ""en"")"),"The Stan Smith. . . timeless.")</f>
        <v>The Stan Smith. . . timeless.</v>
      </c>
    </row>
    <row r="9986">
      <c r="A9986" s="1">
        <v>5.0</v>
      </c>
      <c r="B9986" s="1" t="s">
        <v>9833</v>
      </c>
      <c r="C9986" t="str">
        <f>IFERROR(__xludf.DUMMYFUNCTION("GOOGLETRANSLATE(B9986, ""fr"", ""en"")"),"Amazy Set of 2 brushes with essential pro suede storage bag for shoes Suede")</f>
        <v>Amazy Set of 2 brushes with essential pro suede storage bag for shoes Suede</v>
      </c>
    </row>
    <row r="9987">
      <c r="A9987" s="1">
        <v>5.0</v>
      </c>
      <c r="B9987" s="1" t="s">
        <v>9834</v>
      </c>
      <c r="C9987" t="str">
        <f>IFERROR(__xludf.DUMMYFUNCTION("GOOGLETRANSLATE(B9987, ""fr"", ""en"")"),"Watch casio Superb watch very good quality and finish, beautiful series I will recommend one of this category. I often wear.")</f>
        <v>Watch casio Superb watch very good quality and finish, beautiful series I will recommend one of this category. I often wear.</v>
      </c>
    </row>
    <row r="9988">
      <c r="A9988" s="1">
        <v>5.0</v>
      </c>
      <c r="B9988" s="1" t="s">
        <v>9835</v>
      </c>
      <c r="C9988" t="str">
        <f>IFERROR(__xludf.DUMMYFUNCTION("GOOGLETRANSLATE(B9988, ""fr"", ""en"")"),"very good quality / price but very comfortable sandal provide a size below its usual size because large size. I did not used to wear sandals and there I was really seduced by the comfort and thinking to buy me another pair.")</f>
        <v>very good quality / price but very comfortable sandal provide a size below its usual size because large size. I did not used to wear sandals and there I was really seduced by the comfort and thinking to buy me another pair.</v>
      </c>
    </row>
    <row r="9989">
      <c r="A9989" s="1">
        <v>5.0</v>
      </c>
      <c r="B9989" s="1" t="s">
        <v>9836</v>
      </c>
      <c r="C9989" t="str">
        <f>IFERROR(__xludf.DUMMYFUNCTION("GOOGLETRANSLATE(B9989, ""fr"", ""en"")"),"Great product! This bottle is just perfect color is mixed. Great pr baby grip. Easy to clean.")</f>
        <v>Great product! This bottle is just perfect color is mixed. Great pr baby grip. Easy to clean.</v>
      </c>
    </row>
    <row r="9990">
      <c r="A9990" s="1">
        <v>5.0</v>
      </c>
      <c r="B9990" s="1" t="s">
        <v>9837</v>
      </c>
      <c r="C9990" t="str">
        <f>IFERROR(__xludf.DUMMYFUNCTION("GOOGLETRANSLATE(B9990, ""fr"", ""en"")"),"Not necessarily beautiful but very comfortable and well carve Aesthetically I do not find this kind of very nice shoes, but what we're good in it! I had bought for work (veterinary), I am often standing, I do a lot of small steps, but I have no sore foot "&amp;"since I put. I even purchased to bring home! Clean very well. Are solid. And especially carve fine! You just see the size guide. Really satisfied!")</f>
        <v>Not necessarily beautiful but very comfortable and well carve Aesthetically I do not find this kind of very nice shoes, but what we're good in it! I had bought for work (veterinary), I am often standing, I do a lot of small steps, but I have no sore foot since I put. I even purchased to bring home! Clean very well. Are solid. And especially carve fine! You just see the size guide. Really satisfied!</v>
      </c>
    </row>
    <row r="9991">
      <c r="A9991" s="1">
        <v>5.0</v>
      </c>
      <c r="B9991" s="1" t="s">
        <v>9838</v>
      </c>
      <c r="C9991" t="str">
        <f>IFERROR(__xludf.DUMMYFUNCTION("GOOGLETRANSLATE(B9991, ""fr"", ""en"")"),"Good experience I bought for Christmas, very good performance, adorable quality, we've logged on Mac, it works well. A good experience. And Merry Christmas to everyone :)")</f>
        <v>Good experience I bought for Christmas, very good performance, adorable quality, we've logged on Mac, it works well. A good experience. And Merry Christmas to everyone :)</v>
      </c>
    </row>
    <row r="9992">
      <c r="A9992" s="1">
        <v>5.0</v>
      </c>
      <c r="B9992" s="1" t="s">
        <v>9839</v>
      </c>
      <c r="C9992" t="str">
        <f>IFERROR(__xludf.DUMMYFUNCTION("GOOGLETRANSLATE(B9992, ""fr"", ""en"")"),"Major Marshall Parfait..la.couleur brown is beautiful and the quality Marshall to go. My daughter is happy and that's what counts. I'll buy a second for me ... why not ...")</f>
        <v>Major Marshall Parfait..la.couleur brown is beautiful and the quality Marshall to go. My daughter is happy and that's what counts. I'll buy a second for me ... why not ...</v>
      </c>
    </row>
    <row r="9993">
      <c r="A9993" s="1">
        <v>5.0</v>
      </c>
      <c r="B9993" s="1" t="s">
        <v>9840</v>
      </c>
      <c r="C9993" t="str">
        <f>IFERROR(__xludf.DUMMYFUNCTION("GOOGLETRANSLATE(B9993, ""fr"", ""en"")"),"Quality / price ratio for 2 helmets 🤑 unbeatable! For the holidays I was looking for 2 helmets for 2 children of the same age to enjoy DVD player in the car, and the box Lunii story with a jack splitter. My criteria were simple: a wired headset suitable "&amp;"for children (foam comfortable, stretchy branches and cool colors) for a maximum budget of € 15 per helmet. This pack of 2 helmets so answer my need. This is mainly because of its price (€ 25 end June 2019), since I did not find anything more affordable. "&amp;"Find below some more detail on the product. If this advice was helpful, please indicate with a click on the ""Yes"" button under the comment, thank you 👍! ---------------------------------- Kit contents: In terms of the content it is very basic, 2 are pa"&amp;"cked on each side of the box in a plastic bubble. A user manual translated into many languages ​​accompanies all. Helmet: Helmets are rather mild and good invoice, the device is not cheap hands. Sure he can twist quite widely, that's normal, it's for the "&amp;"children! The two branches are adjustable in height, it was one of my criteria for not having to change helmets each year. The cable is 1.20m, long enough for the uses made of it. Moreover it is extra flat and flexible to wrap easily around the helmet. Se"&amp;"e its duration in time, especially at the junction with the headset. And finally, design and pastel colors are very friendly. In use for 2 children 5 years and once the helmets set I have not had a problem with the DVD drive or the Lunii. I have not recei"&amp;"ved any complaints, even after prolonged use above 2 hours (yes, we are bad parents during long journeys 😅 car). Note that I did not especially known valued volume reduction for children: the sound levels are adjustable on devices that use, I could alway"&amp;"s find the proper volume. The pros: - Design, ergonomics and color suitable for children 👌 - good length of cable - Rate for 2 helmets The very interesting -: - SAR, to see the resistance over time Conclusion: I hesitated with a headset Phillips or JVC, "&amp;"both a hair more expensive (~ 17 € / helmet) but recognized brand. Finally I pulled these MPOW models more affordable and with good advice. For several weeks my children use them occasionally, I'm not disappointed. They agree to our use for a very decent "&amp;"price.")</f>
        <v>Quality / price ratio for 2 helmets 🤑 unbeatable! For the holidays I was looking for 2 helmets for 2 children of the same age to enjoy DVD player in the car, and the box Lunii story with a jack splitter. My criteria were simple: a wired headset suitable for children (foam comfortable, stretchy branches and cool colors) for a maximum budget of € 15 per helmet. This pack of 2 helmets so answer my need. This is mainly because of its price (€ 25 end June 2019), since I did not find anything more affordable. Find below some more detail on the product. If this advice was helpful, please indicate with a click on the "Yes" button under the comment, thank you 👍! ---------------------------------- Kit contents: In terms of the content it is very basic, 2 are packed on each side of the box in a plastic bubble. A user manual translated into many languages ​​accompanies all. Helmet: Helmets are rather mild and good invoice, the device is not cheap hands. Sure he can twist quite widely, that's normal, it's for the children! The two branches are adjustable in height, it was one of my criteria for not having to change helmets each year. The cable is 1.20m, long enough for the uses made of it. Moreover it is extra flat and flexible to wrap easily around the helmet. See its duration in time, especially at the junction with the headset. And finally, design and pastel colors are very friendly. In use for 2 children 5 years and once the helmets set I have not had a problem with the DVD drive or the Lunii. I have not received any complaints, even after prolonged use above 2 hours (yes, we are bad parents during long journeys 😅 car). Note that I did not especially known valued volume reduction for children: the sound levels are adjustable on devices that use, I could always find the proper volume. The pros: - Design, ergonomics and color suitable for children 👌 - good length of cable - Rate for 2 helmets The very interesting -: - SAR, to see the resistance over time Conclusion: I hesitated with a headset Phillips or JVC, both a hair more expensive (~ 17 € / helmet) but recognized brand. Finally I pulled these MPOW models more affordable and with good advice. For several weeks my children use them occasionally, I'm not disappointed. They agree to our use for a very decent price.</v>
      </c>
    </row>
    <row r="9994">
      <c r="A9994" s="1">
        <v>5.0</v>
      </c>
      <c r="B9994" s="1" t="s">
        <v>9841</v>
      </c>
      <c r="C9994" t="str">
        <f>IFERROR(__xludf.DUMMYFUNCTION("GOOGLETRANSLATE(B9994, ""fr"", ""en"")"),"Perfect Nothing to say, according to the announcement, on-time delivery, quality materials. To recommend!")</f>
        <v>Perfect Nothing to say, according to the announcement, on-time delivery, quality materials. To recommend!</v>
      </c>
    </row>
    <row r="9995">
      <c r="A9995" s="1">
        <v>5.0</v>
      </c>
      <c r="B9995" s="1" t="s">
        <v>204</v>
      </c>
      <c r="C9995" t="str">
        <f>IFERROR(__xludf.DUMMYFUNCTION("GOOGLETRANSLATE(B9995, ""fr"", ""en"")"),"Top Top")</f>
        <v>Top Top</v>
      </c>
    </row>
    <row r="9996">
      <c r="A9996" s="1">
        <v>5.0</v>
      </c>
      <c r="B9996" s="1" t="s">
        <v>9842</v>
      </c>
      <c r="C9996" t="str">
        <f>IFERROR(__xludf.DUMMYFUNCTION("GOOGLETRANSLATE(B9996, ""fr"", ""en"")"),"Super Basketball !! First the product complies. They have even more to all my entourage to men. They are comfortable. They make a nice walk and you can wear them with everything. They are lightweight and compensate saves me some centimeters. Buy no proble"&amp;"m. Very good product.")</f>
        <v>Super Basketball !! First the product complies. They have even more to all my entourage to men. They are comfortable. They make a nice walk and you can wear them with everything. They are lightweight and compensate saves me some centimeters. Buy no problem. Very good product.</v>
      </c>
    </row>
    <row r="9997">
      <c r="A9997" s="1">
        <v>5.0</v>
      </c>
      <c r="B9997" s="1" t="s">
        <v>9843</v>
      </c>
      <c r="C9997" t="str">
        <f>IFERROR(__xludf.DUMMYFUNCTION("GOOGLETRANSLATE(B9997, ""fr"", ""en"")"),"top very good price I love his little")</f>
        <v>top very good price I love his little</v>
      </c>
    </row>
    <row r="9998">
      <c r="A9998" s="1">
        <v>5.0</v>
      </c>
      <c r="B9998" s="1" t="s">
        <v>9844</v>
      </c>
      <c r="C9998" t="str">
        <f>IFERROR(__xludf.DUMMYFUNCTION("GOOGLETRANSLATE(B9998, ""fr"", ""en"")"),"On top against colic The best bottles. They have reduced colic my son and he never wanted to drink another brand")</f>
        <v>On top against colic The best bottles. They have reduced colic my son and he never wanted to drink another brand</v>
      </c>
    </row>
    <row r="9999">
      <c r="A9999" s="1">
        <v>5.0</v>
      </c>
      <c r="B9999" s="1" t="s">
        <v>9845</v>
      </c>
      <c r="C9999" t="str">
        <f>IFERROR(__xludf.DUMMYFUNCTION("GOOGLETRANSLATE(B9999, ""fr"", ""en"")"),"your size exact size fast shipment nothing to say I highly recommend")</f>
        <v>your size exact size fast shipment nothing to say I highly recommend</v>
      </c>
    </row>
    <row r="10000">
      <c r="A10000" s="1">
        <v>2.0</v>
      </c>
      <c r="B10000" s="1" t="s">
        <v>9846</v>
      </c>
      <c r="C10000" t="str">
        <f>IFERROR(__xludf.DUMMYFUNCTION("GOOGLETRANSLATE(B10000, ""fr"", ""en"")"),"Received large size first pair with the greatest outsole on one of the shoes. Amazon's great they made me the exchange quickly. By cons I received the second pair and finally I realize that its size too big. I put on the 36 and it is equivalent to the 37 "&amp;"actually. Be careful when you choose the size. Take one size smaller. or half size if exists.")</f>
        <v>Received large size first pair with the greatest outsole on one of the shoes. Amazon's great they made me the exchange quickly. By cons I received the second pair and finally I realize that its size too big. I put on the 36 and it is equivalent to the 37 actually. Be careful when you choose the size. Take one size smaller. or half size if exists.</v>
      </c>
    </row>
    <row r="10001">
      <c r="A10001" s="1">
        <v>1.0</v>
      </c>
      <c r="B10001" s="1" t="s">
        <v>9847</v>
      </c>
      <c r="C10001" t="str">
        <f>IFERROR(__xludf.DUMMYFUNCTION("GOOGLETRANSLATE(B10001, ""fr"", ""en"")"),"a torn package !!!! Very disappointed in this sends when everything was fine in the first order, it is disappointing: a packet arrived torn while the plastic bag containing all the packages was intact him !!!! Thank you to replace the torn package!")</f>
        <v>a torn package !!!! Very disappointed in this sends when everything was fine in the first order, it is disappointing: a packet arrived torn while the plastic bag containing all the packages was intact him !!!! Thank you to replace the torn package!</v>
      </c>
    </row>
    <row r="10002">
      <c r="A10002" s="1">
        <v>3.0</v>
      </c>
      <c r="B10002" s="1" t="s">
        <v>9848</v>
      </c>
      <c r="C10002" t="str">
        <f>IFERROR(__xludf.DUMMYFUNCTION("GOOGLETRANSLATE(B10002, ""fr"", ""en"")"),"well cartridge lasts no longer than basic cartridges just the fact of not having to get around")</f>
        <v>well cartridge lasts no longer than basic cartridges just the fact of not having to get around</v>
      </c>
    </row>
    <row r="10003">
      <c r="A10003" s="1">
        <v>3.0</v>
      </c>
      <c r="B10003" s="1" t="s">
        <v>9849</v>
      </c>
      <c r="C10003" t="str">
        <f>IFERROR(__xludf.DUMMYFUNCTION("GOOGLETRANSLATE(B10003, ""fr"", ""en"")"),"Good point about the time the watch reached me in good time but the condition was not great, the box of the watch was completely down and there was a nice streak that started with a horn in bracelet the watch.")</f>
        <v>Good point about the time the watch reached me in good time but the condition was not great, the box of the watch was completely down and there was a nice streak that started with a horn in bracelet the watch.</v>
      </c>
    </row>
    <row r="10004">
      <c r="A10004" s="1">
        <v>4.0</v>
      </c>
      <c r="B10004" s="1" t="s">
        <v>9850</v>
      </c>
      <c r="C10004" t="str">
        <f>IFERROR(__xludf.DUMMYFUNCTION("GOOGLETRANSLATE(B10004, ""fr"", ""en"")"),"Good quality looks good whether at the level of the canvas or lightning ties, there is a small front pocket, a central ouche with a zipper compartment and a small pocket on the back. If the comment was helpful you remember to click below useful :-)")</f>
        <v>Good quality looks good whether at the level of the canvas or lightning ties, there is a small front pocket, a central ouche with a zipper compartment and a small pocket on the back. If the comment was helpful you remember to click below useful :-)</v>
      </c>
    </row>
    <row r="10005">
      <c r="A10005" s="1">
        <v>4.0</v>
      </c>
      <c r="B10005" s="1" t="s">
        <v>9851</v>
      </c>
      <c r="C10005" t="str">
        <f>IFERROR(__xludf.DUMMYFUNCTION("GOOGLETRANSLATE(B10005, ""fr"", ""en"")"),"Super small but sufficient for one or two people (capacity: 2 cups). Very solid glass. I recommend :)")</f>
        <v>Super small but sufficient for one or two people (capacity: 2 cups). Very solid glass. I recommend :)</v>
      </c>
    </row>
    <row r="10006">
      <c r="A10006" s="1">
        <v>4.0</v>
      </c>
      <c r="B10006" s="1" t="s">
        <v>9852</v>
      </c>
      <c r="C10006" t="str">
        <f>IFERROR(__xludf.DUMMYFUNCTION("GOOGLETRANSLATE(B10006, ""fr"", ""en"")"),"Produced entirely consistent with my expectations Good description and product size")</f>
        <v>Produced entirely consistent with my expectations Good description and product size</v>
      </c>
    </row>
    <row r="10007">
      <c r="A10007" s="1">
        <v>4.0</v>
      </c>
      <c r="B10007" s="1" t="s">
        <v>9853</v>
      </c>
      <c r="C10007" t="str">
        <f>IFERROR(__xludf.DUMMYFUNCTION("GOOGLETRANSLATE(B10007, ""fr"", ""en"")"),"tea temp variable Very good kettle to have water at the desired temperature (between 50 ° and 95 ° jump 5), beautiful design, I recommend this type of device. Only downside to each manipulation buttons, the machine beep unpleasant for me, so I did not mi "&amp;"5 stars.")</f>
        <v>tea temp variable Very good kettle to have water at the desired temperature (between 50 ° and 95 ° jump 5), beautiful design, I recommend this type of device. Only downside to each manipulation buttons, the machine beep unpleasant for me, so I did not mi 5 stars.</v>
      </c>
    </row>
    <row r="10008">
      <c r="A10008" s="1">
        <v>5.0</v>
      </c>
      <c r="B10008" s="1" t="s">
        <v>9854</v>
      </c>
      <c r="C10008" t="str">
        <f>IFERROR(__xludf.DUMMYFUNCTION("GOOGLETRANSLATE(B10008, ""fr"", ""en"")"),"Very Good Good sending ...")</f>
        <v>Very Good Good sending ...</v>
      </c>
    </row>
    <row r="10009">
      <c r="A10009" s="1">
        <v>5.0</v>
      </c>
      <c r="B10009" s="1" t="s">
        <v>3772</v>
      </c>
      <c r="C10009" t="str">
        <f>IFERROR(__xludf.DUMMYFUNCTION("GOOGLETRANSLATE(B10009, ""fr"", ""en"")"),"Super Great")</f>
        <v>Super Great</v>
      </c>
    </row>
    <row r="10010">
      <c r="A10010" s="1">
        <v>5.0</v>
      </c>
      <c r="B10010" s="1" t="s">
        <v>9855</v>
      </c>
      <c r="C10010" t="str">
        <f>IFERROR(__xludf.DUMMYFUNCTION("GOOGLETRANSLATE(B10010, ""fr"", ""en"")"),"anti vomit! Perfect for removing left work after a child threw up on the C-Max chairs fabrics. Follow the instructions on the product and it works. Never disappointed with the Meguiar's products. I recommend this product. Feel free to click on the YES but"&amp;"ton if this comment helpful to you.")</f>
        <v>anti vomit! Perfect for removing left work after a child threw up on the C-Max chairs fabrics. Follow the instructions on the product and it works. Never disappointed with the Meguiar's products. I recommend this product. Feel free to click on the YES button if this comment helpful to you.</v>
      </c>
    </row>
    <row r="10011">
      <c r="A10011" s="1">
        <v>5.0</v>
      </c>
      <c r="B10011" s="1" t="s">
        <v>9856</v>
      </c>
      <c r="C10011" t="str">
        <f>IFERROR(__xludf.DUMMYFUNCTION("GOOGLETRANSLATE(B10011, ""fr"", ""en"")"),"Advent is the quality of A la hora es Fundamental bebé enter a tener este producto y más porque si es Advent Sabemos calidad que es.")</f>
        <v>Advent is the quality of A la hora es Fundamental bebé enter a tener este producto y más porque si es Advent Sabemos calidad que es.</v>
      </c>
    </row>
    <row r="10012">
      <c r="A10012" s="1">
        <v>5.0</v>
      </c>
      <c r="B10012" s="1" t="s">
        <v>9857</v>
      </c>
      <c r="C10012" t="str">
        <f>IFERROR(__xludf.DUMMYFUNCTION("GOOGLETRANSLATE(B10012, ""fr"", ""en"")"),"heating bibreon recommend I recommend this heated bottle + pots, fast, efficient, small to carry when traveling, easy to clean and prepare both bottles and jars. price / quality ratio.")</f>
        <v>heating bibreon recommend I recommend this heated bottle + pots, fast, efficient, small to carry when traveling, easy to clean and prepare both bottles and jars. price / quality ratio.</v>
      </c>
    </row>
    <row r="10013">
      <c r="A10013" s="1">
        <v>5.0</v>
      </c>
      <c r="B10013" s="1" t="s">
        <v>9858</v>
      </c>
      <c r="C10013" t="str">
        <f>IFERROR(__xludf.DUMMYFUNCTION("GOOGLETRANSLATE(B10013, ""fr"", ""en"")"),"Lightweight and Lightweight catchy and well suited on clear ground. Usable rather mild temperature, so less in winter. Recommended")</f>
        <v>Lightweight and Lightweight catchy and well suited on clear ground. Usable rather mild temperature, so less in winter. Recommended</v>
      </c>
    </row>
    <row r="10014">
      <c r="A10014" s="1">
        <v>5.0</v>
      </c>
      <c r="B10014" s="1" t="s">
        <v>787</v>
      </c>
      <c r="C10014" t="str">
        <f>IFERROR(__xludf.DUMMYFUNCTION("GOOGLETRANSLATE(B10014, ""fr"", ""en"")"),"Very good product great product")</f>
        <v>Very good product great product</v>
      </c>
    </row>
    <row r="10015">
      <c r="A10015" s="1">
        <v>5.0</v>
      </c>
      <c r="B10015" s="1" t="s">
        <v>9859</v>
      </c>
      <c r="C10015" t="str">
        <f>IFERROR(__xludf.DUMMYFUNCTION("GOOGLETRANSLATE(B10015, ""fr"", ""en"")"),"pendentil great necklace since I bought it I did not withdraw, classy and discreet ... as I like! This is a real gem silver classy I will definitely buy more for my sisters I recommend this product very highly")</f>
        <v>pendentil great necklace since I bought it I did not withdraw, classy and discreet ... as I like! This is a real gem silver classy I will definitely buy more for my sisters I recommend this product very highly</v>
      </c>
    </row>
    <row r="10016">
      <c r="A10016" s="1">
        <v>5.0</v>
      </c>
      <c r="B10016" s="1" t="s">
        <v>9860</v>
      </c>
      <c r="C10016" t="str">
        <f>IFERROR(__xludf.DUMMYFUNCTION("GOOGLETRANSLATE(B10016, ""fr"", ""en"")"),"Good Product This product is good; sufficient quality for the price and it is as good as the original")</f>
        <v>Good Product This product is good; sufficient quality for the price and it is as good as the original</v>
      </c>
    </row>
    <row r="10017">
      <c r="A10017" s="1">
        <v>5.0</v>
      </c>
      <c r="B10017" s="1" t="s">
        <v>9861</v>
      </c>
      <c r="C10017" t="str">
        <f>IFERROR(__xludf.DUMMYFUNCTION("GOOGLETRANSLATE(B10017, ""fr"", ""en"")"),"Waiting for Christmas. .. I bought these Advent calendars for my grandchildren who ask me every year. They are fond of this brand and these calendars delight.")</f>
        <v>Waiting for Christmas. .. I bought these Advent calendars for my grandchildren who ask me every year. They are fond of this brand and these calendars delight.</v>
      </c>
    </row>
    <row r="10018">
      <c r="A10018" s="1">
        <v>5.0</v>
      </c>
      <c r="B10018" s="1" t="s">
        <v>9862</v>
      </c>
      <c r="C10018" t="str">
        <f>IFERROR(__xludf.DUMMYFUNCTION("GOOGLETRANSLATE(B10018, ""fr"", ""en"")"),"Practical and hot Super sweat")</f>
        <v>Practical and hot Super sweat</v>
      </c>
    </row>
    <row r="10019">
      <c r="A10019" s="1">
        <v>5.0</v>
      </c>
      <c r="B10019" s="1" t="s">
        <v>9863</v>
      </c>
      <c r="C10019" t="str">
        <f>IFERROR(__xludf.DUMMYFUNCTION("GOOGLETRANSLATE(B10019, ""fr"", ""en"")"),"Riverdale Sweat Sweat Beautiful unless the material is not top ...")</f>
        <v>Riverdale Sweat Sweat Beautiful unless the material is not top ...</v>
      </c>
    </row>
    <row r="10020">
      <c r="A10020" s="1">
        <v>5.0</v>
      </c>
      <c r="B10020" s="1" t="s">
        <v>9864</v>
      </c>
      <c r="C10020" t="str">
        <f>IFERROR(__xludf.DUMMYFUNCTION("GOOGLETRANSLATE(B10020, ""fr"", ""en"")"),"although the top top")</f>
        <v>although the top top</v>
      </c>
    </row>
    <row r="10021">
      <c r="A10021" s="1">
        <v>5.0</v>
      </c>
      <c r="B10021" s="1" t="s">
        <v>9865</v>
      </c>
      <c r="C10021" t="str">
        <f>IFERROR(__xludf.DUMMYFUNCTION("GOOGLETRANSLATE(B10021, ""fr"", ""en"")"),"Perfect. The Blue Yeti was, and still is even in 2019, one of the most effective microphone that I have seen and used. Simply plug it into a USB port and no software or drivers are required. I use this microphone for personal purposes (Discord, Skype, Twi"&amp;"tch, YouTube, games, ...) but it is ideal for professional and serious purposes. I installed on any hinged arm and the Blue Yeti it is accommodated without any worry. It has 4 different modes and a leaflet in French explaining and detailing each of its mo"&amp;"des accurately even novices can use it without problem. The 4 modes are: two-way cardioid and omnidirectional stereo. They are all very efficient and very helpful. The Blue Yeti also has a wheel below that of modes that can increase or reduce its gain. Th"&amp;"e microphone recording much of its basic area, I suggest turning the wheel to the minimum (counterclockwise wise) because could interfere during conversations or recordings. I definitely recommend this major success that is the Blue Yeti, as said before, "&amp;"it is suitable for any type of project, with a price more than honest.")</f>
        <v>Perfect. The Blue Yeti was, and still is even in 2019, one of the most effective microphone that I have seen and used. Simply plug it into a USB port and no software or drivers are required. I use this microphone for personal purposes (Discord, Skype, Twitch, YouTube, games, ...) but it is ideal for professional and serious purposes. I installed on any hinged arm and the Blue Yeti it is accommodated without any worry. It has 4 different modes and a leaflet in French explaining and detailing each of its modes accurately even novices can use it without problem. The 4 modes are: two-way cardioid and omnidirectional stereo. They are all very efficient and very helpful. The Blue Yeti also has a wheel below that of modes that can increase or reduce its gain. The microphone recording much of its basic area, I suggest turning the wheel to the minimum (counterclockwise wise) because could interfere during conversations or recordings. I definitely recommend this major success that is the Blue Yeti, as said before, it is suitable for any type of project, with a price more than honest.</v>
      </c>
    </row>
    <row r="10022">
      <c r="A10022" s="1">
        <v>5.0</v>
      </c>
      <c r="B10022" s="1" t="s">
        <v>9866</v>
      </c>
      <c r="C10022" t="str">
        <f>IFERROR(__xludf.DUMMYFUNCTION("GOOGLETRANSLATE(B10022, ""fr"", ""en"")"),"Full model and discreet, but do not press the buttons under water. Model very casual, ordinary and unobtrusive. The frame and strap are matt black, but to light the watch appears dark anthracite. It is indicated on amazon.fr, as a woman watch with bracele"&amp;"t length ""size Standard Man?"". I 20cm wrist circumference. I therefore put the 3rd step of the loop of the strap tight. A detail can be a confusing, the first number of scores 2 hours is less wide, which looks weird from 20H to 23H. The package is big e"&amp;"nough, there is no protective sheet to remove the glass plexiglass watch. It is wedged with a block of foam anthracite, in a cardboard folded cubic, rather pretty. Never having had wrist watches, I was a little confused at first, for its setting and its u"&amp;"se. Small jobs abbreviated fashion: We must therefore, move from one mode to another by pressing the ""MODE"" button (bottom left). Until then, nothing illogical. For setting the time and date, for example: Stand on ""Hours of the Day"" (bottom left butto"&amp;"n). We sail in: hours; minutes; seconds; month; day number; abbreviated letters of the day in English, with the ""LIGHT"" button (top left). values ​​are indicated with the ""START-STOP"" (bottom right). To switch from 12H 24H mode eg: When one is in the "&amp;"mode ""Time of day"" and that the values ​​for setting stops flashing. One can switch from ""AM"" to ""24H"" by pressing once the ""START-STOP"" (bottom right). To set the ""ALARM"" mode (bottom left button): We sail with the ""LIGHT"" button (top left). "&amp;"Time is changing, minute alarm and adjusted either mode the alarm ringtone 1 times a day, with the bar shaped wave and / or beep every hour with a bell or anything, with the "" START-STOP ""(bottom right). In ""CHRONO"" (bottom left button) to zero is put"&amp;" with the ""LIGHT"" button (top left) after using the ""START-STOP"" (bottom right) to stop the stopwatch. On the spear and stop with the ""START-STOP"" (bottom right). To illuminate the face at night. I will give a thousand. We still press the ""LIGHT"" "&amp;"button (top left) ""The precise instructions that it is water resistant to 50 meters But as underwater, you should not. change mode, or press the keys so no liquid seeps into the watch precisely at the keys. If you do not use too often continuously the """&amp;"LIGHT"" button (top left) the battery is supposed to last about 3 years. It is recommended to change or change the seal and the watch battery at the end of this period of 3 years. It is a classic brand, a bestseller. A very good compromise between the ent"&amp;"ry level and high end. it is often discounted.")</f>
        <v>Full model and discreet, but do not press the buttons under water. Model very casual, ordinary and unobtrusive. The frame and strap are matt black, but to light the watch appears dark anthracite. It is indicated on amazon.fr, as a woman watch with bracelet length "size Standard Man?". I 20cm wrist circumference. I therefore put the 3rd step of the loop of the strap tight. A detail can be a confusing, the first number of scores 2 hours is less wide, which looks weird from 20H to 23H. The package is big enough, there is no protective sheet to remove the glass plexiglass watch. It is wedged with a block of foam anthracite, in a cardboard folded cubic, rather pretty. Never having had wrist watches, I was a little confused at first, for its setting and its use. Small jobs abbreviated fashion: We must therefore, move from one mode to another by pressing the "MODE" button (bottom left). Until then, nothing illogical. For setting the time and date, for example: Stand on "Hours of the Day" (bottom left button). We sail in: hours; minutes; seconds; month; day number; abbreviated letters of the day in English, with the "LIGHT" button (top left). values ​​are indicated with the "START-STOP" (bottom right). To switch from 12H 24H mode eg: When one is in the mode "Time of day" and that the values ​​for setting stops flashing. One can switch from "AM" to "24H" by pressing once the "START-STOP" (bottom right). To set the "ALARM" mode (bottom left button): We sail with the "LIGHT" button (top left). Time is changing, minute alarm and adjusted either mode the alarm ringtone 1 times a day, with the bar shaped wave and / or beep every hour with a bell or anything, with the " START-STOP "(bottom right). In "CHRONO" (bottom left button) to zero is put with the "LIGHT" button (top left) after using the "START-STOP" (bottom right) to stop the stopwatch. On the spear and stop with the "START-STOP" (bottom right). To illuminate the face at night. I will give a thousand. We still press the "LIGHT" button (top left) "The precise instructions that it is water resistant to 50 meters But as underwater, you should not. change mode, or press the keys so no liquid seeps into the watch precisely at the keys. If you do not use too often continuously the "LIGHT" button (top left) the battery is supposed to last about 3 years. It is recommended to change or change the seal and the watch battery at the end of this period of 3 years. It is a classic brand, a bestseller. A very good compromise between the entry level and high end. it is often discounted.</v>
      </c>
    </row>
    <row r="10023">
      <c r="A10023" s="1">
        <v>2.0</v>
      </c>
      <c r="B10023" s="1" t="s">
        <v>9867</v>
      </c>
      <c r="C10023" t="str">
        <f>IFERROR(__xludf.DUMMYFUNCTION("GOOGLETRANSLATE(B10023, ""fr"", ""en"")"),"bag not too satisfied with the first week the strap has broken.")</f>
        <v>bag not too satisfied with the first week the strap has broken.</v>
      </c>
    </row>
    <row r="10024">
      <c r="A10024" s="1">
        <v>1.0</v>
      </c>
      <c r="B10024" s="1" t="s">
        <v>9868</v>
      </c>
      <c r="C10024" t="str">
        <f>IFERROR(__xludf.DUMMYFUNCTION("GOOGLETRANSLATE(B10024, ""fr"", ""en"")"),"Totally unnecessary ineffective ineffective! Fortunately cheap on Amazon (almost 10 times on other sites ...)")</f>
        <v>Totally unnecessary ineffective ineffective! Fortunately cheap on Amazon (almost 10 times on other sites ...)</v>
      </c>
    </row>
    <row r="10025">
      <c r="A10025" s="1">
        <v>1.0</v>
      </c>
      <c r="B10025" s="1" t="s">
        <v>9869</v>
      </c>
      <c r="C10025" t="str">
        <f>IFERROR(__xludf.DUMMYFUNCTION("GOOGLETRANSLATE(B10025, ""fr"", ""en"")"),"Do not recommend at all, it's a shame because it was beautiful! I threw it after 2 days, it has become all black except I put in the water !!!")</f>
        <v>Do not recommend at all, it's a shame because it was beautiful! I threw it after 2 days, it has become all black except I put in the water !!!</v>
      </c>
    </row>
    <row r="10026">
      <c r="A10026" s="1">
        <v>3.0</v>
      </c>
      <c r="B10026" s="1" t="s">
        <v>9870</v>
      </c>
      <c r="C10026" t="str">
        <f>IFERROR(__xludf.DUMMYFUNCTION("GOOGLETRANSLATE(B10026, ""fr"", ""en"")"),"Good, but not strong enough level but his great ear headphones stopped working already ...")</f>
        <v>Good, but not strong enough level but his great ear headphones stopped working already ...</v>
      </c>
    </row>
    <row r="10027">
      <c r="A10027" s="1">
        <v>3.0</v>
      </c>
      <c r="B10027" s="1" t="s">
        <v>9871</v>
      </c>
      <c r="C10027" t="str">
        <f>IFERROR(__xludf.DUMMYFUNCTION("GOOGLETRANSLATE(B10027, ""fr"", ""en"")"),"shows man cadio this watch is very good, original, one drawback bracelet, not easy to remove the links, it is too long.bon good value for money ratio.")</f>
        <v>shows man cadio this watch is very good, original, one drawback bracelet, not easy to remove the links, it is too long.bon good value for money ratio.</v>
      </c>
    </row>
    <row r="10028">
      <c r="A10028" s="1">
        <v>4.0</v>
      </c>
      <c r="B10028" s="1" t="s">
        <v>9872</v>
      </c>
      <c r="C10028" t="str">
        <f>IFERROR(__xludf.DUMMYFUNCTION("GOOGLETRANSLATE(B10028, ""fr"", ""en"")"),"Super boots These boots are very good and very comfortable. Note that carve a fair bit compared to other Clarks boots and suddenly they are a little tight.")</f>
        <v>Super boots These boots are very good and very comfortable. Note that carve a fair bit compared to other Clarks boots and suddenly they are a little tight.</v>
      </c>
    </row>
    <row r="10029">
      <c r="A10029" s="1">
        <v>4.0</v>
      </c>
      <c r="B10029" s="1" t="s">
        <v>9873</v>
      </c>
      <c r="C10029" t="str">
        <f>IFERROR(__xludf.DUMMYFUNCTION("GOOGLETRANSLATE(B10029, ""fr"", ""en"")"),"Quality It is not counterfeit priori, the finish is at the rendezvous, the true color picture (sand / beige) size matches.")</f>
        <v>Quality It is not counterfeit priori, the finish is at the rendezvous, the true color picture (sand / beige) size matches.</v>
      </c>
    </row>
    <row r="10030">
      <c r="A10030" s="1">
        <v>4.0</v>
      </c>
      <c r="B10030" s="1" t="s">
        <v>9874</v>
      </c>
      <c r="C10030" t="str">
        <f>IFERROR(__xludf.DUMMYFUNCTION("GOOGLETRANSLATE(B10030, ""fr"", ""en"")"),"Cool design good watch, nice, fun time schedules, legible, light wrist. average height.")</f>
        <v>Cool design good watch, nice, fun time schedules, legible, light wrist. average height.</v>
      </c>
    </row>
    <row r="10031">
      <c r="A10031" s="1">
        <v>4.0</v>
      </c>
      <c r="B10031" s="1" t="s">
        <v>9875</v>
      </c>
      <c r="C10031" t="str">
        <f>IFERROR(__xludf.DUMMYFUNCTION("GOOGLETRANSLATE(B10031, ""fr"", ""en"")"),"good good to see over time")</f>
        <v>good good to see over time</v>
      </c>
    </row>
    <row r="10032">
      <c r="A10032" s="1">
        <v>4.0</v>
      </c>
      <c r="B10032" s="1" t="s">
        <v>9876</v>
      </c>
      <c r="C10032" t="str">
        <f>IFERROR(__xludf.DUMMYFUNCTION("GOOGLETRANSLATE(B10032, ""fr"", ""en"")"),"It must of course know perfect size basketball Converse This is a product that meets and good quality I recommend this product")</f>
        <v>It must of course know perfect size basketball Converse This is a product that meets and good quality I recommend this product</v>
      </c>
    </row>
    <row r="10033">
      <c r="A10033" s="1">
        <v>5.0</v>
      </c>
      <c r="B10033" s="1" t="s">
        <v>9877</v>
      </c>
      <c r="C10033" t="str">
        <f>IFERROR(__xludf.DUMMYFUNCTION("GOOGLETRANSLATE(B10033, ""fr"", ""en"")"),"Although profitable more profitable than small rolls of trade! similar quality. nice pattern")</f>
        <v>Although profitable more profitable than small rolls of trade! similar quality. nice pattern</v>
      </c>
    </row>
    <row r="10034">
      <c r="A10034" s="1">
        <v>5.0</v>
      </c>
      <c r="B10034" s="1" t="s">
        <v>9878</v>
      </c>
      <c r="C10034" t="str">
        <f>IFERROR(__xludf.DUMMYFUNCTION("GOOGLETRANSLATE(B10034, ""fr"", ""en"")"),"Very good sound quality, insulation on top. Received the headphones very quickly. Quite surprised by the sound quality when well positioned in the ears, they equal or are better than AirPods (because Airpods have no sound insulation). The touch controls w"&amp;"ork very well. The pros: -Quality sound -The price (paid 59 €) -The comfort -L'isolation -Simplicity use (out of the cases, automatically connect and disconnect as soon as the range) -The case is of very good quality -: -A little mass compared to AirPods "&amp;"-Support Micro-USB Type-C and not")</f>
        <v>Very good sound quality, insulation on top. Received the headphones very quickly. Quite surprised by the sound quality when well positioned in the ears, they equal or are better than AirPods (because Airpods have no sound insulation). The touch controls work very well. The pros: -Quality sound -The price (paid 59 €) -The comfort -L'isolation -Simplicity use (out of the cases, automatically connect and disconnect as soon as the range) -The case is of very good quality -: -A little mass compared to AirPods -Support Micro-USB Type-C and not</v>
      </c>
    </row>
    <row r="10035">
      <c r="A10035" s="1">
        <v>5.0</v>
      </c>
      <c r="B10035" s="1" t="s">
        <v>9879</v>
      </c>
      <c r="C10035" t="str">
        <f>IFERROR(__xludf.DUMMYFUNCTION("GOOGLETRANSLATE(B10035, ""fr"", ""en"")"),"Effect Ideal for a small gift.")</f>
        <v>Effect Ideal for a small gift.</v>
      </c>
    </row>
    <row r="10036">
      <c r="A10036" s="1">
        <v>5.0</v>
      </c>
      <c r="B10036" s="1" t="s">
        <v>9880</v>
      </c>
      <c r="C10036" t="str">
        <f>IFERROR(__xludf.DUMMYFUNCTION("GOOGLETRANSLATE(B10036, ""fr"", ""en"")"),"Price a bit high but very good product price a little high compared to other bath feet first prix.Mais worth the cost. It is solid, and mache well with temperature. just below the rollers do not drive as expected")</f>
        <v>Price a bit high but very good product price a little high compared to other bath feet first prix.Mais worth the cost. It is solid, and mache well with temperature. just below the rollers do not drive as expected</v>
      </c>
    </row>
    <row r="10037">
      <c r="A10037" s="1">
        <v>5.0</v>
      </c>
      <c r="B10037" s="1" t="s">
        <v>9881</v>
      </c>
      <c r="C10037" t="str">
        <f>IFERROR(__xludf.DUMMYFUNCTION("GOOGLETRANSLATE(B10037, ""fr"", ""en"")"),"Sorel Men Perfect and comply with the order. Take 1/2 size larger than your shoe size! I calculated my shot, Nickel! Great product!")</f>
        <v>Sorel Men Perfect and comply with the order. Take 1/2 size larger than your shoe size! I calculated my shot, Nickel! Great product!</v>
      </c>
    </row>
    <row r="10038">
      <c r="A10038" s="1">
        <v>5.0</v>
      </c>
      <c r="B10038" s="1" t="s">
        <v>2512</v>
      </c>
      <c r="C10038" t="str">
        <f>IFERROR(__xludf.DUMMYFUNCTION("GOOGLETRANSLATE(B10038, ""fr"", ""en"")"),"Fast shipping and product conformity Good price")</f>
        <v>Fast shipping and product conformity Good price</v>
      </c>
    </row>
    <row r="10039">
      <c r="A10039" s="1">
        <v>5.0</v>
      </c>
      <c r="B10039" s="1" t="s">
        <v>9882</v>
      </c>
      <c r="C10039" t="str">
        <f>IFERROR(__xludf.DUMMYFUNCTION("GOOGLETRANSLATE(B10039, ""fr"", ""en"")"),"Convenient for sport A pair of earbuds that really like very well. Ideal to go running or biking without fear of dropping them. The battery stand for several hours and it is easy to carry around the small charging case. The overall design is rather nice, "&amp;"it's a quality product.")</f>
        <v>Convenient for sport A pair of earbuds that really like very well. Ideal to go running or biking without fear of dropping them. The battery stand for several hours and it is easy to carry around the small charging case. The overall design is rather nice, it's a quality product.</v>
      </c>
    </row>
    <row r="10040">
      <c r="A10040" s="1">
        <v>5.0</v>
      </c>
      <c r="B10040" s="1" t="s">
        <v>9883</v>
      </c>
      <c r="C10040" t="str">
        <f>IFERROR(__xludf.DUMMYFUNCTION("GOOGLETRANSLATE(B10040, ""fr"", ""en"")"),"Top of lightness! Article that I wanted. Nice line, beautiful color and ease to wear. In addition, these shoes are ultra light.")</f>
        <v>Top of lightness! Article that I wanted. Nice line, beautiful color and ease to wear. In addition, these shoes are ultra light.</v>
      </c>
    </row>
    <row r="10041">
      <c r="A10041" s="1">
        <v>5.0</v>
      </c>
      <c r="B10041" s="1" t="s">
        <v>9884</v>
      </c>
      <c r="C10041" t="str">
        <f>IFERROR(__xludf.DUMMYFUNCTION("GOOGLETRANSLATE(B10041, ""fr"", ""en"")"),"Satisfied I am satisfied with this bottle. The handle is compatible with bottles of the same brand. I changed the nipple to adjust the flow rate need my baby.")</f>
        <v>Satisfied I am satisfied with this bottle. The handle is compatible with bottles of the same brand. I changed the nipple to adjust the flow rate need my baby.</v>
      </c>
    </row>
    <row r="10042">
      <c r="A10042" s="1">
        <v>5.0</v>
      </c>
      <c r="B10042" s="1" t="s">
        <v>9885</v>
      </c>
      <c r="C10042" t="str">
        <f>IFERROR(__xludf.DUMMYFUNCTION("GOOGLETRANSLATE(B10042, ""fr"", ""en"")"),"Sony entry-level product, not for purists unlike WH 1000 XM3, but it is not the purpose of the purchase. Very Boone manufacture, easy to store.")</f>
        <v>Sony entry-level product, not for purists unlike WH 1000 XM3, but it is not the purpose of the purchase. Very Boone manufacture, easy to store.</v>
      </c>
    </row>
    <row r="10043">
      <c r="A10043" s="1">
        <v>5.0</v>
      </c>
      <c r="B10043" s="1" t="s">
        <v>9886</v>
      </c>
      <c r="C10043" t="str">
        <f>IFERROR(__xludf.DUMMYFUNCTION("GOOGLETRANSLATE(B10043, ""fr"", ""en"")"),"Great selection table Super good value, I'd recommend.")</f>
        <v>Great selection table Super good value, I'd recommend.</v>
      </c>
    </row>
    <row r="10044">
      <c r="A10044" s="1">
        <v>5.0</v>
      </c>
      <c r="B10044" s="1" t="s">
        <v>9887</v>
      </c>
      <c r="C10044" t="str">
        <f>IFERROR(__xludf.DUMMYFUNCTION("GOOGLETRANSLATE(B10044, ""fr"", ""en"")"),"My son loves, and comfort is sufficient. My son's door every day for 1 month, no worries, comfortable, nice and not damaged, so I recommend!")</f>
        <v>My son loves, and comfort is sufficient. My son's door every day for 1 month, no worries, comfortable, nice and not damaged, so I recommend!</v>
      </c>
    </row>
    <row r="10045">
      <c r="A10045" s="1">
        <v>5.0</v>
      </c>
      <c r="B10045" s="1" t="s">
        <v>9888</v>
      </c>
      <c r="C10045" t="str">
        <f>IFERROR(__xludf.DUMMYFUNCTION("GOOGLETRANSLATE(B10045, ""fr"", ""en"")"),"TOP TOP TOP !!! Passing 50% of my business on the road, and for a first test, I recommend. It'll be my best friend in the evening rentrant.Je just move me 3 cervical vertebrae. Replacing by osteopath. I needed to put the nerves and muscles in place. First"&amp;" tests successful, I still regret the movements that changes every minutes.Certain movement are resting, and other less conclusive. The + is the use of cigarette lighter, when you made the road. He could have put 5 minute each. Heating is a little too hot"&amp;" for my taste, but it does the job. I already have a heating Massager SBM-500H Shiatsu which go from the lower back to the shoulders. With this one, I have the fitness range shiatsu.")</f>
        <v>TOP TOP TOP !!! Passing 50% of my business on the road, and for a first test, I recommend. It'll be my best friend in the evening rentrant.Je just move me 3 cervical vertebrae. Replacing by osteopath. I needed to put the nerves and muscles in place. First tests successful, I still regret the movements that changes every minutes.Certain movement are resting, and other less conclusive. The + is the use of cigarette lighter, when you made the road. He could have put 5 minute each. Heating is a little too hot for my taste, but it does the job. I already have a heating Massager SBM-500H Shiatsu which go from the lower back to the shoulders. With this one, I have the fitness range shiatsu.</v>
      </c>
    </row>
    <row r="10046">
      <c r="A10046" s="1">
        <v>5.0</v>
      </c>
      <c r="B10046" s="1" t="s">
        <v>9889</v>
      </c>
      <c r="C10046" t="str">
        <f>IFERROR(__xludf.DUMMYFUNCTION("GOOGLETRANSLATE(B10046, ""fr"", ""en"")"),"Efficient and delicately scented. Of course this laundry is not environmentally friendly, but no more or no less than most. A flower Monoi and Aloe milk, his blue ""Curaçao"" or made lagoon dream. Obviously if you smell its fragrance undiluted, it can be "&amp;"heady, however at the end of a machine, the machine feels just a slightly exotic fresh smell and very pleasant Furthermore this liquid detergent is very concentrated. (40% more than the others) that's why each can, with a measuring cap is sold 43 to perfo"&amp;"rm washing (I would say 35) but still it is not all bad. I find it effective without being aggressive with the laundry. It can be used at any temperature, and that's good to point out (how restrictive are) especially those in cartons. Issue price, given i"&amp;"ts concentration and quality, I find its correct price, it corresponds to that practiced in stores")</f>
        <v>Efficient and delicately scented. Of course this laundry is not environmentally friendly, but no more or no less than most. A flower Monoi and Aloe milk, his blue "Curaçao" or made lagoon dream. Obviously if you smell its fragrance undiluted, it can be heady, however at the end of a machine, the machine feels just a slightly exotic fresh smell and very pleasant Furthermore this liquid detergent is very concentrated. (40% more than the others) that's why each can, with a measuring cap is sold 43 to perform washing (I would say 35) but still it is not all bad. I find it effective without being aggressive with the laundry. It can be used at any temperature, and that's good to point out (how restrictive are) especially those in cartons. Issue price, given its concentration and quality, I find its correct price, it corresponds to that practiced in stores</v>
      </c>
    </row>
    <row r="10047">
      <c r="A10047" s="1">
        <v>5.0</v>
      </c>
      <c r="B10047" s="1" t="s">
        <v>3483</v>
      </c>
      <c r="C10047" t="str">
        <f>IFERROR(__xludf.DUMMYFUNCTION("GOOGLETRANSLATE(B10047, ""fr"", ""en"")"),"I looove! Impeccable! A must for the model and too practical for the material (leather) They are good even after the assets carried by rain. easy to clean and maintain. I hope to keep a good time!")</f>
        <v>I looove! Impeccable! A must for the model and too practical for the material (leather) They are good even after the assets carried by rain. easy to clean and maintain. I hope to keep a good time!</v>
      </c>
    </row>
    <row r="10048">
      <c r="A10048" s="1">
        <v>2.0</v>
      </c>
      <c r="B10048" s="1" t="s">
        <v>9890</v>
      </c>
      <c r="C10048" t="str">
        <f>IFERROR(__xludf.DUMMYFUNCTION("GOOGLETRANSLATE(B10048, ""fr"", ""en"")"),"not satisfied I have taken additional 1 1/2 size (as advised) but even that's too small to use so only without socks, and again. has the other hand the sole of the 'spikes' that you do not understand the usefulness but very unpleasant touch. In short, I t"&amp;"hink I'll put ever!")</f>
        <v>not satisfied I have taken additional 1 1/2 size (as advised) but even that's too small to use so only without socks, and again. has the other hand the sole of the 'spikes' that you do not understand the usefulness but very unpleasant touch. In short, I think I'll put ever!</v>
      </c>
    </row>
    <row r="10049">
      <c r="A10049" s="1">
        <v>1.0</v>
      </c>
      <c r="B10049" s="1" t="s">
        <v>9891</v>
      </c>
      <c r="C10049" t="str">
        <f>IFERROR(__xludf.DUMMYFUNCTION("GOOGLETRANSLATE(B10049, ""fr"", ""en"")"),"2 orders of bags 2 return 2 orders of bags and 2 returns in 2 weeks ... A return because of a piece into the cove disjointed and one back because of the missing ring holding one side of shackle.")</f>
        <v>2 orders of bags 2 return 2 orders of bags and 2 returns in 2 weeks ... A return because of a piece into the cove disjointed and one back because of the missing ring holding one side of shackle.</v>
      </c>
    </row>
    <row r="10050">
      <c r="A10050" s="1">
        <v>1.0</v>
      </c>
      <c r="B10050" s="1" t="s">
        <v>9892</v>
      </c>
      <c r="C10050" t="str">
        <f>IFERROR(__xludf.DUMMYFUNCTION("GOOGLETRANSLATE(B10050, ""fr"", ""en"")"),"Catastrophic Do absolutely not work on my blackboard / chalk. Moreover, I wanted to return the item and return bar code does not work in relay point ... I am very disappointed")</f>
        <v>Catastrophic Do absolutely not work on my blackboard / chalk. Moreover, I wanted to return the item and return bar code does not work in relay point ... I am very disappointed</v>
      </c>
    </row>
    <row r="10051">
      <c r="A10051" s="1">
        <v>3.0</v>
      </c>
      <c r="B10051" s="1" t="s">
        <v>9893</v>
      </c>
      <c r="C10051" t="str">
        <f>IFERROR(__xludf.DUMMYFUNCTION("GOOGLETRANSLATE(B10051, ""fr"", ""en"")"),"attention the size, it can be a colant !!! Acknowledged 2 xl, normally I should swim a little, well it's just the opposite. It feels like a tight sticky, can be useful for the winter under pants but no more in my case ...")</f>
        <v>attention the size, it can be a colant !!! Acknowledged 2 xl, normally I should swim a little, well it's just the opposite. It feels like a tight sticky, can be useful for the winter under pants but no more in my case ...</v>
      </c>
    </row>
    <row r="10052">
      <c r="A10052" s="1">
        <v>3.0</v>
      </c>
      <c r="B10052" s="1" t="s">
        <v>9894</v>
      </c>
      <c r="C10052" t="str">
        <f>IFERROR(__xludf.DUMMYFUNCTION("GOOGLETRANSLATE(B10052, ""fr"", ""en"")"),"Very beautiful very satisfied with my purchase thank you cordially")</f>
        <v>Very beautiful very satisfied with my purchase thank you cordially</v>
      </c>
    </row>
    <row r="10053">
      <c r="A10053" s="1">
        <v>4.0</v>
      </c>
      <c r="B10053" s="1" t="s">
        <v>9895</v>
      </c>
      <c r="C10053" t="str">
        <f>IFERROR(__xludf.DUMMYFUNCTION("GOOGLETRANSLATE(B10053, ""fr"", ""en"")"),"Very Good Very good sound. A small flat on the strength.")</f>
        <v>Very Good Very good sound. A small flat on the strength.</v>
      </c>
    </row>
    <row r="10054">
      <c r="A10054" s="1">
        <v>4.0</v>
      </c>
      <c r="B10054" s="1" t="s">
        <v>9896</v>
      </c>
      <c r="C10054" t="str">
        <f>IFERROR(__xludf.DUMMYFUNCTION("GOOGLETRANSLATE(B10054, ""fr"", ""en"")"),"Date not very readable, no day of the week Good value, price.")</f>
        <v>Date not very readable, no day of the week Good value, price.</v>
      </c>
    </row>
    <row r="10055">
      <c r="A10055" s="1">
        <v>4.0</v>
      </c>
      <c r="B10055" s="1" t="s">
        <v>9897</v>
      </c>
      <c r="C10055" t="str">
        <f>IFERROR(__xludf.DUMMYFUNCTION("GOOGLETRANSLATE(B10055, ""fr"", ""en"")"),"Okay super convenient because does not take up too much space next to the sink. By cons must wash regularly because I can not seem to remove the mushrooms that grew in standing water to flow even with bleach.")</f>
        <v>Okay super convenient because does not take up too much space next to the sink. By cons must wash regularly because I can not seem to remove the mushrooms that grew in standing water to flow even with bleach.</v>
      </c>
    </row>
    <row r="10056">
      <c r="A10056" s="1">
        <v>4.0</v>
      </c>
      <c r="B10056" s="1" t="s">
        <v>9898</v>
      </c>
      <c r="C10056" t="str">
        <f>IFERROR(__xludf.DUMMYFUNCTION("GOOGLETRANSLATE(B10056, ""fr"", ""en"")"),"NW-700 kit + capacitor microphone nickel product, value for money OK. I'm really amazed when the quality of the product. Only downside, food sizzling all the time.")</f>
        <v>NW-700 kit + capacitor microphone nickel product, value for money OK. I'm really amazed when the quality of the product. Only downside, food sizzling all the time.</v>
      </c>
    </row>
    <row r="10057">
      <c r="A10057" s="1">
        <v>5.0</v>
      </c>
      <c r="B10057" s="1" t="s">
        <v>9899</v>
      </c>
      <c r="C10057" t="str">
        <f>IFERROR(__xludf.DUMMYFUNCTION("GOOGLETRANSLATE(B10057, ""fr"", ""en"")"),"Watch It's been almost 3 weeks since I wear it works great, the leather strap is solid, no complaints.")</f>
        <v>Watch It's been almost 3 weeks since I wear it works great, the leather strap is solid, no complaints.</v>
      </c>
    </row>
    <row r="10058">
      <c r="A10058" s="1">
        <v>5.0</v>
      </c>
      <c r="B10058" s="1" t="s">
        <v>9900</v>
      </c>
      <c r="C10058" t="str">
        <f>IFERROR(__xludf.DUMMYFUNCTION("GOOGLETRANSLATE(B10058, ""fr"", ""en"")"),"I recommend without hesitation I like the concept of these headphones. Truly Wireless. They are not too heavy and come with a range of silicone caps. Getting the right size to fit in the ear is not a problem. They carry small labels to attach to the ear. "&amp;"I find them very comfortable and did not have problems with them. Pairing with my camera is a breeze compared to others I've used. Just one click and it's done really well. The sound quality is excellent, more fleshy than what I expected and very clear. T"&amp;"he lifespan of the battery is 6 hours per charge. It comes with a portable charging unit that provides 3 additional loads. No problems with signal loss as some Bluetooth devices sometimes do. In summary, a great pair of heads compared to others on the mar"&amp;"ket is very good value for money. 5 stars.")</f>
        <v>I recommend without hesitation I like the concept of these headphones. Truly Wireless. They are not too heavy and come with a range of silicone caps. Getting the right size to fit in the ear is not a problem. They carry small labels to attach to the ear. I find them very comfortable and did not have problems with them. Pairing with my camera is a breeze compared to others I've used. Just one click and it's done really well. The sound quality is excellent, more fleshy than what I expected and very clear. The lifespan of the battery is 6 hours per charge. It comes with a portable charging unit that provides 3 additional loads. No problems with signal loss as some Bluetooth devices sometimes do. In summary, a great pair of heads compared to others on the market is very good value for money. 5 stars.</v>
      </c>
    </row>
    <row r="10059">
      <c r="A10059" s="1">
        <v>5.0</v>
      </c>
      <c r="B10059" s="1" t="s">
        <v>9901</v>
      </c>
      <c r="C10059" t="str">
        <f>IFERROR(__xludf.DUMMYFUNCTION("GOOGLETRANSLATE(B10059, ""fr"", ""en"")"),"Super Perfect purchase! Heats water to the ideal temperature instantly! Very easy to use! Top, in less than a minute the bottle is ready! A purchase that I recommend to all parents")</f>
        <v>Super Perfect purchase! Heats water to the ideal temperature instantly! Very easy to use! Top, in less than a minute the bottle is ready! A purchase that I recommend to all parents</v>
      </c>
    </row>
    <row r="10060">
      <c r="A10060" s="1">
        <v>5.0</v>
      </c>
      <c r="B10060" s="1" t="s">
        <v>508</v>
      </c>
      <c r="C10060" t="str">
        <f>IFERROR(__xludf.DUMMYFUNCTION("GOOGLETRANSLATE(B10060, ""fr"", ""en"")"),"Very well very well")</f>
        <v>Very well very well</v>
      </c>
    </row>
    <row r="10061">
      <c r="A10061" s="1">
        <v>5.0</v>
      </c>
      <c r="B10061" s="1" t="s">
        <v>9902</v>
      </c>
      <c r="C10061" t="str">
        <f>IFERROR(__xludf.DUMMYFUNCTION("GOOGLETRANSLATE(B10061, ""fr"", ""en"")"),"Perfect ! I use this adapter to connect my keyboard to my computer. No worries latency or else! Price mini and works perfectly! What more ?")</f>
        <v>Perfect ! I use this adapter to connect my keyboard to my computer. No worries latency or else! Price mini and works perfectly! What more ?</v>
      </c>
    </row>
    <row r="10062">
      <c r="A10062" s="1">
        <v>5.0</v>
      </c>
      <c r="B10062" s="1" t="s">
        <v>9903</v>
      </c>
      <c r="C10062" t="str">
        <f>IFERROR(__xludf.DUMMYFUNCTION("GOOGLETRANSLATE(B10062, ""fr"", ""en"")"),"Nice product, cheap! Watch lightly, okay tees quality for the price!")</f>
        <v>Nice product, cheap! Watch lightly, okay tees quality for the price!</v>
      </c>
    </row>
    <row r="10063">
      <c r="A10063" s="1">
        <v>5.0</v>
      </c>
      <c r="B10063" s="1" t="s">
        <v>9904</v>
      </c>
      <c r="C10063" t="str">
        <f>IFERROR(__xludf.DUMMYFUNCTION("GOOGLETRANSLATE(B10063, ""fr"", ""en"")"),"Best Bluetooth headset money Hello What about for bluetooth headset, very easy to equipment, quality sound right, reload speed, adaptable smartphone, TV, the battery lasted. Frankly for the price ras Sincerely")</f>
        <v>Best Bluetooth headset money Hello What about for bluetooth headset, very easy to equipment, quality sound right, reload speed, adaptable smartphone, TV, the battery lasted. Frankly for the price ras Sincerely</v>
      </c>
    </row>
    <row r="10064">
      <c r="A10064" s="1">
        <v>5.0</v>
      </c>
      <c r="B10064" s="1" t="s">
        <v>9905</v>
      </c>
      <c r="C10064" t="str">
        <f>IFERROR(__xludf.DUMMYFUNCTION("GOOGLETRANSLATE(B10064, ""fr"", ""en"")"),"Very good shoes Sending complies. The shoes are very comfortable. I have yet to see their use while hiking - it will be tomorrow.")</f>
        <v>Very good shoes Sending complies. The shoes are very comfortable. I have yet to see their use while hiking - it will be tomorrow.</v>
      </c>
    </row>
    <row r="10065">
      <c r="A10065" s="1">
        <v>5.0</v>
      </c>
      <c r="B10065" s="1" t="s">
        <v>9906</v>
      </c>
      <c r="C10065" t="str">
        <f>IFERROR(__xludf.DUMMYFUNCTION("GOOGLETRANSLATE(B10065, ""fr"", ""en"")"),"Electric kettle I like its design all in roundness. It seems good, heavy enough and the time of rapid heating. Excellent value for money I recommend this kettle.")</f>
        <v>Electric kettle I like its design all in roundness. It seems good, heavy enough and the time of rapid heating. Excellent value for money I recommend this kettle.</v>
      </c>
    </row>
    <row r="10066">
      <c r="A10066" s="1">
        <v>5.0</v>
      </c>
      <c r="B10066" s="1" t="s">
        <v>9907</v>
      </c>
      <c r="C10066" t="str">
        <f>IFERROR(__xludf.DUMMYFUNCTION("GOOGLETRANSLATE(B10066, ""fr"", ""en"")"),"trres good buy very good quality socks at first very good wash held very happy with my purchase I boil advises")</f>
        <v>trres good buy very good quality socks at first very good wash held very happy with my purchase I boil advises</v>
      </c>
    </row>
    <row r="10067">
      <c r="A10067" s="1">
        <v>5.0</v>
      </c>
      <c r="B10067" s="1" t="s">
        <v>9908</v>
      </c>
      <c r="C10067" t="str">
        <f>IFERROR(__xludf.DUMMYFUNCTION("GOOGLETRANSLATE(B10067, ""fr"", ""en"")"),"Super good quality shoes are really nicer in real than in the picture are very soft inside I'm really glad they are slip resistant and beautiful finishes I think looking for new shoes of the same brand on Amazon for my children because those are really go"&amp;"od :)")</f>
        <v>Super good quality shoes are really nicer in real than in the picture are very soft inside I'm really glad they are slip resistant and beautiful finishes I think looking for new shoes of the same brand on Amazon for my children because those are really good :)</v>
      </c>
    </row>
    <row r="10068">
      <c r="A10068" s="1">
        <v>5.0</v>
      </c>
      <c r="B10068" s="1" t="s">
        <v>9909</v>
      </c>
      <c r="C10068" t="str">
        <f>IFERROR(__xludf.DUMMYFUNCTION("GOOGLETRANSLATE(B10068, ""fr"", ""en"")"),"Very nice Very nice really like the picture")</f>
        <v>Very nice Very nice really like the picture</v>
      </c>
    </row>
    <row r="10069">
      <c r="A10069" s="1">
        <v>5.0</v>
      </c>
      <c r="B10069" s="1" t="s">
        <v>9910</v>
      </c>
      <c r="C10069" t="str">
        <f>IFERROR(__xludf.DUMMYFUNCTION("GOOGLETRANSLATE(B10069, ""fr"", ""en"")"),"Heating pad Easy to use and comfortable to wear on the body, its heat much good. I recommend this product.")</f>
        <v>Heating pad Easy to use and comfortable to wear on the body, its heat much good. I recommend this product.</v>
      </c>
    </row>
    <row r="10070">
      <c r="A10070" s="1">
        <v>5.0</v>
      </c>
      <c r="B10070" s="1" t="s">
        <v>9911</v>
      </c>
      <c r="C10070" t="str">
        <f>IFERROR(__xludf.DUMMYFUNCTION("GOOGLETRANSLATE(B10070, ""fr"", ""en"")"),"Impeccable To play sports")</f>
        <v>Impeccable To play sports</v>
      </c>
    </row>
    <row r="10071">
      <c r="A10071" s="1">
        <v>5.0</v>
      </c>
      <c r="B10071" s="1" t="s">
        <v>9912</v>
      </c>
      <c r="C10071" t="str">
        <f>IFERROR(__xludf.DUMMYFUNCTION("GOOGLETRANSLATE(B10071, ""fr"", ""en"")"),"Adapted to the exercise of sport Comes pretty quickly, beautiful packaging and elegant box. I was looking for headphones without son to use in gym. I tried this product yesterday and today and I think it holds up well in the same ear on a treadmill, resis"&amp;"ts sweat and perspiration and provides good sound quality. I'm happy")</f>
        <v>Adapted to the exercise of sport Comes pretty quickly, beautiful packaging and elegant box. I was looking for headphones without son to use in gym. I tried this product yesterday and today and I think it holds up well in the same ear on a treadmill, resists sweat and perspiration and provides good sound quality. I'm happy</v>
      </c>
    </row>
    <row r="10072">
      <c r="A10072" s="1">
        <v>2.0</v>
      </c>
      <c r="B10072" s="1" t="s">
        <v>9913</v>
      </c>
      <c r="C10072" t="str">
        <f>IFERROR(__xludf.DUMMYFUNCTION("GOOGLETRANSLATE(B10072, ""fr"", ""en"")"),"Rubbish micro and medium very bad microphone, headphones very average. I saw lots of positive ratings then I thought it would do the job, it was a mistake. Not to be buy if it is to call, has to avoid even listening to music.")</f>
        <v>Rubbish micro and medium very bad microphone, headphones very average. I saw lots of positive ratings then I thought it would do the job, it was a mistake. Not to be buy if it is to call, has to avoid even listening to music.</v>
      </c>
    </row>
    <row r="10073">
      <c r="A10073" s="1">
        <v>1.0</v>
      </c>
      <c r="B10073" s="1" t="s">
        <v>9914</v>
      </c>
      <c r="C10073" t="str">
        <f>IFERROR(__xludf.DUMMYFUNCTION("GOOGLETRANSLATE(B10073, ""fr"", ""en"")"),"Beautiful little quality pair of sneakers that I bought for work. But disappointed with my purchase, after 2 days a soles are already off in a shoe. Moreover feet sweats profusely in.")</f>
        <v>Beautiful little quality pair of sneakers that I bought for work. But disappointed with my purchase, after 2 days a soles are already off in a shoe. Moreover feet sweats profusely in.</v>
      </c>
    </row>
    <row r="10074">
      <c r="A10074" s="1">
        <v>1.0</v>
      </c>
      <c r="B10074" s="1" t="s">
        <v>9915</v>
      </c>
      <c r="C10074" t="str">
        <f>IFERROR(__xludf.DUMMYFUNCTION("GOOGLETRANSLATE(B10074, ""fr"", ""en"")"),"Pity No difference")</f>
        <v>Pity No difference</v>
      </c>
    </row>
    <row r="10075">
      <c r="A10075" s="1">
        <v>3.0</v>
      </c>
      <c r="B10075" s="1" t="s">
        <v>9916</v>
      </c>
      <c r="C10075" t="str">
        <f>IFERROR(__xludf.DUMMYFUNCTION("GOOGLETRANSLATE(B10075, ""fr"", ""en"")"),"Unsurprisingly equipment unsurprisingly, as usual good quality and price. To advice . . . . . . . .")</f>
        <v>Unsurprisingly equipment unsurprisingly, as usual good quality and price. To advice . . . . . . . .</v>
      </c>
    </row>
    <row r="10076">
      <c r="A10076" s="1">
        <v>4.0</v>
      </c>
      <c r="B10076" s="1" t="s">
        <v>9917</v>
      </c>
      <c r="C10076" t="str">
        <f>IFERROR(__xludf.DUMMYFUNCTION("GOOGLETRANSLATE(B10076, ""fr"", ""en"")"),"pretty nice watch but we feel that it is not worth the € 160 initially displayed")</f>
        <v>pretty nice watch but we feel that it is not worth the € 160 initially displayed</v>
      </c>
    </row>
    <row r="10077">
      <c r="A10077" s="1">
        <v>4.0</v>
      </c>
      <c r="B10077" s="1" t="s">
        <v>9918</v>
      </c>
      <c r="C10077" t="str">
        <f>IFERROR(__xludf.DUMMYFUNCTION("GOOGLETRANSLATE(B10077, ""fr"", ""en"")"),"parfais great value for money, a lighter color than the picture, sensitive product machine pay attention to washing and drying otherwise nothing really negative")</f>
        <v>parfais great value for money, a lighter color than the picture, sensitive product machine pay attention to washing and drying otherwise nothing really negative</v>
      </c>
    </row>
    <row r="10078">
      <c r="A10078" s="1">
        <v>4.0</v>
      </c>
      <c r="B10078" s="1" t="s">
        <v>9919</v>
      </c>
      <c r="C10078" t="str">
        <f>IFERROR(__xludf.DUMMYFUNCTION("GOOGLETRANSLATE(B10078, ""fr"", ""en"")"),"Nickel 😍 Very good product value for money I love. I took my husband to 2xxl 85kg 1m82 perfect and nothing to say my husband loves his low jogging, size and cut nickel is to ease into it I recommend it. I would take other colors for him.")</f>
        <v>Nickel 😍 Very good product value for money I love. I took my husband to 2xxl 85kg 1m82 perfect and nothing to say my husband loves his low jogging, size and cut nickel is to ease into it I recommend it. I would take other colors for him.</v>
      </c>
    </row>
    <row r="10079">
      <c r="A10079" s="1">
        <v>4.0</v>
      </c>
      <c r="B10079" s="1" t="s">
        <v>9920</v>
      </c>
      <c r="C10079" t="str">
        <f>IFERROR(__xludf.DUMMYFUNCTION("GOOGLETRANSLATE(B10079, ""fr"", ""en"")"),"Shoe Beautiful Light")</f>
        <v>Shoe Beautiful Light</v>
      </c>
    </row>
    <row r="10080">
      <c r="A10080" s="1">
        <v>5.0</v>
      </c>
      <c r="B10080" s="1" t="s">
        <v>9921</v>
      </c>
      <c r="C10080" t="str">
        <f>IFERROR(__xludf.DUMMYFUNCTION("GOOGLETRANSLATE(B10080, ""fr"", ""en"")"),"Perfect handy. Corresponds perfectly to my use. Very convenient, easy to maintain.")</f>
        <v>Perfect handy. Corresponds perfectly to my use. Very convenient, easy to maintain.</v>
      </c>
    </row>
    <row r="10081">
      <c r="A10081" s="1">
        <v>5.0</v>
      </c>
      <c r="B10081" s="1" t="s">
        <v>9922</v>
      </c>
      <c r="C10081" t="str">
        <f>IFERROR(__xludf.DUMMYFUNCTION("GOOGLETRANSLATE(B10081, ""fr"", ""en"")"),"Ras compliant Good product and I intend to recommend")</f>
        <v>Ras compliant Good product and I intend to recommend</v>
      </c>
    </row>
    <row r="10082">
      <c r="A10082" s="1">
        <v>5.0</v>
      </c>
      <c r="B10082" s="1" t="s">
        <v>9923</v>
      </c>
      <c r="C10082" t="str">
        <f>IFERROR(__xludf.DUMMYFUNCTION("GOOGLETRANSLATE(B10082, ""fr"", ""en"")"),"Stabilo Trio flexible pouch 18 markers My children are happy to use these markers, can be easily removed for washing, leaves no trace on the table and clothes on either. Delivery and correct price")</f>
        <v>Stabilo Trio flexible pouch 18 markers My children are happy to use these markers, can be easily removed for washing, leaves no trace on the table and clothes on either. Delivery and correct price</v>
      </c>
    </row>
    <row r="10083">
      <c r="A10083" s="1">
        <v>5.0</v>
      </c>
      <c r="B10083" s="1" t="s">
        <v>9924</v>
      </c>
      <c r="C10083" t="str">
        <f>IFERROR(__xludf.DUMMYFUNCTION("GOOGLETRANSLATE(B10083, ""fr"", ""en"")"),"New smells. Very good diffuser, leaves home a very pleasant smell, we can set the time for the diffuser releases a smell that was an important criterion for me. I already tested four types of essential oils, fragrance diffusion is very well done. Extremel"&amp;"y easy to use and clean. My family is really happy news odors from our house.")</f>
        <v>New smells. Very good diffuser, leaves home a very pleasant smell, we can set the time for the diffuser releases a smell that was an important criterion for me. I already tested four types of essential oils, fragrance diffusion is very well done. Extremely easy to use and clean. My family is really happy news odors from our house.</v>
      </c>
    </row>
    <row r="10084">
      <c r="A10084" s="1">
        <v>5.0</v>
      </c>
      <c r="B10084" s="1" t="s">
        <v>9925</v>
      </c>
      <c r="C10084" t="str">
        <f>IFERROR(__xludf.DUMMYFUNCTION("GOOGLETRANSLATE(B10084, ""fr"", ""en"")"),"🔝 Really good product to clean jewelry!")</f>
        <v>🔝 Really good product to clean jewelry!</v>
      </c>
    </row>
    <row r="10085">
      <c r="A10085" s="1">
        <v>5.0</v>
      </c>
      <c r="B10085" s="1" t="s">
        <v>9926</v>
      </c>
      <c r="C10085" t="str">
        <f>IFERROR(__xludf.DUMMYFUNCTION("GOOGLETRANSLATE(B10085, ""fr"", ""en"")"),"Ergonomic The connection is done simply. The headphones are lightweight and comfortable to the ear (several tips available). I use them in transit, the sound is clear with good bass. My husband borrows me to do sports, they are housed in the hollow of the"&amp;" ear without moving. The earphone housing is small, the headphones are housed perfectly inside. The remaining charge indicator is reliable. I also used the headset to phone, they have a built-in microphone, communication is perfect and my interlocutor hea"&amp;"rs me perfectly.")</f>
        <v>Ergonomic The connection is done simply. The headphones are lightweight and comfortable to the ear (several tips available). I use them in transit, the sound is clear with good bass. My husband borrows me to do sports, they are housed in the hollow of the ear without moving. The earphone housing is small, the headphones are housed perfectly inside. The remaining charge indicator is reliable. I also used the headset to phone, they have a built-in microphone, communication is perfect and my interlocutor hears me perfectly.</v>
      </c>
    </row>
    <row r="10086">
      <c r="A10086" s="1">
        <v>5.0</v>
      </c>
      <c r="B10086" s="1" t="s">
        <v>9927</v>
      </c>
      <c r="C10086" t="str">
        <f>IFERROR(__xludf.DUMMYFUNCTION("GOOGLETRANSLATE(B10086, ""fr"", ""en"")"),"Nikel Mainly used in mixture with other oils, essential oils, aloe and see water. For skin and scalp but mainly leather dread")</f>
        <v>Nikel Mainly used in mixture with other oils, essential oils, aloe and see water. For skin and scalp but mainly leather dread</v>
      </c>
    </row>
    <row r="10087">
      <c r="A10087" s="1">
        <v>5.0</v>
      </c>
      <c r="B10087" s="1" t="s">
        <v>9928</v>
      </c>
      <c r="C10087" t="str">
        <f>IFERROR(__xludf.DUMMYFUNCTION("GOOGLETRANSLATE(B10087, ""fr"", ""en"")"),"Nice and warm and lovely thick sweatshirt class. My son is delighted. He cuts very well.")</f>
        <v>Nice and warm and lovely thick sweatshirt class. My son is delighted. He cuts very well.</v>
      </c>
    </row>
    <row r="10088">
      <c r="A10088" s="1">
        <v>5.0</v>
      </c>
      <c r="B10088" s="1" t="s">
        <v>9929</v>
      </c>
      <c r="C10088" t="str">
        <f>IFERROR(__xludf.DUMMYFUNCTION("GOOGLETRANSLATE(B10088, ""fr"", ""en"")"),"Helmet very good I was lises this helmet to go to work every day by over an hour and a half now and I find that it is very powerful")</f>
        <v>Helmet very good I was lises this helmet to go to work every day by over an hour and a half now and I find that it is very powerful</v>
      </c>
    </row>
    <row r="10089">
      <c r="A10089" s="1">
        <v>5.0</v>
      </c>
      <c r="B10089" s="1" t="s">
        <v>9930</v>
      </c>
      <c r="C10089" t="str">
        <f>IFERROR(__xludf.DUMMYFUNCTION("GOOGLETRANSLATE(B10089, ""fr"", ""en"")"),"Top Very design and very good quality. Done very well its very boulot..chauffe fast ... I'm glad ... you do not hesitate to buy")</f>
        <v>Top Very design and very good quality. Done very well its very boulot..chauffe fast ... I'm glad ... you do not hesitate to buy</v>
      </c>
    </row>
    <row r="10090">
      <c r="A10090" s="1">
        <v>5.0</v>
      </c>
      <c r="B10090" s="1" t="s">
        <v>9931</v>
      </c>
      <c r="C10090" t="str">
        <f>IFERROR(__xludf.DUMMYFUNCTION("GOOGLETRANSLATE(B10090, ""fr"", ""en"")"),"Easy to use really cool and simple to use and very pretty too")</f>
        <v>Easy to use really cool and simple to use and very pretty too</v>
      </c>
    </row>
    <row r="10091">
      <c r="A10091" s="1">
        <v>5.0</v>
      </c>
      <c r="B10091" s="1" t="s">
        <v>4787</v>
      </c>
      <c r="C10091" t="str">
        <f>IFERROR(__xludf.DUMMYFUNCTION("GOOGLETRANSLATE(B10091, ""fr"", ""en"")"),"Consistent with the description consistent with the description")</f>
        <v>Consistent with the description consistent with the description</v>
      </c>
    </row>
    <row r="10092">
      <c r="A10092" s="1">
        <v>5.0</v>
      </c>
      <c r="B10092" s="1" t="s">
        <v>9932</v>
      </c>
      <c r="C10092" t="str">
        <f>IFERROR(__xludf.DUMMYFUNCTION("GOOGLETRANSLATE(B10092, ""fr"", ""en"")"),"100% compatible 100% compatible, equivalent print cartridges brands")</f>
        <v>100% compatible 100% compatible, equivalent print cartridges brands</v>
      </c>
    </row>
    <row r="10093">
      <c r="A10093" s="1">
        <v>5.0</v>
      </c>
      <c r="B10093" s="1" t="s">
        <v>9933</v>
      </c>
      <c r="C10093" t="str">
        <f>IFERROR(__xludf.DUMMYFUNCTION("GOOGLETRANSLATE(B10093, ""fr"", ""en"")"),"A complete kit to get started! A set of 6 Dodie brand baby bottles and teats are 6 round &amp; nbsp; &amp; nbsp included; in this nice kit. _2 150 ml bottles suitable from birth to 6 months _2 bottles of &amp; nbsp; 270 &amp; nbsp; mL -2 330 ml bottles suitable for babie"&amp;"s over 6 months teats have the advantage of being designed with an anti-colic system allowing for easier digestion and a lot less regurgitation. They are plastic compounds and are manufactured in France for a regulation much safer. Bottles perfectly suite"&amp;"d to a good start, very pretty with its various patterns (Truck &amp; nbsp; firefighters, &amp; nbsp; bunny ... The triangular design allows easy and comfortable handling of quality bottles for a very good report. &amp; Nbsp; quality -Price, a brand that is attentive"&amp;" to the expectations of parents needs.")</f>
        <v>A complete kit to get started! A set of 6 Dodie brand baby bottles and teats are 6 round &amp; nbsp; &amp; nbsp included; in this nice kit. _2 150 ml bottles suitable from birth to 6 months _2 bottles of &amp; nbsp; 270 &amp; nbsp; mL -2 330 ml bottles suitable for babies over 6 months teats have the advantage of being designed with an anti-colic system allowing for easier digestion and a lot less regurgitation. They are plastic compounds and are manufactured in France for a regulation much safer. Bottles perfectly suited to a good start, very pretty with its various patterns (Truck &amp; nbsp; firefighters, &amp; nbsp; bunny ... The triangular design allows easy and comfortable handling of quality bottles for a very good report. &amp; Nbsp; quality -Price, a brand that is attentive to the expectations of parents needs.</v>
      </c>
    </row>
    <row r="10094">
      <c r="A10094" s="1">
        <v>5.0</v>
      </c>
      <c r="B10094" s="1" t="s">
        <v>9934</v>
      </c>
      <c r="C10094" t="str">
        <f>IFERROR(__xludf.DUMMYFUNCTION("GOOGLETRANSLATE(B10094, ""fr"", ""en"")"),"Well Perfect for quick clean bottles. I recommend")</f>
        <v>Well Perfect for quick clean bottles. I recommend</v>
      </c>
    </row>
    <row r="10095">
      <c r="A10095" s="1">
        <v>2.0</v>
      </c>
      <c r="B10095" s="1" t="s">
        <v>9935</v>
      </c>
      <c r="C10095" t="str">
        <f>IFERROR(__xludf.DUMMYFUNCTION("GOOGLETRANSLATE(B10095, ""fr"", ""en"")"),"does not solve the connection problem I can say so or not, since the adapter does not allow me to operate the equipment. unnecessary purchase of this.")</f>
        <v>does not solve the connection problem I can say so or not, since the adapter does not allow me to operate the equipment. unnecessary purchase of this.</v>
      </c>
    </row>
    <row r="10096">
      <c r="A10096" s="1">
        <v>1.0</v>
      </c>
      <c r="B10096" s="1" t="s">
        <v>9936</v>
      </c>
      <c r="C10096" t="str">
        <f>IFERROR(__xludf.DUMMYFUNCTION("GOOGLETRANSLATE(B10096, ""fr"", ""en"")"),"priced much cheaper in supermarkets there is abuse it is important to comparison shop cdlt cdlt cdlt")</f>
        <v>priced much cheaper in supermarkets there is abuse it is important to comparison shop cdlt cdlt cdlt</v>
      </c>
    </row>
    <row r="10097">
      <c r="A10097" s="1">
        <v>3.0</v>
      </c>
      <c r="B10097" s="1" t="s">
        <v>9937</v>
      </c>
      <c r="C10097" t="str">
        <f>IFERROR(__xludf.DUMMYFUNCTION("GOOGLETRANSLATE(B10097, ""fr"", ""en"")"),"Decevant Matter is really not nice and really low quality makes")</f>
        <v>Decevant Matter is really not nice and really low quality makes</v>
      </c>
    </row>
    <row r="10098">
      <c r="A10098" s="1">
        <v>3.0</v>
      </c>
      <c r="B10098" s="1" t="s">
        <v>9938</v>
      </c>
      <c r="C10098" t="str">
        <f>IFERROR(__xludf.DUMMYFUNCTION("GOOGLETRANSLATE(B10098, ""fr"", ""en"")"),"Very nice and beautiful also lives up to the description. Beautiful watch model. Wear with all styles of clothing")</f>
        <v>Very nice and beautiful also lives up to the description. Beautiful watch model. Wear with all styles of clothing</v>
      </c>
    </row>
    <row r="10099">
      <c r="A10099" s="1">
        <v>4.0</v>
      </c>
      <c r="B10099" s="1" t="s">
        <v>9939</v>
      </c>
      <c r="C10099" t="str">
        <f>IFERROR(__xludf.DUMMYFUNCTION("GOOGLETRANSLATE(B10099, ""fr"", ""en"")"),"Happy Pleased with my purchase. Beautiful color combination Uses the same day in the dining room and very comfortable Thanks")</f>
        <v>Happy Pleased with my purchase. Beautiful color combination Uses the same day in the dining room and very comfortable Thanks</v>
      </c>
    </row>
    <row r="10100">
      <c r="A10100" s="1">
        <v>4.0</v>
      </c>
      <c r="B10100" s="1" t="s">
        <v>9940</v>
      </c>
      <c r="C10100" t="str">
        <f>IFERROR(__xludf.DUMMYFUNCTION("GOOGLETRANSLATE(B10100, ""fr"", ""en"")"),"Toast and croissants Very pretty, this toaster is as spruce this ruby ​​red and shiny chrome. A test I noticed that accepted only thin slices of bread, it is ideal for the bread sliced ​​in English in supermarkets packets or bread baker that we buy sliced"&amp;" . For the baton must decide the end in 2 slices to hope that it goes into the slots. I enjoyed the fast heating and defrosting function that quickly gives it a soft bread just by stopping the heater before browning. Also very convenient opportunity to ch"&amp;"eck cooking up the bread without breaking the resistance. This function to match the thermostat setting for the next time. Quick reheat growing thanks to cart arises superstructure. Everything is fine, that damage accepts only thin slices to toast.")</f>
        <v>Toast and croissants Very pretty, this toaster is as spruce this ruby ​​red and shiny chrome. A test I noticed that accepted only thin slices of bread, it is ideal for the bread sliced ​​in English in supermarkets packets or bread baker that we buy sliced . For the baton must decide the end in 2 slices to hope that it goes into the slots. I enjoyed the fast heating and defrosting function that quickly gives it a soft bread just by stopping the heater before browning. Also very convenient opportunity to check cooking up the bread without breaking the resistance. This function to match the thermostat setting for the next time. Quick reheat growing thanks to cart arises superstructure. Everything is fine, that damage accepts only thin slices to toast.</v>
      </c>
    </row>
    <row r="10101">
      <c r="A10101" s="1">
        <v>4.0</v>
      </c>
      <c r="B10101" s="1" t="s">
        <v>9941</v>
      </c>
      <c r="C10101" t="str">
        <f>IFERROR(__xludf.DUMMYFUNCTION("GOOGLETRANSLATE(B10101, ""fr"", ""en"")"),"Very nice Very nice small earring")</f>
        <v>Very nice Very nice small earring</v>
      </c>
    </row>
    <row r="10102">
      <c r="A10102" s="1">
        <v>4.0</v>
      </c>
      <c r="B10102" s="1" t="s">
        <v>9942</v>
      </c>
      <c r="C10102" t="str">
        <f>IFERROR(__xludf.DUMMYFUNCTION("GOOGLETRANSLATE(B10102, ""fr"", ""en"")"),"ease of use Preservation camera travel")</f>
        <v>ease of use Preservation camera travel</v>
      </c>
    </row>
    <row r="10103">
      <c r="A10103" s="1">
        <v>5.0</v>
      </c>
      <c r="B10103" s="1" t="s">
        <v>9943</v>
      </c>
      <c r="C10103" t="str">
        <f>IFERROR(__xludf.DUMMYFUNCTION("GOOGLETRANSLATE(B10103, ""fr"", ""en"")"),"Nice little shiny Complies description carefully packaged diamond worn in privacy has solide.il air I lacked a little sth for a wedding with a strapless dress perfect c eat. Satisfied with my purchase.")</f>
        <v>Nice little shiny Complies description carefully packaged diamond worn in privacy has solide.il air I lacked a little sth for a wedding with a strapless dress perfect c eat. Satisfied with my purchase.</v>
      </c>
    </row>
    <row r="10104">
      <c r="A10104" s="1">
        <v>5.0</v>
      </c>
      <c r="B10104" s="1" t="s">
        <v>9944</v>
      </c>
      <c r="C10104" t="str">
        <f>IFERROR(__xludf.DUMMYFUNCTION("GOOGLETRANSLATE(B10104, ""fr"", ""en"")"),"Finally I'm hot ;-) How many hours of insomnia because of the cold end of the bed where my feet freeze! And here, finally, the bed is hot! Great, especially in these current freezing weather. The attachment system to the mattress would be more effective w"&amp;"ith straps instead of the small string provided. Check the power branch on the mattress, one morning I dislocated inadvertently evening, of course, it does not heat ... Fortunately failure quickly discovered and everything is back in order :-) I do not re"&amp;"gret not this purchase at all! :-)")</f>
        <v>Finally I'm hot ;-) How many hours of insomnia because of the cold end of the bed where my feet freeze! And here, finally, the bed is hot! Great, especially in these current freezing weather. The attachment system to the mattress would be more effective with straps instead of the small string provided. Check the power branch on the mattress, one morning I dislocated inadvertently evening, of course, it does not heat ... Fortunately failure quickly discovered and everything is back in order :-) I do not regret not this purchase at all! :-)</v>
      </c>
    </row>
    <row r="10105">
      <c r="A10105" s="1">
        <v>5.0</v>
      </c>
      <c r="B10105" s="1" t="s">
        <v>9945</v>
      </c>
      <c r="C10105" t="str">
        <f>IFERROR(__xludf.DUMMYFUNCTION("GOOGLETRANSLATE(B10105, ""fr"", ""en"")"),"tutrès beautiful product quality as the photo beautiful product described as photo")</f>
        <v>tutrès beautiful product quality as the photo beautiful product described as photo</v>
      </c>
    </row>
    <row r="10106">
      <c r="A10106" s="1">
        <v>5.0</v>
      </c>
      <c r="B10106" s="1" t="s">
        <v>9946</v>
      </c>
      <c r="C10106" t="str">
        <f>IFERROR(__xludf.DUMMYFUNCTION("GOOGLETRANSLATE(B10106, ""fr"", ""en"")"),"Joly is very good")</f>
        <v>Joly is very good</v>
      </c>
    </row>
    <row r="10107">
      <c r="A10107" s="1">
        <v>5.0</v>
      </c>
      <c r="B10107" s="1" t="s">
        <v>9947</v>
      </c>
      <c r="C10107" t="str">
        <f>IFERROR(__xludf.DUMMYFUNCTION("GOOGLETRANSLATE(B10107, ""fr"", ""en"")"),"Perfect Superb consistent with the description I'm delighted I recommend it for a bargain indulge g")</f>
        <v>Perfect Superb consistent with the description I'm delighted I recommend it for a bargain indulge g</v>
      </c>
    </row>
    <row r="10108">
      <c r="A10108" s="1">
        <v>5.0</v>
      </c>
      <c r="B10108" s="1" t="s">
        <v>9948</v>
      </c>
      <c r="C10108" t="str">
        <f>IFERROR(__xludf.DUMMYFUNCTION("GOOGLETRANSLATE(B10108, ""fr"", ""en"")"),"Top Shoe Beautiful chaussure.très confortable.Je do not regret my purchase. I feel very good inside.")</f>
        <v>Top Shoe Beautiful chaussure.très confortable.Je do not regret my purchase. I feel very good inside.</v>
      </c>
    </row>
    <row r="10109">
      <c r="A10109" s="1">
        <v>5.0</v>
      </c>
      <c r="B10109" s="1" t="s">
        <v>9949</v>
      </c>
      <c r="C10109" t="str">
        <f>IFERROR(__xludf.DUMMYFUNCTION("GOOGLETRANSLATE(B10109, ""fr"", ""en"")"),"Not so recommended brand for Nestle machinery (dolce gusto and Nespresso) and is largely the work for which it is designed. I command every time.")</f>
        <v>Not so recommended brand for Nestle machinery (dolce gusto and Nespresso) and is largely the work for which it is designed. I command every time.</v>
      </c>
    </row>
    <row r="10110">
      <c r="A10110" s="1">
        <v>5.0</v>
      </c>
      <c r="B10110" s="1" t="s">
        <v>9950</v>
      </c>
      <c r="C10110" t="str">
        <f>IFERROR(__xludf.DUMMYFUNCTION("GOOGLETRANSLATE(B10110, ""fr"", ""en"")"),"indispensable headphones for outdoor activities Walking, mow ... an establishment of headphones with a ""behind the ear"" very easy, and the stand in place, its a very good , access to on / off buttons, and adjusting the volume or change tracks very acces"&amp;"sible music. I'm really happy these bluetooth headphones with mic. Operating time after very long recharge (unfortunately I did not put a stopwatch for the measured exactly) Comes with a small round box bag for storing the USB cable for charging, very con"&amp;"venient. Do not hesitate on the choice of this article, I really recommend it.")</f>
        <v>indispensable headphones for outdoor activities Walking, mow ... an establishment of headphones with a "behind the ear" very easy, and the stand in place, its a very good , access to on / off buttons, and adjusting the volume or change tracks very accessible music. I'm really happy these bluetooth headphones with mic. Operating time after very long recharge (unfortunately I did not put a stopwatch for the measured exactly) Comes with a small round box bag for storing the USB cable for charging, very convenient. Do not hesitate on the choice of this article, I really recommend it.</v>
      </c>
    </row>
    <row r="10111">
      <c r="A10111" s="1">
        <v>5.0</v>
      </c>
      <c r="B10111" s="1" t="s">
        <v>9951</v>
      </c>
      <c r="C10111" t="str">
        <f>IFERROR(__xludf.DUMMYFUNCTION("GOOGLETRANSLATE(B10111, ""fr"", ""en"")"),"too beautiful class safety shoes, provide a size smaller by cons, they carve a little too big. If they are comfortable.")</f>
        <v>too beautiful class safety shoes, provide a size smaller by cons, they carve a little too big. If they are comfortable.</v>
      </c>
    </row>
    <row r="10112">
      <c r="A10112" s="1">
        <v>5.0</v>
      </c>
      <c r="B10112" s="1" t="s">
        <v>9952</v>
      </c>
      <c r="C10112" t="str">
        <f>IFERROR(__xludf.DUMMYFUNCTION("GOOGLETRANSLATE(B10112, ""fr"", ""en"")"),"Very good product after a few days of use I do not regret my purchase is a very good broadcaster, I find it really beautiful with its wood finish imitation. The timer is fitted is really nice too ca allows not have to let it run for hours when you forget "&amp;"to turn it off saw oil prices essential that's fine. What I also like is that the power switch on the lamp without turning on the diffuser, it's really convenient too. At the diffusion of oils I have no problem spot.")</f>
        <v>Very good product after a few days of use I do not regret my purchase is a very good broadcaster, I find it really beautiful with its wood finish imitation. The timer is fitted is really nice too ca allows not have to let it run for hours when you forget to turn it off saw oil prices essential that's fine. What I also like is that the power switch on the lamp without turning on the diffuser, it's really convenient too. At the diffusion of oils I have no problem spot.</v>
      </c>
    </row>
    <row r="10113">
      <c r="A10113" s="1">
        <v>5.0</v>
      </c>
      <c r="B10113" s="1" t="s">
        <v>9953</v>
      </c>
      <c r="C10113" t="str">
        <f>IFERROR(__xludf.DUMMYFUNCTION("GOOGLETRANSLATE(B10113, ""fr"", ""en"")"),"Recommend Very good product recommend carefree good size.")</f>
        <v>Recommend Very good product recommend carefree good size.</v>
      </c>
    </row>
    <row r="10114">
      <c r="A10114" s="1">
        <v>5.0</v>
      </c>
      <c r="B10114" s="1" t="s">
        <v>9954</v>
      </c>
      <c r="C10114" t="str">
        <f>IFERROR(__xludf.DUMMYFUNCTION("GOOGLETRANSLATE(B10114, ""fr"", ""en"")"),"Simple to use and convenient Very nice this toaster! It's pretty, light, practical and super easy to use ... I recommend!")</f>
        <v>Simple to use and convenient Very nice this toaster! It's pretty, light, practical and super easy to use ... I recommend!</v>
      </c>
    </row>
    <row r="10115">
      <c r="A10115" s="1">
        <v>5.0</v>
      </c>
      <c r="B10115" s="1" t="s">
        <v>9955</v>
      </c>
      <c r="C10115" t="str">
        <f>IFERROR(__xludf.DUMMYFUNCTION("GOOGLETRANSLATE(B10115, ""fr"", ""en"")"),"GOOD SOUND VIA WIRELESS BLUETOOTH 5.0! Done TAF! I even surprised seen the power that radiates from these small wireless headphones! In any case, they are perfect for listening to hip-hop, RnB, pop-rock, etc. Manual in English but easy enough to understan"&amp;"d as concise and well illustrated! Value excellent! Hope it lasts!")</f>
        <v>GOOD SOUND VIA WIRELESS BLUETOOTH 5.0! Done TAF! I even surprised seen the power that radiates from these small wireless headphones! In any case, they are perfect for listening to hip-hop, RnB, pop-rock, etc. Manual in English but easy enough to understand as concise and well illustrated! Value excellent! Hope it lasts!</v>
      </c>
    </row>
    <row r="10116">
      <c r="A10116" s="1">
        <v>5.0</v>
      </c>
      <c r="B10116" s="1" t="s">
        <v>9956</v>
      </c>
      <c r="C10116" t="str">
        <f>IFERROR(__xludf.DUMMYFUNCTION("GOOGLETRANSLATE(B10116, ""fr"", ""en"")"),"The super convenient water heater has the right temperature within seconds. Very happy")</f>
        <v>The super convenient water heater has the right temperature within seconds. Very happy</v>
      </c>
    </row>
    <row r="10117">
      <c r="A10117" s="1">
        <v>5.0</v>
      </c>
      <c r="B10117" s="1" t="s">
        <v>9957</v>
      </c>
      <c r="C10117" t="str">
        <f>IFERROR(__xludf.DUMMYFUNCTION("GOOGLETRANSLATE(B10117, ""fr"", ""en"")"),"A beautifully finished product and functional A bag of very good quality with impeccable finishes. Rugged and lightweight, with many compartments it hosts the majority of the items I want to have with me at all times. The bad thing is attention to check b"&amp;"ooks in the classic format that hardly enter.")</f>
        <v>A beautifully finished product and functional A bag of very good quality with impeccable finishes. Rugged and lightweight, with many compartments it hosts the majority of the items I want to have with me at all times. The bad thing is attention to check books in the classic format that hardly enter.</v>
      </c>
    </row>
    <row r="10118">
      <c r="A10118" s="1">
        <v>2.0</v>
      </c>
      <c r="B10118" s="1" t="s">
        <v>9958</v>
      </c>
      <c r="C10118" t="str">
        <f>IFERROR(__xludf.DUMMYFUNCTION("GOOGLETRANSLATE(B10118, ""fr"", ""en"")"),"Disappointed Déçu.mais comfortable for it is written coat and c is made in a vest")</f>
        <v>Disappointed Déçu.mais comfortable for it is written coat and c is made in a vest</v>
      </c>
    </row>
    <row r="10119">
      <c r="A10119" s="1">
        <v>1.0</v>
      </c>
      <c r="B10119" s="1" t="s">
        <v>9959</v>
      </c>
      <c r="C10119" t="str">
        <f>IFERROR(__xludf.DUMMYFUNCTION("GOOGLETRANSLATE(B10119, ""fr"", ""en"")"),"Disappointed with product quality shoe not top not injured in ..inconfortable and very slippery. very large. What a pity because good design")</f>
        <v>Disappointed with product quality shoe not top not injured in ..inconfortable and very slippery. very large. What a pity because good design</v>
      </c>
    </row>
    <row r="10120">
      <c r="A10120" s="1">
        <v>1.0</v>
      </c>
      <c r="B10120" s="1" t="s">
        <v>9960</v>
      </c>
      <c r="C10120" t="str">
        <f>IFERROR(__xludf.DUMMYFUNCTION("GOOGLETRANSLATE(B10120, ""fr"", ""en"")"),"Wrong item I ordered the product of the photo that I found very beautiful and I received a model not beautiful at all, having nothing to do with the ordered bag.")</f>
        <v>Wrong item I ordered the product of the photo that I found very beautiful and I received a model not beautiful at all, having nothing to do with the ordered bag.</v>
      </c>
    </row>
    <row r="10121">
      <c r="A10121" s="1">
        <v>3.0</v>
      </c>
      <c r="B10121" s="1" t="s">
        <v>9961</v>
      </c>
      <c r="C10121" t="str">
        <f>IFERROR(__xludf.DUMMYFUNCTION("GOOGLETRANSLATE(B10121, ""fr"", ""en"")"),"Pretty average on aesthetic This bag fairly large helps contain many things. However, it lacks rigidity which affects its appearance. Pity !")</f>
        <v>Pretty average on aesthetic This bag fairly large helps contain many things. However, it lacks rigidity which affects its appearance. Pity !</v>
      </c>
    </row>
    <row r="10122">
      <c r="A10122" s="1">
        <v>3.0</v>
      </c>
      <c r="B10122" s="1" t="s">
        <v>9962</v>
      </c>
      <c r="C10122" t="str">
        <f>IFERROR(__xludf.DUMMYFUNCTION("GOOGLETRANSLATE(B10122, ""fr"", ""en"")"),"Good sound, pity the left ear disconnects every 10 minuted It seems that the sound is pretty good, to see the long term. Bluetooth is ok to see a long use. But no complaints for now OK. The box comes packaged well, makes you want. -Box -Cable storage -eco"&amp;"uteurs -Manuel well written Edit: after days of heavy use, the bluetooth seems to bug and left ear disconnects every 10 minutes must reconnect. Forwarding.")</f>
        <v>Good sound, pity the left ear disconnects every 10 minuted It seems that the sound is pretty good, to see the long term. Bluetooth is ok to see a long use. But no complaints for now OK. The box comes packaged well, makes you want. -Box -Cable storage -ecouteurs -Manuel well written Edit: after days of heavy use, the bluetooth seems to bug and left ear disconnects every 10 minutes must reconnect. Forwarding.</v>
      </c>
    </row>
    <row r="10123">
      <c r="A10123" s="1">
        <v>4.0</v>
      </c>
      <c r="B10123" s="1" t="s">
        <v>9963</v>
      </c>
      <c r="C10123" t="str">
        <f>IFERROR(__xludf.DUMMYFUNCTION("GOOGLETRANSLATE(B10123, ""fr"", ""en"")"),"Although buy to give, jog 'A little thicker that does its job, as in the photo, not damage, fairly well")</f>
        <v>Although buy to give, jog 'A little thicker that does its job, as in the photo, not damage, fairly well</v>
      </c>
    </row>
    <row r="10124">
      <c r="A10124" s="1">
        <v>4.0</v>
      </c>
      <c r="B10124" s="1" t="s">
        <v>9964</v>
      </c>
      <c r="C10124" t="str">
        <f>IFERROR(__xludf.DUMMYFUNCTION("GOOGLETRANSLATE(B10124, ""fr"", ""en"")"),"good good washing laundry no worries and very pleasant smell, we believe almost !! ;)")</f>
        <v>good good washing laundry no worries and very pleasant smell, we believe almost !! ;)</v>
      </c>
    </row>
    <row r="10125">
      <c r="A10125" s="1">
        <v>4.0</v>
      </c>
      <c r="B10125" s="1" t="s">
        <v>9965</v>
      </c>
      <c r="C10125" t="str">
        <f>IFERROR(__xludf.DUMMYFUNCTION("GOOGLETRANSLATE(B10125, ""fr"", ""en"")"),"It's going very good product, but after 2 months use it no longer works. Y t there a warranty please?")</f>
        <v>It's going very good product, but after 2 months use it no longer works. Y t there a warranty please?</v>
      </c>
    </row>
    <row r="10126">
      <c r="A10126" s="1">
        <v>4.0</v>
      </c>
      <c r="B10126" s="1" t="s">
        <v>9966</v>
      </c>
      <c r="C10126" t="str">
        <f>IFERROR(__xludf.DUMMYFUNCTION("GOOGLETRANSLATE(B10126, ""fr"", ""en"")"),"Although I got the wrong size 44 and it takes me 43 not serious house there are")</f>
        <v>Although I got the wrong size 44 and it takes me 43 not serious house there are</v>
      </c>
    </row>
    <row r="10127">
      <c r="A10127" s="1">
        <v>5.0</v>
      </c>
      <c r="B10127" s="1" t="s">
        <v>9967</v>
      </c>
      <c r="C10127" t="str">
        <f>IFERROR(__xludf.DUMMYFUNCTION("GOOGLETRANSLATE(B10127, ""fr"", ""en"")"),"Good price / quality shoes like the pictures. Size is a small, do not hesitate to see a half a size up. Otherwise auspicious product.")</f>
        <v>Good price / quality shoes like the pictures. Size is a small, do not hesitate to see a half a size up. Otherwise auspicious product.</v>
      </c>
    </row>
    <row r="10128">
      <c r="A10128" s="1">
        <v>5.0</v>
      </c>
      <c r="B10128" s="1" t="s">
        <v>1261</v>
      </c>
      <c r="C10128" t="str">
        <f>IFERROR(__xludf.DUMMYFUNCTION("GOOGLETRANSLATE(B10128, ""fr"", ""en"")"),"good good")</f>
        <v>good good</v>
      </c>
    </row>
    <row r="10129">
      <c r="A10129" s="1">
        <v>5.0</v>
      </c>
      <c r="B10129" s="1" t="s">
        <v>9968</v>
      </c>
      <c r="C10129" t="str">
        <f>IFERROR(__xludf.DUMMYFUNCTION("GOOGLETRANSLATE(B10129, ""fr"", ""en"")"),"Corresponds in every respect to the description Gift")</f>
        <v>Corresponds in every respect to the description Gift</v>
      </c>
    </row>
    <row r="10130">
      <c r="A10130" s="1">
        <v>5.0</v>
      </c>
      <c r="B10130" s="1" t="s">
        <v>9969</v>
      </c>
      <c r="C10130" t="str">
        <f>IFERROR(__xludf.DUMMYFUNCTION("GOOGLETRANSLATE(B10130, ""fr"", ""en"")"),"the top quality appointments cover is very solid, simple and practical style. the tobacco will not dry. I recommend.")</f>
        <v>the top quality appointments cover is very solid, simple and practical style. the tobacco will not dry. I recommend.</v>
      </c>
    </row>
    <row r="10131">
      <c r="A10131" s="1">
        <v>5.0</v>
      </c>
      <c r="B10131" s="1" t="s">
        <v>9970</v>
      </c>
      <c r="C10131" t="str">
        <f>IFERROR(__xludf.DUMMYFUNCTION("GOOGLETRANSLATE(B10131, ""fr"", ""en"")"),"pretty, and not very noisy. I changed my kettle as too noisy. This one is much quieter and nice design. Heats quickly. To recommend.")</f>
        <v>pretty, and not very noisy. I changed my kettle as too noisy. This one is much quieter and nice design. Heats quickly. To recommend.</v>
      </c>
    </row>
    <row r="10132">
      <c r="A10132" s="1">
        <v>5.0</v>
      </c>
      <c r="B10132" s="1" t="s">
        <v>9971</v>
      </c>
      <c r="C10132" t="str">
        <f>IFERROR(__xludf.DUMMYFUNCTION("GOOGLETRANSLATE(B10132, ""fr"", ""en"")"),"Super Impec")</f>
        <v>Super Impec</v>
      </c>
    </row>
    <row r="10133">
      <c r="A10133" s="1">
        <v>5.0</v>
      </c>
      <c r="B10133" s="1" t="s">
        <v>9972</v>
      </c>
      <c r="C10133" t="str">
        <f>IFERROR(__xludf.DUMMYFUNCTION("GOOGLETRANSLATE(B10133, ""fr"", ""en"")"),"Earpiece bleutoof I love his headphones, I often use during my travel time in the subway. Discreet with a nice comfort I am delighted. The sound and great and his little box storage not lose")</f>
        <v>Earpiece bleutoof I love his headphones, I often use during my travel time in the subway. Discreet with a nice comfort I am delighted. The sound and great and his little box storage not lose</v>
      </c>
    </row>
    <row r="10134">
      <c r="A10134" s="1">
        <v>5.0</v>
      </c>
      <c r="B10134" s="1" t="s">
        <v>9973</v>
      </c>
      <c r="C10134" t="str">
        <f>IFERROR(__xludf.DUMMYFUNCTION("GOOGLETRANSLATE(B10134, ""fr"", ""en"")"),"Good basketball shoe size very well I did a 39 I was taking 40")</f>
        <v>Good basketball shoe size very well I did a 39 I was taking 40</v>
      </c>
    </row>
    <row r="10135">
      <c r="A10135" s="1">
        <v>5.0</v>
      </c>
      <c r="B10135" s="1" t="s">
        <v>9974</v>
      </c>
      <c r="C10135" t="str">
        <f>IFERROR(__xludf.DUMMYFUNCTION("GOOGLETRANSLATE(B10135, ""fr"", ""en"")"),"Available in fine gift and very good product with a good price. Take your usual size.")</f>
        <v>Available in fine gift and very good product with a good price. Take your usual size.</v>
      </c>
    </row>
    <row r="10136">
      <c r="A10136" s="1">
        <v>5.0</v>
      </c>
      <c r="B10136" s="1" t="s">
        <v>9975</v>
      </c>
      <c r="C10136" t="str">
        <f>IFERROR(__xludf.DUMMYFUNCTION("GOOGLETRANSLATE(B10136, ""fr"", ""en"")"),"Meets description yet used, but looks ok?")</f>
        <v>Meets description yet used, but looks ok?</v>
      </c>
    </row>
    <row r="10137">
      <c r="A10137" s="1">
        <v>5.0</v>
      </c>
      <c r="B10137" s="1" t="s">
        <v>9976</v>
      </c>
      <c r="C10137" t="str">
        <f>IFERROR(__xludf.DUMMYFUNCTION("GOOGLETRANSLATE(B10137, ""fr"", ""en"")"),"Excellent choice, no problem with iphones I have an iPhone, and sometimes when I do not control the AirPods iPhone I have great concern for compatibility, bp quality for its micro or by cons with these headphones I am very satisfied because I had no probl"&amp;"ems but rather the quality is excellent, remarkable stability ear level I recommend.")</f>
        <v>Excellent choice, no problem with iphones I have an iPhone, and sometimes when I do not control the AirPods iPhone I have great concern for compatibility, bp quality for its micro or by cons with these headphones I am very satisfied because I had no problems but rather the quality is excellent, remarkable stability ear level I recommend.</v>
      </c>
    </row>
    <row r="10138">
      <c r="A10138" s="1">
        <v>5.0</v>
      </c>
      <c r="B10138" s="1" t="s">
        <v>9977</v>
      </c>
      <c r="C10138" t="str">
        <f>IFERROR(__xludf.DUMMYFUNCTION("GOOGLETRANSLATE(B10138, ""fr"", ""en"")"),"Quality Very nice, very nice finish")</f>
        <v>Quality Very nice, very nice finish</v>
      </c>
    </row>
    <row r="10139">
      <c r="A10139" s="1">
        <v>5.0</v>
      </c>
      <c r="B10139" s="1" t="s">
        <v>9978</v>
      </c>
      <c r="C10139" t="str">
        <f>IFERROR(__xludf.DUMMYFUNCTION("GOOGLETRANSLATE(B10139, ""fr"", ""en"")"),"Ok Compliance")</f>
        <v>Ok Compliance</v>
      </c>
    </row>
    <row r="10140">
      <c r="A10140" s="1">
        <v>5.0</v>
      </c>
      <c r="B10140" s="1" t="s">
        <v>9979</v>
      </c>
      <c r="C10140" t="str">
        <f>IFERROR(__xludf.DUMMYFUNCTION("GOOGLETRANSLATE(B10140, ""fr"", ""en"")"),"A nice range of initiation Bottle allows baby learn to drink independently thanks to its handles. Mickey is here to help. Mickey Nice. A triangular shaped bottle. Not so very classic. A valve anti-colic. It's always that to win. Three speeds. Teat round. "&amp;"A good range.")</f>
        <v>A nice range of initiation Bottle allows baby learn to drink independently thanks to its handles. Mickey is here to help. Mickey Nice. A triangular shaped bottle. Not so very classic. A valve anti-colic. It's always that to win. Three speeds. Teat round. A good range.</v>
      </c>
    </row>
    <row r="10141">
      <c r="A10141" s="1">
        <v>5.0</v>
      </c>
      <c r="B10141" s="1" t="s">
        <v>9980</v>
      </c>
      <c r="C10141" t="str">
        <f>IFERROR(__xludf.DUMMYFUNCTION("GOOGLETRANSLATE(B10141, ""fr"", ""en"")"),"Perfect Eyes closed ... I recommend relieves back pain. Good quality, fast delivery.")</f>
        <v>Perfect Eyes closed ... I recommend relieves back pain. Good quality, fast delivery.</v>
      </c>
    </row>
    <row r="10142">
      <c r="A10142" s="1">
        <v>2.0</v>
      </c>
      <c r="B10142" s="1" t="s">
        <v>9981</v>
      </c>
      <c r="C10142" t="str">
        <f>IFERROR(__xludf.DUMMYFUNCTION("GOOGLETRANSLATE(B10142, ""fr"", ""en"")"),"Quality worse than before. These boots do not seem as strong as that for the price, it is great but in breeches! For the 45, had to return and recommend the 43! Must know!")</f>
        <v>Quality worse than before. These boots do not seem as strong as that for the price, it is great but in breeches! For the 45, had to return and recommend the 43! Must know!</v>
      </c>
    </row>
    <row r="10143">
      <c r="A10143" s="1">
        <v>1.0</v>
      </c>
      <c r="B10143" s="1" t="s">
        <v>9982</v>
      </c>
      <c r="C10143" t="str">
        <f>IFERROR(__xludf.DUMMYFUNCTION("GOOGLETRANSLATE(B10143, ""fr"", ""en"")"),"Nn too small to xl bizare this be said of the jersey s. This a false cut out so bizar for a brand like Nike")</f>
        <v>Nn too small to xl bizare this be said of the jersey s. This a false cut out so bizar for a brand like Nike</v>
      </c>
    </row>
    <row r="10144">
      <c r="A10144" s="1">
        <v>1.0</v>
      </c>
      <c r="B10144" s="1" t="s">
        <v>9983</v>
      </c>
      <c r="C10144" t="str">
        <f>IFERROR(__xludf.DUMMYFUNCTION("GOOGLETRANSLATE(B10144, ""fr"", ""en"")"),"Gagdet shoddy We quickly transpires inside, sole that spell each shoeless, quite unpleasant to the touch ....")</f>
        <v>Gagdet shoddy We quickly transpires inside, sole that spell each shoeless, quite unpleasant to the touch ....</v>
      </c>
    </row>
    <row r="10145">
      <c r="A10145" s="1">
        <v>3.0</v>
      </c>
      <c r="B10145" s="1" t="s">
        <v>9984</v>
      </c>
      <c r="C10145" t="str">
        <f>IFERROR(__xludf.DUMMYFUNCTION("GOOGLETRANSLATE(B10145, ""fr"", ""en"")"),"Although the size and color match perfectly. The quality is very good considering the price. See the wash resistance.")</f>
        <v>Although the size and color match perfectly. The quality is very good considering the price. See the wash resistance.</v>
      </c>
    </row>
    <row r="10146">
      <c r="A10146" s="1">
        <v>4.0</v>
      </c>
      <c r="B10146" s="1" t="s">
        <v>9985</v>
      </c>
      <c r="C10146" t="str">
        <f>IFERROR(__xludf.DUMMYFUNCTION("GOOGLETRANSLATE(B10146, ""fr"", ""en"")"),"beautiful very functional watch aesthetics")</f>
        <v>beautiful very functional watch aesthetics</v>
      </c>
    </row>
    <row r="10147">
      <c r="A10147" s="1">
        <v>4.0</v>
      </c>
      <c r="B10147" s="1" t="s">
        <v>9986</v>
      </c>
      <c r="C10147" t="str">
        <f>IFERROR(__xludf.DUMMYFUNCTION("GOOGLETRANSLATE(B10147, ""fr"", ""en"")"),"Although super soft texture for out of the bath")</f>
        <v>Although super soft texture for out of the bath</v>
      </c>
    </row>
    <row r="10148">
      <c r="A10148" s="1">
        <v>4.0</v>
      </c>
      <c r="B10148" s="1" t="s">
        <v>9987</v>
      </c>
      <c r="C10148" t="str">
        <f>IFERROR(__xludf.DUMMYFUNCTION("GOOGLETRANSLATE(B10148, ""fr"", ""en"")"),"Cables and all on1sens son SUP installation (writing on cable was read to the source location has ordered his pregnant Jai hoping cables have pure OFC to finish my car sound for pregnant amplis.je them get tomorrow I would tell you if this is really for L"&amp;"OFC simply heat a brown to lighter and see results in color and keeping cables.ou of the product soaked in every good audiophile knows I think that is the 75% copper and 25% max aluminum sheath for very fine.je ca say tomorrow or after tomorrow Well one t"&amp;"hing. the electric cable and a pregnant toujour .it sense enough to read what it is described on such cable kabel ofc the place was the source pregnant because it plays on its cable electric sense of power cables or speaker trying to do you will see there"&amp;" is an audible difference. for those who do not know always check the meaning of the writing of cables nimporte what brands. toujour the source u pregnant or wiring amplie car you should read kabel ofc the place to source a subwoofer or speaker or battery"&amp;" amplie toujour from source to speakers, car ect amps the writing serves pub but especially for the sen décriture to read has the source location was pregnant or autres.bonne day everyone.")</f>
        <v>Cables and all on1sens son SUP installation (writing on cable was read to the source location has ordered his pregnant Jai hoping cables have pure OFC to finish my car sound for pregnant amplis.je them get tomorrow I would tell you if this is really for LOFC simply heat a brown to lighter and see results in color and keeping cables.ou of the product soaked in every good audiophile knows I think that is the 75% copper and 25% max aluminum sheath for very fine.je ca say tomorrow or after tomorrow Well one thing. the electric cable and a pregnant toujour .it sense enough to read what it is described on such cable kabel ofc the place was the source pregnant because it plays on its cable electric sense of power cables or speaker trying to do you will see there is an audible difference. for those who do not know always check the meaning of the writing of cables nimporte what brands. toujour the source u pregnant or wiring amplie car you should read kabel ofc the place to source a subwoofer or speaker or battery amplie toujour from source to speakers, car ect amps the writing serves pub but especially for the sen décriture to read has the source location was pregnant or autres.bonne day everyone.</v>
      </c>
    </row>
    <row r="10149">
      <c r="A10149" s="1">
        <v>4.0</v>
      </c>
      <c r="B10149" s="1" t="s">
        <v>9988</v>
      </c>
      <c r="C10149" t="str">
        <f>IFERROR(__xludf.DUMMYFUNCTION("GOOGLETRANSLATE(B10149, ""fr"", ""en"")"),"Good product Good product matching the description and finally a sweater in my size")</f>
        <v>Good product Good product matching the description and finally a sweater in my size</v>
      </c>
    </row>
    <row r="10150">
      <c r="A10150" s="1">
        <v>5.0</v>
      </c>
      <c r="B10150" s="1" t="s">
        <v>9989</v>
      </c>
      <c r="C10150" t="str">
        <f>IFERROR(__xludf.DUMMYFUNCTION("GOOGLETRANSLATE(B10150, ""fr"", ""en"")"),"NOT MANY POINTS NEGATIVE Super headphone very good quality (level and helmet structure) the sound is really good, but when N is no sound it sizzles a can but not annoying you really be paying great intention otherwise at the structure as I said c is very "&amp;"solid C is plastic but have to want to break COMFORT LEVEL: the ears do not exceed pads only pieces of 2 hours the ears start to heat LEVEL RANGE: it takes 3 hours to charge enough long but hard 9am to 10am autonomy negative point we can not use the when "&amp;"it loads")</f>
        <v>NOT MANY POINTS NEGATIVE Super headphone very good quality (level and helmet structure) the sound is really good, but when N is no sound it sizzles a can but not annoying you really be paying great intention otherwise at the structure as I said c is very solid C is plastic but have to want to break COMFORT LEVEL: the ears do not exceed pads only pieces of 2 hours the ears start to heat LEVEL RANGE: it takes 3 hours to charge enough long but hard 9am to 10am autonomy negative point we can not use the when it loads</v>
      </c>
    </row>
    <row r="10151">
      <c r="A10151" s="1">
        <v>5.0</v>
      </c>
      <c r="B10151" s="1" t="s">
        <v>9990</v>
      </c>
      <c r="C10151" t="str">
        <f>IFERROR(__xludf.DUMMYFUNCTION("GOOGLETRANSLATE(B10151, ""fr"", ""en"")"),"Drying A little expensive but very works I like the drying function. reduce trouble")</f>
        <v>Drying A little expensive but very works I like the drying function. reduce trouble</v>
      </c>
    </row>
    <row r="10152">
      <c r="A10152" s="1">
        <v>5.0</v>
      </c>
      <c r="B10152" s="1" t="s">
        <v>9991</v>
      </c>
      <c r="C10152" t="str">
        <f>IFERROR(__xludf.DUMMYFUNCTION("GOOGLETRANSLATE(B10152, ""fr"", ""en"")"),"compliance meets expectations")</f>
        <v>compliance meets expectations</v>
      </c>
    </row>
    <row r="10153">
      <c r="A10153" s="1">
        <v>5.0</v>
      </c>
      <c r="B10153" s="1" t="s">
        <v>9992</v>
      </c>
      <c r="C10153" t="str">
        <f>IFERROR(__xludf.DUMMYFUNCTION("GOOGLETRANSLATE(B10153, ""fr"", ""en"")"),"I made the 38 million i took it fits me like a glove 😊 Perfect")</f>
        <v>I made the 38 million i took it fits me like a glove 😊 Perfect</v>
      </c>
    </row>
    <row r="10154">
      <c r="A10154" s="1">
        <v>5.0</v>
      </c>
      <c r="B10154" s="1" t="s">
        <v>9993</v>
      </c>
      <c r="C10154" t="str">
        <f>IFERROR(__xludf.DUMMYFUNCTION("GOOGLETRANSLATE(B10154, ""fr"", ""en"")"),"I love colors in top quality perfect price")</f>
        <v>I love colors in top quality perfect price</v>
      </c>
    </row>
    <row r="10155">
      <c r="A10155" s="1">
        <v>5.0</v>
      </c>
      <c r="B10155" s="1" t="s">
        <v>9994</v>
      </c>
      <c r="C10155" t="str">
        <f>IFERROR(__xludf.DUMMYFUNCTION("GOOGLETRANSLATE(B10155, ""fr"", ""en"")"),"Black Very nice product I've bought two offir I regret anything I recommend the black is very nice")</f>
        <v>Black Very nice product I've bought two offir I regret anything I recommend the black is very nice</v>
      </c>
    </row>
    <row r="10156">
      <c r="A10156" s="1">
        <v>5.0</v>
      </c>
      <c r="B10156" s="1" t="s">
        <v>9995</v>
      </c>
      <c r="C10156" t="str">
        <f>IFERROR(__xludf.DUMMYFUNCTION("GOOGLETRANSLATE(B10156, ""fr"", ""en"")"),"Excellent service .... Top notepad handy well structured much room for appointments, super useful for my job and top delivery service very good !!!")</f>
        <v>Excellent service .... Top notepad handy well structured much room for appointments, super useful for my job and top delivery service very good !!!</v>
      </c>
    </row>
    <row r="10157">
      <c r="A10157" s="1">
        <v>5.0</v>
      </c>
      <c r="B10157" s="1" t="s">
        <v>9996</v>
      </c>
      <c r="C10157" t="str">
        <f>IFERROR(__xludf.DUMMYFUNCTION("GOOGLETRANSLATE(B10157, ""fr"", ""en"")"),"ca glue strong! Used to stick a mirror and other paintings he did very well for which it is designed. It also cuts easily and after several months no detachment trace.")</f>
        <v>ca glue strong! Used to stick a mirror and other paintings he did very well for which it is designed. It also cuts easily and after several months no detachment trace.</v>
      </c>
    </row>
    <row r="10158">
      <c r="A10158" s="1">
        <v>5.0</v>
      </c>
      <c r="B10158" s="1" t="s">
        <v>9997</v>
      </c>
      <c r="C10158" t="str">
        <f>IFERROR(__xludf.DUMMYFUNCTION("GOOGLETRANSLATE(B10158, ""fr"", ""en"")"),"légé very perfect good quality fast delivery very good size")</f>
        <v>légé very perfect good quality fast delivery very good size</v>
      </c>
    </row>
    <row r="10159">
      <c r="A10159" s="1">
        <v>5.0</v>
      </c>
      <c r="B10159" s="1" t="s">
        <v>9998</v>
      </c>
      <c r="C10159" t="str">
        <f>IFERROR(__xludf.DUMMYFUNCTION("GOOGLETRANSLATE(B10159, ""fr"", ""en"")"),"Men's watch Tommy Hilfiger Very pleased with this watch. The leather strap lacks some flexibility but with time ........ everything should work out.")</f>
        <v>Men's watch Tommy Hilfiger Very pleased with this watch. The leather strap lacks some flexibility but with time ........ everything should work out.</v>
      </c>
    </row>
    <row r="10160">
      <c r="A10160" s="1">
        <v>5.0</v>
      </c>
      <c r="B10160" s="1" t="s">
        <v>9999</v>
      </c>
      <c r="C10160" t="str">
        <f>IFERROR(__xludf.DUMMYFUNCTION("GOOGLETRANSLATE(B10160, ""fr"", ""en"")"),"Price Quality and Price")</f>
        <v>Price Quality and Price</v>
      </c>
    </row>
    <row r="10161">
      <c r="A10161" s="1">
        <v>5.0</v>
      </c>
      <c r="B10161" s="1" t="s">
        <v>10000</v>
      </c>
      <c r="C10161" t="str">
        <f>IFERROR(__xludf.DUMMYFUNCTION("GOOGLETRANSLATE(B10161, ""fr"", ""en"")"),"To prepare the tea! Beautiful Electric Kettle, simple and contemporary aesthetics, silver color. The noise level when the water starts boiling is acceptable, and the control button is easy to handle. The lid opens easily, and the level of water inside is "&amp;"visible.")</f>
        <v>To prepare the tea! Beautiful Electric Kettle, simple and contemporary aesthetics, silver color. The noise level when the water starts boiling is acceptable, and the control button is easy to handle. The lid opens easily, and the level of water inside is visible.</v>
      </c>
    </row>
    <row r="10162">
      <c r="A10162" s="1">
        <v>5.0</v>
      </c>
      <c r="B10162" s="1" t="s">
        <v>10001</v>
      </c>
      <c r="C10162" t="str">
        <f>IFERROR(__xludf.DUMMYFUNCTION("GOOGLETRANSLATE(B10162, ""fr"", ""en"")"),"Excellent helmet headset with a wire, simple, cheap and effective! The quality to price ratio is excellent. Do not expect a high-quality sound, but for the price, do not expect a Bose .. I recommend it!")</f>
        <v>Excellent helmet headset with a wire, simple, cheap and effective! The quality to price ratio is excellent. Do not expect a high-quality sound, but for the price, do not expect a Bose .. I recommend it!</v>
      </c>
    </row>
    <row r="10163">
      <c r="A10163" s="1">
        <v>5.0</v>
      </c>
      <c r="B10163" s="1" t="s">
        <v>10002</v>
      </c>
      <c r="C10163" t="str">
        <f>IFERROR(__xludf.DUMMYFUNCTION("GOOGLETRANSLATE(B10163, ""fr"", ""en"")"),"Good value if you look soft socks and a very thick, I advise you. I'm not disappointed with my purchase!")</f>
        <v>Good value if you look soft socks and a very thick, I advise you. I'm not disappointed with my purchase!</v>
      </c>
    </row>
    <row r="10164">
      <c r="A10164" s="1">
        <v>5.0</v>
      </c>
      <c r="B10164" s="1" t="s">
        <v>10003</v>
      </c>
      <c r="C10164" t="str">
        <f>IFERROR(__xludf.DUMMYFUNCTION("GOOGLETRANSLATE(B10164, ""fr"", ""en"")"),"Quite perfect appearance, even if after a moment're writing disappears after nothing wrong on the rest")</f>
        <v>Quite perfect appearance, even if after a moment're writing disappears after nothing wrong on the rest</v>
      </c>
    </row>
    <row r="10165">
      <c r="A10165" s="1">
        <v>2.0</v>
      </c>
      <c r="B10165" s="1" t="s">
        <v>10004</v>
      </c>
      <c r="C10165" t="str">
        <f>IFERROR(__xludf.DUMMYFUNCTION("GOOGLETRANSLATE(B10165, ""fr"", ""en"")"),"Level lower after too few copies This is not the first pack of cartridges HP364 I take on Amazon but I am surprised and disappointed by the speed at which the ink drops, I am far from total number of copies announced and I have already recommended. Ditto "&amp;"for the previous pack. I hesitate to order again yet there are a lot of good comments on the page of this article.")</f>
        <v>Level lower after too few copies This is not the first pack of cartridges HP364 I take on Amazon but I am surprised and disappointed by the speed at which the ink drops, I am far from total number of copies announced and I have already recommended. Ditto for the previous pack. I hesitate to order again yet there are a lot of good comments on the page of this article.</v>
      </c>
    </row>
    <row r="10166">
      <c r="A10166" s="1">
        <v>1.0</v>
      </c>
      <c r="B10166" s="1" t="s">
        <v>10005</v>
      </c>
      <c r="C10166" t="str">
        <f>IFERROR(__xludf.DUMMYFUNCTION("GOOGLETRANSLATE(B10166, ""fr"", ""en"")"),"impossible to bear I ask retourje does not support them I have never put my foot too serrepuis I return them I have not put c is too tight my foot does not support them I request a return")</f>
        <v>impossible to bear I ask retourje does not support them I have never put my foot too serrepuis I return them I have not put c is too tight my foot does not support them I request a return</v>
      </c>
    </row>
    <row r="10167">
      <c r="A10167" s="1">
        <v>3.0</v>
      </c>
      <c r="B10167" s="1" t="s">
        <v>10006</v>
      </c>
      <c r="C10167" t="str">
        <f>IFERROR(__xludf.DUMMYFUNCTION("GOOGLETRANSLATE(B10167, ""fr"", ""en"")"),"Buckle Very nice this door with several colors and light ...")</f>
        <v>Buckle Very nice this door with several colors and light ...</v>
      </c>
    </row>
    <row r="10168">
      <c r="A10168" s="1">
        <v>3.0</v>
      </c>
      <c r="B10168" s="1" t="s">
        <v>10007</v>
      </c>
      <c r="C10168" t="str">
        <f>IFERROR(__xludf.DUMMYFUNCTION("GOOGLETRANSLATE(B10168, ""fr"", ""en"")"),"Good to wear. Tried 2 × 10 road paths. Good flexibility good amortized. Good size.")</f>
        <v>Good to wear. Tried 2 × 10 road paths. Good flexibility good amortized. Good size.</v>
      </c>
    </row>
    <row r="10169">
      <c r="A10169" s="1">
        <v>4.0</v>
      </c>
      <c r="B10169" s="1" t="s">
        <v>10008</v>
      </c>
      <c r="C10169" t="str">
        <f>IFERROR(__xludf.DUMMYFUNCTION("GOOGLETRANSLATE(B10169, ""fr"", ""en"")"),"Okay Practice for Birth! With this bottle ps colic at all with our easy .. son to sterilize in the microwave!")</f>
        <v>Okay Practice for Birth! With this bottle ps colic at all with our easy .. son to sterilize in the microwave!</v>
      </c>
    </row>
    <row r="10170">
      <c r="A10170" s="1">
        <v>4.0</v>
      </c>
      <c r="B10170" s="1" t="s">
        <v>10009</v>
      </c>
      <c r="C10170" t="str">
        <f>IFERROR(__xludf.DUMMYFUNCTION("GOOGLETRANSLATE(B10170, ""fr"", ""en"")"),"SIZE Next Comments I bought a size bigger than mine because I added special insoles. They are warm and comfortable.")</f>
        <v>SIZE Next Comments I bought a size bigger than mine because I added special insoles. They are warm and comfortable.</v>
      </c>
    </row>
    <row r="10171">
      <c r="A10171" s="1">
        <v>4.0</v>
      </c>
      <c r="B10171" s="1" t="s">
        <v>10010</v>
      </c>
      <c r="C10171" t="str">
        <f>IFERROR(__xludf.DUMMYFUNCTION("GOOGLETRANSLATE(B10171, ""fr"", ""en"")"),"xxxxxx sharp focus in front because he pay attention to large.Reste foot mark on the leather not .each we do request the fold, it's a normal can.")</f>
        <v>xxxxxx sharp focus in front because he pay attention to large.Reste foot mark on the leather not .each we do request the fold, it's a normal can.</v>
      </c>
    </row>
    <row r="10172">
      <c r="A10172" s="1">
        <v>4.0</v>
      </c>
      <c r="B10172" s="1" t="s">
        <v>1261</v>
      </c>
      <c r="C10172" t="str">
        <f>IFERROR(__xludf.DUMMYFUNCTION("GOOGLETRANSLATE(B10172, ""fr"", ""en"")"),"good good")</f>
        <v>good good</v>
      </c>
    </row>
    <row r="10173">
      <c r="A10173" s="1">
        <v>5.0</v>
      </c>
      <c r="B10173" s="1" t="s">
        <v>10011</v>
      </c>
      <c r="C10173" t="str">
        <f>IFERROR(__xludf.DUMMYFUNCTION("GOOGLETRANSLATE(B10173, ""fr"", ""en"")"),"cleans well Much more convenient than a normal brush, I recommend")</f>
        <v>cleans well Much more convenient than a normal brush, I recommend</v>
      </c>
    </row>
    <row r="10174">
      <c r="A10174" s="1">
        <v>5.0</v>
      </c>
      <c r="B10174" s="1" t="s">
        <v>10012</v>
      </c>
      <c r="C10174" t="str">
        <f>IFERROR(__xludf.DUMMYFUNCTION("GOOGLETRANSLATE(B10174, ""fr"", ""en"")"),"How to change the battery? Good product, good transaction!")</f>
        <v>How to change the battery? Good product, good transaction!</v>
      </c>
    </row>
    <row r="10175">
      <c r="A10175" s="1">
        <v>5.0</v>
      </c>
      <c r="B10175" s="1" t="s">
        <v>508</v>
      </c>
      <c r="C10175" t="str">
        <f>IFERROR(__xludf.DUMMYFUNCTION("GOOGLETRANSLATE(B10175, ""fr"", ""en"")"),"Very well very well")</f>
        <v>Very well very well</v>
      </c>
    </row>
    <row r="10176">
      <c r="A10176" s="1">
        <v>5.0</v>
      </c>
      <c r="B10176" s="1" t="s">
        <v>10013</v>
      </c>
      <c r="C10176" t="str">
        <f>IFERROR(__xludf.DUMMYFUNCTION("GOOGLETRANSLATE(B10176, ""fr"", ""en"")"),"Comfortable Super cels used all my colleagues love it and I'm fine dedans👍")</f>
        <v>Comfortable Super cels used all my colleagues love it and I'm fine dedans👍</v>
      </c>
    </row>
    <row r="10177">
      <c r="A10177" s="1">
        <v>5.0</v>
      </c>
      <c r="B10177" s="1" t="s">
        <v>10014</v>
      </c>
      <c r="C10177" t="str">
        <f>IFERROR(__xludf.DUMMYFUNCTION("GOOGLETRANSLATE(B10177, ""fr"", ""en"")"),"A beautiful fine quality gift for my friend, not disappointed beautiful quality finish")</f>
        <v>A beautiful fine quality gift for my friend, not disappointed beautiful quality finish</v>
      </c>
    </row>
    <row r="10178">
      <c r="A10178" s="1">
        <v>5.0</v>
      </c>
      <c r="B10178" s="1" t="s">
        <v>10015</v>
      </c>
      <c r="C10178" t="str">
        <f>IFERROR(__xludf.DUMMYFUNCTION("GOOGLETRANSLATE(B10178, ""fr"", ""en"")"),"Top Sends quick article consistent")</f>
        <v>Top Sends quick article consistent</v>
      </c>
    </row>
    <row r="10179">
      <c r="A10179" s="1">
        <v>5.0</v>
      </c>
      <c r="B10179" s="1" t="s">
        <v>10016</v>
      </c>
      <c r="C10179" t="str">
        <f>IFERROR(__xludf.DUMMYFUNCTION("GOOGLETRANSLATE(B10179, ""fr"", ""en"")"),"Nothing wrong Belle mounts")</f>
        <v>Nothing wrong Belle mounts</v>
      </c>
    </row>
    <row r="10180">
      <c r="A10180" s="1">
        <v>5.0</v>
      </c>
      <c r="B10180" s="1" t="s">
        <v>10017</v>
      </c>
      <c r="C10180" t="str">
        <f>IFERROR(__xludf.DUMMYFUNCTION("GOOGLETRANSLATE(B10180, ""fr"", ""en"")"),"Helmet and after-sales service quality! First, I wanted to say very good price / quality of this headset. In my use listening to music via my smartphone, it meets all the requirements I was looking for, namely: - Sound quality with low Restitution nice an"&amp;"d punchy. - Holding flawless on the head without unpleasant feeling with a touch softer on the ears. The helmet easily adapts to each person through the joints at the base of headphones. - Headset with a featherweight that allows us to forget during our l"&amp;"istening. - Autonomy of the battery very comfortable for extended listening several times before reloading. - intuitive buttons for easy navigation with grip incoming calls if necessary. - Headset with a nice aesthetic well packed in a box comprising a pr"&amp;"otective cover. Another important asset, customer service is attentive and very responsive to any request. I was able to find an answer to my request in very short time. Good communication from Cowin. Finally, after a year of use, I am very satisfied with"&amp;" this headset that offers comfort and restitution sound very pleasant. Cowin I discovered after my purchase of this bluetooth headset E7 and I'm not disappointed with my purchase, thank you.")</f>
        <v>Helmet and after-sales service quality! First, I wanted to say very good price / quality of this headset. In my use listening to music via my smartphone, it meets all the requirements I was looking for, namely: - Sound quality with low Restitution nice and punchy. - Holding flawless on the head without unpleasant feeling with a touch softer on the ears. The helmet easily adapts to each person through the joints at the base of headphones. - Headset with a featherweight that allows us to forget during our listening. - Autonomy of the battery very comfortable for extended listening several times before reloading. - intuitive buttons for easy navigation with grip incoming calls if necessary. - Headset with a nice aesthetic well packed in a box comprising a protective cover. Another important asset, customer service is attentive and very responsive to any request. I was able to find an answer to my request in very short time. Good communication from Cowin. Finally, after a year of use, I am very satisfied with this headset that offers comfort and restitution sound very pleasant. Cowin I discovered after my purchase of this bluetooth headset E7 and I'm not disappointed with my purchase, thank you.</v>
      </c>
    </row>
    <row r="10181">
      <c r="A10181" s="1">
        <v>5.0</v>
      </c>
      <c r="B10181" s="1" t="s">
        <v>10018</v>
      </c>
      <c r="C10181" t="str">
        <f>IFERROR(__xludf.DUMMYFUNCTION("GOOGLETRANSLATE(B10181, ""fr"", ""en"")"),"Perfect Perfect serious quality filter on the spout allows the plants infuse directly into it. Good size, fast heating Absolutely no complaints after 3 weeks")</f>
        <v>Perfect Perfect serious quality filter on the spout allows the plants infuse directly into it. Good size, fast heating Absolutely no complaints after 3 weeks</v>
      </c>
    </row>
    <row r="10182">
      <c r="A10182" s="1">
        <v>5.0</v>
      </c>
      <c r="B10182" s="1" t="s">
        <v>10019</v>
      </c>
      <c r="C10182" t="str">
        <f>IFERROR(__xludf.DUMMYFUNCTION("GOOGLETRANSLATE(B10182, ""fr"", ""en"")"),"Impeccable Super comfortable, great size and very shapely. I can not do without it.")</f>
        <v>Impeccable Super comfortable, great size and very shapely. I can not do without it.</v>
      </c>
    </row>
    <row r="10183">
      <c r="A10183" s="1">
        <v>5.0</v>
      </c>
      <c r="B10183" s="1" t="s">
        <v>369</v>
      </c>
      <c r="C10183" t="str">
        <f>IFERROR(__xludf.DUMMYFUNCTION("GOOGLETRANSLATE(B10183, ""fr"", ""en"")"),"Good product Good product")</f>
        <v>Good product Good product</v>
      </c>
    </row>
    <row r="10184">
      <c r="A10184" s="1">
        <v>5.0</v>
      </c>
      <c r="B10184" s="1" t="s">
        <v>10020</v>
      </c>
      <c r="C10184" t="str">
        <f>IFERROR(__xludf.DUMMYFUNCTION("GOOGLETRANSLATE(B10184, ""fr"", ""en"")"),"Super Good quality, comfortable Lightweight printed nickel")</f>
        <v>Super Good quality, comfortable Lightweight printed nickel</v>
      </c>
    </row>
    <row r="10185">
      <c r="A10185" s="1">
        <v>5.0</v>
      </c>
      <c r="B10185" s="1" t="s">
        <v>10021</v>
      </c>
      <c r="C10185" t="str">
        <f>IFERROR(__xludf.DUMMYFUNCTION("GOOGLETRANSLATE(B10185, ""fr"", ""en"")"),"Lightness Basketball .. very comfortable to wear, it cushioned the shocks especially as encountered foot problems")</f>
        <v>Lightness Basketball .. very comfortable to wear, it cushioned the shocks especially as encountered foot problems</v>
      </c>
    </row>
    <row r="10186">
      <c r="A10186" s="1">
        <v>5.0</v>
      </c>
      <c r="B10186" s="1" t="s">
        <v>80</v>
      </c>
      <c r="C10186" t="str">
        <f>IFERROR(__xludf.DUMMYFUNCTION("GOOGLETRANSLATE(B10186, ""fr"", ""en"")"),"I recommend Good quality")</f>
        <v>I recommend Good quality</v>
      </c>
    </row>
    <row r="10187">
      <c r="A10187" s="1">
        <v>5.0</v>
      </c>
      <c r="B10187" s="1" t="s">
        <v>224</v>
      </c>
      <c r="C10187" t="str">
        <f>IFERROR(__xludf.DUMMYFUNCTION("GOOGLETRANSLATE(B10187, ""fr"", ""en"")"),"perfect perfect")</f>
        <v>perfect perfect</v>
      </c>
    </row>
    <row r="10188">
      <c r="A10188" s="1">
        <v>5.0</v>
      </c>
      <c r="B10188" s="1" t="s">
        <v>10022</v>
      </c>
      <c r="C10188" t="str">
        <f>IFERROR(__xludf.DUMMYFUNCTION("GOOGLETRANSLATE(B10188, ""fr"", ""en"")"),"Super interesting product cheaper than the Grand area")</f>
        <v>Super interesting product cheaper than the Grand area</v>
      </c>
    </row>
    <row r="10189">
      <c r="A10189" s="1">
        <v>2.0</v>
      </c>
      <c r="B10189" s="1" t="s">
        <v>10023</v>
      </c>
      <c r="C10189" t="str">
        <f>IFERROR(__xludf.DUMMYFUNCTION("GOOGLETRANSLATE(B10189, ""fr"", ""en"")"),"Beware the size not to wear shoes too small really must be one size above and still not on the power of donning")</f>
        <v>Beware the size not to wear shoes too small really must be one size above and still not on the power of donning</v>
      </c>
    </row>
    <row r="10190">
      <c r="A10190" s="1">
        <v>1.0</v>
      </c>
      <c r="B10190" s="1" t="s">
        <v>10024</v>
      </c>
      <c r="C10190" t="str">
        <f>IFERROR(__xludf.DUMMYFUNCTION("GOOGLETRANSLATE(B10190, ""fr"", ""en"")"),"Watch arrived on time but with second hand floating in the mechanism Very disappointed with this watch which is defective arrival. The second hand was floating in the mechanism and not allowed to use the so immediate dismissal shows. I would not recommend"&amp;" this purchase")</f>
        <v>Watch arrived on time but with second hand floating in the mechanism Very disappointed with this watch which is defective arrival. The second hand was floating in the mechanism and not allowed to use the so immediate dismissal shows. I would not recommend this purchase</v>
      </c>
    </row>
    <row r="10191">
      <c r="A10191" s="1">
        <v>1.0</v>
      </c>
      <c r="B10191" s="1" t="s">
        <v>10025</v>
      </c>
      <c r="C10191" t="str">
        <f>IFERROR(__xludf.DUMMYFUNCTION("GOOGLETRANSLATE(B10191, ""fr"", ""en"")"),"to avoid poor quality product and dangerous. - external paroies are hot after use - although there is an adjustable thermostat, bread often spring burned - the machine regularly cutting out the kitchen - it's hard to get out the bread without burning ... "&amp;"short, product is to be avoided, which is why I am obliged to purchase another ...")</f>
        <v>to avoid poor quality product and dangerous. - external paroies are hot after use - although there is an adjustable thermostat, bread often spring burned - the machine regularly cutting out the kitchen - it's hard to get out the bread without burning ... short, product is to be avoided, which is why I am obliged to purchase another ...</v>
      </c>
    </row>
    <row r="10192">
      <c r="A10192" s="1">
        <v>3.0</v>
      </c>
      <c r="B10192" s="1" t="s">
        <v>10026</v>
      </c>
      <c r="C10192" t="str">
        <f>IFERROR(__xludf.DUMMYFUNCTION("GOOGLETRANSLATE(B10192, ""fr"", ""en"")"),"bag I bought for my husband when we walk on weekends or on vacation. Very handy for the car papers and phone etc ...")</f>
        <v>bag I bought for my husband when we walk on weekends or on vacation. Very handy for the car papers and phone etc ...</v>
      </c>
    </row>
    <row r="10193">
      <c r="A10193" s="1">
        <v>3.0</v>
      </c>
      <c r="B10193" s="1" t="s">
        <v>10027</v>
      </c>
      <c r="C10193" t="str">
        <f>IFERROR(__xludf.DUMMYFUNCTION("GOOGLETRANSLATE(B10193, ""fr"", ""en"")"),"Nice watch, but attention to the size Very nice watch that exudes quality. I wear it for a week, and it takes much time. However, attention to size: the casing is 40 mm, but the dial (glass surface) is only 30 mm. If my purchase it again, I orienterais to"&amp;" the Pro Diver 420, the housing is 45 mm, available from Amazon at 160 euros. I nevertheless retains this model to which I am attached, and that suits my small wrist.")</f>
        <v>Nice watch, but attention to the size Very nice watch that exudes quality. I wear it for a week, and it takes much time. However, attention to size: the casing is 40 mm, but the dial (glass surface) is only 30 mm. If my purchase it again, I orienterais to the Pro Diver 420, the housing is 45 mm, available from Amazon at 160 euros. I nevertheless retains this model to which I am attached, and that suits my small wrist.</v>
      </c>
    </row>
    <row r="10194">
      <c r="A10194" s="1">
        <v>4.0</v>
      </c>
      <c r="B10194" s="1" t="s">
        <v>10028</v>
      </c>
      <c r="C10194" t="str">
        <f>IFERROR(__xludf.DUMMYFUNCTION("GOOGLETRANSLATE(B10194, ""fr"", ""en"")"),"nikel shoes are my size has nikel")</f>
        <v>nikel shoes are my size has nikel</v>
      </c>
    </row>
    <row r="10195">
      <c r="A10195" s="1">
        <v>4.0</v>
      </c>
      <c r="B10195" s="1" t="s">
        <v>10029</v>
      </c>
      <c r="C10195" t="str">
        <f>IFERROR(__xludf.DUMMYFUNCTION("GOOGLETRANSLATE(B10195, ""fr"", ""en"")"),"Speed ​​facing the baby cry .... As a new mother, this life saving me. In fact water is the right temperature on. She released a little warmer than the desired temperature, but the time to put the powder and stir the bottle temperature is ideal. Certe alw"&amp;"ays check, especially with glass bottles, but I've never had to worry that level. I highly recommend.")</f>
        <v>Speed ​​facing the baby cry .... As a new mother, this life saving me. In fact water is the right temperature on. She released a little warmer than the desired temperature, but the time to put the powder and stir the bottle temperature is ideal. Certe always check, especially with glass bottles, but I've never had to worry that level. I highly recommend.</v>
      </c>
    </row>
    <row r="10196">
      <c r="A10196" s="1">
        <v>4.0</v>
      </c>
      <c r="B10196" s="1" t="s">
        <v>10030</v>
      </c>
      <c r="C10196" t="str">
        <f>IFERROR(__xludf.DUMMYFUNCTION("GOOGLETRANSLATE(B10196, ""fr"", ""en"")"),"I do not regret my purchase Although I do not pretend to be a big audiophile, I can say that these headphones restores sound very very correct and fairly balanced. The bass is just right, JackyTuningextraboostbass music lovers will be a bit disappointed b"&amp;"ut for the rest, but happiness. The restitution of the spectrum allowed me to rediscover many pieces. I wear daily headphones (desktop PC) for 1 year now to listen to music while working and also for games. Nothing to say comfort level, if not take the pa"&amp;"ds are hot and sweat a little worn so long. Cable: RAS Sound Quality: still good")</f>
        <v>I do not regret my purchase Although I do not pretend to be a big audiophile, I can say that these headphones restores sound very very correct and fairly balanced. The bass is just right, JackyTuningextraboostbass music lovers will be a bit disappointed but for the rest, but happiness. The restitution of the spectrum allowed me to rediscover many pieces. I wear daily headphones (desktop PC) for 1 year now to listen to music while working and also for games. Nothing to say comfort level, if not take the pads are hot and sweat a little worn so long. Cable: RAS Sound Quality: still good</v>
      </c>
    </row>
    <row r="10197">
      <c r="A10197" s="1">
        <v>4.0</v>
      </c>
      <c r="B10197" s="1" t="s">
        <v>10031</v>
      </c>
      <c r="C10197" t="str">
        <f>IFERROR(__xludf.DUMMYFUNCTION("GOOGLETRANSLATE(B10197, ""fr"", ""en"")"),"Micro Good sound for the microphone used in the home / amical.Bonne taken main.Vendu in rigid plastic boxes, ideal for transporting. Quality / price ratio has guided our choice")</f>
        <v>Micro Good sound for the microphone used in the home / amical.Bonne taken main.Vendu in rigid plastic boxes, ideal for transporting. Quality / price ratio has guided our choice</v>
      </c>
    </row>
    <row r="10198">
      <c r="A10198" s="1">
        <v>4.0</v>
      </c>
      <c r="B10198" s="1" t="s">
        <v>10032</v>
      </c>
      <c r="C10198" t="str">
        <f>IFERROR(__xludf.DUMMYFUNCTION("GOOGLETRANSLATE(B10198, ""fr"", ""en"")"),"Effective Effective, low noise. Instructions not very clear. Lighting very unpleasant (very cold) replacement bulbs very hard to find")</f>
        <v>Effective Effective, low noise. Instructions not very clear. Lighting very unpleasant (very cold) replacement bulbs very hard to find</v>
      </c>
    </row>
    <row r="10199">
      <c r="A10199" s="1">
        <v>5.0</v>
      </c>
      <c r="B10199" s="1" t="s">
        <v>10033</v>
      </c>
      <c r="C10199" t="str">
        <f>IFERROR(__xludf.DUMMYFUNCTION("GOOGLETRANSLATE(B10199, ""fr"", ""en"")"),"Too top 💕💕💕 Change traditional colors. sun feeling the Notes. Spring is in the notebooks 😊")</f>
        <v>Too top 💕💕💕 Change traditional colors. sun feeling the Notes. Spring is in the notebooks 😊</v>
      </c>
    </row>
    <row r="10200">
      <c r="A10200" s="1">
        <v>5.0</v>
      </c>
      <c r="B10200" s="1" t="s">
        <v>10034</v>
      </c>
      <c r="C10200" t="str">
        <f>IFERROR(__xludf.DUMMYFUNCTION("GOOGLETRANSLATE(B10200, ""fr"", ""en"")"),"very nice to please at any cost")</f>
        <v>very nice to please at any cost</v>
      </c>
    </row>
    <row r="10201">
      <c r="A10201" s="1">
        <v>5.0</v>
      </c>
      <c r="B10201" s="1" t="s">
        <v>10035</v>
      </c>
      <c r="C10201" t="str">
        <f>IFERROR(__xludf.DUMMYFUNCTION("GOOGLETRANSLATE(B10201, ""fr"", ""en"")"),"Good qualities I use for ps4 COD basically very good very nice helmet beautiful finishes nothing wrong with perhaps its price ...")</f>
        <v>Good qualities I use for ps4 COD basically very good very nice helmet beautiful finishes nothing wrong with perhaps its price ...</v>
      </c>
    </row>
    <row r="10202">
      <c r="A10202" s="1">
        <v>5.0</v>
      </c>
      <c r="B10202" s="1" t="s">
        <v>10036</v>
      </c>
      <c r="C10202" t="str">
        <f>IFERROR(__xludf.DUMMYFUNCTION("GOOGLETRANSLATE(B10202, ""fr"", ""en"")"),"At TOP Great headphones! the sound is perfect. The button on the headset and responds well sensation when support is good many features are integrées, keeps it in the ear is good, several tips of different sizes are supplied in the box to everybody finds "&amp;"it account. Also a house is sold with all to protect the box headphones, otherwise the box also serves 2600mAh External Battery for almost a burden and it's really handy when needed! headphones hold 4h, the case can charge several times headphones giving "&amp;"a very good battery life, the headphones are fully recharged in 1h30. Finally, the manual is very well done! I am delighted with this purchase!")</f>
        <v>At TOP Great headphones! the sound is perfect. The button on the headset and responds well sensation when support is good many features are integrées, keeps it in the ear is good, several tips of different sizes are supplied in the box to everybody finds it account. Also a house is sold with all to protect the box headphones, otherwise the box also serves 2600mAh External Battery for almost a burden and it's really handy when needed! headphones hold 4h, the case can charge several times headphones giving a very good battery life, the headphones are fully recharged in 1h30. Finally, the manual is very well done! I am delighted with this purchase!</v>
      </c>
    </row>
    <row r="10203">
      <c r="A10203" s="1">
        <v>5.0</v>
      </c>
      <c r="B10203" s="1" t="s">
        <v>10037</v>
      </c>
      <c r="C10203" t="str">
        <f>IFERROR(__xludf.DUMMYFUNCTION("GOOGLETRANSLATE(B10203, ""fr"", ""en"")"),"Discrete This is a softener that I buy in the framework of ""save by subscribing."" I must say that for now, there is no reason to change my habits. Its fragrance is discreet, the clothes are soft. It's perfect !")</f>
        <v>Discrete This is a softener that I buy in the framework of "save by subscribing." I must say that for now, there is no reason to change my habits. Its fragrance is discreet, the clothes are soft. It's perfect !</v>
      </c>
    </row>
    <row r="10204">
      <c r="A10204" s="1">
        <v>5.0</v>
      </c>
      <c r="B10204" s="1" t="s">
        <v>10038</v>
      </c>
      <c r="C10204" t="str">
        <f>IFERROR(__xludf.DUMMYFUNCTION("GOOGLETRANSLATE(B10204, ""fr"", ""en"")"),"Reassured This is the first time I ordered a pack compatible with my new Canon and my satisfaction was total. I started with one color and it is automatically recognized without any message. To the rhythm of my impressions, it was obvious that a second or"&amp;"der was necessary that I did immediately. Note that this package includes the gray color which is not the case for the original package. Good investment.")</f>
        <v>Reassured This is the first time I ordered a pack compatible with my new Canon and my satisfaction was total. I started with one color and it is automatically recognized without any message. To the rhythm of my impressions, it was obvious that a second order was necessary that I did immediately. Note that this package includes the gray color which is not the case for the original package. Good investment.</v>
      </c>
    </row>
    <row r="10205">
      <c r="A10205" s="1">
        <v>5.0</v>
      </c>
      <c r="B10205" s="1" t="s">
        <v>10039</v>
      </c>
      <c r="C10205" t="str">
        <f>IFERROR(__xludf.DUMMYFUNCTION("GOOGLETRANSLATE(B10205, ""fr"", ""en"")"),"this is consistent paper")</f>
        <v>this is consistent paper</v>
      </c>
    </row>
    <row r="10206">
      <c r="A10206" s="1">
        <v>5.0</v>
      </c>
      <c r="B10206" s="1" t="s">
        <v>10040</v>
      </c>
      <c r="C10206" t="str">
        <f>IFERROR(__xludf.DUMMYFUNCTION("GOOGLETRANSLATE(B10206, ""fr"", ""en"")"),"Good product. I know this to buy each year. Sending fast, no problem.")</f>
        <v>Good product. I know this to buy each year. Sending fast, no problem.</v>
      </c>
    </row>
    <row r="10207">
      <c r="A10207" s="1">
        <v>5.0</v>
      </c>
      <c r="B10207" s="1" t="s">
        <v>10041</v>
      </c>
      <c r="C10207" t="str">
        <f>IFERROR(__xludf.DUMMYFUNCTION("GOOGLETRANSLATE(B10207, ""fr"", ""en"")"),"Super Brightness I ordered the lamp to my office to do my nails and I am very happy. The brightness is perfect, the light folds on itself thus saving space when I do not need. I recommend")</f>
        <v>Super Brightness I ordered the lamp to my office to do my nails and I am very happy. The brightness is perfect, the light folds on itself thus saving space when I do not need. I recommend</v>
      </c>
    </row>
    <row r="10208">
      <c r="A10208" s="1">
        <v>5.0</v>
      </c>
      <c r="B10208" s="1" t="s">
        <v>10042</v>
      </c>
      <c r="C10208" t="str">
        <f>IFERROR(__xludf.DUMMYFUNCTION("GOOGLETRANSLATE(B10208, ""fr"", ""en"")"),"Lightweight and stylish My 11 year old daughter loves them, they are convenient to put on, light as a feather and super comfortable with any soft inner sole. I ordered a 37 and a 38 shoes that easily.")</f>
        <v>Lightweight and stylish My 11 year old daughter loves them, they are convenient to put on, light as a feather and super comfortable with any soft inner sole. I ordered a 37 and a 38 shoes that easily.</v>
      </c>
    </row>
    <row r="10209">
      <c r="A10209" s="1">
        <v>5.0</v>
      </c>
      <c r="B10209" s="1" t="s">
        <v>10043</v>
      </c>
      <c r="C10209" t="str">
        <f>IFERROR(__xludf.DUMMYFUNCTION("GOOGLETRANSLATE(B10209, ""fr"", ""en"")"),"Compliance Warning it's great: good measure")</f>
        <v>Compliance Warning it's great: good measure</v>
      </c>
    </row>
    <row r="10210">
      <c r="A10210" s="1">
        <v>5.0</v>
      </c>
      <c r="B10210" s="1" t="s">
        <v>10044</v>
      </c>
      <c r="C10210" t="str">
        <f>IFERROR(__xludf.DUMMYFUNCTION("GOOGLETRANSLATE(B10210, ""fr"", ""en"")"),"The alarm 2.0 Radio frankly amazed by this awakening, he dusts off altogether the image of the classic radio alarm everyone knows. It has lots of features, the smartphone connects to the drive, made radio, adjustable light is great, powerful or soft depen"&amp;"ding on the desired atmosphere. It wakes you gently with its light that simulates the morning light and triggers the radio or buzzer choice. The documentation is in French, a real plus.")</f>
        <v>The alarm 2.0 Radio frankly amazed by this awakening, he dusts off altogether the image of the classic radio alarm everyone knows. It has lots of features, the smartphone connects to the drive, made radio, adjustable light is great, powerful or soft depending on the desired atmosphere. It wakes you gently with its light that simulates the morning light and triggers the radio or buzzer choice. The documentation is in French, a real plus.</v>
      </c>
    </row>
    <row r="10211">
      <c r="A10211" s="1">
        <v>5.0</v>
      </c>
      <c r="B10211" s="1" t="s">
        <v>10045</v>
      </c>
      <c r="C10211" t="str">
        <f>IFERROR(__xludf.DUMMYFUNCTION("GOOGLETRANSLATE(B10211, ""fr"", ""en"")"),"christmas is beautiful paper can not say there is aqu surprise unpacking. We know that we control and the a. Many gift paper stock to provide a lot of christmas gift with a rather conventional paper and very pretty. It is normally solid and you will not b"&amp;"e disappointed!")</f>
        <v>christmas is beautiful paper can not say there is aqu surprise unpacking. We know that we control and the a. Many gift paper stock to provide a lot of christmas gift with a rather conventional paper and very pretty. It is normally solid and you will not be disappointed!</v>
      </c>
    </row>
    <row r="10212">
      <c r="A10212" s="1">
        <v>5.0</v>
      </c>
      <c r="B10212" s="1" t="s">
        <v>10046</v>
      </c>
      <c r="C10212" t="str">
        <f>IFERROR(__xludf.DUMMYFUNCTION("GOOGLETRANSLATE(B10212, ""fr"", ""en"")"),"Excellent Perfect massager massager that can be used in lots of body, neck, thighs, calf ...! Convenient size. After an hour of crossfit, is a treat.")</f>
        <v>Excellent Perfect massager massager that can be used in lots of body, neck, thighs, calf ...! Convenient size. After an hour of crossfit, is a treat.</v>
      </c>
    </row>
    <row r="10213">
      <c r="A10213" s="1">
        <v>5.0</v>
      </c>
      <c r="B10213" s="1" t="s">
        <v>10047</v>
      </c>
      <c r="C10213" t="str">
        <f>IFERROR(__xludf.DUMMYFUNCTION("GOOGLETRANSLATE(B10213, ""fr"", ""en"")"),"Basketball puma 👍 Very nice pair of basketball I took my normal and its size fits me really well with 2 pair from and pretty")</f>
        <v>Basketball puma 👍 Very nice pair of basketball I took my normal and its size fits me really well with 2 pair from and pretty</v>
      </c>
    </row>
    <row r="10214">
      <c r="A10214" s="1">
        <v>2.0</v>
      </c>
      <c r="B10214" s="1" t="s">
        <v>10048</v>
      </c>
      <c r="C10214" t="str">
        <f>IFERROR(__xludf.DUMMYFUNCTION("GOOGLETRANSLATE(B10214, ""fr"", ""en"")"),"THE BATTERY watch battery and change it happens to e flat")</f>
        <v>THE BATTERY watch battery and change it happens to e flat</v>
      </c>
    </row>
    <row r="10215">
      <c r="A10215" s="1">
        <v>1.0</v>
      </c>
      <c r="B10215" s="1" t="s">
        <v>10049</v>
      </c>
      <c r="C10215" t="str">
        <f>IFERROR(__xludf.DUMMYFUNCTION("GOOGLETRANSLATE(B10215, ""fr"", ""en"")"),"Not effective for me it gives me even more redness I had yet seen any indication cons I find the product on the net")</f>
        <v>Not effective for me it gives me even more redness I had yet seen any indication cons I find the product on the net</v>
      </c>
    </row>
    <row r="10216">
      <c r="A10216" s="1">
        <v>1.0</v>
      </c>
      <c r="B10216" s="1" t="s">
        <v>10050</v>
      </c>
      <c r="C10216" t="str">
        <f>IFERROR(__xludf.DUMMYFUNCTION("GOOGLETRANSLATE(B10216, ""fr"", ""en"")"),"Tools to remove ineffective mesh not remove mesh with the tool provided: the plastic screw and screw plastic also make the screw is treading water facing the small ""pin"" Now the mesh.")</f>
        <v>Tools to remove ineffective mesh not remove mesh with the tool provided: the plastic screw and screw plastic also make the screw is treading water facing the small "pin" Now the mesh.</v>
      </c>
    </row>
    <row r="10217">
      <c r="A10217" s="1">
        <v>3.0</v>
      </c>
      <c r="B10217" s="1" t="s">
        <v>10051</v>
      </c>
      <c r="C10217" t="str">
        <f>IFERROR(__xludf.DUMMYFUNCTION("GOOGLETRANSLATE(B10217, ""fr"", ""en"")"),"Bad I did is not necessarily consistent with pictures. She is more beautiful in real life. After, for the price, it's complicated to make it difficult. It works very well. The delivery time is really long. I took another Amazon. Less expensive and more at"&amp;"tractive")</f>
        <v>Bad I did is not necessarily consistent with pictures. She is more beautiful in real life. After, for the price, it's complicated to make it difficult. It works very well. The delivery time is really long. I took another Amazon. Less expensive and more attractive</v>
      </c>
    </row>
    <row r="10218">
      <c r="A10218" s="1">
        <v>3.0</v>
      </c>
      <c r="B10218" s="1" t="s">
        <v>10052</v>
      </c>
      <c r="C10218" t="str">
        <f>IFERROR(__xludf.DUMMYFUNCTION("GOOGLETRANSLATE(B10218, ""fr"", ""en"")"),"Comfortable but poor quality Very comfortable, very soft fabric. However I'm not sure quality over the long term, after fitting, the elastic bra was distended and after washing, the elastic boxer starts to fight. Shame because as I said, the whole is very"&amp;" soft and comfortable.")</f>
        <v>Comfortable but poor quality Very comfortable, very soft fabric. However I'm not sure quality over the long term, after fitting, the elastic bra was distended and after washing, the elastic boxer starts to fight. Shame because as I said, the whole is very soft and comfortable.</v>
      </c>
    </row>
    <row r="10219">
      <c r="A10219" s="1">
        <v>4.0</v>
      </c>
      <c r="B10219" s="1" t="s">
        <v>10053</v>
      </c>
      <c r="C10219" t="str">
        <f>IFERROR(__xludf.DUMMYFUNCTION("GOOGLETRANSLATE(B10219, ""fr"", ""en"")"),"It's ""almost"" very good! The contract price / quality ratio is filled for this microphone makes great job in terms of its price. Want a better record than him ... change your budget, you look better at this price ... you will not find.")</f>
        <v>It's "almost" very good! The contract price / quality ratio is filled for this microphone makes great job in terms of its price. Want a better record than him ... change your budget, you look better at this price ... you will not find.</v>
      </c>
    </row>
    <row r="10220">
      <c r="A10220" s="1">
        <v>4.0</v>
      </c>
      <c r="B10220" s="1" t="s">
        <v>10054</v>
      </c>
      <c r="C10220" t="str">
        <f>IFERROR(__xludf.DUMMYFUNCTION("GOOGLETRANSLATE(B10220, ""fr"", ""en"")"),"Nice finish .... It's first to carry my tablet Samsung 10.1, and some personal accessories and case. For daily use a little bulky as carrying bag. It protects well, a nice finish, short for the tablet itself is a very good choice .... Regards")</f>
        <v>Nice finish .... It's first to carry my tablet Samsung 10.1, and some personal accessories and case. For daily use a little bulky as carrying bag. It protects well, a nice finish, short for the tablet itself is a very good choice .... Regards</v>
      </c>
    </row>
    <row r="10221">
      <c r="A10221" s="1">
        <v>4.0</v>
      </c>
      <c r="B10221" s="1" t="s">
        <v>10055</v>
      </c>
      <c r="C10221" t="str">
        <f>IFERROR(__xludf.DUMMYFUNCTION("GOOGLETRANSLATE(B10221, ""fr"", ""en"")"),"From really great little headphones! They hold up well even dancing with ^ - ° The sound quality is decent but not exceptional either (I think the extra atrial headphones are more qualitative but I'm different uses). The time of the battery is. . . bah in"&amp;" fact since I have, I still have not needed to the load (I even begin to wonder if the charge indicator and reliable 0.O 'I redirez that you ^ - °) So small flat anyway, I have not been able to pair with my iPod. And another small point of detail, in the "&amp;"dark, you will not go unnoticed !!! Too bad we can not turn off the lights.")</f>
        <v>From really great little headphones! They hold up well even dancing with ^ - ° The sound quality is decent but not exceptional either (I think the extra atrial headphones are more qualitative but I'm different uses). The time of the battery is. . . bah in fact since I have, I still have not needed to the load (I even begin to wonder if the charge indicator and reliable 0.O 'I redirez that you ^ - °) So small flat anyway, I have not been able to pair with my iPod. And another small point of detail, in the dark, you will not go unnoticed !!! Too bad we can not turn off the lights.</v>
      </c>
    </row>
    <row r="10222">
      <c r="A10222" s="1">
        <v>4.0</v>
      </c>
      <c r="B10222" s="1" t="s">
        <v>10056</v>
      </c>
      <c r="C10222" t="str">
        <f>IFERROR(__xludf.DUMMYFUNCTION("GOOGLETRANSLATE(B10222, ""fr"", ""en"")"),"Product very honest After a first model whose channels were unbalanced, the headset turns out to be a good product for the use I make of (sports). On the sound that is not the Bose QC35 but JBL honorably fate for much cheaper!")</f>
        <v>Product very honest After a first model whose channels were unbalanced, the headset turns out to be a good product for the use I make of (sports). On the sound that is not the Bose QC35 but JBL honorably fate for much cheaper!</v>
      </c>
    </row>
    <row r="10223">
      <c r="A10223" s="1">
        <v>5.0</v>
      </c>
      <c r="B10223" s="1" t="s">
        <v>10057</v>
      </c>
      <c r="C10223" t="str">
        <f>IFERROR(__xludf.DUMMYFUNCTION("GOOGLETRANSLATE(B10223, ""fr"", ""en"")"),"completely adequate to my MG5550 completely adequate to my MG5550, my printer prints NB 4 me this time without problems. Everything is recognized currently niquel!")</f>
        <v>completely adequate to my MG5550 completely adequate to my MG5550, my printer prints NB 4 me this time without problems. Everything is recognized currently niquel!</v>
      </c>
    </row>
    <row r="10224">
      <c r="A10224" s="1">
        <v>5.0</v>
      </c>
      <c r="B10224" s="1" t="s">
        <v>10058</v>
      </c>
      <c r="C10224" t="str">
        <f>IFERROR(__xludf.DUMMYFUNCTION("GOOGLETRANSLATE(B10224, ""fr"", ""en"")"),"Good product Good product for sports, well cut, flexible, I recommend, as the one I had taken, I received well ahead of schedule! :)")</f>
        <v>Good product Good product for sports, well cut, flexible, I recommend, as the one I had taken, I received well ahead of schedule! :)</v>
      </c>
    </row>
    <row r="10225">
      <c r="A10225" s="1">
        <v>5.0</v>
      </c>
      <c r="B10225" s="1" t="s">
        <v>10059</v>
      </c>
      <c r="C10225" t="str">
        <f>IFERROR(__xludf.DUMMYFUNCTION("GOOGLETRANSLATE(B10225, ""fr"", ""en"")"),"Excellent Cotton is a good cotton, beautiful set of T-Shirt, I recommend.")</f>
        <v>Excellent Cotton is a good cotton, beautiful set of T-Shirt, I recommend.</v>
      </c>
    </row>
    <row r="10226">
      <c r="A10226" s="1">
        <v>5.0</v>
      </c>
      <c r="B10226" s="1" t="s">
        <v>10060</v>
      </c>
      <c r="C10226" t="str">
        <f>IFERROR(__xludf.DUMMYFUNCTION("GOOGLETRANSLATE(B10226, ""fr"", ""en"")"),"If you have problems of heavy legs or circulatory. This is that you need device. Very good product. With circulatory problems. It is going much better. The plus and very effective for muscle pain. Those are the electrodes. . I highly recommend this produc"&amp;"t.")</f>
        <v>If you have problems of heavy legs or circulatory. This is that you need device. Very good product. With circulatory problems. It is going much better. The plus and very effective for muscle pain. Those are the electrodes. . I highly recommend this product.</v>
      </c>
    </row>
    <row r="10227">
      <c r="A10227" s="1">
        <v>5.0</v>
      </c>
      <c r="B10227" s="1" t="s">
        <v>10061</v>
      </c>
      <c r="C10227" t="str">
        <f>IFERROR(__xludf.DUMMYFUNCTION("GOOGLETRANSLATE(B10227, ""fr"", ""en"")"),"Indispensable product perfect for induction plates. Hyper economic. A little walk breaks rinsing but cleans quickly and efficiently.")</f>
        <v>Indispensable product perfect for induction plates. Hyper economic. A little walk breaks rinsing but cleans quickly and efficiently.</v>
      </c>
    </row>
    <row r="10228">
      <c r="A10228" s="1">
        <v>5.0</v>
      </c>
      <c r="B10228" s="1" t="s">
        <v>10062</v>
      </c>
      <c r="C10228" t="str">
        <f>IFERROR(__xludf.DUMMYFUNCTION("GOOGLETRANSLATE(B10228, ""fr"", ""en"")"),"Broadcaster nice design I offered this diffuser to a friend who adopted it and love it ... diffuses a scent based on our preferences continuously or for a defined time.")</f>
        <v>Broadcaster nice design I offered this diffuser to a friend who adopted it and love it ... diffuses a scent based on our preferences continuously or for a defined time.</v>
      </c>
    </row>
    <row r="10229">
      <c r="A10229" s="1">
        <v>5.0</v>
      </c>
      <c r="B10229" s="1" t="s">
        <v>10063</v>
      </c>
      <c r="C10229" t="str">
        <f>IFERROR(__xludf.DUMMYFUNCTION("GOOGLETRANSLATE(B10229, ""fr"", ""en"")"),"Great Cheap and with an economic size. It is more in the form of fine powder and not as large crystals often making it easy to use especially for dishwasher powder")</f>
        <v>Great Cheap and with an economic size. It is more in the form of fine powder and not as large crystals often making it easy to use especially for dishwasher powder</v>
      </c>
    </row>
    <row r="10230">
      <c r="A10230" s="1">
        <v>5.0</v>
      </c>
      <c r="B10230" s="1" t="s">
        <v>224</v>
      </c>
      <c r="C10230" t="str">
        <f>IFERROR(__xludf.DUMMYFUNCTION("GOOGLETRANSLATE(B10230, ""fr"", ""en"")"),"perfect perfect")</f>
        <v>perfect perfect</v>
      </c>
    </row>
    <row r="10231">
      <c r="A10231" s="1">
        <v>5.0</v>
      </c>
      <c r="B10231" s="1" t="s">
        <v>10064</v>
      </c>
      <c r="C10231" t="str">
        <f>IFERROR(__xludf.DUMMYFUNCTION("GOOGLETRANSLATE(B10231, ""fr"", ""en"")"),"The Top Purchased promo (150 €), it is just perfect! What happiness! lovely massage! Note that I measure 1.90m and massage goes up high!")</f>
        <v>The Top Purchased promo (150 €), it is just perfect! What happiness! lovely massage! Note that I measure 1.90m and massage goes up high!</v>
      </c>
    </row>
    <row r="10232">
      <c r="A10232" s="1">
        <v>5.0</v>
      </c>
      <c r="B10232" s="1" t="s">
        <v>204</v>
      </c>
      <c r="C10232" t="str">
        <f>IFERROR(__xludf.DUMMYFUNCTION("GOOGLETRANSLATE(B10232, ""fr"", ""en"")"),"Top Top")</f>
        <v>Top Top</v>
      </c>
    </row>
    <row r="10233">
      <c r="A10233" s="1">
        <v>5.0</v>
      </c>
      <c r="B10233" s="1" t="s">
        <v>10065</v>
      </c>
      <c r="C10233" t="str">
        <f>IFERROR(__xludf.DUMMYFUNCTION("GOOGLETRANSLATE(B10233, ""fr"", ""en"")"),"Great product I recommend headphones already received has been very fast delivery, the finish is top, nothing to say about the design. The sound quality is really good and powerful. I tested during a run they do not move, they hold in place. 4 bits and a "&amp;"carrying case are provided. Nothing to say about the quality / price ratio.")</f>
        <v>Great product I recommend headphones already received has been very fast delivery, the finish is top, nothing to say about the design. The sound quality is really good and powerful. I tested during a run they do not move, they hold in place. 4 bits and a carrying case are provided. Nothing to say about the quality / price ratio.</v>
      </c>
    </row>
    <row r="10234">
      <c r="A10234" s="1">
        <v>5.0</v>
      </c>
      <c r="B10234" s="1" t="s">
        <v>10066</v>
      </c>
      <c r="C10234" t="str">
        <f>IFERROR(__xludf.DUMMYFUNCTION("GOOGLETRANSLATE(B10234, ""fr"", ""en"")"),"At the top very happy, I am delighted. Provide a half size smaller, all the major Shoe Stars. Very good value for money.")</f>
        <v>At the top very happy, I am delighted. Provide a half size smaller, all the major Shoe Stars. Very good value for money.</v>
      </c>
    </row>
    <row r="10235">
      <c r="A10235" s="1">
        <v>5.0</v>
      </c>
      <c r="B10235" s="1" t="s">
        <v>10067</v>
      </c>
      <c r="C10235" t="str">
        <f>IFERROR(__xludf.DUMMYFUNCTION("GOOGLETRANSLATE(B10235, ""fr"", ""en"")"),"Conforms I bought this pair of shoes for my son. They are very comfortable")</f>
        <v>Conforms I bought this pair of shoes for my son. They are very comfortable</v>
      </c>
    </row>
    <row r="10236">
      <c r="A10236" s="1">
        <v>5.0</v>
      </c>
      <c r="B10236" s="1" t="s">
        <v>10068</v>
      </c>
      <c r="C10236" t="str">
        <f>IFERROR(__xludf.DUMMYFUNCTION("GOOGLETRANSLATE(B10236, ""fr"", ""en"")"),"Very nice bag I love this bag, I take him everywhere with me. The two pockets are insulated, and I have enough to take everything you need for baby.")</f>
        <v>Very nice bag I love this bag, I take him everywhere with me. The two pockets are insulated, and I have enough to take everything you need for baby.</v>
      </c>
    </row>
    <row r="10237">
      <c r="A10237" s="1">
        <v>5.0</v>
      </c>
      <c r="B10237" s="1" t="s">
        <v>10069</v>
      </c>
      <c r="C10237" t="str">
        <f>IFERROR(__xludf.DUMMYFUNCTION("GOOGLETRANSLATE(B10237, ""fr"", ""en"")"),"Top quality / price Good quality for this headset gaming. As gift idea por my nephew is perfect. See in time to wear fasteners etc.")</f>
        <v>Top quality / price Good quality for this headset gaming. As gift idea por my nephew is perfect. See in time to wear fasteners etc.</v>
      </c>
    </row>
    <row r="10238">
      <c r="A10238" s="1">
        <v>2.0</v>
      </c>
      <c r="B10238" s="1" t="s">
        <v>10070</v>
      </c>
      <c r="C10238" t="str">
        <f>IFERROR(__xludf.DUMMYFUNCTION("GOOGLETRANSLATE(B10238, ""fr"", ""en"")"),"Good but works well with my watch sports Garmin No problem with my phone, no complaints about audio quality, to my surprise, the calls are also OK if not too noisy environment. However - I have not managed to run voice google assistant (a triple tap shoul"&amp;"d activate it) - I bought them to play sports with my watch garmin forerunner 945 that can stream music bluetooth, and oddly, even if I can pair them correctly, to play music and use the buttons (volume, play / pause, next / previous) they systematically "&amp;"turn off after 5 minutes, as s they had not managed to pair ... which makes them unsuitable for use as I had expected. I wrote a message to Aukey medium, unanswered (it's a Semiane), so I will send them back. Pity.")</f>
        <v>Good but works well with my watch sports Garmin No problem with my phone, no complaints about audio quality, to my surprise, the calls are also OK if not too noisy environment. However - I have not managed to run voice google assistant (a triple tap should activate it) - I bought them to play sports with my watch garmin forerunner 945 that can stream music bluetooth, and oddly, even if I can pair them correctly, to play music and use the buttons (volume, play / pause, next / previous) they systematically turn off after 5 minutes, as s they had not managed to pair ... which makes them unsuitable for use as I had expected. I wrote a message to Aukey medium, unanswered (it's a Semiane), so I will send them back. Pity.</v>
      </c>
    </row>
    <row r="10239">
      <c r="A10239" s="1">
        <v>1.0</v>
      </c>
      <c r="B10239" s="1" t="s">
        <v>10071</v>
      </c>
      <c r="C10239" t="str">
        <f>IFERROR(__xludf.DUMMYFUNCTION("GOOGLETRANSLATE(B10239, ""fr"", ""en"")"),"Product low end I had to return it after 2 short months. I do not recommend this product, which is expensive for such a poor quality.")</f>
        <v>Product low end I had to return it after 2 short months. I do not recommend this product, which is expensive for such a poor quality.</v>
      </c>
    </row>
    <row r="10240">
      <c r="A10240" s="1">
        <v>1.0</v>
      </c>
      <c r="B10240" s="1" t="s">
        <v>10072</v>
      </c>
      <c r="C10240" t="str">
        <f>IFERROR(__xludf.DUMMYFUNCTION("GOOGLETRANSLATE(B10240, ""fr"", ""en"")"),"Not long march Kit runs 5 minutes and then the caller hears nothing, or at least a big noise making communication impossible.")</f>
        <v>Not long march Kit runs 5 minutes and then the caller hears nothing, or at least a big noise making communication impossible.</v>
      </c>
    </row>
    <row r="10241">
      <c r="A10241" s="1">
        <v>3.0</v>
      </c>
      <c r="B10241" s="1" t="s">
        <v>10073</v>
      </c>
      <c r="C10241" t="str">
        <f>IFERROR(__xludf.DUMMYFUNCTION("GOOGLETRANSLATE(B10241, ""fr"", ""en"")"),"Odor ++ but the capsule disintegrates poorly at low temperatures as the title, the smell of the washing solution is very nice but me doing short programs especially with rather low temperature (max 30 °), I find that the capsule disintegrates so badly tha"&amp;"t I have sticky residue substance that get stuck between the drum and the door of the machine.")</f>
        <v>Odor ++ but the capsule disintegrates poorly at low temperatures as the title, the smell of the washing solution is very nice but me doing short programs especially with rather low temperature (max 30 °), I find that the capsule disintegrates so badly that I have sticky residue substance that get stuck between the drum and the door of the machine.</v>
      </c>
    </row>
    <row r="10242">
      <c r="A10242" s="1">
        <v>4.0</v>
      </c>
      <c r="B10242" s="1" t="s">
        <v>10074</v>
      </c>
      <c r="C10242" t="str">
        <f>IFERROR(__xludf.DUMMYFUNCTION("GOOGLETRANSLATE(B10242, ""fr"", ""en"")"),"Comfortable Very comfortable a bit tight for the size")</f>
        <v>Comfortable Very comfortable a bit tight for the size</v>
      </c>
    </row>
    <row r="10243">
      <c r="A10243" s="1">
        <v>4.0</v>
      </c>
      <c r="B10243" s="1" t="s">
        <v>10075</v>
      </c>
      <c r="C10243" t="str">
        <f>IFERROR(__xludf.DUMMYFUNCTION("GOOGLETRANSLATE(B10243, ""fr"", ""en"")"),"Comfort A bit too big but very comfortable but the straps are adjustable")</f>
        <v>Comfort A bit too big but very comfortable but the straps are adjustable</v>
      </c>
    </row>
    <row r="10244">
      <c r="A10244" s="1">
        <v>4.0</v>
      </c>
      <c r="B10244" s="1" t="s">
        <v>10076</v>
      </c>
      <c r="C10244" t="str">
        <f>IFERROR(__xludf.DUMMYFUNCTION("GOOGLETRANSLATE(B10244, ""fr"", ""en"")"),"Not comfortable safety")</f>
        <v>Not comfortable safety</v>
      </c>
    </row>
    <row r="10245">
      <c r="A10245" s="1">
        <v>4.0</v>
      </c>
      <c r="B10245" s="1" t="s">
        <v>10077</v>
      </c>
      <c r="C10245" t="str">
        <f>IFERROR(__xludf.DUMMYFUNCTION("GOOGLETRANSLATE(B10245, ""fr"", ""en"")"),"Has nothing to envy to the beats Top")</f>
        <v>Has nothing to envy to the beats Top</v>
      </c>
    </row>
    <row r="10246">
      <c r="A10246" s="1">
        <v>5.0</v>
      </c>
      <c r="B10246" s="1" t="s">
        <v>10078</v>
      </c>
      <c r="C10246" t="str">
        <f>IFERROR(__xludf.DUMMYFUNCTION("GOOGLETRANSLATE(B10246, ""fr"", ""en"")"),"Trainers My very elegant. Girl is delighted. Trainers very elegant very good deal at the premium days. I recomande")</f>
        <v>Trainers My very elegant. Girl is delighted. Trainers very elegant very good deal at the premium days. I recomande</v>
      </c>
    </row>
    <row r="10247">
      <c r="A10247" s="1">
        <v>5.0</v>
      </c>
      <c r="B10247" s="1" t="s">
        <v>10079</v>
      </c>
      <c r="C10247" t="str">
        <f>IFERROR(__xludf.DUMMYFUNCTION("GOOGLETRANSLATE(B10247, ""fr"", ""en"")"),"Very good use and no complaints to our organic des.déchets recycling bin. For me the size is very appropriate because I do not like to accumulate abundant debris. The links are strong.")</f>
        <v>Very good use and no complaints to our organic des.déchets recycling bin. For me the size is very appropriate because I do not like to accumulate abundant debris. The links are strong.</v>
      </c>
    </row>
    <row r="10248">
      <c r="A10248" s="1">
        <v>5.0</v>
      </c>
      <c r="B10248" s="1" t="s">
        <v>10080</v>
      </c>
      <c r="C10248" t="str">
        <f>IFERROR(__xludf.DUMMYFUNCTION("GOOGLETRANSLATE(B10248, ""fr"", ""en"")"),"A gem Having enough of my giant earphones with this thread and huge pads, I decide for wireless bluetooth and after much research falls on those who will deceive me quickly .Reçu the box is top and the case worthy of an engagement ring ! After a quick cha"&amp;"rge and brief reading of the manual, here they are in my ears, slight, of a quality that is comparable to larger, low well coated, short sound! I left them over a bluetooth dongle on the TV, and I do miss most honorable night .I wake me with matin.Je reco"&amp;"mmends worry!")</f>
        <v>A gem Having enough of my giant earphones with this thread and huge pads, I decide for wireless bluetooth and after much research falls on those who will deceive me quickly .Reçu the box is top and the case worthy of an engagement ring ! After a quick charge and brief reading of the manual, here they are in my ears, slight, of a quality that is comparable to larger, low well coated, short sound! I left them over a bluetooth dongle on the TV, and I do miss most honorable night .I wake me with matin.Je recommends worry!</v>
      </c>
    </row>
    <row r="10249">
      <c r="A10249" s="1">
        <v>5.0</v>
      </c>
      <c r="B10249" s="1" t="s">
        <v>10081</v>
      </c>
      <c r="C10249" t="str">
        <f>IFERROR(__xludf.DUMMYFUNCTION("GOOGLETRANSLATE(B10249, ""fr"", ""en"")"),"Perfect perfect my wife to wear throughout the pregnancy very sweet sound")</f>
        <v>Perfect perfect my wife to wear throughout the pregnancy very sweet sound</v>
      </c>
    </row>
    <row r="10250">
      <c r="A10250" s="1">
        <v>5.0</v>
      </c>
      <c r="B10250" s="1" t="s">
        <v>10082</v>
      </c>
      <c r="C10250" t="str">
        <f>IFERROR(__xludf.DUMMYFUNCTION("GOOGLETRANSLATE(B10250, ""fr"", ""en"")"),"Super useful product and fast to use a shoe cleaning feigning")</f>
        <v>Super useful product and fast to use a shoe cleaning feigning</v>
      </c>
    </row>
    <row r="10251">
      <c r="A10251" s="1">
        <v>5.0</v>
      </c>
      <c r="B10251" s="1" t="s">
        <v>10083</v>
      </c>
      <c r="C10251" t="str">
        <f>IFERROR(__xludf.DUMMYFUNCTION("GOOGLETRANSLATE(B10251, ""fr"", ""en"")"),"Compliant Compliant, fangs who cut properly.")</f>
        <v>Compliant Compliant, fangs who cut properly.</v>
      </c>
    </row>
    <row r="10252">
      <c r="A10252" s="1">
        <v>5.0</v>
      </c>
      <c r="B10252" s="1" t="s">
        <v>10084</v>
      </c>
      <c r="C10252" t="str">
        <f>IFERROR(__xludf.DUMMYFUNCTION("GOOGLETRANSLATE(B10252, ""fr"", ""en"")"),"Double sided 1,5m very resistant to Ras 19mm at any point except that it should be 60 cm above for a square credenza ~ adhesive side of 60cm very resistant provided to press very strong over a time for adhesion Greetings Pr")</f>
        <v>Double sided 1,5m very resistant to Ras 19mm at any point except that it should be 60 cm above for a square credenza ~ adhesive side of 60cm very resistant provided to press very strong over a time for adhesion Greetings Pr</v>
      </c>
    </row>
    <row r="10253">
      <c r="A10253" s="1">
        <v>5.0</v>
      </c>
      <c r="B10253" s="1" t="s">
        <v>10085</v>
      </c>
      <c r="C10253" t="str">
        <f>IFERROR(__xludf.DUMMYFUNCTION("GOOGLETRANSLATE(B10253, ""fr"", ""en"")"),"Very chic chic Seko on my watch. Happy with my purchase to replace a black leather strap. During assembly it is necessary to push the small push bottom so that the ends remain in place.")</f>
        <v>Very chic chic Seko on my watch. Happy with my purchase to replace a black leather strap. During assembly it is necessary to push the small push bottom so that the ends remain in place.</v>
      </c>
    </row>
    <row r="10254">
      <c r="A10254" s="1">
        <v>5.0</v>
      </c>
      <c r="B10254" s="1" t="s">
        <v>10086</v>
      </c>
      <c r="C10254" t="str">
        <f>IFERROR(__xludf.DUMMYFUNCTION("GOOGLETRANSLATE(B10254, ""fr"", ""en"")"),"Excellent Cartridges This cartridge is an excellent value taken. Delivery is consistent and on time.")</f>
        <v>Excellent Cartridges This cartridge is an excellent value taken. Delivery is consistent and on time.</v>
      </c>
    </row>
    <row r="10255">
      <c r="A10255" s="1">
        <v>5.0</v>
      </c>
      <c r="B10255" s="1" t="s">
        <v>10087</v>
      </c>
      <c r="C10255" t="str">
        <f>IFERROR(__xludf.DUMMYFUNCTION("GOOGLETRANSLATE(B10255, ""fr"", ""en"")"),"PERFECT Bought there are already a few months, it has acquired a beautiful patina (set balm leather car seat). The zippered pockets are very practical and spacious (good point for both the hidden oeuil thieves. I recommend this article very good.")</f>
        <v>PERFECT Bought there are already a few months, it has acquired a beautiful patina (set balm leather car seat). The zippered pockets are very practical and spacious (good point for both the hidden oeuil thieves. I recommend this article very good.</v>
      </c>
    </row>
    <row r="10256">
      <c r="A10256" s="1">
        <v>5.0</v>
      </c>
      <c r="B10256" s="1" t="s">
        <v>10088</v>
      </c>
      <c r="C10256" t="str">
        <f>IFERROR(__xludf.DUMMYFUNCTION("GOOGLETRANSLATE(B10256, ""fr"", ""en"")"),"Great! Matches my expectations, really comfortable! I recommend, however take a half size 1 see below depends on the shape of your feet as large size ca")</f>
        <v>Great! Matches my expectations, really comfortable! I recommend, however take a half size 1 see below depends on the shape of your feet as large size ca</v>
      </c>
    </row>
    <row r="10257">
      <c r="A10257" s="1">
        <v>5.0</v>
      </c>
      <c r="B10257" s="1" t="s">
        <v>10089</v>
      </c>
      <c r="C10257" t="str">
        <f>IFERROR(__xludf.DUMMYFUNCTION("GOOGLETRANSLATE(B10257, ""fr"", ""en"")"),"Bought size well to put under my wedding dress that I found a bit transparant.")</f>
        <v>Bought size well to put under my wedding dress that I found a bit transparant.</v>
      </c>
    </row>
    <row r="10258">
      <c r="A10258" s="1">
        <v>5.0</v>
      </c>
      <c r="B10258" s="1" t="s">
        <v>10090</v>
      </c>
      <c r="C10258" t="str">
        <f>IFERROR(__xludf.DUMMYFUNCTION("GOOGLETRANSLATE(B10258, ""fr"", ""en"")"),"I rediscovered the pleasure of sound Bose In the end, I can enjoy my new pregnant! What a pleasure ! Charger well packaged and with European standards. No risk.")</f>
        <v>I rediscovered the pleasure of sound Bose In the end, I can enjoy my new pregnant! What a pleasure ! Charger well packaged and with European standards. No risk.</v>
      </c>
    </row>
    <row r="10259">
      <c r="A10259" s="1">
        <v>5.0</v>
      </c>
      <c r="B10259" s="1" t="s">
        <v>10091</v>
      </c>
      <c r="C10259" t="str">
        <f>IFERROR(__xludf.DUMMYFUNCTION("GOOGLETRANSLATE(B10259, ""fr"", ""en"")"),"Superb Superb! Thank you")</f>
        <v>Superb Superb! Thank you</v>
      </c>
    </row>
    <row r="10260">
      <c r="A10260" s="1">
        <v>5.0</v>
      </c>
      <c r="B10260" s="1" t="s">
        <v>10092</v>
      </c>
      <c r="C10260" t="str">
        <f>IFERROR(__xludf.DUMMYFUNCTION("GOOGLETRANSLATE(B10260, ""fr"", ""en"")"),"Good product I bought all MAM range in anti-colic bottle and teat, different flows I'm happy with this brand pacifiers are fun for baby and easy to clean")</f>
        <v>Good product I bought all MAM range in anti-colic bottle and teat, different flows I'm happy with this brand pacifiers are fun for baby and easy to clean</v>
      </c>
    </row>
    <row r="10261">
      <c r="A10261" s="1">
        <v>2.0</v>
      </c>
      <c r="B10261" s="1" t="s">
        <v>10093</v>
      </c>
      <c r="C10261" t="str">
        <f>IFERROR(__xludf.DUMMYFUNCTION("GOOGLETRANSLATE(B10261, ""fr"", ""en"")"),"A little disappointed Both necklaces arrived from China. They are color and different material. I have no velvet pouch as expected but another necklace whose string is broken!")</f>
        <v>A little disappointed Both necklaces arrived from China. They are color and different material. I have no velvet pouch as expected but another necklace whose string is broken!</v>
      </c>
    </row>
    <row r="10262">
      <c r="A10262" s="1">
        <v>1.0</v>
      </c>
      <c r="B10262" s="1" t="s">
        <v>10094</v>
      </c>
      <c r="C10262" t="str">
        <f>IFERROR(__xludf.DUMMYFUNCTION("GOOGLETRANSLATE(B10262, ""fr"", ""en"")"),"Nothing for the job. I ..... many steps. J hurts thumb of the left foot.")</f>
        <v>Nothing for the job. I ..... many steps. J hurts thumb of the left foot.</v>
      </c>
    </row>
    <row r="10263">
      <c r="A10263" s="1">
        <v>3.0</v>
      </c>
      <c r="B10263" s="1" t="s">
        <v>10095</v>
      </c>
      <c r="C10263" t="str">
        <f>IFERROR(__xludf.DUMMYFUNCTION("GOOGLETRANSLATE(B10263, ""fr"", ""en"")"),"2 hearts can ring a delicate and very thin again after the number of? can have the opens as have wants but very fragile apart from that it is pleasant")</f>
        <v>2 hearts can ring a delicate and very thin again after the number of? can have the opens as have wants but very fragile apart from that it is pleasant</v>
      </c>
    </row>
    <row r="10264">
      <c r="A10264" s="1">
        <v>3.0</v>
      </c>
      <c r="B10264" s="1" t="s">
        <v>10096</v>
      </c>
      <c r="C10264" t="str">
        <f>IFERROR(__xludf.DUMMYFUNCTION("GOOGLETRANSLATE(B10264, ""fr"", ""en"")"),"Do take into Middle pa in time to deform")</f>
        <v>Do take into Middle pa in time to deform</v>
      </c>
    </row>
    <row r="10265">
      <c r="A10265" s="1">
        <v>4.0</v>
      </c>
      <c r="B10265" s="1" t="s">
        <v>10097</v>
      </c>
      <c r="C10265" t="str">
        <f>IFERROR(__xludf.DUMMYFUNCTION("GOOGLETRANSLATE(B10265, ""fr"", ""en"")"),"Although Good product. Pleasant. Strength to see in time.")</f>
        <v>Although Good product. Pleasant. Strength to see in time.</v>
      </c>
    </row>
    <row r="10266">
      <c r="A10266" s="1">
        <v>4.0</v>
      </c>
      <c r="B10266" s="1" t="s">
        <v>10098</v>
      </c>
      <c r="C10266" t="str">
        <f>IFERROR(__xludf.DUMMYFUNCTION("GOOGLETRANSLATE(B10266, ""fr"", ""en"")"),"Very relaxing Back Problems")</f>
        <v>Very relaxing Back Problems</v>
      </c>
    </row>
    <row r="10267">
      <c r="A10267" s="1">
        <v>4.0</v>
      </c>
      <c r="B10267" s="1" t="s">
        <v>10099</v>
      </c>
      <c r="C10267" t="str">
        <f>IFERROR(__xludf.DUMMYFUNCTION("GOOGLETRANSLATE(B10267, ""fr"", ""en"")"),"Very nice and comfortable I got this watch for my son. He is very happy. The red color is beautiful. The watch request to read the leaflet for the adjust and understand its operation. So I suggest you keep good record.")</f>
        <v>Very nice and comfortable I got this watch for my son. He is very happy. The red color is beautiful. The watch request to read the leaflet for the adjust and understand its operation. So I suggest you keep good record.</v>
      </c>
    </row>
    <row r="10268">
      <c r="A10268" s="1">
        <v>4.0</v>
      </c>
      <c r="B10268" s="1" t="s">
        <v>10100</v>
      </c>
      <c r="C10268" t="str">
        <f>IFERROR(__xludf.DUMMYFUNCTION("GOOGLETRANSLATE(B10268, ""fr"", ""en"")"),"Super But color is not as flash as the image but its still good")</f>
        <v>Super But color is not as flash as the image but its still good</v>
      </c>
    </row>
    <row r="10269">
      <c r="A10269" s="1">
        <v>5.0</v>
      </c>
      <c r="B10269" s="1" t="s">
        <v>10101</v>
      </c>
      <c r="C10269" t="str">
        <f>IFERROR(__xludf.DUMMYFUNCTION("GOOGLETRANSLATE(B10269, ""fr"", ""en"")"),"Okay, the sound quality is really good, both for phone calls to listen to music. And it's really nice to play sports while listening to music without being annoyed by cables constantly. Nothing autonomy looks to me to be good and they can be recharged via"&amp;" USB within hours. Really good value ...")</f>
        <v>Okay, the sound quality is really good, both for phone calls to listen to music. And it's really nice to play sports while listening to music without being annoyed by cables constantly. Nothing autonomy looks to me to be good and they can be recharged via USB within hours. Really good value ...</v>
      </c>
    </row>
    <row r="10270">
      <c r="A10270" s="1">
        <v>5.0</v>
      </c>
      <c r="B10270" s="1" t="s">
        <v>10102</v>
      </c>
      <c r="C10270" t="str">
        <f>IFERROR(__xludf.DUMMYFUNCTION("GOOGLETRANSLATE(B10270, ""fr"", ""en"")"),"Beau Hoodie sweater caramel color that does not ""&amp; nbsp; cheap &amp; nbsp;"" contrary to what I thought. The sleeves are very narrow at the forearm but the fabric is elastic and quickly adapts to the morphology. I usually rising slightly sleeves so it does n"&amp;"ot bother me. For me the size is reliable.")</f>
        <v>Beau Hoodie sweater caramel color that does not "&amp; nbsp; cheap &amp; nbsp;" contrary to what I thought. The sleeves are very narrow at the forearm but the fabric is elastic and quickly adapts to the morphology. I usually rising slightly sleeves so it does not bother me. For me the size is reliable.</v>
      </c>
    </row>
    <row r="10271">
      <c r="A10271" s="1">
        <v>5.0</v>
      </c>
      <c r="B10271" s="1" t="s">
        <v>10103</v>
      </c>
      <c r="C10271" t="str">
        <f>IFERROR(__xludf.DUMMYFUNCTION("GOOGLETRANSLATE(B10271, ""fr"", ""en"")"),"Watch Pretty Great product I'm very happy :) - Advantage: - Wear OS by Google therefore not an OS owner of the brand - to pay directly with NFC - Many choices in the dials - Bracelet well made and comfortable Disadvantage - Wear OS a little soft start. It"&amp;" takes a good 5 minutes for the watch to be used properly - Battery that does not take 48 hours but rather between 36 and 40H. Provide a travel charger for short trip")</f>
        <v>Watch Pretty Great product I'm very happy :) - Advantage: - Wear OS by Google therefore not an OS owner of the brand - to pay directly with NFC - Many choices in the dials - Bracelet well made and comfortable Disadvantage - Wear OS a little soft start. It takes a good 5 minutes for the watch to be used properly - Battery that does not take 48 hours but rather between 36 and 40H. Provide a travel charger for short trip</v>
      </c>
    </row>
    <row r="10272">
      <c r="A10272" s="1">
        <v>5.0</v>
      </c>
      <c r="B10272" s="1" t="s">
        <v>10104</v>
      </c>
      <c r="C10272" t="str">
        <f>IFERROR(__xludf.DUMMYFUNCTION("GOOGLETRANSLATE(B10272, ""fr"", ""en"")"),"I love Winnie - containing large soft color for my future little girl I look forward anti-colic, anti-regurgitation and anti-flatulence Dodie's a good brand that has proven itself over time")</f>
        <v>I love Winnie - containing large soft color for my future little girl I look forward anti-colic, anti-regurgitation and anti-flatulence Dodie's a good brand that has proven itself over time</v>
      </c>
    </row>
    <row r="10273">
      <c r="A10273" s="1">
        <v>5.0</v>
      </c>
      <c r="B10273" s="1" t="s">
        <v>10105</v>
      </c>
      <c r="C10273" t="str">
        <f>IFERROR(__xludf.DUMMYFUNCTION("GOOGLETRANSLATE(B10273, ""fr"", ""en"")"),"Product line with my expectations Very good product, consistent size and fast delivery.")</f>
        <v>Product line with my expectations Very good product, consistent size and fast delivery.</v>
      </c>
    </row>
    <row r="10274">
      <c r="A10274" s="1">
        <v>5.0</v>
      </c>
      <c r="B10274" s="1" t="s">
        <v>10106</v>
      </c>
      <c r="C10274" t="str">
        <f>IFERROR(__xludf.DUMMYFUNCTION("GOOGLETRANSLATE(B10274, ""fr"", ""en"")"),"Nothing inking stamps ordered on Amazon for marriage")</f>
        <v>Nothing inking stamps ordered on Amazon for marriage</v>
      </c>
    </row>
    <row r="10275">
      <c r="A10275" s="1">
        <v>5.0</v>
      </c>
      <c r="B10275" s="1" t="s">
        <v>10107</v>
      </c>
      <c r="C10275" t="str">
        <f>IFERROR(__xludf.DUMMYFUNCTION("GOOGLETRANSLATE(B10275, ""fr"", ""en"")"),"Beautiful jacket Beautiful jackets, I bought two 6XL because I'm stout and knowing that the Chinese sizes small carve, I did well, they fit me perfectly adjusted, but not too much as it should. Allow two sizes above yours. I recommend, good quality.")</f>
        <v>Beautiful jacket Beautiful jackets, I bought two 6XL because I'm stout and knowing that the Chinese sizes small carve, I did well, they fit me perfectly adjusted, but not too much as it should. Allow two sizes above yours. I recommend, good quality.</v>
      </c>
    </row>
    <row r="10276">
      <c r="A10276" s="1">
        <v>5.0</v>
      </c>
      <c r="B10276" s="1" t="s">
        <v>10108</v>
      </c>
      <c r="C10276" t="str">
        <f>IFERROR(__xludf.DUMMYFUNCTION("GOOGLETRANSLATE(B10276, ""fr"", ""en"")"),"Top After over two years of use, I have not had to complain about. Plastic does not fade, is robust, easy to use, high capacity while being compact. Ultra easy cleaning and quick. I'm not ready to buy another because this one may be much longer. It is a p"&amp;"rofitable purchase for a long time")</f>
        <v>Top After over two years of use, I have not had to complain about. Plastic does not fade, is robust, easy to use, high capacity while being compact. Ultra easy cleaning and quick. I'm not ready to buy another because this one may be much longer. It is a profitable purchase for a long time</v>
      </c>
    </row>
    <row r="10277">
      <c r="A10277" s="1">
        <v>5.0</v>
      </c>
      <c r="B10277" s="1" t="s">
        <v>10109</v>
      </c>
      <c r="C10277" t="str">
        <f>IFERROR(__xludf.DUMMYFUNCTION("GOOGLETRANSLATE(B10277, ""fr"", ""en"")"),"Good value for money After several months of daily use, it still works! While morning and evening it is put into a coat pocket. The battery like the week corresponding to 10 hours of listening. The headset is comfortable and insulates ambient noise withou"&amp;"t active mitigation. Note that I used the headset in the RER to listen to podcasts and music. By enabling mitigation that removes much of the hum of the train and I can turn it down while having a comfortable listening. Disadvantage, I hear more conversat"&amp;"ions of my neighbors.")</f>
        <v>Good value for money After several months of daily use, it still works! While morning and evening it is put into a coat pocket. The battery like the week corresponding to 10 hours of listening. The headset is comfortable and insulates ambient noise without active mitigation. Note that I used the headset in the RER to listen to podcasts and music. By enabling mitigation that removes much of the hum of the train and I can turn it down while having a comfortable listening. Disadvantage, I hear more conversations of my neighbors.</v>
      </c>
    </row>
    <row r="10278">
      <c r="A10278" s="1">
        <v>5.0</v>
      </c>
      <c r="B10278" s="1" t="s">
        <v>369</v>
      </c>
      <c r="C10278" t="str">
        <f>IFERROR(__xludf.DUMMYFUNCTION("GOOGLETRANSLATE(B10278, ""fr"", ""en"")"),"Good product Good product")</f>
        <v>Good product Good product</v>
      </c>
    </row>
    <row r="10279">
      <c r="A10279" s="1">
        <v>5.0</v>
      </c>
      <c r="B10279" s="1" t="s">
        <v>10110</v>
      </c>
      <c r="C10279" t="str">
        <f>IFERROR(__xludf.DUMMYFUNCTION("GOOGLETRANSLATE(B10279, ""fr"", ""en"")"),"Lightweight and comfortable for my plasma TV")</f>
        <v>Lightweight and comfortable for my plasma TV</v>
      </c>
    </row>
    <row r="10280">
      <c r="A10280" s="1">
        <v>5.0</v>
      </c>
      <c r="B10280" s="1" t="s">
        <v>10111</v>
      </c>
      <c r="C10280" t="str">
        <f>IFERROR(__xludf.DUMMYFUNCTION("GOOGLETRANSLATE(B10280, ""fr"", ""en"")"),"Excellent! Nothing to add ! Value for money at the top")</f>
        <v>Excellent! Nothing to add ! Value for money at the top</v>
      </c>
    </row>
    <row r="10281">
      <c r="A10281" s="1">
        <v>5.0</v>
      </c>
      <c r="B10281" s="1" t="s">
        <v>10112</v>
      </c>
      <c r="C10281" t="str">
        <f>IFERROR(__xludf.DUMMYFUNCTION("GOOGLETRANSLATE(B10281, ""fr"", ""en"")"),"Excellent Not for nothing that Rode is recognized as a benchmark in this product for beginner in video or high quality product for small budgets. Indeed excellent product this microphone with &lt;a data-hook = ""product-link-linked"" class = ""a-link-normal"&amp;""" href = ""/ Rode-SC4-adapter-for-VideoMic / dp / B00L6C8PN0 / ref = ie = UTF8 cm_cr_getr_d_rvw_txt ""&gt; SC4 Rode VideoMic Adapter &lt;/a&gt; &amp; nbsp;? for smartphones. That's good for your camera or smartphone.")</f>
        <v>Excellent Not for nothing that Rode is recognized as a benchmark in this product for beginner in video or high quality product for small budgets. Indeed excellent product this microphone with &lt;a data-hook = "product-link-linked" class = "a-link-normal" href = "/ Rode-SC4-adapter-for-VideoMic / dp / B00L6C8PN0 / ref = ie = UTF8 cm_cr_getr_d_rvw_txt "&gt; SC4 Rode VideoMic Adapter &lt;/a&gt; &amp; nbsp;? for smartphones. That's good for your camera or smartphone.</v>
      </c>
    </row>
    <row r="10282">
      <c r="A10282" s="1">
        <v>5.0</v>
      </c>
      <c r="B10282" s="1" t="s">
        <v>10113</v>
      </c>
      <c r="C10282" t="str">
        <f>IFERROR(__xludf.DUMMYFUNCTION("GOOGLETRANSLATE(B10282, ""fr"", ""en"")"),"Good product, I recommend Although useful to heat the bed at night before bed Good sealing envelope Softness Excellent value for money but beware the diameter of the largest is not 28 cm but 25 cm")</f>
        <v>Good product, I recommend Although useful to heat the bed at night before bed Good sealing envelope Softness Excellent value for money but beware the diameter of the largest is not 28 cm but 25 cm</v>
      </c>
    </row>
    <row r="10283">
      <c r="A10283" s="1">
        <v>5.0</v>
      </c>
      <c r="B10283" s="1" t="s">
        <v>10114</v>
      </c>
      <c r="C10283" t="str">
        <f>IFERROR(__xludf.DUMMYFUNCTION("GOOGLETRANSLATE(B10283, ""fr"", ""en"")"),"Very well the Super Sports! Perfect. Lightweight perfect! Perfect Very good well packaged good color and good size impeccable service. I do not regret this purchase. Classic not disappointed.")</f>
        <v>Very well the Super Sports! Perfect. Lightweight perfect! Perfect Very good well packaged good color and good size impeccable service. I do not regret this purchase. Classic not disappointed.</v>
      </c>
    </row>
    <row r="10284">
      <c r="A10284" s="1">
        <v>2.0</v>
      </c>
      <c r="B10284" s="1" t="s">
        <v>10115</v>
      </c>
      <c r="C10284" t="str">
        <f>IFERROR(__xludf.DUMMYFUNCTION("GOOGLETRANSLATE(B10284, ""fr"", ""en"")"),"poor sound quality I bought this mic so you can create voice files. This micro looks good and seems well made. Regarding the audio quality on this point, I am very disappointed. I do not know if I'm the only one, but the result is very serious, dry and no"&amp;"t round at all. Compared with a Shure BG1 or AKG SolidTube, rendering Bird is tinny, very very serious and not flattering at all. To obtain a vaguely rendered exploitable (I still fully recognize my voice) you have to use a sharp EQ with parametric multip"&amp;"le frequency ranges larger or smaller filters, low cut, etc ... and apply a reverb . Do I have a problem with the item received?")</f>
        <v>poor sound quality I bought this mic so you can create voice files. This micro looks good and seems well made. Regarding the audio quality on this point, I am very disappointed. I do not know if I'm the only one, but the result is very serious, dry and not round at all. Compared with a Shure BG1 or AKG SolidTube, rendering Bird is tinny, very very serious and not flattering at all. To obtain a vaguely rendered exploitable (I still fully recognize my voice) you have to use a sharp EQ with parametric multiple frequency ranges larger or smaller filters, low cut, etc ... and apply a reverb . Do I have a problem with the item received?</v>
      </c>
    </row>
    <row r="10285">
      <c r="A10285" s="1">
        <v>1.0</v>
      </c>
      <c r="B10285" s="1" t="s">
        <v>10116</v>
      </c>
      <c r="C10285" t="str">
        <f>IFERROR(__xludf.DUMMYFUNCTION("GOOGLETRANSLATE(B10285, ""fr"", ""en"")"),"absolute scam I have already mentioned that this article is not usable because the jar is not sealed and there is a leak of liquid for use. I sent a message to the seller who did not reply to date. In my case, this article does not even deserve a star, I "&amp;"screwed up in the trash and the seller is simply not serious. TO AVOID.")</f>
        <v>absolute scam I have already mentioned that this article is not usable because the jar is not sealed and there is a leak of liquid for use. I sent a message to the seller who did not reply to date. In my case, this article does not even deserve a star, I screwed up in the trash and the seller is simply not serious. TO AVOID.</v>
      </c>
    </row>
    <row r="10286">
      <c r="A10286" s="1">
        <v>1.0</v>
      </c>
      <c r="B10286" s="1" t="s">
        <v>10117</v>
      </c>
      <c r="C10286" t="str">
        <f>IFERROR(__xludf.DUMMYFUNCTION("GOOGLETRANSLATE(B10286, ""fr"", ""en"")"),"Disappointed, very disappointed offered there within 3 months meticulous person and decor ""wood"" comes off alone")</f>
        <v>Disappointed, very disappointed offered there within 3 months meticulous person and decor "wood" comes off alone</v>
      </c>
    </row>
    <row r="10287">
      <c r="A10287" s="1">
        <v>3.0</v>
      </c>
      <c r="B10287" s="1" t="s">
        <v>10118</v>
      </c>
      <c r="C10287" t="str">
        <f>IFERROR(__xludf.DUMMYFUNCTION("GOOGLETRANSLATE(B10287, ""fr"", ""en"")"),"ANTI WATER product suitable for convenient closet and cabinet still in cabinet on hangers it is not convenient to hang the bag on the hanger")</f>
        <v>ANTI WATER product suitable for convenient closet and cabinet still in cabinet on hangers it is not convenient to hang the bag on the hanger</v>
      </c>
    </row>
    <row r="10288">
      <c r="A10288" s="1">
        <v>3.0</v>
      </c>
      <c r="B10288" s="1" t="s">
        <v>10119</v>
      </c>
      <c r="C10288" t="str">
        <f>IFERROR(__xludf.DUMMYFUNCTION("GOOGLETRANSLATE(B10288, ""fr"", ""en"")"),"Pockets brilliant but not very solid Plus: they are transparent and smooth: no grain Minimum: plastic is fine and they are not very strong in use and honk")</f>
        <v>Pockets brilliant but not very solid Plus: they are transparent and smooth: no grain Minimum: plastic is fine and they are not very strong in use and honk</v>
      </c>
    </row>
    <row r="10289">
      <c r="A10289" s="1">
        <v>4.0</v>
      </c>
      <c r="B10289" s="1" t="s">
        <v>10120</v>
      </c>
      <c r="C10289" t="str">
        <f>IFERROR(__xludf.DUMMYFUNCTION("GOOGLETRANSLATE(B10289, ""fr"", ""en"")"),"One can long can a lo")</f>
        <v>One can long can a lo</v>
      </c>
    </row>
    <row r="10290">
      <c r="A10290" s="1">
        <v>4.0</v>
      </c>
      <c r="B10290" s="1" t="s">
        <v>10121</v>
      </c>
      <c r="C10290" t="str">
        <f>IFERROR(__xludf.DUMMYFUNCTION("GOOGLETRANSLATE(B10290, ""fr"", ""en"")"),"compliant product! The product is of better quality than what I expected. The shoes size small but for use in dance, it's perfect. Delivery respected satisfactory product.")</f>
        <v>compliant product! The product is of better quality than what I expected. The shoes size small but for use in dance, it's perfect. Delivery respected satisfactory product.</v>
      </c>
    </row>
    <row r="10291">
      <c r="A10291" s="1">
        <v>4.0</v>
      </c>
      <c r="B10291" s="1" t="s">
        <v>10122</v>
      </c>
      <c r="C10291" t="str">
        <f>IFERROR(__xludf.DUMMYFUNCTION("GOOGLETRANSLATE(B10291, ""fr"", ""en"")"),"Good value good product for the price, stylish enough.")</f>
        <v>Good value good product for the price, stylish enough.</v>
      </c>
    </row>
    <row r="10292">
      <c r="A10292" s="1">
        <v>4.0</v>
      </c>
      <c r="B10292" s="1" t="s">
        <v>10123</v>
      </c>
      <c r="C10292" t="str">
        <f>IFERROR(__xludf.DUMMYFUNCTION("GOOGLETRANSLATE(B10292, ""fr"", ""en"")"),"Pair of lightweight and comfortable shoes for every day I chose this pair of Vans 47. Perfect size, I'm very comfortable on the inside, it's very comfortable. I put it 4 stars because the only flaw for me is that the shoes have no openings and feet do not"&amp;" breathe at all")</f>
        <v>Pair of lightweight and comfortable shoes for every day I chose this pair of Vans 47. Perfect size, I'm very comfortable on the inside, it's very comfortable. I put it 4 stars because the only flaw for me is that the shoes have no openings and feet do not breathe at all</v>
      </c>
    </row>
    <row r="10293">
      <c r="A10293" s="1">
        <v>5.0</v>
      </c>
      <c r="B10293" s="1" t="s">
        <v>10124</v>
      </c>
      <c r="C10293" t="str">
        <f>IFERROR(__xludf.DUMMYFUNCTION("GOOGLETRANSLATE(B10293, ""fr"", ""en"")"),"A good headset good headset, sober and not too big on the head. The helmet is made with very good solid and resistant it is very nice it holds well materials In sound there really is the presence of the noise reduction works very well which puts us in a m"&amp;"usical bubble, the sound is very good helmet is very comfortable, we can keep it on the head for hours without problems")</f>
        <v>A good headset good headset, sober and not too big on the head. The helmet is made with very good solid and resistant it is very nice it holds well materials In sound there really is the presence of the noise reduction works very well which puts us in a musical bubble, the sound is very good helmet is very comfortable, we can keep it on the head for hours without problems</v>
      </c>
    </row>
    <row r="10294">
      <c r="A10294" s="1">
        <v>5.0</v>
      </c>
      <c r="B10294" s="1" t="s">
        <v>10125</v>
      </c>
      <c r="C10294" t="str">
        <f>IFERROR(__xludf.DUMMYFUNCTION("GOOGLETRANSLATE(B10294, ""fr"", ""en"")"),"beautiful earrings beautiful earrings, received before the due date. They really liked about me")</f>
        <v>beautiful earrings beautiful earrings, received before the due date. They really liked about me</v>
      </c>
    </row>
    <row r="10295">
      <c r="A10295" s="1">
        <v>5.0</v>
      </c>
      <c r="B10295" s="1" t="s">
        <v>10126</v>
      </c>
      <c r="C10295" t="str">
        <f>IFERROR(__xludf.DUMMYFUNCTION("GOOGLETRANSLATE(B10295, ""fr"", ""en"")"),"respected value for money I bought this product to record videos with good sound on my camera and my smartphone and I am very satisfied! This microphone is excellent, it is good quality, it is supplied with several accessories including a carrying case, i"&amp;"t can be used on smartphone and camera through the various supplied adapter. The microphone of the sound is excellent, it is even used for the occasional YouTube videos, I highly recommend this product for which seeks not quality microphone too expensive!")</f>
        <v>respected value for money I bought this product to record videos with good sound on my camera and my smartphone and I am very satisfied! This microphone is excellent, it is good quality, it is supplied with several accessories including a carrying case, it can be used on smartphone and camera through the various supplied adapter. The microphone of the sound is excellent, it is even used for the occasional YouTube videos, I highly recommend this product for which seeks not quality microphone too expensive!</v>
      </c>
    </row>
    <row r="10296">
      <c r="A10296" s="1">
        <v>5.0</v>
      </c>
      <c r="B10296" s="1" t="s">
        <v>10127</v>
      </c>
      <c r="C10296" t="str">
        <f>IFERROR(__xludf.DUMMYFUNCTION("GOOGLETRANSLATE(B10296, ""fr"", ""en"")"),"I recommend a fan of this type of shoes, Vans is a great brand. € 45 against € 60 price shop. This is a very good deal. No surprise on time or quality.")</f>
        <v>I recommend a fan of this type of shoes, Vans is a great brand. € 45 against € 60 price shop. This is a very good deal. No surprise on time or quality.</v>
      </c>
    </row>
    <row r="10297">
      <c r="A10297" s="1">
        <v>5.0</v>
      </c>
      <c r="B10297" s="1" t="s">
        <v>10128</v>
      </c>
      <c r="C10297" t="str">
        <f>IFERROR(__xludf.DUMMYFUNCTION("GOOGLETRANSLATE(B10297, ""fr"", ""en"")"),"Good article hot super happy with my purchase I recommend")</f>
        <v>Good article hot super happy with my purchase I recommend</v>
      </c>
    </row>
    <row r="10298">
      <c r="A10298" s="1">
        <v>5.0</v>
      </c>
      <c r="B10298" s="1" t="s">
        <v>10129</v>
      </c>
      <c r="C10298" t="str">
        <f>IFERROR(__xludf.DUMMYFUNCTION("GOOGLETRANSLATE(B10298, ""fr"", ""en"")"),"Super Super sound quality")</f>
        <v>Super Super sound quality</v>
      </c>
    </row>
    <row r="10299">
      <c r="A10299" s="1">
        <v>5.0</v>
      </c>
      <c r="B10299" s="1" t="s">
        <v>10130</v>
      </c>
      <c r="C10299" t="str">
        <f>IFERROR(__xludf.DUMMYFUNCTION("GOOGLETRANSLATE(B10299, ""fr"", ""en"")"),"I just love it ! Comfortable, really nice, just be wary at waist level, they can cut a little smaller. 😊")</f>
        <v>I just love it ! Comfortable, really nice, just be wary at waist level, they can cut a little smaller. 😊</v>
      </c>
    </row>
    <row r="10300">
      <c r="A10300" s="1">
        <v>5.0</v>
      </c>
      <c r="B10300" s="1" t="s">
        <v>10131</v>
      </c>
      <c r="C10300" t="str">
        <f>IFERROR(__xludf.DUMMYFUNCTION("GOOGLETRANSLATE(B10300, ""fr"", ""en"")"),"well not find these nipples near us. We ordered on amazon for our eater nipples and were happy because those are the nipples Advent bill.")</f>
        <v>well not find these nipples near us. We ordered on amazon for our eater nipples and were happy because those are the nipples Advent bill.</v>
      </c>
    </row>
    <row r="10301">
      <c r="A10301" s="1">
        <v>5.0</v>
      </c>
      <c r="B10301" s="1" t="s">
        <v>10132</v>
      </c>
      <c r="C10301" t="str">
        <f>IFERROR(__xludf.DUMMYFUNCTION("GOOGLETRANSLATE(B10301, ""fr"", ""en"")"),"Super Quality and price")</f>
        <v>Super Quality and price</v>
      </c>
    </row>
    <row r="10302">
      <c r="A10302" s="1">
        <v>5.0</v>
      </c>
      <c r="B10302" s="1" t="s">
        <v>10133</v>
      </c>
      <c r="C10302" t="str">
        <f>IFERROR(__xludf.DUMMYFUNCTION("GOOGLETRANSLATE(B10302, ""fr"", ""en"")"),"best practice and I bought this bottle for my daughter starts to drink water (she did not like that) including lunch with diversification. She found it amusing to hold the bottle and drank only maintement. Convenient because the handle can be used on othe"&amp;"r bottle mam")</f>
        <v>best practice and I bought this bottle for my daughter starts to drink water (she did not like that) including lunch with diversification. She found it amusing to hold the bottle and drank only maintement. Convenient because the handle can be used on other bottle mam</v>
      </c>
    </row>
    <row r="10303">
      <c r="A10303" s="1">
        <v>5.0</v>
      </c>
      <c r="B10303" s="1" t="s">
        <v>10134</v>
      </c>
      <c r="C10303" t="str">
        <f>IFERROR(__xludf.DUMMYFUNCTION("GOOGLETRANSLATE(B10303, ""fr"", ""en"")"),"Well, that's the crocodile This sweatshirt Lacoste size as well the size polo shirts to take the same size. This is the classic and timeless crocodile.")</f>
        <v>Well, that's the crocodile This sweatshirt Lacoste size as well the size polo shirts to take the same size. This is the classic and timeless crocodile.</v>
      </c>
    </row>
    <row r="10304">
      <c r="A10304" s="1">
        <v>5.0</v>
      </c>
      <c r="B10304" s="1" t="s">
        <v>10135</v>
      </c>
      <c r="C10304" t="str">
        <f>IFERROR(__xludf.DUMMYFUNCTION("GOOGLETRANSLATE(B10304, ""fr"", ""en"")"),"Helmet Very fun")</f>
        <v>Helmet Very fun</v>
      </c>
    </row>
    <row r="10305">
      <c r="A10305" s="1">
        <v>5.0</v>
      </c>
      <c r="B10305" s="1" t="s">
        <v>10136</v>
      </c>
      <c r="C10305" t="str">
        <f>IFERROR(__xludf.DUMMYFUNCTION("GOOGLETRANSLATE(B10305, ""fr"", ""en"")"),"Great shows very well that works very well and the calculator which can be handy especially light function active when the handle is very convenient")</f>
        <v>Great shows very well that works very well and the calculator which can be handy especially light function active when the handle is very convenient</v>
      </c>
    </row>
    <row r="10306">
      <c r="A10306" s="1">
        <v>5.0</v>
      </c>
      <c r="B10306" s="1" t="s">
        <v>10137</v>
      </c>
      <c r="C10306" t="str">
        <f>IFERROR(__xludf.DUMMYFUNCTION("GOOGLETRANSLATE(B10306, ""fr"", ""en"")"),"Very Good Very well cut, material top. I love wearing it with jeans very nice.")</f>
        <v>Very Good Very well cut, material top. I love wearing it with jeans very nice.</v>
      </c>
    </row>
    <row r="10307">
      <c r="A10307" s="1">
        <v>5.0</v>
      </c>
      <c r="B10307" s="1" t="s">
        <v>10138</v>
      </c>
      <c r="C10307" t="str">
        <f>IFERROR(__xludf.DUMMYFUNCTION("GOOGLETRANSLATE(B10307, ""fr"", ""en"")"),"Sending prompt and accurate. Subject conforms to the photo. Very nice case for man, very classy. The sending is fast and very neat. The strap has the good looks solid and its attachments (main problems of my previous bags)")</f>
        <v>Sending prompt and accurate. Subject conforms to the photo. Very nice case for man, very classy. The sending is fast and very neat. The strap has the good looks solid and its attachments (main problems of my previous bags)</v>
      </c>
    </row>
    <row r="10308">
      <c r="A10308" s="1">
        <v>2.0</v>
      </c>
      <c r="B10308" s="1" t="s">
        <v>10139</v>
      </c>
      <c r="C10308" t="str">
        <f>IFERROR(__xludf.DUMMYFUNCTION("GOOGLETRANSLATE(B10308, ""fr"", ""en"")"),"Leaks bottles Brand recommended by my gynecologist when breastfeeding, but I have been leaks for the first time, I'll request a refund.")</f>
        <v>Leaks bottles Brand recommended by my gynecologist when breastfeeding, but I have been leaks for the first time, I'll request a refund.</v>
      </c>
    </row>
    <row r="10309">
      <c r="A10309" s="1">
        <v>1.0</v>
      </c>
      <c r="B10309" s="1" t="s">
        <v>10140</v>
      </c>
      <c r="C10309" t="str">
        <f>IFERROR(__xludf.DUMMYFUNCTION("GOOGLETRANSLATE(B10309, ""fr"", ""en"")"),"Bag chest bad I Buy this article to go on holiday to store my passport and my papers. two zipper does not work !! I was forced to achêtre another .degouté. I recommend this bag.")</f>
        <v>Bag chest bad I Buy this article to go on holiday to store my passport and my papers. two zipper does not work !! I was forced to achêtre another .degouté. I recommend this bag.</v>
      </c>
    </row>
    <row r="10310">
      <c r="A10310" s="1">
        <v>1.0</v>
      </c>
      <c r="B10310" s="1" t="s">
        <v>10141</v>
      </c>
      <c r="C10310" t="str">
        <f>IFERROR(__xludf.DUMMYFUNCTION("GOOGLETRANSLATE(B10310, ""fr"", ""en"")"),"affreu the product and arriving direction stopper is of anything !!!!!!!!!")</f>
        <v>affreu the product and arriving direction stopper is of anything !!!!!!!!!</v>
      </c>
    </row>
    <row r="10311">
      <c r="A10311" s="1">
        <v>3.0</v>
      </c>
      <c r="B10311" s="1" t="s">
        <v>10142</v>
      </c>
      <c r="C10311" t="str">
        <f>IFERROR(__xludf.DUMMYFUNCTION("GOOGLETRANSLATE(B10311, ""fr"", ""en"")"),". Not strong enough to work in the building")</f>
        <v>. Not strong enough to work in the building</v>
      </c>
    </row>
    <row r="10312">
      <c r="A10312" s="1">
        <v>4.0</v>
      </c>
      <c r="B10312" s="1" t="s">
        <v>10143</v>
      </c>
      <c r="C10312" t="str">
        <f>IFERROR(__xludf.DUMMYFUNCTION("GOOGLETRANSLATE(B10312, ""fr"", ""en"")"),"casio watch beautiful consistent with the description. The time is set alone. Many useful functions but to understand do not forget to read the instructions provided")</f>
        <v>casio watch beautiful consistent with the description. The time is set alone. Many useful functions but to understand do not forget to read the instructions provided</v>
      </c>
    </row>
    <row r="10313">
      <c r="A10313" s="1">
        <v>4.0</v>
      </c>
      <c r="B10313" s="1" t="s">
        <v>10144</v>
      </c>
      <c r="C10313" t="str">
        <f>IFERROR(__xludf.DUMMYFUNCTION("GOOGLETRANSLATE(B10313, ""fr"", ""en"")"),"good model corresponds to the picture very pleasant to wear")</f>
        <v>good model corresponds to the picture very pleasant to wear</v>
      </c>
    </row>
    <row r="10314">
      <c r="A10314" s="1">
        <v>4.0</v>
      </c>
      <c r="B10314" s="1" t="s">
        <v>10145</v>
      </c>
      <c r="C10314" t="str">
        <f>IFERROR(__xludf.DUMMYFUNCTION("GOOGLETRANSLATE(B10314, ""fr"", ""en"")"),"CROCS ON FIRE. Adapted yes as expected but a fluke. The received model is an 8 to 10 (given to 41/42), I have an older model (true CROCS) in sizes 8 to 10 and even I as a difference of 3 cm in length and less on the one delivered lately? Good day / DB.xxx"&amp;"xxxxxxxxxxxxxxxxxxxxxxxxxxxxxxxxxxxxxxxxxxxxxxxxxxxxxxxxxxxxxxxxxxxxxxxxxxxxxxxxxxxxxxxxxxxxxxxxxxxxxxxxxxxxxx")</f>
        <v>CROCS ON FIRE. Adapted yes as expected but a fluke. The received model is an 8 to 10 (given to 41/42), I have an older model (true CROCS) in sizes 8 to 10 and even I as a difference of 3 cm in length and less on the one delivered lately? Good day / DB.xxxxxxxxxxxxxxxxxxxxxxxxxxxxxxxxxxxxxxxxxxxxxxxxxxxxxxxxxxxxxxxxxxxxxxxxxxxxxxxxxxxxxxxxxxxxxxxxxxxxxxxxxxxxxxxxx</v>
      </c>
    </row>
    <row r="10315">
      <c r="A10315" s="1">
        <v>4.0</v>
      </c>
      <c r="B10315" s="1" t="s">
        <v>10146</v>
      </c>
      <c r="C10315" t="str">
        <f>IFERROR(__xludf.DUMMYFUNCTION("GOOGLETRANSLATE(B10315, ""fr"", ""en"")"),"Good but ... This product is of good quality. The closure is very well addapter for babies! But beware it is not very big!")</f>
        <v>Good but ... This product is of good quality. The closure is very well addapter for babies! But beware it is not very big!</v>
      </c>
    </row>
    <row r="10316">
      <c r="A10316" s="1">
        <v>5.0</v>
      </c>
      <c r="B10316" s="1" t="s">
        <v>10147</v>
      </c>
      <c r="C10316" t="str">
        <f>IFERROR(__xludf.DUMMYFUNCTION("GOOGLETRANSLATE(B10316, ""fr"", ""en"")"),"Sweatshirt Champion Beautiful sweatshirt. Rapid dispatch. Beautiful quality.")</f>
        <v>Sweatshirt Champion Beautiful sweatshirt. Rapid dispatch. Beautiful quality.</v>
      </c>
    </row>
    <row r="10317">
      <c r="A10317" s="1">
        <v>5.0</v>
      </c>
      <c r="B10317" s="1" t="s">
        <v>10148</v>
      </c>
      <c r="C10317" t="str">
        <f>IFERROR(__xludf.DUMMYFUNCTION("GOOGLETRANSLATE(B10317, ""fr"", ""en"")"),"height in cm great, convenient with all its options (backpack, shoulder and hand), and all its pocket are really convenient when we have different materials. 15 in is really big. I 14 in sufficed.")</f>
        <v>height in cm great, convenient with all its options (backpack, shoulder and hand), and all its pocket are really convenient when we have different materials. 15 in is really big. I 14 in sufficed.</v>
      </c>
    </row>
    <row r="10318">
      <c r="A10318" s="1">
        <v>5.0</v>
      </c>
      <c r="B10318" s="1" t="s">
        <v>10149</v>
      </c>
      <c r="C10318" t="str">
        <f>IFERROR(__xludf.DUMMYFUNCTION("GOOGLETRANSLATE(B10318, ""fr"", ""en"")"),"Super diffuser (bcp style and did his job !!!!) J looooooves. I'll buy a second. super nice style. The diffuser works really well. I am glad.")</f>
        <v>Super diffuser (bcp style and did his job !!!!) J looooooves. I'll buy a second. super nice style. The diffuser works really well. I am glad.</v>
      </c>
    </row>
    <row r="10319">
      <c r="A10319" s="1">
        <v>5.0</v>
      </c>
      <c r="B10319" s="1" t="s">
        <v>10150</v>
      </c>
      <c r="C10319" t="str">
        <f>IFERROR(__xludf.DUMMYFUNCTION("GOOGLETRANSLATE(B10319, ""fr"", ""en"")"),"Great! This is exactly what I was looking, full of small stickers! My son loves the colors are beautiful, bright and shining! Indeed if you look for big stickers go your way a sheet is the size of a hand arrived well packaged and earlier announced, I reco"&amp;"mmend!")</f>
        <v>Great! This is exactly what I was looking, full of small stickers! My son loves the colors are beautiful, bright and shining! Indeed if you look for big stickers go your way a sheet is the size of a hand arrived well packaged and earlier announced, I recommend!</v>
      </c>
    </row>
    <row r="10320">
      <c r="A10320" s="1">
        <v>5.0</v>
      </c>
      <c r="B10320" s="1" t="s">
        <v>10151</v>
      </c>
      <c r="C10320" t="str">
        <f>IFERROR(__xludf.DUMMYFUNCTION("GOOGLETRANSLATE(B10320, ""fr"", ""en"")"),"Confidence Very pleased as I emai")</f>
        <v>Confidence Very pleased as I emai</v>
      </c>
    </row>
    <row r="10321">
      <c r="A10321" s="1">
        <v>5.0</v>
      </c>
      <c r="B10321" s="1" t="s">
        <v>10152</v>
      </c>
      <c r="C10321" t="str">
        <f>IFERROR(__xludf.DUMMYFUNCTION("GOOGLETRANSLATE(B10321, ""fr"", ""en"")"),"Nice design and ideal for teens My daughter is delighted with this purchase. The chosen color pink is really class. The sound is very good. Easy to store. Quick delivery.")</f>
        <v>Nice design and ideal for teens My daughter is delighted with this purchase. The chosen color pink is really class. The sound is very good. Easy to store. Quick delivery.</v>
      </c>
    </row>
    <row r="10322">
      <c r="A10322" s="1">
        <v>5.0</v>
      </c>
      <c r="B10322" s="1" t="s">
        <v>10153</v>
      </c>
      <c r="C10322" t="str">
        <f>IFERROR(__xludf.DUMMYFUNCTION("GOOGLETRANSLATE(B10322, ""fr"", ""en"")"),"to open the bracelet to open the bracelet, just slide your fingernail into the slit of the opening of the bracelet, I told you that as I struggled to open it!")</f>
        <v>to open the bracelet to open the bracelet, just slide your fingernail into the slit of the opening of the bracelet, I told you that as I struggled to open it!</v>
      </c>
    </row>
    <row r="10323">
      <c r="A10323" s="1">
        <v>5.0</v>
      </c>
      <c r="B10323" s="1" t="s">
        <v>10154</v>
      </c>
      <c r="C10323" t="str">
        <f>IFERROR(__xludf.DUMMYFUNCTION("GOOGLETRANSLATE(B10323, ""fr"", ""en"")"),"Product conforms to the product description consistent with the description, well packaged and fast delivery. Set of 2 for less than 5 euros. good price quality ratio. Moreover these pens last time. I highly recommend.")</f>
        <v>Product conforms to the product description consistent with the description, well packaged and fast delivery. Set of 2 for less than 5 euros. good price quality ratio. Moreover these pens last time. I highly recommend.</v>
      </c>
    </row>
    <row r="10324">
      <c r="A10324" s="1">
        <v>5.0</v>
      </c>
      <c r="B10324" s="1" t="s">
        <v>10155</v>
      </c>
      <c r="C10324" t="str">
        <f>IFERROR(__xludf.DUMMYFUNCTION("GOOGLETRANSLATE(B10324, ""fr"", ""en"")"),"Wonderful Very nice quality watch! Discreet and class is a real gem")</f>
        <v>Wonderful Very nice quality watch! Discreet and class is a real gem</v>
      </c>
    </row>
    <row r="10325">
      <c r="A10325" s="1">
        <v>5.0</v>
      </c>
      <c r="B10325" s="1" t="s">
        <v>10156</v>
      </c>
      <c r="C10325" t="str">
        <f>IFERROR(__xludf.DUMMYFUNCTION("GOOGLETRANSLATE(B10325, ""fr"", ""en"")"),"Okay The interest is more than happy. Functional comfortable and really pretty for a plastic watch. In addition the price is great. To see in the duration")</f>
        <v>Okay The interest is more than happy. Functional comfortable and really pretty for a plastic watch. In addition the price is great. To see in the duration</v>
      </c>
    </row>
    <row r="10326">
      <c r="A10326" s="1">
        <v>5.0</v>
      </c>
      <c r="B10326" s="1" t="s">
        <v>10157</v>
      </c>
      <c r="C10326" t="str">
        <f>IFERROR(__xludf.DUMMYFUNCTION("GOOGLETRANSLATE(B10326, ""fr"", ""en"")"),"Pretty and light Beautiful .jai price cap 2 models for my 2 son .they are happy.")</f>
        <v>Pretty and light Beautiful .jai price cap 2 models for my 2 son .they are happy.</v>
      </c>
    </row>
    <row r="10327">
      <c r="A10327" s="1">
        <v>5.0</v>
      </c>
      <c r="B10327" s="1" t="s">
        <v>10158</v>
      </c>
      <c r="C10327" t="str">
        <f>IFERROR(__xludf.DUMMYFUNCTION("GOOGLETRANSLATE(B10327, ""fr"", ""en"")"),"Adidas Super Basketball Classic")</f>
        <v>Adidas Super Basketball Classic</v>
      </c>
    </row>
    <row r="10328">
      <c r="A10328" s="1">
        <v>5.0</v>
      </c>
      <c r="B10328" s="1" t="s">
        <v>807</v>
      </c>
      <c r="C10328" t="str">
        <f>IFERROR(__xludf.DUMMYFUNCTION("GOOGLETRANSLATE(B10328, ""fr"", ""en"")"),"very well very well")</f>
        <v>very well very well</v>
      </c>
    </row>
    <row r="10329">
      <c r="A10329" s="1">
        <v>5.0</v>
      </c>
      <c r="B10329" s="1" t="s">
        <v>10159</v>
      </c>
      <c r="C10329" t="str">
        <f>IFERROR(__xludf.DUMMYFUNCTION("GOOGLETRANSLATE(B10329, ""fr"", ""en"")"),"Ok Correspondent demand")</f>
        <v>Ok Correspondent demand</v>
      </c>
    </row>
    <row r="10330">
      <c r="A10330" s="1">
        <v>5.0</v>
      </c>
      <c r="B10330" s="1" t="s">
        <v>10160</v>
      </c>
      <c r="C10330" t="str">
        <f>IFERROR(__xludf.DUMMYFUNCTION("GOOGLETRANSLATE(B10330, ""fr"", ""en"")"),"Nothing to say my expectations totally agree I buy it earphones to the gym because I do not like running on a treadmill or even outdoors with a son who wanders, At the opening I was surprised supplied accessories (carrying case goes everywhere, 3 sizes of"&amp;" tip, a pair of tip shape memory, and a small clamp to tighten the earphone cable. I received the charge earphones 100% very good point very simple connection of the switch is to activate its Bluetooth is click on the headphones. now for the sound that is"&amp;" for me very very good! I was using wired headphones on Apple iPhone 7 the sound is really identical see can better good bass presence is with a can control you can really have some thing very well. the earphones are low-end, and it really yours well when"&amp;" you move. I recommend greatly occurs for person nes who do not want to spend a lot of money in headphones for sports, which can also be used every day.")</f>
        <v>Nothing to say my expectations totally agree I buy it earphones to the gym because I do not like running on a treadmill or even outdoors with a son who wanders, At the opening I was surprised supplied accessories (carrying case goes everywhere, 3 sizes of tip, a pair of tip shape memory, and a small clamp to tighten the earphone cable. I received the charge earphones 100% very good point very simple connection of the switch is to activate its Bluetooth is click on the headphones. now for the sound that is for me very very good! I was using wired headphones on Apple iPhone 7 the sound is really identical see can better good bass presence is with a can control you can really have some thing very well. the earphones are low-end, and it really yours well when you move. I recommend greatly occurs for person nes who do not want to spend a lot of money in headphones for sports, which can also be used every day.</v>
      </c>
    </row>
    <row r="10331">
      <c r="A10331" s="1">
        <v>2.0</v>
      </c>
      <c r="B10331" s="1" t="s">
        <v>10161</v>
      </c>
      <c r="C10331" t="str">
        <f>IFERROR(__xludf.DUMMYFUNCTION("GOOGLETRANSLATE(B10331, ""fr"", ""en"")"),"No opinion Forced to return it does not work")</f>
        <v>No opinion Forced to return it does not work</v>
      </c>
    </row>
    <row r="10332">
      <c r="A10332" s="1">
        <v>1.0</v>
      </c>
      <c r="B10332" s="1" t="s">
        <v>10162</v>
      </c>
      <c r="C10332" t="str">
        <f>IFERROR(__xludf.DUMMYFUNCTION("GOOGLETRANSLATE(B10332, ""fr"", ""en"")"),"Puma too large Hello unfortunately they are too big I have a pair of Puma 37 suits me perfectly and they are too big")</f>
        <v>Puma too large Hello unfortunately they are too big I have a pair of Puma 37 suits me perfectly and they are too big</v>
      </c>
    </row>
    <row r="10333">
      <c r="A10333" s="1">
        <v>3.0</v>
      </c>
      <c r="B10333" s="1" t="s">
        <v>10163</v>
      </c>
      <c r="C10333" t="str">
        <f>IFERROR(__xludf.DUMMYFUNCTION("GOOGLETRANSLATE(B10333, ""fr"", ""en"")"),"Good quality, easy to install, but the XL version is not really XL! I am a regular HP printers for years, after my good old HP-Deskjet 4280, which still works, I chose a new (HP5740) supposedly more efficient ink! Actually not really. Returning to the car"&amp;"tridge: having often used for the same impressions I found that the size XL only print 450 pages and not the ""600"" stipulated; Moreover in each cartridge will remain 8% untapped. For the standard cartridge does not even speak! Of the 200 pages promised,"&amp;" it will print 140! And that I specify, 100% texts! No images or black ink gray hungry! Fortunately, on Amazon it's cheaper because at shops etc Toner is a racket! 38 Euros, ditto at Carrefour! They make fun of the world! Do not buy on AMAZON !!! But in g"&amp;"eneral this is still not the best cartouche.Donc 3 stars, sorry.")</f>
        <v>Good quality, easy to install, but the XL version is not really XL! I am a regular HP printers for years, after my good old HP-Deskjet 4280, which still works, I chose a new (HP5740) supposedly more efficient ink! Actually not really. Returning to the cartridge: having often used for the same impressions I found that the size XL only print 450 pages and not the "600" stipulated; Moreover in each cartridge will remain 8% untapped. For the standard cartridge does not even speak! Of the 200 pages promised, it will print 140! And that I specify, 100% texts! No images or black ink gray hungry! Fortunately, on Amazon it's cheaper because at shops etc Toner is a racket! 38 Euros, ditto at Carrefour! They make fun of the world! Do not buy on AMAZON !!! But in general this is still not the best cartouche.Donc 3 stars, sorry.</v>
      </c>
    </row>
    <row r="10334">
      <c r="A10334" s="1">
        <v>3.0</v>
      </c>
      <c r="B10334" s="1" t="s">
        <v>10164</v>
      </c>
      <c r="C10334" t="str">
        <f>IFERROR(__xludf.DUMMYFUNCTION("GOOGLETRANSLATE(B10334, ""fr"", ""en"")"),"DISAPPOINTED ... - The indicator light remains lit OF constantly, so I disconnected the day before because this bothers me ... a bright spot was enough would like the majority of the watches ... - Attention IT IS NOT PROGRAMMABLE S ' sTOP at the required "&amp;"temperature! As the title of the ad can just select the desired temperature! This allows just scroll through the degrees of temperature ... so you have to stay near the kettle to monitor the degree to arrest those desired ... so impractical! - Even in rem"&amp;"oving the excess water after use, a white film is formed on the bottom. I regularly removed, it apart easily.")</f>
        <v>DISAPPOINTED ... - The indicator light remains lit OF constantly, so I disconnected the day before because this bothers me ... a bright spot was enough would like the majority of the watches ... - Attention IT IS NOT PROGRAMMABLE S ' sTOP at the required temperature! As the title of the ad can just select the desired temperature! This allows just scroll through the degrees of temperature ... so you have to stay near the kettle to monitor the degree to arrest those desired ... so impractical! - Even in removing the excess water after use, a white film is formed on the bottom. I regularly removed, it apart easily.</v>
      </c>
    </row>
    <row r="10335">
      <c r="A10335" s="1">
        <v>4.0</v>
      </c>
      <c r="B10335" s="1" t="s">
        <v>10165</v>
      </c>
      <c r="C10335" t="str">
        <f>IFERROR(__xludf.DUMMYFUNCTION("GOOGLETRANSLATE(B10335, ""fr"", ""en"")"),"super hi shoes ordered 13 June received on 15 June really fast thank you shoes conform in size and black color is perfect")</f>
        <v>super hi shoes ordered 13 June received on 15 June really fast thank you shoes conform in size and black color is perfect</v>
      </c>
    </row>
    <row r="10336">
      <c r="A10336" s="1">
        <v>4.0</v>
      </c>
      <c r="B10336" s="1" t="s">
        <v>10166</v>
      </c>
      <c r="C10336" t="str">
        <f>IFERROR(__xludf.DUMMYFUNCTION("GOOGLETRANSLATE(B10336, ""fr"", ""en"")"),"I love this watch very good quality / price ratio and precision only flaws are the paint finally go and polycarbonate glass is not scratch-proof but for the price it is quite normal for a Casio and I'm not someone who is very careful.")</f>
        <v>I love this watch very good quality / price ratio and precision only flaws are the paint finally go and polycarbonate glass is not scratch-proof but for the price it is quite normal for a Casio and I'm not someone who is very careful.</v>
      </c>
    </row>
    <row r="10337">
      <c r="A10337" s="1">
        <v>4.0</v>
      </c>
      <c r="B10337" s="1" t="s">
        <v>10167</v>
      </c>
      <c r="C10337" t="str">
        <f>IFERROR(__xludf.DUMMYFUNCTION("GOOGLETRANSLATE(B10337, ""fr"", ""en"")"),"Alright for the price Good value .. cheap for an average sound")</f>
        <v>Alright for the price Good value .. cheap for an average sound</v>
      </c>
    </row>
    <row r="10338">
      <c r="A10338" s="1">
        <v>4.0</v>
      </c>
      <c r="B10338" s="1" t="s">
        <v>10168</v>
      </c>
      <c r="C10338" t="str">
        <f>IFERROR(__xludf.DUMMYFUNCTION("GOOGLETRANSLATE(B10338, ""fr"", ""en"")"),"Perfect Pretty thin class")</f>
        <v>Perfect Pretty thin class</v>
      </c>
    </row>
    <row r="10339">
      <c r="A10339" s="1">
        <v>5.0</v>
      </c>
      <c r="B10339" s="1" t="s">
        <v>10169</v>
      </c>
      <c r="C10339" t="str">
        <f>IFERROR(__xludf.DUMMYFUNCTION("GOOGLETRANSLATE(B10339, ""fr"", ""en"")"),"I recommend Product very well packed in a box with instructions in French and then in a box sealed with aluminum. Easy to apply masks are very flexible and conform to the shape of the eye. They are soaked product and is left to stand 15-20 minutes. nice f"&amp;"resh feeling.")</f>
        <v>I recommend Product very well packed in a box with instructions in French and then in a box sealed with aluminum. Easy to apply masks are very flexible and conform to the shape of the eye. They are soaked product and is left to stand 15-20 minutes. nice fresh feeling.</v>
      </c>
    </row>
    <row r="10340">
      <c r="A10340" s="1">
        <v>5.0</v>
      </c>
      <c r="B10340" s="1" t="s">
        <v>10170</v>
      </c>
      <c r="C10340" t="str">
        <f>IFERROR(__xludf.DUMMYFUNCTION("GOOGLETRANSLATE(B10340, ""fr"", ""en"")"),"Very well. Okay, corresponds entirely to photos, size also.")</f>
        <v>Very well. Okay, corresponds entirely to photos, size also.</v>
      </c>
    </row>
    <row r="10341">
      <c r="A10341" s="1">
        <v>5.0</v>
      </c>
      <c r="B10341" s="1" t="s">
        <v>10171</v>
      </c>
      <c r="C10341" t="str">
        <f>IFERROR(__xludf.DUMMYFUNCTION("GOOGLETRANSLATE(B10341, ""fr"", ""en"")"),"Salomon Speed ​​Cross 4 For some years I am user of Solomon cross and speed on all points, I have never been disappointed. Quality, durability, comfort all that we want. Very good quality and does not change brand and model at the moment I am very satisfi"&amp;"ed as with every purchase of Salomon shoes")</f>
        <v>Salomon Speed ​​Cross 4 For some years I am user of Solomon cross and speed on all points, I have never been disappointed. Quality, durability, comfort all that we want. Very good quality and does not change brand and model at the moment I am very satisfied as with every purchase of Salomon shoes</v>
      </c>
    </row>
    <row r="10342">
      <c r="A10342" s="1">
        <v>5.0</v>
      </c>
      <c r="B10342" s="1" t="s">
        <v>10172</v>
      </c>
      <c r="C10342" t="str">
        <f>IFERROR(__xludf.DUMMYFUNCTION("GOOGLETRANSLATE(B10342, ""fr"", ""en"")"),"very good stereo They have a very good stereo sound, almost no weight and comfortable to wear. The battery has sufficient autonomy and brings different accessories to adapt!")</f>
        <v>very good stereo They have a very good stereo sound, almost no weight and comfortable to wear. The battery has sufficient autonomy and brings different accessories to adapt!</v>
      </c>
    </row>
    <row r="10343">
      <c r="A10343" s="1">
        <v>5.0</v>
      </c>
      <c r="B10343" s="1" t="s">
        <v>10173</v>
      </c>
      <c r="C10343" t="str">
        <f>IFERROR(__xludf.DUMMYFUNCTION("GOOGLETRANSLATE(B10343, ""fr"", ""en"")"),"Peppermint Essential Oil Peppermint Organic Great product smells very nice. hard long if used with a diffuser. To recommend")</f>
        <v>Peppermint Essential Oil Peppermint Organic Great product smells very nice. hard long if used with a diffuser. To recommend</v>
      </c>
    </row>
    <row r="10344">
      <c r="A10344" s="1">
        <v>5.0</v>
      </c>
      <c r="B10344" s="1" t="s">
        <v>10174</v>
      </c>
      <c r="C10344" t="str">
        <f>IFERROR(__xludf.DUMMYFUNCTION("GOOGLETRANSLATE(B10344, ""fr"", ""en"")"),"Bag Bought successful urban style to go to the gym, I'm happy with my choice. Robust and great finished I like the style, the material and the gray suit very urban. Fairly large for towel, shorts, tshirts, gourd, polar and 1 pair of tennis. The shoe stora"&amp;"ge opening would have been better wider but one can not have everything.")</f>
        <v>Bag Bought successful urban style to go to the gym, I'm happy with my choice. Robust and great finished I like the style, the material and the gray suit very urban. Fairly large for towel, shorts, tshirts, gourd, polar and 1 pair of tennis. The shoe storage opening would have been better wider but one can not have everything.</v>
      </c>
    </row>
    <row r="10345">
      <c r="A10345" s="1">
        <v>5.0</v>
      </c>
      <c r="B10345" s="1" t="s">
        <v>10175</v>
      </c>
      <c r="C10345" t="str">
        <f>IFERROR(__xludf.DUMMYFUNCTION("GOOGLETRANSLATE(B10345, ""fr"", ""en"")"),"Earphone without son Headphones Light good practice and sound pretty good The charging case and easy to use protection perfect for outings I recommend this product")</f>
        <v>Earphone without son Headphones Light good practice and sound pretty good The charging case and easy to use protection perfect for outings I recommend this product</v>
      </c>
    </row>
    <row r="10346">
      <c r="A10346" s="1">
        <v>5.0</v>
      </c>
      <c r="B10346" s="1" t="s">
        <v>10176</v>
      </c>
      <c r="C10346" t="str">
        <f>IFERROR(__xludf.DUMMYFUNCTION("GOOGLETRANSLATE(B10346, ""fr"", ""en"")"),"Chic and comfortable Delivered ahead of schedule.")</f>
        <v>Chic and comfortable Delivered ahead of schedule.</v>
      </c>
    </row>
    <row r="10347">
      <c r="A10347" s="1">
        <v>5.0</v>
      </c>
      <c r="B10347" s="1" t="s">
        <v>10177</v>
      </c>
      <c r="C10347" t="str">
        <f>IFERROR(__xludf.DUMMYFUNCTION("GOOGLETRANSLATE(B10347, ""fr"", ""en"")"),"Conforms to the image and the description of the shoes I 42 and the size is perfect I recommend this article for any fan of vans and style checkered")</f>
        <v>Conforms to the image and the description of the shoes I 42 and the size is perfect I recommend this article for any fan of vans and style checkered</v>
      </c>
    </row>
    <row r="10348">
      <c r="A10348" s="1">
        <v>5.0</v>
      </c>
      <c r="B10348" s="1" t="s">
        <v>10178</v>
      </c>
      <c r="C10348" t="str">
        <f>IFERROR(__xludf.DUMMYFUNCTION("GOOGLETRANSLATE(B10348, ""fr"", ""en"")"),"Super satisfied for learning")</f>
        <v>Super satisfied for learning</v>
      </c>
    </row>
    <row r="10349">
      <c r="A10349" s="1">
        <v>5.0</v>
      </c>
      <c r="B10349" s="1" t="s">
        <v>10179</v>
      </c>
      <c r="C10349" t="str">
        <f>IFERROR(__xludf.DUMMYFUNCTION("GOOGLETRANSLATE(B10349, ""fr"", ""en"")"),"Blopens buy for my daughter is happy colors and stencils to recommend to aspiring artists who like to draw")</f>
        <v>Blopens buy for my daughter is happy colors and stencils to recommend to aspiring artists who like to draw</v>
      </c>
    </row>
    <row r="10350">
      <c r="A10350" s="1">
        <v>5.0</v>
      </c>
      <c r="B10350" s="1" t="s">
        <v>10180</v>
      </c>
      <c r="C10350" t="str">
        <f>IFERROR(__xludf.DUMMYFUNCTION("GOOGLETRANSLATE(B10350, ""fr"", ""en"")"),"Too beautiful necklace, just beautiful Swarovski necklace with a chain to the quality of air. Good size too big or too small. Delivered in a beautiful box, ideal to offer, really is working. The band is at the photo on the color. Lead-free, so no worries "&amp;"for nickel allergies.")</f>
        <v>Too beautiful necklace, just beautiful Swarovski necklace with a chain to the quality of air. Good size too big or too small. Delivered in a beautiful box, ideal to offer, really is working. The band is at the photo on the color. Lead-free, so no worries for nickel allergies.</v>
      </c>
    </row>
    <row r="10351">
      <c r="A10351" s="1">
        <v>5.0</v>
      </c>
      <c r="B10351" s="1" t="s">
        <v>10181</v>
      </c>
      <c r="C10351" t="str">
        <f>IFERROR(__xludf.DUMMYFUNCTION("GOOGLETRANSLATE(B10351, ""fr"", ""en"")"),"Good tennis shoe very comfortable and robust TBS")</f>
        <v>Good tennis shoe very comfortable and robust TBS</v>
      </c>
    </row>
    <row r="10352">
      <c r="A10352" s="1">
        <v>5.0</v>
      </c>
      <c r="B10352" s="1" t="s">
        <v>10182</v>
      </c>
      <c r="C10352" t="str">
        <f>IFERROR(__xludf.DUMMYFUNCTION("GOOGLETRANSLATE(B10352, ""fr"", ""en"")"),"The first G-Shock imitated and outdone I wanted the first G-Shock strength and style (square screen, black watch and edging red brick background) Finally, it is perfect, a beautiful tribute with features in more: solar energy, automatic time setting (whic"&amp;"h can be disabled) and automatic lighting switched off too (whole screen glows a blue-green color when viewed hour in the dark) the G -Shock no longer have to prove themselves, it is comfortable and solid, perfect for sports, crafts, etc .. I specify that"&amp;" it is indeed the G-Shock GW-M5610-1ER model and not the model G-Shock GW-M5600-1ER as sometimes displayed on the site.")</f>
        <v>The first G-Shock imitated and outdone I wanted the first G-Shock strength and style (square screen, black watch and edging red brick background) Finally, it is perfect, a beautiful tribute with features in more: solar energy, automatic time setting (which can be disabled) and automatic lighting switched off too (whole screen glows a blue-green color when viewed hour in the dark) the G -Shock no longer have to prove themselves, it is comfortable and solid, perfect for sports, crafts, etc .. I specify that it is indeed the G-Shock GW-M5610-1ER model and not the model G-Shock GW-M5600-1ER as sometimes displayed on the site.</v>
      </c>
    </row>
    <row r="10353">
      <c r="A10353" s="1">
        <v>5.0</v>
      </c>
      <c r="B10353" s="1" t="s">
        <v>10183</v>
      </c>
      <c r="C10353" t="str">
        <f>IFERROR(__xludf.DUMMYFUNCTION("GOOGLETRANSLATE(B10353, ""fr"", ""en"")"),"Excellent coffee Excellent coffee. Operation at the top. perfect aesthetics. filling indicator. PVC, so it does not burn on contact.")</f>
        <v>Excellent coffee Excellent coffee. Operation at the top. perfect aesthetics. filling indicator. PVC, so it does not burn on contact.</v>
      </c>
    </row>
    <row r="10354">
      <c r="A10354" s="1">
        <v>2.0</v>
      </c>
      <c r="B10354" s="1" t="s">
        <v>10184</v>
      </c>
      <c r="C10354" t="str">
        <f>IFERROR(__xludf.DUMMYFUNCTION("GOOGLETRANSLATE(B10354, ""fr"", ""en"")"),"Fruit of the Loom elastic Jogging pants ... Very disappointed it's not jogging but not pajamas out in the street with that! quality (it looks like crepe paper) and color are poor it size too big in leg length a real bag potatoes .......")</f>
        <v>Fruit of the Loom elastic Jogging pants ... Very disappointed it's not jogging but not pajamas out in the street with that! quality (it looks like crepe paper) and color are poor it size too big in leg length a real bag potatoes .......</v>
      </c>
    </row>
    <row r="10355">
      <c r="A10355" s="1">
        <v>1.0</v>
      </c>
      <c r="B10355" s="1" t="s">
        <v>10185</v>
      </c>
      <c r="C10355" t="str">
        <f>IFERROR(__xludf.DUMMYFUNCTION("GOOGLETRANSLATE(B10355, ""fr"", ""en"")"),"No Wraps all the time not top")</f>
        <v>No Wraps all the time not top</v>
      </c>
    </row>
    <row r="10356">
      <c r="A10356" s="1">
        <v>1.0</v>
      </c>
      <c r="B10356" s="1" t="s">
        <v>10186</v>
      </c>
      <c r="C10356" t="str">
        <f>IFERROR(__xludf.DUMMYFUNCTION("GOOGLETRANSLATE(B10356, ""fr"", ""en"")"),"misrepresentation of the product I did not like the quality, broken several times I ended up putting it in the trash too disappointed, I thought on amazon there was a control")</f>
        <v>misrepresentation of the product I did not like the quality, broken several times I ended up putting it in the trash too disappointed, I thought on amazon there was a control</v>
      </c>
    </row>
    <row r="10357">
      <c r="A10357" s="1">
        <v>3.0</v>
      </c>
      <c r="B10357" s="1" t="s">
        <v>10187</v>
      </c>
      <c r="C10357" t="str">
        <f>IFERROR(__xludf.DUMMYFUNCTION("GOOGLETRANSLATE(B10357, ""fr"", ""en"")"),"expensive ! Good principle (erasable ink rubbing) but expensive. The cartridges are sold separately and cost a pricey compared to their duration, and the pens are not very resistant.")</f>
        <v>expensive ! Good principle (erasable ink rubbing) but expensive. The cartridges are sold separately and cost a pricey compared to their duration, and the pens are not very resistant.</v>
      </c>
    </row>
    <row r="10358">
      <c r="A10358" s="1">
        <v>3.0</v>
      </c>
      <c r="B10358" s="1" t="s">
        <v>10188</v>
      </c>
      <c r="C10358" t="str">
        <f>IFERROR(__xludf.DUMMYFUNCTION("GOOGLETRANSLATE(B10358, ""fr"", ""en"")"),"nice Ras")</f>
        <v>nice Ras</v>
      </c>
    </row>
    <row r="10359">
      <c r="A10359" s="1">
        <v>4.0</v>
      </c>
      <c r="B10359" s="1" t="s">
        <v>10189</v>
      </c>
      <c r="C10359" t="str">
        <f>IFERROR(__xludf.DUMMYFUNCTION("GOOGLETRANSLATE(B10359, ""fr"", ""en"")"),"SHOES IMPERMEABLES Protect well from the rain. Size correctly. Comfortable. Only downside: Font a wide foot. OK for the price.")</f>
        <v>SHOES IMPERMEABLES Protect well from the rain. Size correctly. Comfortable. Only downside: Font a wide foot. OK for the price.</v>
      </c>
    </row>
    <row r="10360">
      <c r="A10360" s="1">
        <v>4.0</v>
      </c>
      <c r="B10360" s="1" t="s">
        <v>10190</v>
      </c>
      <c r="C10360" t="str">
        <f>IFERROR(__xludf.DUMMYFUNCTION("GOOGLETRANSLATE(B10360, ""fr"", ""en"")"),"I plugged into a guitar amp to use for Christmas and New Year in English User Card not really top Lack of information about the connections possibilities")</f>
        <v>I plugged into a guitar amp to use for Christmas and New Year in English User Card not really top Lack of information about the connections possibilities</v>
      </c>
    </row>
    <row r="10361">
      <c r="A10361" s="1">
        <v>4.0</v>
      </c>
      <c r="B10361" s="1" t="s">
        <v>10191</v>
      </c>
      <c r="C10361" t="str">
        <f>IFERROR(__xludf.DUMMYFUNCTION("GOOGLETRANSLATE(B10361, ""fr"", ""en"")"),"agenda this agenda is simple but functional: size is fine and the ""items"" proposed within are suitable for an agenda")</f>
        <v>agenda this agenda is simple but functional: size is fine and the "items" proposed within are suitable for an agenda</v>
      </c>
    </row>
    <row r="10362">
      <c r="A10362" s="1">
        <v>4.0</v>
      </c>
      <c r="B10362" s="1" t="s">
        <v>10192</v>
      </c>
      <c r="C10362" t="str">
        <f>IFERROR(__xludf.DUMMYFUNCTION("GOOGLETRANSLATE(B10362, ""fr"", ""en"")"),"No regrets on my purchases. I'm not disappointed with my purchases. The different products purchased are of good quality be it shoes, jacket or both pendants. So no disappointment.")</f>
        <v>No regrets on my purchases. I'm not disappointed with my purchases. The different products purchased are of good quality be it shoes, jacket or both pendants. So no disappointment.</v>
      </c>
    </row>
    <row r="10363">
      <c r="A10363" s="1">
        <v>4.0</v>
      </c>
      <c r="B10363" s="1" t="s">
        <v>10193</v>
      </c>
      <c r="C10363" t="str">
        <f>IFERROR(__xludf.DUMMYFUNCTION("GOOGLETRANSLATE(B10363, ""fr"", ""en"")"),"Very comfortable after a long day of work, I often have feet stewed and these sandals are very comfortable and relaxing.")</f>
        <v>Very comfortable after a long day of work, I often have feet stewed and these sandals are very comfortable and relaxing.</v>
      </c>
    </row>
    <row r="10364">
      <c r="A10364" s="1">
        <v>5.0</v>
      </c>
      <c r="B10364" s="1" t="s">
        <v>10194</v>
      </c>
      <c r="C10364" t="str">
        <f>IFERROR(__xludf.DUMMYFUNCTION("GOOGLETRANSLATE(B10364, ""fr"", ""en"")"),"Bracelet silver and swarovski Beautiful bracelet, beautiful presentation in his little box, I'm really happy with my purchase which is actually a gift for my daughter, I know in advance that she will love")</f>
        <v>Bracelet silver and swarovski Beautiful bracelet, beautiful presentation in his little box, I'm really happy with my purchase which is actually a gift for my daughter, I know in advance that she will love</v>
      </c>
    </row>
    <row r="10365">
      <c r="A10365" s="1">
        <v>5.0</v>
      </c>
      <c r="B10365" s="1" t="s">
        <v>10195</v>
      </c>
      <c r="C10365" t="str">
        <f>IFERROR(__xludf.DUMMYFUNCTION("GOOGLETRANSLATE(B10365, ""fr"", ""en"")"),"Comfortable and cozy reinforced safety shoes equipped with reinforcements at the toes")</f>
        <v>Comfortable and cozy reinforced safety shoes equipped with reinforcements at the toes</v>
      </c>
    </row>
    <row r="10366">
      <c r="A10366" s="1">
        <v>5.0</v>
      </c>
      <c r="B10366" s="1" t="s">
        <v>10196</v>
      </c>
      <c r="C10366" t="str">
        <f>IFERROR(__xludf.DUMMYFUNCTION("GOOGLETRANSLATE(B10366, ""fr"", ""en"")"),"I just love it! The diffuser is really nice, both natural day and night with its changing lights. It is not noisy and has a very pleasant mist, scents the room well, J am delighted. And function to adjust the operating time is great!")</f>
        <v>I just love it! The diffuser is really nice, both natural day and night with its changing lights. It is not noisy and has a very pleasant mist, scents the room well, J am delighted. And function to adjust the operating time is great!</v>
      </c>
    </row>
    <row r="10367">
      <c r="A10367" s="1">
        <v>5.0</v>
      </c>
      <c r="B10367" s="1" t="s">
        <v>10197</v>
      </c>
      <c r="C10367" t="str">
        <f>IFERROR(__xludf.DUMMYFUNCTION("GOOGLETRANSLATE(B10367, ""fr"", ""en"")"),"Perfect and very good resistance made around the wrist!")</f>
        <v>Perfect and very good resistance made around the wrist!</v>
      </c>
    </row>
    <row r="10368">
      <c r="A10368" s="1">
        <v>5.0</v>
      </c>
      <c r="B10368" s="1" t="s">
        <v>10198</v>
      </c>
      <c r="C10368" t="str">
        <f>IFERROR(__xludf.DUMMYFUNCTION("GOOGLETRANSLATE(B10368, ""fr"", ""en"")"),"Beautiful and practical Kettle received today the first use that day. Delighted with my purchase. Attractive and easy to use. To see in time.")</f>
        <v>Beautiful and practical Kettle received today the first use that day. Delighted with my purchase. Attractive and easy to use. To see in time.</v>
      </c>
    </row>
    <row r="10369">
      <c r="A10369" s="1">
        <v>5.0</v>
      </c>
      <c r="B10369" s="1" t="s">
        <v>10199</v>
      </c>
      <c r="C10369" t="str">
        <f>IFERROR(__xludf.DUMMYFUNCTION("GOOGLETRANSLATE(B10369, ""fr"", ""en"")"),"Well I bought these pens to make mandala and zentangle. They are fine and do not leak. It is true that some colors are slightly different cap. I created a chart to be sure. They are not suitable for coloring because the tip is too thin but that is not my "&amp;"use, they are perfect for me. I am delighted with this purchase.")</f>
        <v>Well I bought these pens to make mandala and zentangle. They are fine and do not leak. It is true that some colors are slightly different cap. I created a chart to be sure. They are not suitable for coloring because the tip is too thin but that is not my use, they are perfect for me. I am delighted with this purchase.</v>
      </c>
    </row>
    <row r="10370">
      <c r="A10370" s="1">
        <v>5.0</v>
      </c>
      <c r="B10370" s="1" t="s">
        <v>10200</v>
      </c>
      <c r="C10370" t="str">
        <f>IFERROR(__xludf.DUMMYFUNCTION("GOOGLETRANSLATE(B10370, ""fr"", ""en"")"),"Simple and reliable Easy operation with a wide screw cap to put the hot water. No leakage problem. And with all fluffy dressing. Super pocket increasingly offered on the site.")</f>
        <v>Simple and reliable Easy operation with a wide screw cap to put the hot water. No leakage problem. And with all fluffy dressing. Super pocket increasingly offered on the site.</v>
      </c>
    </row>
    <row r="10371">
      <c r="A10371" s="1">
        <v>5.0</v>
      </c>
      <c r="B10371" s="1" t="s">
        <v>10201</v>
      </c>
      <c r="C10371" t="str">
        <f>IFERROR(__xludf.DUMMYFUNCTION("GOOGLETRANSLATE(B10371, ""fr"", ""en"")"),"👌👌👌 No complaints are to price it is really great .. -Its -Light -Design -Confort Tip top 👌👌👌👌👌")</f>
        <v>👌👌👌 No complaints are to price it is really great .. -Its -Light -Design -Confort Tip top 👌👌👌👌👌</v>
      </c>
    </row>
    <row r="10372">
      <c r="A10372" s="1">
        <v>5.0</v>
      </c>
      <c r="B10372" s="1" t="s">
        <v>10202</v>
      </c>
      <c r="C10372" t="str">
        <f>IFERROR(__xludf.DUMMYFUNCTION("GOOGLETRANSLATE(B10372, ""fr"", ""en"")"),"Great product offered to our daughter for her birthday with AGPTek® MP3 player white, all has been delighting its recipient, good sound quality and especially excellent stability on the head of the young dancer!")</f>
        <v>Great product offered to our daughter for her birthday with AGPTek® MP3 player white, all has been delighting its recipient, good sound quality and especially excellent stability on the head of the young dancer!</v>
      </c>
    </row>
    <row r="10373">
      <c r="A10373" s="1">
        <v>5.0</v>
      </c>
      <c r="B10373" s="1" t="s">
        <v>10203</v>
      </c>
      <c r="C10373" t="str">
        <f>IFERROR(__xludf.DUMMYFUNCTION("GOOGLETRANSLATE(B10373, ""fr"", ""en"")"),"A good choice Not very expensive but very efficient, convenient and easy to use. Nothing else to say")</f>
        <v>A good choice Not very expensive but very efficient, convenient and easy to use. Nothing else to say</v>
      </c>
    </row>
    <row r="10374">
      <c r="A10374" s="1">
        <v>5.0</v>
      </c>
      <c r="B10374" s="1" t="s">
        <v>10204</v>
      </c>
      <c r="C10374" t="str">
        <f>IFERROR(__xludf.DUMMYFUNCTION("GOOGLETRANSLATE(B10374, ""fr"", ""en"")"),"Perfect Very good ability, and thirty warranty (2 years for wearing parts) are more looking for an interesting article.")</f>
        <v>Perfect Very good ability, and thirty warranty (2 years for wearing parts) are more looking for an interesting article.</v>
      </c>
    </row>
    <row r="10375">
      <c r="A10375" s="1">
        <v>5.0</v>
      </c>
      <c r="B10375" s="1" t="s">
        <v>10205</v>
      </c>
      <c r="C10375" t="str">
        <f>IFERROR(__xludf.DUMMYFUNCTION("GOOGLETRANSLATE(B10375, ""fr"", ""en"")"),"Do not buy too pokey Although echo end soon")</f>
        <v>Do not buy too pokey Although echo end soon</v>
      </c>
    </row>
    <row r="10376">
      <c r="A10376" s="1">
        <v>5.0</v>
      </c>
      <c r="B10376" s="1" t="s">
        <v>10206</v>
      </c>
      <c r="C10376" t="str">
        <f>IFERROR(__xludf.DUMMYFUNCTION("GOOGLETRANSLATE(B10376, ""fr"", ""en"")"),"Really nice Complies with the description, very good, provided with the scraper. Moreover, the scratch-off layer is very thick making it possible to separate the parts that are discovered. Packaging top, nothing to say.")</f>
        <v>Really nice Complies with the description, very good, provided with the scraper. Moreover, the scratch-off layer is very thick making it possible to separate the parts that are discovered. Packaging top, nothing to say.</v>
      </c>
    </row>
    <row r="10377">
      <c r="A10377" s="1">
        <v>5.0</v>
      </c>
      <c r="B10377" s="1" t="s">
        <v>10207</v>
      </c>
      <c r="C10377" t="str">
        <f>IFERROR(__xludf.DUMMYFUNCTION("GOOGLETRANSLATE(B10377, ""fr"", ""en"")"),"Top Very simple to install, and can two facilities (pinched or office hole) Quick, convenient and solid")</f>
        <v>Top Very simple to install, and can two facilities (pinched or office hole) Quick, convenient and solid</v>
      </c>
    </row>
    <row r="10378">
      <c r="A10378" s="1">
        <v>5.0</v>
      </c>
      <c r="B10378" s="1" t="s">
        <v>10208</v>
      </c>
      <c r="C10378" t="str">
        <f>IFERROR(__xludf.DUMMYFUNCTION("GOOGLETRANSLATE(B10378, ""fr"", ""en"")"),"really cool I just got it immediately received immediately tried, I am 95 kg, the first time I lay it at the beginning it stings, it's not very pleasant, but past 5 -7 minutes, heat s' install even if it still feels the pins is quite bearable, by cons whe"&amp;"n coming up it's pretty painful. Well, in terms of the effect from the first 2x10 min use with 5 minutes break between, it is almost magical, I who now -lombaire sore back and shoulders surtout- with lordosis, I hyper felt relieved")</f>
        <v>really cool I just got it immediately received immediately tried, I am 95 kg, the first time I lay it at the beginning it stings, it's not very pleasant, but past 5 -7 minutes, heat s' install even if it still feels the pins is quite bearable, by cons when coming up it's pretty painful. Well, in terms of the effect from the first 2x10 min use with 5 minutes break between, it is almost magical, I who now -lombaire sore back and shoulders surtout- with lordosis, I hyper felt relieved</v>
      </c>
    </row>
    <row r="10379">
      <c r="A10379" s="1">
        <v>5.0</v>
      </c>
      <c r="B10379" s="1" t="s">
        <v>10209</v>
      </c>
      <c r="C10379" t="str">
        <f>IFERROR(__xludf.DUMMYFUNCTION("GOOGLETRANSLATE(B10379, ""fr"", ""en"")"),"Great product I love this product! It is effective for cleaning, and leaves a delicate smell of soap. I recommend.")</f>
        <v>Great product I love this product! It is effective for cleaning, and leaves a delicate smell of soap. I recommend.</v>
      </c>
    </row>
    <row r="10380">
      <c r="A10380" s="1">
        <v>2.0</v>
      </c>
      <c r="B10380" s="1" t="s">
        <v>10210</v>
      </c>
      <c r="C10380" t="str">
        <f>IFERROR(__xludf.DUMMYFUNCTION("GOOGLETRANSLATE(B10380, ""fr"", ""en"")"),"ideal shape but wears quickly Both the two brushes are very convenient to share their form and functionality (rotary handle for the big, form adapted to the small pacifiers), as well their quality is poor - the hair of brushes are completely folded after "&amp;"3 weeks of use - Hose unscrew widely, refit them after each use (see during use to the brush). So actually it is not expensive at all, but must be changed every two or three weeks, it is not a worthwhile purchase so I can not recommend this product.")</f>
        <v>ideal shape but wears quickly Both the two brushes are very convenient to share their form and functionality (rotary handle for the big, form adapted to the small pacifiers), as well their quality is poor - the hair of brushes are completely folded after 3 weeks of use - Hose unscrew widely, refit them after each use (see during use to the brush). So actually it is not expensive at all, but must be changed every two or three weeks, it is not a worthwhile purchase so I can not recommend this product.</v>
      </c>
    </row>
    <row r="10381">
      <c r="A10381" s="1">
        <v>1.0</v>
      </c>
      <c r="B10381" s="1" t="s">
        <v>10211</v>
      </c>
      <c r="C10381" t="str">
        <f>IFERROR(__xludf.DUMMYFUNCTION("GOOGLETRANSLATE(B10381, ""fr"", ""en"")"),"adidas Stan Smith it very large size. My partner is two sizes older than me and they are too big for him too")</f>
        <v>adidas Stan Smith it very large size. My partner is two sizes older than me and they are too big for him too</v>
      </c>
    </row>
    <row r="10382">
      <c r="A10382" s="1">
        <v>1.0</v>
      </c>
      <c r="B10382" s="1" t="s">
        <v>10212</v>
      </c>
      <c r="C10382" t="str">
        <f>IFERROR(__xludf.DUMMYFUNCTION("GOOGLETRANSLATE(B10382, ""fr"", ""en"")"),"Exchanged and returned Product exchanged, no swimming counter")</f>
        <v>Exchanged and returned Product exchanged, no swimming counter</v>
      </c>
    </row>
    <row r="10383">
      <c r="A10383" s="1">
        <v>3.0</v>
      </c>
      <c r="B10383" s="1" t="s">
        <v>10213</v>
      </c>
      <c r="C10383" t="str">
        <f>IFERROR(__xludf.DUMMYFUNCTION("GOOGLETRANSLATE(B10383, ""fr"", ""en"")"),"reglette well for school")</f>
        <v>reglette well for school</v>
      </c>
    </row>
    <row r="10384">
      <c r="A10384" s="1">
        <v>3.0</v>
      </c>
      <c r="B10384" s="1" t="s">
        <v>10214</v>
      </c>
      <c r="C10384" t="str">
        <f>IFERROR(__xludf.DUMMYFUNCTION("GOOGLETRANSLATE(B10384, ""fr"", ""en"")"),"Fairly rigid solid at the start. On the strength to they will soften. These are solid shoes. A little high, I can put soles nice and warm for the winter.")</f>
        <v>Fairly rigid solid at the start. On the strength to they will soften. These are solid shoes. A little high, I can put soles nice and warm for the winter.</v>
      </c>
    </row>
    <row r="10385">
      <c r="A10385" s="1">
        <v>4.0</v>
      </c>
      <c r="B10385" s="1" t="s">
        <v>10215</v>
      </c>
      <c r="C10385" t="str">
        <f>IFERROR(__xludf.DUMMYFUNCTION("GOOGLETRANSLATE(B10385, ""fr"", ""en"")"),"The Doc excellent product arrived in perfect condition, well packed and are the right size! I put 4 stars and not 5 because the delivery was a little slower than I thought (4days, then amazon in ANNOUNCED 2)")</f>
        <v>The Doc excellent product arrived in perfect condition, well packed and are the right size! I put 4 stars and not 5 because the delivery was a little slower than I thought (4days, then amazon in ANNOUNCED 2)</v>
      </c>
    </row>
    <row r="10386">
      <c r="A10386" s="1">
        <v>4.0</v>
      </c>
      <c r="B10386" s="1" t="s">
        <v>10216</v>
      </c>
      <c r="C10386" t="str">
        <f>IFERROR(__xludf.DUMMYFUNCTION("GOOGLETRANSLATE(B10386, ""fr"", ""en"")"),"comfortable very comfortable")</f>
        <v>comfortable very comfortable</v>
      </c>
    </row>
    <row r="10387">
      <c r="A10387" s="1">
        <v>4.0</v>
      </c>
      <c r="B10387" s="1" t="s">
        <v>10217</v>
      </c>
      <c r="C10387" t="str">
        <f>IFERROR(__xludf.DUMMYFUNCTION("GOOGLETRANSLATE(B10387, ""fr"", ""en"")"),"very good product but a little e amount would be the best muscle - sore head and other")</f>
        <v>very good product but a little e amount would be the best muscle - sore head and other</v>
      </c>
    </row>
    <row r="10388">
      <c r="A10388" s="1">
        <v>4.0</v>
      </c>
      <c r="B10388" s="1" t="s">
        <v>10218</v>
      </c>
      <c r="C10388" t="str">
        <f>IFERROR(__xludf.DUMMYFUNCTION("GOOGLETRANSLATE(B10388, ""fr"", ""en"")"),"Satisfied satisfied with my purchase néanmois at the filter c is poorly studied and the water passes by side when pouring")</f>
        <v>Satisfied satisfied with my purchase néanmois at the filter c is poorly studied and the water passes by side when pouring</v>
      </c>
    </row>
    <row r="10389">
      <c r="A10389" s="1">
        <v>5.0</v>
      </c>
      <c r="B10389" s="1" t="s">
        <v>10219</v>
      </c>
      <c r="C10389" t="str">
        <f>IFERROR(__xludf.DUMMYFUNCTION("GOOGLETRANSLATE(B10389, ""fr"", ""en"")"),"Headphones high quality headset Beautiful, super convenient very good my son is delighted !! listening to very good quality and very thick pads to protect the ears !!! I recommand it!!!")</f>
        <v>Headphones high quality headset Beautiful, super convenient very good my son is delighted !! listening to very good quality and very thick pads to protect the ears !!! I recommand it!!!</v>
      </c>
    </row>
    <row r="10390">
      <c r="A10390" s="1">
        <v>5.0</v>
      </c>
      <c r="B10390" s="1" t="s">
        <v>10220</v>
      </c>
      <c r="C10390" t="str">
        <f>IFERROR(__xludf.DUMMYFUNCTION("GOOGLETRANSLATE(B10390, ""fr"", ""en"")"),"Very satisfied Very nice shows exactly that ds site received prior to the scheduled date")</f>
        <v>Very satisfied Very nice shows exactly that ds site received prior to the scheduled date</v>
      </c>
    </row>
    <row r="10391">
      <c r="A10391" s="1">
        <v>5.0</v>
      </c>
      <c r="B10391" s="1" t="s">
        <v>10221</v>
      </c>
      <c r="C10391" t="str">
        <f>IFERROR(__xludf.DUMMYFUNCTION("GOOGLETRANSLATE(B10391, ""fr"", ""en"")"),"Beautiful appearance for these snake necklaces, they are of sufficient length and are very pretty Thanks, delivery was faster than expected. The previous snake necklace on which a salesman had me put a rock minerals, was shorter, I prefer this length, but"&amp;" especially the snap was more pungent, and after one day my neck was slightly irritated. I waited to receive her necklaces to exchange and I am very satisfied with the quality of these. I recommend to those who hesitate.")</f>
        <v>Beautiful appearance for these snake necklaces, they are of sufficient length and are very pretty Thanks, delivery was faster than expected. The previous snake necklace on which a salesman had me put a rock minerals, was shorter, I prefer this length, but especially the snap was more pungent, and after one day my neck was slightly irritated. I waited to receive her necklaces to exchange and I am very satisfied with the quality of these. I recommend to those who hesitate.</v>
      </c>
    </row>
    <row r="10392">
      <c r="A10392" s="1">
        <v>5.0</v>
      </c>
      <c r="B10392" s="1" t="s">
        <v>10222</v>
      </c>
      <c r="C10392" t="str">
        <f>IFERROR(__xludf.DUMMYFUNCTION("GOOGLETRANSLATE(B10392, ""fr"", ""en"")"),"Awesome Very nice, large capacity and super convenient for storage. You put it on a plate off and it feels good decoration and practicality. I just love it.")</f>
        <v>Awesome Very nice, large capacity and super convenient for storage. You put it on a plate off and it feels good decoration and practicality. I just love it.</v>
      </c>
    </row>
    <row r="10393">
      <c r="A10393" s="1">
        <v>5.0</v>
      </c>
      <c r="B10393" s="1" t="s">
        <v>10223</v>
      </c>
      <c r="C10393" t="str">
        <f>IFERROR(__xludf.DUMMYFUNCTION("GOOGLETRANSLATE(B10393, ""fr"", ""en"")"),"the Lady and the Tramp Storage ancient coins pieces")</f>
        <v>the Lady and the Tramp Storage ancient coins pieces</v>
      </c>
    </row>
    <row r="10394">
      <c r="A10394" s="1">
        <v>5.0</v>
      </c>
      <c r="B10394" s="1" t="s">
        <v>10224</v>
      </c>
      <c r="C10394" t="str">
        <f>IFERROR(__xludf.DUMMYFUNCTION("GOOGLETRANSLATE(B10394, ""fr"", ""en"")"),"Although nothing")</f>
        <v>Although nothing</v>
      </c>
    </row>
    <row r="10395">
      <c r="A10395" s="1">
        <v>5.0</v>
      </c>
      <c r="B10395" s="1" t="s">
        <v>10225</v>
      </c>
      <c r="C10395" t="str">
        <f>IFERROR(__xludf.DUMMYFUNCTION("GOOGLETRANSLATE(B10395, ""fr"", ""en"")"),"Very beautiful Creoles The Creoles are very pretty ... their design is original ... they are easy to remove ... and for the price, we do not hesitate to crack ...")</f>
        <v>Very beautiful Creoles The Creoles are very pretty ... their design is original ... they are easy to remove ... and for the price, we do not hesitate to crack ...</v>
      </c>
    </row>
    <row r="10396">
      <c r="A10396" s="1">
        <v>5.0</v>
      </c>
      <c r="B10396" s="1" t="s">
        <v>10226</v>
      </c>
      <c r="C10396" t="str">
        <f>IFERROR(__xludf.DUMMYFUNCTION("GOOGLETRANSLATE(B10396, ""fr"", ""en"")"),"RAS Ravi of the goods and delivery")</f>
        <v>RAS Ravi of the goods and delivery</v>
      </c>
    </row>
    <row r="10397">
      <c r="A10397" s="1">
        <v>5.0</v>
      </c>
      <c r="B10397" s="1" t="s">
        <v>10227</v>
      </c>
      <c r="C10397" t="str">
        <f>IFERROR(__xludf.DUMMYFUNCTION("GOOGLETRANSLATE(B10397, ""fr"", ""en"")"),"Excellent price / quality practical battery with its handle, without maintenance, delivered ""plug &amp; amp; play""! Has adapted perfectly to my mower tractor that (finally) started the clockwork!")</f>
        <v>Excellent price / quality practical battery with its handle, without maintenance, delivered "plug &amp; amp; play"! Has adapted perfectly to my mower tractor that (finally) started the clockwork!</v>
      </c>
    </row>
    <row r="10398">
      <c r="A10398" s="1">
        <v>5.0</v>
      </c>
      <c r="B10398" s="1" t="s">
        <v>10228</v>
      </c>
      <c r="C10398" t="str">
        <f>IFERROR(__xludf.DUMMYFUNCTION("GOOGLETRANSLATE(B10398, ""fr"", ""en"")"),"Very comfortable Very good product I invalid")</f>
        <v>Very comfortable Very good product I invalid</v>
      </c>
    </row>
    <row r="10399">
      <c r="A10399" s="1">
        <v>5.0</v>
      </c>
      <c r="B10399" s="1" t="s">
        <v>10229</v>
      </c>
      <c r="C10399" t="str">
        <f>IFERROR(__xludf.DUMMYFUNCTION("GOOGLETRANSLATE(B10399, ""fr"", ""en"")"),"Whether it is safe for septic tanks. Drain Cleaner.")</f>
        <v>Whether it is safe for septic tanks. Drain Cleaner.</v>
      </c>
    </row>
    <row r="10400">
      <c r="A10400" s="1">
        <v>5.0</v>
      </c>
      <c r="B10400" s="1" t="s">
        <v>10230</v>
      </c>
      <c r="C10400" t="str">
        <f>IFERROR(__xludf.DUMMYFUNCTION("GOOGLETRANSLATE(B10400, ""fr"", ""en"")"),"superb and consistent given the difficulty to find this model and this specific color - in this trade is unimaginable - I'm totally satisfied with the purchase! connoisseurs will include")</f>
        <v>superb and consistent given the difficulty to find this model and this specific color - in this trade is unimaginable - I'm totally satisfied with the purchase! connoisseurs will include</v>
      </c>
    </row>
    <row r="10401">
      <c r="A10401" s="1">
        <v>5.0</v>
      </c>
      <c r="B10401" s="1" t="s">
        <v>10231</v>
      </c>
      <c r="C10401" t="str">
        <f>IFERROR(__xludf.DUMMYFUNCTION("GOOGLETRANSLATE(B10401, ""fr"", ""en"")"),"Perfect Color is as expected! The fabric being doubled is not transparent when moving. second skin! I intend to recommend one of another color! I recommend !")</f>
        <v>Perfect Color is as expected! The fabric being doubled is not transparent when moving. second skin! I intend to recommend one of another color! I recommend !</v>
      </c>
    </row>
    <row r="10402">
      <c r="A10402" s="1">
        <v>5.0</v>
      </c>
      <c r="B10402" s="1" t="s">
        <v>10232</v>
      </c>
      <c r="C10402" t="str">
        <f>IFERROR(__xludf.DUMMYFUNCTION("GOOGLETRANSLATE(B10402, ""fr"", ""en"")"),"essential for micro rode if used with a smartphone that comes with the microphone does not work, it is the adapter that allows the microphone to be recognized, and he does his office, so I recommend it as essential. gray jack is on the laptop, black on th"&amp;"e mic, leave a comment if I like to ease your purchase and good day!")</f>
        <v>essential for micro rode if used with a smartphone that comes with the microphone does not work, it is the adapter that allows the microphone to be recognized, and he does his office, so I recommend it as essential. gray jack is on the laptop, black on the mic, leave a comment if I like to ease your purchase and good day!</v>
      </c>
    </row>
    <row r="10403">
      <c r="A10403" s="1">
        <v>5.0</v>
      </c>
      <c r="B10403" s="1" t="s">
        <v>10233</v>
      </c>
      <c r="C10403" t="str">
        <f>IFERROR(__xludf.DUMMYFUNCTION("GOOGLETRANSLATE(B10403, ""fr"", ""en"")"),"VISIBLE VERY BIG SUPER FOR HOURS SHE WEIGHT. IT ME BOOT.")</f>
        <v>VISIBLE VERY BIG SUPER FOR HOURS SHE WEIGHT. IT ME BOOT.</v>
      </c>
    </row>
    <row r="10404">
      <c r="A10404" s="1">
        <v>2.0</v>
      </c>
      <c r="B10404" s="1" t="s">
        <v>10234</v>
      </c>
      <c r="C10404" t="str">
        <f>IFERROR(__xludf.DUMMYFUNCTION("GOOGLETRANSLATE(B10404, ""fr"", ""en"")"),"wide wide size")</f>
        <v>wide wide size</v>
      </c>
    </row>
    <row r="10405">
      <c r="A10405" s="1">
        <v>1.0</v>
      </c>
      <c r="B10405" s="1" t="s">
        <v>10235</v>
      </c>
      <c r="C10405" t="str">
        <f>IFERROR(__xludf.DUMMYFUNCTION("GOOGLETRANSLATE(B10405, ""fr"", ""en"")"),"This is junk broken needles after a few days")</f>
        <v>This is junk broken needles after a few days</v>
      </c>
    </row>
    <row r="10406">
      <c r="A10406" s="1">
        <v>1.0</v>
      </c>
      <c r="B10406" s="1" t="s">
        <v>10236</v>
      </c>
      <c r="C10406" t="str">
        <f>IFERROR(__xludf.DUMMYFUNCTION("GOOGLETRANSLATE(B10406, ""fr"", ""en"")"),"Attention to detail careful look at the shoe well on all these seams and the smallest details if you do not want to be disappointed ....")</f>
        <v>Attention to detail careful look at the shoe well on all these seams and the smallest details if you do not want to be disappointed ....</v>
      </c>
    </row>
    <row r="10407">
      <c r="A10407" s="1">
        <v>3.0</v>
      </c>
      <c r="B10407" s="1" t="s">
        <v>10237</v>
      </c>
      <c r="C10407" t="str">
        <f>IFERROR(__xludf.DUMMYFUNCTION("GOOGLETRANSLATE(B10407, ""fr"", ""en"")"),"very pretty but poor quality necklace received very quickly, well packaged. My daughter was thrilled to be able to share with her best friend but what was his disappointment when after 3 days, the closing system locked open and the chain is unusable. Too "&amp;"bad, low price and very pretty but for three days of use it's downright expensive!")</f>
        <v>very pretty but poor quality necklace received very quickly, well packaged. My daughter was thrilled to be able to share with her best friend but what was his disappointment when after 3 days, the closing system locked open and the chain is unusable. Too bad, low price and very pretty but for three days of use it's downright expensive!</v>
      </c>
    </row>
    <row r="10408">
      <c r="A10408" s="1">
        <v>4.0</v>
      </c>
      <c r="B10408" s="1" t="s">
        <v>10238</v>
      </c>
      <c r="C10408" t="str">
        <f>IFERROR(__xludf.DUMMYFUNCTION("GOOGLETRANSLATE(B10408, ""fr"", ""en"")"),"For the price, it is amazing! I also own the WH-1000XM3 from Sony and the Tao is for my wife, I still tried, noise reduction is really not at the top compared to my Sony sound quality is acceptable if it is well below too, but they have nothing comparable"&amp;" level as price target customer, so we can forgive him, but I was expecting worse with that helmet, my surprise was quite good. I would recommend it to people undemanding, if you are audiophile, music enthusiast, remember you will be disappointed! PS: the"&amp;" testes have made summers wired Bluetooth compressing the sound, you can not realize this technology.")</f>
        <v>For the price, it is amazing! I also own the WH-1000XM3 from Sony and the Tao is for my wife, I still tried, noise reduction is really not at the top compared to my Sony sound quality is acceptable if it is well below too, but they have nothing comparable level as price target customer, so we can forgive him, but I was expecting worse with that helmet, my surprise was quite good. I would recommend it to people undemanding, if you are audiophile, music enthusiast, remember you will be disappointed! PS: the testes have made summers wired Bluetooth compressing the sound, you can not realize this technology.</v>
      </c>
    </row>
    <row r="10409">
      <c r="A10409" s="1">
        <v>4.0</v>
      </c>
      <c r="B10409" s="1" t="s">
        <v>10239</v>
      </c>
      <c r="C10409" t="str">
        <f>IFERROR(__xludf.DUMMYFUNCTION("GOOGLETRANSLATE(B10409, ""fr"", ""en"")"),"Good product Good product. pleasant smell and not too fat. Fulfills its role. A few drops to massage all back.")</f>
        <v>Good product Good product. pleasant smell and not too fat. Fulfills its role. A few drops to massage all back.</v>
      </c>
    </row>
    <row r="10410">
      <c r="A10410" s="1">
        <v>4.0</v>
      </c>
      <c r="B10410" s="1" t="s">
        <v>10240</v>
      </c>
      <c r="C10410" t="str">
        <f>IFERROR(__xludf.DUMMYFUNCTION("GOOGLETRANSLATE(B10410, ""fr"", ""en"")"),"Good product good product corresponds exactly to what I expected. Of course, quality is less compared to what was there a few years ago. I fear, somewhat, for the maintenance of these shoes.")</f>
        <v>Good product good product corresponds exactly to what I expected. Of course, quality is less compared to what was there a few years ago. I fear, somewhat, for the maintenance of these shoes.</v>
      </c>
    </row>
    <row r="10411">
      <c r="A10411" s="1">
        <v>4.0</v>
      </c>
      <c r="B10411" s="1" t="s">
        <v>10241</v>
      </c>
      <c r="C10411" t="str">
        <f>IFERROR(__xludf.DUMMYFUNCTION("GOOGLETRANSLATE(B10411, ""fr"", ""en"")"),"Super Very satisfied the product is the year good size and warm it made a heureu !!! It is very comfortable")</f>
        <v>Super Very satisfied the product is the year good size and warm it made a heureu !!! It is very comfortable</v>
      </c>
    </row>
    <row r="10412">
      <c r="A10412" s="1">
        <v>5.0</v>
      </c>
      <c r="B10412" s="1" t="s">
        <v>10242</v>
      </c>
      <c r="C10412" t="str">
        <f>IFERROR(__xludf.DUMMYFUNCTION("GOOGLETRANSLATE(B10412, ""fr"", ""en"")"),"Very good very good, well finished, normal is the Eastpak !!! I already had a personal for me, I wanted a second exclusive for my work, and paper documents have all the time on itself during my work day, it's the good, the beautiful, strong, fair what's n"&amp;"eeded !!!!")</f>
        <v>Very good very good, well finished, normal is the Eastpak !!! I already had a personal for me, I wanted a second exclusive for my work, and paper documents have all the time on itself during my work day, it's the good, the beautiful, strong, fair what's needed !!!!</v>
      </c>
    </row>
    <row r="10413">
      <c r="A10413" s="1">
        <v>5.0</v>
      </c>
      <c r="B10413" s="1" t="s">
        <v>10243</v>
      </c>
      <c r="C10413" t="str">
        <f>IFERROR(__xludf.DUMMYFUNCTION("GOOGLETRANSLATE(B10413, ""fr"", ""en"")"),"Plastic plastic shoe man shoe man, normal size for a size 41, light, wearable, lighter than crocs shoes, airy, wash under water, I bought another pair.")</f>
        <v>Plastic plastic shoe man shoe man, normal size for a size 41, light, wearable, lighter than crocs shoes, airy, wash under water, I bought another pair.</v>
      </c>
    </row>
    <row r="10414">
      <c r="A10414" s="1">
        <v>5.0</v>
      </c>
      <c r="B10414" s="1" t="s">
        <v>10244</v>
      </c>
      <c r="C10414" t="str">
        <f>IFERROR(__xludf.DUMMYFUNCTION("GOOGLETRANSLATE(B10414, ""fr"", ""en"")"),"VERY SATISFIED Nice product cheap. The color is beautiful and good size. One size for about 38-40. I intend to recommend another of a different color. Delivery time.")</f>
        <v>VERY SATISFIED Nice product cheap. The color is beautiful and good size. One size for about 38-40. I intend to recommend another of a different color. Delivery time.</v>
      </c>
    </row>
    <row r="10415">
      <c r="A10415" s="1">
        <v>5.0</v>
      </c>
      <c r="B10415" s="1" t="s">
        <v>10245</v>
      </c>
      <c r="C10415" t="str">
        <f>IFERROR(__xludf.DUMMYFUNCTION("GOOGLETRANSLATE(B10415, ""fr"", ""en"")"),"Size large After reading some reviews, I decided to take a size smaller than mine, and it's perfect like that. I took 36 while I do a little 37 and the shoes fit me perfectly fitted but not too tight, the foot room to move and breathe. The black and white"&amp;" look is understated, the laces are interchangeable because there are 2 colors in the box. As for comfort, I have not yet tried for long periods, but the sneakers are flexible, super lightweight and cushioning is good. Real slippers at a great price.")</f>
        <v>Size large After reading some reviews, I decided to take a size smaller than mine, and it's perfect like that. I took 36 while I do a little 37 and the shoes fit me perfectly fitted but not too tight, the foot room to move and breathe. The black and white look is understated, the laces are interchangeable because there are 2 colors in the box. As for comfort, I have not yet tried for long periods, but the sneakers are flexible, super lightweight and cushioning is good. Real slippers at a great price.</v>
      </c>
    </row>
    <row r="10416">
      <c r="A10416" s="1">
        <v>5.0</v>
      </c>
      <c r="B10416" s="1" t="s">
        <v>10246</v>
      </c>
      <c r="C10416" t="str">
        <f>IFERROR(__xludf.DUMMYFUNCTION("GOOGLETRANSLATE(B10416, ""fr"", ""en"")"),"Good product Good product that does its job. Used to replace a power cable to my PC (due to length), nothing to report. If this comment was useful to remember to click YES just down this notice or ""useful"" if you are on Smartphone. Thank you everyone an"&amp;"d see you soon !")</f>
        <v>Good product Good product that does its job. Used to replace a power cable to my PC (due to length), nothing to report. If this comment was useful to remember to click YES just down this notice or "useful" if you are on Smartphone. Thank you everyone and see you soon !</v>
      </c>
    </row>
    <row r="10417">
      <c r="A10417" s="1">
        <v>5.0</v>
      </c>
      <c r="B10417" s="1" t="s">
        <v>508</v>
      </c>
      <c r="C10417" t="str">
        <f>IFERROR(__xludf.DUMMYFUNCTION("GOOGLETRANSLATE(B10417, ""fr"", ""en"")"),"Very well very well")</f>
        <v>Very well very well</v>
      </c>
    </row>
    <row r="10418">
      <c r="A10418" s="1">
        <v>5.0</v>
      </c>
      <c r="B10418" s="1" t="s">
        <v>10247</v>
      </c>
      <c r="C10418" t="str">
        <f>IFERROR(__xludf.DUMMYFUNCTION("GOOGLETRANSLATE(B10418, ""fr"", ""en"")"),"Receipt Calculator quickly following the school year in the second of my children. Fine product.")</f>
        <v>Receipt Calculator quickly following the school year in the second of my children. Fine product.</v>
      </c>
    </row>
    <row r="10419">
      <c r="A10419" s="1">
        <v>5.0</v>
      </c>
      <c r="B10419" s="1" t="s">
        <v>10248</v>
      </c>
      <c r="C10419" t="str">
        <f>IFERROR(__xludf.DUMMYFUNCTION("GOOGLETRANSLATE(B10419, ""fr"", ""en"")"),"it is more useful than you think it is very useful if you have a micro-ATX motherboard with only a 4 pines and more fans taking")</f>
        <v>it is more useful than you think it is very useful if you have a micro-ATX motherboard with only a 4 pines and more fans taking</v>
      </c>
    </row>
    <row r="10420">
      <c r="A10420" s="1">
        <v>5.0</v>
      </c>
      <c r="B10420" s="1" t="s">
        <v>10249</v>
      </c>
      <c r="C10420" t="str">
        <f>IFERROR(__xludf.DUMMYFUNCTION("GOOGLETRANSLATE(B10420, ""fr"", ""en"")"),"Gant Original Idea! No more tea towels that take place in view of a price for each color")</f>
        <v>Gant Original Idea! No more tea towels that take place in view of a price for each color</v>
      </c>
    </row>
    <row r="10421">
      <c r="A10421" s="1">
        <v>5.0</v>
      </c>
      <c r="B10421" s="1" t="s">
        <v>10250</v>
      </c>
      <c r="C10421" t="str">
        <f>IFERROR(__xludf.DUMMYFUNCTION("GOOGLETRANSLATE(B10421, ""fr"", ""en"")"),"Size small Nikel done well to 43.1.3 .. But great quality ..")</f>
        <v>Size small Nikel done well to 43.1.3 .. But great quality ..</v>
      </c>
    </row>
    <row r="10422">
      <c r="A10422" s="1">
        <v>5.0</v>
      </c>
      <c r="B10422" s="1" t="s">
        <v>10251</v>
      </c>
      <c r="C10422" t="str">
        <f>IFERROR(__xludf.DUMMYFUNCTION("GOOGLETRANSLATE(B10422, ""fr"", ""en"")"),"Headphone very good quality noise reduction headphones Super, really happy with my purchase I have another one without noise reduction and the difference is clear, he played very well its role and once on the head to the sounds around are cut. The sound i"&amp;"s good, the headset is comfortable to carry, is not annoying. Battery life is pretty good and easy recharging, it connects quickly is very easy. Button practical helmet. Very good product I recommend")</f>
        <v>Headphone very good quality noise reduction headphones Super, really happy with my purchase I have another one without noise reduction and the difference is clear, he played very well its role and once on the head to the sounds around are cut. The sound is good, the headset is comfortable to carry, is not annoying. Battery life is pretty good and easy recharging, it connects quickly is very easy. Button practical helmet. Very good product I recommend</v>
      </c>
    </row>
    <row r="10423">
      <c r="A10423" s="1">
        <v>5.0</v>
      </c>
      <c r="B10423" s="1" t="s">
        <v>10252</v>
      </c>
      <c r="C10423" t="str">
        <f>IFERROR(__xludf.DUMMYFUNCTION("GOOGLETRANSLATE(B10423, ""fr"", ""en"")"),"Beautiful bracelet It makes great on Frontier Gear S3 and n has not changed since my purchase")</f>
        <v>Beautiful bracelet It makes great on Frontier Gear S3 and n has not changed since my purchase</v>
      </c>
    </row>
    <row r="10424">
      <c r="A10424" s="1">
        <v>5.0</v>
      </c>
      <c r="B10424" s="1" t="s">
        <v>10253</v>
      </c>
      <c r="C10424" t="str">
        <f>IFERROR(__xludf.DUMMYFUNCTION("GOOGLETRANSLATE(B10424, ""fr"", ""en"")"),"A very well its really excellent, very well take the ears with good noise isolation Do not do earache after long use")</f>
        <v>A very well its really excellent, very well take the ears with good noise isolation Do not do earache after long use</v>
      </c>
    </row>
    <row r="10425">
      <c r="A10425" s="1">
        <v>5.0</v>
      </c>
      <c r="B10425" s="1" t="s">
        <v>10254</v>
      </c>
      <c r="C10425" t="str">
        <f>IFERROR(__xludf.DUMMYFUNCTION("GOOGLETRANSLATE(B10425, ""fr"", ""en"")"),"beautiful pocket watch and it is the great")</f>
        <v>beautiful pocket watch and it is the great</v>
      </c>
    </row>
    <row r="10426">
      <c r="A10426" s="1">
        <v>5.0</v>
      </c>
      <c r="B10426" s="1" t="s">
        <v>10255</v>
      </c>
      <c r="C10426" t="str">
        <f>IFERROR(__xludf.DUMMYFUNCTION("GOOGLETRANSLATE(B10426, ""fr"", ""en"")"),"Always use a very nice pack; widely used for certain oils such as Eucalyptus, lavender, mint, lemon medicinal side. the other for perfuming linen or home in an essential oil diffuser.")</f>
        <v>Always use a very nice pack; widely used for certain oils such as Eucalyptus, lavender, mint, lemon medicinal side. the other for perfuming linen or home in an essential oil diffuser.</v>
      </c>
    </row>
    <row r="10427">
      <c r="A10427" s="1">
        <v>2.0</v>
      </c>
      <c r="B10427" s="1" t="s">
        <v>10256</v>
      </c>
      <c r="C10427" t="str">
        <f>IFERROR(__xludf.DUMMYFUNCTION("GOOGLETRANSLATE(B10427, ""fr"", ""en"")"),"Basketball Small enough not received")</f>
        <v>Basketball Small enough not received</v>
      </c>
    </row>
    <row r="10428">
      <c r="A10428" s="1">
        <v>1.0</v>
      </c>
      <c r="B10428" s="1" t="s">
        <v>10257</v>
      </c>
      <c r="C10428" t="str">
        <f>IFERROR(__xludf.DUMMYFUNCTION("GOOGLETRANSLATE(B10428, ""fr"", ""en"")"),"perforated holes")</f>
        <v>perforated holes</v>
      </c>
    </row>
    <row r="10429">
      <c r="A10429" s="1">
        <v>3.0</v>
      </c>
      <c r="B10429" s="1" t="s">
        <v>10258</v>
      </c>
      <c r="C10429" t="str">
        <f>IFERROR(__xludf.DUMMYFUNCTION("GOOGLETRANSLATE(B10429, ""fr"", ""en"")"),"I expected better ... The vibration .. how to say it is in almost anything. The bubbles is the same. The rollers at the bottom, I thought his turn alone, but no, it is you who must make the move, so not terrible; more spades background I find it wrong .. "&amp;"if the temperature and correct hand if you're his feet too close to the water level marking its heated too much, burning limit. With its bubble splashes a can and if you put water moin I find that there is not enough. The stuff at mileux or you ask your s"&amp;"elf up for sanding, massage or fibrosis, it does not work well at all i try, you gallere serious, too tappuie its not tappuie moin Satourne turns and stops its opp - 'ok. But finally his right to be a blessing in disguise, because after a 60min session, I"&amp;"'m all sleepy feet, they are just relax and I'm also half-asleep. So good but half-disappointed I expected better especially for the price enorme! I would have known I would have taken less expensive for the same thing I think.")</f>
        <v>I expected better ... The vibration .. how to say it is in almost anything. The bubbles is the same. The rollers at the bottom, I thought his turn alone, but no, it is you who must make the move, so not terrible; more spades background I find it wrong .. if the temperature and correct hand if you're his feet too close to the water level marking its heated too much, burning limit. With its bubble splashes a can and if you put water moin I find that there is not enough. The stuff at mileux or you ask your self up for sanding, massage or fibrosis, it does not work well at all i try, you gallere serious, too tappuie its not tappuie moin Satourne turns and stops its opp - 'ok. But finally his right to be a blessing in disguise, because after a 60min session, I'm all sleepy feet, they are just relax and I'm also half-asleep. So good but half-disappointed I expected better especially for the price enorme! I would have known I would have taken less expensive for the same thing I think.</v>
      </c>
    </row>
    <row r="10430">
      <c r="A10430" s="1">
        <v>3.0</v>
      </c>
      <c r="B10430" s="1" t="s">
        <v>10259</v>
      </c>
      <c r="C10430" t="str">
        <f>IFERROR(__xludf.DUMMYFUNCTION("GOOGLETRANSLATE(B10430, ""fr"", ""en"")"),"Correct correct size but not very wide shoe not very flexible and uncomfortable during the first brief hours that is not a home MORZINE P ....... T")</f>
        <v>Correct correct size but not very wide shoe not very flexible and uncomfortable during the first brief hours that is not a home MORZINE P ....... T</v>
      </c>
    </row>
    <row r="10431">
      <c r="A10431" s="1">
        <v>4.0</v>
      </c>
      <c r="B10431" s="1" t="s">
        <v>10260</v>
      </c>
      <c r="C10431" t="str">
        <f>IFERROR(__xludf.DUMMYFUNCTION("GOOGLETRANSLATE(B10431, ""fr"", ""en"")"),"Bag Aolvo A little disappointed with the size smaller than I had thought")</f>
        <v>Bag Aolvo A little disappointed with the size smaller than I had thought</v>
      </c>
    </row>
    <row r="10432">
      <c r="A10432" s="1">
        <v>4.0</v>
      </c>
      <c r="B10432" s="1" t="s">
        <v>10261</v>
      </c>
      <c r="C10432" t="str">
        <f>IFERROR(__xludf.DUMMYFUNCTION("GOOGLETRANSLATE(B10432, ""fr"", ""en"")"),"Safety and aesthetics Fast delivery. I started an 39 for a size 38, perfect for my feet. Very light and pretty, they look like sneakers. Very comfortable to wear. Protects many feet with the hull. Belles same shoes if external finishes seem means to do in"&amp;" time but I am satisfied and recommend")</f>
        <v>Safety and aesthetics Fast delivery. I started an 39 for a size 38, perfect for my feet. Very light and pretty, they look like sneakers. Very comfortable to wear. Protects many feet with the hull. Belles same shoes if external finishes seem means to do in time but I am satisfied and recommend</v>
      </c>
    </row>
    <row r="10433">
      <c r="A10433" s="1">
        <v>4.0</v>
      </c>
      <c r="B10433" s="1" t="s">
        <v>10262</v>
      </c>
      <c r="C10433" t="str">
        <f>IFERROR(__xludf.DUMMYFUNCTION("GOOGLETRANSLATE(B10433, ""fr"", ""en"")"),"considering the price it is very good Good prduit overall I served chrono near the PC")</f>
        <v>considering the price it is very good Good prduit overall I served chrono near the PC</v>
      </c>
    </row>
    <row r="10434">
      <c r="A10434" s="1">
        <v>4.0</v>
      </c>
      <c r="B10434" s="1" t="s">
        <v>10263</v>
      </c>
      <c r="C10434" t="str">
        <f>IFERROR(__xludf.DUMMYFUNCTION("GOOGLETRANSLATE(B10434, ""fr"", ""en"")"),"Did the job Use in mobile home, not bad for the price.")</f>
        <v>Did the job Use in mobile home, not bad for the price.</v>
      </c>
    </row>
    <row r="10435">
      <c r="A10435" s="1">
        <v>5.0</v>
      </c>
      <c r="B10435" s="1" t="s">
        <v>10264</v>
      </c>
      <c r="C10435" t="str">
        <f>IFERROR(__xludf.DUMMYFUNCTION("GOOGLETRANSLATE(B10435, ""fr"", ""en"")"),"very good and suitable for use correct product and its use should")</f>
        <v>very good and suitable for use correct product and its use should</v>
      </c>
    </row>
    <row r="10436">
      <c r="A10436" s="1">
        <v>5.0</v>
      </c>
      <c r="B10436" s="1" t="s">
        <v>10265</v>
      </c>
      <c r="C10436" t="str">
        <f>IFERROR(__xludf.DUMMYFUNCTION("GOOGLETRANSLATE(B10436, ""fr"", ""en"")"),"Comfortable product conforms to my expectations, very good size, comfortable, good finishes. Impeccable!")</f>
        <v>Comfortable product conforms to my expectations, very good size, comfortable, good finishes. Impeccable!</v>
      </c>
    </row>
    <row r="10437">
      <c r="A10437" s="1">
        <v>5.0</v>
      </c>
      <c r="B10437" s="1" t="s">
        <v>10266</v>
      </c>
      <c r="C10437" t="str">
        <f>IFERROR(__xludf.DUMMYFUNCTION("GOOGLETRANSLATE(B10437, ""fr"", ""en"")"),"perfect Excellent👍")</f>
        <v>perfect Excellent👍</v>
      </c>
    </row>
    <row r="10438">
      <c r="A10438" s="1">
        <v>5.0</v>
      </c>
      <c r="B10438" s="1" t="s">
        <v>10267</v>
      </c>
      <c r="C10438" t="str">
        <f>IFERROR(__xludf.DUMMYFUNCTION("GOOGLETRANSLATE(B10438, ""fr"", ""en"")"),"good product I offered to a friend who is very satisfied.")</f>
        <v>good product I offered to a friend who is very satisfied.</v>
      </c>
    </row>
    <row r="10439">
      <c r="A10439" s="1">
        <v>5.0</v>
      </c>
      <c r="B10439" s="1" t="s">
        <v>10268</v>
      </c>
      <c r="C10439" t="str">
        <f>IFERROR(__xludf.DUMMYFUNCTION("GOOGLETRANSLATE(B10439, ""fr"", ""en"")"),"The Great item received is consistent with the description of the item purchased. I am served and I had no problem with.")</f>
        <v>The Great item received is consistent with the description of the item purchased. I am served and I had no problem with.</v>
      </c>
    </row>
    <row r="10440">
      <c r="A10440" s="1">
        <v>5.0</v>
      </c>
      <c r="B10440" s="1" t="s">
        <v>10269</v>
      </c>
      <c r="C10440" t="str">
        <f>IFERROR(__xludf.DUMMYFUNCTION("GOOGLETRANSLATE(B10440, ""fr"", ""en"")"),"Elegant perfect")</f>
        <v>Elegant perfect</v>
      </c>
    </row>
    <row r="10441">
      <c r="A10441" s="1">
        <v>5.0</v>
      </c>
      <c r="B10441" s="1" t="s">
        <v>10270</v>
      </c>
      <c r="C10441" t="str">
        <f>IFERROR(__xludf.DUMMYFUNCTION("GOOGLETRANSLATE(B10441, ""fr"", ""en"")"),"sock sochs delivered very quickly apparently good qualities perfect")</f>
        <v>sock sochs delivered very quickly apparently good qualities perfect</v>
      </c>
    </row>
    <row r="10442">
      <c r="A10442" s="1">
        <v>5.0</v>
      </c>
      <c r="B10442" s="1" t="s">
        <v>10271</v>
      </c>
      <c r="C10442" t="str">
        <f>IFERROR(__xludf.DUMMYFUNCTION("GOOGLETRANSLATE(B10442, ""fr"", ""en"")"),"Elegant and practical bag buy there is already 2 years old and in perfect condition toujour .this latter serves me ponctuelement attention any faith in this n format is not a pc bag ... even if lon can easily be transported or micro tablet pc")</f>
        <v>Elegant and practical bag buy there is already 2 years old and in perfect condition toujour .this latter serves me ponctuelement attention any faith in this n format is not a pc bag ... even if lon can easily be transported or micro tablet pc</v>
      </c>
    </row>
    <row r="10443">
      <c r="A10443" s="1">
        <v>5.0</v>
      </c>
      <c r="B10443" s="1" t="s">
        <v>10272</v>
      </c>
      <c r="C10443" t="str">
        <f>IFERROR(__xludf.DUMMYFUNCTION("GOOGLETRANSLATE(B10443, ""fr"", ""en"")"),"Excellent value Jogging")</f>
        <v>Excellent value Jogging</v>
      </c>
    </row>
    <row r="10444">
      <c r="A10444" s="1">
        <v>5.0</v>
      </c>
      <c r="B10444" s="1" t="s">
        <v>10273</v>
      </c>
      <c r="C10444" t="str">
        <f>IFERROR(__xludf.DUMMYFUNCTION("GOOGLETRANSLATE(B10444, ""fr"", ""en"")"),"Dickies Medway Safety Shoes Adult .. I put 5 stars because I just finally worked safely and above all not to have sore feet, after performing my work, they are super comfortable, and best of all is added a pair of spare laces, and I enjoyed. I bought this"&amp;" pair of shoes to replace a pair of Jallatte that made me very sore feet.")</f>
        <v>Dickies Medway Safety Shoes Adult .. I put 5 stars because I just finally worked safely and above all not to have sore feet, after performing my work, they are super comfortable, and best of all is added a pair of spare laces, and I enjoyed. I bought this pair of shoes to replace a pair of Jallatte that made me very sore feet.</v>
      </c>
    </row>
    <row r="10445">
      <c r="A10445" s="1">
        <v>5.0</v>
      </c>
      <c r="B10445" s="1" t="s">
        <v>10274</v>
      </c>
      <c r="C10445" t="str">
        <f>IFERROR(__xludf.DUMMYFUNCTION("GOOGLETRANSLATE(B10445, ""fr"", ""en"")"),"size of the well 37 This is my fifth identical pair ... need I say more")</f>
        <v>size of the well 37 This is my fifth identical pair ... need I say more</v>
      </c>
    </row>
    <row r="10446">
      <c r="A10446" s="1">
        <v>5.0</v>
      </c>
      <c r="B10446" s="1" t="s">
        <v>10275</v>
      </c>
      <c r="C10446" t="str">
        <f>IFERROR(__xludf.DUMMYFUNCTION("GOOGLETRANSLATE(B10446, ""fr"", ""en"")"),"Very good Some felt slippers that take very warm thanks to the wool inside. Friends chilly, this is for you. My father who worries cold feet, he is happy")</f>
        <v>Very good Some felt slippers that take very warm thanks to the wool inside. Friends chilly, this is for you. My father who worries cold feet, he is happy</v>
      </c>
    </row>
    <row r="10447">
      <c r="A10447" s="1">
        <v>5.0</v>
      </c>
      <c r="B10447" s="1" t="s">
        <v>10276</v>
      </c>
      <c r="C10447" t="str">
        <f>IFERROR(__xludf.DUMMYFUNCTION("GOOGLETRANSLATE(B10447, ""fr"", ""en"")"),"Necklace Very beautiful necklace! For over six months I have this jewel and always in good condition, I am delighted ☺")</f>
        <v>Necklace Very beautiful necklace! For over six months I have this jewel and always in good condition, I am delighted ☺</v>
      </c>
    </row>
    <row r="10448">
      <c r="A10448" s="1">
        <v>5.0</v>
      </c>
      <c r="B10448" s="1" t="s">
        <v>10277</v>
      </c>
      <c r="C10448" t="str">
        <f>IFERROR(__xludf.DUMMYFUNCTION("GOOGLETRANSLATE(B10448, ""fr"", ""en"")"),"Perfect These sneakers are just perfect! I like walking with slippers or even barefoot shoes are so comfortable, and I can very well use them to play sports.")</f>
        <v>Perfect These sneakers are just perfect! I like walking with slippers or even barefoot shoes are so comfortable, and I can very well use them to play sports.</v>
      </c>
    </row>
    <row r="10449">
      <c r="A10449" s="1">
        <v>5.0</v>
      </c>
      <c r="B10449" s="1" t="s">
        <v>10278</v>
      </c>
      <c r="C10449" t="str">
        <f>IFERROR(__xludf.DUMMYFUNCTION("GOOGLETRANSLATE(B10449, ""fr"", ""en"")"),"Basketball Super Basketball quality, ideal for all sports, perfectly adapted to your foot")</f>
        <v>Basketball Super Basketball quality, ideal for all sports, perfectly adapted to your foot</v>
      </c>
    </row>
    <row r="10450">
      <c r="A10450" s="1">
        <v>2.0</v>
      </c>
      <c r="B10450" s="1" t="s">
        <v>10279</v>
      </c>
      <c r="C10450" t="str">
        <f>IFERROR(__xludf.DUMMYFUNCTION("GOOGLETRANSLATE(B10450, ""fr"", ""en"")"),"Low price, quality at true endorsement price is interesting, but frankly the product is of very poor quality. I do not advise ...")</f>
        <v>Low price, quality at true endorsement price is interesting, but frankly the product is of very poor quality. I do not advise ...</v>
      </c>
    </row>
    <row r="10451">
      <c r="A10451" s="1">
        <v>1.0</v>
      </c>
      <c r="B10451" s="1" t="s">
        <v>10280</v>
      </c>
      <c r="C10451" t="str">
        <f>IFERROR(__xludf.DUMMYFUNCTION("GOOGLETRANSLATE(B10451, ""fr"", ""en"")"),"I do not recommend at all - Do not take well at all in the ears - no noise insulation - Sound is poor for headphones at this price point - The Bluetooth signal is very weak and does not pick up well short, I recommend not this. I thought I got a good deal"&amp;" on seeing 40 € instead of 120 € but it is clearly not over 20 €. The only positive I found it is the quality of the microphone that I find quite good.")</f>
        <v>I do not recommend at all - Do not take well at all in the ears - no noise insulation - Sound is poor for headphones at this price point - The Bluetooth signal is very weak and does not pick up well short, I recommend not this. I thought I got a good deal on seeing 40 € instead of 120 € but it is clearly not over 20 €. The only positive I found it is the quality of the microphone that I find quite good.</v>
      </c>
    </row>
    <row r="10452">
      <c r="A10452" s="1">
        <v>1.0</v>
      </c>
      <c r="B10452" s="1" t="s">
        <v>10281</v>
      </c>
      <c r="C10452" t="str">
        <f>IFERROR(__xludf.DUMMYFUNCTION("GOOGLETRANSLATE(B10452, ""fr"", ""en"")"),"No longer works To heat water quickly, East broke down after 6 weeks, it is only used 2 times a day")</f>
        <v>No longer works To heat water quickly, East broke down after 6 weeks, it is only used 2 times a day</v>
      </c>
    </row>
    <row r="10453">
      <c r="A10453" s="1">
        <v>3.0</v>
      </c>
      <c r="B10453" s="1" t="s">
        <v>10282</v>
      </c>
      <c r="C10453" t="str">
        <f>IFERROR(__xludf.DUMMYFUNCTION("GOOGLETRANSLATE(B10453, ""fr"", ""en"")"),"tecplast how it works with standard polypropylene Swiftpak, you have the explanation on how to use his intelligence thank you")</f>
        <v>tecplast how it works with standard polypropylene Swiftpak, you have the explanation on how to use his intelligence thank you</v>
      </c>
    </row>
    <row r="10454">
      <c r="A10454" s="1">
        <v>3.0</v>
      </c>
      <c r="B10454" s="1" t="s">
        <v>10283</v>
      </c>
      <c r="C10454" t="str">
        <f>IFERROR(__xludf.DUMMYFUNCTION("GOOGLETRANSLATE(B10454, ""fr"", ""en"")"),"tab tab abyss of basketball is decouds the unfortunate odds")</f>
        <v>tab tab abyss of basketball is decouds the unfortunate odds</v>
      </c>
    </row>
    <row r="10455">
      <c r="A10455" s="1">
        <v>4.0</v>
      </c>
      <c r="B10455" s="1" t="s">
        <v>10284</v>
      </c>
      <c r="C10455" t="str">
        <f>IFERROR(__xludf.DUMMYFUNCTION("GOOGLETRANSLATE(B10455, ""fr"", ""en"")"),"Goodyear Gyshu1503, Safety Shoes. Very good safety shoe, comfortable, convenient and fills their function. I have more off my shoes at security gates passages, finally !!! Only problem, the sole is not really made to withstand the extreme heat such as the"&amp;" hot tarmac, my job. I recommend without restraint")</f>
        <v>Goodyear Gyshu1503, Safety Shoes. Very good safety shoe, comfortable, convenient and fills their function. I have more off my shoes at security gates passages, finally !!! Only problem, the sole is not really made to withstand the extreme heat such as the hot tarmac, my job. I recommend without restraint</v>
      </c>
    </row>
    <row r="10456">
      <c r="A10456" s="1">
        <v>4.0</v>
      </c>
      <c r="B10456" s="1" t="s">
        <v>10285</v>
      </c>
      <c r="C10456" t="str">
        <f>IFERROR(__xludf.DUMMYFUNCTION("GOOGLETRANSLATE(B10456, ""fr"", ""en"")"),"Too hot if physical activity To connect on a treadmill and watch a movie Here a little hot after a while I will have to opt for a Earphones although less isolated from surrounding noise (Music zero fitness club)")</f>
        <v>Too hot if physical activity To connect on a treadmill and watch a movie Here a little hot after a while I will have to opt for a Earphones although less isolated from surrounding noise (Music zero fitness club)</v>
      </c>
    </row>
    <row r="10457">
      <c r="A10457" s="1">
        <v>4.0</v>
      </c>
      <c r="B10457" s="1" t="s">
        <v>10286</v>
      </c>
      <c r="C10457" t="str">
        <f>IFERROR(__xludf.DUMMYFUNCTION("GOOGLETRANSLATE(B10457, ""fr"", ""en"")"),"Great ! as average walking pnatoufles, shoes are comfortable and appropriate. I recommend")</f>
        <v>Great ! as average walking pnatoufles, shoes are comfortable and appropriate. I recommend</v>
      </c>
    </row>
    <row r="10458">
      <c r="A10458" s="1">
        <v>4.0</v>
      </c>
      <c r="B10458" s="1" t="s">
        <v>10287</v>
      </c>
      <c r="C10458" t="str">
        <f>IFERROR(__xludf.DUMMYFUNCTION("GOOGLETRANSLATE(B10458, ""fr"", ""en"")"),"Convenient My husband is delighted. He has a bag with lots of pockets .... it is no longer I who lugs around his business in my purse at last! Color is not top for my taste. ... But ca be to him, this is essential!")</f>
        <v>Convenient My husband is delighted. He has a bag with lots of pockets .... it is no longer I who lugs around his business in my purse at last! Color is not top for my taste. ... But ca be to him, this is essential!</v>
      </c>
    </row>
    <row r="10459">
      <c r="A10459" s="1">
        <v>5.0</v>
      </c>
      <c r="B10459" s="1" t="s">
        <v>10288</v>
      </c>
      <c r="C10459" t="str">
        <f>IFERROR(__xludf.DUMMYFUNCTION("GOOGLETRANSLATE(B10459, ""fr"", ""en"")"),"super awesome")</f>
        <v>super awesome</v>
      </c>
    </row>
    <row r="10460">
      <c r="A10460" s="1">
        <v>5.0</v>
      </c>
      <c r="B10460" s="1" t="s">
        <v>10289</v>
      </c>
      <c r="C10460" t="str">
        <f>IFERROR(__xludf.DUMMYFUNCTION("GOOGLETRANSLATE(B10460, ""fr"", ""en"")"),"carrier clock goes your way everything is in the title, shows elegant understated but eye-catching with its vintage made. dial 3.5 cm * 3.5 cm")</f>
        <v>carrier clock goes your way everything is in the title, shows elegant understated but eye-catching with its vintage made. dial 3.5 cm * 3.5 cm</v>
      </c>
    </row>
    <row r="10461">
      <c r="A10461" s="1">
        <v>5.0</v>
      </c>
      <c r="B10461" s="1" t="s">
        <v>10290</v>
      </c>
      <c r="C10461" t="str">
        <f>IFERROR(__xludf.DUMMYFUNCTION("GOOGLETRANSLATE(B10461, ""fr"", ""en"")"),"Very good buy No more wired headphones ... Really surprised by the quality of the product or the price I bought! Very easy to use, fits comfortably in the ear with his very good qualities. 8LS come with a small USB cable for storage box that also serves r"&amp;"echarger.une charger.")</f>
        <v>Very good buy No more wired headphones ... Really surprised by the quality of the product or the price I bought! Very easy to use, fits comfortably in the ear with his very good qualities. 8LS come with a small USB cable for storage box that also serves recharger.une charger.</v>
      </c>
    </row>
    <row r="10462">
      <c r="A10462" s="1">
        <v>5.0</v>
      </c>
      <c r="B10462" s="1" t="s">
        <v>10291</v>
      </c>
      <c r="C10462" t="str">
        <f>IFERROR(__xludf.DUMMYFUNCTION("GOOGLETRANSLATE(B10462, ""fr"", ""en"")"),"Well I'm glad to do my garden by law against it's too tough on the garden's greenhouse me well for my cloth bag and not moving thank you amazon")</f>
        <v>Well I'm glad to do my garden by law against it's too tough on the garden's greenhouse me well for my cloth bag and not moving thank you amazon</v>
      </c>
    </row>
    <row r="10463">
      <c r="A10463" s="1">
        <v>5.0</v>
      </c>
      <c r="B10463" s="1" t="s">
        <v>10292</v>
      </c>
      <c r="C10463" t="str">
        <f>IFERROR(__xludf.DUMMYFUNCTION("GOOGLETRANSLATE(B10463, ""fr"", ""en"")"),"Great product I am very satisfied very comfortable this is exactly the model I was looking for the perfect color just nothing wrong")</f>
        <v>Great product I am very satisfied very comfortable this is exactly the model I was looking for the perfect color just nothing wrong</v>
      </c>
    </row>
    <row r="10464">
      <c r="A10464" s="1">
        <v>5.0</v>
      </c>
      <c r="B10464" s="1" t="s">
        <v>10293</v>
      </c>
      <c r="C10464" t="str">
        <f>IFERROR(__xludf.DUMMYFUNCTION("GOOGLETRANSLATE(B10464, ""fr"", ""en"")"),"Lacoste shows the top 👍 beautiful simple and effective shows")</f>
        <v>Lacoste shows the top 👍 beautiful simple and effective shows</v>
      </c>
    </row>
    <row r="10465">
      <c r="A10465" s="1">
        <v>5.0</v>
      </c>
      <c r="B10465" s="1" t="s">
        <v>10294</v>
      </c>
      <c r="C10465" t="str">
        <f>IFERROR(__xludf.DUMMYFUNCTION("GOOGLETRANSLATE(B10465, ""fr"", ""en"")"),"T.O.P I used to skate and for the life of every day it's top, exactly like the photo nothing to say.")</f>
        <v>T.O.P I used to skate and for the life of every day it's top, exactly like the photo nothing to say.</v>
      </c>
    </row>
    <row r="10466">
      <c r="A10466" s="1">
        <v>5.0</v>
      </c>
      <c r="B10466" s="1" t="s">
        <v>10295</v>
      </c>
      <c r="C10466" t="str">
        <f>IFERROR(__xludf.DUMMYFUNCTION("GOOGLETRANSLATE(B10466, ""fr"", ""en"")"),"It sticks I used this product for making a screen outside on a PVC window on which we can pierce it takes no great I am so please")</f>
        <v>It sticks I used this product for making a screen outside on a PVC window on which we can pierce it takes no great I am so please</v>
      </c>
    </row>
    <row r="10467">
      <c r="A10467" s="1">
        <v>5.0</v>
      </c>
      <c r="B10467" s="1" t="s">
        <v>10296</v>
      </c>
      <c r="C10467" t="str">
        <f>IFERROR(__xludf.DUMMYFUNCTION("GOOGLETRANSLATE(B10467, ""fr"", ""en"")"),"Super good manufacturing these boots nothing else to say")</f>
        <v>Super good manufacturing these boots nothing else to say</v>
      </c>
    </row>
    <row r="10468">
      <c r="A10468" s="1">
        <v>5.0</v>
      </c>
      <c r="B10468" s="1" t="s">
        <v>10297</v>
      </c>
      <c r="C10468" t="str">
        <f>IFERROR(__xludf.DUMMYFUNCTION("GOOGLETRANSLATE(B10468, ""fr"", ""en"")"),"Product perfect I wanted a jacket that keeps well for a practice gym. It's done. The size is perfect.")</f>
        <v>Product perfect I wanted a jacket that keeps well for a practice gym. It's done. The size is perfect.</v>
      </c>
    </row>
    <row r="10469">
      <c r="A10469" s="1">
        <v>5.0</v>
      </c>
      <c r="B10469" s="1" t="s">
        <v>1547</v>
      </c>
      <c r="C10469" t="str">
        <f>IFERROR(__xludf.DUMMYFUNCTION("GOOGLETRANSLATE(B10469, ""fr"", ""en"")"),"Ras Ras")</f>
        <v>Ras Ras</v>
      </c>
    </row>
    <row r="10470">
      <c r="A10470" s="1">
        <v>5.0</v>
      </c>
      <c r="B10470" s="1" t="s">
        <v>10298</v>
      </c>
      <c r="C10470" t="str">
        <f>IFERROR(__xludf.DUMMYFUNCTION("GOOGLETRANSLATE(B10470, ""fr"", ""en"")"),"Superb J adore")</f>
        <v>Superb J adore</v>
      </c>
    </row>
    <row r="10471">
      <c r="A10471" s="1">
        <v>5.0</v>
      </c>
      <c r="B10471" s="1" t="s">
        <v>10299</v>
      </c>
      <c r="C10471" t="str">
        <f>IFERROR(__xludf.DUMMYFUNCTION("GOOGLETRANSLATE(B10471, ""fr"", ""en"")"),"Excellent photo paper Very good value for money. I just find that the colors are a bit dark. I use it on an HP Envy 4527 glossmeter Before I used a photo paper lambda brand, but my printer had trouble properly print on (offset printing). This HP photo pap"&amp;"er works as expected.")</f>
        <v>Excellent photo paper Very good value for money. I just find that the colors are a bit dark. I use it on an HP Envy 4527 glossmeter Before I used a photo paper lambda brand, but my printer had trouble properly print on (offset printing). This HP photo paper works as expected.</v>
      </c>
    </row>
    <row r="10472">
      <c r="A10472" s="1">
        <v>5.0</v>
      </c>
      <c r="B10472" s="1" t="s">
        <v>10300</v>
      </c>
      <c r="C10472" t="str">
        <f>IFERROR(__xludf.DUMMYFUNCTION("GOOGLETRANSLATE(B10472, ""fr"", ""en"")"),"Super great product very comfortable good buy eyes closed")</f>
        <v>Super great product very comfortable good buy eyes closed</v>
      </c>
    </row>
    <row r="10473">
      <c r="A10473" s="1">
        <v>5.0</v>
      </c>
      <c r="B10473" s="1" t="s">
        <v>10301</v>
      </c>
      <c r="C10473" t="str">
        <f>IFERROR(__xludf.DUMMYFUNCTION("GOOGLETRANSLATE(B10473, ""fr"", ""en"")"),"very good very good product I would buy if required. Send fast and quality product. Glue wonderfully photos and I can take off without damaging my photos. handy")</f>
        <v>very good very good product I would buy if required. Send fast and quality product. Glue wonderfully photos and I can take off without damaging my photos. handy</v>
      </c>
    </row>
    <row r="10474">
      <c r="A10474" s="1">
        <v>2.0</v>
      </c>
      <c r="B10474" s="1" t="s">
        <v>10302</v>
      </c>
      <c r="C10474" t="str">
        <f>IFERROR(__xludf.DUMMYFUNCTION("GOOGLETRANSLATE(B10474, ""fr"", ""en"")"),"Beware fake reviews for this product it is clear that most of the comments on this product is fake. Read them: ""I fell in love ..."" they are too good to be true and all include syntax errors impossible to do by a native French. Regarding the product, it"&amp;" is well designed and solid but first it does not heat because it is a simple red lights (as indicated on the box) and therefore the product description on Amazon is false and comments that status ""infrared"" false. Then the product looks like a jackhamm"&amp;"er and produces no real massage and although not too unpleasant effect on the time immediately cease. Finally, no relief. Also do not expect to lose cellulite with are indeed far too superficial. The only thing for which he offers a true Service is to san"&amp;"d the feet but as there is no possibility to have more sanding pads it will not serve long. I put two stars for strength. Device returned through Amazon. Thank you.")</f>
        <v>Beware fake reviews for this product it is clear that most of the comments on this product is fake. Read them: "I fell in love ..." they are too good to be true and all include syntax errors impossible to do by a native French. Regarding the product, it is well designed and solid but first it does not heat because it is a simple red lights (as indicated on the box) and therefore the product description on Amazon is false and comments that status "infrared" false. Then the product looks like a jackhammer and produces no real massage and although not too unpleasant effect on the time immediately cease. Finally, no relief. Also do not expect to lose cellulite with are indeed far too superficial. The only thing for which he offers a true Service is to sand the feet but as there is no possibility to have more sanding pads it will not serve long. I put two stars for strength. Device returned through Amazon. Thank you.</v>
      </c>
    </row>
    <row r="10475">
      <c r="A10475" s="1">
        <v>1.0</v>
      </c>
      <c r="B10475" s="1" t="s">
        <v>10303</v>
      </c>
      <c r="C10475" t="str">
        <f>IFERROR(__xludf.DUMMYFUNCTION("GOOGLETRANSLATE(B10475, ""fr"", ""en"")"),"Security insufficient food Poor quality at the level of food safety: plastic inside of the kettle (plastic filter!) in contact with the liquid to thereby heat an inner cord ...")</f>
        <v>Security insufficient food Poor quality at the level of food safety: plastic inside of the kettle (plastic filter!) in contact with the liquid to thereby heat an inner cord ...</v>
      </c>
    </row>
    <row r="10476">
      <c r="A10476" s="1">
        <v>1.0</v>
      </c>
      <c r="B10476" s="1" t="s">
        <v>10304</v>
      </c>
      <c r="C10476" t="str">
        <f>IFERROR(__xludf.DUMMYFUNCTION("GOOGLETRANSLATE(B10476, ""fr"", ""en"")"),"HP cartridge authentic certe yet denied by the printer hi puts impossible to use the ink cartridges received this morning the not recognize the printer and asks me to ready inserted another while the same old empty and accepted thank you to want to do wel"&amp;"l to reimbursement of ""knowing cartridges l of them has necessarily been opened caemr canneviere")</f>
        <v>HP cartridge authentic certe yet denied by the printer hi puts impossible to use the ink cartridges received this morning the not recognize the printer and asks me to ready inserted another while the same old empty and accepted thank you to want to do well to reimbursement of "knowing cartridges l of them has necessarily been opened caemr canneviere</v>
      </c>
    </row>
    <row r="10477">
      <c r="A10477" s="1">
        <v>3.0</v>
      </c>
      <c r="B10477" s="1" t="s">
        <v>10305</v>
      </c>
      <c r="C10477" t="str">
        <f>IFERROR(__xludf.DUMMYFUNCTION("GOOGLETRANSLATE(B10477, ""fr"", ""en"")"),"This loose connection hand cleaner is use on sofas, mattresses, carpets and other furnishings. It can suck dust and not crumbs, hair and other elements rather large. Indeed, it cleanses the tissues and mattresses through a filter and high suction. Althoug"&amp;"h noisy, it's nice to go: three colors are used to define the number of passes over the object. When finished sucking, the filter was vacuum to give a dusty clusters, very fine. I used this vacuum cleaner on my velvet sofa and I must admit that I could se"&amp;"e the difference with a traditional suction. The sofa is frankly less dusty and its color is more vivid! Same for the carpets, really it feels a deep cleaning. There is still a problem with the model I received: the outlet is not working well, it tends no"&amp;"t to hold up and it creates false contacts or it disconnects. It is very unpleasant and I do not think I can fix it ...")</f>
        <v>This loose connection hand cleaner is use on sofas, mattresses, carpets and other furnishings. It can suck dust and not crumbs, hair and other elements rather large. Indeed, it cleanses the tissues and mattresses through a filter and high suction. Although noisy, it's nice to go: three colors are used to define the number of passes over the object. When finished sucking, the filter was vacuum to give a dusty clusters, very fine. I used this vacuum cleaner on my velvet sofa and I must admit that I could see the difference with a traditional suction. The sofa is frankly less dusty and its color is more vivid! Same for the carpets, really it feels a deep cleaning. There is still a problem with the model I received: the outlet is not working well, it tends not to hold up and it creates false contacts or it disconnects. It is very unpleasant and I do not think I can fix it ...</v>
      </c>
    </row>
    <row r="10478">
      <c r="A10478" s="1">
        <v>4.0</v>
      </c>
      <c r="B10478" s="1" t="s">
        <v>10306</v>
      </c>
      <c r="C10478" t="str">
        <f>IFERROR(__xludf.DUMMYFUNCTION("GOOGLETRANSLATE(B10478, ""fr"", ""en"")"),"Dress woman Very nice article and value for money RAS")</f>
        <v>Dress woman Very nice article and value for money RAS</v>
      </c>
    </row>
    <row r="10479">
      <c r="A10479" s="1">
        <v>4.0</v>
      </c>
      <c r="B10479" s="1" t="s">
        <v>10307</v>
      </c>
      <c r="C10479" t="str">
        <f>IFERROR(__xludf.DUMMYFUNCTION("GOOGLETRANSLATE(B10479, ""fr"", ""en"")"),"Super nice ring ring I t he took for my 14 year old daughter and she was really happy Indentique has Received the photo in a beautiful box")</f>
        <v>Super nice ring ring I t he took for my 14 year old daughter and she was really happy Indentique has Received the photo in a beautiful box</v>
      </c>
    </row>
    <row r="10480">
      <c r="A10480" s="1">
        <v>4.0</v>
      </c>
      <c r="B10480" s="1" t="s">
        <v>10308</v>
      </c>
      <c r="C10480" t="str">
        <f>IFERROR(__xludf.DUMMYFUNCTION("GOOGLETRANSLATE(B10480, ""fr"", ""en"")"),"Good quality Satisfied with my purchase")</f>
        <v>Good quality Satisfied with my purchase</v>
      </c>
    </row>
    <row r="10481">
      <c r="A10481" s="1">
        <v>4.0</v>
      </c>
      <c r="B10481" s="1" t="s">
        <v>10309</v>
      </c>
      <c r="C10481" t="str">
        <f>IFERROR(__xludf.DUMMYFUNCTION("GOOGLETRANSLATE(B10481, ""fr"", ""en"")"),"Good product Excellent sound quality but my problem is the connection between the TV and the Freebox What's amazing that it captures from TV sound without the Freebox had to do a lot of maneuvers each time to connect Otherwise very satisfied product")</f>
        <v>Good product Excellent sound quality but my problem is the connection between the TV and the Freebox What's amazing that it captures from TV sound without the Freebox had to do a lot of maneuvers each time to connect Otherwise very satisfied product</v>
      </c>
    </row>
    <row r="10482">
      <c r="A10482" s="1">
        <v>5.0</v>
      </c>
      <c r="B10482" s="1" t="s">
        <v>10310</v>
      </c>
      <c r="C10482" t="str">
        <f>IFERROR(__xludf.DUMMYFUNCTION("GOOGLETRANSLATE(B10482, ""fr"", ""en"")"),"Total satisfaction personal use.")</f>
        <v>Total satisfaction personal use.</v>
      </c>
    </row>
    <row r="10483">
      <c r="A10483" s="1">
        <v>5.0</v>
      </c>
      <c r="B10483" s="1" t="s">
        <v>10311</v>
      </c>
      <c r="C10483" t="str">
        <f>IFERROR(__xludf.DUMMYFUNCTION("GOOGLETRANSLATE(B10483, ""fr"", ""en"")"),"Golf V ED30 Perfect in order to recover the original GPS antenna when installing a car stereo android")</f>
        <v>Golf V ED30 Perfect in order to recover the original GPS antenna when installing a car stereo android</v>
      </c>
    </row>
    <row r="10484">
      <c r="A10484" s="1">
        <v>5.0</v>
      </c>
      <c r="B10484" s="1" t="s">
        <v>10312</v>
      </c>
      <c r="C10484" t="str">
        <f>IFERROR(__xludf.DUMMYFUNCTION("GOOGLETRANSLATE(B10484, ""fr"", ""en"")"),"consistent with the description The felt works well. Must be actuated several times the mine to the product kind. A little annoying because sometimes being written must push the mine for more product. Overall good product, pretty colors. See over time if "&amp;"they want or not.")</f>
        <v>consistent with the description The felt works well. Must be actuated several times the mine to the product kind. A little annoying because sometimes being written must push the mine for more product. Overall good product, pretty colors. See over time if they want or not.</v>
      </c>
    </row>
    <row r="10485">
      <c r="A10485" s="1">
        <v>5.0</v>
      </c>
      <c r="B10485" s="1" t="s">
        <v>10313</v>
      </c>
      <c r="C10485" t="str">
        <f>IFERROR(__xludf.DUMMYFUNCTION("GOOGLETRANSLATE(B10485, ""fr"", ""en"")"),"Bracelet costly stones")</f>
        <v>Bracelet costly stones</v>
      </c>
    </row>
    <row r="10486">
      <c r="A10486" s="1">
        <v>5.0</v>
      </c>
      <c r="B10486" s="1" t="s">
        <v>10314</v>
      </c>
      <c r="C10486" t="str">
        <f>IFERROR(__xludf.DUMMYFUNCTION("GOOGLETRANSLATE(B10486, ""fr"", ""en"")"),"all satisfied")</f>
        <v>all satisfied</v>
      </c>
    </row>
    <row r="10487">
      <c r="A10487" s="1">
        <v>5.0</v>
      </c>
      <c r="B10487" s="1" t="s">
        <v>10315</v>
      </c>
      <c r="C10487" t="str">
        <f>IFERROR(__xludf.DUMMYFUNCTION("GOOGLETRANSLATE(B10487, ""fr"", ""en"")"),"handy tripod base to adjust the height and orientation of the microphone. Additionally the pack is very well supplied with equipment allowing to start with this micro inexpensive basics right!")</f>
        <v>handy tripod base to adjust the height and orientation of the microphone. Additionally the pack is very well supplied with equipment allowing to start with this micro inexpensive basics right!</v>
      </c>
    </row>
    <row r="10488">
      <c r="A10488" s="1">
        <v>5.0</v>
      </c>
      <c r="B10488" s="1" t="s">
        <v>10316</v>
      </c>
      <c r="C10488" t="str">
        <f>IFERROR(__xludf.DUMMYFUNCTION("GOOGLETRANSLATE(B10488, ""fr"", ""en"")"),"super good purchase fast delivery cheap and okay I recommend")</f>
        <v>super good purchase fast delivery cheap and okay I recommend</v>
      </c>
    </row>
    <row r="10489">
      <c r="A10489" s="1">
        <v>5.0</v>
      </c>
      <c r="B10489" s="1" t="s">
        <v>10317</v>
      </c>
      <c r="C10489" t="str">
        <f>IFERROR(__xludf.DUMMYFUNCTION("GOOGLETRANSLATE(B10489, ""fr"", ""en"")"),"Perfect Headphones are comfortable, easy to install, good sound. The load carrier is super convenient. I recommend this product")</f>
        <v>Perfect Headphones are comfortable, easy to install, good sound. The load carrier is super convenient. I recommend this product</v>
      </c>
    </row>
    <row r="10490">
      <c r="A10490" s="1">
        <v>5.0</v>
      </c>
      <c r="B10490" s="1" t="s">
        <v>10318</v>
      </c>
      <c r="C10490" t="str">
        <f>IFERROR(__xludf.DUMMYFUNCTION("GOOGLETRANSLATE(B10490, ""fr"", ""en"")"),"Practice Practice and solid, perfect for the assault or travel, soft colors")</f>
        <v>Practice Practice and solid, perfect for the assault or travel, soft colors</v>
      </c>
    </row>
    <row r="10491">
      <c r="A10491" s="1">
        <v>5.0</v>
      </c>
      <c r="B10491" s="1" t="s">
        <v>10319</v>
      </c>
      <c r="C10491" t="str">
        <f>IFERROR(__xludf.DUMMYFUNCTION("GOOGLETRANSLATE(B10491, ""fr"", ""en"")"),"a beautiful quality materials for this pair of the earrings are of very good quality and there is a very good record")</f>
        <v>a beautiful quality materials for this pair of the earrings are of very good quality and there is a very good record</v>
      </c>
    </row>
    <row r="10492">
      <c r="A10492" s="1">
        <v>5.0</v>
      </c>
      <c r="B10492" s="1" t="s">
        <v>10320</v>
      </c>
      <c r="C10492" t="str">
        <f>IFERROR(__xludf.DUMMYFUNCTION("GOOGLETRANSLATE(B10492, ""fr"", ""en"")"),"My favorite The MAM bottles that I use for my first child! Never disappointed! Shape perfect nipple. Unscrewing the bottom for cleaning nickel.")</f>
        <v>My favorite The MAM bottles that I use for my first child! Never disappointed! Shape perfect nipple. Unscrewing the bottom for cleaning nickel.</v>
      </c>
    </row>
    <row r="10493">
      <c r="A10493" s="1">
        <v>5.0</v>
      </c>
      <c r="B10493" s="1" t="s">
        <v>10321</v>
      </c>
      <c r="C10493" t="str">
        <f>IFERROR(__xludf.DUMMYFUNCTION("GOOGLETRANSLATE(B10493, ""fr"", ""en"")"),"Top comfortable shoes.")</f>
        <v>Top comfortable shoes.</v>
      </c>
    </row>
    <row r="10494">
      <c r="A10494" s="1">
        <v>5.0</v>
      </c>
      <c r="B10494" s="1" t="s">
        <v>10322</v>
      </c>
      <c r="C10494" t="str">
        <f>IFERROR(__xludf.DUMMYFUNCTION("GOOGLETRANSLATE(B10494, ""fr"", ""en"")"),"Shows class shows pretty stylish")</f>
        <v>Shows class shows pretty stylish</v>
      </c>
    </row>
    <row r="10495">
      <c r="A10495" s="1">
        <v>5.0</v>
      </c>
      <c r="B10495" s="1" t="s">
        <v>10323</v>
      </c>
      <c r="C10495" t="str">
        <f>IFERROR(__xludf.DUMMYFUNCTION("GOOGLETRANSLATE(B10495, ""fr"", ""en"")"),"Perfect fully matches the description chic and sober product of good quality, I recommend, for an overview elagante")</f>
        <v>Perfect fully matches the description chic and sober product of good quality, I recommend, for an overview elagante</v>
      </c>
    </row>
    <row r="10496">
      <c r="A10496" s="1">
        <v>5.0</v>
      </c>
      <c r="B10496" s="1" t="s">
        <v>10324</v>
      </c>
      <c r="C10496" t="str">
        <f>IFERROR(__xludf.DUMMYFUNCTION("GOOGLETRANSLATE(B10496, ""fr"", ""en"")"),"Kettle very design this gift rained a lot and serves daily")</f>
        <v>Kettle very design this gift rained a lot and serves daily</v>
      </c>
    </row>
    <row r="10497">
      <c r="A10497" s="1">
        <v>2.0</v>
      </c>
      <c r="B10497" s="1" t="s">
        <v>10325</v>
      </c>
      <c r="C10497" t="str">
        <f>IFERROR(__xludf.DUMMYFUNCTION("GOOGLETRANSLATE(B10497, ""fr"", ""en"")"),"wingsLove support fitness throat disappointed you notice that this is a high intensity, I'm sorry, I do mini trampoline fitness and it really keeps enough, perhaps for small breasts but to others I recommend")</f>
        <v>wingsLove support fitness throat disappointed you notice that this is a high intensity, I'm sorry, I do mini trampoline fitness and it really keeps enough, perhaps for small breasts but to others I recommend</v>
      </c>
    </row>
    <row r="10498">
      <c r="A10498" s="1">
        <v>1.0</v>
      </c>
      <c r="B10498" s="1" t="s">
        <v>10326</v>
      </c>
      <c r="C10498" t="str">
        <f>IFERROR(__xludf.DUMMYFUNCTION("GOOGLETRANSLATE(B10498, ""fr"", ""en"")"),"The product does not work I have used this product in my apartment to kill cockroaches and bedbugs It did not work at all yet I've used 4 simultaneously. I am very disappointed.")</f>
        <v>The product does not work I have used this product in my apartment to kill cockroaches and bedbugs It did not work at all yet I've used 4 simultaneously. I am very disappointed.</v>
      </c>
    </row>
    <row r="10499">
      <c r="A10499" s="1">
        <v>3.0</v>
      </c>
      <c r="B10499" s="1" t="s">
        <v>10327</v>
      </c>
      <c r="C10499" t="str">
        <f>IFERROR(__xludf.DUMMYFUNCTION("GOOGLETRANSLATE(B10499, ""fr"", ""en"")"),"decent price and decent finish but ... Good mouth nice blue light practice White for not see the limestone encrusted with time, but the real problem is the lifetime of the beast! bought late October 2012 she began to fall apart! the lid is split in two th"&amp;"is evening, it still firm but for how long? Well at least it does not cost very expensive to replace but once again we can see that nothing lasts today (and this is not the model 70 € which say otherwise ...) I would buy it term model despite these flaws!")</f>
        <v>decent price and decent finish but ... Good mouth nice blue light practice White for not see the limestone encrusted with time, but the real problem is the lifetime of the beast! bought late October 2012 she began to fall apart! the lid is split in two this evening, it still firm but for how long? Well at least it does not cost very expensive to replace but once again we can see that nothing lasts today (and this is not the model 70 € which say otherwise ...) I would buy it term model despite these flaws!</v>
      </c>
    </row>
    <row r="10500">
      <c r="A10500" s="1">
        <v>3.0</v>
      </c>
      <c r="B10500" s="1" t="s">
        <v>10328</v>
      </c>
      <c r="C10500" t="str">
        <f>IFERROR(__xludf.DUMMYFUNCTION("GOOGLETRANSLATE(B10500, ""fr"", ""en"")"),"means maintaining good control with ... measures ... but misleading photos because for a strong chest is a little .. just underneath this jacket sport is already distorted ... it's a shame it's comfortable ... . but with measures that do not match .... I "&amp;"would not recommend for 62 euros is too expensive")</f>
        <v>means maintaining good control with ... measures ... but misleading photos because for a strong chest is a little .. just underneath this jacket sport is already distorted ... it's a shame it's comfortable ... . but with measures that do not match .... I would not recommend for 62 euros is too expensive</v>
      </c>
    </row>
    <row r="10501">
      <c r="A10501" s="1">
        <v>4.0</v>
      </c>
      <c r="B10501" s="1" t="s">
        <v>10329</v>
      </c>
      <c r="C10501" t="str">
        <f>IFERROR(__xludf.DUMMYFUNCTION("GOOGLETRANSLATE(B10501, ""fr"", ""en"")"),"Top A very cute necklace that is doing well for all occasions. I do not know how long it will last, but for now it's great!")</f>
        <v>Top A very cute necklace that is doing well for all occasions. I do not know how long it will last, but for now it's great!</v>
      </c>
    </row>
    <row r="10502">
      <c r="A10502" s="1">
        <v>4.0</v>
      </c>
      <c r="B10502" s="1" t="s">
        <v>10330</v>
      </c>
      <c r="C10502" t="str">
        <f>IFERROR(__xludf.DUMMYFUNCTION("GOOGLETRANSLATE(B10502, ""fr"", ""en"")"),"I can not do without me well made product. effective and varied massage. Not too noisy. A little limit to mount it on my office chair. I should buy one that massages the neck.")</f>
        <v>I can not do without me well made product. effective and varied massage. Not too noisy. A little limit to mount it on my office chair. I should buy one that massages the neck.</v>
      </c>
    </row>
    <row r="10503">
      <c r="A10503" s="1">
        <v>4.0</v>
      </c>
      <c r="B10503" s="1" t="s">
        <v>10331</v>
      </c>
      <c r="C10503" t="str">
        <f>IFERROR(__xludf.DUMMYFUNCTION("GOOGLETRANSLATE(B10503, ""fr"", ""en"")"),"The Butt has it's place is your desk J'adore! It looks exactly like the picture and has already had great success with my colleagues :) Just part pencil holder that is a little too small for my taste. For the rest it's great!")</f>
        <v>The Butt has it's place is your desk J'adore! It looks exactly like the picture and has already had great success with my colleagues :) Just part pencil holder that is a little too small for my taste. For the rest it's great!</v>
      </c>
    </row>
    <row r="10504">
      <c r="A10504" s="1">
        <v>4.0</v>
      </c>
      <c r="B10504" s="1" t="s">
        <v>10332</v>
      </c>
      <c r="C10504" t="str">
        <f>IFERROR(__xludf.DUMMYFUNCTION("GOOGLETRANSLATE(B10504, ""fr"", ""en"")"),"Great!!!!!! Great!!!!!")</f>
        <v>Great!!!!!! Great!!!!!</v>
      </c>
    </row>
    <row r="10505">
      <c r="A10505" s="1">
        <v>4.0</v>
      </c>
      <c r="B10505" s="1" t="s">
        <v>10333</v>
      </c>
      <c r="C10505" t="str">
        <f>IFERROR(__xludf.DUMMYFUNCTION("GOOGLETRANSLATE(B10505, ""fr"", ""en"")"),"Beautiful but ... The size and perfect but the sweater and a little top heavy")</f>
        <v>Beautiful but ... The size and perfect but the sweater and a little top heavy</v>
      </c>
    </row>
    <row r="10506">
      <c r="A10506" s="1">
        <v>5.0</v>
      </c>
      <c r="B10506" s="1" t="s">
        <v>10334</v>
      </c>
      <c r="C10506" t="str">
        <f>IFERROR(__xludf.DUMMYFUNCTION("GOOGLETRANSLATE(B10506, ""fr"", ""en"")"),"Perfect No more hassle of gift wrap. I finally found a consistent length roll. All my Christmas gifts are packed in the same way (after all Father Christmas is not amused to change paper gifts to each packet). No more juggling bits or large piece of paper"&amp;". I've had enough for a while. As against the size of the outbox from the roller was ""slightly"" disproportionate.")</f>
        <v>Perfect No more hassle of gift wrap. I finally found a consistent length roll. All my Christmas gifts are packed in the same way (after all Father Christmas is not amused to change paper gifts to each packet). No more juggling bits or large piece of paper. I've had enough for a while. As against the size of the outbox from the roller was "slightly" disproportionate.</v>
      </c>
    </row>
    <row r="10507">
      <c r="A10507" s="1">
        <v>5.0</v>
      </c>
      <c r="B10507" s="1" t="s">
        <v>10335</v>
      </c>
      <c r="C10507" t="str">
        <f>IFERROR(__xludf.DUMMYFUNCTION("GOOGLETRANSLATE(B10507, ""fr"", ""en"")"),"Parire Simply beautiful !!!")</f>
        <v>Parire Simply beautiful !!!</v>
      </c>
    </row>
    <row r="10508">
      <c r="A10508" s="1">
        <v>5.0</v>
      </c>
      <c r="B10508" s="1" t="s">
        <v>10336</v>
      </c>
      <c r="C10508" t="str">
        <f>IFERROR(__xludf.DUMMYFUNCTION("GOOGLETRANSLATE(B10508, ""fr"", ""en"")"),"Perfect Very good bottle, pacifier 2 very well for thick milk. The setting looks works very well.")</f>
        <v>Perfect Very good bottle, pacifier 2 very well for thick milk. The setting looks works very well.</v>
      </c>
    </row>
    <row r="10509">
      <c r="A10509" s="1">
        <v>5.0</v>
      </c>
      <c r="B10509" s="1" t="s">
        <v>10337</v>
      </c>
      <c r="C10509" t="str">
        <f>IFERROR(__xludf.DUMMYFUNCTION("GOOGLETRANSLATE(B10509, ""fr"", ""en"")"),"Good a nice classic t! qui tough to find nowdays in this world and above all classics are the best!")</f>
        <v>Good a nice classic t! qui tough to find nowdays in this world and above all classics are the best!</v>
      </c>
    </row>
    <row r="10510">
      <c r="A10510" s="1">
        <v>5.0</v>
      </c>
      <c r="B10510" s="1" t="s">
        <v>10338</v>
      </c>
      <c r="C10510" t="str">
        <f>IFERROR(__xludf.DUMMYFUNCTION("GOOGLETRANSLATE(B10510, ""fr"", ""en"")"),"Aspire well Perfect for carpet against the filter gets dirty very quickly we must have 2 to be able to juggle")</f>
        <v>Aspire well Perfect for carpet against the filter gets dirty very quickly we must have 2 to be able to juggle</v>
      </c>
    </row>
    <row r="10511">
      <c r="A10511" s="1">
        <v>5.0</v>
      </c>
      <c r="B10511" s="1" t="s">
        <v>10339</v>
      </c>
      <c r="C10511" t="str">
        <f>IFERROR(__xludf.DUMMYFUNCTION("GOOGLETRANSLATE(B10511, ""fr"", ""en"")"),"Perfect Pleasantly surprised by this super pretty box. Just open the box, a wonderful smell s releases there. J am looking forward to try them all.")</f>
        <v>Perfect Pleasantly surprised by this super pretty box. Just open the box, a wonderful smell s releases there. J am looking forward to try them all.</v>
      </c>
    </row>
    <row r="10512">
      <c r="A10512" s="1">
        <v>5.0</v>
      </c>
      <c r="B10512" s="1" t="s">
        <v>10340</v>
      </c>
      <c r="C10512" t="str">
        <f>IFERROR(__xludf.DUMMYFUNCTION("GOOGLETRANSLATE(B10512, ""fr"", ""en"")"),"The only pacifier nipple accepted accepted by breastfed my daughter who refused the bottle. It passes easily from breast to bottle now.")</f>
        <v>The only pacifier nipple accepted accepted by breastfed my daughter who refused the bottle. It passes easily from breast to bottle now.</v>
      </c>
    </row>
    <row r="10513">
      <c r="A10513" s="1">
        <v>5.0</v>
      </c>
      <c r="B10513" s="1" t="s">
        <v>10341</v>
      </c>
      <c r="C10513" t="str">
        <f>IFERROR(__xludf.DUMMYFUNCTION("GOOGLETRANSLATE(B10513, ""fr"", ""en"")"),"Done well this why we buy windscreen This prevents capture some of the ambient noise, the soufflements and another, it is big enough without being bulky.")</f>
        <v>Done well this why we buy windscreen This prevents capture some of the ambient noise, the soufflements and another, it is big enough without being bulky.</v>
      </c>
    </row>
    <row r="10514">
      <c r="A10514" s="1">
        <v>5.0</v>
      </c>
      <c r="B10514" s="1" t="s">
        <v>10342</v>
      </c>
      <c r="C10514" t="str">
        <f>IFERROR(__xludf.DUMMYFUNCTION("GOOGLETRANSLATE(B10514, ""fr"", ""en"")"),"Simple and effective embossed fabric very nice")</f>
        <v>Simple and effective embossed fabric very nice</v>
      </c>
    </row>
    <row r="10515">
      <c r="A10515" s="1">
        <v>5.0</v>
      </c>
      <c r="B10515" s="1" t="s">
        <v>10343</v>
      </c>
      <c r="C10515" t="str">
        <f>IFERROR(__xludf.DUMMYFUNCTION("GOOGLETRANSLATE(B10515, ""fr"", ""en"")"),"Practice these headsets arrived quickly and perfectly protected in their packaging. They can operate independently or in stereo. simply remove their charging case simultaneously and only accept L to make them in stereo. if the take away one after the othe"&amp;"r, spaced 5 seconds or more, they will be independent. The design is perfect. Nice not having to wire and nice to switch to telephone communications easily.")</f>
        <v>Practice these headsets arrived quickly and perfectly protected in their packaging. They can operate independently or in stereo. simply remove their charging case simultaneously and only accept L to make them in stereo. if the take away one after the other, spaced 5 seconds or more, they will be independent. The design is perfect. Nice not having to wire and nice to switch to telephone communications easily.</v>
      </c>
    </row>
    <row r="10516">
      <c r="A10516" s="1">
        <v>5.0</v>
      </c>
      <c r="B10516" s="1" t="s">
        <v>10344</v>
      </c>
      <c r="C10516" t="str">
        <f>IFERROR(__xludf.DUMMYFUNCTION("GOOGLETRANSLATE(B10516, ""fr"", ""en"")"),"Quick livrasion good product ... I use every day to strengthen the muscles of my hip ... I recomande")</f>
        <v>Quick livrasion good product ... I use every day to strengthen the muscles of my hip ... I recomande</v>
      </c>
    </row>
    <row r="10517">
      <c r="A10517" s="1">
        <v>5.0</v>
      </c>
      <c r="B10517" s="1" t="s">
        <v>10345</v>
      </c>
      <c r="C10517" t="str">
        <f>IFERROR(__xludf.DUMMYFUNCTION("GOOGLETRANSLATE(B10517, ""fr"", ""en"")"),"Russell Hobbs coffee commissioned soon, soon received, this coffee maker with a retro design and trend goes well with all cooking styles. First of all, thank Amazon for ultra fast delivery. For the first time, it is important, as indicated in the notice, "&amp;"to turn the coffee maker by filling water up without coffee, to clean the system after that it will be functional. Silent, she manages perfectly the flavor you enjoy its use for years but remember the descaling once a month to maintain its effectiveness.")</f>
        <v>Russell Hobbs coffee commissioned soon, soon received, this coffee maker with a retro design and trend goes well with all cooking styles. First of all, thank Amazon for ultra fast delivery. For the first time, it is important, as indicated in the notice, to turn the coffee maker by filling water up without coffee, to clean the system after that it will be functional. Silent, she manages perfectly the flavor you enjoy its use for years but remember the descaling once a month to maintain its effectiveness.</v>
      </c>
    </row>
    <row r="10518">
      <c r="A10518" s="1">
        <v>5.0</v>
      </c>
      <c r="B10518" s="1" t="s">
        <v>10346</v>
      </c>
      <c r="C10518" t="str">
        <f>IFERROR(__xludf.DUMMYFUNCTION("GOOGLETRANSLATE(B10518, ""fr"", ""en"")"),"I love super comfortable shoes, I recommend the eyes closed! Size normally.")</f>
        <v>I love super comfortable shoes, I recommend the eyes closed! Size normally.</v>
      </c>
    </row>
    <row r="10519">
      <c r="A10519" s="1">
        <v>5.0</v>
      </c>
      <c r="B10519" s="1" t="s">
        <v>10347</v>
      </c>
      <c r="C10519" t="str">
        <f>IFERROR(__xludf.DUMMYFUNCTION("GOOGLETRANSLATE(B10519, ""fr"", ""en"")"),"Bluetooth headset Very satisfied very good behavior during his walks correct and good quality for the price nothing to add")</f>
        <v>Bluetooth headset Very satisfied very good behavior during his walks correct and good quality for the price nothing to add</v>
      </c>
    </row>
    <row r="10520">
      <c r="A10520" s="1">
        <v>5.0</v>
      </c>
      <c r="B10520" s="1" t="s">
        <v>10348</v>
      </c>
      <c r="C10520" t="str">
        <f>IFERROR(__xludf.DUMMYFUNCTION("GOOGLETRANSLATE(B10520, ""fr"", ""en"")"),"Perfect Perfect for parties and evenings with friends pajamas for children")</f>
        <v>Perfect Perfect for parties and evenings with friends pajamas for children</v>
      </c>
    </row>
    <row r="10521">
      <c r="A10521" s="1">
        <v>2.0</v>
      </c>
      <c r="B10521" s="1" t="s">
        <v>10349</v>
      </c>
      <c r="C10521" t="str">
        <f>IFERROR(__xludf.DUMMYFUNCTION("GOOGLETRANSLATE(B10521, ""fr"", ""en"")"),"Size does not match the ordered Very nice shoe but what a pity that size does not correspond to that requested. Lack of seriousness in my opinion ...")</f>
        <v>Size does not match the ordered Very nice shoe but what a pity that size does not correspond to that requested. Lack of seriousness in my opinion ...</v>
      </c>
    </row>
    <row r="10522">
      <c r="A10522" s="1">
        <v>1.0</v>
      </c>
      <c r="B10522" s="1" t="s">
        <v>10350</v>
      </c>
      <c r="C10522" t="str">
        <f>IFERROR(__xludf.DUMMYFUNCTION("GOOGLETRANSLATE(B10522, ""fr"", ""en"")"),"NUL is no power even to 3 there is very little heat I tried to return the product. and I am told that this is not possible.")</f>
        <v>NUL is no power even to 3 there is very little heat I tried to return the product. and I am told that this is not possible.</v>
      </c>
    </row>
    <row r="10523">
      <c r="A10523" s="1">
        <v>1.0</v>
      </c>
      <c r="B10523" s="1" t="s">
        <v>10351</v>
      </c>
      <c r="C10523" t="str">
        <f>IFERROR(__xludf.DUMMYFUNCTION("GOOGLETRANSLATE(B10523, ""fr"", ""en"")"),"Not compliant Not compliant to the picture, back swimmer fixed (sewn), impossible to put")</f>
        <v>Not compliant Not compliant to the picture, back swimmer fixed (sewn), impossible to put</v>
      </c>
    </row>
    <row r="10524">
      <c r="A10524" s="1">
        <v>3.0</v>
      </c>
      <c r="B10524" s="1" t="s">
        <v>10352</v>
      </c>
      <c r="C10524" t="str">
        <f>IFERROR(__xludf.DUMMYFUNCTION("GOOGLETRANSLATE(B10524, ""fr"", ""en"")"),"RAS Well ... all is well, that's what the PQ :-) and no, I am told that 12 missing words in my post to post my comment, it's done!")</f>
        <v>RAS Well ... all is well, that's what the PQ :-) and no, I am told that 12 missing words in my post to post my comment, it's done!</v>
      </c>
    </row>
    <row r="10525">
      <c r="A10525" s="1">
        <v>3.0</v>
      </c>
      <c r="B10525" s="1" t="s">
        <v>10353</v>
      </c>
      <c r="C10525" t="str">
        <f>IFERROR(__xludf.DUMMYFUNCTION("GOOGLETRANSLATE(B10525, ""fr"", ""en"")"),"Nice teapot Glass Teapot with its stainless steel filter super nice to put on a table for tea or herbal tea. Unfortunately the joint does not withstand the slipcase cover. It ends not crack. I hope it will still take a few years due to daily use but I dou"&amp;"bt it!")</f>
        <v>Nice teapot Glass Teapot with its stainless steel filter super nice to put on a table for tea or herbal tea. Unfortunately the joint does not withstand the slipcase cover. It ends not crack. I hope it will still take a few years due to daily use but I doubt it!</v>
      </c>
    </row>
    <row r="10526">
      <c r="A10526" s="1">
        <v>4.0</v>
      </c>
      <c r="B10526" s="1" t="s">
        <v>10354</v>
      </c>
      <c r="C10526" t="str">
        <f>IFERROR(__xludf.DUMMYFUNCTION("GOOGLETRANSLATE(B10526, ""fr"", ""en"")"),"Very good sound, RBA perfectible acute Overall this is a very good helmet. It is crammed with touch features which greatly facilitates its use and the sound is very good (better than the QC35 bose for me) the only negative is the noise reduction: it atten"&amp;"uates very low frequencies and thuds (washing machine spin cycle, car or public transportation, ventilation) but still a lot of progress to make in terms of voices and sounds more acute It still remains a very good premium quality headphones with Sennheis"&amp;"er . Purchased balance for € 250, it's a deal")</f>
        <v>Very good sound, RBA perfectible acute Overall this is a very good helmet. It is crammed with touch features which greatly facilitates its use and the sound is very good (better than the QC35 bose for me) the only negative is the noise reduction: it attenuates very low frequencies and thuds (washing machine spin cycle, car or public transportation, ventilation) but still a lot of progress to make in terms of voices and sounds more acute It still remains a very good premium quality headphones with Sennheiser . Purchased balance for € 250, it's a deal</v>
      </c>
    </row>
    <row r="10527">
      <c r="A10527" s="1">
        <v>4.0</v>
      </c>
      <c r="B10527" s="1" t="s">
        <v>10355</v>
      </c>
      <c r="C10527" t="str">
        <f>IFERROR(__xludf.DUMMYFUNCTION("GOOGLETRANSLATE(B10527, ""fr"", ""en"")"),"Good value practice, I use it in the office. That's still noise that bothers a little to the office.")</f>
        <v>Good value practice, I use it in the office. That's still noise that bothers a little to the office.</v>
      </c>
    </row>
    <row r="10528">
      <c r="A10528" s="1">
        <v>4.0</v>
      </c>
      <c r="B10528" s="1" t="s">
        <v>10356</v>
      </c>
      <c r="C10528" t="str">
        <f>IFERROR(__xludf.DUMMYFUNCTION("GOOGLETRANSLATE(B10528, ""fr"", ""en"")"),"Careless but to recommend the product complies with the photo and well protected by plastic. The problem was this command: - First, the delay of the order (5 days) - secondly, the box of the watch that was damaged it is not great to offer .... Otherwise, "&amp;"the product itself to recommend")</f>
        <v>Careless but to recommend the product complies with the photo and well protected by plastic. The problem was this command: - First, the delay of the order (5 days) - secondly, the box of the watch that was damaged it is not great to offer .... Otherwise, the product itself to recommend</v>
      </c>
    </row>
    <row r="10529">
      <c r="A10529" s="1">
        <v>4.0</v>
      </c>
      <c r="B10529" s="1" t="s">
        <v>10357</v>
      </c>
      <c r="C10529" t="str">
        <f>IFERROR(__xludf.DUMMYFUNCTION("GOOGLETRANSLATE(B10529, ""fr"", ""en"")"),"Good shoes for a reasonable price Ideal as a city shoe for summer. At first they must adapt to the foot")</f>
        <v>Good shoes for a reasonable price Ideal as a city shoe for summer. At first they must adapt to the foot</v>
      </c>
    </row>
    <row r="10530">
      <c r="A10530" s="1">
        <v>5.0</v>
      </c>
      <c r="B10530" s="1" t="s">
        <v>10358</v>
      </c>
      <c r="C10530" t="str">
        <f>IFERROR(__xludf.DUMMYFUNCTION("GOOGLETRANSLATE(B10530, ""fr"", ""en"")"),"Excelent product very happy with this purchase!")</f>
        <v>Excelent product very happy with this purchase!</v>
      </c>
    </row>
    <row r="10531">
      <c r="A10531" s="1">
        <v>5.0</v>
      </c>
      <c r="B10531" s="1" t="s">
        <v>10359</v>
      </c>
      <c r="C10531" t="str">
        <f>IFERROR(__xludf.DUMMYFUNCTION("GOOGLETRANSLATE(B10531, ""fr"", ""en"")"),"Fabulous ! Just awesome ! These pens are highly washable, not dry even when you lose the cap some time and they have nice bright colors. The short mine helps make points even pressing hard without damaging the felt. My 2 year old son uses them for 6 month"&amp;"s without care and they resist perfectly. For washable side, my son tested them on the table, floor, her sweaters, pants, sweatshirt and of course on him, face and hands, and with just a little water is always left in a wink eye, magic! In short, these ar"&amp;"e felt to have!")</f>
        <v>Fabulous ! Just awesome ! These pens are highly washable, not dry even when you lose the cap some time and they have nice bright colors. The short mine helps make points even pressing hard without damaging the felt. My 2 year old son uses them for 6 months without care and they resist perfectly. For washable side, my son tested them on the table, floor, her sweaters, pants, sweatshirt and of course on him, face and hands, and with just a little water is always left in a wink eye, magic! In short, these are felt to have!</v>
      </c>
    </row>
    <row r="10532">
      <c r="A10532" s="1">
        <v>5.0</v>
      </c>
      <c r="B10532" s="1" t="s">
        <v>10360</v>
      </c>
      <c r="C10532" t="str">
        <f>IFERROR(__xludf.DUMMYFUNCTION("GOOGLETRANSLATE(B10532, ""fr"", ""en"")"),"Calculator entry into 6th A good calculator that corresponds to the model requested by mathematics teachers for 6th graders and following classes of the college.")</f>
        <v>Calculator entry into 6th A good calculator that corresponds to the model requested by mathematics teachers for 6th graders and following classes of the college.</v>
      </c>
    </row>
    <row r="10533">
      <c r="A10533" s="1">
        <v>5.0</v>
      </c>
      <c r="B10533" s="1" t="s">
        <v>10361</v>
      </c>
      <c r="C10533" t="str">
        <f>IFERROR(__xludf.DUMMYFUNCTION("GOOGLETRANSLATE(B10533, ""fr"", ""en"")"),"Good value Met my expectations")</f>
        <v>Good value Met my expectations</v>
      </c>
    </row>
    <row r="10534">
      <c r="A10534" s="1">
        <v>5.0</v>
      </c>
      <c r="B10534" s="1" t="s">
        <v>10362</v>
      </c>
      <c r="C10534" t="str">
        <f>IFERROR(__xludf.DUMMYFUNCTION("GOOGLETRANSLATE(B10534, ""fr"", ""en"")"),"Although Ras ras")</f>
        <v>Although Ras ras</v>
      </c>
    </row>
    <row r="10535">
      <c r="A10535" s="1">
        <v>5.0</v>
      </c>
      <c r="B10535" s="1" t="s">
        <v>10363</v>
      </c>
      <c r="C10535" t="str">
        <f>IFERROR(__xludf.DUMMYFUNCTION("GOOGLETRANSLATE(B10535, ""fr"", ""en"")"),"Super Nice, well done, professional and colorful!")</f>
        <v>Super Nice, well done, professional and colorful!</v>
      </c>
    </row>
    <row r="10536">
      <c r="A10536" s="1">
        <v>5.0</v>
      </c>
      <c r="B10536" s="1" t="s">
        <v>10364</v>
      </c>
      <c r="C10536" t="str">
        <f>IFERROR(__xludf.DUMMYFUNCTION("GOOGLETRANSLATE(B10536, ""fr"", ""en"")"),"Very well! Bottle adopted my son, round nipple (no sense c practical) and very flexible, adapts over to other bottles, mixed feeding, which works very well with can be that bottle (or my son who is not lol complicated )")</f>
        <v>Very well! Bottle adopted my son, round nipple (no sense c practical) and very flexible, adapts over to other bottles, mixed feeding, which works very well with can be that bottle (or my son who is not lol complicated )</v>
      </c>
    </row>
    <row r="10537">
      <c r="A10537" s="1">
        <v>5.0</v>
      </c>
      <c r="B10537" s="1" t="s">
        <v>10365</v>
      </c>
      <c r="C10537" t="str">
        <f>IFERROR(__xludf.DUMMYFUNCTION("GOOGLETRANSLATE(B10537, ""fr"", ""en"")"),"A classic ... ... shoe! Perfect, beautiful and timeless color! While thinking about taking a size below its usual size: I put on the 38, so I took a 39. I recommend 100% !!!")</f>
        <v>A classic ... ... shoe! Perfect, beautiful and timeless color! While thinking about taking a size below its usual size: I put on the 38, so I took a 39. I recommend 100% !!!</v>
      </c>
    </row>
    <row r="10538">
      <c r="A10538" s="1">
        <v>5.0</v>
      </c>
      <c r="B10538" s="1" t="s">
        <v>10366</v>
      </c>
      <c r="C10538" t="str">
        <f>IFERROR(__xludf.DUMMYFUNCTION("GOOGLETRANSLATE(B10538, ""fr"", ""en"")"),"Gift to Beautiful kettle where we can easily see the amount of water and with lighting that changes with temperature.")</f>
        <v>Gift to Beautiful kettle where we can easily see the amount of water and with lighting that changes with temperature.</v>
      </c>
    </row>
    <row r="10539">
      <c r="A10539" s="1">
        <v>5.0</v>
      </c>
      <c r="B10539" s="1" t="s">
        <v>10367</v>
      </c>
      <c r="C10539" t="str">
        <f>IFERROR(__xludf.DUMMYFUNCTION("GOOGLETRANSLATE(B10539, ""fr"", ""en"")"),"Good quality well designed coffee machine, practical, good quality, rather pretty. If like me you are used to a Senseo, take strong coffee. Indeed filter coffee is sweeter in taste (caffeine is stronger).")</f>
        <v>Good quality well designed coffee machine, practical, good quality, rather pretty. If like me you are used to a Senseo, take strong coffee. Indeed filter coffee is sweeter in taste (caffeine is stronger).</v>
      </c>
    </row>
    <row r="10540">
      <c r="A10540" s="1">
        <v>5.0</v>
      </c>
      <c r="B10540" s="1" t="s">
        <v>10368</v>
      </c>
      <c r="C10540" t="str">
        <f>IFERROR(__xludf.DUMMYFUNCTION("GOOGLETRANSLATE(B10540, ""fr"", ""en"")"),"Super Super nice texture oil composition clean without chemicals, products of this brand are put in every hand!")</f>
        <v>Super Super nice texture oil composition clean without chemicals, products of this brand are put in every hand!</v>
      </c>
    </row>
    <row r="10541">
      <c r="A10541" s="1">
        <v>5.0</v>
      </c>
      <c r="B10541" s="1" t="s">
        <v>10369</v>
      </c>
      <c r="C10541" t="str">
        <f>IFERROR(__xludf.DUMMYFUNCTION("GOOGLETRANSLATE(B10541, ""fr"", ""en"")"),"Perfect Very good light solid")</f>
        <v>Perfect Very good light solid</v>
      </c>
    </row>
    <row r="10542">
      <c r="A10542" s="1">
        <v>5.0</v>
      </c>
      <c r="B10542" s="1" t="s">
        <v>10370</v>
      </c>
      <c r="C10542" t="str">
        <f>IFERROR(__xludf.DUMMYFUNCTION("GOOGLETRANSLATE(B10542, ""fr"", ""en"")"),"Very nice shoe Very good value for price, size is right, she is very beautiful and perfectly match the description")</f>
        <v>Very nice shoe Very good value for price, size is right, she is very beautiful and perfectly match the description</v>
      </c>
    </row>
    <row r="10543">
      <c r="A10543" s="1">
        <v>5.0</v>
      </c>
      <c r="B10543" s="1" t="s">
        <v>10371</v>
      </c>
      <c r="C10543" t="str">
        <f>IFERROR(__xludf.DUMMYFUNCTION("GOOGLETRANSLATE(B10543, ""fr"", ""en"")"),"Top ! Very happy with this purchase! Shoes conform to photos and very comfortable! Size respected (no need to take one size above / below). I recommend !")</f>
        <v>Top ! Very happy with this purchase! Shoes conform to photos and very comfortable! Size respected (no need to take one size above / below). I recommend !</v>
      </c>
    </row>
    <row r="10544">
      <c r="A10544" s="1">
        <v>5.0</v>
      </c>
      <c r="B10544" s="1" t="s">
        <v>10372</v>
      </c>
      <c r="C10544" t="str">
        <f>IFERROR(__xludf.DUMMYFUNCTION("GOOGLETRANSLATE(B10544, ""fr"", ""en"")"),"Comfortable Ideal for street dance. Very cozy and nice")</f>
        <v>Comfortable Ideal for street dance. Very cozy and nice</v>
      </c>
    </row>
    <row r="10545">
      <c r="A10545" s="1">
        <v>5.0</v>
      </c>
      <c r="B10545" s="1" t="s">
        <v>10373</v>
      </c>
      <c r="C10545" t="str">
        <f>IFERROR(__xludf.DUMMYFUNCTION("GOOGLETRANSLATE(B10545, ""fr"", ""en"")"),"Really cool Very cool and good value for money. Very easy to stick and hold well")</f>
        <v>Really cool Very cool and good value for money. Very easy to stick and hold well</v>
      </c>
    </row>
    <row r="10546">
      <c r="A10546" s="1">
        <v>2.0</v>
      </c>
      <c r="B10546" s="1" t="s">
        <v>10374</v>
      </c>
      <c r="C10546" t="str">
        <f>IFERROR(__xludf.DUMMYFUNCTION("GOOGLETRANSLATE(B10546, ""fr"", ""en"")"),"The comfort in everyday shoes But do not indulge with the model good thing but too narrow in I aur Loving a model for large foot")</f>
        <v>The comfort in everyday shoes But do not indulge with the model good thing but too narrow in I aur Loving a model for large foot</v>
      </c>
    </row>
    <row r="10547">
      <c r="A10547" s="1">
        <v>1.0</v>
      </c>
      <c r="B10547" s="1" t="s">
        <v>10375</v>
      </c>
      <c r="C10547" t="str">
        <f>IFERROR(__xludf.DUMMYFUNCTION("GOOGLETRANSLATE(B10547, ""fr"", ""en"")"),"Stand by for now. I will not speak of the performance of the device: for now, I wonder if I have only managed to turn it on. I've never seen a lousy manual or nonexistent. Already, French instructions are hidden among other languages, everything is printe"&amp;"d in small, pale blue ... It indicates that you first press the ""menu"" button, but it does not tell you where she is in the diagram, I finally find it on the device itself, but it is relatively quiet. I managed to stall time after many trials, complete "&amp;"galley. When we understand how to rule the rest, I gave up. Sell ​​at that price a device with a manual so badly designed, it is a real aberration. I wonder if I will not return this article.")</f>
        <v>Stand by for now. I will not speak of the performance of the device: for now, I wonder if I have only managed to turn it on. I've never seen a lousy manual or nonexistent. Already, French instructions are hidden among other languages, everything is printed in small, pale blue ... It indicates that you first press the "menu" button, but it does not tell you where she is in the diagram, I finally find it on the device itself, but it is relatively quiet. I managed to stall time after many trials, complete galley. When we understand how to rule the rest, I gave up. Sell ​​at that price a device with a manual so badly designed, it is a real aberration. I wonder if I will not return this article.</v>
      </c>
    </row>
    <row r="10548">
      <c r="A10548" s="1">
        <v>1.0</v>
      </c>
      <c r="B10548" s="1" t="s">
        <v>10376</v>
      </c>
      <c r="C10548" t="str">
        <f>IFERROR(__xludf.DUMMYFUNCTION("GOOGLETRANSLATE(B10548, ""fr"", ""en"")"),"Not compliant bracelet broken when receiving")</f>
        <v>Not compliant bracelet broken when receiving</v>
      </c>
    </row>
    <row r="10549">
      <c r="A10549" s="1">
        <v>3.0</v>
      </c>
      <c r="B10549" s="1" t="s">
        <v>10377</v>
      </c>
      <c r="C10549" t="str">
        <f>IFERROR(__xludf.DUMMYFUNCTION("GOOGLETRANSLATE(B10549, ""fr"", ""en"")"),"Good filter before I had an anti-pop classic Neewer brand filter but with my very large bird UM1 for my use before my screen. With this filter, my microphone is better integrated with my setup and it has a very good record.")</f>
        <v>Good filter before I had an anti-pop classic Neewer brand filter but with my very large bird UM1 for my use before my screen. With this filter, my microphone is better integrated with my setup and it has a very good record.</v>
      </c>
    </row>
    <row r="10550">
      <c r="A10550" s="1">
        <v>3.0</v>
      </c>
      <c r="B10550" s="1" t="s">
        <v>10378</v>
      </c>
      <c r="C10550" t="str">
        <f>IFERROR(__xludf.DUMMYFUNCTION("GOOGLETRANSLATE(B10550, ""fr"", ""en"")"),"Middle ITS LOW !!!")</f>
        <v>Middle ITS LOW !!!</v>
      </c>
    </row>
    <row r="10551">
      <c r="A10551" s="1">
        <v>4.0</v>
      </c>
      <c r="B10551" s="1" t="s">
        <v>10379</v>
      </c>
      <c r="C10551" t="str">
        <f>IFERROR(__xludf.DUMMYFUNCTION("GOOGLETRANSLATE(B10551, ""fr"", ""en"")"),"Surprised ! I received the product 3 days after you order this pretty quick. Packaging is done well, in the box we find the microphone, a cable for charging, another to connect to the phone, and an English user guide. The microphone is good, the quality o"&amp;"f materials seems to hold for the long term, there are a number button to change the options (echo, bass, volume ...), the quality of integrated speaker is not bad can be loaded through the micro USB port, you can also connect any bluetooth or connect wit"&amp;"h her phone through the auxiliary. Too bad there have not modes (autotune ... etc)")</f>
        <v>Surprised ! I received the product 3 days after you order this pretty quick. Packaging is done well, in the box we find the microphone, a cable for charging, another to connect to the phone, and an English user guide. The microphone is good, the quality of materials seems to hold for the long term, there are a number button to change the options (echo, bass, volume ...), the quality of integrated speaker is not bad can be loaded through the micro USB port, you can also connect any bluetooth or connect with her phone through the auxiliary. Too bad there have not modes (autotune ... etc)</v>
      </c>
    </row>
    <row r="10552">
      <c r="A10552" s="1">
        <v>4.0</v>
      </c>
      <c r="B10552" s="1" t="s">
        <v>10380</v>
      </c>
      <c r="C10552" t="str">
        <f>IFERROR(__xludf.DUMMYFUNCTION("GOOGLETRANSLATE(B10552, ""fr"", ""en"")"),"good price / quality ratio brushes used for oil painting. they are nice, cheap, clean and a great pity that it is not made in France")</f>
        <v>good price / quality ratio brushes used for oil painting. they are nice, cheap, clean and a great pity that it is not made in France</v>
      </c>
    </row>
    <row r="10553">
      <c r="A10553" s="1">
        <v>4.0</v>
      </c>
      <c r="B10553" s="1" t="s">
        <v>10381</v>
      </c>
      <c r="C10553" t="str">
        <f>IFERROR(__xludf.DUMMYFUNCTION("GOOGLETRANSLATE(B10553, ""fr"", ""en"")"),"A simple bag Elegant and stylish, genuine leather with beautiful finishes. The only concern is that the bag is extremely rigid and the flap is just the size of the bag. Quickly filled, it can not close and as the bag does not zip, one must have his busine"&amp;"ss to the eye so that they do not fall out or not. But this rigidity is still a sign of quality leather and we can only hope that it will ""relax"" to gain scalability. A good buy in the end.")</f>
        <v>A simple bag Elegant and stylish, genuine leather with beautiful finishes. The only concern is that the bag is extremely rigid and the flap is just the size of the bag. Quickly filled, it can not close and as the bag does not zip, one must have his business to the eye so that they do not fall out or not. But this rigidity is still a sign of quality leather and we can only hope that it will "relax" to gain scalability. A good buy in the end.</v>
      </c>
    </row>
    <row r="10554">
      <c r="A10554" s="1">
        <v>4.0</v>
      </c>
      <c r="B10554" s="1" t="s">
        <v>10382</v>
      </c>
      <c r="C10554" t="str">
        <f>IFERROR(__xludf.DUMMYFUNCTION("GOOGLETRANSLATE(B10554, ""fr"", ""en"")"),"very nice Impeccable")</f>
        <v>very nice Impeccable</v>
      </c>
    </row>
    <row r="10555">
      <c r="A10555" s="1">
        <v>5.0</v>
      </c>
      <c r="B10555" s="1" t="s">
        <v>276</v>
      </c>
      <c r="C10555" t="str">
        <f>IFERROR(__xludf.DUMMYFUNCTION("GOOGLETRANSLATE(B10555, ""fr"", ""en"")"),"well flush")</f>
        <v>well flush</v>
      </c>
    </row>
    <row r="10556">
      <c r="A10556" s="1">
        <v>5.0</v>
      </c>
      <c r="B10556" s="1" t="s">
        <v>10383</v>
      </c>
      <c r="C10556" t="str">
        <f>IFERROR(__xludf.DUMMYFUNCTION("GOOGLETRANSLATE(B10556, ""fr"", ""en"")"),"effective broadcaster received my delivery was very fast packaged well I am delighted imitation wood diffuser has a very good effect principle very simple and easy to use it is very cute I love")</f>
        <v>effective broadcaster received my delivery was very fast packaged well I am delighted imitation wood diffuser has a very good effect principle very simple and easy to use it is very cute I love</v>
      </c>
    </row>
    <row r="10557">
      <c r="A10557" s="1">
        <v>5.0</v>
      </c>
      <c r="B10557" s="1" t="s">
        <v>10384</v>
      </c>
      <c r="C10557" t="str">
        <f>IFERROR(__xludf.DUMMYFUNCTION("GOOGLETRANSLATE(B10557, ""fr"", ""en"")"),"Perfect Excellent quality / price ratio. Cases nice, appliance of the description and aesthetically nice.")</f>
        <v>Perfect Excellent quality / price ratio. Cases nice, appliance of the description and aesthetically nice.</v>
      </c>
    </row>
    <row r="10558">
      <c r="A10558" s="1">
        <v>5.0</v>
      </c>
      <c r="B10558" s="1" t="s">
        <v>10385</v>
      </c>
      <c r="C10558" t="str">
        <f>IFERROR(__xludf.DUMMYFUNCTION("GOOGLETRANSLATE(B10558, ""fr"", ""en"")"),"Top Perfect!")</f>
        <v>Top Perfect!</v>
      </c>
    </row>
    <row r="10559">
      <c r="A10559" s="1">
        <v>5.0</v>
      </c>
      <c r="B10559" s="1" t="s">
        <v>10386</v>
      </c>
      <c r="C10559" t="str">
        <f>IFERROR(__xludf.DUMMYFUNCTION("GOOGLETRANSLATE(B10559, ""fr"", ""en"")"),"Headphones JBL HARMAN T450 very good for its price I test this headset for a few months and I'm really disappointed. I used this headset to listen to music and I must say that his side I was very happy. The sound is clear with good bass. If you do not lik"&amp;"e the bass I handed you recommend. The quality is excellent audio call. The microphone works really well and the person on the other end of the line hears us perfectly. At the level of clutter and well it is small, it fits comfortably in a small bag where"&amp;" at home in a nightstand drawer for me. Too bad that a small carrying case is not provided. It is a supra aural headphones so if you are looking for a circum aural do not take this one. Hoping that I think will be helpful.")</f>
        <v>Headphones JBL HARMAN T450 very good for its price I test this headset for a few months and I'm really disappointed. I used this headset to listen to music and I must say that his side I was very happy. The sound is clear with good bass. If you do not like the bass I handed you recommend. The quality is excellent audio call. The microphone works really well and the person on the other end of the line hears us perfectly. At the level of clutter and well it is small, it fits comfortably in a small bag where at home in a nightstand drawer for me. Too bad that a small carrying case is not provided. It is a supra aural headphones so if you are looking for a circum aural do not take this one. Hoping that I think will be helpful.</v>
      </c>
    </row>
    <row r="10560">
      <c r="A10560" s="1">
        <v>5.0</v>
      </c>
      <c r="B10560" s="1" t="s">
        <v>10387</v>
      </c>
      <c r="C10560" t="str">
        <f>IFERROR(__xludf.DUMMYFUNCTION("GOOGLETRANSLATE(B10560, ""fr"", ""en"")"),"Solid, pretty, and I took effective size 37 and size at the right level! A khaki color that goes anywhere. Converse short door that easily and very pretty. Fast delivery and problem free. Cleans easily with Marseille soap if dirt. I recommend a good buy i"&amp;"n the long term.")</f>
        <v>Solid, pretty, and I took effective size 37 and size at the right level! A khaki color that goes anywhere. Converse short door that easily and very pretty. Fast delivery and problem free. Cleans easily with Marseille soap if dirt. I recommend a good buy in the long term.</v>
      </c>
    </row>
    <row r="10561">
      <c r="A10561" s="1">
        <v>5.0</v>
      </c>
      <c r="B10561" s="1" t="s">
        <v>10388</v>
      </c>
      <c r="C10561" t="str">
        <f>IFERROR(__xludf.DUMMYFUNCTION("GOOGLETRANSLATE(B10561, ""fr"", ""en"")"),"They are good quality and have a very good sound compared to other buy in this price range. Fully recommended!")</f>
        <v>They are good quality and have a very good sound compared to other buy in this price range. Fully recommended!</v>
      </c>
    </row>
    <row r="10562">
      <c r="A10562" s="1">
        <v>5.0</v>
      </c>
      <c r="B10562" s="1" t="s">
        <v>10389</v>
      </c>
      <c r="C10562" t="str">
        <f>IFERROR(__xludf.DUMMYFUNCTION("GOOGLETRANSLATE(B10562, ""fr"", ""en"")"),"⭐️ ⭐️ ⭐️ ⭐️ ⭐️ Hello, I am very satisfied with my purchase. A product that is, for the price, perfect purchase at value for money. I recommend this to all lovers of fine watches")</f>
        <v>⭐️ ⭐️ ⭐️ ⭐️ ⭐️ Hello, I am very satisfied with my purchase. A product that is, for the price, perfect purchase at value for money. I recommend this to all lovers of fine watches</v>
      </c>
    </row>
    <row r="10563">
      <c r="A10563" s="1">
        <v>5.0</v>
      </c>
      <c r="B10563" s="1" t="s">
        <v>10390</v>
      </c>
      <c r="C10563" t="str">
        <f>IFERROR(__xludf.DUMMYFUNCTION("GOOGLETRANSLATE(B10563, ""fr"", ""en"")"),"Soon enough bulky essentially Convenient hikes")</f>
        <v>Soon enough bulky essentially Convenient hikes</v>
      </c>
    </row>
    <row r="10564">
      <c r="A10564" s="1">
        <v>5.0</v>
      </c>
      <c r="B10564" s="1" t="s">
        <v>10391</v>
      </c>
      <c r="C10564" t="str">
        <f>IFERROR(__xludf.DUMMYFUNCTION("GOOGLETRANSLATE(B10564, ""fr"", ""en"")"),"I recommend I recommend.")</f>
        <v>I recommend I recommend.</v>
      </c>
    </row>
    <row r="10565">
      <c r="A10565" s="1">
        <v>5.0</v>
      </c>
      <c r="B10565" s="1" t="s">
        <v>10392</v>
      </c>
      <c r="C10565" t="str">
        <f>IFERROR(__xludf.DUMMYFUNCTION("GOOGLETRANSLATE(B10565, ""fr"", ""en"")"),"safety footwear for the kitchen thank you very much")</f>
        <v>safety footwear for the kitchen thank you very much</v>
      </c>
    </row>
    <row r="10566">
      <c r="A10566" s="1">
        <v>5.0</v>
      </c>
      <c r="B10566" s="1" t="s">
        <v>10393</v>
      </c>
      <c r="C10566" t="str">
        <f>IFERROR(__xludf.DUMMYFUNCTION("GOOGLETRANSLATE(B10566, ""fr"", ""en"")"),"Very good Excellent for painting. I bought it for my 3 year old son who wants to make the time to paint in time. Although strong and perfect to expose its masterpieces!")</f>
        <v>Very good Excellent for painting. I bought it for my 3 year old son who wants to make the time to paint in time. Although strong and perfect to expose its masterpieces!</v>
      </c>
    </row>
    <row r="10567">
      <c r="A10567" s="1">
        <v>5.0</v>
      </c>
      <c r="B10567" s="1" t="s">
        <v>10394</v>
      </c>
      <c r="C10567" t="str">
        <f>IFERROR(__xludf.DUMMYFUNCTION("GOOGLETRANSLATE(B10567, ""fr"", ""en"")"),"Perfect! Look nice product complies with the photo comfort nice deep black color shoe ultra perfect light!")</f>
        <v>Perfect! Look nice product complies with the photo comfort nice deep black color shoe ultra perfect light!</v>
      </c>
    </row>
    <row r="10568">
      <c r="A10568" s="1">
        <v>5.0</v>
      </c>
      <c r="B10568" s="1" t="s">
        <v>10395</v>
      </c>
      <c r="C10568" t="str">
        <f>IFERROR(__xludf.DUMMYFUNCTION("GOOGLETRANSLATE(B10568, ""fr"", ""en"")"),"The designs are beautiful or sublime kawai, it depends. Ideal from 7-8 years because the reasons are sometimes small, very detailed. Only downside: they could have detachable designs.")</f>
        <v>The designs are beautiful or sublime kawai, it depends. Ideal from 7-8 years because the reasons are sometimes small, very detailed. Only downside: they could have detachable designs.</v>
      </c>
    </row>
    <row r="10569">
      <c r="A10569" s="1">
        <v>5.0</v>
      </c>
      <c r="B10569" s="1" t="s">
        <v>10396</v>
      </c>
      <c r="C10569" t="str">
        <f>IFERROR(__xludf.DUMMYFUNCTION("GOOGLETRANSLATE(B10569, ""fr"", ""en"")"),"Good product Bouillotte nothing to say 👍")</f>
        <v>Good product Bouillotte nothing to say 👍</v>
      </c>
    </row>
    <row r="10570">
      <c r="A10570" s="1">
        <v>2.0</v>
      </c>
      <c r="B10570" s="1" t="s">
        <v>10397</v>
      </c>
      <c r="C10570" t="str">
        <f>IFERROR(__xludf.DUMMYFUNCTION("GOOGLETRANSLATE(B10570, ""fr"", ""en"")"),"Hiking boots ? really thick soles at all, to walk on the flat without stones.")</f>
        <v>Hiking boots ? really thick soles at all, to walk on the flat without stones.</v>
      </c>
    </row>
    <row r="10571">
      <c r="A10571" s="1">
        <v>1.0</v>
      </c>
      <c r="B10571" s="1" t="s">
        <v>10398</v>
      </c>
      <c r="C10571" t="str">
        <f>IFERROR(__xludf.DUMMYFUNCTION("GOOGLETRANSLATE(B10571, ""fr"", ""en"")"),"Very uncomfortable, limited functionality and micro small. Beware the ""port"" (the place where we place the tip) is HUGE and unless you dumbo ears they will be impossible to fit comfortably in the ear canal to achieve a good seal and have a sound quality"&amp;". At that price it also lacks transparency audio function to be able to hear their environment without removing them and have a quick conversation. Oh and finally my correspondents complain about the quality of my voice during a telephone conversation. As"&amp;" much as put a little more and take TWS who check all the boxes as the Jabra 65T.")</f>
        <v>Very uncomfortable, limited functionality and micro small. Beware the "port" (the place where we place the tip) is HUGE and unless you dumbo ears they will be impossible to fit comfortably in the ear canal to achieve a good seal and have a sound quality. At that price it also lacks transparency audio function to be able to hear their environment without removing them and have a quick conversation. Oh and finally my correspondents complain about the quality of my voice during a telephone conversation. As much as put a little more and take TWS who check all the boxes as the Jabra 65T.</v>
      </c>
    </row>
    <row r="10572">
      <c r="A10572" s="1">
        <v>1.0</v>
      </c>
      <c r="B10572" s="1" t="s">
        <v>10399</v>
      </c>
      <c r="C10572" t="str">
        <f>IFERROR(__xludf.DUMMYFUNCTION("GOOGLETRANSLATE(B10572, ""fr"", ""en"")"),"Cap off the opening of the package received broken cap. Unusable properly. The liquid does not flow as hole plugged with the cap off.")</f>
        <v>Cap off the opening of the package received broken cap. Unusable properly. The liquid does not flow as hole plugged with the cap off.</v>
      </c>
    </row>
    <row r="10573">
      <c r="A10573" s="1">
        <v>3.0</v>
      </c>
      <c r="B10573" s="1" t="s">
        <v>10400</v>
      </c>
      <c r="C10573" t="str">
        <f>IFERROR(__xludf.DUMMYFUNCTION("GOOGLETRANSLATE(B10573, ""fr"", ""en"")"),"Jacket I'm a little disappointed in the quality inside of the jacket, it is different from the photo, when I put a sweater under the jacket I am moderately comfortable. But for the price it will be his time. She gives a little big")</f>
        <v>Jacket I'm a little disappointed in the quality inside of the jacket, it is different from the photo, when I put a sweater under the jacket I am moderately comfortable. But for the price it will be his time. She gives a little big</v>
      </c>
    </row>
    <row r="10574">
      <c r="A10574" s="1">
        <v>4.0</v>
      </c>
      <c r="B10574" s="1" t="s">
        <v>10401</v>
      </c>
      <c r="C10574" t="str">
        <f>IFERROR(__xludf.DUMMYFUNCTION("GOOGLETRANSLATE(B10574, ""fr"", ""en"")"),"Apart diving watches, it is no longer sealed! Watch casio reference! Nothing more to say!")</f>
        <v>Apart diving watches, it is no longer sealed! Watch casio reference! Nothing more to say!</v>
      </c>
    </row>
    <row r="10575">
      <c r="A10575" s="1">
        <v>4.0</v>
      </c>
      <c r="B10575" s="1" t="s">
        <v>10402</v>
      </c>
      <c r="C10575" t="str">
        <f>IFERROR(__xludf.DUMMYFUNCTION("GOOGLETRANSLATE(B10575, ""fr"", ""en"")"),"OK fine .")</f>
        <v>OK fine .</v>
      </c>
    </row>
    <row r="10576">
      <c r="A10576" s="1">
        <v>4.0</v>
      </c>
      <c r="B10576" s="1" t="s">
        <v>10403</v>
      </c>
      <c r="C10576" t="str">
        <f>IFERROR(__xludf.DUMMYFUNCTION("GOOGLETRANSLATE(B10576, ""fr"", ""en"")"),"Although well. Super color. It was not exactly the model I wanted, but it suited me qd same. I play with 37.5 and TBS I gain 39 to be comfortable.")</f>
        <v>Although well. Super color. It was not exactly the model I wanted, but it suited me qd same. I play with 37.5 and TBS I gain 39 to be comfortable.</v>
      </c>
    </row>
    <row r="10577">
      <c r="A10577" s="1">
        <v>4.0</v>
      </c>
      <c r="B10577" s="1" t="s">
        <v>10404</v>
      </c>
      <c r="C10577" t="str">
        <f>IFERROR(__xludf.DUMMYFUNCTION("GOOGLETRANSLATE(B10577, ""fr"", ""en"")"),"Good product Q / P Comfortable despite the ""compression"", in fact it is very tight so watch the size of choice: not to underestimate its size, and yet I took a L as my usual size is Mr. Warning also the definition of thermal jersey mean fiber does not r"&amp;"etain sweat, not bringing fiber heat. Used 1st layer by 10 °, I went dry but refrigerated (relatively ... nothing exaggerate!) Otherwise very well sensations like a second skin, it feels no sewing, pleasant material. Conclusion: very good Q / P if used in"&amp;" mid-season at around 15 °.")</f>
        <v>Good product Q / P Comfortable despite the "compression", in fact it is very tight so watch the size of choice: not to underestimate its size, and yet I took a L as my usual size is Mr. Warning also the definition of thermal jersey mean fiber does not retain sweat, not bringing fiber heat. Used 1st layer by 10 °, I went dry but refrigerated (relatively ... nothing exaggerate!) Otherwise very well sensations like a second skin, it feels no sewing, pleasant material. Conclusion: very good Q / P if used in mid-season at around 15 °.</v>
      </c>
    </row>
    <row r="10578">
      <c r="A10578" s="1">
        <v>5.0</v>
      </c>
      <c r="B10578" s="1" t="s">
        <v>10405</v>
      </c>
      <c r="C10578" t="str">
        <f>IFERROR(__xludf.DUMMYFUNCTION("GOOGLETRANSLATE(B10578, ""fr"", ""en"")"),"It's an HP ink Catouche What to say about a conventional ink cartridge HP: Amazon benefits forever to par prices are relatively high for a single cartridge HP but this is not Amazon but I think nonetheless that a small effort could be made for the rest no"&amp;"thing to report")</f>
        <v>It's an HP ink Catouche What to say about a conventional ink cartridge HP: Amazon benefits forever to par prices are relatively high for a single cartridge HP but this is not Amazon but I think nonetheless that a small effort could be made for the rest nothing to report</v>
      </c>
    </row>
    <row r="10579">
      <c r="A10579" s="1">
        <v>5.0</v>
      </c>
      <c r="B10579" s="1" t="s">
        <v>10406</v>
      </c>
      <c r="C10579" t="str">
        <f>IFERROR(__xludf.DUMMYFUNCTION("GOOGLETRANSLATE(B10579, ""fr"", ""en"")"),"women shoes slimming product EXCELLENT wear full day carefree size suitable model respecting the product photo walking is rendered very pleasant with wedge heel")</f>
        <v>women shoes slimming product EXCELLENT wear full day carefree size suitable model respecting the product photo walking is rendered very pleasant with wedge heel</v>
      </c>
    </row>
    <row r="10580">
      <c r="A10580" s="1">
        <v>5.0</v>
      </c>
      <c r="B10580" s="1" t="s">
        <v>10407</v>
      </c>
      <c r="C10580" t="str">
        <f>IFERROR(__xludf.DUMMYFUNCTION("GOOGLETRANSLATE(B10580, ""fr"", ""en"")"),"Unisex suitable for perfect woman")</f>
        <v>Unisex suitable for perfect woman</v>
      </c>
    </row>
    <row r="10581">
      <c r="A10581" s="1">
        <v>5.0</v>
      </c>
      <c r="B10581" s="1" t="s">
        <v>10408</v>
      </c>
      <c r="C10581" t="str">
        <f>IFERROR(__xludf.DUMMYFUNCTION("GOOGLETRANSLATE(B10581, ""fr"", ""en"")"),"Super photo paper high quality paper. Very happy with this purchase. Photos printed above make it very well. I recommand it")</f>
        <v>Super photo paper high quality paper. Very happy with this purchase. Photos printed above make it very well. I recommand it</v>
      </c>
    </row>
    <row r="10582">
      <c r="A10582" s="1">
        <v>5.0</v>
      </c>
      <c r="B10582" s="1" t="s">
        <v>10409</v>
      </c>
      <c r="C10582" t="str">
        <f>IFERROR(__xludf.DUMMYFUNCTION("GOOGLETRANSLATE(B10582, ""fr"", ""en"")"),"Wired earphone Received quickly functional headset, great for the sport, his household to listen to music or talk on the phone girlfriends")</f>
        <v>Wired earphone Received quickly functional headset, great for the sport, his household to listen to music or talk on the phone girlfriends</v>
      </c>
    </row>
    <row r="10583">
      <c r="A10583" s="1">
        <v>5.0</v>
      </c>
      <c r="B10583" s="1" t="s">
        <v>10410</v>
      </c>
      <c r="C10583" t="str">
        <f>IFERROR(__xludf.DUMMYFUNCTION("GOOGLETRANSLATE(B10583, ""fr"", ""en"")"),"advised Smaller than expected, but actually very wearable and love. Quartz good, well done. I love you receive spare beads and elastic, just in case. An article very attractive, beautiful color.")</f>
        <v>advised Smaller than expected, but actually very wearable and love. Quartz good, well done. I love you receive spare beads and elastic, just in case. An article very attractive, beautiful color.</v>
      </c>
    </row>
    <row r="10584">
      <c r="A10584" s="1">
        <v>5.0</v>
      </c>
      <c r="B10584" s="1" t="s">
        <v>10411</v>
      </c>
      <c r="C10584" t="str">
        <f>IFERROR(__xludf.DUMMYFUNCTION("GOOGLETRANSLATE(B10584, ""fr"", ""en"")"),"Very good very good value for money. It is much cheaper than small rolls of trade, and it lasts a long long time! The cutting system is practical. I recommend this product.")</f>
        <v>Very good very good value for money. It is much cheaper than small rolls of trade, and it lasts a long long time! The cutting system is practical. I recommend this product.</v>
      </c>
    </row>
    <row r="10585">
      <c r="A10585" s="1">
        <v>5.0</v>
      </c>
      <c r="B10585" s="1" t="s">
        <v>10412</v>
      </c>
      <c r="C10585" t="str">
        <f>IFERROR(__xludf.DUMMYFUNCTION("GOOGLETRANSLATE(B10585, ""fr"", ""en"")"),"Galaxy buds excellent value. Its very pure classical music. Bass sufficient for my taste.")</f>
        <v>Galaxy buds excellent value. Its very pure classical music. Bass sufficient for my taste.</v>
      </c>
    </row>
    <row r="10586">
      <c r="A10586" s="1">
        <v>5.0</v>
      </c>
      <c r="B10586" s="1" t="s">
        <v>10413</v>
      </c>
      <c r="C10586" t="str">
        <f>IFERROR(__xludf.DUMMYFUNCTION("GOOGLETRANSLATE(B10586, ""fr"", ""en"")"),"I make a very big 40/42 and I first ordered a S. He was too big so I returned (carefree) and bought a XS. He is perfect. Well cut, very soft and comfortable to wear.")</f>
        <v>I make a very big 40/42 and I first ordered a S. He was too big so I returned (carefree) and bought a XS. He is perfect. Well cut, very soft and comfortable to wear.</v>
      </c>
    </row>
    <row r="10587">
      <c r="A10587" s="1">
        <v>5.0</v>
      </c>
      <c r="B10587" s="1" t="s">
        <v>10414</v>
      </c>
      <c r="C10587" t="str">
        <f>IFERROR(__xludf.DUMMYFUNCTION("GOOGLETRANSLATE(B10587, ""fr"", ""en"")"),"Relief! Chronic pain sciatica and herniated disc I wanted to test this cream! Well done indeed the freshness effect dice the 1st minute and relief appears! 2 to 3 applications per day in case of persistent pain! The texture is very pleasant while 1st firs"&amp;"t eye does not want so do not hang on the visual appearance of the cream. The effect the smell and texture background super painkiller cream I recommend")</f>
        <v>Relief! Chronic pain sciatica and herniated disc I wanted to test this cream! Well done indeed the freshness effect dice the 1st minute and relief appears! 2 to 3 applications per day in case of persistent pain! The texture is very pleasant while 1st first eye does not want so do not hang on the visual appearance of the cream. The effect the smell and texture background super painkiller cream I recommend</v>
      </c>
    </row>
    <row r="10588">
      <c r="A10588" s="1">
        <v>5.0</v>
      </c>
      <c r="B10588" s="1" t="s">
        <v>10415</v>
      </c>
      <c r="C10588" t="str">
        <f>IFERROR(__xludf.DUMMYFUNCTION("GOOGLETRANSLATE(B10588, ""fr"", ""en"")"),"headphones on top Setting up the Bluetooth easy, pleasant headphones for any type of ear plugs as sold with 3 different models. Small medium large. long battery I use it every day. I advise you, a friend followed my purchase she is also very happy.")</f>
        <v>headphones on top Setting up the Bluetooth easy, pleasant headphones for any type of ear plugs as sold with 3 different models. Small medium large. long battery I use it every day. I advise you, a friend followed my purchase she is also very happy.</v>
      </c>
    </row>
    <row r="10589">
      <c r="A10589" s="1">
        <v>5.0</v>
      </c>
      <c r="B10589" s="1" t="s">
        <v>10416</v>
      </c>
      <c r="C10589" t="str">
        <f>IFERROR(__xludf.DUMMYFUNCTION("GOOGLETRANSLATE(B10589, ""fr"", ""en"")"),"Great ! Super nothing to say")</f>
        <v>Great ! Super nothing to say</v>
      </c>
    </row>
    <row r="10590">
      <c r="A10590" s="1">
        <v>5.0</v>
      </c>
      <c r="B10590" s="1" t="s">
        <v>10417</v>
      </c>
      <c r="C10590" t="str">
        <f>IFERROR(__xludf.DUMMYFUNCTION("GOOGLETRANSLATE(B10590, ""fr"", ""en"")"),"Great product Our family is a fan of these markers: some like to write and others for coloring. The colors are nice and their service life is long. Very good product")</f>
        <v>Great product Our family is a fan of these markers: some like to write and others for coloring. The colors are nice and their service life is long. Very good product</v>
      </c>
    </row>
    <row r="10591">
      <c r="A10591" s="1">
        <v>5.0</v>
      </c>
      <c r="B10591" s="1" t="s">
        <v>10418</v>
      </c>
      <c r="C10591" t="str">
        <f>IFERROR(__xludf.DUMMYFUNCTION("GOOGLETRANSLATE(B10591, ""fr"", ""en"")"),"Meets Size ok (38) matches the description.")</f>
        <v>Meets Size ok (38) matches the description.</v>
      </c>
    </row>
    <row r="10592">
      <c r="A10592" s="1">
        <v>5.0</v>
      </c>
      <c r="B10592" s="1" t="s">
        <v>10419</v>
      </c>
      <c r="C10592" t="str">
        <f>IFERROR(__xludf.DUMMYFUNCTION("GOOGLETRANSLATE(B10592, ""fr"", ""en"")"),"Super m These loops were offered. They are just beautiful. Comfortable to wear and make their effects. I highly recommend.")</f>
        <v>Super m These loops were offered. They are just beautiful. Comfortable to wear and make their effects. I highly recommend.</v>
      </c>
    </row>
    <row r="10593">
      <c r="A10593" s="1">
        <v>2.0</v>
      </c>
      <c r="B10593" s="1" t="s">
        <v>10420</v>
      </c>
      <c r="C10593" t="str">
        <f>IFERROR(__xludf.DUMMYFUNCTION("GOOGLETRANSLATE(B10593, ""fr"", ""en"")"),"No leather !!!! Very expensive for a product that is not leather. Lying on the ad. On the finishes we can see that it is a layer of plastic with faux leather coated with glue on the back and front .... Returned. Ashamed to make it look like leather. very "&amp;"short plastic ..... not worth the price made flee ....")</f>
        <v>No leather !!!! Very expensive for a product that is not leather. Lying on the ad. On the finishes we can see that it is a layer of plastic with faux leather coated with glue on the back and front .... Returned. Ashamed to make it look like leather. very short plastic ..... not worth the price made flee ....</v>
      </c>
    </row>
    <row r="10594">
      <c r="A10594" s="1">
        <v>1.0</v>
      </c>
      <c r="B10594" s="1" t="s">
        <v>10421</v>
      </c>
      <c r="C10594" t="str">
        <f>IFERROR(__xludf.DUMMYFUNCTION("GOOGLETRANSLATE(B10594, ""fr"", ""en"")"),"Electrical failure long used black out but the support and electrical failure can t we have a Exchange")</f>
        <v>Electrical failure long used black out but the support and electrical failure can t we have a Exchange</v>
      </c>
    </row>
    <row r="10595">
      <c r="A10595" s="1">
        <v>3.0</v>
      </c>
      <c r="B10595" s="1" t="s">
        <v>10422</v>
      </c>
      <c r="C10595" t="str">
        <f>IFERROR(__xludf.DUMMYFUNCTION("GOOGLETRANSLATE(B10595, ""fr"", ""en"")"),"Noise reduction ultra performente but useless touchpad Very good headphones to reduce noise. The noise reduction is the best the market. The adaptive system is very convenient. Design Premium and sober. The sound is like a Beat (bass very pronounced). Lik"&amp;"e it or not, the equalizer is adjustable via the application. Note that to take advantage of its HD APTX and LDAC must have adequate audio codecs on their device. For example samsung is from 8.0 oreo. If we chose to use the equalizer to minimize the bass,"&amp;" the sound returns to SBC and therefore audio compression ... (a star less) Other default, the Touch is not intuitive, the controls do not respond every time with because they are poorly designed and placed. Also they react to wearing a hood, or a tissue "&amp;"if we dozed on it, which is annoying for a product of this range. (Another etoile less). In short, I keep only for noise reduction over the concurrency.")</f>
        <v>Noise reduction ultra performente but useless touchpad Very good headphones to reduce noise. The noise reduction is the best the market. The adaptive system is very convenient. Design Premium and sober. The sound is like a Beat (bass very pronounced). Like it or not, the equalizer is adjustable via the application. Note that to take advantage of its HD APTX and LDAC must have adequate audio codecs on their device. For example samsung is from 8.0 oreo. If we chose to use the equalizer to minimize the bass, the sound returns to SBC and therefore audio compression ... (a star less) Other default, the Touch is not intuitive, the controls do not respond every time with because they are poorly designed and placed. Also they react to wearing a hood, or a tissue if we dozed on it, which is annoying for a product of this range. (Another etoile less). In short, I keep only for noise reduction over the concurrency.</v>
      </c>
    </row>
    <row r="10596">
      <c r="A10596" s="1">
        <v>3.0</v>
      </c>
      <c r="B10596" s="1" t="s">
        <v>10423</v>
      </c>
      <c r="C10596" t="str">
        <f>IFERROR(__xludf.DUMMYFUNCTION("GOOGLETRANSLATE(B10596, ""fr"", ""en"")"),"Dense It's a good buy. The book discusses many subjects and my 7 year old daughter is interested. Only flat, the layout is dense. Can scare less enthusiastic readers.")</f>
        <v>Dense It's a good buy. The book discusses many subjects and my 7 year old daughter is interested. Only flat, the layout is dense. Can scare less enthusiastic readers.</v>
      </c>
    </row>
    <row r="10597">
      <c r="A10597" s="1">
        <v>4.0</v>
      </c>
      <c r="B10597" s="1" t="s">
        <v>10424</v>
      </c>
      <c r="C10597" t="str">
        <f>IFERROR(__xludf.DUMMYFUNCTION("GOOGLETRANSLATE(B10597, ""fr"", ""en"")"),"Good helmet, anc disappointing Overall a good product with a balanced and bassu her. Having a small head headphones do not shake me. Flat but not enough to send in my case, the formerly degraded sound quality and is not as good as its largest competitors "&amp;"(Bose, Sennheiser, BBP 2). This may put off some.")</f>
        <v>Good helmet, anc disappointing Overall a good product with a balanced and bassu her. Having a small head headphones do not shake me. Flat but not enough to send in my case, the formerly degraded sound quality and is not as good as its largest competitors (Bose, Sennheiser, BBP 2). This may put off some.</v>
      </c>
    </row>
    <row r="10598">
      <c r="A10598" s="1">
        <v>4.0</v>
      </c>
      <c r="B10598" s="1" t="s">
        <v>10425</v>
      </c>
      <c r="C10598" t="str">
        <f>IFERROR(__xludf.DUMMYFUNCTION("GOOGLETRANSLATE(B10598, ""fr"", ""en"")"),"well worn well worn it changes abitude safety shoes of the prize may expensive")</f>
        <v>well worn well worn it changes abitude safety shoes of the prize may expensive</v>
      </c>
    </row>
    <row r="10599">
      <c r="A10599" s="1">
        <v>4.0</v>
      </c>
      <c r="B10599" s="1" t="s">
        <v>10426</v>
      </c>
      <c r="C10599" t="str">
        <f>IFERROR(__xludf.DUMMYFUNCTION("GOOGLETRANSLATE(B10599, ""fr"", ""en"")"),"Good value Good product, fits well the intensity depending on the task that we do (reading, relaxing, tablet, etc.). But one regret: not working on a hip socket back and forth ...")</f>
        <v>Good value Good product, fits well the intensity depending on the task that we do (reading, relaxing, tablet, etc.). But one regret: not working on a hip socket back and forth ...</v>
      </c>
    </row>
    <row r="10600">
      <c r="A10600" s="1">
        <v>4.0</v>
      </c>
      <c r="B10600" s="1" t="s">
        <v>10427</v>
      </c>
      <c r="C10600" t="str">
        <f>IFERROR(__xludf.DUMMYFUNCTION("GOOGLETRANSLATE(B10600, ""fr"", ""en"")"),"John rather light and well cut corresponds in every respect to levi's 511 jeans that I bought to us a year ago. A small difference, however, in the first wash, wipe antidecolor stop came out of dark brown, probably has dunmorceau cause of leather with the"&amp;" brand. This was not the case with that of us. Or to see to wear.")</f>
        <v>John rather light and well cut corresponds in every respect to levi's 511 jeans that I bought to us a year ago. A small difference, however, in the first wash, wipe antidecolor stop came out of dark brown, probably has dunmorceau cause of leather with the brand. This was not the case with that of us. Or to see to wear.</v>
      </c>
    </row>
    <row r="10601">
      <c r="A10601" s="1">
        <v>5.0</v>
      </c>
      <c r="B10601" s="1" t="s">
        <v>10428</v>
      </c>
      <c r="C10601" t="str">
        <f>IFERROR(__xludf.DUMMYFUNCTION("GOOGLETRANSLATE(B10601, ""fr"", ""en"")"),"Very good baby bottles Baby bottles are great and the nipple is immediately taken by the baby. The anticolique system allows the baby to swallow less air. I recommend this product")</f>
        <v>Very good baby bottles Baby bottles are great and the nipple is immediately taken by the baby. The anticolique system allows the baby to swallow less air. I recommend this product</v>
      </c>
    </row>
    <row r="10602">
      <c r="A10602" s="1">
        <v>5.0</v>
      </c>
      <c r="B10602" s="1" t="s">
        <v>4066</v>
      </c>
      <c r="C10602" t="str">
        <f>IFERROR(__xludf.DUMMYFUNCTION("GOOGLETRANSLATE(B10602, ""fr"", ""en"")"),"Nickel Okay Fast delivery")</f>
        <v>Nickel Okay Fast delivery</v>
      </c>
    </row>
    <row r="10603">
      <c r="A10603" s="1">
        <v>5.0</v>
      </c>
      <c r="B10603" s="1" t="s">
        <v>10429</v>
      </c>
      <c r="C10603" t="str">
        <f>IFERROR(__xludf.DUMMYFUNCTION("GOOGLETRANSLATE(B10603, ""fr"", ""en"")"),"very well received in due time completely packed with great care with documentation and a note very nice g begin to pass me immortal oil that makes me feel good is perfectly what I was expecting I know or Commender and more other products such as soaps I'"&amp;"d try soon thank you for this friendly fun")</f>
        <v>very well received in due time completely packed with great care with documentation and a note very nice g begin to pass me immortal oil that makes me feel good is perfectly what I was expecting I know or Commender and more other products such as soaps I'd try soon thank you for this friendly fun</v>
      </c>
    </row>
    <row r="10604">
      <c r="A10604" s="1">
        <v>5.0</v>
      </c>
      <c r="B10604" s="1" t="s">
        <v>10430</v>
      </c>
      <c r="C10604" t="str">
        <f>IFERROR(__xludf.DUMMYFUNCTION("GOOGLETRANSLATE(B10604, ""fr"", ""en"")"),"Okay I love this paper brand from amazon because it is thick are many rolls and it is pleasant to the touch. But attention was instead to store")</f>
        <v>Okay I love this paper brand from amazon because it is thick are many rolls and it is pleasant to the touch. But attention was instead to store</v>
      </c>
    </row>
    <row r="10605">
      <c r="A10605" s="1">
        <v>5.0</v>
      </c>
      <c r="B10605" s="1" t="s">
        <v>10431</v>
      </c>
      <c r="C10605" t="str">
        <f>IFERROR(__xludf.DUMMYFUNCTION("GOOGLETRANSLATE(B10605, ""fr"", ""en"")"),"Very handy Perfect for tasks fingers wall inlaid felt or food for garden furniture once only without anything added. Very good buy I recommend;)")</f>
        <v>Very handy Perfect for tasks fingers wall inlaid felt or food for garden furniture once only without anything added. Very good buy I recommend;)</v>
      </c>
    </row>
    <row r="10606">
      <c r="A10606" s="1">
        <v>5.0</v>
      </c>
      <c r="B10606" s="1" t="s">
        <v>10432</v>
      </c>
      <c r="C10606" t="str">
        <f>IFERROR(__xludf.DUMMYFUNCTION("GOOGLETRANSLATE(B10606, ""fr"", ""en"")"),"A small price for a great satisfaction! In the top ! A small pair of basic listener but are very well what they are asked. The sound is good, the quality of the microphone for calls hands-free is niquel and they were supplied with different tips. There is"&amp;" also a purchase in warranty, which states that the headphones are guaranteed for life. To see if it's really worth of the return in case of problems, but this kind of attention is always nice. I recommend !")</f>
        <v>A small price for a great satisfaction! In the top ! A small pair of basic listener but are very well what they are asked. The sound is good, the quality of the microphone for calls hands-free is niquel and they were supplied with different tips. There is also a purchase in warranty, which states that the headphones are guaranteed for life. To see if it's really worth of the return in case of problems, but this kind of attention is always nice. I recommend !</v>
      </c>
    </row>
    <row r="10607">
      <c r="A10607" s="1">
        <v>5.0</v>
      </c>
      <c r="B10607" s="1" t="s">
        <v>10433</v>
      </c>
      <c r="C10607" t="str">
        <f>IFERROR(__xludf.DUMMYFUNCTION("GOOGLETRANSLATE(B10607, ""fr"", ""en"")"),"very good very good essential oil oils. package arrived but opened it.")</f>
        <v>very good very good essential oil oils. package arrived but opened it.</v>
      </c>
    </row>
    <row r="10608">
      <c r="A10608" s="1">
        <v>5.0</v>
      </c>
      <c r="B10608" s="1" t="s">
        <v>10434</v>
      </c>
      <c r="C10608" t="str">
        <f>IFERROR(__xludf.DUMMYFUNCTION("GOOGLETRANSLATE(B10608, ""fr"", ""en"")"),"Good product design is very attractive, clean, efficient and opinions are generally positive about the quality and sound. they give an impression of quality and strength, sound quality is actually very good and they work perfectly.")</f>
        <v>Good product design is very attractive, clean, efficient and opinions are generally positive about the quality and sound. they give an impression of quality and strength, sound quality is actually very good and they work perfectly.</v>
      </c>
    </row>
    <row r="10609">
      <c r="A10609" s="1">
        <v>5.0</v>
      </c>
      <c r="B10609" s="1" t="s">
        <v>10435</v>
      </c>
      <c r="C10609" t="str">
        <f>IFERROR(__xludf.DUMMYFUNCTION("GOOGLETRANSLATE(B10609, ""fr"", ""en"")"),"Perfect for Glad details of these brushes, just what I was looking for my painting on canvas, doing hair for animals is a pleasure")</f>
        <v>Perfect for Glad details of these brushes, just what I was looking for my painting on canvas, doing hair for animals is a pleasure</v>
      </c>
    </row>
    <row r="10610">
      <c r="A10610" s="1">
        <v>5.0</v>
      </c>
      <c r="B10610" s="1" t="s">
        <v>10436</v>
      </c>
      <c r="C10610" t="str">
        <f>IFERROR(__xludf.DUMMYFUNCTION("GOOGLETRANSLATE(B10610, ""fr"", ""en"")"),"Beautiful zippo Good finish for Zippo but a bit heavy.")</f>
        <v>Beautiful zippo Good finish for Zippo but a bit heavy.</v>
      </c>
    </row>
    <row r="10611">
      <c r="A10611" s="1">
        <v>5.0</v>
      </c>
      <c r="B10611" s="1" t="s">
        <v>10437</v>
      </c>
      <c r="C10611" t="str">
        <f>IFERROR(__xludf.DUMMYFUNCTION("GOOGLETRANSLATE(B10611, ""fr"", ""en"")"),"very comfortable shoes I have used these new shoes every day this summer, on the occasion of great hikes and I am delighted. I've never had blisters as I have very sensitive feet and they are very comfortable. In addition, although thick sole and timing t"&amp;"o switch easily on steep surfaces and will not slip. I highly recommend it!")</f>
        <v>very comfortable shoes I have used these new shoes every day this summer, on the occasion of great hikes and I am delighted. I've never had blisters as I have very sensitive feet and they are very comfortable. In addition, although thick sole and timing to switch easily on steep surfaces and will not slip. I highly recommend it!</v>
      </c>
    </row>
    <row r="10612">
      <c r="A10612" s="1">
        <v>5.0</v>
      </c>
      <c r="B10612" s="1" t="s">
        <v>10438</v>
      </c>
      <c r="C10612" t="str">
        <f>IFERROR(__xludf.DUMMYFUNCTION("GOOGLETRANSLATE(B10612, ""fr"", ""en"")"),"Top Perfect and fast delivery")</f>
        <v>Top Perfect and fast delivery</v>
      </c>
    </row>
    <row r="10613">
      <c r="A10613" s="1">
        <v>5.0</v>
      </c>
      <c r="B10613" s="1" t="s">
        <v>10439</v>
      </c>
      <c r="C10613" t="str">
        <f>IFERROR(__xludf.DUMMYFUNCTION("GOOGLETRANSLATE(B10613, ""fr"", ""en"")"),"Earrings Very attractive under the photo.")</f>
        <v>Earrings Very attractive under the photo.</v>
      </c>
    </row>
    <row r="10614">
      <c r="A10614" s="1">
        <v>5.0</v>
      </c>
      <c r="B10614" s="1" t="s">
        <v>10440</v>
      </c>
      <c r="C10614" t="str">
        <f>IFERROR(__xludf.DUMMYFUNCTION("GOOGLETRANSLATE(B10614, ""fr"", ""en"")"),"Legging perfect I'm just too too happy with this legging. As soon adopted as soon received. Washing and hop to sports. It is perfectly adjusted, maintaining it perfectly level of reinforcement. I am a big fan I recommend ++")</f>
        <v>Legging perfect I'm just too too happy with this legging. As soon adopted as soon received. Washing and hop to sports. It is perfectly adjusted, maintaining it perfectly level of reinforcement. I am a big fan I recommend ++</v>
      </c>
    </row>
    <row r="10615">
      <c r="A10615" s="1">
        <v>5.0</v>
      </c>
      <c r="B10615" s="1" t="s">
        <v>10441</v>
      </c>
      <c r="C10615" t="str">
        <f>IFERROR(__xludf.DUMMYFUNCTION("GOOGLETRANSLATE(B10615, ""fr"", ""en"")"),"Genial Bought for hobby for myself. Wide selection of brushes (broad purposes etc ...)")</f>
        <v>Genial Bought for hobby for myself. Wide selection of brushes (broad purposes etc ...)</v>
      </c>
    </row>
    <row r="10616">
      <c r="A10616" s="1">
        <v>2.0</v>
      </c>
      <c r="B10616" s="1" t="s">
        <v>10442</v>
      </c>
      <c r="C10616" t="str">
        <f>IFERROR(__xludf.DUMMYFUNCTION("GOOGLETRANSLATE(B10616, ""fr"", ""en"")"),"Difficult to washed Not easy to wash. The milk gets stuck in corners.")</f>
        <v>Difficult to washed Not easy to wash. The milk gets stuck in corners.</v>
      </c>
    </row>
    <row r="10617">
      <c r="A10617" s="1">
        <v>1.0</v>
      </c>
      <c r="B10617" s="1" t="s">
        <v>10443</v>
      </c>
      <c r="C10617" t="str">
        <f>IFERROR(__xludf.DUMMYFUNCTION("GOOGLETRANSLATE(B10617, ""fr"", ""en"")"),"damaged parcel, left to the sender and no news since I got the information that the package is damaged, it had returned to the sender and no news since. What procedure to renew this command (already set)? Note that on 10 reams ordered, 5 arrived without p"&amp;"roblem in a first package but no other news ...")</f>
        <v>damaged parcel, left to the sender and no news since I got the information that the package is damaged, it had returned to the sender and no news since. What procedure to renew this command (already set)? Note that on 10 reams ordered, 5 arrived without problem in a first package but no other news ...</v>
      </c>
    </row>
    <row r="10618">
      <c r="A10618" s="1">
        <v>1.0</v>
      </c>
      <c r="B10618" s="1" t="s">
        <v>10444</v>
      </c>
      <c r="C10618" t="str">
        <f>IFERROR(__xludf.DUMMYFUNCTION("GOOGLETRANSLATE(B10618, ""fr"", ""en"")"),"TOO LITTLE TOO SMALL")</f>
        <v>TOO LITTLE TOO SMALL</v>
      </c>
    </row>
    <row r="10619">
      <c r="A10619" s="1">
        <v>3.0</v>
      </c>
      <c r="B10619" s="1" t="s">
        <v>10445</v>
      </c>
      <c r="C10619" t="str">
        <f>IFERROR(__xludf.DUMMYFUNCTION("GOOGLETRANSLATE(B10619, ""fr"", ""en"")"),"little too small")</f>
        <v>little too small</v>
      </c>
    </row>
    <row r="10620">
      <c r="A10620" s="1">
        <v>3.0</v>
      </c>
      <c r="B10620" s="1" t="s">
        <v>10446</v>
      </c>
      <c r="C10620" t="str">
        <f>IFERROR(__xludf.DUMMYFUNCTION("GOOGLETRANSLATE(B10620, ""fr"", ""en"")"),"Leather necklace collars seem to be good, but they are not leather but synthetic ... A bit disappointed ...")</f>
        <v>Leather necklace collars seem to be good, but they are not leather but synthetic ... A bit disappointed ...</v>
      </c>
    </row>
    <row r="10621">
      <c r="A10621" s="1">
        <v>4.0</v>
      </c>
      <c r="B10621" s="1" t="s">
        <v>10447</v>
      </c>
      <c r="C10621" t="str">
        <f>IFERROR(__xludf.DUMMYFUNCTION("GOOGLETRANSLATE(B10621, ""fr"", ""en"")"),"walking Meets")</f>
        <v>walking Meets</v>
      </c>
    </row>
    <row r="10622">
      <c r="A10622" s="1">
        <v>4.0</v>
      </c>
      <c r="B10622" s="1" t="s">
        <v>10448</v>
      </c>
      <c r="C10622" t="str">
        <f>IFERROR(__xludf.DUMMYFUNCTION("GOOGLETRANSLATE(B10622, ""fr"", ""en"")"),"Functional Used for my daughter one year to his milk bottle + cereals. I've also cut with scissors for a pacifier soup that is functional and does not tear even in time. Note that my daughter knew well and accepted the same teats in size M.")</f>
        <v>Functional Used for my daughter one year to his milk bottle + cereals. I've also cut with scissors for a pacifier soup that is functional and does not tear even in time. Note that my daughter knew well and accepted the same teats in size M.</v>
      </c>
    </row>
    <row r="10623">
      <c r="A10623" s="1">
        <v>4.0</v>
      </c>
      <c r="B10623" s="1" t="s">
        <v>10449</v>
      </c>
      <c r="C10623" t="str">
        <f>IFERROR(__xludf.DUMMYFUNCTION("GOOGLETRANSLATE(B10623, ""fr"", ""en"")"),"Simple and useful What to say about such a simple item indispensable? Perfect for temporary uses. For fixed installations, it is better to prefer gold plating. But the price / quality ratio is unbeatable!")</f>
        <v>Simple and useful What to say about such a simple item indispensable? Perfect for temporary uses. For fixed installations, it is better to prefer gold plating. But the price / quality ratio is unbeatable!</v>
      </c>
    </row>
    <row r="10624">
      <c r="A10624" s="1">
        <v>4.0</v>
      </c>
      <c r="B10624" s="1" t="s">
        <v>10450</v>
      </c>
      <c r="C10624" t="str">
        <f>IFERROR(__xludf.DUMMYFUNCTION("GOOGLETRANSLATE(B10624, ""fr"", ""en"")"),"good year with this watch beautiful watch with a modest fine price")</f>
        <v>good year with this watch beautiful watch with a modest fine price</v>
      </c>
    </row>
    <row r="10625">
      <c r="A10625" s="1">
        <v>5.0</v>
      </c>
      <c r="B10625" s="1" t="s">
        <v>10451</v>
      </c>
      <c r="C10625" t="str">
        <f>IFERROR(__xludf.DUMMYFUNCTION("GOOGLETRANSLATE(B10625, ""fr"", ""en"")"),"single healthy product to use and highly effective for soukager pain. This gel is miraculous. He quickly apèse pain and gives a feeling of freshness as soon as is applied to the skin. This is not a drug but a cream that relieves pain. So far I have found "&amp;"nothing better. I would recommend it to all my friends who have chronic pain.")</f>
        <v>single healthy product to use and highly effective for soukager pain. This gel is miraculous. He quickly apèse pain and gives a feeling of freshness as soon as is applied to the skin. This is not a drug but a cream that relieves pain. So far I have found nothing better. I would recommend it to all my friends who have chronic pain.</v>
      </c>
    </row>
    <row r="10626">
      <c r="A10626" s="1">
        <v>5.0</v>
      </c>
      <c r="B10626" s="1" t="s">
        <v>10452</v>
      </c>
      <c r="C10626" t="str">
        <f>IFERROR(__xludf.DUMMYFUNCTION("GOOGLETRANSLATE(B10626, ""fr"", ""en"")"),"Multi band and radio-controlled mini price has Superb gshock a beautiful production. I replaced my anciene after 11 years and was solar radio-controlled by this model is perfect. Question unbeatable price for the features. Small white LED that gives the m"&amp;"ost beautiful effect. It puts at any time via the mutiband alone all night. Manuel unclear but tt gshock. Very happy with my purchase.")</f>
        <v>Multi band and radio-controlled mini price has Superb gshock a beautiful production. I replaced my anciene after 11 years and was solar radio-controlled by this model is perfect. Question unbeatable price for the features. Small white LED that gives the most beautiful effect. It puts at any time via the mutiband alone all night. Manuel unclear but tt gshock. Very happy with my purchase.</v>
      </c>
    </row>
    <row r="10627">
      <c r="A10627" s="1">
        <v>5.0</v>
      </c>
      <c r="B10627" s="1" t="s">
        <v>10453</v>
      </c>
      <c r="C10627" t="str">
        <f>IFERROR(__xludf.DUMMYFUNCTION("GOOGLETRANSLATE(B10627, ""fr"", ""en"")"),"Good product. This bracelet is very good and the service from this supplier.")</f>
        <v>Good product. This bracelet is very good and the service from this supplier.</v>
      </c>
    </row>
    <row r="10628">
      <c r="A10628" s="1">
        <v>5.0</v>
      </c>
      <c r="B10628" s="1" t="s">
        <v>10454</v>
      </c>
      <c r="C10628" t="str">
        <f>IFERROR(__xludf.DUMMYFUNCTION("GOOGLETRANSLATE(B10628, ""fr"", ""en"")"),"Excellent value Used to clean and revive our car leather seats. Easy to use the result is very satisfactory. We recommend these 2 products.")</f>
        <v>Excellent value Used to clean and revive our car leather seats. Easy to use the result is very satisfactory. We recommend these 2 products.</v>
      </c>
    </row>
    <row r="10629">
      <c r="A10629" s="1">
        <v>5.0</v>
      </c>
      <c r="B10629" s="1" t="s">
        <v>10455</v>
      </c>
      <c r="C10629" t="str">
        <f>IFERROR(__xludf.DUMMYFUNCTION("GOOGLETRANSLATE(B10629, ""fr"", ""en"")"),"Too beautiful Beautiful water bottle ""retro"" by its red color. If husband perfectly in my kitchen. Heater quickly without too much noise. Good amount. I recommend")</f>
        <v>Too beautiful Beautiful water bottle "retro" by its red color. If husband perfectly in my kitchen. Heater quickly without too much noise. Good amount. I recommend</v>
      </c>
    </row>
    <row r="10630">
      <c r="A10630" s="1">
        <v>5.0</v>
      </c>
      <c r="B10630" s="1" t="s">
        <v>10456</v>
      </c>
      <c r="C10630" t="str">
        <f>IFERROR(__xludf.DUMMYFUNCTION("GOOGLETRANSLATE(B10630, ""fr"", ""en"")"),"good quality ink That's for years that I buy on Amazon this ink and so good for me. For me it is primarily for printing documents and work is impeccable. I will continue to do so because there is no valid reason to change it.")</f>
        <v>good quality ink That's for years that I buy on Amazon this ink and so good for me. For me it is primarily for printing documents and work is impeccable. I will continue to do so because there is no valid reason to change it.</v>
      </c>
    </row>
    <row r="10631">
      <c r="A10631" s="1">
        <v>5.0</v>
      </c>
      <c r="B10631" s="1" t="s">
        <v>10457</v>
      </c>
      <c r="C10631" t="str">
        <f>IFERROR(__xludf.DUMMYFUNCTION("GOOGLETRANSLATE(B10631, ""fr"", ""en"")"),"Very good product. Recommend it quickly Heater same bottle off. The Tommee teeppe (old model and new model) spend by removing the ring speeding heats but does not alter the speed of heating. Only downside, the cord is a bit short.")</f>
        <v>Very good product. Recommend it quickly Heater same bottle off. The Tommee teeppe (old model and new model) spend by removing the ring speeding heats but does not alter the speed of heating. Only downside, the cord is a bit short.</v>
      </c>
    </row>
    <row r="10632">
      <c r="A10632" s="1">
        <v>5.0</v>
      </c>
      <c r="B10632" s="1" t="s">
        <v>10458</v>
      </c>
      <c r="C10632" t="str">
        <f>IFERROR(__xludf.DUMMYFUNCTION("GOOGLETRANSLATE(B10632, ""fr"", ""en"")"),"Perfect Perfect maintaining good and pleasant material")</f>
        <v>Perfect Perfect maintaining good and pleasant material</v>
      </c>
    </row>
    <row r="10633">
      <c r="A10633" s="1">
        <v>5.0</v>
      </c>
      <c r="B10633" s="1" t="s">
        <v>10459</v>
      </c>
      <c r="C10633" t="str">
        <f>IFERROR(__xludf.DUMMYFUNCTION("GOOGLETRANSLATE(B10633, ""fr"", ""en"")"),"chic glamor I love it class, beautiful, cute as i like it like the picture no problem I love")</f>
        <v>chic glamor I love it class, beautiful, cute as i like it like the picture no problem I love</v>
      </c>
    </row>
    <row r="10634">
      <c r="A10634" s="1">
        <v>5.0</v>
      </c>
      <c r="B10634" s="1" t="s">
        <v>10460</v>
      </c>
      <c r="C10634" t="str">
        <f>IFERROR(__xludf.DUMMYFUNCTION("GOOGLETRANSLATE(B10634, ""fr"", ""en"")"),"👍🏻 I had a trouble running and I sent a message to the seller me quickly responded with a solution. The headphones work fine, the sound quality is quite good for the price. I am very satisfied!")</f>
        <v>👍🏻 I had a trouble running and I sent a message to the seller me quickly responded with a solution. The headphones work fine, the sound quality is quite good for the price. I am very satisfied!</v>
      </c>
    </row>
    <row r="10635">
      <c r="A10635" s="1">
        <v>5.0</v>
      </c>
      <c r="B10635" s="1" t="s">
        <v>10461</v>
      </c>
      <c r="C10635" t="str">
        <f>IFERROR(__xludf.DUMMYFUNCTION("GOOGLETRANSLATE(B10635, ""fr"", ""en"")"),"Product Evaluation very good very good product that I offered as gifts. Width right. 6 pts magnetic fine. Dimension Right. Thank you.")</f>
        <v>Product Evaluation very good very good product that I offered as gifts. Width right. 6 pts magnetic fine. Dimension Right. Thank you.</v>
      </c>
    </row>
    <row r="10636">
      <c r="A10636" s="1">
        <v>5.0</v>
      </c>
      <c r="B10636" s="1" t="s">
        <v>10462</v>
      </c>
      <c r="C10636" t="str">
        <f>IFERROR(__xludf.DUMMYFUNCTION("GOOGLETRANSLATE(B10636, ""fr"", ""en"")"),"Very convenient ! Very good boxes that can be individualized which is great practice!")</f>
        <v>Very convenient ! Very good boxes that can be individualized which is great practice!</v>
      </c>
    </row>
    <row r="10637">
      <c r="A10637" s="1">
        <v>5.0</v>
      </c>
      <c r="B10637" s="1" t="s">
        <v>10463</v>
      </c>
      <c r="C10637" t="str">
        <f>IFERROR(__xludf.DUMMYFUNCTION("GOOGLETRANSLATE(B10637, ""fr"", ""en"")"),"Beautiful ! Very nice item and very practical. This ""grass"" is large enough, you can have it a lot, and especially if you buy some small additional accessories like flowers. We chose green, the color is consistent with the picture of the description, th"&amp;"is article is could very design, which does not hurt!")</f>
        <v>Beautiful ! Very nice item and very practical. This "grass" is large enough, you can have it a lot, and especially if you buy some small additional accessories like flowers. We chose green, the color is consistent with the picture of the description, this article is could very design, which does not hurt!</v>
      </c>
    </row>
    <row r="10638">
      <c r="A10638" s="1">
        <v>5.0</v>
      </c>
      <c r="B10638" s="1" t="s">
        <v>10464</v>
      </c>
      <c r="C10638" t="str">
        <f>IFERROR(__xludf.DUMMYFUNCTION("GOOGLETRANSLATE(B10638, ""fr"", ""en"")"),"Perfect ! This rug looks like a fakir carpet, and the worst is that we will quickly get! We feel that traffic is in the tissues under the skin, it just takes a little patience and tensions are going! If necessary, put a thin cloth between the skin and the"&amp;" carpet at first, then remove. Also recommended for insomnia, excessive nervousness: it calms quickly !!")</f>
        <v>Perfect ! This rug looks like a fakir carpet, and the worst is that we will quickly get! We feel that traffic is in the tissues under the skin, it just takes a little patience and tensions are going! If necessary, put a thin cloth between the skin and the carpet at first, then remove. Also recommended for insomnia, excessive nervousness: it calms quickly !!</v>
      </c>
    </row>
    <row r="10639">
      <c r="A10639" s="1">
        <v>5.0</v>
      </c>
      <c r="B10639" s="1" t="s">
        <v>10465</v>
      </c>
      <c r="C10639" t="str">
        <f>IFERROR(__xludf.DUMMYFUNCTION("GOOGLETRANSLATE(B10639, ""fr"", ""en"")"),"Perfect Good quality. Good sound. Compatible for a child. Nice look. Offered to my 9 year old daughter for her mp4 player but also his ds. Folds easily. Compact")</f>
        <v>Perfect Good quality. Good sound. Compatible for a child. Nice look. Offered to my 9 year old daughter for her mp4 player but also his ds. Folds easily. Compact</v>
      </c>
    </row>
    <row r="10640">
      <c r="A10640" s="1">
        <v>2.0</v>
      </c>
      <c r="B10640" s="1" t="s">
        <v>10466</v>
      </c>
      <c r="C10640" t="str">
        <f>IFERROR(__xludf.DUMMYFUNCTION("GOOGLETRANSLATE(B10640, ""fr"", ""en"")"),"Just okay Too many bare hooks without the ball is what justifies the 2 star ... Otherwise those integers are well")</f>
        <v>Just okay Too many bare hooks without the ball is what justifies the 2 star ... Otherwise those integers are well</v>
      </c>
    </row>
    <row r="10641">
      <c r="A10641" s="1">
        <v>1.0</v>
      </c>
      <c r="B10641" s="1" t="s">
        <v>10467</v>
      </c>
      <c r="C10641" t="str">
        <f>IFERROR(__xludf.DUMMYFUNCTION("GOOGLETRANSLATE(B10641, ""fr"", ""en"")"),"Warning ! Counterfeits! Do not get fooled ! This is false Converse! For obvious details which prove just looking at the pictures on the true Converse - it says ""Converse All Star"" on the tongue and the back of the shoe and not just ""All Star"" - there "&amp;"a yoke on the tab that allows to spend the laces to press the - the bottom of the shoe is slightly blackened on certain defined areas .. just look a little on the internet and compare, you will see;)")</f>
        <v>Warning ! Counterfeits! Do not get fooled ! This is false Converse! For obvious details which prove just looking at the pictures on the true Converse - it says "Converse All Star" on the tongue and the back of the shoe and not just "All Star" - there a yoke on the tab that allows to spend the laces to press the - the bottom of the shoe is slightly blackened on certain defined areas .. just look a little on the internet and compare, you will see;)</v>
      </c>
    </row>
    <row r="10642">
      <c r="A10642" s="1">
        <v>1.0</v>
      </c>
      <c r="B10642" s="1" t="s">
        <v>10468</v>
      </c>
      <c r="C10642" t="str">
        <f>IFERROR(__xludf.DUMMYFUNCTION("GOOGLETRANSLATE(B10642, ""fr"", ""en"")"),"The poor quality gem received does not conform to the picture, the whole is much larger. And the distance between the upper and the lower part is too important to 'nimporte which ear we see the three bars that connect the two .. it's ugly. However fast de"&amp;"livery.")</f>
        <v>The poor quality gem received does not conform to the picture, the whole is much larger. And the distance between the upper and the lower part is too important to 'nimporte which ear we see the three bars that connect the two .. it's ugly. However fast delivery.</v>
      </c>
    </row>
    <row r="10643">
      <c r="A10643" s="1">
        <v>3.0</v>
      </c>
      <c r="B10643" s="1" t="s">
        <v>10469</v>
      </c>
      <c r="C10643" t="str">
        <f>IFERROR(__xludf.DUMMYFUNCTION("GOOGLETRANSLATE(B10643, ""fr"", ""en"")"),"very powerful time The display is (too) powerful, even at the minimum setting, and forces me to use the ""dark night"" Fortunately it is him! because for me there are 3 intensities: none, strong, and really too strong. It appears that the ""natural"" soun"&amp;"ds are ugly, I have not really been trying, even at the minimum setting her is so strong that I was afraid of being mugged shortly voisins.Sauf by radio, to a reason I did not understand, but before the attack sound, I quickly opted for the less brutal th"&amp;"erefore radio.Dommage for a device with a selection of nature sounds! (Yes, I read and reread the instructions to be sure not to set the maximum per accident, I swear, I still manage to increase the volume after deciding that it was unbearable) so the daw"&amp;"n simulator starts 30 minutes before the hour configurée.Si you want to customize this time, look elsewhere, here it is 30 minutes and it's worse tout.Important to know if this is important to you .The light woke me very well, I just set the time required"&amp;" therefore sounding the alarm never having the time to start. The light, even very low, lights up at once, and increases in increments every 5 or 10 minutes, I have not checked this point exactly. So if, like me, you are very sensitive to light, the ""beg"&amp;"inning"" of the blade may be a rude strand. A more progressive lighting would have been more comfortable but I guess that's why the big brands have simulators costing 3 times the price of this one. The color choice is not about to dawn simulation. Only mo"&amp;"de ""color lamp"" and the intensity of light is not adjustable in this mode. (Or so I have not found, or by testing or by reading the user guide that is not always very clear, other reviews have said, sometimes you should just guess!) In summary If you wa"&amp;"nt natural sounds hyper quality, or you are very sensitive to light and it wakes you up very effectively, this model may not be suitable, you should aim alas more expensive ... If you are moderately sensitive to light, and the alarm is screaming at you to"&amp;" complete wake up, this model is certainly an excellent price / quality for you!")</f>
        <v>very powerful time The display is (too) powerful, even at the minimum setting, and forces me to use the "dark night" Fortunately it is him! because for me there are 3 intensities: none, strong, and really too strong. It appears that the "natural" sounds are ugly, I have not really been trying, even at the minimum setting her is so strong that I was afraid of being mugged shortly voisins.Sauf by radio, to a reason I did not understand, but before the attack sound, I quickly opted for the less brutal therefore radio.Dommage for a device with a selection of nature sounds! (Yes, I read and reread the instructions to be sure not to set the maximum per accident, I swear, I still manage to increase the volume after deciding that it was unbearable) so the dawn simulator starts 30 minutes before the hour configurée.Si you want to customize this time, look elsewhere, here it is 30 minutes and it's worse tout.Important to know if this is important to you .The light woke me very well, I just set the time required therefore sounding the alarm never having the time to start. The light, even very low, lights up at once, and increases in increments every 5 or 10 minutes, I have not checked this point exactly. So if, like me, you are very sensitive to light, the "beginning" of the blade may be a rude strand. A more progressive lighting would have been more comfortable but I guess that's why the big brands have simulators costing 3 times the price of this one. The color choice is not about to dawn simulation. Only mode "color lamp" and the intensity of light is not adjustable in this mode. (Or so I have not found, or by testing or by reading the user guide that is not always very clear, other reviews have said, sometimes you should just guess!) In summary If you want natural sounds hyper quality, or you are very sensitive to light and it wakes you up very effectively, this model may not be suitable, you should aim alas more expensive ... If you are moderately sensitive to light, and the alarm is screaming at you to complete wake up, this model is certainly an excellent price / quality for you!</v>
      </c>
    </row>
    <row r="10644">
      <c r="A10644" s="1">
        <v>4.0</v>
      </c>
      <c r="B10644" s="1" t="s">
        <v>10470</v>
      </c>
      <c r="C10644" t="str">
        <f>IFERROR(__xludf.DUMMYFUNCTION("GOOGLETRANSLATE(B10644, ""fr"", ""en"")"),"Delivery Roger thank you")</f>
        <v>Delivery Roger thank you</v>
      </c>
    </row>
    <row r="10645">
      <c r="A10645" s="1">
        <v>4.0</v>
      </c>
      <c r="B10645" s="1" t="s">
        <v>10471</v>
      </c>
      <c r="C10645" t="str">
        <f>IFERROR(__xludf.DUMMYFUNCTION("GOOGLETRANSLATE(B10645, ""fr"", ""en"")"),"Good stapler Pleasantly surprised by this stapler that I use every day at work and works perfectly even with 15 sheets of 80 g")</f>
        <v>Good stapler Pleasantly surprised by this stapler that I use every day at work and works perfectly even with 15 sheets of 80 g</v>
      </c>
    </row>
    <row r="10646">
      <c r="A10646" s="1">
        <v>4.0</v>
      </c>
      <c r="B10646" s="1" t="s">
        <v>10472</v>
      </c>
      <c r="C10646" t="str">
        <f>IFERROR(__xludf.DUMMYFUNCTION("GOOGLETRANSLATE(B10646, ""fr"", ""en"")"),"a very good buy item satisfying comfortable no problem with the size (corresponding) very affordable price I already had a pair of the same brand, I will not leave")</f>
        <v>a very good buy item satisfying comfortable no problem with the size (corresponding) very affordable price I already had a pair of the same brand, I will not leave</v>
      </c>
    </row>
    <row r="10647">
      <c r="A10647" s="1">
        <v>4.0</v>
      </c>
      <c r="B10647" s="1" t="s">
        <v>10473</v>
      </c>
      <c r="C10647" t="str">
        <f>IFERROR(__xludf.DUMMYFUNCTION("GOOGLETRANSLATE(B10647, ""fr"", ""en"")"),"CATERPILLAR HOLTON MEET THE ANNOUNCEMENT - Comfortable shoes damage they are dear. Very good quality. Recommend future buyer - ok")</f>
        <v>CATERPILLAR HOLTON MEET THE ANNOUNCEMENT - Comfortable shoes damage they are dear. Very good quality. Recommend future buyer - ok</v>
      </c>
    </row>
    <row r="10648">
      <c r="A10648" s="1">
        <v>4.0</v>
      </c>
      <c r="B10648" s="1" t="s">
        <v>10474</v>
      </c>
      <c r="C10648" t="str">
        <f>IFERROR(__xludf.DUMMYFUNCTION("GOOGLETRANSLATE(B10648, ""fr"", ""en"")"),"Very nice, little ergonomics improve Offered as a gift to my wife who is very happy. The light is fully adjustable in intensity (and therefore color). The alarm melodies are sweet and pleasant. Many setting. However, it found that the 3 buttons to adjust "&amp;"the light (on / off, more and less intensity) deserves to be put forward to find the just.")</f>
        <v>Very nice, little ergonomics improve Offered as a gift to my wife who is very happy. The light is fully adjustable in intensity (and therefore color). The alarm melodies are sweet and pleasant. Many setting. However, it found that the 3 buttons to adjust the light (on / off, more and less intensity) deserves to be put forward to find the just.</v>
      </c>
    </row>
    <row r="10649">
      <c r="A10649" s="1">
        <v>5.0</v>
      </c>
      <c r="B10649" s="1" t="s">
        <v>10475</v>
      </c>
      <c r="C10649" t="str">
        <f>IFERROR(__xludf.DUMMYFUNCTION("GOOGLETRANSLATE(B10649, ""fr"", ""en"")"),"Not disappointed Beautiful colors, classics, not disappointed")</f>
        <v>Not disappointed Beautiful colors, classics, not disappointed</v>
      </c>
    </row>
    <row r="10650">
      <c r="A10650" s="1">
        <v>5.0</v>
      </c>
      <c r="B10650" s="1" t="s">
        <v>10476</v>
      </c>
      <c r="C10650" t="str">
        <f>IFERROR(__xludf.DUMMYFUNCTION("GOOGLETRANSLATE(B10650, ""fr"", ""en"")"),"very good products of very good quality with normal timberland we are never disappointed")</f>
        <v>very good products of very good quality with normal timberland we are never disappointed</v>
      </c>
    </row>
    <row r="10651">
      <c r="A10651" s="1">
        <v>5.0</v>
      </c>
      <c r="B10651" s="1" t="s">
        <v>10477</v>
      </c>
      <c r="C10651" t="str">
        <f>IFERROR(__xludf.DUMMYFUNCTION("GOOGLETRANSLATE(B10651, ""fr"", ""en"")"),"Very good sound quality product for a low price .Good quality of listening (music and calls) very good battery life. I recommend the seller received the day after my purchase .Ravi")</f>
        <v>Very good sound quality product for a low price .Good quality of listening (music and calls) very good battery life. I recommend the seller received the day after my purchase .Ravi</v>
      </c>
    </row>
    <row r="10652">
      <c r="A10652" s="1">
        <v>5.0</v>
      </c>
      <c r="B10652" s="1" t="s">
        <v>10478</v>
      </c>
      <c r="C10652" t="str">
        <f>IFERROR(__xludf.DUMMYFUNCTION("GOOGLETRANSLATE(B10652, ""fr"", ""en"")"),"As expected authentic shoe, comes with box vans and label stickers. Size large feel free to take a size smaller !!")</f>
        <v>As expected authentic shoe, comes with box vans and label stickers. Size large feel free to take a size smaller !!</v>
      </c>
    </row>
    <row r="10653">
      <c r="A10653" s="1">
        <v>5.0</v>
      </c>
      <c r="B10653" s="1" t="s">
        <v>10479</v>
      </c>
      <c r="C10653" t="str">
        <f>IFERROR(__xludf.DUMMYFUNCTION("GOOGLETRANSLATE(B10653, ""fr"", ""en"")"),"As picture Received early. Meets the picture shelter. priori good quality")</f>
        <v>As picture Received early. Meets the picture shelter. priori good quality</v>
      </c>
    </row>
    <row r="10654">
      <c r="A10654" s="1">
        <v>5.0</v>
      </c>
      <c r="B10654" s="1" t="s">
        <v>10480</v>
      </c>
      <c r="C10654" t="str">
        <f>IFERROR(__xludf.DUMMYFUNCTION("GOOGLETRANSLATE(B10654, ""fr"", ""en"")"),"Good product A beautiful necklace for the price. With beautiful blue stone that shines pretty well. I recommend this jewelry 👍")</f>
        <v>Good product A beautiful necklace for the price. With beautiful blue stone that shines pretty well. I recommend this jewelry 👍</v>
      </c>
    </row>
    <row r="10655">
      <c r="A10655" s="1">
        <v>5.0</v>
      </c>
      <c r="B10655" s="1" t="s">
        <v>10481</v>
      </c>
      <c r="C10655" t="str">
        <f>IFERROR(__xludf.DUMMYFUNCTION("GOOGLETRANSLATE(B10655, ""fr"", ""en"")"),"Bag of good quality and convenient This bag is of very good quality and very solid. His organization - number of pockets, interior layout - is very functional. Ideal for work, can store documents, a computer. Being able to wear it as well in hand, shoulde"&amp;"r or that still backpack enhances convenience. serious seller both fast delivery by the neat package in a box with paper padding, the bag is a cloth pouch, no transportation worries. Very pleased with this purchase.")</f>
        <v>Bag of good quality and convenient This bag is of very good quality and very solid. His organization - number of pockets, interior layout - is very functional. Ideal for work, can store documents, a computer. Being able to wear it as well in hand, shoulder or that still backpack enhances convenience. serious seller both fast delivery by the neat package in a box with paper padding, the bag is a cloth pouch, no transportation worries. Very pleased with this purchase.</v>
      </c>
    </row>
    <row r="10656">
      <c r="A10656" s="1">
        <v>5.0</v>
      </c>
      <c r="B10656" s="1" t="s">
        <v>10482</v>
      </c>
      <c r="C10656" t="str">
        <f>IFERROR(__xludf.DUMMYFUNCTION("GOOGLETRANSLATE(B10656, ""fr"", ""en"")"),"Super Pack !!! Good grip chopsticks. They are fluids in their movement. The pendulum is simple but very good quality and finish. Hate to purify and the use!")</f>
        <v>Super Pack !!! Good grip chopsticks. They are fluids in their movement. The pendulum is simple but very good quality and finish. Hate to purify and the use!</v>
      </c>
    </row>
    <row r="10657">
      <c r="A10657" s="1">
        <v>5.0</v>
      </c>
      <c r="B10657" s="1" t="s">
        <v>10483</v>
      </c>
      <c r="C10657" t="str">
        <f>IFERROR(__xludf.DUMMYFUNCTION("GOOGLETRANSLATE(B10657, ""fr"", ""en"")"),"shows line with what I expected")</f>
        <v>shows line with what I expected</v>
      </c>
    </row>
    <row r="10658">
      <c r="A10658" s="1">
        <v>5.0</v>
      </c>
      <c r="B10658" s="1" t="s">
        <v>10484</v>
      </c>
      <c r="C10658" t="str">
        <f>IFERROR(__xludf.DUMMYFUNCTION("GOOGLETRANSLATE(B10658, ""fr"", ""en"")"),"I can not do without it ! Fan of this awakening! What a pleasure to come naturally wake up with ""&amp; nbsp; &amp; nbsp dawn,"" and the birds singing :)")</f>
        <v>I can not do without it ! Fan of this awakening! What a pleasure to come naturally wake up with "&amp; nbsp; &amp; nbsp dawn," and the birds singing :)</v>
      </c>
    </row>
    <row r="10659">
      <c r="A10659" s="1">
        <v>5.0</v>
      </c>
      <c r="B10659" s="1" t="s">
        <v>10485</v>
      </c>
      <c r="C10659" t="str">
        <f>IFERROR(__xludf.DUMMYFUNCTION("GOOGLETRANSLATE(B10659, ""fr"", ""en"")"),"Okay, I am very satisfied with this purchase")</f>
        <v>Okay, I am very satisfied with this purchase</v>
      </c>
    </row>
    <row r="10660">
      <c r="A10660" s="1">
        <v>5.0</v>
      </c>
      <c r="B10660" s="1" t="s">
        <v>10486</v>
      </c>
      <c r="C10660" t="str">
        <f>IFERROR(__xludf.DUMMYFUNCTION("GOOGLETRANSLATE(B10660, ""fr"", ""en"")"),"Venus Received timely good product and good quality")</f>
        <v>Venus Received timely good product and good quality</v>
      </c>
    </row>
    <row r="10661">
      <c r="A10661" s="1">
        <v>5.0</v>
      </c>
      <c r="B10661" s="1" t="s">
        <v>10487</v>
      </c>
      <c r="C10661" t="str">
        <f>IFERROR(__xludf.DUMMYFUNCTION("GOOGLETRANSLATE(B10661, ""fr"", ""en"")"),"afraid to serve many things I personally serves me to enhance my keyboard and I can incline as I wish it allows me to have less trouble greatness and depth are also very suitable I highly recommend this purchase it myself makes life saw my disability than"&amp;"k you to all")</f>
        <v>afraid to serve many things I personally serves me to enhance my keyboard and I can incline as I wish it allows me to have less trouble greatness and depth are also very suitable I highly recommend this purchase it myself makes life saw my disability thank you to all</v>
      </c>
    </row>
    <row r="10662">
      <c r="A10662" s="1">
        <v>5.0</v>
      </c>
      <c r="B10662" s="1" t="s">
        <v>10488</v>
      </c>
      <c r="C10662" t="str">
        <f>IFERROR(__xludf.DUMMYFUNCTION("GOOGLETRANSLATE(B10662, ""fr"", ""en"")"),"Beautiful good value jewelry Very pretty well finished jewelry of good quality I recommend it")</f>
        <v>Beautiful good value jewelry Very pretty well finished jewelry of good quality I recommend it</v>
      </c>
    </row>
    <row r="10663">
      <c r="A10663" s="1">
        <v>5.0</v>
      </c>
      <c r="B10663" s="1" t="s">
        <v>10489</v>
      </c>
      <c r="C10663" t="str">
        <f>IFERROR(__xludf.DUMMYFUNCTION("GOOGLETRANSLATE(B10663, ""fr"", ""en"")"),"Perfect Very good product Made his work")</f>
        <v>Perfect Very good product Made his work</v>
      </c>
    </row>
    <row r="10664">
      <c r="A10664" s="1">
        <v>2.0</v>
      </c>
      <c r="B10664" s="1" t="s">
        <v>10490</v>
      </c>
      <c r="C10664" t="str">
        <f>IFERROR(__xludf.DUMMYFUNCTION("GOOGLETRANSLATE(B10664, ""fr"", ""en"")"),"the English have problems with the metric system when the cables of 1.20 meters 1.02 meters make it, there's probably a conversion problem! (The product comes from the UK)")</f>
        <v>the English have problems with the metric system when the cables of 1.20 meters 1.02 meters make it, there's probably a conversion problem! (The product comes from the UK)</v>
      </c>
    </row>
    <row r="10665">
      <c r="A10665" s="1">
        <v>1.0</v>
      </c>
      <c r="B10665" s="1" t="s">
        <v>10491</v>
      </c>
      <c r="C10665" t="str">
        <f>IFERROR(__xludf.DUMMYFUNCTION("GOOGLETRANSLATE(B10665, ""fr"", ""en"")"),"Product adulteration is not original !!!! See LED pictures")</f>
        <v>Product adulteration is not original !!!! See LED pictures</v>
      </c>
    </row>
    <row r="10666">
      <c r="A10666" s="1">
        <v>3.0</v>
      </c>
      <c r="B10666" s="1" t="s">
        <v>10492</v>
      </c>
      <c r="C10666" t="str">
        <f>IFERROR(__xludf.DUMMYFUNCTION("GOOGLETRANSLATE(B10666, ""fr"", ""en"")"),"Very nice but .... The seller has nothing to do .... but impossible to bear. Very good product but I'm prone to allergies so I do not support the dorsal and shoulder straps that are not of the same material as the rest of the jacket, a pity because they a"&amp;"re very pretty.")</f>
        <v>Very nice but .... The seller has nothing to do .... but impossible to bear. Very good product but I'm prone to allergies so I do not support the dorsal and shoulder straps that are not of the same material as the rest of the jacket, a pity because they are very pretty.</v>
      </c>
    </row>
    <row r="10667">
      <c r="A10667" s="1">
        <v>3.0</v>
      </c>
      <c r="B10667" s="1" t="s">
        <v>10493</v>
      </c>
      <c r="C10667" t="str">
        <f>IFERROR(__xludf.DUMMYFUNCTION("GOOGLETRANSLATE(B10667, ""fr"", ""en"")"),"Stainless very hot and unprotected Unfortunately stainless steel is not protected burn risk if we do not catch the wrist .... All the kettle is hot during heating (and beyond!)")</f>
        <v>Stainless very hot and unprotected Unfortunately stainless steel is not protected burn risk if we do not catch the wrist .... All the kettle is hot during heating (and beyond!)</v>
      </c>
    </row>
    <row r="10668">
      <c r="A10668" s="1">
        <v>4.0</v>
      </c>
      <c r="B10668" s="1" t="s">
        <v>2405</v>
      </c>
      <c r="C10668" t="str">
        <f>IFERROR(__xludf.DUMMYFUNCTION("GOOGLETRANSLATE(B10668, ""fr"", ""en"")"),"cool cool")</f>
        <v>cool cool</v>
      </c>
    </row>
    <row r="10669">
      <c r="A10669" s="1">
        <v>4.0</v>
      </c>
      <c r="B10669" s="1" t="s">
        <v>10494</v>
      </c>
      <c r="C10669" t="str">
        <f>IFERROR(__xludf.DUMMYFUNCTION("GOOGLETRANSLATE(B10669, ""fr"", ""en"")"),"Compact and complete The toaster has defects that its limited number of slices: 1 single. But this seems normal in view of this new range of ""compact"" products. The overall dimensions of the device are actually low, but I also find interesting the many "&amp;"features. The most original is the small LCD screen. It displays the selected power level (by manual selector at the bottom of the screen), and then displays a countdown in seconds of the remaining time of heating. When lowering the wafer with the lever o"&amp;"n the right of the apparatus, the heating is started according to the selected power level (1 to 6). It is possible to press the ""thaw"" at the bottom left of the screen to add time, or the ""reheat"" button to decrease. Once launched heater and possibly"&amp;" the ""thawing"" or ""reheat"" pressed, it is no longer possible to change the power and the selected function (this requires eject the slice with the middle button and start again) . A small lever on the left of the device can lift or lower the ""warm pa"&amp;"stries support). Finally, a drawer garbage collector can evacuate the crumbs at the bottom of the toaster. Overall, the device is aesthetically successful bin. The outer surfaces do not burn as some devices. Regarding the heating, it is quite fast and abo"&amp;"ve all consistent with the multiple resistance system (more strands instead of a bar heater). The only complaint comes to the number of slice. I think 2 compartments were welcome also without making the device too bulky.")</f>
        <v>Compact and complete The toaster has defects that its limited number of slices: 1 single. But this seems normal in view of this new range of "compact" products. The overall dimensions of the device are actually low, but I also find interesting the many features. The most original is the small LCD screen. It displays the selected power level (by manual selector at the bottom of the screen), and then displays a countdown in seconds of the remaining time of heating. When lowering the wafer with the lever on the right of the apparatus, the heating is started according to the selected power level (1 to 6). It is possible to press the "thaw" at the bottom left of the screen to add time, or the "reheat" button to decrease. Once launched heater and possibly the "thawing" or "reheat" pressed, it is no longer possible to change the power and the selected function (this requires eject the slice with the middle button and start again) . A small lever on the left of the device can lift or lower the "warm pastries support). Finally, a drawer garbage collector can evacuate the crumbs at the bottom of the toaster. Overall, the device is aesthetically successful bin. The outer surfaces do not burn as some devices. Regarding the heating, it is quite fast and above all consistent with the multiple resistance system (more strands instead of a bar heater). The only complaint comes to the number of slice. I think 2 compartments were welcome also without making the device too bulky.</v>
      </c>
    </row>
    <row r="10670">
      <c r="A10670" s="1">
        <v>4.0</v>
      </c>
      <c r="B10670" s="1" t="s">
        <v>10495</v>
      </c>
      <c r="C10670" t="str">
        <f>IFERROR(__xludf.DUMMYFUNCTION("GOOGLETRANSLATE(B10670, ""fr"", ""en"")"),"Good products do not hesitate for an apartment of 65m2 area. Easy to use. Aesthetic. Very handy to have the smell of different essential oils.")</f>
        <v>Good products do not hesitate for an apartment of 65m2 area. Easy to use. Aesthetic. Very handy to have the smell of different essential oils.</v>
      </c>
    </row>
    <row r="10671">
      <c r="A10671" s="1">
        <v>4.0</v>
      </c>
      <c r="B10671" s="1" t="s">
        <v>10496</v>
      </c>
      <c r="C10671" t="str">
        <f>IFERROR(__xludf.DUMMYFUNCTION("GOOGLETRANSLATE(B10671, ""fr"", ""en"")"),"A good quality helmet at a great price My son who is far from gentle with his business very used (and that's an understatement) regularly, and it is still functional and in good condition, as is Bluetooth very good, by the jack against very average cable "&amp;"the sound is very average. The buttons to increase the volume and change tracks are not very big and not very accessible, damage. It is none the less a good solid helmet for a budget price.")</f>
        <v>A good quality helmet at a great price My son who is far from gentle with his business very used (and that's an understatement) regularly, and it is still functional and in good condition, as is Bluetooth very good, by the jack against very average cable the sound is very average. The buttons to increase the volume and change tracks are not very big and not very accessible, damage. It is none the less a good solid helmet for a budget price.</v>
      </c>
    </row>
    <row r="10672">
      <c r="A10672" s="1">
        <v>5.0</v>
      </c>
      <c r="B10672" s="1" t="s">
        <v>10497</v>
      </c>
      <c r="C10672" t="str">
        <f>IFERROR(__xludf.DUMMYFUNCTION("GOOGLETRANSLATE(B10672, ""fr"", ""en"")"),"Very good quality / price This simple but effective helmet in competition from other well in much higher prices, the long wire is convenient and listening is very correct for all comers (TV, Radio ...... ) even for a comfortable listening to several hours")</f>
        <v>Very good quality / price This simple but effective helmet in competition from other well in much higher prices, the long wire is convenient and listening is very correct for all comers (TV, Radio ...... ) even for a comfortable listening to several hours</v>
      </c>
    </row>
    <row r="10673">
      <c r="A10673" s="1">
        <v>5.0</v>
      </c>
      <c r="B10673" s="1" t="s">
        <v>10498</v>
      </c>
      <c r="C10673" t="str">
        <f>IFERROR(__xludf.DUMMYFUNCTION("GOOGLETRANSLATE(B10673, ""fr"", ""en"")"),"Perfect Great quality, perfect for a Blue Yeti, however less suitable for a lighter micro (ask much about weight microphones). The tip is universal. You will not find better.")</f>
        <v>Perfect Great quality, perfect for a Blue Yeti, however less suitable for a lighter micro (ask much about weight microphones). The tip is universal. You will not find better.</v>
      </c>
    </row>
    <row r="10674">
      <c r="A10674" s="1">
        <v>5.0</v>
      </c>
      <c r="B10674" s="1" t="s">
        <v>10499</v>
      </c>
      <c r="C10674" t="str">
        <f>IFERROR(__xludf.DUMMYFUNCTION("GOOGLETRANSLATE(B10674, ""fr"", ""en"")"),"Good value &lt;div id = ""video-block-RJ8E8EZNX827G"" class = ""a-section-spacing-small in-spacing-top mini video-block""&gt; &lt;div tabindex = ""0"" class = ""airy airy -svg vmin-supported airy-skin-beacon ""style ="" background-color: rgb (0, 0, 0); position: r"&amp;"elative; width: 100%; height: 100%; font-size: 0px; overflow: hidden ; outline: none; ""&gt; &lt;div class ="" airy-renderer-container ""style ="" position: relative; height: 100%; width: 100%; ""&gt; &lt;video id ="" 7 ""preload ="" auto ""src = ""https://images-eu."&amp;"ssl-images-amazon.com/images/I/A1sLA-fZPYS.mp4"" style = ""position: absolute; left: 0px; top: 0px; overflow: hidden; height: 1px ; width: 1px; ""&gt; &lt;/ video&gt; &lt;/ div&gt; &lt;div id ="" airy-slate-preload ""style ="" background-color: rgb (0, 0, 0); background-im"&amp;"age: url (&amp; quot; https://images-eu.ssl-images-amazon.com/images/I/91RmONGDjoS.png&amp;quot;); background-size: contain; background-position: center center; background-repeat: no-repeat; position: absolute ; top: 0px; left: 0px; visibility: visible; width: 10"&amp;"0%; height: 100% ""&gt; &lt;/ div&gt; &lt;iframe sc Rolling = ""no"" frameborder = ""0"" src = ""about: blank"" style = ""display: none;""&gt; &lt;/ iframe&gt; &lt;div tabindex = ""- 1"" class = ""airy-controls-container"" style = "" opacity: 0; visibility: hidden; ""&gt; &lt;div tabi"&amp;"ndex ="" - 1 ""class ="" airy-screen-size-toggle airy-fullscreen ""&gt; &lt;/ div&gt; &lt;div tabindex ="" - 1 ""class ="" airy-container-bottom "" &gt; &lt;div tabindex = ""- 1"" class = ""airy-track-bar spacer-left"" style = ""width: 11px;""&gt; &lt;/ div&gt; &lt;div tabindex = ""- "&amp;"1"" class = ""airy-play- toggle airy-play ""style ="" width: 12px; margin-right: 12px; ""&gt; &lt;/ div&gt; &lt;div tabindex ="" - 1 ""class ="" airy-audio-elements ""style ="" float: right; width: 34px; ""&gt; &lt;div tabindex ="" - 1 ""class ="" airy-audio-toggle airy-on"&amp;" ""&gt; &lt;/ div&gt; &lt;div tabindex ="" - 1 ""class ="" airy-audio-container ""style = ""opacity: 0; visibility: hidden; ""&gt; &lt;div tabindex ="" - 1 ""class ="" airy-audio-track-bar ""style ="" height: 80%; ""&gt; &lt;div tabindex ="" - 1 ""class ="" airy-audio- scrubber "&amp;"bar ""style ="" height: 85% ""&gt; &lt;/ div&gt; &lt;div tabindex ="" - 1 ""class ="" airy-audio-scrubber ""style ="" height: 12px; bottom: 85% ""&gt; &lt;/ div&gt; &lt;/ div&gt; &lt;/ div&gt; &lt;/ div&gt; &lt;div tabindex ="" - 1 ""class ="" airy-duration-label ""style ="" float: right; width: "&amp;"26px; margin-right: 4px; text-align: center; ""&gt; 0:00 &lt;/ div&gt; &lt;div tabindex ="" - 1 ""class ="" airy-track-bar spacer-right ""style ="" float: right; width: 11px; ""&gt; &lt;/ div&gt; &lt;div tabindex ="" - 1 ""class ="" airy-track-bar-container ""style ="" margin-le"&amp;"ft: 35px; margin-right: 75px; ""&gt; &lt;div tabindex ="" - 1 ""class ="" airy-airy-track-bar vertical-centering-table ""&gt; &lt;div tabindex ="" - 1 ""class ="" airy-vertical-centering- table-cell ""&gt; &lt;div tabindex ="" - 1 ""class ="" airy-track-bar elements ""&gt; &lt;d"&amp;"iv tabindex ="" - 1 ""class ="" airy-progress bar ""&gt; &lt;/ div&gt; &lt;div tabindex = ""- 1"" class = ""airy-scrubber bar""&gt; &lt;/ div&gt; &lt;div tabindex = ""- 1"" class = ""airy-scrubber""&gt; &lt;div tabindex = ""- 1"" class = ""airy-scrubber- icon ""&gt; &lt;/ div&gt; &lt;div tabindex"&amp;" ="" - 1 ""class ="" airy-adjusted-aui-tooltip ""style ="" opacity: 0; visibility: hidden; ""&gt; &lt;div tabindex ="" - 1 ""class ="" airy-adjusted-aui-tooltip-inner ""&gt; &lt;div tabindex ="" - 1 ""class ="" airy-current-time-label ""&gt; 0 00 &lt;/ div&gt; &lt;/ div&gt; &lt;div ta"&amp;"bindex = ""- 1"" class = ""airy-adjusted-aui-arrow-border""&gt; &lt;div tabindex = ""- 1"" class = ""airy-adjusted-aui-arrow"" &gt; &lt;/ div&gt; &lt;/ div&gt; &lt;/ div&gt; &lt;/ div&gt; &lt;/ div&gt; &lt;/ div&gt; &lt;/ div&gt; &lt;/ div&gt; &lt;/ div&gt; &lt;/ div&gt; &lt;div tabindex = ""- 1"" class = ""airy-airy-age-gate"&amp;" course airy-vertical-centering table-airy-dialog"" style = ""opacity: 0; visibility: hidden; ""&gt; &lt;div tabindex ="" - 1 ""class ="" airy-age-gate-vertical-centering-table-cell airy-vertical-centering-table-cell ""&gt; &lt;div tabindex ="" - 1 ""class = ""airy-v"&amp;"ertical-centering-wrapper airy-age-gate-elements-wrapper""&gt; &lt;div tabindex = ""- 1"" class = ""airy-age-gate-elements airy-dialog-elements""&gt; &lt;div tabindex = "" -1 ""class ="" airy-age-gate-prompt ""&gt; This video is not Intended for all audiences What time "&amp;"were you born &lt;/ div&gt; &lt;div tabindex =.?"" - 1 ""class ="" airy-age-gate -inputs airy-dialog-inner-elements ""&gt; &lt;select tabindex ="" - 1 ""class ="" airy-age-gate-month ""&gt; &lt;option value ="" 1 ""&gt; January &lt;/ option&gt; &lt;option value ="" 2 ""&gt; February &lt;/ opti"&amp;"on&gt; &lt;option value ="" 3 ""&gt; March &lt;/ option&gt; &lt;option value ="" 4 ""&gt; April &lt;/ option&gt; &lt;option value ="" 5 ""&gt; May &lt;/ option&gt; &lt;option value = ""6""&gt; June &lt;/ option&gt; &lt;option value = ""7""&gt; July &lt;/ option&gt; &lt;option value = ""8""&gt; August &lt;/ option&gt; &lt;option val"&amp;"ue = ""9""&gt; September &lt;/ option&gt; &lt;option value = ""10""&gt; October &lt;/ option&gt; &lt;option value = ""11""&gt; November &lt;/ option&gt; &lt;option value = ""12""&gt; December &lt;/ option&gt; &lt;/ select&gt; &lt;select tabindex = ""- 1"" class = ""airy-age-gate-day""&gt; &lt;opti = One value ""1"&amp;"""&gt; 1 &lt;/ option&gt; &lt;option value = ""2""&gt; 2 &lt;/ option&gt; &lt;option value = ""3""&gt; 3 &lt;/ option&gt; &lt;option value = ""4""&gt; 4 &lt;/ option &gt; &lt;option value = ""5""&gt; 5 &lt;/ option&gt; &lt;option value = ""6""&gt; 6 &lt;/ option&gt; &lt;option value = ""7""&gt; 7 &lt;/ option&gt; &lt;option value = ""8"""&amp;"&gt; 8 &lt; / option&gt; &lt;option value = ""9""&gt; 9 &lt;/ option&gt; &lt;option value = ""10""&gt; 10 &lt;/ option&gt; &lt;option value = ""11""&gt; 11 &lt;/ option&gt; &lt;option value = ""12""&gt; 12 &lt;/ option&gt; &lt;option value = ""13""&gt; 13 &lt;/ option&gt; &lt;option value = ""14""&gt; 14 &lt;/ option&gt; &lt;option value"&amp;" = ""15""&gt; 15 &lt;/ option&gt; &lt;option value = ""16 ""&gt; 16 &lt;/ option&gt; &lt;option value ="" 17 ""&gt; 17 &lt;/ option&gt; &lt;option value ="" 18 ""&gt; 18 &lt;/ option&gt; &lt;option value ="" 19 ""&gt; 19 &lt;/ option&gt; &lt;option value = ""20""&gt; 20 &lt;/ option&gt; &lt;option value = ""21""&gt; 21 &lt;/ option"&amp;"&gt; &lt;option value = ""22""&gt; 22 &lt;/ option&gt; &lt;option value = ""23""&gt; 23 &lt;/ option&gt; &lt;option value = ""24""&gt; 24 &lt;/ option&gt; &lt;option value = ""25""&gt; 25 &lt;/ option&gt; &lt;option value = ""26""&gt; 26 &lt;/ option&gt; &lt;option value = ""27""&gt; 27 &lt;/ option&gt; &lt;option value = ""28""&gt; 2"&amp;"8 &lt;/ option&gt; &lt;option value = ""29""&gt; 29 &lt;/ option&gt; &lt;option value = ""30""&gt; 30 &lt;/ option&gt; &lt;option value = ""31""&gt; 31 &lt;/ option&gt; &lt;/ select&gt; &lt;select tabindex = ""- 1"" class = ""airy-age-gate-year""&gt; &lt;option value = ""2019""&gt; 2019 &lt;/ option&gt; &lt; option value ="&amp;" ""2018""&gt; 2018 &lt;/ option&gt; &lt;option value = ""2017""&gt; 2017 &lt;/ option&gt; &lt;option value = ""2016""&gt; ​​2016 &lt;/ option&gt; &lt;option value = ""2015""&gt; 2015 &lt;/ option &gt; &lt;option value = ""2014""&gt; 2014 &lt;/ option&gt; &lt;option value = ""2013""&gt; 2013 &lt;/ option&gt; &lt;option value ="&amp;" ""2012""&gt; 2012 &lt;/ option&gt; &lt;option value = ""2011""&gt; 2011 &lt; / option&gt; &lt;option value = ""2010""&gt; 2010 &lt;/ option&gt; &lt;option value = ""2009""&gt; 2009 &lt;/ option&gt; &lt;option value = ""2008""&gt; 2008 &lt;/ option&gt; &lt;option value = ""2007""&gt; 2007 &lt;/ option&gt; &lt;option value = "&amp;"""2006""&gt; 2006 &lt;/ option&gt; &lt;option value = ""2005""&gt; 2005 &lt;/ option&gt; &lt;option value = ""2004""&gt; 2004 &lt;/ option&gt; &lt;option value = ""2003 ""&gt; 2003 &lt;/ option&gt; &lt;option value ="" 2002 ""&gt; 2002 &lt;/ option&gt; &lt;option value ="" 2001 ""&gt; 2001 &lt;/ option&gt; &lt;option value ="&amp;""" 2000 ""&gt; 2000 &lt;/ option&gt; &lt;option value = ""1999""&gt; 1999 &lt;/ option&gt; &lt;option value = ""1998""&gt; 1998 &lt;/ option&gt; &lt;option value = ""1997""&gt; 1997 &lt;/ option&gt; &lt;option value = ""1996""&gt; 1996 &lt;/ option&gt; &lt;option value = ""1995""&gt; 1995 &lt;/ option&gt; &lt;option value = "&amp;"""1994""&gt;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&lt;option value = ""1985""&gt; 1985 &lt;/ option&gt; &lt;option value = ""1984""&gt; 1984 &lt;/ option&gt; &lt;option value = ""1983""&gt; 1983 &lt;/ option&gt; &lt;option value = "&amp;"""1982""&gt;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&lt;option value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&lt;option value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airy-course airy -Vertical-centering-table dialog airy-airy-denied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 tabindex."" - 1 ""class ="" airy-install-flash-"&amp;"button-wrapper airy -dialog-inner-elements ""&gt; &lt;div tabindex ="" - 1 ""class ="" airy-install-flash-button airy-button ""&gt; install Flash Player &lt;/ div&gt; &lt;/ div&gt; &lt;/ div&gt; &lt;/ div&gt; &lt;/ div&gt; &lt;/ div&gt; &lt;div tabindex = ""- 1"" class = ""airy-video-unsupported-dialog"&amp;" airy-course airy-vertical-centering table-airy-dialog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 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 airy-fullscreen ""style ="" visibility: hidden; ""&gt; &lt;/ div&gt; &lt;div tabindex = ""-1"" class = ""airy-ad-prompt-contain"&amp;"er"" style = ""visibility: hidden;""&gt; &lt;div tabindex = ""- 1"" class = ""airy-ad-prompt-vertical-centering table-airy-vertical-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a"&amp;"iry-audio-toggle airy-on ""style ="" visibility: hidden; ""&gt; &lt;/ div&gt; &lt;div tabindex ="" - 1 ""class ="" airy-time-remaining-label-container ""&gt; &lt;div tabindex ="" - 1 ""class ="" airy-time-remaining-vertical-centering table-airy-vertical-centering-table ""&gt;"&amp;" &lt;div tabindex = ""- 1"" class = ""airy-time-remaining-vertical-centering-table-cell airy-vertical-centering-table-cell""&gt; &lt;div tabindex = ""- 1"" class = ""airy-vertical-centering-wrapper airy-time-remaining-label-wrapper ""&gt; &lt;div tabindex ="" - 1 ""clas"&amp;"s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airy-course airy-cursor""&gt; &lt;div tabindex = ""- 1"" class "&amp;"= ""airy-play -toggle-hint-vertical-centering-table-cell airy-vertical-centering-table-cell airy-cursor ""&gt; &lt;div tabindex ="" - 1 ""class ="" airy-play-toggle-hint-container airy-scalable- hint-container ""&gt; &lt;div tabindex ="" - 1 ""class ="" airy-play-tog"&amp;"gle-hint-dummy airy-scalable-dummy ""&gt; &lt;/ div&gt; &lt;div tabindex ="" - 1 ""class ="" airy-play -toggle airy-hint-hint-hint airy-play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ai"&amp;"ry-scalable-hint-container""&gt; &lt;div tabindex = ""- 1"" class = ""airy-replay-hint-dummy airy-scalable-dummy""&gt; &lt;/ div&gt; &lt;div tabindex = ""- 1"" class = ""airy-replay-hint airy-hint""&gt; &lt;/ div&gt; &lt;/ div&gt; &lt;/ div&gt; &lt;/ div&gt; &lt;div tabindex = ""- 1"" class = ""airy-au"&amp;"toplay-hint -stage airy-stage ""style ="" visibility: hidden; ""&gt; &lt;div tabindex ="" - 1 ""class ="" airy-autoplay-hint-vertical-centering-table-cell airy-vertical-centering-table-cell airy- cursor ""&gt; &lt;div tabindex ="" - 1 ""class ="" autoplay airy-airy-h"&amp;"int-container-scalable-hint-container ""&gt; &lt;div tabindex ="" - 1 ""class ="" airy-autoplay-hint-dummy airy- scalable-dummy ""&gt; &lt;/ div&gt; &lt;/ div&gt; &lt;/ div&gt; &lt;/ div&gt; &lt;/ div&gt; &lt;/ div&gt; &lt;input type ="" hidden ""name ="" ""value ="" https: // pictures-eu .ssl-image am"&amp;"azon.com / images / I / A1sLA-fZPYS.mp4 ""Class ="" video-url ""&gt; &lt;input type ="" hidden ""name ="" ""value ="" https://images-eu.ssl-images-amazon.com/images/I/91RmONGDjoS.png ""class ="" video-slate-img-url ""&gt; &amp; nbsp; Check to offer a teen 7 years beca"&amp;"use I have offered bluetooth earphone 2 times and he loses toujour so I ended up ordering him this helmet and to my amazement he prefers the queues so I'm happy from these returns the sound is good no worries.")</f>
        <v>Good value &lt;div id = "video-block-RJ8E8EZNX827G" class = "a-section-spacing-small in-spacing-top mini video-block"&gt; &lt;div tabindex = "0" class = "airy airy -svg vmin-supported airy-skin-beacon "style =" background-color: rgb (0, 0, 0); position: relative; width: 100%; height: 100%; font-size: 0px; overflow: hidden ; outline: none; "&gt; &lt;div class =" airy-renderer-container "style =" position: relative; height: 100%; width: 100%; "&gt; &lt;video id =" 7 "preload =" auto "src = "https://images-eu.ssl-images-amazon.com/images/I/A1sLA-fZPYS.mp4" style = "position: absolute; left: 0px; top: 0px; overflow: hidden; height: 1px ; width: 1px; "&gt; &lt;/ video&gt; &lt;/ div&gt; &lt;div id =" airy-slate-preload "style =" background-color: rgb (0, 0, 0); background-image: url (&amp; quot; https://images-eu.ssl-images-amazon.com/images/I/91RmONGDjoS.png&amp;quot;); background-size: contain; background-position: center center; background-repeat: no-repeat; position: absolute ; top: 0px; left: 0px; visibility: visible; width: 100%; height: 100% "&gt; &lt;/ div&gt; &lt;iframe sc Rolling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A1sLA-fZPYS.mp4 "Class =" video-url "&gt; &lt;input type =" hidden "name =" "value =" https://images-eu.ssl-images-amazon.com/images/I/91RmONGDjoS.png "class =" video-slate-img-url "&gt; &amp; nbsp; Check to offer a teen 7 years because I have offered bluetooth earphone 2 times and he loses toujour so I ended up ordering him this helmet and to my amazement he prefers the queues so I'm happy from these returns the sound is good no worries.</v>
      </c>
    </row>
    <row r="10675">
      <c r="A10675" s="1">
        <v>5.0</v>
      </c>
      <c r="B10675" s="1" t="s">
        <v>10500</v>
      </c>
      <c r="C10675" t="str">
        <f>IFERROR(__xludf.DUMMYFUNCTION("GOOGLETRANSLATE(B10675, ""fr"", ""en"")"),"lovely bracelet with a good price. lovely bracelet with a good price. This is the second I bought and I love these bracelets. Ideal for personal use or as gifts!")</f>
        <v>lovely bracelet with a good price. lovely bracelet with a good price. This is the second I bought and I love these bracelets. Ideal for personal use or as gifts!</v>
      </c>
    </row>
    <row r="10676">
      <c r="A10676" s="1">
        <v>5.0</v>
      </c>
      <c r="B10676" s="1" t="s">
        <v>10501</v>
      </c>
      <c r="C10676" t="str">
        <f>IFERROR(__xludf.DUMMYFUNCTION("GOOGLETRANSLATE(B10676, ""fr"", ""en"")"),"Very good buy oxygen and heart rate")</f>
        <v>Very good buy oxygen and heart rate</v>
      </c>
    </row>
    <row r="10677">
      <c r="A10677" s="1">
        <v>5.0</v>
      </c>
      <c r="B10677" s="1" t="s">
        <v>10502</v>
      </c>
      <c r="C10677" t="str">
        <f>IFERROR(__xludf.DUMMYFUNCTION("GOOGLETRANSLATE(B10677, ""fr"", ""en"")"),"Slippers These slippers are great, they are very hot when they are passed in the microwave, and they keep the heat longer.")</f>
        <v>Slippers These slippers are great, they are very hot when they are passed in the microwave, and they keep the heat longer.</v>
      </c>
    </row>
    <row r="10678">
      <c r="A10678" s="1">
        <v>5.0</v>
      </c>
      <c r="B10678" s="1" t="s">
        <v>10503</v>
      </c>
      <c r="C10678" t="str">
        <f>IFERROR(__xludf.DUMMYFUNCTION("GOOGLETRANSLATE(B10678, ""fr"", ""en"")"),"Top Very large. That's great. No need to stir in 2 times. Too bad Dodie did not make the glass")</f>
        <v>Top Very large. That's great. No need to stir in 2 times. Too bad Dodie did not make the glass</v>
      </c>
    </row>
    <row r="10679">
      <c r="A10679" s="1">
        <v>5.0</v>
      </c>
      <c r="B10679" s="1" t="s">
        <v>10504</v>
      </c>
      <c r="C10679" t="str">
        <f>IFERROR(__xludf.DUMMYFUNCTION("GOOGLETRANSLATE(B10679, ""fr"", ""en"")"),"cozy comfortable a little messy")</f>
        <v>cozy comfortable a little messy</v>
      </c>
    </row>
    <row r="10680">
      <c r="A10680" s="1">
        <v>5.0</v>
      </c>
      <c r="B10680" s="1" t="s">
        <v>10505</v>
      </c>
      <c r="C10680" t="str">
        <f>IFERROR(__xludf.DUMMYFUNCTION("GOOGLETRANSLATE(B10680, ""fr"", ""en"")"),"Excellent quality / price Delighted with this command, I took his shoes in my shoe size 38 and they fit me perfectly. I have nothing negative to say, they correspond in all respects with the comments written by the seller. They are very light and very fle"&amp;"xible sole made especially comfortable to wear even for long hours. I recommend this product in all respects both aesthetically and practicality!")</f>
        <v>Excellent quality / price Delighted with this command, I took his shoes in my shoe size 38 and they fit me perfectly. I have nothing negative to say, they correspond in all respects with the comments written by the seller. They are very light and very flexible sole made especially comfortable to wear even for long hours. I recommend this product in all respects both aesthetically and practicality!</v>
      </c>
    </row>
    <row r="10681">
      <c r="A10681" s="1">
        <v>5.0</v>
      </c>
      <c r="B10681" s="1" t="s">
        <v>10506</v>
      </c>
      <c r="C10681" t="str">
        <f>IFERROR(__xludf.DUMMYFUNCTION("GOOGLETRANSLATE(B10681, ""fr"", ""en"")"),"Very pleased with the purchase I always wanted to buy an electric kettle in the tea shop for bubble or coffee. Inadvertently saw on Amazon, this jar is glass. This is both good and safer than a normal kettle. The order has not been taken into account, the"&amp;" logistics was also very fast, she arrived two or three days later, I received the package and I could not wait to open it. Heating was very fast. The water was boiling in about 5 minutes. The blue light was very nice, the body is smooth, exquisite workma"&amp;"nship, the bottom is stainless steel 304. The switch is flexible, there is no water leakage. The sound is acceptable and the whole is very good. Very satisfied with the purchase.")</f>
        <v>Very pleased with the purchase I always wanted to buy an electric kettle in the tea shop for bubble or coffee. Inadvertently saw on Amazon, this jar is glass. This is both good and safer than a normal kettle. The order has not been taken into account, the logistics was also very fast, she arrived two or three days later, I received the package and I could not wait to open it. Heating was very fast. The water was boiling in about 5 minutes. The blue light was very nice, the body is smooth, exquisite workmanship, the bottom is stainless steel 304. The switch is flexible, there is no water leakage. The sound is acceptable and the whole is very good. Very satisfied with the purchase.</v>
      </c>
    </row>
    <row r="10682">
      <c r="A10682" s="1">
        <v>5.0</v>
      </c>
      <c r="B10682" s="1" t="s">
        <v>10507</v>
      </c>
      <c r="C10682" t="str">
        <f>IFERROR(__xludf.DUMMYFUNCTION("GOOGLETRANSLATE(B10682, ""fr"", ""en"")"),"Good cartridges Cartridges perfect, reasonable price and for now no problems with my printer. Hoping that the next cleaning print heads that did not mouth ... That's what happened to my old Epson printer with Canon but in theory it should not be a problem"&amp;".")</f>
        <v>Good cartridges Cartridges perfect, reasonable price and for now no problems with my printer. Hoping that the next cleaning print heads that did not mouth ... That's what happened to my old Epson printer with Canon but in theory it should not be a problem.</v>
      </c>
    </row>
    <row r="10683">
      <c r="A10683" s="1">
        <v>5.0</v>
      </c>
      <c r="B10683" s="1" t="s">
        <v>10508</v>
      </c>
      <c r="C10683" t="str">
        <f>IFERROR(__xludf.DUMMYFUNCTION("GOOGLETRANSLATE(B10683, ""fr"", ""en"")"),"Magnificent! Copy the picture which is not easy when you choose this style watch! It is very chic, go with every dress styles and likes a lot. Fast delivery, brief as positives ...")</f>
        <v>Magnificent! Copy the picture which is not easy when you choose this style watch! It is very chic, go with every dress styles and likes a lot. Fast delivery, brief as positives ...</v>
      </c>
    </row>
    <row r="10684">
      <c r="A10684" s="1">
        <v>5.0</v>
      </c>
      <c r="B10684" s="1" t="s">
        <v>10509</v>
      </c>
      <c r="C10684" t="str">
        <f>IFERROR(__xludf.DUMMYFUNCTION("GOOGLETRANSLATE(B10684, ""fr"", ""en"")"),"Article fine Article compliant and received very quickly and very happy like hot")</f>
        <v>Article fine Article compliant and received very quickly and very happy like hot</v>
      </c>
    </row>
    <row r="10685">
      <c r="A10685" s="1">
        <v>5.0</v>
      </c>
      <c r="B10685" s="1" t="s">
        <v>10510</v>
      </c>
      <c r="C10685" t="str">
        <f>IFERROR(__xludf.DUMMYFUNCTION("GOOGLETRANSLATE(B10685, ""fr"", ""en"")"),"An adapter that fits the bill, but may appear frail in a professional setting I needed to enter a wired microphone signal in an iPhone as well as Android smartphone, this TRRS adapter does exactly why it is necessary. On iPhone you just force the ignition"&amp;" Siri to check the audio signal goes well because sometimes Siri does not automatically trigger the signal but nevertheless going well. By forcing the lighting of Siri you can visualize and reassurance. However the cable is very thin and can seem fragile."&amp;" Care must be taken to storage.")</f>
        <v>An adapter that fits the bill, but may appear frail in a professional setting I needed to enter a wired microphone signal in an iPhone as well as Android smartphone, this TRRS adapter does exactly why it is necessary. On iPhone you just force the ignition Siri to check the audio signal goes well because sometimes Siri does not automatically trigger the signal but nevertheless going well. By forcing the lighting of Siri you can visualize and reassurance. However the cable is very thin and can seem fragile. Care must be taken to storage.</v>
      </c>
    </row>
    <row r="10686">
      <c r="A10686" s="1">
        <v>5.0</v>
      </c>
      <c r="B10686" s="1" t="s">
        <v>508</v>
      </c>
      <c r="C10686" t="str">
        <f>IFERROR(__xludf.DUMMYFUNCTION("GOOGLETRANSLATE(B10686, ""fr"", ""en"")"),"Very well very well")</f>
        <v>Very well very well</v>
      </c>
    </row>
    <row r="10687">
      <c r="A10687" s="1">
        <v>2.0</v>
      </c>
      <c r="B10687" s="1" t="s">
        <v>10511</v>
      </c>
      <c r="C10687" t="str">
        <f>IFERROR(__xludf.DUMMYFUNCTION("GOOGLETRANSLATE(B10687, ""fr"", ""en"")"),"a little disappointed !! A little disappointed by this product. The sleeves are too short and too wide. In short, a product not well adjusted")</f>
        <v>a little disappointed !! A little disappointed by this product. The sleeves are too short and too wide. In short, a product not well adjusted</v>
      </c>
    </row>
    <row r="10688">
      <c r="A10688" s="1">
        <v>1.0</v>
      </c>
      <c r="B10688" s="1" t="s">
        <v>10512</v>
      </c>
      <c r="C10688" t="str">
        <f>IFERROR(__xludf.DUMMYFUNCTION("GOOGLETRANSLATE(B10688, ""fr"", ""en"")"),"Not stable! Although the package arrived in due time, in perfect condition, I am greatly disappointed by this. After unpacking, I was astonished by its small size. It is simple to use and the different types of lights and sounds were fun. I put it on my t"&amp;"able and there first surprise, I found it very stable, the foot is small and offers little stability. And here the first morning or I use clock, I pressed the button snooz, waking tipped forward and fell to the ground directly on the snooz button, upside "&amp;"down ... button stuck , impossible to stop the unit. I end up with an alarm clock that I bit stop !!! forced to disconnect! Certe bit expensive, but not practical at all, I am disappointed ..")</f>
        <v>Not stable! Although the package arrived in due time, in perfect condition, I am greatly disappointed by this. After unpacking, I was astonished by its small size. It is simple to use and the different types of lights and sounds were fun. I put it on my table and there first surprise, I found it very stable, the foot is small and offers little stability. And here the first morning or I use clock, I pressed the button snooz, waking tipped forward and fell to the ground directly on the snooz button, upside down ... button stuck , impossible to stop the unit. I end up with an alarm clock that I bit stop !!! forced to disconnect! Certe bit expensive, but not practical at all, I am disappointed ..</v>
      </c>
    </row>
    <row r="10689">
      <c r="A10689" s="1">
        <v>1.0</v>
      </c>
      <c r="B10689" s="1" t="s">
        <v>10513</v>
      </c>
      <c r="C10689" t="str">
        <f>IFERROR(__xludf.DUMMYFUNCTION("GOOGLETRANSLATE(B10689, ""fr"", ""en"")"),"Not at all the pair of shoes ordered nothing like what I ordered!")</f>
        <v>Not at all the pair of shoes ordered nothing like what I ordered!</v>
      </c>
    </row>
    <row r="10690">
      <c r="A10690" s="1">
        <v>3.0</v>
      </c>
      <c r="B10690" s="1" t="s">
        <v>10514</v>
      </c>
      <c r="C10690" t="str">
        <f>IFERROR(__xludf.DUMMYFUNCTION("GOOGLETRANSLATE(B10690, ""fr"", ""en"")"),"Small small")</f>
        <v>Small small</v>
      </c>
    </row>
    <row r="10691">
      <c r="A10691" s="1">
        <v>3.0</v>
      </c>
      <c r="B10691" s="1" t="s">
        <v>10515</v>
      </c>
      <c r="C10691" t="str">
        <f>IFERROR(__xludf.DUMMYFUNCTION("GOOGLETRANSLATE(B10691, ""fr"", ""en"")"),"Good Article Good efficient cold- clothing against the usual quality clothing Odlo Small defect: pilling a little and a little too transparent")</f>
        <v>Good Article Good efficient cold- clothing against the usual quality clothing Odlo Small defect: pilling a little and a little too transparent</v>
      </c>
    </row>
    <row r="10692">
      <c r="A10692" s="1">
        <v>4.0</v>
      </c>
      <c r="B10692" s="1" t="s">
        <v>1261</v>
      </c>
      <c r="C10692" t="str">
        <f>IFERROR(__xludf.DUMMYFUNCTION("GOOGLETRANSLATE(B10692, ""fr"", ""en"")"),"good good")</f>
        <v>good good</v>
      </c>
    </row>
    <row r="10693">
      <c r="A10693" s="1">
        <v>4.0</v>
      </c>
      <c r="B10693" s="1" t="s">
        <v>10516</v>
      </c>
      <c r="C10693" t="str">
        <f>IFERROR(__xludf.DUMMYFUNCTION("GOOGLETRANSLATE(B10693, ""fr"", ""en"")"),"A kettle at the right price / quality ratio. A fine kettle rather aesthetic and with great composure. The water heats quickly. The security works as it should, once the water is hot the kettle off automatically. It keeps the water hot longer, malgrés a li"&amp;"ttle problem finishing, which does not completely obstruct the opening of the spout.")</f>
        <v>A kettle at the right price / quality ratio. A fine kettle rather aesthetic and with great composure. The water heats quickly. The security works as it should, once the water is hot the kettle off automatically. It keeps the water hot longer, malgrés a little problem finishing, which does not completely obstruct the opening of the spout.</v>
      </c>
    </row>
    <row r="10694">
      <c r="A10694" s="1">
        <v>4.0</v>
      </c>
      <c r="B10694" s="1" t="s">
        <v>10517</v>
      </c>
      <c r="C10694" t="str">
        <f>IFERROR(__xludf.DUMMYFUNCTION("GOOGLETRANSLATE(B10694, ""fr"", ""en"")"),"Very fine Very pretty curls, a little small maybe, but in line with my expectations")</f>
        <v>Very fine Very pretty curls, a little small maybe, but in line with my expectations</v>
      </c>
    </row>
    <row r="10695">
      <c r="A10695" s="1">
        <v>4.0</v>
      </c>
      <c r="B10695" s="1" t="s">
        <v>10518</v>
      </c>
      <c r="C10695" t="str">
        <f>IFERROR(__xludf.DUMMYFUNCTION("GOOGLETRANSLATE(B10695, ""fr"", ""en"")"),"great great bottle pack bottles for different sizes and cup evolution. The only thing I regret is that there are only teats speed 1 when it should be one for every age. So I had to redeem flow teats 2 and I will redeem in a few months debits 3 Nevertheles"&amp;"s affordable package")</f>
        <v>great great bottle pack bottles for different sizes and cup evolution. The only thing I regret is that there are only teats speed 1 when it should be one for every age. So I had to redeem flow teats 2 and I will redeem in a few months debits 3 Nevertheless affordable package</v>
      </c>
    </row>
    <row r="10696">
      <c r="A10696" s="1">
        <v>5.0</v>
      </c>
      <c r="B10696" s="1" t="s">
        <v>10519</v>
      </c>
      <c r="C10696" t="str">
        <f>IFERROR(__xludf.DUMMYFUNCTION("GOOGLETRANSLATE(B10696, ""fr"", ""en"")"),"Very handy for bottles and jars Corresponds to my expectations. I took it for its next evolutionary: each of the four branches being independent, it helps to dry the bottles and small pots home! It is therefore more durable than most dry-bottles ... and t"&amp;"herefore more profitable. I also appreciate the water collector to better dry bib. I recommend this dish rack without any problems.")</f>
        <v>Very handy for bottles and jars Corresponds to my expectations. I took it for its next evolutionary: each of the four branches being independent, it helps to dry the bottles and small pots home! It is therefore more durable than most dry-bottles ... and therefore more profitable. I also appreciate the water collector to better dry bib. I recommend this dish rack without any problems.</v>
      </c>
    </row>
    <row r="10697">
      <c r="A10697" s="1">
        <v>5.0</v>
      </c>
      <c r="B10697" s="1" t="s">
        <v>10520</v>
      </c>
      <c r="C10697" t="str">
        <f>IFERROR(__xludf.DUMMYFUNCTION("GOOGLETRANSLATE(B10697, ""fr"", ""en"")"),"Total Satisfaction Very nice boots, good foot. I took the same in blue. Not enough back for more comments on sustainability")</f>
        <v>Total Satisfaction Very nice boots, good foot. I took the same in blue. Not enough back for more comments on sustainability</v>
      </c>
    </row>
    <row r="10698">
      <c r="A10698" s="1">
        <v>5.0</v>
      </c>
      <c r="B10698" s="1" t="s">
        <v>10521</v>
      </c>
      <c r="C10698" t="str">
        <f>IFERROR(__xludf.DUMMYFUNCTION("GOOGLETRANSLATE(B10698, ""fr"", ""en"")"),"THE reference bottle no introduction Advent and quality bottles. Wide neck Teat minimizing colic, Compatible with mixed feeding cleaning easy, I recommend +++ Strength")</f>
        <v>THE reference bottle no introduction Advent and quality bottles. Wide neck Teat minimizing colic, Compatible with mixed feeding cleaning easy, I recommend +++ Strength</v>
      </c>
    </row>
    <row r="10699">
      <c r="A10699" s="1">
        <v>5.0</v>
      </c>
      <c r="B10699" s="1" t="s">
        <v>10522</v>
      </c>
      <c r="C10699" t="str">
        <f>IFERROR(__xludf.DUMMYFUNCTION("GOOGLETRANSLATE(B10699, ""fr"", ""en"")"),"Perfect very comfortable shoes, with a very good grip on the pedals, the size is that provided they therefore normally Shoe")</f>
        <v>Perfect very comfortable shoes, with a very good grip on the pedals, the size is that provided they therefore normally Shoe</v>
      </c>
    </row>
    <row r="10700">
      <c r="A10700" s="1">
        <v>5.0</v>
      </c>
      <c r="B10700" s="1" t="s">
        <v>10523</v>
      </c>
      <c r="C10700" t="str">
        <f>IFERROR(__xludf.DUMMYFUNCTION("GOOGLETRANSLATE(B10700, ""fr"", ""en"")"),"Good quality / price and nice shoes go anywhere. Warning avoid them when the ground is wet they strive quickly and become very stiff after washing. Good value for money.")</f>
        <v>Good quality / price and nice shoes go anywhere. Warning avoid them when the ground is wet they strive quickly and become very stiff after washing. Good value for money.</v>
      </c>
    </row>
    <row r="10701">
      <c r="A10701" s="1">
        <v>5.0</v>
      </c>
      <c r="B10701" s="1" t="s">
        <v>10524</v>
      </c>
      <c r="C10701" t="str">
        <f>IFERROR(__xludf.DUMMYFUNCTION("GOOGLETRANSLATE(B10701, ""fr"", ""en"")"),"Very good helmet ""entry level"" I bought this helmet during a flash sale at € 29.90. I do not regret my purchase: the sound is good and well balanced, and the bass is more than sufficient although say some comments. Bluetooth detection with my 7 Honor wa"&amp;"s done instantly. Attention not cover the product, but it is widely acceptable for the price.")</f>
        <v>Very good helmet "entry level" I bought this helmet during a flash sale at € 29.90. I do not regret my purchase: the sound is good and well balanced, and the bass is more than sufficient although say some comments. Bluetooth detection with my 7 Honor was done instantly. Attention not cover the product, but it is widely acceptable for the price.</v>
      </c>
    </row>
    <row r="10702">
      <c r="A10702" s="1">
        <v>5.0</v>
      </c>
      <c r="B10702" s="1" t="s">
        <v>10525</v>
      </c>
      <c r="C10702" t="str">
        <f>IFERROR(__xludf.DUMMYFUNCTION("GOOGLETRANSLATE(B10702, ""fr"", ""en"")"),"Okay To Give!")</f>
        <v>Okay To Give!</v>
      </c>
    </row>
    <row r="10703">
      <c r="A10703" s="1">
        <v>5.0</v>
      </c>
      <c r="B10703" s="1" t="s">
        <v>10526</v>
      </c>
      <c r="C10703" t="str">
        <f>IFERROR(__xludf.DUMMYFUNCTION("GOOGLETRANSLATE(B10703, ""fr"", ""en"")"),"Excellent value for money, its effective and long battery I bought this product because I was looking for a Bluetooth headset with a limited budget. The value for money is excellent: the sound is good, and noise reduction works very well. The pads are nic"&amp;"e, and the helmet is not too tight on the head, which makes it fun to use. Another positive point: the battery works very well, I did not need to recharge since its purchase there over a month. I am pleased with this product!")</f>
        <v>Excellent value for money, its effective and long battery I bought this product because I was looking for a Bluetooth headset with a limited budget. The value for money is excellent: the sound is good, and noise reduction works very well. The pads are nice, and the helmet is not too tight on the head, which makes it fun to use. Another positive point: the battery works very well, I did not need to recharge since its purchase there over a month. I am pleased with this product!</v>
      </c>
    </row>
    <row r="10704">
      <c r="A10704" s="1">
        <v>5.0</v>
      </c>
      <c r="B10704" s="1" t="s">
        <v>10527</v>
      </c>
      <c r="C10704" t="str">
        <f>IFERROR(__xludf.DUMMYFUNCTION("GOOGLETRANSLATE(B10704, ""fr"", ""en"")"),"earrings Absolutely satisfied with my purchase, these loops are very nice, consistent with the picture, presumably money. I highly recommend!")</f>
        <v>earrings Absolutely satisfied with my purchase, these loops are very nice, consistent with the picture, presumably money. I highly recommend!</v>
      </c>
    </row>
    <row r="10705">
      <c r="A10705" s="1">
        <v>5.0</v>
      </c>
      <c r="B10705" s="1" t="s">
        <v>10528</v>
      </c>
      <c r="C10705" t="str">
        <f>IFERROR(__xludf.DUMMYFUNCTION("GOOGLETRANSLATE(B10705, ""fr"", ""en"")"),"The photo is like what I received. Perfect. Discretion and elegance characterizes these lovely earrings.")</f>
        <v>The photo is like what I received. Perfect. Discretion and elegance characterizes these lovely earrings.</v>
      </c>
    </row>
    <row r="10706">
      <c r="A10706" s="1">
        <v>5.0</v>
      </c>
      <c r="B10706" s="1" t="s">
        <v>10529</v>
      </c>
      <c r="C10706" t="str">
        <f>IFERROR(__xludf.DUMMYFUNCTION("GOOGLETRANSLATE(B10706, ""fr"", ""en"")"),"BT Sport Earphones No complaints, pairing the first unpacking no problem, I have a preference for this type of hard head earpiece as they hold better in my ears. discrete and practical it provides good sound for daily use")</f>
        <v>BT Sport Earphones No complaints, pairing the first unpacking no problem, I have a preference for this type of hard head earpiece as they hold better in my ears. discrete and practical it provides good sound for daily use</v>
      </c>
    </row>
    <row r="10707">
      <c r="A10707" s="1">
        <v>5.0</v>
      </c>
      <c r="B10707" s="1" t="s">
        <v>10530</v>
      </c>
      <c r="C10707" t="str">
        <f>IFERROR(__xludf.DUMMYFUNCTION("GOOGLETRANSLATE(B10707, ""fr"", ""en"")"),"As usual Bogoss Amazon book anywhere but I came across a nice neighbor the product is nickel proposed nay bogoss the precise finishing touch is beautiful it makes you want to work below I am completely satisfied over the price I hope she will take time bu"&amp;"t I'm not too worried the air above me its quite durable")</f>
        <v>As usual Bogoss Amazon book anywhere but I came across a nice neighbor the product is nickel proposed nay bogoss the precise finishing touch is beautiful it makes you want to work below I am completely satisfied over the price I hope she will take time but I'm not too worried the air above me its quite durable</v>
      </c>
    </row>
    <row r="10708">
      <c r="A10708" s="1">
        <v>5.0</v>
      </c>
      <c r="B10708" s="1" t="s">
        <v>10531</v>
      </c>
      <c r="C10708" t="str">
        <f>IFERROR(__xludf.DUMMYFUNCTION("GOOGLETRANSLATE(B10708, ""fr"", ""en"")"),"I am delighted. This calendar is of excellent quality and very rigid. It further includes the 12 months of 2018 in December 2017 and January 2019. I received it very quickly. I recommend this product and its supplier.")</f>
        <v>I am delighted. This calendar is of excellent quality and very rigid. It further includes the 12 months of 2018 in December 2017 and January 2019. I received it very quickly. I recommend this product and its supplier.</v>
      </c>
    </row>
    <row r="10709">
      <c r="A10709" s="1">
        <v>5.0</v>
      </c>
      <c r="B10709" s="1" t="s">
        <v>10532</v>
      </c>
      <c r="C10709" t="str">
        <f>IFERROR(__xludf.DUMMYFUNCTION("GOOGLETRANSLATE(B10709, ""fr"", ""en"")"),"Very beautiful finery quality I'm not back when I received my package have opened to have a set of as good quality for only 8 euros! In a beautiful case with you black box inside which shows pretty well the jewelry. My daughter is 3 and a half years was d"&amp;"elighted. Delighted with this purchase :)))")</f>
        <v>Very beautiful finery quality I'm not back when I received my package have opened to have a set of as good quality for only 8 euros! In a beautiful case with you black box inside which shows pretty well the jewelry. My daughter is 3 and a half years was delighted. Delighted with this purchase :)))</v>
      </c>
    </row>
    <row r="10710">
      <c r="A10710" s="1">
        <v>5.0</v>
      </c>
      <c r="B10710" s="1" t="s">
        <v>10533</v>
      </c>
      <c r="C10710" t="str">
        <f>IFERROR(__xludf.DUMMYFUNCTION("GOOGLETRANSLATE(B10710, ""fr"", ""en"")"),"Shoes These shoes are aesthetic and comfortable, consistent with their description. They are somewhat larger however, but it was announced in the description.")</f>
        <v>Shoes These shoes are aesthetic and comfortable, consistent with their description. They are somewhat larger however, but it was announced in the description.</v>
      </c>
    </row>
    <row r="10711">
      <c r="A10711" s="1">
        <v>2.0</v>
      </c>
      <c r="B10711" s="1" t="s">
        <v>10534</v>
      </c>
      <c r="C10711" t="str">
        <f>IFERROR(__xludf.DUMMYFUNCTION("GOOGLETRANSLATE(B10711, ""fr"", ""en"")"),"boots Redskins left shoe right size 41 when I will have the right to see 42 43 pair of shoes not suitable damage because they are pretty")</f>
        <v>boots Redskins left shoe right size 41 when I will have the right to see 42 43 pair of shoes not suitable damage because they are pretty</v>
      </c>
    </row>
    <row r="10712">
      <c r="A10712" s="1">
        <v>1.0</v>
      </c>
      <c r="B10712" s="1" t="s">
        <v>10535</v>
      </c>
      <c r="C10712" t="str">
        <f>IFERROR(__xludf.DUMMYFUNCTION("GOOGLETRANSLATE(B10712, ""fr"", ""en"")"),"Very Poor I was extremely careful and attentive as I had read that the water and the bracelet did not mix. In less than a week I do not know what layer to start from here and there. So refers to Amazon. Too bad this is not a bracelet 100% loving; I began "&amp;"to feel the effects of my migraines")</f>
        <v>Very Poor I was extremely careful and attentive as I had read that the water and the bracelet did not mix. In less than a week I do not know what layer to start from here and there. So refers to Amazon. Too bad this is not a bracelet 100% loving; I began to feel the effects of my migraines</v>
      </c>
    </row>
    <row r="10713">
      <c r="A10713" s="1">
        <v>1.0</v>
      </c>
      <c r="B10713" s="1" t="s">
        <v>10536</v>
      </c>
      <c r="C10713" t="str">
        <f>IFERROR(__xludf.DUMMYFUNCTION("GOOGLETRANSLATE(B10713, ""fr"", ""en"")"),"I do not advise this bra does not absolutely minimized. On the other hand it does not specifically maintains more than a normal bra to maintain strong, and its look is reminiscent of a medical object. I threw live.")</f>
        <v>I do not advise this bra does not absolutely minimized. On the other hand it does not specifically maintains more than a normal bra to maintain strong, and its look is reminiscent of a medical object. I threw live.</v>
      </c>
    </row>
    <row r="10714">
      <c r="A10714" s="1">
        <v>3.0</v>
      </c>
      <c r="B10714" s="1" t="s">
        <v>10537</v>
      </c>
      <c r="C10714" t="str">
        <f>IFERROR(__xludf.DUMMYFUNCTION("GOOGLETRANSLATE(B10714, ""fr"", ""en"")"),"very fine fabric disappointed in the quality down products under armor")</f>
        <v>very fine fabric disappointed in the quality down products under armor</v>
      </c>
    </row>
    <row r="10715">
      <c r="A10715" s="1">
        <v>3.0</v>
      </c>
      <c r="B10715" s="1" t="s">
        <v>10538</v>
      </c>
      <c r="C10715" t="str">
        <f>IFERROR(__xludf.DUMMYFUNCTION("GOOGLETRANSLATE(B10715, ""fr"", ""en"")"),"Bad Pretty but not all tissues like the picture it's a little raincoat style not soft on the outside but soft inside")</f>
        <v>Bad Pretty but not all tissues like the picture it's a little raincoat style not soft on the outside but soft inside</v>
      </c>
    </row>
    <row r="10716">
      <c r="A10716" s="1">
        <v>4.0</v>
      </c>
      <c r="B10716" s="1" t="s">
        <v>10539</v>
      </c>
      <c r="C10716" t="str">
        <f>IFERROR(__xludf.DUMMYFUNCTION("GOOGLETRANSLATE(B10716, ""fr"", ""en"")"),"Content As picture of control very happy thank you")</f>
        <v>Content As picture of control very happy thank you</v>
      </c>
    </row>
    <row r="10717">
      <c r="A10717" s="1">
        <v>4.0</v>
      </c>
      <c r="B10717" s="1" t="s">
        <v>10540</v>
      </c>
      <c r="C10717" t="str">
        <f>IFERROR(__xludf.DUMMYFUNCTION("GOOGLETRANSLATE(B10717, ""fr"", ""en"")"),"Almost in line with the original! My daughter made me recommend 1 issue every year on average (the 4th I commanded) She has an almost daily use and very fine son are not the test of time. However, she wants to keep this particular model-ear she finds more"&amp;" comfortable because more ergonomic than a model ""caps"" too tight. The sound quality is very satisfactory for the proposed tariff. The + and - volume remote working and the phone driver. And there is also a button pause / play to music or answer a call "&amp;"(verified on Samsung S6) Overall satisfying!")</f>
        <v>Almost in line with the original! My daughter made me recommend 1 issue every year on average (the 4th I commanded) She has an almost daily use and very fine son are not the test of time. However, she wants to keep this particular model-ear she finds more comfortable because more ergonomic than a model "caps" too tight. The sound quality is very satisfactory for the proposed tariff. The + and - volume remote working and the phone driver. And there is also a button pause / play to music or answer a call (verified on Samsung S6) Overall satisfying!</v>
      </c>
    </row>
    <row r="10718">
      <c r="A10718" s="1">
        <v>4.0</v>
      </c>
      <c r="B10718" s="1" t="s">
        <v>10541</v>
      </c>
      <c r="C10718" t="str">
        <f>IFERROR(__xludf.DUMMYFUNCTION("GOOGLETRANSLATE(B10718, ""fr"", ""en"")"),"A priori super Product was received quickly in a pack 3 times too big ... He looks tough and is currently very convenient. To see in several weeks for strength may be up to 5 stars.")</f>
        <v>A priori super Product was received quickly in a pack 3 times too big ... He looks tough and is currently very convenient. To see in several weeks for strength may be up to 5 stars.</v>
      </c>
    </row>
    <row r="10719">
      <c r="A10719" s="1">
        <v>4.0</v>
      </c>
      <c r="B10719" s="1" t="s">
        <v>10542</v>
      </c>
      <c r="C10719" t="str">
        <f>IFERROR(__xludf.DUMMYFUNCTION("GOOGLETRANSLATE(B10719, ""fr"", ""en"")"),"Ideal for work a little big but otherwise perfect")</f>
        <v>Ideal for work a little big but otherwise perfect</v>
      </c>
    </row>
    <row r="10720">
      <c r="A10720" s="1">
        <v>5.0</v>
      </c>
      <c r="B10720" s="1" t="s">
        <v>10543</v>
      </c>
      <c r="C10720" t="str">
        <f>IFERROR(__xludf.DUMMYFUNCTION("GOOGLETRANSLATE(B10720, ""fr"", ""en"")"),"Equal to the mark Good fit, good quality shoes, my son is very happy whether to go to class than to BMX.")</f>
        <v>Equal to the mark Good fit, good quality shoes, my son is very happy whether to go to class than to BMX.</v>
      </c>
    </row>
    <row r="10721">
      <c r="A10721" s="1">
        <v>5.0</v>
      </c>
      <c r="B10721" s="1" t="s">
        <v>10544</v>
      </c>
      <c r="C10721" t="str">
        <f>IFERROR(__xludf.DUMMYFUNCTION("GOOGLETRANSLATE(B10721, ""fr"", ""en"")"),"Quiet and very good kettle, use the office for our service.")</f>
        <v>Quiet and very good kettle, use the office for our service.</v>
      </c>
    </row>
    <row r="10722">
      <c r="A10722" s="1">
        <v>5.0</v>
      </c>
      <c r="B10722" s="1" t="s">
        <v>10545</v>
      </c>
      <c r="C10722" t="str">
        <f>IFERROR(__xludf.DUMMYFUNCTION("GOOGLETRANSLATE(B10722, ""fr"", ""en"")"),"A good pair of sneakers cheap I had a little doubt when j'zi Command saying, well this is not a brand, it will not top! In fact I'm not disappointed at all they are super simple and nice comfortable")</f>
        <v>A good pair of sneakers cheap I had a little doubt when j'zi Command saying, well this is not a brand, it will not top! In fact I'm not disappointed at all they are super simple and nice comfortable</v>
      </c>
    </row>
    <row r="10723">
      <c r="A10723" s="1">
        <v>5.0</v>
      </c>
      <c r="B10723" s="1" t="s">
        <v>10546</v>
      </c>
      <c r="C10723" t="str">
        <f>IFERROR(__xludf.DUMMYFUNCTION("GOOGLETRANSLATE(B10723, ""fr"", ""en"")"),"Beautiful finishes, seem robust. Top, well finished, I'm doing 42 and I took in 41.5 in light of comments and they fit me perfectly. If you have wide feet, keep your waist.")</f>
        <v>Beautiful finishes, seem robust. Top, well finished, I'm doing 42 and I took in 41.5 in light of comments and they fit me perfectly. If you have wide feet, keep your waist.</v>
      </c>
    </row>
    <row r="10724">
      <c r="A10724" s="1">
        <v>5.0</v>
      </c>
      <c r="B10724" s="1" t="s">
        <v>10547</v>
      </c>
      <c r="C10724" t="str">
        <f>IFERROR(__xludf.DUMMYFUNCTION("GOOGLETRANSLATE(B10724, ""fr"", ""en"")"),"GOOD QUALITY!! I recommend, better quality and delivery ultrafast product. It's a shame that there are no other colors. For now there is only white and navy blue. Shoes that relieves a lot.")</f>
        <v>GOOD QUALITY!! I recommend, better quality and delivery ultrafast product. It's a shame that there are no other colors. For now there is only white and navy blue. Shoes that relieves a lot.</v>
      </c>
    </row>
    <row r="10725">
      <c r="A10725" s="1">
        <v>5.0</v>
      </c>
      <c r="B10725" s="1" t="s">
        <v>10548</v>
      </c>
      <c r="C10725" t="str">
        <f>IFERROR(__xludf.DUMMYFUNCTION("GOOGLETRANSLATE(B10725, ""fr"", ""en"")"),"Good but expensive A little pricey for an adapter. But it did the job with the lavalier smartphone to connect to the normal register")</f>
        <v>Good but expensive A little pricey for an adapter. But it did the job with the lavalier smartphone to connect to the normal register</v>
      </c>
    </row>
    <row r="10726">
      <c r="A10726" s="1">
        <v>5.0</v>
      </c>
      <c r="B10726" s="1" t="s">
        <v>10549</v>
      </c>
      <c r="C10726" t="str">
        <f>IFERROR(__xludf.DUMMYFUNCTION("GOOGLETRANSLATE(B10726, ""fr"", ""en"")"),"ROLL IDEA GENIALE with recurrent back pain, I am delighted this. the rolls are really effective against muscle contractures and pain localized. heat function perfectly complements the massage. REALLY VERY EFFECTIVE VERY GOOD VALUE / PRICE")</f>
        <v>ROLL IDEA GENIALE with recurrent back pain, I am delighted this. the rolls are really effective against muscle contractures and pain localized. heat function perfectly complements the massage. REALLY VERY EFFECTIVE VERY GOOD VALUE / PRICE</v>
      </c>
    </row>
    <row r="10727">
      <c r="A10727" s="1">
        <v>5.0</v>
      </c>
      <c r="B10727" s="1" t="s">
        <v>10550</v>
      </c>
      <c r="C10727" t="str">
        <f>IFERROR(__xludf.DUMMYFUNCTION("GOOGLETRANSLATE(B10727, ""fr"", ""en"")"),"Good sealant very well which is waterproof, soft and allows to warm the body without burning.")</f>
        <v>Good sealant very well which is waterproof, soft and allows to warm the body without burning.</v>
      </c>
    </row>
    <row r="10728">
      <c r="A10728" s="1">
        <v>5.0</v>
      </c>
      <c r="B10728" s="1" t="s">
        <v>10551</v>
      </c>
      <c r="C10728" t="str">
        <f>IFERROR(__xludf.DUMMYFUNCTION("GOOGLETRANSLATE(B10728, ""fr"", ""en"")"),"Fast delivery Very beautiful silver jewelry remains have if it's good to lo")</f>
        <v>Fast delivery Very beautiful silver jewelry remains have if it's good to lo</v>
      </c>
    </row>
    <row r="10729">
      <c r="A10729" s="1">
        <v>5.0</v>
      </c>
      <c r="B10729" s="1" t="s">
        <v>10552</v>
      </c>
      <c r="C10729" t="str">
        <f>IFERROR(__xludf.DUMMYFUNCTION("GOOGLETRANSLATE(B10729, ""fr"", ""en"")"),"MY NEW FRIEND CONCHITO I bought this robot (his name Conchito) being a little skeptical but after several days of testing I can say that I am more than satisfied. I was looking for a solution to relieve myself of daily cleaning. I have 5 cats and a dog an"&amp;"d I am obliged to vacuum every day. I Conchito program that gets under way when I'm at work and when I get MIRACLE !! My ground floor is always clean. By cons I vacuum every 2 days because with all my animals the tank is full quickly. A view on the long t"&amp;"erm...")</f>
        <v>MY NEW FRIEND CONCHITO I bought this robot (his name Conchito) being a little skeptical but after several days of testing I can say that I am more than satisfied. I was looking for a solution to relieve myself of daily cleaning. I have 5 cats and a dog and I am obliged to vacuum every day. I Conchito program that gets under way when I'm at work and when I get MIRACLE !! My ground floor is always clean. By cons I vacuum every 2 days because with all my animals the tank is full quickly. A view on the long term...</v>
      </c>
    </row>
    <row r="10730">
      <c r="A10730" s="1">
        <v>5.0</v>
      </c>
      <c r="B10730" s="1" t="s">
        <v>10553</v>
      </c>
      <c r="C10730" t="str">
        <f>IFERROR(__xludf.DUMMYFUNCTION("GOOGLETRANSLATE(B10730, ""fr"", ""en"")"),"Headphone good quality Beautiful appearance. Robust construction. Very good sound quality, microphone works perfectly well. Good value of money. I will introduce friends to buy.")</f>
        <v>Headphone good quality Beautiful appearance. Robust construction. Very good sound quality, microphone works perfectly well. Good value of money. I will introduce friends to buy.</v>
      </c>
    </row>
    <row r="10731">
      <c r="A10731" s="1">
        <v>5.0</v>
      </c>
      <c r="B10731" s="1" t="s">
        <v>10554</v>
      </c>
      <c r="C10731" t="str">
        <f>IFERROR(__xludf.DUMMYFUNCTION("GOOGLETRANSLATE(B10731, ""fr"", ""en"")"),"Although School")</f>
        <v>Although School</v>
      </c>
    </row>
    <row r="10732">
      <c r="A10732" s="1">
        <v>5.0</v>
      </c>
      <c r="B10732" s="1" t="s">
        <v>10555</v>
      </c>
      <c r="C10732" t="str">
        <f>IFERROR(__xludf.DUMMYFUNCTION("GOOGLETRANSLATE(B10732, ""fr"", ""en"")"),"Brilliance and elegance Very beautiful earrings with unique design, bright appearance that captivates the eyes, I am very impressed with product quality and the quality of finish and presentation, better than what we find in the showcase for cheaper and m"&amp;"ore, this is an excellent product and excellent quality, These are earrings that go with everything, because they both are loops for special outings that loops every day, I recommend")</f>
        <v>Brilliance and elegance Very beautiful earrings with unique design, bright appearance that captivates the eyes, I am very impressed with product quality and the quality of finish and presentation, better than what we find in the showcase for cheaper and more, this is an excellent product and excellent quality, These are earrings that go with everything, because they both are loops for special outings that loops every day, I recommend</v>
      </c>
    </row>
    <row r="10733">
      <c r="A10733" s="1">
        <v>5.0</v>
      </c>
      <c r="B10733" s="1" t="s">
        <v>10556</v>
      </c>
      <c r="C10733" t="str">
        <f>IFERROR(__xludf.DUMMYFUNCTION("GOOGLETRANSLATE(B10733, ""fr"", ""en"")"),"valentine gift for valentine")</f>
        <v>valentine gift for valentine</v>
      </c>
    </row>
    <row r="10734">
      <c r="A10734" s="1">
        <v>5.0</v>
      </c>
      <c r="B10734" s="1" t="s">
        <v>1261</v>
      </c>
      <c r="C10734" t="str">
        <f>IFERROR(__xludf.DUMMYFUNCTION("GOOGLETRANSLATE(B10734, ""fr"", ""en"")"),"good good")</f>
        <v>good good</v>
      </c>
    </row>
    <row r="10735">
      <c r="A10735" s="1">
        <v>5.0</v>
      </c>
      <c r="B10735" s="1" t="s">
        <v>10557</v>
      </c>
      <c r="C10735" t="str">
        <f>IFERROR(__xludf.DUMMYFUNCTION("GOOGLETRANSLATE(B10735, ""fr"", ""en"")"),"Quite funny Works great. This pen really liked children.")</f>
        <v>Quite funny Works great. This pen really liked children.</v>
      </c>
    </row>
    <row r="10736">
      <c r="A10736" s="1">
        <v>2.0</v>
      </c>
      <c r="B10736" s="1" t="s">
        <v>10558</v>
      </c>
      <c r="C10736" t="str">
        <f>IFERROR(__xludf.DUMMYFUNCTION("GOOGLETRANSLATE(B10736, ""fr"", ""en"")"),"not terrible ... The closure system is not very open when it is burned fingers almost every time. I took it to my parents but here was the Advent which is much much better!")</f>
        <v>not terrible ... The closure system is not very open when it is burned fingers almost every time. I took it to my parents but here was the Advent which is much much better!</v>
      </c>
    </row>
    <row r="10737">
      <c r="A10737" s="1">
        <v>1.0</v>
      </c>
      <c r="B10737" s="1" t="s">
        <v>10559</v>
      </c>
      <c r="C10737" t="str">
        <f>IFERROR(__xludf.DUMMYFUNCTION("GOOGLETRANSLATE(B10737, ""fr"", ""en"")"),"Degoute Initially everything alright great sound and rapid synchronization ear now the fate of its more")</f>
        <v>Degoute Initially everything alright great sound and rapid synchronization ear now the fate of its more</v>
      </c>
    </row>
    <row r="10738">
      <c r="A10738" s="1">
        <v>1.0</v>
      </c>
      <c r="B10738" s="1" t="s">
        <v>10560</v>
      </c>
      <c r="C10738" t="str">
        <f>IFERROR(__xludf.DUMMYFUNCTION("GOOGLETRANSLATE(B10738, ""fr"", ""en"")"),"nulllll disappointed deguelasse yuck yuck bad lousy quality really disappointed vrmt fluorescent yellow color and more color parts tear does not recommend dampened not repaid 🤦♀️🤬🤬🤬")</f>
        <v>nulllll disappointed deguelasse yuck yuck bad lousy quality really disappointed vrmt fluorescent yellow color and more color parts tear does not recommend dampened not repaid 🤦♀️🤬🤬🤬</v>
      </c>
    </row>
    <row r="10739">
      <c r="A10739" s="1">
        <v>3.0</v>
      </c>
      <c r="B10739" s="1" t="s">
        <v>10561</v>
      </c>
      <c r="C10739" t="str">
        <f>IFERROR(__xludf.DUMMYFUNCTION("GOOGLETRANSLATE(B10739, ""fr"", ""en"")"),"A little disappointing ... This helmet is the first Bluetooth headset I buy, and I was rather disappointed in view of the price paid: - The sound is extremely clear, but very very neutral, almost bland. On tracks with lots of bass, it lacks a lot of punch"&amp;" (especially compared with the enclosure of the same name, for example, that she is full) - The blutooth force to use either listening only (audio output excellent quality) or listening microphone + but with poor quality (GSM mode). I intended to use it a"&amp;"s headset for PC, and suddenly it's very annoying - Finally the cable to use wireframe and the charging cable bill are very average. A port USB-C recharging would have been much ""in his time,"" and the wireframe does not even use the microphone (in addit"&amp;"ion to using a non-standard 2.5mm plug ...) However, despite these defects, autonomy is very correct, extremely comfortable fit, and sound still above the competitors. A good investment, but lack of surprises")</f>
        <v>A little disappointing ... This helmet is the first Bluetooth headset I buy, and I was rather disappointed in view of the price paid: - The sound is extremely clear, but very very neutral, almost bland. On tracks with lots of bass, it lacks a lot of punch (especially compared with the enclosure of the same name, for example, that she is full) - The blutooth force to use either listening only (audio output excellent quality) or listening microphone + but with poor quality (GSM mode). I intended to use it as headset for PC, and suddenly it's very annoying - Finally the cable to use wireframe and the charging cable bill are very average. A port USB-C recharging would have been much "in his time," and the wireframe does not even use the microphone (in addition to using a non-standard 2.5mm plug ...) However, despite these defects, autonomy is very correct, extremely comfortable fit, and sound still above the competitors. A good investment, but lack of surprises</v>
      </c>
    </row>
    <row r="10740">
      <c r="A10740" s="1">
        <v>4.0</v>
      </c>
      <c r="B10740" s="1" t="s">
        <v>10562</v>
      </c>
      <c r="C10740" t="str">
        <f>IFERROR(__xludf.DUMMYFUNCTION("GOOGLETRANSLATE(B10740, ""fr"", ""en"")"),"Not many bass If you loved the bass go your way otherwise the sound is powerful nothing to say")</f>
        <v>Not many bass If you loved the bass go your way otherwise the sound is powerful nothing to say</v>
      </c>
    </row>
    <row r="10741">
      <c r="A10741" s="1">
        <v>4.0</v>
      </c>
      <c r="B10741" s="1" t="s">
        <v>10563</v>
      </c>
      <c r="C10741" t="str">
        <f>IFERROR(__xludf.DUMMYFUNCTION("GOOGLETRANSLATE(B10741, ""fr"", ""en"")"),"As for the hotel Super practice in the morning before going to work because it helps to always have clean shoes in seconds")</f>
        <v>As for the hotel Super practice in the morning before going to work because it helps to always have clean shoes in seconds</v>
      </c>
    </row>
    <row r="10742">
      <c r="A10742" s="1">
        <v>4.0</v>
      </c>
      <c r="B10742" s="1" t="s">
        <v>10564</v>
      </c>
      <c r="C10742" t="str">
        <f>IFERROR(__xludf.DUMMYFUNCTION("GOOGLETRANSLATE(B10742, ""fr"", ""en"")"),"Good Quality Price A practical case, 3 drawers felts, a fairly wide range for fun in the anti-stress coloring. No complaints. In addition, the service behind Zeancolor is significant, not to mention the coloring gifts for 1 year.")</f>
        <v>Good Quality Price A practical case, 3 drawers felts, a fairly wide range for fun in the anti-stress coloring. No complaints. In addition, the service behind Zeancolor is significant, not to mention the coloring gifts for 1 year.</v>
      </c>
    </row>
    <row r="10743">
      <c r="A10743" s="1">
        <v>4.0</v>
      </c>
      <c r="B10743" s="1" t="s">
        <v>10565</v>
      </c>
      <c r="C10743" t="str">
        <f>IFERROR(__xludf.DUMMYFUNCTION("GOOGLETRANSLATE(B10743, ""fr"", ""en"")"),"good...!!! Converse Chuck Taylor All Star, good quality product but take a size less because they Shoe a little big ...")</f>
        <v>good...!!! Converse Chuck Taylor All Star, good quality product but take a size less because they Shoe a little big ...</v>
      </c>
    </row>
    <row r="10744">
      <c r="A10744" s="1">
        <v>5.0</v>
      </c>
      <c r="B10744" s="1" t="s">
        <v>10566</v>
      </c>
      <c r="C10744" t="str">
        <f>IFERROR(__xludf.DUMMYFUNCTION("GOOGLETRANSLATE(B10744, ""fr"", ""en"")"),"everything is OK walking ...")</f>
        <v>everything is OK walking ...</v>
      </c>
    </row>
    <row r="10745">
      <c r="A10745" s="1">
        <v>5.0</v>
      </c>
      <c r="B10745" s="1" t="s">
        <v>10567</v>
      </c>
      <c r="C10745" t="str">
        <f>IFERROR(__xludf.DUMMYFUNCTION("GOOGLETRANSLATE(B10745, ""fr"", ""en"")"),"Several lighting mode Delighted top of this lamp, perfect behind my couch. Its lighting system and perfect to put strong light, or even ambient light. I recommend it.")</f>
        <v>Several lighting mode Delighted top of this lamp, perfect behind my couch. Its lighting system and perfect to put strong light, or even ambient light. I recommend it.</v>
      </c>
    </row>
    <row r="10746">
      <c r="A10746" s="1">
        <v>5.0</v>
      </c>
      <c r="B10746" s="1" t="s">
        <v>10568</v>
      </c>
      <c r="C10746" t="str">
        <f>IFERROR(__xludf.DUMMYFUNCTION("GOOGLETRANSLATE(B10746, ""fr"", ""en"")"),"Good sound and good performance of headphones Able to use good quality headphones, I decided to buy them following the theft of my bag and my famous headphones that were in it. I can not live without it, I use it every day and I had to complete headphones"&amp;" with good sound. These headphones are the right choice, all you need at an affordable price. 2 earphones sailed very well. They are operational as soon as you remove the housing. The sound is very correct, they are lightweight and comfortable to the ears"&amp;". The housing does not take up much space, it is small &amp; nbsp ;! The touch function is great and a priori it work with Siri .... I have not tried &amp; nbsp ;! Finally the charge takes 5 very comfortable hours listening ... I use it for 1 good week and it's p"&amp;"erfect for me &amp; nbsp ;!")</f>
        <v>Good sound and good performance of headphones Able to use good quality headphones, I decided to buy them following the theft of my bag and my famous headphones that were in it. I can not live without it, I use it every day and I had to complete headphones with good sound. These headphones are the right choice, all you need at an affordable price. 2 earphones sailed very well. They are operational as soon as you remove the housing. The sound is very correct, they are lightweight and comfortable to the ears. The housing does not take up much space, it is small &amp; nbsp ;! The touch function is great and a priori it work with Siri .... I have not tried &amp; nbsp ;! Finally the charge takes 5 very comfortable hours listening ... I use it for 1 good week and it's perfect for me &amp; nbsp ;!</v>
      </c>
    </row>
    <row r="10747">
      <c r="A10747" s="1">
        <v>5.0</v>
      </c>
      <c r="B10747" s="1" t="s">
        <v>10569</v>
      </c>
      <c r="C10747" t="str">
        <f>IFERROR(__xludf.DUMMYFUNCTION("GOOGLETRANSLATE(B10747, ""fr"", ""en"")"),"genial Bliss especially after his work day. I recommend even if I find a bit short power cable.")</f>
        <v>genial Bliss especially after his work day. I recommend even if I find a bit short power cable.</v>
      </c>
    </row>
    <row r="10748">
      <c r="A10748" s="1">
        <v>5.0</v>
      </c>
      <c r="B10748" s="1" t="s">
        <v>10570</v>
      </c>
      <c r="C10748" t="str">
        <f>IFERROR(__xludf.DUMMYFUNCTION("GOOGLETRANSLATE(B10748, ""fr"", ""en"")"),"Really compatible. Cartridges installed without problems. And they work. Conform to the description. And delivered as planned.")</f>
        <v>Really compatible. Cartridges installed without problems. And they work. Conform to the description. And delivered as planned.</v>
      </c>
    </row>
    <row r="10749">
      <c r="A10749" s="1">
        <v>5.0</v>
      </c>
      <c r="B10749" s="1" t="s">
        <v>10571</v>
      </c>
      <c r="C10749" t="str">
        <f>IFERROR(__xludf.DUMMYFUNCTION("GOOGLETRANSLATE(B10749, ""fr"", ""en"")"),"Very good as in the photo at the top")</f>
        <v>Very good as in the photo at the top</v>
      </c>
    </row>
    <row r="10750">
      <c r="A10750" s="1">
        <v>5.0</v>
      </c>
      <c r="B10750" s="1" t="s">
        <v>10572</v>
      </c>
      <c r="C10750" t="str">
        <f>IFERROR(__xludf.DUMMYFUNCTION("GOOGLETRANSLATE(B10750, ""fr"", ""en"")"),"best price and good quality If you wanted to shoot documents take these pockets lamination! for the price this is the best and the quality is really good")</f>
        <v>best price and good quality If you wanted to shoot documents take these pockets lamination! for the price this is the best and the quality is really good</v>
      </c>
    </row>
    <row r="10751">
      <c r="A10751" s="1">
        <v>5.0</v>
      </c>
      <c r="B10751" s="1" t="s">
        <v>10573</v>
      </c>
      <c r="C10751" t="str">
        <f>IFERROR(__xludf.DUMMYFUNCTION("GOOGLETRANSLATE(B10751, ""fr"", ""en"")"),"ideal for traveling great product and it really loose and I recommend it more convenient to slip into a suitcase")</f>
        <v>ideal for traveling great product and it really loose and I recommend it more convenient to slip into a suitcase</v>
      </c>
    </row>
    <row r="10752">
      <c r="A10752" s="1">
        <v>5.0</v>
      </c>
      <c r="B10752" s="1" t="s">
        <v>10574</v>
      </c>
      <c r="C10752" t="str">
        <f>IFERROR(__xludf.DUMMYFUNCTION("GOOGLETRANSLATE(B10752, ""fr"", ""en"")"),"Lightweight thank you very very pretty")</f>
        <v>Lightweight thank you very very pretty</v>
      </c>
    </row>
    <row r="10753">
      <c r="A10753" s="1">
        <v>5.0</v>
      </c>
      <c r="B10753" s="1" t="s">
        <v>10575</v>
      </c>
      <c r="C10753" t="str">
        <f>IFERROR(__xludf.DUMMYFUNCTION("GOOGLETRANSLATE(B10753, ""fr"", ""en"")"),"beautiful as charming as loops. I would order maybe something else.")</f>
        <v>beautiful as charming as loops. I would order maybe something else.</v>
      </c>
    </row>
    <row r="10754">
      <c r="A10754" s="1">
        <v>5.0</v>
      </c>
      <c r="B10754" s="1" t="s">
        <v>10576</v>
      </c>
      <c r="C10754" t="str">
        <f>IFERROR(__xludf.DUMMYFUNCTION("GOOGLETRANSLATE(B10754, ""fr"", ""en"")"),"Top!! excelling product !! I recommend 200%! departing a little painful but provides a wellness instentané, I use it all night and I m much better place!")</f>
        <v>Top!! excelling product !! I recommend 200%! departing a little painful but provides a wellness instentané, I use it all night and I m much better place!</v>
      </c>
    </row>
    <row r="10755">
      <c r="A10755" s="1">
        <v>5.0</v>
      </c>
      <c r="B10755" s="1" t="s">
        <v>10577</v>
      </c>
      <c r="C10755" t="str">
        <f>IFERROR(__xludf.DUMMYFUNCTION("GOOGLETRANSLATE(B10755, ""fr"", ""en"")"),"Effective and resilient These nipples work well with bottles. The air between good and allows baby to drink without swallowing too much air. They keep well in time and are easy to clean. We put them in the dishwasher and no problems.")</f>
        <v>Effective and resilient These nipples work well with bottles. The air between good and allows baby to drink without swallowing too much air. They keep well in time and are easy to clean. We put them in the dishwasher and no problems.</v>
      </c>
    </row>
    <row r="10756">
      <c r="A10756" s="1">
        <v>5.0</v>
      </c>
      <c r="B10756" s="1" t="s">
        <v>10578</v>
      </c>
      <c r="C10756" t="str">
        <f>IFERROR(__xludf.DUMMYFUNCTION("GOOGLETRANSLATE(B10756, ""fr"", ""en"")"),"Size and quality very good 6 pairs of socks that cut great. The quality / price and very interesting. The material is very pleasant. In short, I recommend")</f>
        <v>Size and quality very good 6 pairs of socks that cut great. The quality / price and very interesting. The material is very pleasant. In short, I recommend</v>
      </c>
    </row>
    <row r="10757">
      <c r="A10757" s="1">
        <v>5.0</v>
      </c>
      <c r="B10757" s="1" t="s">
        <v>10579</v>
      </c>
      <c r="C10757" t="str">
        <f>IFERROR(__xludf.DUMMYFUNCTION("GOOGLETRANSLATE(B10757, ""fr"", ""en"")"),"This superb Pandora with all these hearts is just beautiful! I love it here and allows me to have several saw prices !!!")</f>
        <v>This superb Pandora with all these hearts is just beautiful! I love it here and allows me to have several saw prices !!!</v>
      </c>
    </row>
    <row r="10758">
      <c r="A10758" s="1">
        <v>5.0</v>
      </c>
      <c r="B10758" s="1" t="s">
        <v>10580</v>
      </c>
      <c r="C10758" t="str">
        <f>IFERROR(__xludf.DUMMYFUNCTION("GOOGLETRANSLATE(B10758, ""fr"", ""en"")"),"Top Should it perfectly to my daughter")</f>
        <v>Top Should it perfectly to my daughter</v>
      </c>
    </row>
    <row r="10759">
      <c r="A10759" s="1">
        <v>2.0</v>
      </c>
      <c r="B10759" s="1" t="s">
        <v>10581</v>
      </c>
      <c r="C10759" t="str">
        <f>IFERROR(__xludf.DUMMYFUNCTION("GOOGLETRANSLATE(B10759, ""fr"", ""en"")"),"Caterpillar Colorado I am a huge fan of this model Caterpillar (fourth pair in 20 years) that are ideal for cold and rainy winter days. Following a very good promotion on the Amazon site by more than 50% in September (70 € instead of 150 €) I'm tempted an"&amp;"d acquired this Caterpillar Colorado model black size 45. However a small disappointment on first use. Indeed, a hook used to hold a shoelaces dissented leather wanting to tie the shoes making it (temporarily) unusable. Having bought these shoes in Septem"&amp;"ber and have actually increased (or at least tried to do) the first time in November, I left the past months back for exchange or refund can by Amazon. So, I still telephoned Amazon that could not do anything (within one month to return expired) apart fro"&amp;"m a commercial gesture of a voucher for € 5 for the inconvenience. After that, I went to a shoemaker who replaced me the hook and it cost me € 2. So even if the hook is not quite the same (which is not too bad because this part of the shoe is often hidden"&amp;" by trousers down), I am doing well and I'll finally able to wear them. But in the future I'm going to test, test, inspect and wear the shoes ordered for a month to not let foolishly spend the opportunity to return a defective item. In conclusion, I do no"&amp;"t recommend this model because I am disappointed by these shoes Caterpillar Colorado whose quality has clearly decreased (which fills saw the suggested retail price of € 150 on the Amazon site) seems to be the same as before (hook that jumped to the first"&amp;" real use, this had never happened on previous models which however have seen throughout their use) and the materials appear to be different (but this is purely subjective) than those used before on a previous model (in particular the sole of this model w"&amp;"hich is made of a hard and smooth plastic, whereas before it was a matte-type plastic used for tires). the use and we'll see over time if these shoes last me more than 5 years without disappointments.")</f>
        <v>Caterpillar Colorado I am a huge fan of this model Caterpillar (fourth pair in 20 years) that are ideal for cold and rainy winter days. Following a very good promotion on the Amazon site by more than 50% in September (70 € instead of 150 €) I'm tempted and acquired this Caterpillar Colorado model black size 45. However a small disappointment on first use. Indeed, a hook used to hold a shoelaces dissented leather wanting to tie the shoes making it (temporarily) unusable. Having bought these shoes in September and have actually increased (or at least tried to do) the first time in November, I left the past months back for exchange or refund can by Amazon. So, I still telephoned Amazon that could not do anything (within one month to return expired) apart from a commercial gesture of a voucher for € 5 for the inconvenience. After that, I went to a shoemaker who replaced me the hook and it cost me € 2. So even if the hook is not quite the same (which is not too bad because this part of the shoe is often hidden by trousers down), I am doing well and I'll finally able to wear them. But in the future I'm going to test, test, inspect and wear the shoes ordered for a month to not let foolishly spend the opportunity to return a defective item. In conclusion, I do not recommend this model because I am disappointed by these shoes Caterpillar Colorado whose quality has clearly decreased (which fills saw the suggested retail price of € 150 on the Amazon site) seems to be the same as before (hook that jumped to the first real use, this had never happened on previous models which however have seen throughout their use) and the materials appear to be different (but this is purely subjective) than those used before on a previous model (in particular the sole of this model which is made of a hard and smooth plastic, whereas before it was a matte-type plastic used for tires). the use and we'll see over time if these shoes last me more than 5 years without disappointments.</v>
      </c>
    </row>
    <row r="10760">
      <c r="A10760" s="1">
        <v>1.0</v>
      </c>
      <c r="B10760" s="1" t="s">
        <v>10582</v>
      </c>
      <c r="C10760" t="str">
        <f>IFERROR(__xludf.DUMMYFUNCTION("GOOGLETRANSLATE(B10760, ""fr"", ""en"")"),"disappointed pearls are not the same length, it really wrong! disappointed I will not put!")</f>
        <v>disappointed pearls are not the same length, it really wrong! disappointed I will not put!</v>
      </c>
    </row>
    <row r="10761">
      <c r="A10761" s="1">
        <v>3.0</v>
      </c>
      <c r="B10761" s="1" t="s">
        <v>10583</v>
      </c>
      <c r="C10761" t="str">
        <f>IFERROR(__xludf.DUMMYFUNCTION("GOOGLETRANSLATE(B10761, ""fr"", ""en"")"),"Class Too bad for the months of 30 and 31 days, it must do yourself.")</f>
        <v>Class Too bad for the months of 30 and 31 days, it must do yourself.</v>
      </c>
    </row>
    <row r="10762">
      <c r="A10762" s="1">
        <v>3.0</v>
      </c>
      <c r="B10762" s="1" t="s">
        <v>10584</v>
      </c>
      <c r="C10762" t="str">
        <f>IFERROR(__xludf.DUMMYFUNCTION("GOOGLETRANSLATE(B10762, ""fr"", ""en"")"),"A bit expensive for what it is good, it's just fine audio XLR cable from a basic to a angled 3.5mm (choice not necessarily practical matter). One can find widely both in the corner music store, and much less at other manufacturers. correct product but not"&amp;" worth more than a fiver.")</f>
        <v>A bit expensive for what it is good, it's just fine audio XLR cable from a basic to a angled 3.5mm (choice not necessarily practical matter). One can find widely both in the corner music store, and much less at other manufacturers. correct product but not worth more than a fiver.</v>
      </c>
    </row>
    <row r="10763">
      <c r="A10763" s="1">
        <v>4.0</v>
      </c>
      <c r="B10763" s="1" t="s">
        <v>10585</v>
      </c>
      <c r="C10763" t="str">
        <f>IFERROR(__xludf.DUMMYFUNCTION("GOOGLETRANSLATE(B10763, ""fr"", ""en"")"),"my little loves the pacifier reliable, flow and perfect and I buy a debit 2 and 3. I recommend because my daughter had a lot of colic assimilate bottle ac great!")</f>
        <v>my little loves the pacifier reliable, flow and perfect and I buy a debit 2 and 3. I recommend because my daughter had a lot of colic assimilate bottle ac great!</v>
      </c>
    </row>
    <row r="10764">
      <c r="A10764" s="1">
        <v>4.0</v>
      </c>
      <c r="B10764" s="1" t="s">
        <v>10586</v>
      </c>
      <c r="C10764" t="str">
        <f>IFERROR(__xludf.DUMMYFUNCTION("GOOGLETRANSLATE(B10764, ""fr"", ""en"")"),"Works well Pretty kettle but I expected it to be slightly smaller.")</f>
        <v>Works well Pretty kettle but I expected it to be slightly smaller.</v>
      </c>
    </row>
    <row r="10765">
      <c r="A10765" s="1">
        <v>4.0</v>
      </c>
      <c r="B10765" s="1" t="s">
        <v>10587</v>
      </c>
      <c r="C10765" t="str">
        <f>IFERROR(__xludf.DUMMYFUNCTION("GOOGLETRANSLATE(B10765, ""fr"", ""en"")"),"zippered pouches that's what I was looking for in the tops of Diamond Painting, there is very little pouches to park the diamonds remaining when finished!")</f>
        <v>zippered pouches that's what I was looking for in the tops of Diamond Painting, there is very little pouches to park the diamonds remaining when finished!</v>
      </c>
    </row>
    <row r="10766">
      <c r="A10766" s="1">
        <v>4.0</v>
      </c>
      <c r="B10766" s="1" t="s">
        <v>10588</v>
      </c>
      <c r="C10766" t="str">
        <f>IFERROR(__xludf.DUMMYFUNCTION("GOOGLETRANSLATE(B10766, ""fr"", ""en"")"),"Unfortunately too I took a size small for my son who is 170 cm but unfortunately the pants and jacket are much too large. Very good contact with the seller to make the refund.")</f>
        <v>Unfortunately too I took a size small for my son who is 170 cm but unfortunately the pants and jacket are much too large. Very good contact with the seller to make the refund.</v>
      </c>
    </row>
    <row r="10767">
      <c r="A10767" s="1">
        <v>5.0</v>
      </c>
      <c r="B10767" s="1" t="s">
        <v>10589</v>
      </c>
      <c r="C10767" t="str">
        <f>IFERROR(__xludf.DUMMYFUNCTION("GOOGLETRANSLATE(B10767, ""fr"", ""en"")"),"Super soft too good")</f>
        <v>Super soft too good</v>
      </c>
    </row>
    <row r="10768">
      <c r="A10768" s="1">
        <v>5.0</v>
      </c>
      <c r="B10768" s="1" t="s">
        <v>10590</v>
      </c>
      <c r="C10768" t="str">
        <f>IFERROR(__xludf.DUMMYFUNCTION("GOOGLETRANSLATE(B10768, ""fr"", ""en"")"),"Very pretty good bands, easily carried, very good, a little big")</f>
        <v>Very pretty good bands, easily carried, very good, a little big</v>
      </c>
    </row>
    <row r="10769">
      <c r="A10769" s="1">
        <v>5.0</v>
      </c>
      <c r="B10769" s="1" t="s">
        <v>10591</v>
      </c>
      <c r="C10769" t="str">
        <f>IFERROR(__xludf.DUMMYFUNCTION("GOOGLETRANSLATE(B10769, ""fr"", ""en"")"),"Really no regrets about this article I recommend this product redefines the whole of our deco lounge it is easy to use and diffuse smells great what I like is the change of atmosphere every time the color changes the diffuser level")</f>
        <v>Really no regrets about this article I recommend this product redefines the whole of our deco lounge it is easy to use and diffuse smells great what I like is the change of atmosphere every time the color changes the diffuser level</v>
      </c>
    </row>
    <row r="10770">
      <c r="A10770" s="1">
        <v>5.0</v>
      </c>
      <c r="B10770" s="1" t="s">
        <v>10592</v>
      </c>
      <c r="C10770" t="str">
        <f>IFERROR(__xludf.DUMMYFUNCTION("GOOGLETRANSLATE(B10770, ""fr"", ""en"")"),"Beautiful earrings Super!")</f>
        <v>Beautiful earrings Super!</v>
      </c>
    </row>
    <row r="10771">
      <c r="A10771" s="1">
        <v>5.0</v>
      </c>
      <c r="B10771" s="1" t="s">
        <v>10593</v>
      </c>
      <c r="C10771" t="str">
        <f>IFERROR(__xludf.DUMMYFUNCTION("GOOGLETRANSLATE(B10771, ""fr"", ""en"")"),"Very useful practice to relieve muscle pain and gives a feeling of warmth in depth or you place them")</f>
        <v>Very useful practice to relieve muscle pain and gives a feeling of warmth in depth or you place them</v>
      </c>
    </row>
    <row r="10772">
      <c r="A10772" s="1">
        <v>5.0</v>
      </c>
      <c r="B10772" s="1" t="s">
        <v>10594</v>
      </c>
      <c r="C10772" t="str">
        <f>IFERROR(__xludf.DUMMYFUNCTION("GOOGLETRANSLATE(B10772, ""fr"", ""en"")"),"Very good package to start This lot consists of 6 bottles of different sizes and capacities (2 150ml, 270ml and 2 of 2 330ml) and their round nipples 3 speed. The two smaller sizes are used from birth to 6 months and the largest from 6 months. The aesthet"&amp;"ic is really nice, the child growing managed to hold fairly easily, cleaning is simple and the opening of the cap can be done with one hand. French made without BPA and BPS by a major brand in the field.")</f>
        <v>Very good package to start This lot consists of 6 bottles of different sizes and capacities (2 150ml, 270ml and 2 of 2 330ml) and their round nipples 3 speed. The two smaller sizes are used from birth to 6 months and the largest from 6 months. The aesthetic is really nice, the child growing managed to hold fairly easily, cleaning is simple and the opening of the cap can be done with one hand. French made without BPA and BPS by a major brand in the field.</v>
      </c>
    </row>
    <row r="10773">
      <c r="A10773" s="1">
        <v>5.0</v>
      </c>
      <c r="B10773" s="1" t="s">
        <v>10595</v>
      </c>
      <c r="C10773" t="str">
        <f>IFERROR(__xludf.DUMMYFUNCTION("GOOGLETRANSLATE(B10773, ""fr"", ""en"")"),"To be satisfied with good C")</f>
        <v>To be satisfied with good C</v>
      </c>
    </row>
    <row r="10774">
      <c r="A10774" s="1">
        <v>5.0</v>
      </c>
      <c r="B10774" s="1" t="s">
        <v>10596</v>
      </c>
      <c r="C10774" t="str">
        <f>IFERROR(__xludf.DUMMYFUNCTION("GOOGLETRANSLATE(B10774, ""fr"", ""en"")"),"percche micro great product arrives at the right date, package damaged but everything works.")</f>
        <v>percche micro great product arrives at the right date, package damaged but everything works.</v>
      </c>
    </row>
    <row r="10775">
      <c r="A10775" s="1">
        <v>5.0</v>
      </c>
      <c r="B10775" s="1" t="s">
        <v>10597</v>
      </c>
      <c r="C10775" t="str">
        <f>IFERROR(__xludf.DUMMYFUNCTION("GOOGLETRANSLATE(B10775, ""fr"", ""en"")"),"Thank you amazon top Very happy with my purchase I have control 2 pairs for my 2 daughters 14 and 15 years a black and a black and pink. Order made on November 29 I have received Black Sunday, December 3 One Sunday !!! Very surprised !!! my ille is very h"&amp;"appy super mignonnes.prendre one size bigger as c is conseiile in the comments they are perfect j attens in the second espetant it will be the same the same. You can order eyes closed. I like more amazon.")</f>
        <v>Thank you amazon top Very happy with my purchase I have control 2 pairs for my 2 daughters 14 and 15 years a black and a black and pink. Order made on November 29 I have received Black Sunday, December 3 One Sunday !!! Very surprised !!! my ille is very happy super mignonnes.prendre one size bigger as c is conseiile in the comments they are perfect j attens in the second espetant it will be the same the same. You can order eyes closed. I like more amazon.</v>
      </c>
    </row>
    <row r="10776">
      <c r="A10776" s="1">
        <v>5.0</v>
      </c>
      <c r="B10776" s="1" t="s">
        <v>10598</v>
      </c>
      <c r="C10776" t="str">
        <f>IFERROR(__xludf.DUMMYFUNCTION("GOOGLETRANSLATE(B10776, ""fr"", ""en"")"),"Just this beautiful jewelry is just beautiful. The colors make it much better in the photo. It perfectly reflect light. I do not regret my purchase.")</f>
        <v>Just this beautiful jewelry is just beautiful. The colors make it much better in the photo. It perfectly reflect light. I do not regret my purchase.</v>
      </c>
    </row>
    <row r="10777">
      <c r="A10777" s="1">
        <v>5.0</v>
      </c>
      <c r="B10777" s="1" t="s">
        <v>10599</v>
      </c>
      <c r="C10777" t="str">
        <f>IFERROR(__xludf.DUMMYFUNCTION("GOOGLETRANSLATE(B10777, ""fr"", ""en"")"),"Letters Nothing adireparfait")</f>
        <v>Letters Nothing adireparfait</v>
      </c>
    </row>
    <row r="10778">
      <c r="A10778" s="1">
        <v>5.0</v>
      </c>
      <c r="B10778" s="1" t="s">
        <v>10600</v>
      </c>
      <c r="C10778" t="str">
        <f>IFERROR(__xludf.DUMMYFUNCTION("GOOGLETRANSLATE(B10778, ""fr"", ""en"")"),"I will re command His beautiful machine. My there is a small flaw is his should be like a machine Senseo. You turn your machine is and ready to use. Is pressed once. And the water comes. My tea with the machine. This false toujour support.")</f>
        <v>I will re command His beautiful machine. My there is a small flaw is his should be like a machine Senseo. You turn your machine is and ready to use. Is pressed once. And the water comes. My tea with the machine. This false toujour support.</v>
      </c>
    </row>
    <row r="10779">
      <c r="A10779" s="1">
        <v>5.0</v>
      </c>
      <c r="B10779" s="1" t="s">
        <v>10601</v>
      </c>
      <c r="C10779" t="str">
        <f>IFERROR(__xludf.DUMMYFUNCTION("GOOGLETRANSLATE(B10779, ""fr"", ""en"")"),"For coffee lovers recent years we adopted a Senseo as it is practical in dosage. Alas, flavor side, we lost it. Now thanks to this coffee, one can opt for quality coffee aroma bewitching. And frankly, it's great !! Volume is perfect in case of guests and "&amp;"/ or for coffee lovers. On a nice design, compact and easy to implement, this coffee is very simple to use. She has a 2-year warranty up to 3 years by registering their device online. Honestly, I did not find fault, as qualities. the cable is neither too "&amp;"long nor too short. It's perfect when you have a work plan with catches locally. And what I think is the big plus: the programming mode with keeping warm coffee for at least about 30 minutes. Clearly I love it !!! Oh, I almost forgot, the cleaning is simp"&amp;"le. I would however maintain after each use a little cleaning to keep as long as possible its beautiful appearance.")</f>
        <v>For coffee lovers recent years we adopted a Senseo as it is practical in dosage. Alas, flavor side, we lost it. Now thanks to this coffee, one can opt for quality coffee aroma bewitching. And frankly, it's great !! Volume is perfect in case of guests and / or for coffee lovers. On a nice design, compact and easy to implement, this coffee is very simple to use. She has a 2-year warranty up to 3 years by registering their device online. Honestly, I did not find fault, as qualities. the cable is neither too long nor too short. It's perfect when you have a work plan with catches locally. And what I think is the big plus: the programming mode with keeping warm coffee for at least about 30 minutes. Clearly I love it !!! Oh, I almost forgot, the cleaning is simple. I would however maintain after each use a little cleaning to keep as long as possible its beautiful appearance.</v>
      </c>
    </row>
    <row r="10780">
      <c r="A10780" s="1">
        <v>5.0</v>
      </c>
      <c r="B10780" s="1" t="s">
        <v>10602</v>
      </c>
      <c r="C10780" t="str">
        <f>IFERROR(__xludf.DUMMYFUNCTION("GOOGLETRANSLATE(B10780, ""fr"", ""en"")"),"Perfect cable XLR / XLR perfect for a ghost connection. Its length of 3 meters allows you to leave the fields between the microphone and a mixer. Delivered very quickly, well protected. Thank you Amazon and Stagg.")</f>
        <v>Perfect cable XLR / XLR perfect for a ghost connection. Its length of 3 meters allows you to leave the fields between the microphone and a mixer. Delivered very quickly, well protected. Thank you Amazon and Stagg.</v>
      </c>
    </row>
    <row r="10781">
      <c r="A10781" s="1">
        <v>5.0</v>
      </c>
      <c r="B10781" s="1" t="s">
        <v>10603</v>
      </c>
      <c r="C10781" t="str">
        <f>IFERROR(__xludf.DUMMYFUNCTION("GOOGLETRANSLATE(B10781, ""fr"", ""en"")"),"Very well. Much cheaper than the local shops and identical product. So I highly recommend.")</f>
        <v>Very well. Much cheaper than the local shops and identical product. So I highly recommend.</v>
      </c>
    </row>
    <row r="10782">
      <c r="A10782" s="1">
        <v>2.0</v>
      </c>
      <c r="B10782" s="1" t="s">
        <v>10604</v>
      </c>
      <c r="C10782" t="str">
        <f>IFERROR(__xludf.DUMMYFUNCTION("GOOGLETRANSLATE(B10782, ""fr"", ""en"")"),"Bad So the sound is correct, the noise reduction you can forget it, and sport do not even think. My bad: - after 5 minutes I earache because the foam is not good so you feel pressure. - there is clearly no noise reduction or it does not work on my model. "&amp;"- the sound is not adjustable if you're on a PC. Only via the PC. - a bit cheap quality but at that price would be expected. Point positive yes there - good reception no latency and more than 6m. - yours a good day it is even an excellent point. - design "&amp;"- not too expensive compared to some brand!")</f>
        <v>Bad So the sound is correct, the noise reduction you can forget it, and sport do not even think. My bad: - after 5 minutes I earache because the foam is not good so you feel pressure. - there is clearly no noise reduction or it does not work on my model. - the sound is not adjustable if you're on a PC. Only via the PC. - a bit cheap quality but at that price would be expected. Point positive yes there - good reception no latency and more than 6m. - yours a good day it is even an excellent point. - design - not too expensive compared to some brand!</v>
      </c>
    </row>
    <row r="10783">
      <c r="A10783" s="1">
        <v>1.0</v>
      </c>
      <c r="B10783" s="1" t="s">
        <v>10605</v>
      </c>
      <c r="C10783" t="str">
        <f>IFERROR(__xludf.DUMMYFUNCTION("GOOGLETRANSLATE(B10783, ""fr"", ""en"")"),"It does not work. Do not understand. My nine SnapTouch device. N know not accept picture. Why He wants zink picture. Aure know zink photo paper not ... What's going on. What do I have to do")</f>
        <v>It does not work. Do not understand. My nine SnapTouch device. N know not accept picture. Why He wants zink picture. Aure know zink photo paper not ... What's going on. What do I have to do</v>
      </c>
    </row>
    <row r="10784">
      <c r="A10784" s="1">
        <v>1.0</v>
      </c>
      <c r="B10784" s="1" t="s">
        <v>10606</v>
      </c>
      <c r="C10784" t="str">
        <f>IFERROR(__xludf.DUMMYFUNCTION("GOOGLETRANSLATE(B10784, ""fr"", ""en"")"),"Not recommended. The product I received very dirty etzit with salicusure it! I recommend despicable!")</f>
        <v>Not recommended. The product I received very dirty etzit with salicusure it! I recommend despicable!</v>
      </c>
    </row>
    <row r="10785">
      <c r="A10785" s="1">
        <v>3.0</v>
      </c>
      <c r="B10785" s="1" t="s">
        <v>10607</v>
      </c>
      <c r="C10785" t="str">
        <f>IFERROR(__xludf.DUMMYFUNCTION("GOOGLETRANSLATE(B10785, ""fr"", ""en"")"),"Comments I'm not satisfied. I think the heat lasts less time than with hot water bottles with water. Switching to microwave to heat is not ideal. more I find that the seeds inside it hurts the back.")</f>
        <v>Comments I'm not satisfied. I think the heat lasts less time than with hot water bottles with water. Switching to microwave to heat is not ideal. more I find that the seeds inside it hurts the back.</v>
      </c>
    </row>
    <row r="10786">
      <c r="A10786" s="1">
        <v>3.0</v>
      </c>
      <c r="B10786" s="1" t="s">
        <v>10608</v>
      </c>
      <c r="C10786" t="str">
        <f>IFERROR(__xludf.DUMMYFUNCTION("GOOGLETRANSLATE(B10786, ""fr"", ""en"")"),"Pretty Elastic review")</f>
        <v>Pretty Elastic review</v>
      </c>
    </row>
    <row r="10787">
      <c r="A10787" s="1">
        <v>4.0</v>
      </c>
      <c r="B10787" s="1" t="s">
        <v>10609</v>
      </c>
      <c r="C10787" t="str">
        <f>IFERROR(__xludf.DUMMYFUNCTION("GOOGLETRANSLATE(B10787, ""fr"", ""en"")"),"Well Satisfied warm feet")</f>
        <v>Well Satisfied warm feet</v>
      </c>
    </row>
    <row r="10788">
      <c r="A10788" s="1">
        <v>4.0</v>
      </c>
      <c r="B10788" s="1" t="s">
        <v>10610</v>
      </c>
      <c r="C10788" t="str">
        <f>IFERROR(__xludf.DUMMYFUNCTION("GOOGLETRANSLATE(B10788, ""fr"", ""en"")"),"relatively comfortable shoe. Good value relatively comfortable shoes. It's a real pleasure to work with. However small b moles are not permeable.")</f>
        <v>relatively comfortable shoe. Good value relatively comfortable shoes. It's a real pleasure to work with. However small b moles are not permeable.</v>
      </c>
    </row>
    <row r="10789">
      <c r="A10789" s="1">
        <v>4.0</v>
      </c>
      <c r="B10789" s="1" t="s">
        <v>10611</v>
      </c>
      <c r="C10789" t="str">
        <f>IFERROR(__xludf.DUMMYFUNCTION("GOOGLETRANSLATE(B10789, ""fr"", ""en"")"),"Satisfied Very good product, works well, I put 4 stars because the connecting wire is short enough so he should really stay close to a decision, more the belt is not very wide. Otherwise very satisfied")</f>
        <v>Satisfied Very good product, works well, I put 4 stars because the connecting wire is short enough so he should really stay close to a decision, more the belt is not very wide. Otherwise very satisfied</v>
      </c>
    </row>
    <row r="10790">
      <c r="A10790" s="1">
        <v>4.0</v>
      </c>
      <c r="B10790" s="1" t="s">
        <v>10612</v>
      </c>
      <c r="C10790" t="str">
        <f>IFERROR(__xludf.DUMMYFUNCTION("GOOGLETRANSLATE(B10790, ""fr"", ""en"")"),"Very comfortable comfortable shoes and good quality worthy of Merrell. However, it was necessary to return the 41 being too small ... the 42 is perfect!")</f>
        <v>Very comfortable comfortable shoes and good quality worthy of Merrell. However, it was necessary to return the 41 being too small ... the 42 is perfect!</v>
      </c>
    </row>
    <row r="10791">
      <c r="A10791" s="1">
        <v>4.0</v>
      </c>
      <c r="B10791" s="1" t="s">
        <v>10613</v>
      </c>
      <c r="C10791" t="str">
        <f>IFERROR(__xludf.DUMMYFUNCTION("GOOGLETRANSLATE(B10791, ""fr"", ""en"")"),"good product shoes in good quality hot and anti-slip, size can be a bit larger (personally I took a size below)")</f>
        <v>good product shoes in good quality hot and anti-slip, size can be a bit larger (personally I took a size below)</v>
      </c>
    </row>
    <row r="10792">
      <c r="A10792" s="1">
        <v>5.0</v>
      </c>
      <c r="B10792" s="1" t="s">
        <v>10614</v>
      </c>
      <c r="C10792" t="str">
        <f>IFERROR(__xludf.DUMMYFUNCTION("GOOGLETRANSLATE(B10792, ""fr"", ""en"")"),"Although Good to troubleshoot")</f>
        <v>Although Good to troubleshoot</v>
      </c>
    </row>
    <row r="10793">
      <c r="A10793" s="1">
        <v>5.0</v>
      </c>
      <c r="B10793" s="1" t="s">
        <v>10615</v>
      </c>
      <c r="C10793" t="str">
        <f>IFERROR(__xludf.DUMMYFUNCTION("GOOGLETRANSLATE(B10793, ""fr"", ""en"")"),"Very good product it is nice appearance, good size (1.2 L), works very well, exactly in line with my expectations! I recommend carefree")</f>
        <v>Very good product it is nice appearance, good size (1.2 L), works very well, exactly in line with my expectations! I recommend carefree</v>
      </c>
    </row>
    <row r="10794">
      <c r="A10794" s="1">
        <v>5.0</v>
      </c>
      <c r="B10794" s="1" t="s">
        <v>10616</v>
      </c>
      <c r="C10794" t="str">
        <f>IFERROR(__xludf.DUMMYFUNCTION("GOOGLETRANSLATE(B10794, ""fr"", ""en"")"),"Original Very good quality, nice colors, a pity that the design is symmetrical")</f>
        <v>Original Very good quality, nice colors, a pity that the design is symmetrical</v>
      </c>
    </row>
    <row r="10795">
      <c r="A10795" s="1">
        <v>5.0</v>
      </c>
      <c r="B10795" s="1" t="s">
        <v>10617</v>
      </c>
      <c r="C10795" t="str">
        <f>IFERROR(__xludf.DUMMYFUNCTION("GOOGLETRANSLATE(B10795, ""fr"", ""en"")"),"Cheap nice good size and good quality chain. After many months of use it has not moved")</f>
        <v>Cheap nice good size and good quality chain. After many months of use it has not moved</v>
      </c>
    </row>
    <row r="10796">
      <c r="A10796" s="1">
        <v>5.0</v>
      </c>
      <c r="B10796" s="1" t="s">
        <v>10618</v>
      </c>
      <c r="C10796" t="str">
        <f>IFERROR(__xludf.DUMMYFUNCTION("GOOGLETRANSLATE(B10796, ""fr"", ""en"")"),"Good reading book My son is struggling in reading. The books range truly help to move forward. He loves the characters and the stories. I recommend. Plus: the silent letters are shown in blue. 3 reading levels")</f>
        <v>Good reading book My son is struggling in reading. The books range truly help to move forward. He loves the characters and the stories. I recommend. Plus: the silent letters are shown in blue. 3 reading levels</v>
      </c>
    </row>
    <row r="10797">
      <c r="A10797" s="1">
        <v>5.0</v>
      </c>
      <c r="B10797" s="1" t="s">
        <v>10619</v>
      </c>
      <c r="C10797" t="str">
        <f>IFERROR(__xludf.DUMMYFUNCTION("GOOGLETRANSLATE(B10797, ""fr"", ""en"")"),"Confo Compliance")</f>
        <v>Confo Compliance</v>
      </c>
    </row>
    <row r="10798">
      <c r="A10798" s="1">
        <v>5.0</v>
      </c>
      <c r="B10798" s="1" t="s">
        <v>10620</v>
      </c>
      <c r="C10798" t="str">
        <f>IFERROR(__xludf.DUMMYFUNCTION("GOOGLETRANSLATE(B10798, ""fr"", ""en"")"),"Earring light and aesthetic blue Jolie blue ear loop corresponding to the description. Light and aesthetic is suitable for both a woman or child. I recommend this purchase.")</f>
        <v>Earring light and aesthetic blue Jolie blue ear loop corresponding to the description. Light and aesthetic is suitable for both a woman or child. I recommend this purchase.</v>
      </c>
    </row>
    <row r="10799">
      <c r="A10799" s="1">
        <v>5.0</v>
      </c>
      <c r="B10799" s="1" t="s">
        <v>10621</v>
      </c>
      <c r="C10799" t="str">
        <f>IFERROR(__xludf.DUMMYFUNCTION("GOOGLETRANSLATE(B10799, ""fr"", ""en"")"),"Excellent Jean, class quoi😘 Suitable for my size, I make the T38, I always choose the W28-32L is nickel. Purchased, received, direct worn.")</f>
        <v>Excellent Jean, class quoi😘 Suitable for my size, I make the T38, I always choose the W28-32L is nickel. Purchased, received, direct worn.</v>
      </c>
    </row>
    <row r="10800">
      <c r="A10800" s="1">
        <v>5.0</v>
      </c>
      <c r="B10800" s="1" t="s">
        <v>10622</v>
      </c>
      <c r="C10800" t="str">
        <f>IFERROR(__xludf.DUMMYFUNCTION("GOOGLETRANSLATE(B10800, ""fr"", ""en"")"),"Good good quality product held this Happy sewing pants pocket suitable for my phone if I want the brought with me during my very well I have had sessions Size doubt has its happened but not perfect")</f>
        <v>Good good quality product held this Happy sewing pants pocket suitable for my phone if I want the brought with me during my very well I have had sessions Size doubt has its happened but not perfect</v>
      </c>
    </row>
    <row r="10801">
      <c r="A10801" s="1">
        <v>5.0</v>
      </c>
      <c r="B10801" s="1" t="s">
        <v>10623</v>
      </c>
      <c r="C10801" t="str">
        <f>IFERROR(__xludf.DUMMYFUNCTION("GOOGLETRANSLATE(B10801, ""fr"", ""en"")"),"Top Great product, comfortable and suitable for sports!")</f>
        <v>Top Great product, comfortable and suitable for sports!</v>
      </c>
    </row>
    <row r="10802">
      <c r="A10802" s="1">
        <v>5.0</v>
      </c>
      <c r="B10802" s="1" t="s">
        <v>10624</v>
      </c>
      <c r="C10802" t="str">
        <f>IFERROR(__xludf.DUMMYFUNCTION("GOOGLETRANSLATE(B10802, ""fr"", ""en"")"),"Floor lamp perfect! Very happy with my purchase. The packaging in perfect condition. Installation in one minute. You can adjust according to your need the intensity of light or choose between hot or cold lights! Impeccable!")</f>
        <v>Floor lamp perfect! Very happy with my purchase. The packaging in perfect condition. Installation in one minute. You can adjust according to your need the intensity of light or choose between hot or cold lights! Impeccable!</v>
      </c>
    </row>
    <row r="10803">
      <c r="A10803" s="1">
        <v>5.0</v>
      </c>
      <c r="B10803" s="1" t="s">
        <v>10625</v>
      </c>
      <c r="C10803" t="str">
        <f>IFERROR(__xludf.DUMMYFUNCTION("GOOGLETRANSLATE(B10803, ""fr"", ""en"")"),"Meets Fast delivery corresponds to the description. A pocket everywhere and my boyfriend loved it! However magnet to monitor over time, they have the fragile air.")</f>
        <v>Meets Fast delivery corresponds to the description. A pocket everywhere and my boyfriend loved it! However magnet to monitor over time, they have the fragile air.</v>
      </c>
    </row>
    <row r="10804">
      <c r="A10804" s="1">
        <v>5.0</v>
      </c>
      <c r="B10804" s="1" t="s">
        <v>10626</v>
      </c>
      <c r="C10804" t="str">
        <f>IFERROR(__xludf.DUMMYFUNCTION("GOOGLETRANSLATE(B10804, ""fr"", ""en"")"),"purchase complies prompt receipt and product line with expectations")</f>
        <v>purchase complies prompt receipt and product line with expectations</v>
      </c>
    </row>
    <row r="10805">
      <c r="A10805" s="1">
        <v>5.0</v>
      </c>
      <c r="B10805" s="1" t="s">
        <v>10627</v>
      </c>
      <c r="C10805" t="str">
        <f>IFERROR(__xludf.DUMMYFUNCTION("GOOGLETRANSLATE(B10805, ""fr"", ""en"")"),"Good product Received quickly, I make the dressing, it holds up well, the fabric is nice, it feels solid and there is no padding which for me is a big plus. It keeps well (test jump and light running) and it is comfortable. I'm a big 85F, so I recommend I"&amp;" would take the size up to be a bit more comfortable but otherwise it's fine anyway. To see with time and washing. For the price, I am very happy to find a product in my size that actually keeps.")</f>
        <v>Good product Received quickly, I make the dressing, it holds up well, the fabric is nice, it feels solid and there is no padding which for me is a big plus. It keeps well (test jump and light running) and it is comfortable. I'm a big 85F, so I recommend I would take the size up to be a bit more comfortable but otherwise it's fine anyway. To see with time and washing. For the price, I am very happy to find a product in my size that actually keeps.</v>
      </c>
    </row>
    <row r="10806">
      <c r="A10806" s="1">
        <v>5.0</v>
      </c>
      <c r="B10806" s="1" t="s">
        <v>10628</v>
      </c>
      <c r="C10806" t="str">
        <f>IFERROR(__xludf.DUMMYFUNCTION("GOOGLETRANSLATE(B10806, ""fr"", ""en"")"),"Okay this Jogging Cotton Lightweight and breathable, good for Spring and Summer. Comfort wearing at home")</f>
        <v>Okay this Jogging Cotton Lightweight and breathable, good for Spring and Summer. Comfort wearing at home</v>
      </c>
    </row>
    <row r="10807">
      <c r="A10807" s="1">
        <v>2.0</v>
      </c>
      <c r="B10807" s="1" t="s">
        <v>10629</v>
      </c>
      <c r="C10807" t="str">
        <f>IFERROR(__xludf.DUMMYFUNCTION("GOOGLETRANSLATE(B10807, ""fr"", ""en"")"),"Yes blah Sorry I return to my comment. For some days there are cuts microphones and crackles are heard. I do not know why. Back at Amazon!")</f>
        <v>Yes blah Sorry I return to my comment. For some days there are cuts microphones and crackles are heard. I do not know why. Back at Amazon!</v>
      </c>
    </row>
    <row r="10808">
      <c r="A10808" s="1">
        <v>1.0</v>
      </c>
      <c r="B10808" s="1" t="s">
        <v>10630</v>
      </c>
      <c r="C10808" t="str">
        <f>IFERROR(__xludf.DUMMYFUNCTION("GOOGLETRANSLATE(B10808, ""fr"", ""en"")"),"Product fine fine not ideal product for the season, I'm garlic previous order and the quality is not comparable")</f>
        <v>Product fine fine not ideal product for the season, I'm garlic previous order and the quality is not comparable</v>
      </c>
    </row>
    <row r="10809">
      <c r="A10809" s="1">
        <v>1.0</v>
      </c>
      <c r="B10809" s="1" t="s">
        <v>10631</v>
      </c>
      <c r="C10809" t="str">
        <f>IFERROR(__xludf.DUMMYFUNCTION("GOOGLETRANSLATE(B10809, ""fr"", ""en"")"),"it's not the product that I ordered Hello, I received tubes of glue with a standard package not as pictured. Unfortunately we do not have enough time to return")</f>
        <v>it's not the product that I ordered Hello, I received tubes of glue with a standard package not as pictured. Unfortunately we do not have enough time to return</v>
      </c>
    </row>
    <row r="10810">
      <c r="A10810" s="1">
        <v>3.0</v>
      </c>
      <c r="B10810" s="1" t="s">
        <v>10632</v>
      </c>
      <c r="C10810" t="str">
        <f>IFERROR(__xludf.DUMMYFUNCTION("GOOGLETRANSLATE(B10810, ""fr"", ""en"")"),"New balance Pretty pair of basketball I play 36 I took in 37 but I think we have the foot end can not get the foot in damage. I will try two sizes above.")</f>
        <v>New balance Pretty pair of basketball I play 36 I took in 37 but I think we have the foot end can not get the foot in damage. I will try two sizes above.</v>
      </c>
    </row>
    <row r="10811">
      <c r="A10811" s="1">
        <v>3.0</v>
      </c>
      <c r="B10811" s="1" t="s">
        <v>10633</v>
      </c>
      <c r="C10811" t="str">
        <f>IFERROR(__xludf.DUMMYFUNCTION("GOOGLETRANSLATE(B10811, ""fr"", ""en"")"),"Cartridges too expensive for many ml I put only three stars because of the speed at which they are emptied, if we reduce the cost per liter it is over 1,600 € per liter of ink ... No how! However no complaints about the print quality.")</f>
        <v>Cartridges too expensive for many ml I put only three stars because of the speed at which they are emptied, if we reduce the cost per liter it is over 1,600 € per liter of ink ... No how! However no complaints about the print quality.</v>
      </c>
    </row>
    <row r="10812">
      <c r="A10812" s="1">
        <v>4.0</v>
      </c>
      <c r="B10812" s="1" t="s">
        <v>10634</v>
      </c>
      <c r="C10812" t="str">
        <f>IFERROR(__xludf.DUMMYFUNCTION("GOOGLETRANSLATE(B10812, ""fr"", ""en"")"),"I Thank You boots my boots conviennes me I'm in a little bit hard at the end but I myself would")</f>
        <v>I Thank You boots my boots conviennes me I'm in a little bit hard at the end but I myself would</v>
      </c>
    </row>
    <row r="10813">
      <c r="A10813" s="1">
        <v>4.0</v>
      </c>
      <c r="B10813" s="1" t="s">
        <v>10635</v>
      </c>
      <c r="C10813" t="str">
        <f>IFERROR(__xludf.DUMMYFUNCTION("GOOGLETRANSLATE(B10813, ""fr"", ""en"")"),"A bit like a cut Decathlon Although, I put usual bdu M and cae goes, I would say that the sizes are good")</f>
        <v>A bit like a cut Decathlon Although, I put usual bdu M and cae goes, I would say that the sizes are good</v>
      </c>
    </row>
    <row r="10814">
      <c r="A10814" s="1">
        <v>4.0</v>
      </c>
      <c r="B10814" s="1" t="s">
        <v>10636</v>
      </c>
      <c r="C10814" t="str">
        <f>IFERROR(__xludf.DUMMYFUNCTION("GOOGLETRANSLATE(B10814, ""fr"", ""en"")"),"well RAS")</f>
        <v>well RAS</v>
      </c>
    </row>
    <row r="10815">
      <c r="A10815" s="1">
        <v>4.0</v>
      </c>
      <c r="B10815" s="1" t="s">
        <v>10637</v>
      </c>
      <c r="C10815" t="str">
        <f>IFERROR(__xludf.DUMMYFUNCTION("GOOGLETRANSLATE(B10815, ""fr"", ""en"")"),"These top bottles are beautiful, not tested as purchased in anticipation of the arrival of baby. The patterns correspond to the photo. IN contrast beware: you will not 4 160ml and 130ml Bottle 2 and 2 160ml; indeed I contacted the seller after receiving t"&amp;"he package and he told me that he asked amazon several times to change the description that has not been done yet, so do not be surprised. Kit perfect start. If my review was helpful, please specify below;)")</f>
        <v>These top bottles are beautiful, not tested as purchased in anticipation of the arrival of baby. The patterns correspond to the photo. IN contrast beware: you will not 4 160ml and 130ml Bottle 2 and 2 160ml; indeed I contacted the seller after receiving the package and he told me that he asked amazon several times to change the description that has not been done yet, so do not be surprised. Kit perfect start. If my review was helpful, please specify below;)</v>
      </c>
    </row>
    <row r="10816">
      <c r="A10816" s="1">
        <v>5.0</v>
      </c>
      <c r="B10816" s="1" t="s">
        <v>10638</v>
      </c>
      <c r="C10816" t="str">
        <f>IFERROR(__xludf.DUMMYFUNCTION("GOOGLETRANSLATE(B10816, ""fr"", ""en"")"),"Value for money at the top. Very very nice watch offered at Christmas! Received in an elegant gray, which can be reused as a paper holder. Very good quality, the details are cared for, true to the photo. The bracelet is large enough, may be suitable for w"&amp;"ide cuffs. I recommend.")</f>
        <v>Value for money at the top. Very very nice watch offered at Christmas! Received in an elegant gray, which can be reused as a paper holder. Very good quality, the details are cared for, true to the photo. The bracelet is large enough, may be suitable for wide cuffs. I recommend.</v>
      </c>
    </row>
    <row r="10817">
      <c r="A10817" s="1">
        <v>5.0</v>
      </c>
      <c r="B10817" s="1" t="s">
        <v>10639</v>
      </c>
      <c r="C10817" t="str">
        <f>IFERROR(__xludf.DUMMYFUNCTION("GOOGLETRANSLATE(B10817, ""fr"", ""en"")"),"Good Bluetooth headset This headset is good quality / price ratio. It comes in a very nice little briefcase. The sound quality is decent and the noise reduction eliminates external noise sounds relatively well.")</f>
        <v>Good Bluetooth headset This headset is good quality / price ratio. It comes in a very nice little briefcase. The sound quality is decent and the noise reduction eliminates external noise sounds relatively well.</v>
      </c>
    </row>
    <row r="10818">
      <c r="A10818" s="1">
        <v>5.0</v>
      </c>
      <c r="B10818" s="1" t="s">
        <v>10640</v>
      </c>
      <c r="C10818" t="str">
        <f>IFERROR(__xludf.DUMMYFUNCTION("GOOGLETRANSLATE(B10818, ""fr"", ""en"")"),"A LED The three LED lamps operate, convenient closet, storage or input. The need for the 3 Aaa Battery")</f>
        <v>A LED The three LED lamps operate, convenient closet, storage or input. The need for the 3 Aaa Battery</v>
      </c>
    </row>
    <row r="10819">
      <c r="A10819" s="1">
        <v>5.0</v>
      </c>
      <c r="B10819" s="1" t="s">
        <v>10641</v>
      </c>
      <c r="C10819" t="str">
        <f>IFERROR(__xludf.DUMMYFUNCTION("GOOGLETRANSLATE(B10819, ""fr"", ""en"")"),"Perfect These bracelets were a good buy because they can be worn separately or as I wear them together. They are exactly like the photo, and very easy to put on and take off because they are elastic.")</f>
        <v>Perfect These bracelets were a good buy because they can be worn separately or as I wear them together. They are exactly like the photo, and very easy to put on and take off because they are elastic.</v>
      </c>
    </row>
    <row r="10820">
      <c r="A10820" s="1">
        <v>5.0</v>
      </c>
      <c r="B10820" s="1" t="s">
        <v>10642</v>
      </c>
      <c r="C10820" t="str">
        <f>IFERROR(__xludf.DUMMYFUNCTION("GOOGLETRANSLATE(B10820, ""fr"", ""en"")"),"very good product (+ ---- !!) Earphones nice to wear with a very good sound. A Bluetooth that works even if far from the phone. His case load very quickly and this is very handy for storing the earphones. The headphones are loving the box which is very us"&amp;"eful for not losing if unfortunately the box is open (- + - + -)!")</f>
        <v>very good product (+ ---- !!) Earphones nice to wear with a very good sound. A Bluetooth that works even if far from the phone. His case load very quickly and this is very handy for storing the earphones. The headphones are loving the box which is very useful for not losing if unfortunately the box is open (- + - + -)!</v>
      </c>
    </row>
    <row r="10821">
      <c r="A10821" s="1">
        <v>5.0</v>
      </c>
      <c r="B10821" s="1" t="s">
        <v>10643</v>
      </c>
      <c r="C10821" t="str">
        <f>IFERROR(__xludf.DUMMYFUNCTION("GOOGLETRANSLATE(B10821, ""fr"", ""en"")"),"genial I have a 5 year old girl and believe me the spots, I know .... but with this magic soap, I am calm, meme old spots go like magic ... you have to rub a little when meme! !!!")</f>
        <v>genial I have a 5 year old girl and believe me the spots, I know .... but with this magic soap, I am calm, meme old spots go like magic ... you have to rub a little when meme! !!!</v>
      </c>
    </row>
    <row r="10822">
      <c r="A10822" s="1">
        <v>5.0</v>
      </c>
      <c r="B10822" s="1" t="s">
        <v>10644</v>
      </c>
      <c r="C10822" t="str">
        <f>IFERROR(__xludf.DUMMYFUNCTION("GOOGLETRANSLATE(B10822, ""fr"", ""en"")"),"Consistent with the description consistent with the description. Ideal to my laminator. 100 sheets for the reasonable price 11 cents a sheet!")</f>
        <v>Consistent with the description consistent with the description. Ideal to my laminator. 100 sheets for the reasonable price 11 cents a sheet!</v>
      </c>
    </row>
    <row r="10823">
      <c r="A10823" s="1">
        <v>5.0</v>
      </c>
      <c r="B10823" s="1" t="s">
        <v>10645</v>
      </c>
      <c r="C10823" t="str">
        <f>IFERROR(__xludf.DUMMYFUNCTION("GOOGLETRANSLATE(B10823, ""fr"", ""en"")"),"5 starsA toy of very good quality Bought as a gift for my daughter, it is delighted. miro is large, it holds well in hand, the sound quality is good. it can act as bluetooth enclosure. It is rechargeable via USB and has a good battery life. His Karaoke Mo"&amp;"de is great, we pass a good time with.")</f>
        <v>5 starsA toy of very good quality Bought as a gift for my daughter, it is delighted. miro is large, it holds well in hand, the sound quality is good. it can act as bluetooth enclosure. It is rechargeable via USB and has a good battery life. His Karaoke Mode is great, we pass a good time with.</v>
      </c>
    </row>
    <row r="10824">
      <c r="A10824" s="1">
        <v>5.0</v>
      </c>
      <c r="B10824" s="1" t="s">
        <v>10646</v>
      </c>
      <c r="C10824" t="str">
        <f>IFERROR(__xludf.DUMMYFUNCTION("GOOGLETRANSLATE(B10824, ""fr"", ""en"")"),"Good quality look very nice")</f>
        <v>Good quality look very nice</v>
      </c>
    </row>
    <row r="10825">
      <c r="A10825" s="1">
        <v>5.0</v>
      </c>
      <c r="B10825" s="1" t="s">
        <v>10647</v>
      </c>
      <c r="C10825" t="str">
        <f>IFERROR(__xludf.DUMMYFUNCTION("GOOGLETRANSLATE(B10825, ""fr"", ""en"")"),"Jaime lot Very good product")</f>
        <v>Jaime lot Very good product</v>
      </c>
    </row>
    <row r="10826">
      <c r="A10826" s="1">
        <v>5.0</v>
      </c>
      <c r="B10826" s="1" t="s">
        <v>10648</v>
      </c>
      <c r="C10826" t="str">
        <f>IFERROR(__xludf.DUMMYFUNCTION("GOOGLETRANSLATE(B10826, ""fr"", ""en"")"),"very conforms to the description")</f>
        <v>very conforms to the description</v>
      </c>
    </row>
    <row r="10827">
      <c r="A10827" s="1">
        <v>5.0</v>
      </c>
      <c r="B10827" s="1" t="s">
        <v>10649</v>
      </c>
      <c r="C10827" t="str">
        <f>IFERROR(__xludf.DUMMYFUNCTION("GOOGLETRANSLATE(B10827, ""fr"", ""en"")"),"Very good gift idea good gift idea. White is a little smaller for women. A little big for my small wrist but it stands still. Good quality.")</f>
        <v>Very good gift idea good gift idea. White is a little smaller for women. A little big for my small wrist but it stands still. Good quality.</v>
      </c>
    </row>
    <row r="10828">
      <c r="A10828" s="1">
        <v>5.0</v>
      </c>
      <c r="B10828" s="1" t="s">
        <v>10650</v>
      </c>
      <c r="C10828" t="str">
        <f>IFERROR(__xludf.DUMMYFUNCTION("GOOGLETRANSLATE(B10828, ""fr"", ""en"")"),"Quick delivery. Very cute and very discreet.")</f>
        <v>Quick delivery. Very cute and very discreet.</v>
      </c>
    </row>
    <row r="10829">
      <c r="A10829" s="1">
        <v>5.0</v>
      </c>
      <c r="B10829" s="1" t="s">
        <v>10651</v>
      </c>
      <c r="C10829" t="str">
        <f>IFERROR(__xludf.DUMMYFUNCTION("GOOGLETRANSLATE(B10829, ""fr"", ""en"")"),"Really tip top! First team Posts: friendly, funny and really give the impression to exist as a customer, not just as a wallet or credit card, thank you !!! Then the headset / handsfree: pretty, brightly colored and nice finish, clear sound (with a bit too"&amp;" much treble for my ears), they are presented in a nice little metal cylindrical box, and come with a small color matching carrying bag, 2 pairs of colored shape memory foams also subject of different diameters + 4 pairs of classic black foams (also in 4 "&amp;"different sizes), so something to suit all ears and all environments ... and that was the goal sought by this command, to help a traveler to cope more calmly public transport increasingly noisy: mission accomplished, thank you again !!! Knowing that more "&amp;"icing on the cake, they are guaranteed 5 years, no hesitation to recommend these headphones and team KLIM eyes closed (or almost: D) ​​!!! My only regret: that this joyful but serious team was forced to emigrate to Hong Kong to work: France no longer know"&amp;"s protect or retain talents, shame!")</f>
        <v>Really tip top! First team Posts: friendly, funny and really give the impression to exist as a customer, not just as a wallet or credit card, thank you !!! Then the headset / handsfree: pretty, brightly colored and nice finish, clear sound (with a bit too much treble for my ears), they are presented in a nice little metal cylindrical box, and come with a small color matching carrying bag, 2 pairs of colored shape memory foams also subject of different diameters + 4 pairs of classic black foams (also in 4 different sizes), so something to suit all ears and all environments ... and that was the goal sought by this command, to help a traveler to cope more calmly public transport increasingly noisy: mission accomplished, thank you again !!! Knowing that more icing on the cake, they are guaranteed 5 years, no hesitation to recommend these headphones and team KLIM eyes closed (or almost: D) ​​!!! My only regret: that this joyful but serious team was forced to emigrate to Hong Kong to work: France no longer knows protect or retain talents, shame!</v>
      </c>
    </row>
    <row r="10830">
      <c r="A10830" s="1">
        <v>5.0</v>
      </c>
      <c r="B10830" s="1" t="s">
        <v>10652</v>
      </c>
      <c r="C10830" t="str">
        <f>IFERROR(__xludf.DUMMYFUNCTION("GOOGLETRANSLATE(B10830, ""fr"", ""en"")"),"VERY COMFORTABLE comfortable and correct thickness socks. I order a new batch!")</f>
        <v>VERY COMFORTABLE comfortable and correct thickness socks. I order a new batch!</v>
      </c>
    </row>
    <row r="10831">
      <c r="A10831" s="1">
        <v>2.0</v>
      </c>
      <c r="B10831" s="1" t="s">
        <v>10653</v>
      </c>
      <c r="C10831" t="str">
        <f>IFERROR(__xludf.DUMMYFUNCTION("GOOGLETRANSLATE(B10831, ""fr"", ""en"")"),"Finery necklace and earrings 2 Hearts ... command I received months after having ordered so that was a gift censsé beings !! Made in China sent from china! I do not recommend")</f>
        <v>Finery necklace and earrings 2 Hearts ... command I received months after having ordered so that was a gift censsé beings !! Made in China sent from china! I do not recommend</v>
      </c>
    </row>
    <row r="10832">
      <c r="A10832" s="1">
        <v>1.0</v>
      </c>
      <c r="B10832" s="1" t="s">
        <v>10654</v>
      </c>
      <c r="C10832" t="str">
        <f>IFERROR(__xludf.DUMMYFUNCTION("GOOGLETRANSLATE(B10832, ""fr"", ""en"")"),"jewel of lesser quality that does not at all the same as made on the photo it's really cheap ... attention to the bracelets with the balls, they are not fixed and slide on the bracelet suddenly it forms a bunch of one side or the other, really nice, nothi"&amp;"ng to do with the photo I recommend not these two bracelets")</f>
        <v>jewel of lesser quality that does not at all the same as made on the photo it's really cheap ... attention to the bracelets with the balls, they are not fixed and slide on the bracelet suddenly it forms a bunch of one side or the other, really nice, nothing to do with the photo I recommend not these two bracelets</v>
      </c>
    </row>
    <row r="10833">
      <c r="A10833" s="1">
        <v>1.0</v>
      </c>
      <c r="B10833" s="1" t="s">
        <v>10655</v>
      </c>
      <c r="C10833" t="str">
        <f>IFERROR(__xludf.DUMMYFUNCTION("GOOGLETRANSLATE(B10833, ""fr"", ""en"")"),"grinding old comment I had previously tangled pencils and made a bad comment about this product that works very well, my nervousness was for a USB printer cable and another vendor probably but I thought since the time the comment was in the dungeon, so so"&amp;"rry for this midi cable no complaints, it's perfect.")</f>
        <v>grinding old comment I had previously tangled pencils and made a bad comment about this product that works very well, my nervousness was for a USB printer cable and another vendor probably but I thought since the time the comment was in the dungeon, so sorry for this midi cable no complaints, it's perfect.</v>
      </c>
    </row>
    <row r="10834">
      <c r="A10834" s="1">
        <v>3.0</v>
      </c>
      <c r="B10834" s="1" t="s">
        <v>10656</v>
      </c>
      <c r="C10834" t="str">
        <f>IFERROR(__xludf.DUMMYFUNCTION("GOOGLETRANSLATE(B10834, ""fr"", ""en"")"),"Escape to the nipple .. The bottle is passed by my son he who loves pandas, however, the liquid passes through the nipple so that it overflows endlessly .. damage.")</f>
        <v>Escape to the nipple .. The bottle is passed by my son he who loves pandas, however, the liquid passes through the nipple so that it overflows endlessly .. damage.</v>
      </c>
    </row>
    <row r="10835">
      <c r="A10835" s="1">
        <v>4.0</v>
      </c>
      <c r="B10835" s="1" t="s">
        <v>10657</v>
      </c>
      <c r="C10835" t="str">
        <f>IFERROR(__xludf.DUMMYFUNCTION("GOOGLETRANSLATE(B10835, ""fr"", ""en"")"),"perfect accordance with the description perfect Bose Earphone respectable in sound. proper autonomy as advertised I used to go and run and they never fall out of my ears.")</f>
        <v>perfect accordance with the description perfect Bose Earphone respectable in sound. proper autonomy as advertised I used to go and run and they never fall out of my ears.</v>
      </c>
    </row>
    <row r="10836">
      <c r="A10836" s="1">
        <v>4.0</v>
      </c>
      <c r="B10836" s="1" t="s">
        <v>10658</v>
      </c>
      <c r="C10836" t="str">
        <f>IFERROR(__xludf.DUMMYFUNCTION("GOOGLETRANSLATE(B10836, ""fr"", ""en"")"),"Basketball Bought for my daughter are very well there are different colors they can be flash or remain lit and they strongly illuminate in the dark")</f>
        <v>Basketball Bought for my daughter are very well there are different colors they can be flash or remain lit and they strongly illuminate in the dark</v>
      </c>
    </row>
    <row r="10837">
      <c r="A10837" s="1">
        <v>4.0</v>
      </c>
      <c r="B10837" s="1" t="s">
        <v>10659</v>
      </c>
      <c r="C10837" t="str">
        <f>IFERROR(__xludf.DUMMYFUNCTION("GOOGLETRANSLATE(B10837, ""fr"", ""en"")"),"A LITTLE SOFT BOTTOM Atendance to roll down, but nevertheless it is a good product meets my expectations")</f>
        <v>A LITTLE SOFT BOTTOM Atendance to roll down, but nevertheless it is a good product meets my expectations</v>
      </c>
    </row>
    <row r="10838">
      <c r="A10838" s="1">
        <v>4.0</v>
      </c>
      <c r="B10838" s="1" t="s">
        <v>10660</v>
      </c>
      <c r="C10838" t="str">
        <f>IFERROR(__xludf.DUMMYFUNCTION("GOOGLETRANSLATE(B10838, ""fr"", ""en"")"),"perfect for my son who is very happy, size as indicated on the ad we're happy good quality thank you a lot")</f>
        <v>perfect for my son who is very happy, size as indicated on the ad we're happy good quality thank you a lot</v>
      </c>
    </row>
    <row r="10839">
      <c r="A10839" s="1">
        <v>5.0</v>
      </c>
      <c r="B10839" s="1" t="s">
        <v>10661</v>
      </c>
      <c r="C10839" t="str">
        <f>IFERROR(__xludf.DUMMYFUNCTION("GOOGLETRANSLATE(B10839, ""fr"", ""en"")"),"Zen Oil Diffuser I bought this for my house to smell good, to sleep better and the air Or rather saint ... I find it also very nice, not too big nor too small. There are in my decoration.")</f>
        <v>Zen Oil Diffuser I bought this for my house to smell good, to sleep better and the air Or rather saint ... I find it also very nice, not too big nor too small. There are in my decoration.</v>
      </c>
    </row>
    <row r="10840">
      <c r="A10840" s="1">
        <v>5.0</v>
      </c>
      <c r="B10840" s="1" t="s">
        <v>10662</v>
      </c>
      <c r="C10840" t="str">
        <f>IFERROR(__xludf.DUMMYFUNCTION("GOOGLETRANSLATE(B10840, ""fr"", ""en"")"),"Good quality brushes Both received - a natural, black - seem good: horsehair and manufactured in Germany ...")</f>
        <v>Good quality brushes Both received - a natural, black - seem good: horsehair and manufactured in Germany ...</v>
      </c>
    </row>
    <row r="10841">
      <c r="A10841" s="1">
        <v>5.0</v>
      </c>
      <c r="B10841" s="1" t="s">
        <v>10663</v>
      </c>
      <c r="C10841" t="str">
        <f>IFERROR(__xludf.DUMMYFUNCTION("GOOGLETRANSLATE(B10841, ""fr"", ""en"")"),"Meets my expectations. I had the same there for many years.")</f>
        <v>Meets my expectations. I had the same there for many years.</v>
      </c>
    </row>
    <row r="10842">
      <c r="A10842" s="1">
        <v>5.0</v>
      </c>
      <c r="B10842" s="1" t="s">
        <v>10664</v>
      </c>
      <c r="C10842" t="str">
        <f>IFERROR(__xludf.DUMMYFUNCTION("GOOGLETRANSLATE(B10842, ""fr"", ""en"")"),"Good article I am fully satisfied as always, thank you !!")</f>
        <v>Good article I am fully satisfied as always, thank you !!</v>
      </c>
    </row>
    <row r="10843">
      <c r="A10843" s="1">
        <v>5.0</v>
      </c>
      <c r="B10843" s="1" t="s">
        <v>10665</v>
      </c>
      <c r="C10843" t="str">
        <f>IFERROR(__xludf.DUMMYFUNCTION("GOOGLETRANSLATE(B10843, ""fr"", ""en"")"),"perfect quality. An excellent article, very cordial communication. A happy discovery. I confirm what I have just written ... Also I already made a comment (like) it several weeks ago. total satisfaction. Thank you.")</f>
        <v>perfect quality. An excellent article, very cordial communication. A happy discovery. I confirm what I have just written ... Also I already made a comment (like) it several weeks ago. total satisfaction. Thank you.</v>
      </c>
    </row>
    <row r="10844">
      <c r="A10844" s="1">
        <v>5.0</v>
      </c>
      <c r="B10844" s="1" t="s">
        <v>10666</v>
      </c>
      <c r="C10844" t="str">
        <f>IFERROR(__xludf.DUMMYFUNCTION("GOOGLETRANSLATE(B10844, ""fr"", ""en"")"),"Works great on microphone I use it with a dictaphone 👍")</f>
        <v>Works great on microphone I use it with a dictaphone 👍</v>
      </c>
    </row>
    <row r="10845">
      <c r="A10845" s="1">
        <v>5.0</v>
      </c>
      <c r="B10845" s="1" t="s">
        <v>10667</v>
      </c>
      <c r="C10845" t="str">
        <f>IFERROR(__xludf.DUMMYFUNCTION("GOOGLETRANSLATE(B10845, ""fr"", ""en"")"),"superb very good massage table Quality paper not too heavy. I like because it can be transported easily and is very comfortable")</f>
        <v>superb very good massage table Quality paper not too heavy. I like because it can be transported easily and is very comfortable</v>
      </c>
    </row>
    <row r="10846">
      <c r="A10846" s="1">
        <v>5.0</v>
      </c>
      <c r="B10846" s="1" t="s">
        <v>10668</v>
      </c>
      <c r="C10846" t="str">
        <f>IFERROR(__xludf.DUMMYFUNCTION("GOOGLETRANSLATE(B10846, ""fr"", ""en"")"),"flawless no surprises on the product quality has remained the same or very good size corresponding time delivery")</f>
        <v>flawless no surprises on the product quality has remained the same or very good size corresponding time delivery</v>
      </c>
    </row>
    <row r="10847">
      <c r="A10847" s="1">
        <v>5.0</v>
      </c>
      <c r="B10847" s="1" t="s">
        <v>10669</v>
      </c>
      <c r="C10847" t="str">
        <f>IFERROR(__xludf.DUMMYFUNCTION("GOOGLETRANSLATE(B10847, ""fr"", ""en"")"),"Okay Mastheads protectors are perfectly suitable for my massage chair Tec Take. And seams thoughtful when laying face!")</f>
        <v>Okay Mastheads protectors are perfectly suitable for my massage chair Tec Take. And seams thoughtful when laying face!</v>
      </c>
    </row>
    <row r="10848">
      <c r="A10848" s="1">
        <v>5.0</v>
      </c>
      <c r="B10848" s="1" t="s">
        <v>10670</v>
      </c>
      <c r="C10848" t="str">
        <f>IFERROR(__xludf.DUMMYFUNCTION("GOOGLETRANSLATE(B10848, ""fr"", ""en"")"),"genial very good product")</f>
        <v>genial very good product</v>
      </c>
    </row>
    <row r="10849">
      <c r="A10849" s="1">
        <v>5.0</v>
      </c>
      <c r="B10849" s="1" t="s">
        <v>10671</v>
      </c>
      <c r="C10849" t="str">
        <f>IFERROR(__xludf.DUMMYFUNCTION("GOOGLETRANSLATE(B10849, ""fr"", ""en"")"),"Delivery in one day ... thank you Excellent sound quality, its very own during calls, and the important thing was the autonomy ""Good autonomy"" Excelent product throughout.")</f>
        <v>Delivery in one day ... thank you Excellent sound quality, its very own during calls, and the important thing was the autonomy "Good autonomy" Excelent product throughout.</v>
      </c>
    </row>
    <row r="10850">
      <c r="A10850" s="1">
        <v>5.0</v>
      </c>
      <c r="B10850" s="1" t="s">
        <v>10672</v>
      </c>
      <c r="C10850" t="str">
        <f>IFERROR(__xludf.DUMMYFUNCTION("GOOGLETRANSLATE(B10850, ""fr"", ""en"")"),"snow shoe and hiking and snow shoe hiking, waterproof, size matches the description. The material is lightweight, waterproof, easy to clean. anti-slip soles. Products matches the description of the seller.")</f>
        <v>snow shoe and hiking and snow shoe hiking, waterproof, size matches the description. The material is lightweight, waterproof, easy to clean. anti-slip soles. Products matches the description of the seller.</v>
      </c>
    </row>
    <row r="10851">
      <c r="A10851" s="1">
        <v>5.0</v>
      </c>
      <c r="B10851" s="1" t="s">
        <v>10673</v>
      </c>
      <c r="C10851" t="str">
        <f>IFERROR(__xludf.DUMMYFUNCTION("GOOGLETRANSLATE(B10851, ""fr"", ""en"")"),"Very good quality! The laminator is perfect, the finishes are excellent, very good quality plastic. Very easy to use, that are working to perfection. Nothing to say, everything is positive. 👍")</f>
        <v>Very good quality! The laminator is perfect, the finishes are excellent, very good quality plastic. Very easy to use, that are working to perfection. Nothing to say, everything is positive. 👍</v>
      </c>
    </row>
    <row r="10852">
      <c r="A10852" s="1">
        <v>5.0</v>
      </c>
      <c r="B10852" s="1" t="s">
        <v>10674</v>
      </c>
      <c r="C10852" t="str">
        <f>IFERROR(__xludf.DUMMYFUNCTION("GOOGLETRANSLATE(B10852, ""fr"", ""en"")"),"Ink I have an Epson XP-205 and it works great with this printer. As usual, it was the printer message to say that these are not the origins cartridges, but it is no problem to print. The colors are true and we what to do with such a pack of cartridges! I "&amp;"recommend.")</f>
        <v>Ink I have an Epson XP-205 and it works great with this printer. As usual, it was the printer message to say that these are not the origins cartridges, but it is no problem to print. The colors are true and we what to do with such a pack of cartridges! I recommend.</v>
      </c>
    </row>
    <row r="10853">
      <c r="A10853" s="1">
        <v>5.0</v>
      </c>
      <c r="B10853" s="1" t="s">
        <v>10675</v>
      </c>
      <c r="C10853" t="str">
        <f>IFERROR(__xludf.DUMMYFUNCTION("GOOGLETRANSLATE(B10853, ""fr"", ""en"")"),"awesome she's very pretty, conforms to the description on the photo, comfortable, nothing to say if I recommended you")</f>
        <v>awesome she's very pretty, conforms to the description on the photo, comfortable, nothing to say if I recommended you</v>
      </c>
    </row>
    <row r="10854">
      <c r="A10854" s="1">
        <v>2.0</v>
      </c>
      <c r="B10854" s="1" t="s">
        <v>10676</v>
      </c>
      <c r="C10854" t="str">
        <f>IFERROR(__xludf.DUMMYFUNCTION("GOOGLETRANSLATE(B10854, ""fr"", ""en"")"),"Attention danger The kettle is hot when the hit ...")</f>
        <v>Attention danger The kettle is hot when the hit ...</v>
      </c>
    </row>
    <row r="10855">
      <c r="A10855" s="1">
        <v>1.0</v>
      </c>
      <c r="B10855" s="1" t="s">
        <v>10677</v>
      </c>
      <c r="C10855" t="str">
        <f>IFERROR(__xludf.DUMMYFUNCTION("GOOGLETRANSLATE(B10855, ""fr"", ""en"")"),"FALSE PULL CHAMPION IS A SCAM !!! It is a pure Anarch! Ceus are false sweaters Champion! The Logo C is not on the sleeve; Champion and the word on the chest is a collage! Shame Amazon!")</f>
        <v>FALSE PULL CHAMPION IS A SCAM !!! It is a pure Anarch! Ceus are false sweaters Champion! The Logo C is not on the sleeve; Champion and the word on the chest is a collage! Shame Amazon!</v>
      </c>
    </row>
    <row r="10856">
      <c r="A10856" s="1">
        <v>3.0</v>
      </c>
      <c r="B10856" s="1" t="s">
        <v>10678</v>
      </c>
      <c r="C10856" t="str">
        <f>IFERROR(__xludf.DUMMYFUNCTION("GOOGLETRANSLATE(B10856, ""fr"", ""en"")"),"A beautiful watch uncomfortable! Yes, that's a nice watch. It gives the time (even in the dark!) And date. But with the original bracelet, this watch is uncomfortable. The dial is irritating and even hurtful. So I get another bracelet (Fossil AJR1365). An"&amp;"d there, the comfort is there!")</f>
        <v>A beautiful watch uncomfortable! Yes, that's a nice watch. It gives the time (even in the dark!) And date. But with the original bracelet, this watch is uncomfortable. The dial is irritating and even hurtful. So I get another bracelet (Fossil AJR1365). And there, the comfort is there!</v>
      </c>
    </row>
    <row r="10857">
      <c r="A10857" s="1">
        <v>3.0</v>
      </c>
      <c r="B10857" s="1" t="s">
        <v>10679</v>
      </c>
      <c r="C10857" t="str">
        <f>IFERROR(__xludf.DUMMYFUNCTION("GOOGLETRANSLATE(B10857, ""fr"", ""en"")"),"pandora bracelet back size too small once I've placed all the charms. However, I must emphasize the beauty of the materials, sérieu the shop pandora and quality of the delivery packaging.")</f>
        <v>pandora bracelet back size too small once I've placed all the charms. However, I must emphasize the beauty of the materials, sérieu the shop pandora and quality of the delivery packaging.</v>
      </c>
    </row>
    <row r="10858">
      <c r="A10858" s="1">
        <v>4.0</v>
      </c>
      <c r="B10858" s="1" t="s">
        <v>10680</v>
      </c>
      <c r="C10858" t="str">
        <f>IFERROR(__xludf.DUMMYFUNCTION("GOOGLETRANSLATE(B10858, ""fr"", ""en"")"),"Pretty Good practical bag.")</f>
        <v>Pretty Good practical bag.</v>
      </c>
    </row>
    <row r="10859">
      <c r="A10859" s="1">
        <v>4.0</v>
      </c>
      <c r="B10859" s="1" t="s">
        <v>10681</v>
      </c>
      <c r="C10859" t="str">
        <f>IFERROR(__xludf.DUMMYFUNCTION("GOOGLETRANSLATE(B10859, ""fr"", ""en"")"),"Very good value for money Satchel whose dimensions correspond exactly to its use .. It is possible to accommodate a laptop without difficulty. This article is the subject of a neat finish!")</f>
        <v>Very good value for money Satchel whose dimensions correspond exactly to its use .. It is possible to accommodate a laptop without difficulty. This article is the subject of a neat finish!</v>
      </c>
    </row>
    <row r="10860">
      <c r="A10860" s="1">
        <v>4.0</v>
      </c>
      <c r="B10860" s="1" t="s">
        <v>10682</v>
      </c>
      <c r="C10860" t="str">
        <f>IFERROR(__xludf.DUMMYFUNCTION("GOOGLETRANSLATE(B10860, ""fr"", ""en"")"),"Consistent product according to the description")</f>
        <v>Consistent product according to the description</v>
      </c>
    </row>
    <row r="10861">
      <c r="A10861" s="1">
        <v>4.0</v>
      </c>
      <c r="B10861" s="1" t="s">
        <v>10683</v>
      </c>
      <c r="C10861" t="str">
        <f>IFERROR(__xludf.DUMMYFUNCTION("GOOGLETRANSLATE(B10861, ""fr"", ""en"")"),"Tap Perfect")</f>
        <v>Tap Perfect</v>
      </c>
    </row>
    <row r="10862">
      <c r="A10862" s="1">
        <v>5.0</v>
      </c>
      <c r="B10862" s="1" t="s">
        <v>10684</v>
      </c>
      <c r="C10862" t="str">
        <f>IFERROR(__xludf.DUMMYFUNCTION("GOOGLETRANSLATE(B10862, ""fr"", ""en"")"),"Great prices and great guns I find its watches at low prices. Super quality and frankly for the price you can have a nice collection for very expensive.")</f>
        <v>Great prices and great guns I find its watches at low prices. Super quality and frankly for the price you can have a nice collection for very expensive.</v>
      </c>
    </row>
    <row r="10863">
      <c r="A10863" s="1">
        <v>5.0</v>
      </c>
      <c r="B10863" s="1" t="s">
        <v>10685</v>
      </c>
      <c r="C10863" t="str">
        <f>IFERROR(__xludf.DUMMYFUNCTION("GOOGLETRANSLATE(B10863, ""fr"", ""en"")"),"Good product My 3 month old baby love baby bottles that range and brand. No wrong or colic.")</f>
        <v>Good product My 3 month old baby love baby bottles that range and brand. No wrong or colic.</v>
      </c>
    </row>
    <row r="10864">
      <c r="A10864" s="1">
        <v>5.0</v>
      </c>
      <c r="B10864" s="1" t="s">
        <v>10686</v>
      </c>
      <c r="C10864" t="str">
        <f>IFERROR(__xludf.DUMMYFUNCTION("GOOGLETRANSLATE(B10864, ""fr"", ""en"")"),"A microphone that delivers professional quality microphone This is very easy to use and allows recordings of the highest quality. The price may seem high compared to other similar products, is fully justified in view of both material and acoustic reliabil"&amp;"ity of this equipment.")</f>
        <v>A microphone that delivers professional quality microphone This is very easy to use and allows recordings of the highest quality. The price may seem high compared to other similar products, is fully justified in view of both material and acoustic reliability of this equipment.</v>
      </c>
    </row>
    <row r="10865">
      <c r="A10865" s="1">
        <v>5.0</v>
      </c>
      <c r="B10865" s="1" t="s">
        <v>10687</v>
      </c>
      <c r="C10865" t="str">
        <f>IFERROR(__xludf.DUMMYFUNCTION("GOOGLETRANSLATE(B10865, ""fr"", ""en"")"),"beautiful beautiful room bright and well packaged.")</f>
        <v>beautiful beautiful room bright and well packaged.</v>
      </c>
    </row>
    <row r="10866">
      <c r="A10866" s="1">
        <v>5.0</v>
      </c>
      <c r="B10866" s="1" t="s">
        <v>10688</v>
      </c>
      <c r="C10866" t="str">
        <f>IFERROR(__xludf.DUMMYFUNCTION("GOOGLETRANSLATE(B10866, ""fr"", ""en"")"),"Simple and efficient installation No worries. The USB dongle is plugged into the pointer: practice not to lose. The scope is good. red laser pointer is also effective. The works pointer with two batteries not included. No driver installed.")</f>
        <v>Simple and efficient installation No worries. The USB dongle is plugged into the pointer: practice not to lose. The scope is good. red laser pointer is also effective. The works pointer with two batteries not included. No driver installed.</v>
      </c>
    </row>
    <row r="10867">
      <c r="A10867" s="1">
        <v>5.0</v>
      </c>
      <c r="B10867" s="1" t="s">
        <v>10689</v>
      </c>
      <c r="C10867" t="str">
        <f>IFERROR(__xludf.DUMMYFUNCTION("GOOGLETRANSLATE(B10867, ""fr"", ""en"")"),"Brand on top I love the brand and are top baby bottle! My baby love!")</f>
        <v>Brand on top I love the brand and are top baby bottle! My baby love!</v>
      </c>
    </row>
    <row r="10868">
      <c r="A10868" s="1">
        <v>5.0</v>
      </c>
      <c r="B10868" s="1" t="s">
        <v>10690</v>
      </c>
      <c r="C10868" t="str">
        <f>IFERROR(__xludf.DUMMYFUNCTION("GOOGLETRANSLATE(B10868, ""fr"", ""en"")"),"Zenacolor, I love ... These pens are perfect for coloring small areas. For me as a fan of Stabilo (I use the PEN PEN 68 and 88 in art therapy), now I prefer those out there who glide better on paper. 60 felt no duplicates in a box in metal and at that pri"&amp;"ce I really do not regret my purchase.")</f>
        <v>Zenacolor, I love ... These pens are perfect for coloring small areas. For me as a fan of Stabilo (I use the PEN PEN 68 and 88 in art therapy), now I prefer those out there who glide better on paper. 60 felt no duplicates in a box in metal and at that price I really do not regret my purchase.</v>
      </c>
    </row>
    <row r="10869">
      <c r="A10869" s="1">
        <v>5.0</v>
      </c>
      <c r="B10869" s="1" t="s">
        <v>10691</v>
      </c>
      <c r="C10869" t="str">
        <f>IFERROR(__xludf.DUMMYFUNCTION("GOOGLETRANSLATE(B10869, ""fr"", ""en"")"),"Never without my headphones I bought these headphones for noise reduction especially in transport for less hurting my ears to be too strong and the sound is perfect. We hear very little noise from the subway and discussions passengers go unnoticed bliss. "&amp;"The helmet is stylish and easy to use. perfect value for money. I recommend.")</f>
        <v>Never without my headphones I bought these headphones for noise reduction especially in transport for less hurting my ears to be too strong and the sound is perfect. We hear very little noise from the subway and discussions passengers go unnoticed bliss. The helmet is stylish and easy to use. perfect value for money. I recommend.</v>
      </c>
    </row>
    <row r="10870">
      <c r="A10870" s="1">
        <v>5.0</v>
      </c>
      <c r="B10870" s="1" t="s">
        <v>10692</v>
      </c>
      <c r="C10870" t="str">
        <f>IFERROR(__xludf.DUMMYFUNCTION("GOOGLETRANSLATE(B10870, ""fr"", ""en"")"),"A good bag a good bag with real quality leather. The price is not expensive depending on the material, a bag like that in the big brands is at least 50 €. Enough pocket to put small stuff. Can be put as a backpack or highlight. A backpack for stylish but "&amp;"in Paris it can be dangerous ..")</f>
        <v>A good bag a good bag with real quality leather. The price is not expensive depending on the material, a bag like that in the big brands is at least 50 €. Enough pocket to put small stuff. Can be put as a backpack or highlight. A backpack for stylish but in Paris it can be dangerous ..</v>
      </c>
    </row>
    <row r="10871">
      <c r="A10871" s="1">
        <v>5.0</v>
      </c>
      <c r="B10871" s="1" t="s">
        <v>10693</v>
      </c>
      <c r="C10871" t="str">
        <f>IFERROR(__xludf.DUMMYFUNCTION("GOOGLETRANSLATE(B10871, ""fr"", ""en"")"),"Perfect for cleaning faucets all stupid but necessary to remove scale taps (white vinegar is filled and wait!) Fits on all faucets easily")</f>
        <v>Perfect for cleaning faucets all stupid but necessary to remove scale taps (white vinegar is filled and wait!) Fits on all faucets easily</v>
      </c>
    </row>
    <row r="10872">
      <c r="A10872" s="1">
        <v>5.0</v>
      </c>
      <c r="B10872" s="1" t="s">
        <v>10694</v>
      </c>
      <c r="C10872" t="str">
        <f>IFERROR(__xludf.DUMMYFUNCTION("GOOGLETRANSLATE(B10872, ""fr"", ""en"")"),"!!!!! Daily use comfortable value for money")</f>
        <v>!!!!! Daily use comfortable value for money</v>
      </c>
    </row>
    <row r="10873">
      <c r="A10873" s="1">
        <v>5.0</v>
      </c>
      <c r="B10873" s="1" t="s">
        <v>10695</v>
      </c>
      <c r="C10873" t="str">
        <f>IFERROR(__xludf.DUMMYFUNCTION("GOOGLETRANSLATE(B10873, ""fr"", ""en"")"),"Too beautiful and flawless Super size")</f>
        <v>Too beautiful and flawless Super size</v>
      </c>
    </row>
    <row r="10874">
      <c r="A10874" s="1">
        <v>5.0</v>
      </c>
      <c r="B10874" s="1" t="s">
        <v>10696</v>
      </c>
      <c r="C10874" t="str">
        <f>IFERROR(__xludf.DUMMYFUNCTION("GOOGLETRANSLATE(B10874, ""fr"", ""en"")"),"I practice the bought for a friend he was too happy")</f>
        <v>I practice the bought for a friend he was too happy</v>
      </c>
    </row>
    <row r="10875">
      <c r="A10875" s="1">
        <v>5.0</v>
      </c>
      <c r="B10875" s="1" t="s">
        <v>10697</v>
      </c>
      <c r="C10875" t="str">
        <f>IFERROR(__xludf.DUMMYFUNCTION("GOOGLETRANSLATE(B10875, ""fr"", ""en"")"),"great shows great shows I have for 4 years and works nickel! salt flat the thermometer ever displayed than normal")</f>
        <v>great shows great shows I have for 4 years and works nickel! salt flat the thermometer ever displayed than normal</v>
      </c>
    </row>
    <row r="10876">
      <c r="A10876" s="1">
        <v>5.0</v>
      </c>
      <c r="B10876" s="1" t="s">
        <v>10698</v>
      </c>
      <c r="C10876" t="str">
        <f>IFERROR(__xludf.DUMMYFUNCTION("GOOGLETRANSLATE(B10876, ""fr"", ""en"")"),"Ideal Ideal for excursions a few hours drive (not tested in the house) Heats quickly and at the right temperature the top")</f>
        <v>Ideal Ideal for excursions a few hours drive (not tested in the house) Heats quickly and at the right temperature the top</v>
      </c>
    </row>
    <row r="10877">
      <c r="A10877" s="1">
        <v>2.0</v>
      </c>
      <c r="B10877" s="1" t="s">
        <v>10699</v>
      </c>
      <c r="C10877" t="str">
        <f>IFERROR(__xludf.DUMMYFUNCTION("GOOGLETRANSLATE(B10877, ""fr"", ""en"")"),"too little return")</f>
        <v>too little return</v>
      </c>
    </row>
    <row r="10878">
      <c r="A10878" s="1">
        <v>1.0</v>
      </c>
      <c r="B10878" s="1" t="s">
        <v>10700</v>
      </c>
      <c r="C10878" t="str">
        <f>IFERROR(__xludf.DUMMYFUNCTION("GOOGLETRANSLATE(B10878, ""fr"", ""en"")"),"Loses pans. Meticulous about the care taken in my shoes and leather tiags and find that the brush loses its hair !!! I highly recommend!")</f>
        <v>Loses pans. Meticulous about the care taken in my shoes and leather tiags and find that the brush loses its hair !!! I highly recommend!</v>
      </c>
    </row>
    <row r="10879">
      <c r="A10879" s="1">
        <v>1.0</v>
      </c>
      <c r="B10879" s="1" t="s">
        <v>10701</v>
      </c>
      <c r="C10879" t="str">
        <f>IFERROR(__xludf.DUMMYFUNCTION("GOOGLETRANSLATE(B10879, ""fr"", ""en"")"),"Hyper disappointing! I ordered 2 items from this Following the positive reviews and attractive prices. Serious Ikea bcq done better! Storing stations: one does not hand! This is certainly automatic but can not choose the station you store and no name disp"&amp;"layed station. Moreover must sweep heads stations to find the right. The ambient light is only possible if there is a mains connection. Time does not remain permanently displayed if desired If one of 2 items alarm does not work! The quality seems good .. "&amp;"but frankly for the price and ease of use is very very average I am extremely disappointed!")</f>
        <v>Hyper disappointing! I ordered 2 items from this Following the positive reviews and attractive prices. Serious Ikea bcq done better! Storing stations: one does not hand! This is certainly automatic but can not choose the station you store and no name displayed station. Moreover must sweep heads stations to find the right. The ambient light is only possible if there is a mains connection. Time does not remain permanently displayed if desired If one of 2 items alarm does not work! The quality seems good .. but frankly for the price and ease of use is very very average I am extremely disappointed!</v>
      </c>
    </row>
    <row r="10880">
      <c r="A10880" s="1">
        <v>3.0</v>
      </c>
      <c r="B10880" s="1" t="s">
        <v>10702</v>
      </c>
      <c r="C10880" t="str">
        <f>IFERROR(__xludf.DUMMYFUNCTION("GOOGLETRANSLATE(B10880, ""fr"", ""en"")"),"Average overpriced, but not cut. It takes a chisel")</f>
        <v>Average overpriced, but not cut. It takes a chisel</v>
      </c>
    </row>
    <row r="10881">
      <c r="A10881" s="1">
        <v>3.0</v>
      </c>
      <c r="B10881" s="1" t="s">
        <v>10703</v>
      </c>
      <c r="C10881" t="str">
        <f>IFERROR(__xludf.DUMMYFUNCTION("GOOGLETRANSLATE(B10881, ""fr"", ""en"")"),"Product Warranty My grid breads stop working yesterday without causing short circuit. The power supply is not in question. Is it still under warranty? To date he gave me satisfaction. Thank you for your reply.")</f>
        <v>Product Warranty My grid breads stop working yesterday without causing short circuit. The power supply is not in question. Is it still under warranty? To date he gave me satisfaction. Thank you for your reply.</v>
      </c>
    </row>
    <row r="10882">
      <c r="A10882" s="1">
        <v>4.0</v>
      </c>
      <c r="B10882" s="1" t="s">
        <v>10704</v>
      </c>
      <c r="C10882" t="str">
        <f>IFERROR(__xludf.DUMMYFUNCTION("GOOGLETRANSLATE(B10882, ""fr"", ""en"")"),"Satisfied. Nothing more natural! Super in hair care. Regarding the skin, I do not know if that hydrate properly because I used it to have no stretch marks during my pregnancy but my skin still cracked. A very special smell, unpleasant for me parcontre. Bu"&amp;"t I still recommend.")</f>
        <v>Satisfied. Nothing more natural! Super in hair care. Regarding the skin, I do not know if that hydrate properly because I used it to have no stretch marks during my pregnancy but my skin still cracked. A very special smell, unpleasant for me parcontre. But I still recommend.</v>
      </c>
    </row>
    <row r="10883">
      <c r="A10883" s="1">
        <v>4.0</v>
      </c>
      <c r="B10883" s="1" t="s">
        <v>10705</v>
      </c>
      <c r="C10883" t="str">
        <f>IFERROR(__xludf.DUMMYFUNCTION("GOOGLETRANSLATE(B10883, ""fr"", ""en"")"),"Top Design Vintage great and consistent with the presentation. A good gift idea at a very affordable price. quality product, as the whole range.")</f>
        <v>Top Design Vintage great and consistent with the presentation. A good gift idea at a very affordable price. quality product, as the whole range.</v>
      </c>
    </row>
    <row r="10884">
      <c r="A10884" s="1">
        <v>4.0</v>
      </c>
      <c r="B10884" s="1" t="s">
        <v>10706</v>
      </c>
      <c r="C10884" t="str">
        <f>IFERROR(__xludf.DUMMYFUNCTION("GOOGLETRANSLATE(B10884, ""fr"", ""en"")"),"Excellent value. very pleasant Running Shoe.")</f>
        <v>Excellent value. very pleasant Running Shoe.</v>
      </c>
    </row>
    <row r="10885">
      <c r="A10885" s="1">
        <v>4.0</v>
      </c>
      <c r="B10885" s="1" t="s">
        <v>1417</v>
      </c>
      <c r="C10885" t="str">
        <f>IFERROR(__xludf.DUMMYFUNCTION("GOOGLETRANSLATE(B10885, ""fr"", ""en"")"),"ras ras")</f>
        <v>ras ras</v>
      </c>
    </row>
    <row r="10886">
      <c r="A10886" s="1">
        <v>5.0</v>
      </c>
      <c r="B10886" s="1" t="s">
        <v>10707</v>
      </c>
      <c r="C10886" t="str">
        <f>IFERROR(__xludf.DUMMYFUNCTION("GOOGLETRANSLATE(B10886, ""fr"", ""en"")"),"Satisfied Very good article, careful delivery, sneakers carve well and are complying with the good quality picture. I recommend .")</f>
        <v>Satisfied Very good article, careful delivery, sneakers carve well and are complying with the good quality picture. I recommend .</v>
      </c>
    </row>
    <row r="10887">
      <c r="A10887" s="1">
        <v>5.0</v>
      </c>
      <c r="B10887" s="1" t="s">
        <v>10708</v>
      </c>
      <c r="C10887" t="str">
        <f>IFERROR(__xludf.DUMMYFUNCTION("GOOGLETRANSLATE(B10887, ""fr"", ""en"")"),"The atmosphere is warm ... He wears a wooden imitation of good quality. I use it every day to make pleasant the atmosphere of the house, I am more than happy and my girlfriend too. Several functions settings and different lights. Note that I have received"&amp;" the item with a suitable outlet in France. Very good value for money.")</f>
        <v>The atmosphere is warm ... He wears a wooden imitation of good quality. I use it every day to make pleasant the atmosphere of the house, I am more than happy and my girlfriend too. Several functions settings and different lights. Note that I have received the item with a suitable outlet in France. Very good value for money.</v>
      </c>
    </row>
    <row r="10888">
      <c r="A10888" s="1">
        <v>5.0</v>
      </c>
      <c r="B10888" s="1" t="s">
        <v>10709</v>
      </c>
      <c r="C10888" t="str">
        <f>IFERROR(__xludf.DUMMYFUNCTION("GOOGLETRANSLATE(B10888, ""fr"", ""en"")"),"help with osteoarthritis This product can reduce the symptoms of osteoarthritis of the knee, a significant improvement in pain after using for about five weeks. it's really helpful, I really recommend it.")</f>
        <v>help with osteoarthritis This product can reduce the symptoms of osteoarthritis of the knee, a significant improvement in pain after using for about five weeks. it's really helpful, I really recommend it.</v>
      </c>
    </row>
    <row r="10889">
      <c r="A10889" s="1">
        <v>5.0</v>
      </c>
      <c r="B10889" s="1" t="s">
        <v>10710</v>
      </c>
      <c r="C10889" t="str">
        <f>IFERROR(__xludf.DUMMYFUNCTION("GOOGLETRANSLATE(B10889, ""fr"", ""en"")"),"No more cold feet !!!!! Super comfortable, well warm winter and they hold up well to foot !!!!")</f>
        <v>No more cold feet !!!!! Super comfortable, well warm winter and they hold up well to foot !!!!</v>
      </c>
    </row>
    <row r="10890">
      <c r="A10890" s="1">
        <v>5.0</v>
      </c>
      <c r="B10890" s="1" t="s">
        <v>10711</v>
      </c>
      <c r="C10890" t="str">
        <f>IFERROR(__xludf.DUMMYFUNCTION("GOOGLETRANSLATE(B10890, ""fr"", ""en"")"),"done what is asked is the size tenue.Parfait good for the sport, dries quickly, does not hurt in the shoulder straps and closing")</f>
        <v>done what is asked is the size tenue.Parfait good for the sport, dries quickly, does not hurt in the shoulder straps and closing</v>
      </c>
    </row>
    <row r="10891">
      <c r="A10891" s="1">
        <v>5.0</v>
      </c>
      <c r="B10891" s="1" t="s">
        <v>10712</v>
      </c>
      <c r="C10891" t="str">
        <f>IFERROR(__xludf.DUMMYFUNCTION("GOOGLETRANSLATE(B10891, ""fr"", ""en"")"),"Super Happy with my purchase, lightweight running shoes, right size.")</f>
        <v>Super Happy with my purchase, lightweight running shoes, right size.</v>
      </c>
    </row>
    <row r="10892">
      <c r="A10892" s="1">
        <v>5.0</v>
      </c>
      <c r="B10892" s="1" t="s">
        <v>10713</v>
      </c>
      <c r="C10892" t="str">
        <f>IFERROR(__xludf.DUMMYFUNCTION("GOOGLETRANSLATE(B10892, ""fr"", ""en"")"),"Kettle design, convenient kettle design practice. I recommend.")</f>
        <v>Kettle design, convenient kettle design practice. I recommend.</v>
      </c>
    </row>
    <row r="10893">
      <c r="A10893" s="1">
        <v>5.0</v>
      </c>
      <c r="B10893" s="1" t="s">
        <v>10714</v>
      </c>
      <c r="C10893" t="str">
        <f>IFERROR(__xludf.DUMMYFUNCTION("GOOGLETRANSLATE(B10893, ""fr"", ""en"")"),"Shipping &amp; amp; impeccable quality price! Treatment (thank you seller) and fast delivery (mail thank you!) For a product with a good price / quality ratio. I had seen the comment ** but I tried it and I do not regret ... Maybe the quality has improved sin"&amp;"ce, but in all cases the plastic used is correct. They are the few plastics that do not stick together (electro-static forces!) To see in use but it is not beyond the daily logbook from the case !!!")</f>
        <v>Shipping &amp; amp; impeccable quality price! Treatment (thank you seller) and fast delivery (mail thank you!) For a product with a good price / quality ratio. I had seen the comment ** but I tried it and I do not regret ... Maybe the quality has improved since, but in all cases the plastic used is correct. They are the few plastics that do not stick together (electro-static forces!) To see in use but it is not beyond the daily logbook from the case !!!</v>
      </c>
    </row>
    <row r="10894">
      <c r="A10894" s="1">
        <v>5.0</v>
      </c>
      <c r="B10894" s="1" t="s">
        <v>10715</v>
      </c>
      <c r="C10894" t="str">
        <f>IFERROR(__xludf.DUMMYFUNCTION("GOOGLETRANSLATE(B10894, ""fr"", ""en"")"),"Top ! Bought for a laser printer Samsung Xpress M2078w, it fits perfectly and completely fulfilled its role at the moment. Listed on the duration ..")</f>
        <v>Top ! Bought for a laser printer Samsung Xpress M2078w, it fits perfectly and completely fulfilled its role at the moment. Listed on the duration ..</v>
      </c>
    </row>
    <row r="10895">
      <c r="A10895" s="1">
        <v>5.0</v>
      </c>
      <c r="B10895" s="1" t="s">
        <v>10716</v>
      </c>
      <c r="C10895" t="str">
        <f>IFERROR(__xludf.DUMMYFUNCTION("GOOGLETRANSLATE(B10895, ""fr"", ""en"")"),"Teat 0-6 Months narrow neck OK I had trouble finding the narrow neck Dodie nipple 0-6 months, 3 speed, this is now done. The tip is very small, perfect for a newborn, there is more gurgling as he did with MMA. Indeed, the speeds are used to manage the flo"&amp;"w is better.")</f>
        <v>Teat 0-6 Months narrow neck OK I had trouble finding the narrow neck Dodie nipple 0-6 months, 3 speed, this is now done. The tip is very small, perfect for a newborn, there is more gurgling as he did with MMA. Indeed, the speeds are used to manage the flow is better.</v>
      </c>
    </row>
    <row r="10896">
      <c r="A10896" s="1">
        <v>5.0</v>
      </c>
      <c r="B10896" s="1" t="s">
        <v>10717</v>
      </c>
      <c r="C10896" t="str">
        <f>IFERROR(__xludf.DUMMYFUNCTION("GOOGLETRANSLATE(B10896, ""fr"", ""en"")"),"very effective I do not know the tout.1 friend told m and c is really great efficace.je'll buy to put in the house. !! cupboard drawer ect .... I've put in the corner 1 my house that still blackened and nothing more.")</f>
        <v>very effective I do not know the tout.1 friend told m and c is really great efficace.je'll buy to put in the house. !! cupboard drawer ect .... I've put in the corner 1 my house that still blackened and nothing more.</v>
      </c>
    </row>
    <row r="10897">
      <c r="A10897" s="1">
        <v>5.0</v>
      </c>
      <c r="B10897" s="1" t="s">
        <v>10718</v>
      </c>
      <c r="C10897" t="str">
        <f>IFERROR(__xludf.DUMMYFUNCTION("GOOGLETRANSLATE(B10897, ""fr"", ""en"")"),"Great practice bluetooth headphones are holding up well to the ears and very comfortable. It's very easy to use!")</f>
        <v>Great practice bluetooth headphones are holding up well to the ears and very comfortable. It's very easy to use!</v>
      </c>
    </row>
    <row r="10898">
      <c r="A10898" s="1">
        <v>5.0</v>
      </c>
      <c r="B10898" s="1" t="s">
        <v>10719</v>
      </c>
      <c r="C10898" t="str">
        <f>IFERROR(__xludf.DUMMYFUNCTION("GOOGLETRANSLATE(B10898, ""fr"", ""en"")"),"Many Thanks To Super Basketball Trainers. Great.")</f>
        <v>Many Thanks To Super Basketball Trainers. Great.</v>
      </c>
    </row>
    <row r="10899">
      <c r="A10899" s="1">
        <v>5.0</v>
      </c>
      <c r="B10899" s="1" t="s">
        <v>10720</v>
      </c>
      <c r="C10899" t="str">
        <f>IFERROR(__xludf.DUMMYFUNCTION("GOOGLETRANSLATE(B10899, ""fr"", ""en"")"),"Super Perfect for a small kitchen, if I had known I have bought from my first child")</f>
        <v>Super Perfect for a small kitchen, if I had known I have bought from my first child</v>
      </c>
    </row>
    <row r="10900">
      <c r="A10900" s="1">
        <v>5.0</v>
      </c>
      <c r="B10900" s="1" t="s">
        <v>10721</v>
      </c>
      <c r="C10900" t="str">
        <f>IFERROR(__xludf.DUMMYFUNCTION("GOOGLETRANSLATE(B10900, ""fr"", ""en"")"),"Connecting twelve o'clock Used to connect a midi expander on an electronic piano.")</f>
        <v>Connecting twelve o'clock Used to connect a midi expander on an electronic piano.</v>
      </c>
    </row>
    <row r="10901">
      <c r="A10901" s="1">
        <v>2.0</v>
      </c>
      <c r="B10901" s="1" t="s">
        <v>10722</v>
      </c>
      <c r="C10901" t="str">
        <f>IFERROR(__xludf.DUMMYFUNCTION("GOOGLETRANSLATE(B10901, ""fr"", ""en"")"),"They are badly wrong color")</f>
        <v>They are badly wrong color</v>
      </c>
    </row>
    <row r="10902">
      <c r="A10902" s="1">
        <v>1.0</v>
      </c>
      <c r="B10902" s="1" t="s">
        <v>10723</v>
      </c>
      <c r="C10902" t="str">
        <f>IFERROR(__xludf.DUMMYFUNCTION("GOOGLETRANSLATE(B10902, ""fr"", ""en"")"),"Laces hickies Very disappointing, elastic too short, making the shoes very difficult to practice much less than other, more expensive")</f>
        <v>Laces hickies Very disappointing, elastic too short, making the shoes very difficult to practice much less than other, more expensive</v>
      </c>
    </row>
    <row r="10903">
      <c r="A10903" s="1">
        <v>1.0</v>
      </c>
      <c r="B10903" s="1" t="s">
        <v>10724</v>
      </c>
      <c r="C10903" t="str">
        <f>IFERROR(__xludf.DUMMYFUNCTION("GOOGLETRANSLATE(B10903, ""fr"", ""en"")"),"catastrophic shoes ahcetetes bad qualities in July and in September made the sole has holes everywhere in the AC indoor falling apart I very strongly deconseille")</f>
        <v>catastrophic shoes ahcetetes bad qualities in July and in September made the sole has holes everywhere in the AC indoor falling apart I very strongly deconseille</v>
      </c>
    </row>
    <row r="10904">
      <c r="A10904" s="1">
        <v>3.0</v>
      </c>
      <c r="B10904" s="1" t="s">
        <v>10725</v>
      </c>
      <c r="C10904" t="str">
        <f>IFERROR(__xludf.DUMMYFUNCTION("GOOGLETRANSLATE(B10904, ""fr"", ""en"")"),"Low odor Effectively packaging is very pretty, it could be a good gift idea, but I find that essential oils do not feel much .... I am very disappointed with my purchase ...")</f>
        <v>Low odor Effectively packaging is very pretty, it could be a good gift idea, but I find that essential oils do not feel much .... I am very disappointed with my purchase ...</v>
      </c>
    </row>
    <row r="10905">
      <c r="A10905" s="1">
        <v>4.0</v>
      </c>
      <c r="B10905" s="1" t="s">
        <v>10726</v>
      </c>
      <c r="C10905" t="str">
        <f>IFERROR(__xludf.DUMMYFUNCTION("GOOGLETRANSLATE(B10905, ""fr"", ""en"")"),"Automatic Watch fossil product complies serious Fast I recommend")</f>
        <v>Automatic Watch fossil product complies serious Fast I recommend</v>
      </c>
    </row>
    <row r="10906">
      <c r="A10906" s="1">
        <v>4.0</v>
      </c>
      <c r="B10906" s="1" t="s">
        <v>10727</v>
      </c>
      <c r="C10906" t="str">
        <f>IFERROR(__xludf.DUMMYFUNCTION("GOOGLETRANSLATE(B10906, ""fr"", ""en"")"),"👍 Lovely")</f>
        <v>👍 Lovely</v>
      </c>
    </row>
    <row r="10907">
      <c r="A10907" s="1">
        <v>4.0</v>
      </c>
      <c r="B10907" s="1" t="s">
        <v>10728</v>
      </c>
      <c r="C10907" t="str">
        <f>IFERROR(__xludf.DUMMYFUNCTION("GOOGLETRANSLATE(B10907, ""fr"", ""en"")"),"disappointed Item received inconsistent with the black command instead of zebra decue damage .... I did not return because I need these shoes")</f>
        <v>disappointed Item received inconsistent with the black command instead of zebra decue damage .... I did not return because I need these shoes</v>
      </c>
    </row>
    <row r="10908">
      <c r="A10908" s="1">
        <v>4.0</v>
      </c>
      <c r="B10908" s="1" t="s">
        <v>10729</v>
      </c>
      <c r="C10908" t="str">
        <f>IFERROR(__xludf.DUMMYFUNCTION("GOOGLETRANSLATE(B10908, ""fr"", ""en"")"),"Great product !!!!! I love I recommend this product to moms. Water flows instantly and at the proper temperature over the baby cry pending bibi.")</f>
        <v>Great product !!!!! I love I recommend this product to moms. Water flows instantly and at the proper temperature over the baby cry pending bibi.</v>
      </c>
    </row>
    <row r="10909">
      <c r="A10909" s="1">
        <v>5.0</v>
      </c>
      <c r="B10909" s="1" t="s">
        <v>10730</v>
      </c>
      <c r="C10909" t="str">
        <f>IFERROR(__xludf.DUMMYFUNCTION("GOOGLETRANSLATE(B10909, ""fr"", ""en"")"),"Good Very nice not suitable for children under 6/7 years")</f>
        <v>Good Very nice not suitable for children under 6/7 years</v>
      </c>
    </row>
    <row r="10910">
      <c r="A10910" s="1">
        <v>5.0</v>
      </c>
      <c r="B10910" s="1" t="s">
        <v>10731</v>
      </c>
      <c r="C10910" t="str">
        <f>IFERROR(__xludf.DUMMYFUNCTION("GOOGLETRANSLATE(B10910, ""fr"", ""en"")"),"Practice No complaints, these boxes are perfect. I bought two lots in the first days of my baby, in order to prepare in advance bottles doses of the day and night. I have only to pay the dose ready in the bottle of prepared water, too, in advance, and nic"&amp;"kel. Very practical for the nights, and to fast the bottle when baby cries of hunger")</f>
        <v>Practice No complaints, these boxes are perfect. I bought two lots in the first days of my baby, in order to prepare in advance bottles doses of the day and night. I have only to pay the dose ready in the bottle of prepared water, too, in advance, and nickel. Very practical for the nights, and to fast the bottle when baby cries of hunger</v>
      </c>
    </row>
    <row r="10911">
      <c r="A10911" s="1">
        <v>5.0</v>
      </c>
      <c r="B10911" s="1" t="s">
        <v>10732</v>
      </c>
      <c r="C10911" t="str">
        <f>IFERROR(__xludf.DUMMYFUNCTION("GOOGLETRANSLATE(B10911, ""fr"", ""en"")"),"Good but expensive Very handy to have good bottle temperature. Price a bit excessive just to heat water.")</f>
        <v>Good but expensive Very handy to have good bottle temperature. Price a bit excessive just to heat water.</v>
      </c>
    </row>
    <row r="10912">
      <c r="A10912" s="1">
        <v>5.0</v>
      </c>
      <c r="B10912" s="1" t="s">
        <v>10733</v>
      </c>
      <c r="C10912" t="str">
        <f>IFERROR(__xludf.DUMMYFUNCTION("GOOGLETRANSLATE(B10912, ""fr"", ""en"")"),"I only take the mark of origin properly packed the cartridge of the original brand suits me quite, because I wanted to try with adaptable with my old printer cartridges I had big problems")</f>
        <v>I only take the mark of origin properly packed the cartridge of the original brand suits me quite, because I wanted to try with adaptable with my old printer cartridges I had big problems</v>
      </c>
    </row>
    <row r="10913">
      <c r="A10913" s="1">
        <v>5.0</v>
      </c>
      <c r="B10913" s="1" t="s">
        <v>10734</v>
      </c>
      <c r="C10913" t="str">
        <f>IFERROR(__xludf.DUMMYFUNCTION("GOOGLETRANSLATE(B10913, ""fr"", ""en"")"),"Great ! Good bass, comfortable to wear and very good battery life so I was pleasantly surprised at the quality of these headphones! I thought buying basic Bluetooth headphones (see poor quality) and they are really great! The sound quality is very good (g"&amp;"ood bass you like them), comfortable to wear (not like the headphones to ITE quon used to use), they hold good for the sport (including race) and I am surprised because the battery really take long! In conclusion, I am very pleased with these headphones. "&amp;"I thought the only use for sports, but eventually I also use them in the life of every day.")</f>
        <v>Great ! Good bass, comfortable to wear and very good battery life so I was pleasantly surprised at the quality of these headphones! I thought buying basic Bluetooth headphones (see poor quality) and they are really great! The sound quality is very good (good bass you like them), comfortable to wear (not like the headphones to ITE quon used to use), they hold good for the sport (including race) and I am surprised because the battery really take long! In conclusion, I am very pleased with these headphones. I thought the only use for sports, but eventually I also use them in the life of every day.</v>
      </c>
    </row>
    <row r="10914">
      <c r="A10914" s="1">
        <v>5.0</v>
      </c>
      <c r="B10914" s="1" t="s">
        <v>10735</v>
      </c>
      <c r="C10914" t="str">
        <f>IFERROR(__xludf.DUMMYFUNCTION("GOOGLETRANSLATE(B10914, ""fr"", ""en"")"),"Very good value for money. Here, two young girls very happy with their purchases. We recommend it to everyone.")</f>
        <v>Very good value for money. Here, two young girls very happy with their purchases. We recommend it to everyone.</v>
      </c>
    </row>
    <row r="10915">
      <c r="A10915" s="1">
        <v>5.0</v>
      </c>
      <c r="B10915" s="1" t="s">
        <v>10736</v>
      </c>
      <c r="C10915" t="str">
        <f>IFERROR(__xludf.DUMMYFUNCTION("GOOGLETRANSLATE(B10915, ""fr"", ""en"")"),"Perfect as all Dodies Like all Dodies, strong, beautiful and practical. I still enjoy the 3-speed teat that adapt to each child and their suction speed. They keep well in hand and wash easily. You can do everything with one hand, open it, close it, no pro"&amp;"blem. Convenient when you have baby in her arms. The Mam teats also fit very well over but not touching the cap, so watch for leaks if used.")</f>
        <v>Perfect as all Dodies Like all Dodies, strong, beautiful and practical. I still enjoy the 3-speed teat that adapt to each child and their suction speed. They keep well in hand and wash easily. You can do everything with one hand, open it, close it, no problem. Convenient when you have baby in her arms. The Mam teats also fit very well over but not touching the cap, so watch for leaks if used.</v>
      </c>
    </row>
    <row r="10916">
      <c r="A10916" s="1">
        <v>5.0</v>
      </c>
      <c r="B10916" s="1" t="s">
        <v>10737</v>
      </c>
      <c r="C10916" t="str">
        <f>IFERROR(__xludf.DUMMYFUNCTION("GOOGLETRANSLATE(B10916, ""fr"", ""en"")"),"Tip top Very good. The interior seems well protected (against rain), finishing stitching is impeccable, I put my APN and my smartphone. Fits my expectations.")</f>
        <v>Tip top Very good. The interior seems well protected (against rain), finishing stitching is impeccable, I put my APN and my smartphone. Fits my expectations.</v>
      </c>
    </row>
    <row r="10917">
      <c r="A10917" s="1">
        <v>5.0</v>
      </c>
      <c r="B10917" s="1" t="s">
        <v>10738</v>
      </c>
      <c r="C10917" t="str">
        <f>IFERROR(__xludf.DUMMYFUNCTION("GOOGLETRANSLATE(B10917, ""fr"", ""en"")"),"Massager shoulder and back Done many goods to the shoulders and back Just plug the mains. Then there are buttons, one to turn on and off, one to change the direction of rotation of the massaging balls, one to put heat or name and finally a last button to "&amp;"set the power. So many combinations to choose exactly what I need, it suits me anyway")</f>
        <v>Massager shoulder and back Done many goods to the shoulders and back Just plug the mains. Then there are buttons, one to turn on and off, one to change the direction of rotation of the massaging balls, one to put heat or name and finally a last button to set the power. So many combinations to choose exactly what I need, it suits me anyway</v>
      </c>
    </row>
    <row r="10918">
      <c r="A10918" s="1">
        <v>5.0</v>
      </c>
      <c r="B10918" s="1" t="s">
        <v>10739</v>
      </c>
      <c r="C10918" t="str">
        <f>IFERROR(__xludf.DUMMYFUNCTION("GOOGLETRANSLATE(B10918, ""fr"", ""en"")"),"consistent with the picture line with the picture is quite suitable to my expectations I recommend it")</f>
        <v>consistent with the picture line with the picture is quite suitable to my expectations I recommend it</v>
      </c>
    </row>
    <row r="10919">
      <c r="A10919" s="1">
        <v>5.0</v>
      </c>
      <c r="B10919" s="1" t="s">
        <v>10740</v>
      </c>
      <c r="C10919" t="str">
        <f>IFERROR(__xludf.DUMMYFUNCTION("GOOGLETRANSLATE(B10919, ""fr"", ""en"")"),"Very good for eczema Hemp oil is excellent for people suffering from eczema or scabs. It relieves the skin almost immediately. My son has eczema on the neck, it has a cortisone cream but once the treatment is finished, the skin is super thin and fragile. "&amp;"He massages with this oil and the skin regenerates faster. As for me who has eczema behind the ears, I do not use cortisone; I apply massaging the hemp oil and that's all.")</f>
        <v>Very good for eczema Hemp oil is excellent for people suffering from eczema or scabs. It relieves the skin almost immediately. My son has eczema on the neck, it has a cortisone cream but once the treatment is finished, the skin is super thin and fragile. He massages with this oil and the skin regenerates faster. As for me who has eczema behind the ears, I do not use cortisone; I apply massaging the hemp oil and that's all.</v>
      </c>
    </row>
    <row r="10920">
      <c r="A10920" s="1">
        <v>5.0</v>
      </c>
      <c r="B10920" s="1" t="s">
        <v>10741</v>
      </c>
      <c r="C10920" t="str">
        <f>IFERROR(__xludf.DUMMYFUNCTION("GOOGLETRANSLATE(B10920, ""fr"", ""en"")"),"J J love love it is very beautiful and good quality. I complete with another bracelet of the brand. Fortunately that there is an additional link because otherwise I n have not been put.")</f>
        <v>J J love love it is very beautiful and good quality. I complete with another bracelet of the brand. Fortunately that there is an additional link because otherwise I n have not been put.</v>
      </c>
    </row>
    <row r="10921">
      <c r="A10921" s="1">
        <v>5.0</v>
      </c>
      <c r="B10921" s="1" t="s">
        <v>10742</v>
      </c>
      <c r="C10921" t="str">
        <f>IFERROR(__xludf.DUMMYFUNCTION("GOOGLETRANSLATE(B10921, ""fr"", ""en"")"),"Met my expectations! Proper packaging, received on time, do the job!")</f>
        <v>Met my expectations! Proper packaging, received on time, do the job!</v>
      </c>
    </row>
    <row r="10922">
      <c r="A10922" s="1">
        <v>5.0</v>
      </c>
      <c r="B10922" s="1" t="s">
        <v>10743</v>
      </c>
      <c r="C10922" t="str">
        <f>IFERROR(__xludf.DUMMYFUNCTION("GOOGLETRANSLATE(B10922, ""fr"", ""en"")"),"massage oil ARNICA I use for many years this massage oil with arnica. As I practice the bike, skis etc, I confirm that it is excellent for the preparation and muscle recovery as stated in the description. The most for me is the best product to calm my nec"&amp;"k pain.")</f>
        <v>massage oil ARNICA I use for many years this massage oil with arnica. As I practice the bike, skis etc, I confirm that it is excellent for the preparation and muscle recovery as stated in the description. The most for me is the best product to calm my neck pain.</v>
      </c>
    </row>
    <row r="10923">
      <c r="A10923" s="1">
        <v>5.0</v>
      </c>
      <c r="B10923" s="1" t="s">
        <v>10744</v>
      </c>
      <c r="C10923" t="str">
        <f>IFERROR(__xludf.DUMMYFUNCTION("GOOGLETRANSLATE(B10923, ""fr"", ""en"")"),"Comfortable bra comfortable to wear during my various sporting activities. For better comfort, it is spandex for a comfortable fit. The overall build quality is very good. The addition is the ability to remove the pillows.")</f>
        <v>Comfortable bra comfortable to wear during my various sporting activities. For better comfort, it is spandex for a comfortable fit. The overall build quality is very good. The addition is the ability to remove the pillows.</v>
      </c>
    </row>
    <row r="10924">
      <c r="A10924" s="1">
        <v>5.0</v>
      </c>
      <c r="B10924" s="1" t="s">
        <v>10745</v>
      </c>
      <c r="C10924" t="str">
        <f>IFERROR(__xludf.DUMMYFUNCTION("GOOGLETRANSLATE(B10924, ""fr"", ""en"")"),"practices and solid Bags On a comfortable size with practical drawstring for transport to a trash container and large enough to not necessarily throw the everyday. No leaks. Top.")</f>
        <v>practices and solid Bags On a comfortable size with practical drawstring for transport to a trash container and large enough to not necessarily throw the everyday. No leaks. Top.</v>
      </c>
    </row>
    <row r="10925">
      <c r="A10925" s="1">
        <v>2.0</v>
      </c>
      <c r="B10925" s="1" t="s">
        <v>10746</v>
      </c>
      <c r="C10925" t="str">
        <f>IFERROR(__xludf.DUMMYFUNCTION("GOOGLETRANSLATE(B10925, ""fr"", ""en"")"),"Casio I put this lower rating, as the product does not match the description that is made. the housing is plastic? while it is announcing steel. Documentation is not French? contrary to the law of consumption in France.")</f>
        <v>Casio I put this lower rating, as the product does not match the description that is made. the housing is plastic? while it is announcing steel. Documentation is not French? contrary to the law of consumption in France.</v>
      </c>
    </row>
    <row r="10926">
      <c r="A10926" s="1">
        <v>1.0</v>
      </c>
      <c r="B10926" s="1" t="s">
        <v>10747</v>
      </c>
      <c r="C10926" t="str">
        <f>IFERROR(__xludf.DUMMYFUNCTION("GOOGLETRANSLATE(B10926, ""fr"", ""en"")"),"Many scam too small! You can write anything on it! The picture is misleading! Also, impossible to return this article? Not good!!!!!")</f>
        <v>Many scam too small! You can write anything on it! The picture is misleading! Also, impossible to return this article? Not good!!!!!</v>
      </c>
    </row>
    <row r="10927">
      <c r="A10927" s="1">
        <v>3.0</v>
      </c>
      <c r="B10927" s="1" t="s">
        <v>10748</v>
      </c>
      <c r="C10927" t="str">
        <f>IFERROR(__xludf.DUMMYFUNCTION("GOOGLETRANSLATE(B10927, ""fr"", ""en"")"),"MASK OCULLAIRE I HAVE CHOSEN THIS NOTE ABOUT AVERAGE CAR COMING OF BEING MADE OF SHADOW I CAN STILL NOT SERVE IN M I review my SURGEON AND I see if I can THEM OR NOT")</f>
        <v>MASK OCULLAIRE I HAVE CHOSEN THIS NOTE ABOUT AVERAGE CAR COMING OF BEING MADE OF SHADOW I CAN STILL NOT SERVE IN M I review my SURGEON AND I see if I can THEM OR NOT</v>
      </c>
    </row>
    <row r="10928">
      <c r="A10928" s="1">
        <v>3.0</v>
      </c>
      <c r="B10928" s="1" t="s">
        <v>10749</v>
      </c>
      <c r="C10928" t="str">
        <f>IFERROR(__xludf.DUMMYFUNCTION("GOOGLETRANSLATE(B10928, ""fr"", ""en"")"),"Works well but not economic Each film requires several welding (4, I think) centimeters film wasted. This is due to the great distance between the vacuum vessel and the weld zone. Otherwise, the product is practical, not too heavy. I do not know whether t"&amp;"here is film / bags compatible with the machine &amp; nbsp ;; because I fear that the brand pays much on supplies. So expensive but works well to use in my opinion.")</f>
        <v>Works well but not economic Each film requires several welding (4, I think) centimeters film wasted. This is due to the great distance between the vacuum vessel and the weld zone. Otherwise, the product is practical, not too heavy. I do not know whether there is film / bags compatible with the machine &amp; nbsp ;; because I fear that the brand pays much on supplies. So expensive but works well to use in my opinion.</v>
      </c>
    </row>
    <row r="10929">
      <c r="A10929" s="1">
        <v>4.0</v>
      </c>
      <c r="B10929" s="1" t="s">
        <v>10750</v>
      </c>
      <c r="C10929" t="str">
        <f>IFERROR(__xludf.DUMMYFUNCTION("GOOGLETRANSLATE(B10929, ""fr"", ""en"")"),"Very nice watch! I took this show to my partner for his birthday. The watch is prettier in real life than on the photo. She is very elegant and is perfect for slender wrists because the dial is not too big. It is just the right size! Strap a little stiff "&amp;"at first, but I hope he will relax with time ... The show arrived in the packed packages in paper bubbles outside the Seiko box. The box was slightly damaged .. There is no indication ""Made in Japan"".")</f>
        <v>Very nice watch! I took this show to my partner for his birthday. The watch is prettier in real life than on the photo. She is very elegant and is perfect for slender wrists because the dial is not too big. It is just the right size! Strap a little stiff at first, but I hope he will relax with time ... The show arrived in the packed packages in paper bubbles outside the Seiko box. The box was slightly damaged .. There is no indication "Made in Japan".</v>
      </c>
    </row>
    <row r="10930">
      <c r="A10930" s="1">
        <v>4.0</v>
      </c>
      <c r="B10930" s="1" t="s">
        <v>10751</v>
      </c>
      <c r="C10930" t="str">
        <f>IFERROR(__xludf.DUMMYFUNCTION("GOOGLETRANSLATE(B10930, ""fr"", ""en"")"),"good quality fabric but size does not fit decue Evil size")</f>
        <v>good quality fabric but size does not fit decue Evil size</v>
      </c>
    </row>
    <row r="10931">
      <c r="A10931" s="1">
        <v>4.0</v>
      </c>
      <c r="B10931" s="1" t="s">
        <v>10752</v>
      </c>
      <c r="C10931" t="str">
        <f>IFERROR(__xludf.DUMMYFUNCTION("GOOGLETRANSLATE(B10931, ""fr"", ""en"")"),"Although small kettle that does its job. I made bouillire 2 times to raise a little plastic smell but ultimately ca has no incident on the taste of water. Slightly slower to heat compared to my old 2200watt kettle. But for the price it is very good.")</f>
        <v>Although small kettle that does its job. I made bouillire 2 times to raise a little plastic smell but ultimately ca has no incident on the taste of water. Slightly slower to heat compared to my old 2200watt kettle. But for the price it is very good.</v>
      </c>
    </row>
    <row r="10932">
      <c r="A10932" s="1">
        <v>4.0</v>
      </c>
      <c r="B10932" s="1" t="s">
        <v>10753</v>
      </c>
      <c r="C10932" t="str">
        <f>IFERROR(__xludf.DUMMYFUNCTION("GOOGLETRANSLATE(B10932, ""fr"", ""en"")"),"Ideal gift Complies my expectation")</f>
        <v>Ideal gift Complies my expectation</v>
      </c>
    </row>
    <row r="10933">
      <c r="A10933" s="1">
        <v>4.0</v>
      </c>
      <c r="B10933" s="1" t="s">
        <v>10754</v>
      </c>
      <c r="C10933" t="str">
        <f>IFERROR(__xludf.DUMMYFUNCTION("GOOGLETRANSLATE(B10933, ""fr"", ""en"")"),"pleasant material corn slightly transparent material very nice, small downside is that it is slightly transparent For size 38 is quite large in size but fortunately there is a lace to be tighten.")</f>
        <v>pleasant material corn slightly transparent material very nice, small downside is that it is slightly transparent For size 38 is quite large in size but fortunately there is a lace to be tighten.</v>
      </c>
    </row>
    <row r="10934">
      <c r="A10934" s="1">
        <v>5.0</v>
      </c>
      <c r="B10934" s="1" t="s">
        <v>10755</v>
      </c>
      <c r="C10934" t="str">
        <f>IFERROR(__xludf.DUMMYFUNCTION("GOOGLETRANSLATE(B10934, ""fr"", ""en"")"),"super from 4 Months of 4 months for cooked fruit and then to the discovery of bread, biscuits. Washes and transports easily, also ideal for dental thrust, very good products")</f>
        <v>super from 4 Months of 4 months for cooked fruit and then to the discovery of bread, biscuits. Washes and transports easily, also ideal for dental thrust, very good products</v>
      </c>
    </row>
    <row r="10935">
      <c r="A10935" s="1">
        <v>5.0</v>
      </c>
      <c r="B10935" s="1" t="s">
        <v>10756</v>
      </c>
      <c r="C10935" t="str">
        <f>IFERROR(__xludf.DUMMYFUNCTION("GOOGLETRANSLATE(B10935, ""fr"", ""en"")"),"Pretty Purchased for Mother's Day. They are very pretty, thin and delicate. Received in 2 days. I think they should appeal. I recommend.")</f>
        <v>Pretty Purchased for Mother's Day. They are very pretty, thin and delicate. Received in 2 days. I think they should appeal. I recommend.</v>
      </c>
    </row>
    <row r="10936">
      <c r="A10936" s="1">
        <v>5.0</v>
      </c>
      <c r="B10936" s="1" t="s">
        <v>10757</v>
      </c>
      <c r="C10936" t="str">
        <f>IFERROR(__xludf.DUMMYFUNCTION("GOOGLETRANSLATE(B10936, ""fr"", ""en"")"),"Very good tea kettle conçue.Très very beautiful design, allows hot rapidement.Elle consume teas and tisanes temperature souhaitée.Je do not regret this purchase ...")</f>
        <v>Very good tea kettle conçue.Très very beautiful design, allows hot rapidement.Elle consume teas and tisanes temperature souhaitée.Je do not regret this purchase ...</v>
      </c>
    </row>
    <row r="10937">
      <c r="A10937" s="1">
        <v>5.0</v>
      </c>
      <c r="B10937" s="1" t="s">
        <v>10758</v>
      </c>
      <c r="C10937" t="str">
        <f>IFERROR(__xludf.DUMMYFUNCTION("GOOGLETRANSLATE(B10937, ""fr"", ""en"")"),"Good quality / price Nothing to say for now, I admit sometimes exceed the limits in terms of the number of paper and machine rips all without flinching too! If I have to find a negative, it is the reverse button located at the end of the race OFF button, "&amp;"sometimes I push too far, and see the rest of the paper back into destructive slot. not very aesthetic, but not dramatic either!")</f>
        <v>Good quality / price Nothing to say for now, I admit sometimes exceed the limits in terms of the number of paper and machine rips all without flinching too! If I have to find a negative, it is the reverse button located at the end of the race OFF button, sometimes I push too far, and see the rest of the paper back into destructive slot. not very aesthetic, but not dramatic either!</v>
      </c>
    </row>
    <row r="10938">
      <c r="A10938" s="1">
        <v>5.0</v>
      </c>
      <c r="B10938" s="1" t="s">
        <v>10759</v>
      </c>
      <c r="C10938" t="str">
        <f>IFERROR(__xludf.DUMMYFUNCTION("GOOGLETRANSLATE(B10938, ""fr"", ""en"")"),"Superb Perfect 👌")</f>
        <v>Superb Perfect 👌</v>
      </c>
    </row>
    <row r="10939">
      <c r="A10939" s="1">
        <v>5.0</v>
      </c>
      <c r="B10939" s="1" t="s">
        <v>10760</v>
      </c>
      <c r="C10939" t="str">
        <f>IFERROR(__xludf.DUMMYFUNCTION("GOOGLETRANSLATE(B10939, ""fr"", ""en"")"),"practice-Ear Headphones with the button. It can pause and skip to the next song &amp; nbsp; or before depending on the situation. Convenient for me when I biked.")</f>
        <v>practice-Ear Headphones with the button. It can pause and skip to the next song &amp; nbsp; or before depending on the situation. Convenient for me when I biked.</v>
      </c>
    </row>
    <row r="10940">
      <c r="A10940" s="1">
        <v>5.0</v>
      </c>
      <c r="B10940" s="1" t="s">
        <v>10761</v>
      </c>
      <c r="C10940" t="str">
        <f>IFERROR(__xludf.DUMMYFUNCTION("GOOGLETRANSLATE(B10940, ""fr"", ""en"")"),"Perfect Perfect match has put good odds, size, good outline, good tenure door is lightweight and does not stifle Very happy!")</f>
        <v>Perfect Perfect match has put good odds, size, good outline, good tenure door is lightweight and does not stifle Very happy!</v>
      </c>
    </row>
    <row r="10941">
      <c r="A10941" s="1">
        <v>5.0</v>
      </c>
      <c r="B10941" s="1" t="s">
        <v>10762</v>
      </c>
      <c r="C10941" t="str">
        <f>IFERROR(__xludf.DUMMYFUNCTION("GOOGLETRANSLATE(B10941, ""fr"", ""en"")"),"very good basketball walking shoe")</f>
        <v>very good basketball walking shoe</v>
      </c>
    </row>
    <row r="10942">
      <c r="A10942" s="1">
        <v>5.0</v>
      </c>
      <c r="B10942" s="1" t="s">
        <v>10763</v>
      </c>
      <c r="C10942" t="str">
        <f>IFERROR(__xludf.DUMMYFUNCTION("GOOGLETRANSLATE(B10942, ""fr"", ""en"")"),"it is very good very satisfied")</f>
        <v>it is very good very satisfied</v>
      </c>
    </row>
    <row r="10943">
      <c r="A10943" s="1">
        <v>5.0</v>
      </c>
      <c r="B10943" s="1" t="s">
        <v>10764</v>
      </c>
      <c r="C10943" t="str">
        <f>IFERROR(__xludf.DUMMYFUNCTION("GOOGLETRANSLATE(B10943, ""fr"", ""en"")"),"top watch top. Diesel nothing wrong")</f>
        <v>top watch top. Diesel nothing wrong</v>
      </c>
    </row>
    <row r="10944">
      <c r="A10944" s="1">
        <v>5.0</v>
      </c>
      <c r="B10944" s="1" t="s">
        <v>10765</v>
      </c>
      <c r="C10944" t="str">
        <f>IFERROR(__xludf.DUMMYFUNCTION("GOOGLETRANSLATE(B10944, ""fr"", ""en"")"),"super simple value, reliable and robust. Top!")</f>
        <v>super simple value, reliable and robust. Top!</v>
      </c>
    </row>
    <row r="10945">
      <c r="A10945" s="1">
        <v>5.0</v>
      </c>
      <c r="B10945" s="1" t="s">
        <v>10766</v>
      </c>
      <c r="C10945" t="str">
        <f>IFERROR(__xludf.DUMMYFUNCTION("GOOGLETRANSLATE(B10945, ""fr"", ""en"")"),"well have to take its normal size ""MAN"" is the quality.")</f>
        <v>well have to take its normal size "MAN" is the quality.</v>
      </c>
    </row>
    <row r="10946">
      <c r="A10946" s="1">
        <v>5.0</v>
      </c>
      <c r="B10946" s="1" t="s">
        <v>10767</v>
      </c>
      <c r="C10946" t="str">
        <f>IFERROR(__xludf.DUMMYFUNCTION("GOOGLETRANSLATE(B10946, ""fr"", ""en"")"),"A magnificent show of very good quality For three months I wear this watch daily, and I am very satisfied. No failure to report, either at the time or strap closure system. Even aillant sudden rain and heat, the color is still intact. Regarding the glass,"&amp;" it has happened that it rubs against a wall or slap against something else, and no damage is apparent on the latter. I am very satisfied with my purchase, it is an elegant and resistant watch at a reasonable price, I recommend so.")</f>
        <v>A magnificent show of very good quality For three months I wear this watch daily, and I am very satisfied. No failure to report, either at the time or strap closure system. Even aillant sudden rain and heat, the color is still intact. Regarding the glass, it has happened that it rubs against a wall or slap against something else, and no damage is apparent on the latter. I am very satisfied with my purchase, it is an elegant and resistant watch at a reasonable price, I recommend so.</v>
      </c>
    </row>
    <row r="10947">
      <c r="A10947" s="1">
        <v>5.0</v>
      </c>
      <c r="B10947" s="1" t="s">
        <v>10768</v>
      </c>
      <c r="C10947" t="str">
        <f>IFERROR(__xludf.DUMMYFUNCTION("GOOGLETRANSLATE(B10947, ""fr"", ""en"")"),"PERFECT Color is very beautiful !!")</f>
        <v>PERFECT Color is very beautiful !!</v>
      </c>
    </row>
    <row r="10948">
      <c r="A10948" s="1">
        <v>5.0</v>
      </c>
      <c r="B10948" s="1" t="s">
        <v>10769</v>
      </c>
      <c r="C10948" t="str">
        <f>IFERROR(__xludf.DUMMYFUNCTION("GOOGLETRANSLATE(B10948, ""fr"", ""en"")"),"Perfect Legging very good thank you I love and recommend")</f>
        <v>Perfect Legging very good thank you I love and recommend</v>
      </c>
    </row>
    <row r="10949">
      <c r="A10949" s="1">
        <v>2.0</v>
      </c>
      <c r="B10949" s="1" t="s">
        <v>10770</v>
      </c>
      <c r="C10949" t="str">
        <f>IFERROR(__xludf.DUMMYFUNCTION("GOOGLETRANSLATE(B10949, ""fr"", ""en"")"),"goes from one extreme to the other milk I use is milk thickened to spit, as other teats lets nothing is a hassle, and thus with flour to rescue his overflowing everywhere, the model ""normal Advent"" was or is more convenient, but I will take the range AV"&amp;"ENT")</f>
        <v>goes from one extreme to the other milk I use is milk thickened to spit, as other teats lets nothing is a hassle, and thus with flour to rescue his overflowing everywhere, the model "normal Advent" was or is more convenient, but I will take the range AVENT</v>
      </c>
    </row>
    <row r="10950">
      <c r="A10950" s="1">
        <v>1.0</v>
      </c>
      <c r="B10950" s="1" t="s">
        <v>10771</v>
      </c>
      <c r="C10950" t="str">
        <f>IFERROR(__xludf.DUMMYFUNCTION("GOOGLETRANSLATE(B10950, ""fr"", ""en"")"),"Very disappointing Novice 15 years wearing Havaianas, this model is very uncomfortable: the straps hurt toes. A thong is not designed in the same way at the strap that hurts even more foot. Also the size is larger than usual (taking the same course size ."&amp;"..)")</f>
        <v>Very disappointing Novice 15 years wearing Havaianas, this model is very uncomfortable: the straps hurt toes. A thong is not designed in the same way at the strap that hurts even more foot. Also the size is larger than usual (taking the same course size ...)</v>
      </c>
    </row>
    <row r="10951">
      <c r="A10951" s="1">
        <v>1.0</v>
      </c>
      <c r="B10951" s="1" t="s">
        <v>10772</v>
      </c>
      <c r="C10951" t="str">
        <f>IFERROR(__xludf.DUMMYFUNCTION("GOOGLETRANSLATE(B10951, ""fr"", ""en"")"),"Sanytol POOR BONSOIR AM NOT PLEASED WITH YOUR PRODUCT IS DISSOLVED VERY EVIL SEE AT ALL CA M A JOB ALL MY CLOTHES PLEASE PAY AS SOON CORDIALEMENT LAURENCE")</f>
        <v>Sanytol POOR BONSOIR AM NOT PLEASED WITH YOUR PRODUCT IS DISSOLVED VERY EVIL SEE AT ALL CA M A JOB ALL MY CLOTHES PLEASE PAY AS SOON CORDIALEMENT LAURENCE</v>
      </c>
    </row>
    <row r="10952">
      <c r="A10952" s="1">
        <v>3.0</v>
      </c>
      <c r="B10952" s="1" t="s">
        <v>10773</v>
      </c>
      <c r="C10952" t="str">
        <f>IFERROR(__xludf.DUMMYFUNCTION("GOOGLETRANSLATE(B10952, ""fr"", ""en"")"),"Pretty necklace Discreet and Female, I am a little disappointed by the size of the collar is really great, we expect that it really needs at the neck")</f>
        <v>Pretty necklace Discreet and Female, I am a little disappointed by the size of the collar is really great, we expect that it really needs at the neck</v>
      </c>
    </row>
    <row r="10953">
      <c r="A10953" s="1">
        <v>3.0</v>
      </c>
      <c r="B10953" s="1" t="s">
        <v>10774</v>
      </c>
      <c r="C10953" t="str">
        <f>IFERROR(__xludf.DUMMYFUNCTION("GOOGLETRANSLATE(B10953, ""fr"", ""en"")"),"Too I returned the product because too much")</f>
        <v>Too I returned the product because too much</v>
      </c>
    </row>
    <row r="10954">
      <c r="A10954" s="1">
        <v>4.0</v>
      </c>
      <c r="B10954" s="1" t="s">
        <v>10775</v>
      </c>
      <c r="C10954" t="str">
        <f>IFERROR(__xludf.DUMMYFUNCTION("GOOGLETRANSLATE(B10954, ""fr"", ""en"")"),"Fine Bought twice, including one to offer, these pendants are very different from each other. One has a multitude of reflections, while the other is more ""ordinary"". The stone is however well labradorite ... The string is too long for my use, I replaced"&amp;" with a cord fabrics. As for the ""properties"" of the stone, it remains to be seen.")</f>
        <v>Fine Bought twice, including one to offer, these pendants are very different from each other. One has a multitude of reflections, while the other is more "ordinary". The stone is however well labradorite ... The string is too long for my use, I replaced with a cord fabrics. As for the "properties" of the stone, it remains to be seen.</v>
      </c>
    </row>
    <row r="10955">
      <c r="A10955" s="1">
        <v>4.0</v>
      </c>
      <c r="B10955" s="1" t="s">
        <v>10776</v>
      </c>
      <c r="C10955" t="str">
        <f>IFERROR(__xludf.DUMMYFUNCTION("GOOGLETRANSLATE(B10955, ""fr"", ""en"")"),"great for the price exellent")</f>
        <v>great for the price exellent</v>
      </c>
    </row>
    <row r="10956">
      <c r="A10956" s="1">
        <v>4.0</v>
      </c>
      <c r="B10956" s="1" t="s">
        <v>10777</v>
      </c>
      <c r="C10956" t="str">
        <f>IFERROR(__xludf.DUMMYFUNCTION("GOOGLETRANSLATE(B10956, ""fr"", ""en"")"),"Very convenient temperature setting. A little noisy but so quickly heats the discomfort is short. Very handy temperature set and easy to use. Limestone does not catch too much inside. Opening the cover is a little small for cleaning or filling.")</f>
        <v>Very convenient temperature setting. A little noisy but so quickly heats the discomfort is short. Very handy temperature set and easy to use. Limestone does not catch too much inside. Opening the cover is a little small for cleaning or filling.</v>
      </c>
    </row>
    <row r="10957">
      <c r="A10957" s="1">
        <v>4.0</v>
      </c>
      <c r="B10957" s="1" t="s">
        <v>10778</v>
      </c>
      <c r="C10957" t="str">
        <f>IFERROR(__xludf.DUMMYFUNCTION("GOOGLETRANSLATE(B10957, ""fr"", ""en"")"),"Satisfied! Super nice watch, arrive on time. Just a little disappointed at the pictures where we are presented with a watch very thin (thinner than a smartphone from the photo) but the reception we see that the watch is actually quite thick and it n ' was"&amp;" not visible in the pictures.")</f>
        <v>Satisfied! Super nice watch, arrive on time. Just a little disappointed at the pictures where we are presented with a watch very thin (thinner than a smartphone from the photo) but the reception we see that the watch is actually quite thick and it n ' was not visible in the pictures.</v>
      </c>
    </row>
    <row r="10958">
      <c r="A10958" s="1">
        <v>5.0</v>
      </c>
      <c r="B10958" s="1" t="s">
        <v>10779</v>
      </c>
      <c r="C10958" t="str">
        <f>IFERROR(__xludf.DUMMYFUNCTION("GOOGLETRANSLATE(B10958, ""fr"", ""en"")"),"Surely among the best value for money market Good helmet, dangerous competitor of the more expensive manufacturers to customers some neophytes in sound (like me). My judgment is obviously linked to the price of the beast! I was looking for a headset of th"&amp;"is type for change-ear and noise reduction to put the sound as low as possible and still hear music or video and do not screw up my ears when significant external noise (subway, bus , airplane) that would force me to push the volume. And outside the print"&amp;"ing plugged ears when the ANC is on, I have to say this headset did a great job. Never again will I venture to push the volume to hear better my phone because I just have more need! So obviously it's not worth perhaps not a Bose or a Marshall, but it is f"&amp;"ar from having the same price, so my faith, I'm interested! Oh yes, of course it comes with all the accessories, hard case, with cable, Micro USB charging cable, and plug plane.")</f>
        <v>Surely among the best value for money market Good helmet, dangerous competitor of the more expensive manufacturers to customers some neophytes in sound (like me). My judgment is obviously linked to the price of the beast! I was looking for a headset of this type for change-ear and noise reduction to put the sound as low as possible and still hear music or video and do not screw up my ears when significant external noise (subway, bus , airplane) that would force me to push the volume. And outside the printing plugged ears when the ANC is on, I have to say this headset did a great job. Never again will I venture to push the volume to hear better my phone because I just have more need! So obviously it's not worth perhaps not a Bose or a Marshall, but it is far from having the same price, so my faith, I'm interested! Oh yes, of course it comes with all the accessories, hard case, with cable, Micro USB charging cable, and plug plane.</v>
      </c>
    </row>
    <row r="10959">
      <c r="A10959" s="1">
        <v>5.0</v>
      </c>
      <c r="B10959" s="1" t="s">
        <v>10780</v>
      </c>
      <c r="C10959" t="str">
        <f>IFERROR(__xludf.DUMMYFUNCTION("GOOGLETRANSLATE(B10959, ""fr"", ""en"")"),"Good shoes shoe size 43 and I so I ordered my taille.les shoes are comfortable and not too big, for against the security level is ""SB"" so its enough for vendors, but not for construction sites.")</f>
        <v>Good shoes shoe size 43 and I so I ordered my taille.les shoes are comfortable and not too big, for against the security level is "SB" so its enough for vendors, but not for construction sites.</v>
      </c>
    </row>
    <row r="10960">
      <c r="A10960" s="1">
        <v>5.0</v>
      </c>
      <c r="B10960" s="1" t="s">
        <v>10781</v>
      </c>
      <c r="C10960" t="str">
        <f>IFERROR(__xludf.DUMMYFUNCTION("GOOGLETRANSLATE(B10960, ""fr"", ""en"")"),"Very good gift Very nice strap and adjustable end. Consistent with the description I offered a friend who is delighted.")</f>
        <v>Very good gift Very nice strap and adjustable end. Consistent with the description I offered a friend who is delighted.</v>
      </c>
    </row>
    <row r="10961">
      <c r="A10961" s="1">
        <v>5.0</v>
      </c>
      <c r="B10961" s="1" t="s">
        <v>10782</v>
      </c>
      <c r="C10961" t="str">
        <f>IFERROR(__xludf.DUMMYFUNCTION("GOOGLETRANSLATE(B10961, ""fr"", ""en"")"),"Good shirt This tee reliable, sturdy and beautiful to wear. It is simple but an ultra-resistant material, the long sleeves make beautiful finishes.")</f>
        <v>Good shirt This tee reliable, sturdy and beautiful to wear. It is simple but an ultra-resistant material, the long sleeves make beautiful finishes.</v>
      </c>
    </row>
    <row r="10962">
      <c r="A10962" s="1">
        <v>5.0</v>
      </c>
      <c r="B10962" s="1" t="s">
        <v>10783</v>
      </c>
      <c r="C10962" t="str">
        <f>IFERROR(__xludf.DUMMYFUNCTION("GOOGLETRANSLATE(B10962, ""fr"", ""en"")"),"Difficult to change the battery My friend loves this watch that's why I bought into it a second bad the battery is already in operation when it is received")</f>
        <v>Difficult to change the battery My friend loves this watch that's why I bought into it a second bad the battery is already in operation when it is received</v>
      </c>
    </row>
    <row r="10963">
      <c r="A10963" s="1">
        <v>5.0</v>
      </c>
      <c r="B10963" s="1" t="s">
        <v>10784</v>
      </c>
      <c r="C10963" t="str">
        <f>IFERROR(__xludf.DUMMYFUNCTION("GOOGLETRANSLATE(B10963, ""fr"", ""en"")"),"Good product good product for the price, but I do not like the little light that stays on during use I find it's not very discreet")</f>
        <v>Good product good product for the price, but I do not like the little light that stays on during use I find it's not very discreet</v>
      </c>
    </row>
    <row r="10964">
      <c r="A10964" s="1">
        <v>5.0</v>
      </c>
      <c r="B10964" s="1" t="s">
        <v>10785</v>
      </c>
      <c r="C10964" t="str">
        <f>IFERROR(__xludf.DUMMYFUNCTION("GOOGLETRANSLATE(B10964, ""fr"", ""en"")"),"Nickel Quality. Taille.ok")</f>
        <v>Nickel Quality. Taille.ok</v>
      </c>
    </row>
    <row r="10965">
      <c r="A10965" s="1">
        <v>5.0</v>
      </c>
      <c r="B10965" s="1" t="s">
        <v>10786</v>
      </c>
      <c r="C10965" t="str">
        <f>IFERROR(__xludf.DUMMYFUNCTION("GOOGLETRANSLATE(B10965, ""fr"", ""en"")"),"Hyper comfortable caring Help can no longer wear shoes")</f>
        <v>Hyper comfortable caring Help can no longer wear shoes</v>
      </c>
    </row>
    <row r="10966">
      <c r="A10966" s="1">
        <v>5.0</v>
      </c>
      <c r="B10966" s="1" t="s">
        <v>10787</v>
      </c>
      <c r="C10966" t="str">
        <f>IFERROR(__xludf.DUMMYFUNCTION("GOOGLETRANSLATE(B10966, ""fr"", ""en"")"),"SAR value it hard")</f>
        <v>SAR value it hard</v>
      </c>
    </row>
    <row r="10967">
      <c r="A10967" s="1">
        <v>5.0</v>
      </c>
      <c r="B10967" s="1" t="s">
        <v>10788</v>
      </c>
      <c r="C10967" t="str">
        <f>IFERROR(__xludf.DUMMYFUNCTION("GOOGLETRANSLATE(B10967, ""fr"", ""en"")"),"Marie on the block operative work comfortable easy to wash")</f>
        <v>Marie on the block operative work comfortable easy to wash</v>
      </c>
    </row>
    <row r="10968">
      <c r="A10968" s="1">
        <v>5.0</v>
      </c>
      <c r="B10968" s="1" t="s">
        <v>10789</v>
      </c>
      <c r="C10968" t="str">
        <f>IFERROR(__xludf.DUMMYFUNCTION("GOOGLETRANSLATE(B10968, ""fr"", ""en"")"),"No bulbs I bought after my speech back for not wearing my shoes heeled and well I'm thrilled me no bulbs which makes each time super comfortable and suddenly I have two pairs")</f>
        <v>No bulbs I bought after my speech back for not wearing my shoes heeled and well I'm thrilled me no bulbs which makes each time super comfortable and suddenly I have two pairs</v>
      </c>
    </row>
    <row r="10969">
      <c r="A10969" s="1">
        <v>5.0</v>
      </c>
      <c r="B10969" s="1" t="s">
        <v>10790</v>
      </c>
      <c r="C10969" t="str">
        <f>IFERROR(__xludf.DUMMYFUNCTION("GOOGLETRANSLATE(B10969, ""fr"", ""en"")"),"Its price I bought this product to create my products HOUSEHOLD")</f>
        <v>Its price I bought this product to create my products HOUSEHOLD</v>
      </c>
    </row>
    <row r="10970">
      <c r="A10970" s="1">
        <v>5.0</v>
      </c>
      <c r="B10970" s="1" t="s">
        <v>10791</v>
      </c>
      <c r="C10970" t="str">
        <f>IFERROR(__xludf.DUMMYFUNCTION("GOOGLETRANSLATE(B10970, ""fr"", ""en"")"),"Super very good, I am very satisfied with it are very comfortable and nice for the price")</f>
        <v>Super very good, I am very satisfied with it are very comfortable and nice for the price</v>
      </c>
    </row>
    <row r="10971">
      <c r="A10971" s="1">
        <v>5.0</v>
      </c>
      <c r="B10971" s="1" t="s">
        <v>10792</v>
      </c>
      <c r="C10971" t="str">
        <f>IFERROR(__xludf.DUMMYFUNCTION("GOOGLETRANSLATE(B10971, ""fr"", ""en"")"),"A must in all circumstances Purchase a standard scotch lot and very helpful in all circumstances")</f>
        <v>A must in all circumstances Purchase a standard scotch lot and very helpful in all circumstances</v>
      </c>
    </row>
    <row r="10972">
      <c r="A10972" s="1">
        <v>5.0</v>
      </c>
      <c r="B10972" s="1" t="s">
        <v>10793</v>
      </c>
      <c r="C10972" t="str">
        <f>IFERROR(__xludf.DUMMYFUNCTION("GOOGLETRANSLATE(B10972, ""fr"", ""en"")"),"completely satisfied this is very effective NRTS and the glasses are clear and very clean dishes we are very satisfied")</f>
        <v>completely satisfied this is very effective NRTS and the glasses are clear and very clean dishes we are very satisfied</v>
      </c>
    </row>
    <row r="10973">
      <c r="A10973" s="1">
        <v>2.0</v>
      </c>
      <c r="B10973" s="1" t="s">
        <v>10794</v>
      </c>
      <c r="C10973" t="str">
        <f>IFERROR(__xludf.DUMMYFUNCTION("GOOGLETRANSLATE(B10973, ""fr"", ""en"")"),"Not very good It's cheap and padding is as polystyrene.")</f>
        <v>Not very good It's cheap and padding is as polystyrene.</v>
      </c>
    </row>
    <row r="10974">
      <c r="A10974" s="1">
        <v>1.0</v>
      </c>
      <c r="B10974" s="1" t="s">
        <v>10795</v>
      </c>
      <c r="C10974" t="str">
        <f>IFERROR(__xludf.DUMMYFUNCTION("GOOGLETRANSLATE(B10974, ""fr"", ""en"")"),"Deçue I ordered 39 and I get the 44 !! Return time so very disappointed: for lost time and ultimately trust disappears ...")</f>
        <v>Deçue I ordered 39 and I get the 44 !! Return time so very disappointed: for lost time and ultimately trust disappears ...</v>
      </c>
    </row>
    <row r="10975">
      <c r="A10975" s="1">
        <v>1.0</v>
      </c>
      <c r="B10975" s="1" t="s">
        <v>10796</v>
      </c>
      <c r="C10975" t="str">
        <f>IFERROR(__xludf.DUMMYFUNCTION("GOOGLETRANSLATE(B10975, ""fr"", ""en"")"),"3 Date Product that worked perfectly 3 days then nothing. Despite the small size of the cable, I was careful in my handling, I think the product and too fragile, or I came across a bad seriated. Best regards.")</f>
        <v>3 Date Product that worked perfectly 3 days then nothing. Despite the small size of the cable, I was careful in my handling, I think the product and too fragile, or I came across a bad seriated. Best regards.</v>
      </c>
    </row>
    <row r="10976">
      <c r="A10976" s="1">
        <v>3.0</v>
      </c>
      <c r="B10976" s="1" t="s">
        <v>10797</v>
      </c>
      <c r="C10976" t="str">
        <f>IFERROR(__xludf.DUMMYFUNCTION("GOOGLETRANSLATE(B10976, ""fr"", ""en"")"),"free transport cardboard packaging every morning, water for the not too hot nor too cold. Great")</f>
        <v>free transport cardboard packaging every morning, water for the not too hot nor too cold. Great</v>
      </c>
    </row>
    <row r="10977">
      <c r="A10977" s="1">
        <v>3.0</v>
      </c>
      <c r="B10977" s="1" t="s">
        <v>10798</v>
      </c>
      <c r="C10977" t="str">
        <f>IFERROR(__xludf.DUMMYFUNCTION("GOOGLETRANSLATE(B10977, ""fr"", ""en"")"),"Convenient in size, but ... practice by its small size, but a bit difficult to open and somewhat awkward since the powder is released by rotating the cover, but when pouring the milk powder in the bottle, powder residues are housed in the cover and compli"&amp;"cate the use of the product (lid goes wrong). A little disappointed ... bunk compartments feeders are much more effective.")</f>
        <v>Convenient in size, but ... practice by its small size, but a bit difficult to open and somewhat awkward since the powder is released by rotating the cover, but when pouring the milk powder in the bottle, powder residues are housed in the cover and complicate the use of the product (lid goes wrong). A little disappointed ... bunk compartments feeders are much more effective.</v>
      </c>
    </row>
    <row r="10978">
      <c r="A10978" s="1">
        <v>4.0</v>
      </c>
      <c r="B10978" s="1" t="s">
        <v>10799</v>
      </c>
      <c r="C10978" t="str">
        <f>IFERROR(__xludf.DUMMYFUNCTION("GOOGLETRANSLATE(B10978, ""fr"", ""en"")"),"Almost Perfect Great bottles. My son takes this. By cons, it has not been breastfed and I think it plays. The self-sterilization is convenient. Big downside, the scale does not show below 60ml which is annoying when you want to know what her baby excateme"&amp;"nt head.")</f>
        <v>Almost Perfect Great bottles. My son takes this. By cons, it has not been breastfed and I think it plays. The self-sterilization is convenient. Big downside, the scale does not show below 60ml which is annoying when you want to know what her baby excatement head.</v>
      </c>
    </row>
    <row r="10979">
      <c r="A10979" s="1">
        <v>4.0</v>
      </c>
      <c r="B10979" s="1" t="s">
        <v>10800</v>
      </c>
      <c r="C10979" t="str">
        <f>IFERROR(__xludf.DUMMYFUNCTION("GOOGLETRANSLATE(B10979, ""fr"", ""en"")"),"Calendar 2016 Quo Vadis. Small calendar perfectly suited for family use. Clear and legible. This shade of blue is very nice and not aggressive. Of great sobriety. No frills, this is a calendar and it must remain a calendar. Exactly what I want.")</f>
        <v>Calendar 2016 Quo Vadis. Small calendar perfectly suited for family use. Clear and legible. This shade of blue is very nice and not aggressive. Of great sobriety. No frills, this is a calendar and it must remain a calendar. Exactly what I want.</v>
      </c>
    </row>
    <row r="10980">
      <c r="A10980" s="1">
        <v>4.0</v>
      </c>
      <c r="B10980" s="1" t="s">
        <v>10801</v>
      </c>
      <c r="C10980" t="str">
        <f>IFERROR(__xludf.DUMMYFUNCTION("GOOGLETRANSLATE(B10980, ""fr"", ""en"")"),"automatic pairing nothing to say at this level, impeccable. Received in record time, instant pairing. Top quality for now because I just got it.")</f>
        <v>automatic pairing nothing to say at this level, impeccable. Received in record time, instant pairing. Top quality for now because I just got it.</v>
      </c>
    </row>
    <row r="10981">
      <c r="A10981" s="1">
        <v>4.0</v>
      </c>
      <c r="B10981" s="1" t="s">
        <v>10802</v>
      </c>
      <c r="C10981" t="str">
        <f>IFERROR(__xludf.DUMMYFUNCTION("GOOGLETRANSLATE(B10981, ""fr"", ""en"")"),"I recommend very practical product, the bottle heats up quickly. White vinegar for cleaning the bottom to soak 1 to week")</f>
        <v>I recommend very practical product, the bottle heats up quickly. White vinegar for cleaning the bottom to soak 1 to week</v>
      </c>
    </row>
    <row r="10982">
      <c r="A10982" s="1">
        <v>5.0</v>
      </c>
      <c r="B10982" s="1" t="s">
        <v>10803</v>
      </c>
      <c r="C10982" t="str">
        <f>IFERROR(__xludf.DUMMYFUNCTION("GOOGLETRANSLATE(B10982, ""fr"", ""en"")"),"Perfect I recommend this product I'm really thrilled with this product and this brand I really have nothing to say !!")</f>
        <v>Perfect I recommend this product I'm really thrilled with this product and this brand I really have nothing to say !!</v>
      </c>
    </row>
    <row r="10983">
      <c r="A10983" s="1">
        <v>5.0</v>
      </c>
      <c r="B10983" s="1" t="s">
        <v>10804</v>
      </c>
      <c r="C10983" t="str">
        <f>IFERROR(__xludf.DUMMYFUNCTION("GOOGLETRANSLATE(B10983, ""fr"", ""en"")"),"Good leather polish product red Super")</f>
        <v>Good leather polish product red Super</v>
      </c>
    </row>
    <row r="10984">
      <c r="A10984" s="1">
        <v>5.0</v>
      </c>
      <c r="B10984" s="1" t="s">
        <v>10805</v>
      </c>
      <c r="C10984" t="str">
        <f>IFERROR(__xludf.DUMMYFUNCTION("GOOGLETRANSLATE(B10984, ""fr"", ""en"")"),"Perfect Adjusted for the size of the gray card, no problem, thank you.")</f>
        <v>Perfect Adjusted for the size of the gray card, no problem, thank you.</v>
      </c>
    </row>
    <row r="10985">
      <c r="A10985" s="1">
        <v>5.0</v>
      </c>
      <c r="B10985" s="1" t="s">
        <v>10806</v>
      </c>
      <c r="C10985" t="str">
        <f>IFERROR(__xludf.DUMMYFUNCTION("GOOGLETRANSLATE(B10985, ""fr"", ""en"")"),"Efficient, economical and pretty! I was tired of every time ecombrer my cart to the supermarket with this kind of article. So I made provisions by buying a large lot on Amazon, it is economical and in addition the paper is pretty!")</f>
        <v>Efficient, economical and pretty! I was tired of every time ecombrer my cart to the supermarket with this kind of article. So I made provisions by buying a large lot on Amazon, it is economical and in addition the paper is pretty!</v>
      </c>
    </row>
    <row r="10986">
      <c r="A10986" s="1">
        <v>5.0</v>
      </c>
      <c r="B10986" s="1" t="s">
        <v>10807</v>
      </c>
      <c r="C10986" t="str">
        <f>IFERROR(__xludf.DUMMYFUNCTION("GOOGLETRANSLATE(B10986, ""fr"", ""en"")"),"Perfect! I do not was well aware of the size when ordering, and I had the good ""surprise"" to receive those little red balls with green node in a very discreet size. This is exactly what I wanted for a Christmas show, just to have a festive accessory, wi"&amp;"thout looking like a Christmas tree !!!!!")</f>
        <v>Perfect! I do not was well aware of the size when ordering, and I had the good "surprise" to receive those little red balls with green node in a very discreet size. This is exactly what I wanted for a Christmas show, just to have a festive accessory, without looking like a Christmas tree !!!!!</v>
      </c>
    </row>
    <row r="10987">
      <c r="A10987" s="1">
        <v>5.0</v>
      </c>
      <c r="B10987" s="1" t="s">
        <v>10808</v>
      </c>
      <c r="C10987" t="str">
        <f>IFERROR(__xludf.DUMMYFUNCTION("GOOGLETRANSLATE(B10987, ""fr"", ""en"")"),"Perfect Teats perfect and very good qualities.")</f>
        <v>Perfect Teats perfect and very good qualities.</v>
      </c>
    </row>
    <row r="10988">
      <c r="A10988" s="1">
        <v>5.0</v>
      </c>
      <c r="B10988" s="1" t="s">
        <v>10809</v>
      </c>
      <c r="C10988" t="str">
        <f>IFERROR(__xludf.DUMMYFUNCTION("GOOGLETRANSLATE(B10988, ""fr"", ""en"")"),"perfect is really perfect and convenient for photo, huge time saver for albums because the sticker peel off alone for the first side and the second a small tab will remove the opercul very easily")</f>
        <v>perfect is really perfect and convenient for photo, huge time saver for albums because the sticker peel off alone for the first side and the second a small tab will remove the opercul very easily</v>
      </c>
    </row>
    <row r="10989">
      <c r="A10989" s="1">
        <v>5.0</v>
      </c>
      <c r="B10989" s="1" t="s">
        <v>10810</v>
      </c>
      <c r="C10989" t="str">
        <f>IFERROR(__xludf.DUMMYFUNCTION("GOOGLETRANSLATE(B10989, ""fr"", ""en"")"),"BO 'the Chicks' Very pretty BO silver presented in a blue setting, ready to offer - they consist of two feathers in silver and are consistent with the picture and Discrete description but look great, they will make envious; -)")</f>
        <v>BO 'the Chicks' Very pretty BO silver presented in a blue setting, ready to offer - they consist of two feathers in silver and are consistent with the picture and Discrete description but look great, they will make envious; -)</v>
      </c>
    </row>
    <row r="10990">
      <c r="A10990" s="1">
        <v>5.0</v>
      </c>
      <c r="B10990" s="1" t="s">
        <v>224</v>
      </c>
      <c r="C10990" t="str">
        <f>IFERROR(__xludf.DUMMYFUNCTION("GOOGLETRANSLATE(B10990, ""fr"", ""en"")"),"perfect perfect")</f>
        <v>perfect perfect</v>
      </c>
    </row>
    <row r="10991">
      <c r="A10991" s="1">
        <v>5.0</v>
      </c>
      <c r="B10991" s="1" t="s">
        <v>10811</v>
      </c>
      <c r="C10991" t="str">
        <f>IFERROR(__xludf.DUMMYFUNCTION("GOOGLETRANSLATE(B10991, ""fr"", ""en"")"),"Perfect Very good product")</f>
        <v>Perfect Very good product</v>
      </c>
    </row>
    <row r="10992">
      <c r="A10992" s="1">
        <v>5.0</v>
      </c>
      <c r="B10992" s="1" t="s">
        <v>10812</v>
      </c>
      <c r="C10992" t="str">
        <f>IFERROR(__xludf.DUMMYFUNCTION("GOOGLETRANSLATE(B10992, ""fr"", ""en"")"),"very good very good product, a good value. Glad I found this bag of sheet size A3, it is convenient")</f>
        <v>very good very good product, a good value. Glad I found this bag of sheet size A3, it is convenient</v>
      </c>
    </row>
    <row r="10993">
      <c r="A10993" s="1">
        <v>5.0</v>
      </c>
      <c r="B10993" s="1" t="s">
        <v>10813</v>
      </c>
      <c r="C10993" t="str">
        <f>IFERROR(__xludf.DUMMYFUNCTION("GOOGLETRANSLATE(B10993, ""fr"", ""en"")"),"Very nice Super pretty much apreciated my famme has this gift! Thank you")</f>
        <v>Very nice Super pretty much apreciated my famme has this gift! Thank you</v>
      </c>
    </row>
    <row r="10994">
      <c r="A10994" s="1">
        <v>5.0</v>
      </c>
      <c r="B10994" s="1" t="s">
        <v>10814</v>
      </c>
      <c r="C10994" t="str">
        <f>IFERROR(__xludf.DUMMYFUNCTION("GOOGLETRANSLATE(B10994, ""fr"", ""en"")"),"nickel product according to the description, so perfect")</f>
        <v>nickel product according to the description, so perfect</v>
      </c>
    </row>
    <row r="10995">
      <c r="A10995" s="1">
        <v>5.0</v>
      </c>
      <c r="B10995" s="1" t="s">
        <v>10815</v>
      </c>
      <c r="C10995" t="str">
        <f>IFERROR(__xludf.DUMMYFUNCTION("GOOGLETRANSLATE(B10995, ""fr"", ""en"")"),"Elbow After several months of use (due to injury of the elbow handball) I can only recommend this elbow. It is light and efficient. Perfect for playing handball without the clutter. Guillaume.")</f>
        <v>Elbow After several months of use (due to injury of the elbow handball) I can only recommend this elbow. It is light and efficient. Perfect for playing handball without the clutter. Guillaume.</v>
      </c>
    </row>
    <row r="10996">
      <c r="A10996" s="1">
        <v>5.0</v>
      </c>
      <c r="B10996" s="1" t="s">
        <v>10816</v>
      </c>
      <c r="C10996" t="str">
        <f>IFERROR(__xludf.DUMMYFUNCTION("GOOGLETRANSLATE(B10996, ""fr"", ""en"")"),"Delighted Very good quality")</f>
        <v>Delighted Very good quality</v>
      </c>
    </row>
    <row r="10997">
      <c r="A10997" s="1">
        <v>2.0</v>
      </c>
      <c r="B10997" s="1" t="s">
        <v>10817</v>
      </c>
      <c r="C10997" t="str">
        <f>IFERROR(__xludf.DUMMYFUNCTION("GOOGLETRANSLATE(B10997, ""fr"", ""en"")"),"too expensive very expensive for what it is")</f>
        <v>too expensive very expensive for what it is</v>
      </c>
    </row>
    <row r="10998">
      <c r="A10998" s="1">
        <v>1.0</v>
      </c>
      <c r="B10998" s="1" t="s">
        <v>10818</v>
      </c>
      <c r="C10998" t="str">
        <f>IFERROR(__xludf.DUMMYFUNCTION("GOOGLETRANSLATE(B10998, ""fr"", ""en"")"),"Warning: contains only a black cartridge I ordered a set of 2 black and color cartridges: I had to return the item, the package contained only one black cartridge (missing color cartridge). Very disappointed")</f>
        <v>Warning: contains only a black cartridge I ordered a set of 2 black and color cartridges: I had to return the item, the package contained only one black cartridge (missing color cartridge). Very disappointed</v>
      </c>
    </row>
    <row r="10999">
      <c r="A10999" s="1">
        <v>1.0</v>
      </c>
      <c r="B10999" s="1" t="s">
        <v>10819</v>
      </c>
      <c r="C10999" t="str">
        <f>IFERROR(__xludf.DUMMYFUNCTION("GOOGLETRANSLATE(B10999, ""fr"", ""en"")"),"After deins The tip of the standard size remains large Hard to imagine putting the tip of her breast in a broad tip")</f>
        <v>After deins The tip of the standard size remains large Hard to imagine putting the tip of her breast in a broad tip</v>
      </c>
    </row>
    <row r="11000">
      <c r="A11000" s="1">
        <v>3.0</v>
      </c>
      <c r="B11000" s="1" t="s">
        <v>10820</v>
      </c>
      <c r="C11000" t="str">
        <f>IFERROR(__xludf.DUMMYFUNCTION("GOOGLETRANSLATE(B11000, ""fr"", ""en"")"),"product quality but .... Unfortunately though I ordered my size, these after skiing were too big, I could not choose a size change because it was no longer available. By cons I found these boots embarrassing running as a fold that forms in the back of the"&amp;" ankle.")</f>
        <v>product quality but .... Unfortunately though I ordered my size, these after skiing were too big, I could not choose a size change because it was no longer available. By cons I found these boots embarrassing running as a fold that forms in the back of the ankle.</v>
      </c>
    </row>
    <row r="11001">
      <c r="A11001" s="1">
        <v>4.0</v>
      </c>
      <c r="B11001" s="1" t="s">
        <v>10821</v>
      </c>
      <c r="C11001" t="str">
        <f>IFERROR(__xludf.DUMMYFUNCTION("GOOGLETRANSLATE(B11001, ""fr"", ""en"")"),"wonderful essential oil I use it for everything. essential oil that smells wonderful and can deodorize closet, trash by putting a few drops on a cotton. Very effective. anti-bacterial action, purifying, whitening, invigorating, detoxifying ...")</f>
        <v>wonderful essential oil I use it for everything. essential oil that smells wonderful and can deodorize closet, trash by putting a few drops on a cotton. Very effective. anti-bacterial action, purifying, whitening, invigorating, detoxifying ...</v>
      </c>
    </row>
    <row r="11002">
      <c r="A11002" s="1">
        <v>4.0</v>
      </c>
      <c r="B11002" s="1" t="s">
        <v>10822</v>
      </c>
      <c r="C11002" t="str">
        <f>IFERROR(__xludf.DUMMYFUNCTION("GOOGLETRANSLATE(B11002, ""fr"", ""en"")"),"quality fair price report conforms to the description ... webbing lanyard nylon treissé and unfortunately not leather")</f>
        <v>quality fair price report conforms to the description ... webbing lanyard nylon treissé and unfortunately not leather</v>
      </c>
    </row>
    <row r="11003">
      <c r="A11003" s="1">
        <v>4.0</v>
      </c>
      <c r="B11003" s="1" t="s">
        <v>10823</v>
      </c>
      <c r="C11003" t="str">
        <f>IFERROR(__xludf.DUMMYFUNCTION("GOOGLETRANSLATE(B11003, ""fr"", ""en"")"),"serious brand with premium products to use at the moment of the products of this brand but age 6 months, we have set aside these Dodie nipple sensation Plate Collar Large Silicone 18 Months, we could even efficiency our neighbors with their little girl of"&amp;" 20 months. they too are fully satisfied with the products and dodie we see that Dodie nipple sensation Plate Collar Large Silicone 18 months are perfect. I would return in time when our confirm they will use.")</f>
        <v>serious brand with premium products to use at the moment of the products of this brand but age 6 months, we have set aside these Dodie nipple sensation Plate Collar Large Silicone 18 Months, we could even efficiency our neighbors with their little girl of 20 months. they too are fully satisfied with the products and dodie we see that Dodie nipple sensation Plate Collar Large Silicone 18 months are perfect. I would return in time when our confirm they will use.</v>
      </c>
    </row>
    <row r="11004">
      <c r="A11004" s="1">
        <v>4.0</v>
      </c>
      <c r="B11004" s="1" t="s">
        <v>10824</v>
      </c>
      <c r="C11004" t="str">
        <f>IFERROR(__xludf.DUMMYFUNCTION("GOOGLETRANSLATE(B11004, ""fr"", ""en"")"),"Salomon shoes Super color on top is nice and comfort to match it really puts hold. I advice to the person who want to be well in his sneakers.")</f>
        <v>Salomon shoes Super color on top is nice and comfort to match it really puts hold. I advice to the person who want to be well in his sneakers.</v>
      </c>
    </row>
    <row r="11005">
      <c r="A11005" s="1">
        <v>5.0</v>
      </c>
      <c r="B11005" s="1" t="s">
        <v>10825</v>
      </c>
      <c r="C11005" t="str">
        <f>IFERROR(__xludf.DUMMYFUNCTION("GOOGLETRANSLATE(B11005, ""fr"", ""en"")"),"Cooool I bought this wireless microphone for my father, he likes to sing at home. This is perfectly in his choice. He can sing as he wants, no matter where")</f>
        <v>Cooool I bought this wireless microphone for my father, he likes to sing at home. This is perfectly in his choice. He can sing as he wants, no matter where</v>
      </c>
    </row>
    <row r="11006">
      <c r="A11006" s="1">
        <v>5.0</v>
      </c>
      <c r="B11006" s="1" t="s">
        <v>10826</v>
      </c>
      <c r="C11006" t="str">
        <f>IFERROR(__xludf.DUMMYFUNCTION("GOOGLETRANSLATE(B11006, ""fr"", ""en"")"),"GREAT!!! His slippers are perfect for small and large.")</f>
        <v>GREAT!!! His slippers are perfect for small and large.</v>
      </c>
    </row>
    <row r="11007">
      <c r="A11007" s="1">
        <v>5.0</v>
      </c>
      <c r="B11007" s="1" t="s">
        <v>10827</v>
      </c>
      <c r="C11007" t="str">
        <f>IFERROR(__xludf.DUMMYFUNCTION("GOOGLETRANSLATE(B11007, ""fr"", ""en"")"),"a first compass and thermometer shows the reduced format of this watch is suitable for my 13 year old son. It is much smaller than protrek. Apart from the basic functions (stopwatch, countdown, alarm ...) we find the compass and thermometer. My son is del"&amp;"ighted.")</f>
        <v>a first compass and thermometer shows the reduced format of this watch is suitable for my 13 year old son. It is much smaller than protrek. Apart from the basic functions (stopwatch, countdown, alarm ...) we find the compass and thermometer. My son is delighted.</v>
      </c>
    </row>
    <row r="11008">
      <c r="A11008" s="1">
        <v>5.0</v>
      </c>
      <c r="B11008" s="1" t="s">
        <v>10828</v>
      </c>
      <c r="C11008" t="str">
        <f>IFERROR(__xludf.DUMMYFUNCTION("GOOGLETRANSLATE(B11008, ""fr"", ""en"")"),"Awesome Super convenient to have a Bluetooth microphone. He has a good weight and good size. After you have to find a good software karaoke.")</f>
        <v>Awesome Super convenient to have a Bluetooth microphone. He has a good weight and good size. After you have to find a good software karaoke.</v>
      </c>
    </row>
    <row r="11009">
      <c r="A11009" s="1">
        <v>5.0</v>
      </c>
      <c r="B11009" s="1" t="s">
        <v>10829</v>
      </c>
      <c r="C11009" t="str">
        <f>IFERROR(__xludf.DUMMYFUNCTION("GOOGLETRANSLATE(B11009, ""fr"", ""en"")"),"Very comfortable very comfortable, fast delivery thank you")</f>
        <v>Very comfortable very comfortable, fast delivery thank you</v>
      </c>
    </row>
    <row r="11010">
      <c r="A11010" s="1">
        <v>5.0</v>
      </c>
      <c r="B11010" s="1" t="s">
        <v>10830</v>
      </c>
      <c r="C11010" t="str">
        <f>IFERROR(__xludf.DUMMYFUNCTION("GOOGLETRANSLATE(B11010, ""fr"", ""en"")"),"The purchase of the Year This is what I needed for the office. It does not take place, it is beautiful and enough for one person. I recommand it.")</f>
        <v>The purchase of the Year This is what I needed for the office. It does not take place, it is beautiful and enough for one person. I recommand it.</v>
      </c>
    </row>
    <row r="11011">
      <c r="A11011" s="1">
        <v>5.0</v>
      </c>
      <c r="B11011" s="1" t="s">
        <v>10831</v>
      </c>
      <c r="C11011" t="str">
        <f>IFERROR(__xludf.DUMMYFUNCTION("GOOGLETRANSLATE(B11011, ""fr"", ""en"")"),"I play Super 38 and I ordered my size, I just added a sole because I wore without socks and super comfortable")</f>
        <v>I play Super 38 and I ordered my size, I just added a sole because I wore without socks and super comfortable</v>
      </c>
    </row>
    <row r="11012">
      <c r="A11012" s="1">
        <v>5.0</v>
      </c>
      <c r="B11012" s="1" t="s">
        <v>10832</v>
      </c>
      <c r="C11012" t="str">
        <f>IFERROR(__xludf.DUMMYFUNCTION("GOOGLETRANSLATE(B11012, ""fr"", ""en"")"),"Perfect Good product small price")</f>
        <v>Perfect Good product small price</v>
      </c>
    </row>
    <row r="11013">
      <c r="A11013" s="1">
        <v>5.0</v>
      </c>
      <c r="B11013" s="1" t="s">
        <v>10833</v>
      </c>
      <c r="C11013" t="str">
        <f>IFERROR(__xludf.DUMMYFUNCTION("GOOGLETRANSLATE(B11013, ""fr"", ""en"")"),"An excellent value for money! Wishing me rid devices with wire, I opt for this helmet cheap I was not expecting much. What a surprise! This helmet is just perfect for its price, it is adjustable, has a sound quality quite good, can bend without fear of br"&amp;"eaking it, and one of the points that will please the most people: autonomy . This should do well 4-5 hours that I use, and I still reduced real time, and it is still 70℅. The only fault I can find the headphones and I am ready to pay again just to have: "&amp;"a USB port C, it does not have to and that's a shame. Similarly, no quick charging and aproxumatif time for full charge is about 3 hours. But as it is not in the description, it does not takes away points.")</f>
        <v>An excellent value for money! Wishing me rid devices with wire, I opt for this helmet cheap I was not expecting much. What a surprise! This helmet is just perfect for its price, it is adjustable, has a sound quality quite good, can bend without fear of breaking it, and one of the points that will please the most people: autonomy . This should do well 4-5 hours that I use, and I still reduced real time, and it is still 70℅. The only fault I can find the headphones and I am ready to pay again just to have: a USB port C, it does not have to and that's a shame. Similarly, no quick charging and aproxumatif time for full charge is about 3 hours. But as it is not in the description, it does not takes away points.</v>
      </c>
    </row>
    <row r="11014">
      <c r="A11014" s="1">
        <v>5.0</v>
      </c>
      <c r="B11014" s="1" t="s">
        <v>224</v>
      </c>
      <c r="C11014" t="str">
        <f>IFERROR(__xludf.DUMMYFUNCTION("GOOGLETRANSLATE(B11014, ""fr"", ""en"")"),"perfect perfect")</f>
        <v>perfect perfect</v>
      </c>
    </row>
    <row r="11015">
      <c r="A11015" s="1">
        <v>5.0</v>
      </c>
      <c r="B11015" s="1" t="s">
        <v>10834</v>
      </c>
      <c r="C11015" t="str">
        <f>IFERROR(__xludf.DUMMYFUNCTION("GOOGLETRANSLATE(B11015, ""fr"", ""en"")"),"Good product I wasn t disappointed, good product")</f>
        <v>Good product I wasn t disappointed, good product</v>
      </c>
    </row>
    <row r="11016">
      <c r="A11016" s="1">
        <v>5.0</v>
      </c>
      <c r="B11016" s="1" t="s">
        <v>5323</v>
      </c>
      <c r="C11016" t="str">
        <f>IFERROR(__xludf.DUMMYFUNCTION("GOOGLETRANSLATE(B11016, ""fr"", ""en"")"),"Impeccable Impeccable.")</f>
        <v>Impeccable Impeccable.</v>
      </c>
    </row>
    <row r="11017">
      <c r="A11017" s="1">
        <v>5.0</v>
      </c>
      <c r="B11017" s="1" t="s">
        <v>10835</v>
      </c>
      <c r="C11017" t="str">
        <f>IFERROR(__xludf.DUMMYFUNCTION("GOOGLETRANSLATE(B11017, ""fr"", ""en"")"),"Send quick Okay, good size")</f>
        <v>Send quick Okay, good size</v>
      </c>
    </row>
    <row r="11018">
      <c r="A11018" s="1">
        <v>5.0</v>
      </c>
      <c r="B11018" s="1" t="s">
        <v>10836</v>
      </c>
      <c r="C11018" t="str">
        <f>IFERROR(__xludf.DUMMYFUNCTION("GOOGLETRANSLATE(B11018, ""fr"", ""en"")"),"great product !! Good sound quality, attractive design. There are several plastic tips so they can adapt to his ear size and it holds very well. They have a good battery and load very well in their little box / battery that has good battery life aussi.Trè"&amp;"s good product that I recommend. Good sound quality you'll love listening to your music with these headphones. Very good battery life plus the housing which can charge several times !!")</f>
        <v>great product !! Good sound quality, attractive design. There are several plastic tips so they can adapt to his ear size and it holds very well. They have a good battery and load very well in their little box / battery that has good battery life aussi.Très good product that I recommend. Good sound quality you'll love listening to your music with these headphones. Very good battery life plus the housing which can charge several times !!</v>
      </c>
    </row>
    <row r="11019">
      <c r="A11019" s="1">
        <v>5.0</v>
      </c>
      <c r="B11019" s="1" t="s">
        <v>2457</v>
      </c>
      <c r="C11019" t="str">
        <f>IFERROR(__xludf.DUMMYFUNCTION("GOOGLETRANSLATE(B11019, ""fr"", ""en"")"),"Ok Ok")</f>
        <v>Ok Ok</v>
      </c>
    </row>
    <row r="11020">
      <c r="A11020" s="1">
        <v>2.0</v>
      </c>
      <c r="B11020" s="1" t="s">
        <v>10837</v>
      </c>
      <c r="C11020" t="str">
        <f>IFERROR(__xludf.DUMMYFUNCTION("GOOGLETRANSLATE(B11020, ""fr"", ""en"")"),"shows disappointing does not match the image too dark for the bracelet, too flashy for the case I do not buy it back if c was at it again!")</f>
        <v>shows disappointing does not match the image too dark for the bracelet, too flashy for the case I do not buy it back if c was at it again!</v>
      </c>
    </row>
    <row r="11021">
      <c r="A11021" s="1">
        <v>1.0</v>
      </c>
      <c r="B11021" s="1" t="s">
        <v>10838</v>
      </c>
      <c r="C11021" t="str">
        <f>IFERROR(__xludf.DUMMYFUNCTION("GOOGLETRANSLATE(B11021, ""fr"", ""en"")"),"Especially do not buy the VERY VERY DISAPPOINTED with this purchase and I should not have to believe the comments about these headphones. Indeed, I'm replacing rubber parts or tips that serve to keep the headphones in the edge of the ear headphones do not"&amp;" take and just walking quietly, it is impossible to 5 meters without the one of the grave headphones. I wanted to use for the garden or just walking but saw that the headphones continuously fall, I bitterly regret this purchase and I'll put it all in the "&amp;"bottom of a drawer in the forgetting. Too bad, because I already had this kind of headphones and up to those, I have always been happy. Proof that I do not have malformed ears. So if you want to save your money, do not buy these headphones especially !!!")</f>
        <v>Especially do not buy the VERY VERY DISAPPOINTED with this purchase and I should not have to believe the comments about these headphones. Indeed, I'm replacing rubber parts or tips that serve to keep the headphones in the edge of the ear headphones do not take and just walking quietly, it is impossible to 5 meters without the one of the grave headphones. I wanted to use for the garden or just walking but saw that the headphones continuously fall, I bitterly regret this purchase and I'll put it all in the bottom of a drawer in the forgetting. Too bad, because I already had this kind of headphones and up to those, I have always been happy. Proof that I do not have malformed ears. So if you want to save your money, do not buy these headphones especially !!!</v>
      </c>
    </row>
    <row r="11022">
      <c r="A11022" s="1">
        <v>3.0</v>
      </c>
      <c r="B11022" s="1" t="s">
        <v>10839</v>
      </c>
      <c r="C11022" t="str">
        <f>IFERROR(__xludf.DUMMYFUNCTION("GOOGLETRANSLATE(B11022, ""fr"", ""en"")"),"Expensive but Bose Test to running. Good audio quality, but do not want great in the ear (I'm testing with several bits and always the same)")</f>
        <v>Expensive but Bose Test to running. Good audio quality, but do not want great in the ear (I'm testing with several bits and always the same)</v>
      </c>
    </row>
    <row r="11023">
      <c r="A11023" s="1">
        <v>3.0</v>
      </c>
      <c r="B11023" s="1" t="s">
        <v>10840</v>
      </c>
      <c r="C11023" t="str">
        <f>IFERROR(__xludf.DUMMYFUNCTION("GOOGLETRANSLATE(B11023, ""fr"", ""en"")"),"Fine, but fragile Exactly what I was looking for. These knee socks are fine, soft, lightweight, comfortable, I love them. But the problem is their fragility. They wear out quickly at the toe and heel in particular, as unfortunately many bamboo socks. So, "&amp;"I find them a bit expensive ...")</f>
        <v>Fine, but fragile Exactly what I was looking for. These knee socks are fine, soft, lightweight, comfortable, I love them. But the problem is their fragility. They wear out quickly at the toe and heel in particular, as unfortunately many bamboo socks. So, I find them a bit expensive ...</v>
      </c>
    </row>
    <row r="11024">
      <c r="A11024" s="1">
        <v>4.0</v>
      </c>
      <c r="B11024" s="1" t="s">
        <v>10841</v>
      </c>
      <c r="C11024" t="str">
        <f>IFERROR(__xludf.DUMMYFUNCTION("GOOGLETRANSLATE(B11024, ""fr"", ""en"")"),"Effective on linen stained colors and a 7kg washing machine at 40 ° ... At first I was scared because it smelled strongly while the package was still not open!. So I tried this washing powder classic appearance whose dosage is easy with the supplied feede"&amp;"r, this on a tour of 40 ° nearly 7kg of mixed linen (cotton + synthetic) colors, some rooms were well stained. I've just added my usual dose of vinegar. Upon arrival the machine is 100% clean, completely detached and especially after a passage Dry -Linen,"&amp;" there is no residual odor of heady laundry. There is just a very light fragrance that suits me perfectly. A € 25.59 3 packages or € 8.53 package of 2.6kg Price is average. It is not a laundry I would buy based coupon ;-)")</f>
        <v>Effective on linen stained colors and a 7kg washing machine at 40 ° ... At first I was scared because it smelled strongly while the package was still not open!. So I tried this washing powder classic appearance whose dosage is easy with the supplied feeder, this on a tour of 40 ° nearly 7kg of mixed linen (cotton + synthetic) colors, some rooms were well stained. I've just added my usual dose of vinegar. Upon arrival the machine is 100% clean, completely detached and especially after a passage Dry -Linen, there is no residual odor of heady laundry. There is just a very light fragrance that suits me perfectly. A € 25.59 3 packages or € 8.53 package of 2.6kg Price is average. It is not a laundry I would buy based coupon ;-)</v>
      </c>
    </row>
    <row r="11025">
      <c r="A11025" s="1">
        <v>4.0</v>
      </c>
      <c r="B11025" s="1" t="s">
        <v>10842</v>
      </c>
      <c r="C11025" t="str">
        <f>IFERROR(__xludf.DUMMYFUNCTION("GOOGLETRANSLATE(B11025, ""fr"", ""en"")"),"pretty jewel perfect time delivery. Very nice necklace, stone just a little more ""blue"" than the picture. I am very satisfied, it is fine and refined, suitable for every day as for output.")</f>
        <v>pretty jewel perfect time delivery. Very nice necklace, stone just a little more "blue" than the picture. I am very satisfied, it is fine and refined, suitable for every day as for output.</v>
      </c>
    </row>
    <row r="11026">
      <c r="A11026" s="1">
        <v>4.0</v>
      </c>
      <c r="B11026" s="1" t="s">
        <v>10843</v>
      </c>
      <c r="C11026" t="str">
        <f>IFERROR(__xludf.DUMMYFUNCTION("GOOGLETRANSLATE(B11026, ""fr"", ""en"")"),"Quality Converse manufacturing quality, cushioning is good for walking. A small rear tongue would have been a plus for easy donning.")</f>
        <v>Quality Converse manufacturing quality, cushioning is good for walking. A small rear tongue would have been a plus for easy donning.</v>
      </c>
    </row>
    <row r="11027">
      <c r="A11027" s="1">
        <v>4.0</v>
      </c>
      <c r="B11027" s="1" t="s">
        <v>10844</v>
      </c>
      <c r="C11027" t="str">
        <f>IFERROR(__xludf.DUMMYFUNCTION("GOOGLETRANSLATE(B11027, ""fr"", ""en"")"),"Almost perfect sound and nickel autonomy in onions only complaint is that the cable connecting the two earphones is really too long.")</f>
        <v>Almost perfect sound and nickel autonomy in onions only complaint is that the cable connecting the two earphones is really too long.</v>
      </c>
    </row>
    <row r="11028">
      <c r="A11028" s="1">
        <v>5.0</v>
      </c>
      <c r="B11028" s="1" t="s">
        <v>10845</v>
      </c>
      <c r="C11028" t="str">
        <f>IFERROR(__xludf.DUMMYFUNCTION("GOOGLETRANSLATE(B11028, ""fr"", ""en"")"),"A classic that I love a beautiful story about christmas but not with Father Christmas, it's good !!! My students loved it too GS")</f>
        <v>A classic that I love a beautiful story about christmas but not with Father Christmas, it's good !!! My students loved it too GS</v>
      </c>
    </row>
    <row r="11029">
      <c r="A11029" s="1">
        <v>5.0</v>
      </c>
      <c r="B11029" s="1" t="s">
        <v>224</v>
      </c>
      <c r="C11029" t="str">
        <f>IFERROR(__xludf.DUMMYFUNCTION("GOOGLETRANSLATE(B11029, ""fr"", ""en"")"),"perfect perfect")</f>
        <v>perfect perfect</v>
      </c>
    </row>
    <row r="11030">
      <c r="A11030" s="1">
        <v>5.0</v>
      </c>
      <c r="B11030" s="1" t="s">
        <v>10846</v>
      </c>
      <c r="C11030" t="str">
        <f>IFERROR(__xludf.DUMMYFUNCTION("GOOGLETRANSLATE(B11030, ""fr"", ""en"")"),"A real jewelry I own Beats I used in normal time but for all my sports sessions (running, gym, etc ...). Sweat spoiled cousins. After repairs so I looked for a cheap solution and I came across this little gem. Although it is not worth Beats (or others), t"&amp;"he sound is impressive, dynamic and perfect for sports. Top also in the comfort. For that price, I recommend it especially if utilisaction is devoted to sports. It does not need more.")</f>
        <v>A real jewelry I own Beats I used in normal time but for all my sports sessions (running, gym, etc ...). Sweat spoiled cousins. After repairs so I looked for a cheap solution and I came across this little gem. Although it is not worth Beats (or others), the sound is impressive, dynamic and perfect for sports. Top also in the comfort. For that price, I recommend it especially if utilisaction is devoted to sports. It does not need more.</v>
      </c>
    </row>
    <row r="11031">
      <c r="A11031" s="1">
        <v>5.0</v>
      </c>
      <c r="B11031" s="1" t="s">
        <v>10847</v>
      </c>
      <c r="C11031" t="str">
        <f>IFERROR(__xludf.DUMMYFUNCTION("GOOGLETRANSLATE(B11031, ""fr"", ""en"")"),"Cute, soft and comfortable Soft, fluffy; comfortable, warm and cute little slippers to wear when it's getting a little chilly. I recommend")</f>
        <v>Cute, soft and comfortable Soft, fluffy; comfortable, warm and cute little slippers to wear when it's getting a little chilly. I recommend</v>
      </c>
    </row>
    <row r="11032">
      <c r="A11032" s="1">
        <v>5.0</v>
      </c>
      <c r="B11032" s="1" t="s">
        <v>10848</v>
      </c>
      <c r="C11032" t="str">
        <f>IFERROR(__xludf.DUMMYFUNCTION("GOOGLETRANSLATE(B11032, ""fr"", ""en"")"),"Super Size 36/42 top and as it is elastic and seamless it is to a lot of morphology I recommend this product")</f>
        <v>Super Size 36/42 top and as it is elastic and seamless it is to a lot of morphology I recommend this product</v>
      </c>
    </row>
    <row r="11033">
      <c r="A11033" s="1">
        <v>5.0</v>
      </c>
      <c r="B11033" s="1" t="s">
        <v>10849</v>
      </c>
      <c r="C11033" t="str">
        <f>IFERROR(__xludf.DUMMYFUNCTION("GOOGLETRANSLATE(B11033, ""fr"", ""en"")"),"Very good quality product. Received quickly.")</f>
        <v>Very good quality product. Received quickly.</v>
      </c>
    </row>
    <row r="11034">
      <c r="A11034" s="1">
        <v>5.0</v>
      </c>
      <c r="B11034" s="1" t="s">
        <v>10850</v>
      </c>
      <c r="C11034" t="str">
        <f>IFERROR(__xludf.DUMMYFUNCTION("GOOGLETRANSLATE(B11034, ""fr"", ""en"")"),"Used for linen baby Recommended by our pediatrician to reduce the baby's eczema and used for each machine since (with a long cycle and a rinse +) Nothing wrong and good value")</f>
        <v>Used for linen baby Recommended by our pediatrician to reduce the baby's eczema and used for each machine since (with a long cycle and a rinse +) Nothing wrong and good value</v>
      </c>
    </row>
    <row r="11035">
      <c r="A11035" s="1">
        <v>5.0</v>
      </c>
      <c r="B11035" s="1" t="s">
        <v>10851</v>
      </c>
      <c r="C11035" t="str">
        <f>IFERROR(__xludf.DUMMYFUNCTION("GOOGLETRANSLATE(B11035, ""fr"", ""en"")"),"Although many diving on top, great material")</f>
        <v>Although many diving on top, great material</v>
      </c>
    </row>
    <row r="11036">
      <c r="A11036" s="1">
        <v>5.0</v>
      </c>
      <c r="B11036" s="1" t="s">
        <v>10852</v>
      </c>
      <c r="C11036" t="str">
        <f>IFERROR(__xludf.DUMMYFUNCTION("GOOGLETRANSLATE(B11036, ""fr"", ""en"")"),"great comfortable, and super cute")</f>
        <v>great comfortable, and super cute</v>
      </c>
    </row>
    <row r="11037">
      <c r="A11037" s="1">
        <v>5.0</v>
      </c>
      <c r="B11037" s="1" t="s">
        <v>1261</v>
      </c>
      <c r="C11037" t="str">
        <f>IFERROR(__xludf.DUMMYFUNCTION("GOOGLETRANSLATE(B11037, ""fr"", ""en"")"),"good good")</f>
        <v>good good</v>
      </c>
    </row>
    <row r="11038">
      <c r="A11038" s="1">
        <v>5.0</v>
      </c>
      <c r="B11038" s="1" t="s">
        <v>10853</v>
      </c>
      <c r="C11038" t="str">
        <f>IFERROR(__xludf.DUMMYFUNCTION("GOOGLETRANSLATE(B11038, ""fr"", ""en"")"),"Good product Perfect. Size correctly knowing that Levi's size large enough base.")</f>
        <v>Good product Perfect. Size correctly knowing that Levi's size large enough base.</v>
      </c>
    </row>
    <row r="11039">
      <c r="A11039" s="1">
        <v>5.0</v>
      </c>
      <c r="B11039" s="1" t="s">
        <v>10854</v>
      </c>
      <c r="C11039" t="str">
        <f>IFERROR(__xludf.DUMMYFUNCTION("GOOGLETRANSLATE(B11039, ""fr"", ""en"")"),"Super 👍🏻 Large supply of round stickers, heart and stars, my girls love the colors are nice, I am delighted with my purchase!")</f>
        <v>Super 👍🏻 Large supply of round stickers, heart and stars, my girls love the colors are nice, I am delighted with my purchase!</v>
      </c>
    </row>
    <row r="11040">
      <c r="A11040" s="1">
        <v>5.0</v>
      </c>
      <c r="B11040" s="1" t="s">
        <v>10855</v>
      </c>
      <c r="C11040" t="str">
        <f>IFERROR(__xludf.DUMMYFUNCTION("GOOGLETRANSLATE(B11040, ""fr"", ""en"")"),"Perfect Adheres well to surfaces")</f>
        <v>Perfect Adheres well to surfaces</v>
      </c>
    </row>
    <row r="11041">
      <c r="A11041" s="1">
        <v>5.0</v>
      </c>
      <c r="B11041" s="1" t="s">
        <v>508</v>
      </c>
      <c r="C11041" t="str">
        <f>IFERROR(__xludf.DUMMYFUNCTION("GOOGLETRANSLATE(B11041, ""fr"", ""en"")"),"Very well very well")</f>
        <v>Very well very well</v>
      </c>
    </row>
    <row r="11042">
      <c r="A11042" s="1">
        <v>5.0</v>
      </c>
      <c r="B11042" s="1" t="s">
        <v>10856</v>
      </c>
      <c r="C11042" t="str">
        <f>IFERROR(__xludf.DUMMYFUNCTION("GOOGLETRANSLATE(B11042, ""fr"", ""en"")"),"The price Very good value for money. Thank you")</f>
        <v>The price Very good value for money. Thank you</v>
      </c>
    </row>
    <row r="11043">
      <c r="A11043" s="1">
        <v>2.0</v>
      </c>
      <c r="B11043" s="1" t="s">
        <v>10857</v>
      </c>
      <c r="C11043" t="str">
        <f>IFERROR(__xludf.DUMMYFUNCTION("GOOGLETRANSLATE(B11043, ""fr"", ""en"")"),"poor split sole sole (heel) after a month of use only! The sole is the trunk ... Disappointing. The slippers hot stand if it is true.")</f>
        <v>poor split sole sole (heel) after a month of use only! The sole is the trunk ... Disappointing. The slippers hot stand if it is true.</v>
      </c>
    </row>
    <row r="11044">
      <c r="A11044" s="1">
        <v>1.0</v>
      </c>
      <c r="B11044" s="1" t="s">
        <v>10858</v>
      </c>
      <c r="C11044" t="str">
        <f>IFERROR(__xludf.DUMMYFUNCTION("GOOGLETRANSLATE(B11044, ""fr"", ""en"")"),"Disappointed The product takes water after a month of use that is not normal I'm very disappointed I expect an answer")</f>
        <v>Disappointed The product takes water after a month of use that is not normal I'm very disappointed I expect an answer</v>
      </c>
    </row>
    <row r="11045">
      <c r="A11045" s="1">
        <v>1.0</v>
      </c>
      <c r="B11045" s="1" t="s">
        <v>10859</v>
      </c>
      <c r="C11045" t="str">
        <f>IFERROR(__xludf.DUMMYFUNCTION("GOOGLETRANSLATE(B11045, ""fr"", ""en"")"),"Not the right size I have a small dog 6 kgs, I ordered size M. This looks like a garment for a small dog rickety! Warning to deliver the right size!")</f>
        <v>Not the right size I have a small dog 6 kgs, I ordered size M. This looks like a garment for a small dog rickety! Warning to deliver the right size!</v>
      </c>
    </row>
    <row r="11046">
      <c r="A11046" s="1">
        <v>3.0</v>
      </c>
      <c r="B11046" s="1" t="s">
        <v>10860</v>
      </c>
      <c r="C11046" t="str">
        <f>IFERROR(__xludf.DUMMYFUNCTION("GOOGLETRANSLATE(B11046, ""fr"", ""en"")"),"Good and bad Very good mic tie in very light rode it easily carries with sound quality much better than other damage models that I tried because I will not keep I vien to the process for the return because it works only with Apple products but it is possi"&amp;"ble to make it work with other products it faudrat therefore invest on its adapters would be much better if rode providing the complete kit. I hope my opinion you would have had useful")</f>
        <v>Good and bad Very good mic tie in very light rode it easily carries with sound quality much better than other damage models that I tried because I will not keep I vien to the process for the return because it works only with Apple products but it is possible to make it work with other products it faudrat therefore invest on its adapters would be much better if rode providing the complete kit. I hope my opinion you would have had useful</v>
      </c>
    </row>
    <row r="11047">
      <c r="A11047" s="1">
        <v>3.0</v>
      </c>
      <c r="B11047" s="1" t="s">
        <v>10861</v>
      </c>
      <c r="C11047" t="str">
        <f>IFERROR(__xludf.DUMMYFUNCTION("GOOGLETRANSLATE(B11047, ""fr"", ""en"")"),"The format J had to cut my gray card so it fits. Note, my gray card has over 14 years ... maybe the news is smaller and adapted to the format of etui.- to see- Otherwise the case is transparent, no default")</f>
        <v>The format J had to cut my gray card so it fits. Note, my gray card has over 14 years ... maybe the news is smaller and adapted to the format of etui.- to see- Otherwise the case is transparent, no default</v>
      </c>
    </row>
    <row r="11048">
      <c r="A11048" s="1">
        <v>4.0</v>
      </c>
      <c r="B11048" s="1" t="s">
        <v>10862</v>
      </c>
      <c r="C11048" t="str">
        <f>IFERROR(__xludf.DUMMYFUNCTION("GOOGLETRANSLATE(B11048, ""fr"", ""en"")"),"Well Received purchase quickly. Size 43 fits perfectly. Very comfortable.")</f>
        <v>Well Received purchase quickly. Size 43 fits perfectly. Very comfortable.</v>
      </c>
    </row>
    <row r="11049">
      <c r="A11049" s="1">
        <v>4.0</v>
      </c>
      <c r="B11049" s="1" t="s">
        <v>10863</v>
      </c>
      <c r="C11049" t="str">
        <f>IFERROR(__xludf.DUMMYFUNCTION("GOOGLETRANSLATE(B11049, ""fr"", ""en"")"),"a beautiful bag gift for a man who loves beautiful things. bag of very good quality. Magnetic flap, a very nice. very correct. I just love it.")</f>
        <v>a beautiful bag gift for a man who loves beautiful things. bag of very good quality. Magnetic flap, a very nice. very correct. I just love it.</v>
      </c>
    </row>
    <row r="11050">
      <c r="A11050" s="1">
        <v>4.0</v>
      </c>
      <c r="B11050" s="1" t="s">
        <v>10864</v>
      </c>
      <c r="C11050" t="str">
        <f>IFERROR(__xludf.DUMMYFUNCTION("GOOGLETRANSLATE(B11050, ""fr"", ""en"")"),"Powerful and durable Used to stick all kinds of things, powerful and durable nothing to say. Attention to the humidity of the room and the surface on which of course is adhesive. He can fix if you follow the specifications.")</f>
        <v>Powerful and durable Used to stick all kinds of things, powerful and durable nothing to say. Attention to the humidity of the room and the surface on which of course is adhesive. He can fix if you follow the specifications.</v>
      </c>
    </row>
    <row r="11051">
      <c r="A11051" s="1">
        <v>4.0</v>
      </c>
      <c r="B11051" s="1" t="s">
        <v>10865</v>
      </c>
      <c r="C11051" t="str">
        <f>IFERROR(__xludf.DUMMYFUNCTION("GOOGLETRANSLATE(B11051, ""fr"", ""en"")"),"Very glad glad these Converse! Ideal for spring &amp; amp; summer. But beware! They carve very large! I do a good 38, I took 38, they are a little big! I should have taken the 37, it would have enough!")</f>
        <v>Very glad glad these Converse! Ideal for spring &amp; amp; summer. But beware! They carve very large! I do a good 38, I took 38, they are a little big! I should have taken the 37, it would have enough!</v>
      </c>
    </row>
    <row r="11052">
      <c r="A11052" s="1">
        <v>5.0</v>
      </c>
      <c r="B11052" s="1" t="s">
        <v>10866</v>
      </c>
      <c r="C11052" t="str">
        <f>IFERROR(__xludf.DUMMYFUNCTION("GOOGLETRANSLATE(B11052, ""fr"", ""en"")"),"Ras Ras compliant compliant")</f>
        <v>Ras Ras compliant compliant</v>
      </c>
    </row>
    <row r="11053">
      <c r="A11053" s="1">
        <v>5.0</v>
      </c>
      <c r="B11053" s="1" t="s">
        <v>10867</v>
      </c>
      <c r="C11053" t="str">
        <f>IFERROR(__xludf.DUMMYFUNCTION("GOOGLETRANSLATE(B11053, ""fr"", ""en"")"),"Quick delivery product conforms I love this paper to Armenia rose. I use it to my inner, eliminate odors (cooking, etc.) I recommend and delivery is very fast. In the top !")</f>
        <v>Quick delivery product conforms I love this paper to Armenia rose. I use it to my inner, eliminate odors (cooking, etc.) I recommend and delivery is very fast. In the top !</v>
      </c>
    </row>
    <row r="11054">
      <c r="A11054" s="1">
        <v>5.0</v>
      </c>
      <c r="B11054" s="1" t="s">
        <v>10868</v>
      </c>
      <c r="C11054" t="str">
        <f>IFERROR(__xludf.DUMMYFUNCTION("GOOGLETRANSLATE(B11054, ""fr"", ""en"")"),"Wonder ! This blanket is a wonder for very cold winter evenings. It has 6 speeds and quickly heats. It is blanket inside and out!")</f>
        <v>Wonder ! This blanket is a wonder for very cold winter evenings. It has 6 speeds and quickly heats. It is blanket inside and out!</v>
      </c>
    </row>
    <row r="11055">
      <c r="A11055" s="1">
        <v>5.0</v>
      </c>
      <c r="B11055" s="1" t="s">
        <v>10869</v>
      </c>
      <c r="C11055" t="str">
        <f>IFERROR(__xludf.DUMMYFUNCTION("GOOGLETRANSLATE(B11055, ""fr"", ""en"")"),"product identical to the picture quality Good")</f>
        <v>product identical to the picture quality Good</v>
      </c>
    </row>
    <row r="11056">
      <c r="A11056" s="1">
        <v>5.0</v>
      </c>
      <c r="B11056" s="1" t="s">
        <v>10870</v>
      </c>
      <c r="C11056" t="str">
        <f>IFERROR(__xludf.DUMMYFUNCTION("GOOGLETRANSLATE(B11056, ""fr"", ""en"")"),"Satisfied Product in accordance with my expectations")</f>
        <v>Satisfied Product in accordance with my expectations</v>
      </c>
    </row>
    <row r="11057">
      <c r="A11057" s="1">
        <v>5.0</v>
      </c>
      <c r="B11057" s="1" t="s">
        <v>10871</v>
      </c>
      <c r="C11057" t="str">
        <f>IFERROR(__xludf.DUMMYFUNCTION("GOOGLETRANSLATE(B11057, ""fr"", ""en"")"),"For one gift, very good Bought to give to my husband, he was very happy because he wanted a large enough bag. Satisfied with the delivery time and packaging.")</f>
        <v>For one gift, very good Bought to give to my husband, he was very happy because he wanted a large enough bag. Satisfied with the delivery time and packaging.</v>
      </c>
    </row>
    <row r="11058">
      <c r="A11058" s="1">
        <v>5.0</v>
      </c>
      <c r="B11058" s="1" t="s">
        <v>10872</v>
      </c>
      <c r="C11058" t="str">
        <f>IFERROR(__xludf.DUMMYFUNCTION("GOOGLETRANSLATE(B11058, ""fr"", ""en"")"),"Advent Advent Teats ideal after or during breastfeeding. Shape resembling a nipple. J uses for the 3 months of my son who is now 11 months.")</f>
        <v>Advent Advent Teats ideal after or during breastfeeding. Shape resembling a nipple. J uses for the 3 months of my son who is now 11 months.</v>
      </c>
    </row>
    <row r="11059">
      <c r="A11059" s="1">
        <v>5.0</v>
      </c>
      <c r="B11059" s="1" t="s">
        <v>10873</v>
      </c>
      <c r="C11059" t="str">
        <f>IFERROR(__xludf.DUMMYFUNCTION("GOOGLETRANSLATE(B11059, ""fr"", ""en"")"),"Flawless Very nice, for yourself or a gift box Nice presentation: I just removed the plastic film that protects the inside in the box, to offer it I just receive it, in time to see")</f>
        <v>Flawless Very nice, for yourself or a gift box Nice presentation: I just removed the plastic film that protects the inside in the box, to offer it I just receive it, in time to see</v>
      </c>
    </row>
    <row r="11060">
      <c r="A11060" s="1">
        <v>5.0</v>
      </c>
      <c r="B11060" s="1" t="s">
        <v>10874</v>
      </c>
      <c r="C11060" t="str">
        <f>IFERROR(__xludf.DUMMYFUNCTION("GOOGLETRANSLATE(B11060, ""fr"", ""en"")"),"Very nice quality Simply beautiful")</f>
        <v>Very nice quality Simply beautiful</v>
      </c>
    </row>
    <row r="11061">
      <c r="A11061" s="1">
        <v>5.0</v>
      </c>
      <c r="B11061" s="1" t="s">
        <v>10875</v>
      </c>
      <c r="C11061" t="str">
        <f>IFERROR(__xludf.DUMMYFUNCTION("GOOGLETRANSLATE(B11061, ""fr"", ""en"")"),"Good product Good grip brushes. The brush part does not deform, which is a good point")</f>
        <v>Good product Good grip brushes. The brush part does not deform, which is a good point</v>
      </c>
    </row>
    <row r="11062">
      <c r="A11062" s="1">
        <v>5.0</v>
      </c>
      <c r="B11062" s="1" t="s">
        <v>10876</v>
      </c>
      <c r="C11062" t="str">
        <f>IFERROR(__xludf.DUMMYFUNCTION("GOOGLETRANSLATE(B11062, ""fr"", ""en"")"),"Ideal For a senior mom")</f>
        <v>Ideal For a senior mom</v>
      </c>
    </row>
    <row r="11063">
      <c r="A11063" s="1">
        <v>5.0</v>
      </c>
      <c r="B11063" s="1" t="s">
        <v>10877</v>
      </c>
      <c r="C11063" t="str">
        <f>IFERROR(__xludf.DUMMYFUNCTION("GOOGLETRANSLATE(B11063, ""fr"", ""en"")"),"Perfect for students Sometimes I even to prick them for my work ...")</f>
        <v>Perfect for students Sometimes I even to prick them for my work ...</v>
      </c>
    </row>
    <row r="11064">
      <c r="A11064" s="1">
        <v>5.0</v>
      </c>
      <c r="B11064" s="1" t="s">
        <v>10878</v>
      </c>
      <c r="C11064" t="str">
        <f>IFERROR(__xludf.DUMMYFUNCTION("GOOGLETRANSLATE(B11064, ""fr"", ""en"")"),"Very good brand, top quality. I just love it.")</f>
        <v>Very good brand, top quality. I just love it.</v>
      </c>
    </row>
    <row r="11065">
      <c r="A11065" s="1">
        <v>5.0</v>
      </c>
      <c r="B11065" s="1" t="s">
        <v>10879</v>
      </c>
      <c r="C11065" t="str">
        <f>IFERROR(__xludf.DUMMYFUNCTION("GOOGLETRANSLATE(B11065, ""fr"", ""en"")"),"His fluid Used on Samsung notebooks, the sound is impeccable. On iPhone, making the sound worse.")</f>
        <v>His fluid Used on Samsung notebooks, the sound is impeccable. On iPhone, making the sound worse.</v>
      </c>
    </row>
    <row r="11066">
      <c r="A11066" s="1">
        <v>5.0</v>
      </c>
      <c r="B11066" s="1" t="s">
        <v>10880</v>
      </c>
      <c r="C11066" t="str">
        <f>IFERROR(__xludf.DUMMYFUNCTION("GOOGLETRANSLATE(B11066, ""fr"", ""en"")"),"Bluetooth headphones black I am delighted with these headphones .I took them just to listen to music on my phone and watch movies on the tablet. Quick delivery. The sound quality and comfort are impeccable. Small storage box and load the cord.")</f>
        <v>Bluetooth headphones black I am delighted with these headphones .I took them just to listen to music on my phone and watch movies on the tablet. Quick delivery. The sound quality and comfort are impeccable. Small storage box and load the cord.</v>
      </c>
    </row>
    <row r="11067">
      <c r="A11067" s="1">
        <v>2.0</v>
      </c>
      <c r="B11067" s="1" t="s">
        <v>10881</v>
      </c>
      <c r="C11067" t="str">
        <f>IFERROR(__xludf.DUMMYFUNCTION("GOOGLETRANSLATE(B11067, ""fr"", ""en"")"),"I did not get the right item! I ordered a model and got another, worth less by chance ... It took it back! I was repaid against carefree.")</f>
        <v>I did not get the right item! I ordered a model and got another, worth less by chance ... It took it back! I was repaid against carefree.</v>
      </c>
    </row>
    <row r="11068">
      <c r="A11068" s="1">
        <v>1.0</v>
      </c>
      <c r="B11068" s="1" t="s">
        <v>10882</v>
      </c>
      <c r="C11068" t="str">
        <f>IFERROR(__xludf.DUMMYFUNCTION("GOOGLETRANSLATE(B11068, ""fr"", ""en"")"),"lack of explanation in sizes sizes are not clear and confusing it is for some French European u what buddy confusing I ordered a 90G and I end up with a 105G .a warning would be a plus it's a shame because I think the product is excelent")</f>
        <v>lack of explanation in sizes sizes are not clear and confusing it is for some French European u what buddy confusing I ordered a 90G and I end up with a 105G .a warning would be a plus it's a shame because I think the product is excelent</v>
      </c>
    </row>
    <row r="11069">
      <c r="A11069" s="1">
        <v>1.0</v>
      </c>
      <c r="B11069" s="1" t="s">
        <v>10883</v>
      </c>
      <c r="C11069" t="str">
        <f>IFERROR(__xludf.DUMMYFUNCTION("GOOGLETRANSLATE(B11069, ""fr"", ""en"")"),"My opinion very hard shoe in flexion not adapted to my work that consists of walking and ups and downs of construction machinery")</f>
        <v>My opinion very hard shoe in flexion not adapted to my work that consists of walking and ups and downs of construction machinery</v>
      </c>
    </row>
    <row r="11070">
      <c r="A11070" s="1">
        <v>3.0</v>
      </c>
      <c r="B11070" s="1" t="s">
        <v>10884</v>
      </c>
      <c r="C11070" t="str">
        <f>IFERROR(__xludf.DUMMYFUNCTION("GOOGLETRANSLATE(B11070, ""fr"", ""en"")"),"Good but!!!! very good like product delivery But he can area a fever it's been one month I it is still not break my he tends a deviser it may My if you pay attention it will never fall unless he breaks it two in my area ca be good materials for this award"&amp;" must not ask too much either")</f>
        <v>Good but!!!! very good like product delivery But he can area a fever it's been one month I it is still not break my he tends a deviser it may My if you pay attention it will never fall unless he breaks it two in my area ca be good materials for this award must not ask too much either</v>
      </c>
    </row>
    <row r="11071">
      <c r="A11071" s="1">
        <v>4.0</v>
      </c>
      <c r="B11071" s="1" t="s">
        <v>10885</v>
      </c>
      <c r="C11071" t="str">
        <f>IFERROR(__xludf.DUMMYFUNCTION("GOOGLETRANSLATE(B11071, ""fr"", ""en"")"),"Casio Vintage This watch is almost identical to the old model that I have for over 20 years. It is very flat, small (by today's standards). The time functions, date, stopwatch, alarm) are identical to those of the reference of the twentieth century, excep"&amp;"t that now rule the month. This avoids time adjustments the months of less than 31 days. In theory a time reset February 29 only. Convenient. The watch can be kept for swimming. We can blame a bracelet just a little size to large wrists and seems quite fr"&amp;"agile. The backlight is less efficient than the original model. A perfect watch for holidays, sports, swimming pool ...")</f>
        <v>Casio Vintage This watch is almost identical to the old model that I have for over 20 years. It is very flat, small (by today's standards). The time functions, date, stopwatch, alarm) are identical to those of the reference of the twentieth century, except that now rule the month. This avoids time adjustments the months of less than 31 days. In theory a time reset February 29 only. Convenient. The watch can be kept for swimming. We can blame a bracelet just a little size to large wrists and seems quite fragile. The backlight is less efficient than the original model. A perfect watch for holidays, sports, swimming pool ...</v>
      </c>
    </row>
    <row r="11072">
      <c r="A11072" s="1">
        <v>4.0</v>
      </c>
      <c r="B11072" s="1" t="s">
        <v>10886</v>
      </c>
      <c r="C11072" t="str">
        <f>IFERROR(__xludf.DUMMYFUNCTION("GOOGLETRANSLATE(B11072, ""fr"", ""en"")"),"Although verisimilitude with the image but smaller than what appears. Adaptable with any outfit, discreet, simple, class. I recommand it.")</f>
        <v>Although verisimilitude with the image but smaller than what appears. Adaptable with any outfit, discreet, simple, class. I recommand it.</v>
      </c>
    </row>
    <row r="11073">
      <c r="A11073" s="1">
        <v>4.0</v>
      </c>
      <c r="B11073" s="1" t="s">
        <v>10887</v>
      </c>
      <c r="C11073" t="str">
        <f>IFERROR(__xludf.DUMMYFUNCTION("GOOGLETRANSLATE(B11073, ""fr"", ""en"")"),"PACKAGES received RAS ..COLIS received ...")</f>
        <v>PACKAGES received RAS ..COLIS received ...</v>
      </c>
    </row>
    <row r="11074">
      <c r="A11074" s="1">
        <v>4.0</v>
      </c>
      <c r="B11074" s="1" t="s">
        <v>10888</v>
      </c>
      <c r="C11074" t="str">
        <f>IFERROR(__xludf.DUMMYFUNCTION("GOOGLETRANSLATE(B11074, ""fr"", ""en"")"),"Good 4.40bt Helmet Headset start listening to music qualitatively! Certainly it is not a helmet to 200 € with noise reduction that's crazy but it's great for the price! Wireless allows a considerable freedom! Top for a birthday, Christmas or otherwise. Ca"&amp;"n that please. I recommend. Use indoors or outdoors. Using wireless.")</f>
        <v>Good 4.40bt Helmet Headset start listening to music qualitatively! Certainly it is not a helmet to 200 € with noise reduction that's crazy but it's great for the price! Wireless allows a considerable freedom! Top for a birthday, Christmas or otherwise. Can that please. I recommend. Use indoors or outdoors. Using wireless.</v>
      </c>
    </row>
    <row r="11075">
      <c r="A11075" s="1">
        <v>5.0</v>
      </c>
      <c r="B11075" s="1" t="s">
        <v>10889</v>
      </c>
      <c r="C11075" t="str">
        <f>IFERROR(__xludf.DUMMYFUNCTION("GOOGLETRANSLATE(B11075, ""fr"", ""en"")"),"very good price and very good utility")</f>
        <v>very good price and very good utility</v>
      </c>
    </row>
    <row r="11076">
      <c r="A11076" s="1">
        <v>5.0</v>
      </c>
      <c r="B11076" s="1" t="s">
        <v>10890</v>
      </c>
      <c r="C11076" t="str">
        <f>IFERROR(__xludf.DUMMYFUNCTION("GOOGLETRANSLATE(B11076, ""fr"", ""en"")"),"fine felts are well suited for small hands of my son of 15 months. For now it's learning so it does not control well the outfit. The tip is round although no risk of injury. The most is that they are water washable, phew !!!")</f>
        <v>fine felts are well suited for small hands of my son of 15 months. For now it's learning so it does not control well the outfit. The tip is round although no risk of injury. The most is that they are water washable, phew !!!</v>
      </c>
    </row>
    <row r="11077">
      <c r="A11077" s="1">
        <v>5.0</v>
      </c>
      <c r="B11077" s="1" t="s">
        <v>10891</v>
      </c>
      <c r="C11077" t="str">
        <f>IFERROR(__xludf.DUMMYFUNCTION("GOOGLETRANSLATE(B11077, ""fr"", ""en"")"),"Very nice product is going to admit, for the price you will not find better, the host at a very nice look, easy to install I recommend")</f>
        <v>Very nice product is going to admit, for the price you will not find better, the host at a very nice look, easy to install I recommend</v>
      </c>
    </row>
    <row r="11078">
      <c r="A11078" s="1">
        <v>5.0</v>
      </c>
      <c r="B11078" s="1" t="s">
        <v>10892</v>
      </c>
      <c r="C11078" t="str">
        <f>IFERROR(__xludf.DUMMYFUNCTION("GOOGLETRANSLATE(B11078, ""fr"", ""en"")"),"Quality and price quality cartridges at an attractive price")</f>
        <v>Quality and price quality cartridges at an attractive price</v>
      </c>
    </row>
    <row r="11079">
      <c r="A11079" s="1">
        <v>5.0</v>
      </c>
      <c r="B11079" s="1" t="s">
        <v>10893</v>
      </c>
      <c r="C11079" t="str">
        <f>IFERROR(__xludf.DUMMYFUNCTION("GOOGLETRANSLATE(B11079, ""fr"", ""en"")"),"not easy to adjust at the top but still not easy easy to adjust this watch. It captures poorly clock home .... suddenly 30 minutes to get it on time. 5 more for the time in 24 hour format and yet min to succeed has paid on paris. Brief reading the manual "&amp;"is essential to us. otherwise has Otherwise it goes well I have been delivered in due time and it is a pleasure to always be in on the hour.")</f>
        <v>not easy to adjust at the top but still not easy easy to adjust this watch. It captures poorly clock home .... suddenly 30 minutes to get it on time. 5 more for the time in 24 hour format and yet min to succeed has paid on paris. Brief reading the manual is essential to us. otherwise has Otherwise it goes well I have been delivered in due time and it is a pleasure to always be in on the hour.</v>
      </c>
    </row>
    <row r="11080">
      <c r="A11080" s="1">
        <v>5.0</v>
      </c>
      <c r="B11080" s="1" t="s">
        <v>10894</v>
      </c>
      <c r="C11080" t="str">
        <f>IFERROR(__xludf.DUMMYFUNCTION("GOOGLETRANSLATE(B11080, ""fr"", ""en"")"),"Good product flush")</f>
        <v>Good product flush</v>
      </c>
    </row>
    <row r="11081">
      <c r="A11081" s="1">
        <v>5.0</v>
      </c>
      <c r="B11081" s="1" t="s">
        <v>10895</v>
      </c>
      <c r="C11081" t="str">
        <f>IFERROR(__xludf.DUMMYFUNCTION("GOOGLETRANSLATE(B11081, ""fr"", ""en"")"),"Comment on delivery commissioned shows 24 .... 29 delivered more than perfect! yet to discover the object (and adjust the strap) ... appears completely comply with the order and waiting.")</f>
        <v>Comment on delivery commissioned shows 24 .... 29 delivered more than perfect! yet to discover the object (and adjust the strap) ... appears completely comply with the order and waiting.</v>
      </c>
    </row>
    <row r="11082">
      <c r="A11082" s="1">
        <v>5.0</v>
      </c>
      <c r="B11082" s="1" t="s">
        <v>1288</v>
      </c>
      <c r="C11082" t="str">
        <f>IFERROR(__xludf.DUMMYFUNCTION("GOOGLETRANSLATE(B11082, ""fr"", ""en"")"),"perfect perfect")</f>
        <v>perfect perfect</v>
      </c>
    </row>
    <row r="11083">
      <c r="A11083" s="1">
        <v>5.0</v>
      </c>
      <c r="B11083" s="1" t="s">
        <v>10896</v>
      </c>
      <c r="C11083" t="str">
        <f>IFERROR(__xludf.DUMMYFUNCTION("GOOGLETRANSLATE(B11083, ""fr"", ""en"")"),"Adidas Basketball Article conforms to the description and promptly received the materials used are of good quality ... have original ... not too expensive and more.")</f>
        <v>Adidas Basketball Article conforms to the description and promptly received the materials used are of good quality ... have original ... not too expensive and more.</v>
      </c>
    </row>
    <row r="11084">
      <c r="A11084" s="1">
        <v>5.0</v>
      </c>
      <c r="B11084" s="1" t="s">
        <v>10897</v>
      </c>
      <c r="C11084" t="str">
        <f>IFERROR(__xludf.DUMMYFUNCTION("GOOGLETRANSLATE(B11084, ""fr"", ""en"")"),"At the top on top")</f>
        <v>At the top on top</v>
      </c>
    </row>
    <row r="11085">
      <c r="A11085" s="1">
        <v>5.0</v>
      </c>
      <c r="B11085" s="1" t="s">
        <v>10898</v>
      </c>
      <c r="C11085" t="str">
        <f>IFERROR(__xludf.DUMMYFUNCTION("GOOGLETRANSLATE(B11085, ""fr"", ""en"")"),"Nice I highly recommend this product, they are superb, they have solid air, a small effect: I love")</f>
        <v>Nice I highly recommend this product, they are superb, they have solid air, a small effect: I love</v>
      </c>
    </row>
    <row r="11086">
      <c r="A11086" s="1">
        <v>5.0</v>
      </c>
      <c r="B11086" s="1" t="s">
        <v>10899</v>
      </c>
      <c r="C11086" t="str">
        <f>IFERROR(__xludf.DUMMYFUNCTION("GOOGLETRANSLATE(B11086, ""fr"", ""en"")"),"a bit heavy, but high quality leather, umbrella: super! although a little heavy even when empty, it takes all the better on the arm when one puts the shoulder: it is a thick leather high quality! I recommend it!")</f>
        <v>a bit heavy, but high quality leather, umbrella: super! although a little heavy even when empty, it takes all the better on the arm when one puts the shoulder: it is a thick leather high quality! I recommend it!</v>
      </c>
    </row>
    <row r="11087">
      <c r="A11087" s="1">
        <v>5.0</v>
      </c>
      <c r="B11087" s="1" t="s">
        <v>10900</v>
      </c>
      <c r="C11087" t="str">
        <f>IFERROR(__xludf.DUMMYFUNCTION("GOOGLETRANSLATE(B11087, ""fr"", ""en"")"),"Suitable for cycling, ok with glasses Excellent headphones! It allows me to ride a bike with confidence. By cons, do not that the environment is too noisy. I wear glasses, the helmet comes over without any discomfort. The sound is average quality (lack of"&amp;" bass and midrange inaccurate), but it is not unpleasant.")</f>
        <v>Suitable for cycling, ok with glasses Excellent headphones! It allows me to ride a bike with confidence. By cons, do not that the environment is too noisy. I wear glasses, the helmet comes over without any discomfort. The sound is average quality (lack of bass and midrange inaccurate), but it is not unpleasant.</v>
      </c>
    </row>
    <row r="11088">
      <c r="A11088" s="1">
        <v>5.0</v>
      </c>
      <c r="B11088" s="1" t="s">
        <v>10901</v>
      </c>
      <c r="C11088" t="str">
        <f>IFERROR(__xludf.DUMMYFUNCTION("GOOGLETRANSLATE(B11088, ""fr"", ""en"")"),"sober, elegant and éfficace always on time and no battery replacement: happiness I really wanted to display the date ... I have more I used day after traveling abroad ... further: adjusting to local time zones is fairly easy, provided we remember the mani"&amp;"pulation ... for here I loaded the record in my mail ;-)")</f>
        <v>sober, elegant and éfficace always on time and no battery replacement: happiness I really wanted to display the date ... I have more I used day after traveling abroad ... further: adjusting to local time zones is fairly easy, provided we remember the manipulation ... for here I loaded the record in my mail ;-)</v>
      </c>
    </row>
    <row r="11089">
      <c r="A11089" s="1">
        <v>5.0</v>
      </c>
      <c r="B11089" s="1" t="s">
        <v>10902</v>
      </c>
      <c r="C11089" t="str">
        <f>IFERROR(__xludf.DUMMYFUNCTION("GOOGLETRANSLATE(B11089, ""fr"", ""en"")"),"paper armenie I recommend this cheap, which is much healthier than incense, and has a very good smell.")</f>
        <v>paper armenie I recommend this cheap, which is much healthier than incense, and has a very good smell.</v>
      </c>
    </row>
    <row r="11090">
      <c r="A11090" s="1">
        <v>5.0</v>
      </c>
      <c r="B11090" s="1" t="s">
        <v>10903</v>
      </c>
      <c r="C11090" t="str">
        <f>IFERROR(__xludf.DUMMYFUNCTION("GOOGLETRANSLATE(B11090, ""fr"", ""en"")"),"Wrist Great for Bebe can hold his bottle alone. Parcontre pity that we can not choose rather not color for a boy because i received pink")</f>
        <v>Wrist Great for Bebe can hold his bottle alone. Parcontre pity that we can not choose rather not color for a boy because i received pink</v>
      </c>
    </row>
    <row r="11091">
      <c r="A11091" s="1">
        <v>2.0</v>
      </c>
      <c r="B11091" s="1" t="s">
        <v>10904</v>
      </c>
      <c r="C11091" t="str">
        <f>IFERROR(__xludf.DUMMYFUNCTION("GOOGLETRANSLATE(B11091, ""fr"", ""en"")"),"Unfortunately the watch received not the same as the order shows I am very disappointed Gift")</f>
        <v>Unfortunately the watch received not the same as the order shows I am very disappointed Gift</v>
      </c>
    </row>
    <row r="11092">
      <c r="A11092" s="1">
        <v>1.0</v>
      </c>
      <c r="B11092" s="1" t="s">
        <v>10905</v>
      </c>
      <c r="C11092" t="str">
        <f>IFERROR(__xludf.DUMMYFUNCTION("GOOGLETRANSLATE(B11092, ""fr"", ""en"")"),"Poor Quality execrable.")</f>
        <v>Poor Quality execrable.</v>
      </c>
    </row>
    <row r="11093">
      <c r="A11093" s="1">
        <v>3.0</v>
      </c>
      <c r="B11093" s="1" t="s">
        <v>10906</v>
      </c>
      <c r="C11093" t="str">
        <f>IFERROR(__xludf.DUMMYFUNCTION("GOOGLETRANSLATE(B11093, ""fr"", ""en"")"),"A half empty It lasts not long. I regret to be addicted to these pens, they are good but it is not profitable. Charging is half empty.")</f>
        <v>A half empty It lasts not long. I regret to be addicted to these pens, they are good but it is not profitable. Charging is half empty.</v>
      </c>
    </row>
    <row r="11094">
      <c r="A11094" s="1">
        <v>3.0</v>
      </c>
      <c r="B11094" s="1" t="s">
        <v>10907</v>
      </c>
      <c r="C11094" t="str">
        <f>IFERROR(__xludf.DUMMYFUNCTION("GOOGLETRANSLATE(B11094, ""fr"", ""en"")"),"No leaflet in French Complies, but instructions in German, European legislation requires instruction in the language of the country where the item is sold, it is absolutely abnormal")</f>
        <v>No leaflet in French Complies, but instructions in German, European legislation requires instruction in the language of the country where the item is sold, it is absolutely abnormal</v>
      </c>
    </row>
    <row r="11095">
      <c r="A11095" s="1">
        <v>4.0</v>
      </c>
      <c r="B11095" s="1" t="s">
        <v>10908</v>
      </c>
      <c r="C11095" t="str">
        <f>IFERROR(__xludf.DUMMYFUNCTION("GOOGLETRANSLATE(B11095, ""fr"", ""en"")"),"fun and good fun and good discovery discovery for children")</f>
        <v>fun and good fun and good discovery discovery for children</v>
      </c>
    </row>
    <row r="11096">
      <c r="A11096" s="1">
        <v>4.0</v>
      </c>
      <c r="B11096" s="1" t="s">
        <v>10909</v>
      </c>
      <c r="C11096" t="str">
        <f>IFERROR(__xludf.DUMMYFUNCTION("GOOGLETRANSLATE(B11096, ""fr"", ""en"")"),"Works with my TS8151 I am satisfied for now these cartridges that have been recognized by my printer TS8151. Nothing to print side on standard paper. Too early to judge the longevity against.")</f>
        <v>Works with my TS8151 I am satisfied for now these cartridges that have been recognized by my printer TS8151. Nothing to print side on standard paper. Too early to judge the longevity against.</v>
      </c>
    </row>
    <row r="11097">
      <c r="A11097" s="1">
        <v>4.0</v>
      </c>
      <c r="B11097" s="1" t="s">
        <v>10910</v>
      </c>
      <c r="C11097" t="str">
        <f>IFERROR(__xludf.DUMMYFUNCTION("GOOGLETRANSLATE(B11097, ""fr"", ""en"")"),"Perfect for urban! Good value for money ! A very nice spectrum, highly valued around 5000 and 8000Hz which facilitates the understanding of acute harmonics, cared for medium / mellow that must be also a little valued. The bass are not excessive which is v"&amp;"ery nice, and if you want more sub-bass to one side more ""cocooning"", we can turn the noise reduction that will make this clearer bottom of the spectrum. Precisely noise reduction ... So it works but it should not expect the performance can be seen at B"&amp;"oss or Sehnneiser. It will mainly cut lower frequencies 200Hz (severe snoring bus motor car). But the option remains pleasant. Otherwise the options markets very well, no worries use particularly noteworthy. A helmet for those who want to listen to a well"&amp;"-defined music in relief and clear in the bass and treble (without excess, just upgraded).")</f>
        <v>Perfect for urban! Good value for money ! A very nice spectrum, highly valued around 5000 and 8000Hz which facilitates the understanding of acute harmonics, cared for medium / mellow that must be also a little valued. The bass are not excessive which is very nice, and if you want more sub-bass to one side more "cocooning", we can turn the noise reduction that will make this clearer bottom of the spectrum. Precisely noise reduction ... So it works but it should not expect the performance can be seen at Boss or Sehnneiser. It will mainly cut lower frequencies 200Hz (severe snoring bus motor car). But the option remains pleasant. Otherwise the options markets very well, no worries use particularly noteworthy. A helmet for those who want to listen to a well-defined music in relief and clear in the bass and treble (without excess, just upgraded).</v>
      </c>
    </row>
    <row r="11098">
      <c r="A11098" s="1">
        <v>4.0</v>
      </c>
      <c r="B11098" s="1" t="s">
        <v>10911</v>
      </c>
      <c r="C11098" t="str">
        <f>IFERROR(__xludf.DUMMYFUNCTION("GOOGLETRANSLATE(B11098, ""fr"", ""en"")"),"Quality Cartridges No problem for installing cartridges in the printer, they are recognized immediately. The ink quantitité is consistent and the price is unbeatable. Follow it on time ...")</f>
        <v>Quality Cartridges No problem for installing cartridges in the printer, they are recognized immediately. The ink quantitité is consistent and the price is unbeatable. Follow it on time ...</v>
      </c>
    </row>
    <row r="11099">
      <c r="A11099" s="1">
        <v>4.0</v>
      </c>
      <c r="B11099" s="1" t="s">
        <v>10912</v>
      </c>
      <c r="C11099" t="str">
        <f>IFERROR(__xludf.DUMMYFUNCTION("GOOGLETRANSLATE(B11099, ""fr"", ""en"")"),"As expected Uu little tight, but holds up well to foot without hurting even new! Elegant. long delivery wait. Expensive ... but seems like a good price / quality ratio.")</f>
        <v>As expected Uu little tight, but holds up well to foot without hurting even new! Elegant. long delivery wait. Expensive ... but seems like a good price / quality ratio.</v>
      </c>
    </row>
    <row r="11100">
      <c r="A11100" s="1">
        <v>5.0</v>
      </c>
      <c r="B11100" s="1" t="s">
        <v>10913</v>
      </c>
      <c r="C11100" t="str">
        <f>IFERROR(__xludf.DUMMYFUNCTION("GOOGLETRANSLATE(B11100, ""fr"", ""en"")"),"Ritual cool morning I included the roll in my morning routine. A quick gesture freshness. With the movements and the fresh skin is improved and ready for skincare and makeup. I put the roll in the fridge for extra charge. Could make a nice gift. I have no"&amp;"t used one stone, to see! Very good price. Easy to use and explanation of movements is clear. I recommend")</f>
        <v>Ritual cool morning I included the roll in my morning routine. A quick gesture freshness. With the movements and the fresh skin is improved and ready for skincare and makeup. I put the roll in the fridge for extra charge. Could make a nice gift. I have not used one stone, to see! Very good price. Easy to use and explanation of movements is clear. I recommend</v>
      </c>
    </row>
    <row r="11101">
      <c r="A11101" s="1">
        <v>5.0</v>
      </c>
      <c r="B11101" s="1" t="s">
        <v>10914</v>
      </c>
      <c r="C11101" t="str">
        <f>IFERROR(__xludf.DUMMYFUNCTION("GOOGLETRANSLATE(B11101, ""fr"", ""en"")"),"MAM Baby Bottle Purchase line with my expectations, just the colors that I thought as receiving the photo, they are white instead of green. I expect to use them when my little man will be there. I am fascinated by these bottles because I can completely th"&amp;"e ""dismantling"" in order to do a complete wash. In addition, they are anti-colic.")</f>
        <v>MAM Baby Bottle Purchase line with my expectations, just the colors that I thought as receiving the photo, they are white instead of green. I expect to use them when my little man will be there. I am fascinated by these bottles because I can completely the "dismantling" in order to do a complete wash. In addition, they are anti-colic.</v>
      </c>
    </row>
    <row r="11102">
      <c r="A11102" s="1">
        <v>5.0</v>
      </c>
      <c r="B11102" s="1" t="s">
        <v>10915</v>
      </c>
      <c r="C11102" t="str">
        <f>IFERROR(__xludf.DUMMYFUNCTION("GOOGLETRANSLATE(B11102, ""fr"", ""en"")"),"Levi's basketball Turlock Good comfortable.")</f>
        <v>Levi's basketball Turlock Good comfortable.</v>
      </c>
    </row>
    <row r="11103">
      <c r="A11103" s="1">
        <v>5.0</v>
      </c>
      <c r="B11103" s="1" t="s">
        <v>10916</v>
      </c>
      <c r="C11103" t="str">
        <f>IFERROR(__xludf.DUMMYFUNCTION("GOOGLETRANSLATE(B11103, ""fr"", ""en"")"),"well in line with expectations after a year the sweatshirt has not moved one iota colors and quality are nickel go there with confidence")</f>
        <v>well in line with expectations after a year the sweatshirt has not moved one iota colors and quality are nickel go there with confidence</v>
      </c>
    </row>
    <row r="11104">
      <c r="A11104" s="1">
        <v>5.0</v>
      </c>
      <c r="B11104" s="1" t="s">
        <v>10917</v>
      </c>
      <c r="C11104" t="str">
        <f>IFERROR(__xludf.DUMMYFUNCTION("GOOGLETRANSLATE(B11104, ""fr"", ""en"")"),"PRODUCT HIGH QUALITY These socks are really high quality products. Very comfortable, well designed and solid. Impeccable for hiking but also in the life of every day, as soon as one has to walk at ease ... I ordered some for my wife and I keep the address"&amp;" carefully. I recommend !")</f>
        <v>PRODUCT HIGH QUALITY These socks are really high quality products. Very comfortable, well designed and solid. Impeccable for hiking but also in the life of every day, as soon as one has to walk at ease ... I ordered some for my wife and I keep the address carefully. I recommend !</v>
      </c>
    </row>
    <row r="11105">
      <c r="A11105" s="1">
        <v>5.0</v>
      </c>
      <c r="B11105" s="1" t="s">
        <v>10918</v>
      </c>
      <c r="C11105" t="str">
        <f>IFERROR(__xludf.DUMMYFUNCTION("GOOGLETRANSLATE(B11105, ""fr"", ""en"")"),"A good jewelry Hello Jai received this little gem in a box that is just gorgeous and it can be said of the jewelry itself with a small micro fiber I just hope he will remain beautiful over time.")</f>
        <v>A good jewelry Hello Jai received this little gem in a box that is just gorgeous and it can be said of the jewelry itself with a small micro fiber I just hope he will remain beautiful over time.</v>
      </c>
    </row>
    <row r="11106">
      <c r="A11106" s="1">
        <v>5.0</v>
      </c>
      <c r="B11106" s="1" t="s">
        <v>10919</v>
      </c>
      <c r="C11106" t="str">
        <f>IFERROR(__xludf.DUMMYFUNCTION("GOOGLETRANSLATE(B11106, ""fr"", ""en"")"),"As expected As expected")</f>
        <v>As expected As expected</v>
      </c>
    </row>
    <row r="11107">
      <c r="A11107" s="1">
        <v>5.0</v>
      </c>
      <c r="B11107" s="1" t="s">
        <v>10920</v>
      </c>
      <c r="C11107" t="str">
        <f>IFERROR(__xludf.DUMMYFUNCTION("GOOGLETRANSLATE(B11107, ""fr"", ""en"")"),"Gift original Beautiful gem!")</f>
        <v>Gift original Beautiful gem!</v>
      </c>
    </row>
    <row r="11108">
      <c r="A11108" s="1">
        <v>5.0</v>
      </c>
      <c r="B11108" s="1" t="s">
        <v>10921</v>
      </c>
      <c r="C11108" t="str">
        <f>IFERROR(__xludf.DUMMYFUNCTION("GOOGLETRANSLATE(B11108, ""fr"", ""en"")"),"I Super Quality Board price price for a Super Stock")</f>
        <v>I Super Quality Board price price for a Super Stock</v>
      </c>
    </row>
    <row r="11109">
      <c r="A11109" s="1">
        <v>5.0</v>
      </c>
      <c r="B11109" s="1" t="s">
        <v>10922</v>
      </c>
      <c r="C11109" t="str">
        <f>IFERROR(__xludf.DUMMYFUNCTION("GOOGLETRANSLATE(B11109, ""fr"", ""en"")"),"The famous Toto Lovely cartoon for children who begin to appreciate reading. I confess that I myself loved")</f>
        <v>The famous Toto Lovely cartoon for children who begin to appreciate reading. I confess that I myself loved</v>
      </c>
    </row>
    <row r="11110">
      <c r="A11110" s="1">
        <v>5.0</v>
      </c>
      <c r="B11110" s="1" t="s">
        <v>10923</v>
      </c>
      <c r="C11110" t="str">
        <f>IFERROR(__xludf.DUMMYFUNCTION("GOOGLETRANSLATE(B11110, ""fr"", ""en"")"),"Excellent product used for cleaning bottles daily, very durable, easy to use, cleans the teat works, all for a reasonable price, I recommend!")</f>
        <v>Excellent product used for cleaning bottles daily, very durable, easy to use, cleans the teat works, all for a reasonable price, I recommend!</v>
      </c>
    </row>
    <row r="11111">
      <c r="A11111" s="1">
        <v>5.0</v>
      </c>
      <c r="B11111" s="1" t="s">
        <v>10924</v>
      </c>
      <c r="C11111" t="str">
        <f>IFERROR(__xludf.DUMMYFUNCTION("GOOGLETRANSLATE(B11111, ""fr"", ""en"")"),"Nothing for the moment Very nice shows")</f>
        <v>Nothing for the moment Very nice shows</v>
      </c>
    </row>
    <row r="11112">
      <c r="A11112" s="1">
        <v>5.0</v>
      </c>
      <c r="B11112" s="1" t="s">
        <v>10925</v>
      </c>
      <c r="C11112" t="str">
        <f>IFERROR(__xludf.DUMMYFUNCTION("GOOGLETRANSLATE(B11112, ""fr"", ""en"")"),"Color exactly the same as picture size and perfectly Super beautiful, the color is exactly the same as the photo. Take your usual size because they carve perfectly.")</f>
        <v>Color exactly the same as picture size and perfectly Super beautiful, the color is exactly the same as the photo. Take your usual size because they carve perfectly.</v>
      </c>
    </row>
    <row r="11113">
      <c r="A11113" s="1">
        <v>5.0</v>
      </c>
      <c r="B11113" s="1" t="s">
        <v>10926</v>
      </c>
      <c r="C11113" t="str">
        <f>IFERROR(__xludf.DUMMYFUNCTION("GOOGLETRANSLATE(B11113, ""fr"", ""en"")"),"Seiko Automatic very nice watch. The holding time is very good. The reserve is a fair bit but improves after a few months of operation. Time for a little break. Very good product.")</f>
        <v>Seiko Automatic very nice watch. The holding time is very good. The reserve is a fair bit but improves after a few months of operation. Time for a little break. Very good product.</v>
      </c>
    </row>
    <row r="11114">
      <c r="A11114" s="1">
        <v>5.0</v>
      </c>
      <c r="B11114" s="1" t="s">
        <v>10927</v>
      </c>
      <c r="C11114" t="str">
        <f>IFERROR(__xludf.DUMMYFUNCTION("GOOGLETRANSLATE(B11114, ""fr"", ""en"")"),"OCB CLASSIC These 10 books CBOs that can be found in tobacco but much cheaper on Amazon, perfect packaging defects. You can buy eyes closed.")</f>
        <v>OCB CLASSIC These 10 books CBOs that can be found in tobacco but much cheaper on Amazon, perfect packaging defects. You can buy eyes closed.</v>
      </c>
    </row>
    <row r="11115">
      <c r="A11115" s="1">
        <v>2.0</v>
      </c>
      <c r="B11115" s="1" t="s">
        <v>10928</v>
      </c>
      <c r="C11115" t="str">
        <f>IFERROR(__xludf.DUMMYFUNCTION("GOOGLETRANSLATE(B11115, ""fr"", ""en"")"),"Wireless Microphone Tie VHF Lavalier Microphone The concept of this article was exactly my need .. So I ordered and received in time. The problem occurred during the installation of batteries. If recpteur has a battery compartment perfectly adapted to fit"&amp;" AAA batteries provided by against the issuer has a too large battery compartment, not in accordance with the correct installation of 2 AAA batteries that must receive all it is the element carried by the speaker, and that every move the batteries may mov"&amp;"e, cutting the unit off. This is why I returned, disappointed, this article functionally suited me .. One can however wonder why the design of the battery compartment has been botched. Unless AAA batteries used in the country of manufacture (probably Chin"&amp;"a) is larger than those currently in France.")</f>
        <v>Wireless Microphone Tie VHF Lavalier Microphone The concept of this article was exactly my need .. So I ordered and received in time. The problem occurred during the installation of batteries. If recpteur has a battery compartment perfectly adapted to fit AAA batteries provided by against the issuer has a too large battery compartment, not in accordance with the correct installation of 2 AAA batteries that must receive all it is the element carried by the speaker, and that every move the batteries may move, cutting the unit off. This is why I returned, disappointed, this article functionally suited me .. One can however wonder why the design of the battery compartment has been botched. Unless AAA batteries used in the country of manufacture (probably China) is larger than those currently in France.</v>
      </c>
    </row>
    <row r="11116">
      <c r="A11116" s="1">
        <v>1.0</v>
      </c>
      <c r="B11116" s="1" t="s">
        <v>10929</v>
      </c>
      <c r="C11116" t="str">
        <f>IFERROR(__xludf.DUMMYFUNCTION("GOOGLETRANSLATE(B11116, ""fr"", ""en"")"),"Aggressive No clever the tissue resulat")</f>
        <v>Aggressive No clever the tissue resulat</v>
      </c>
    </row>
    <row r="11117">
      <c r="A11117" s="1">
        <v>1.0</v>
      </c>
      <c r="B11117" s="1" t="s">
        <v>10930</v>
      </c>
      <c r="C11117" t="str">
        <f>IFERROR(__xludf.DUMMYFUNCTION("GOOGLETRANSLATE(B11117, ""fr"", ""en"")"),"poor quality Both shoes have holes in kick at the end of a month of use ... I do not advise ..")</f>
        <v>poor quality Both shoes have holes in kick at the end of a month of use ... I do not advise ..</v>
      </c>
    </row>
    <row r="11118">
      <c r="A11118" s="1">
        <v>3.0</v>
      </c>
      <c r="B11118" s="1" t="s">
        <v>10931</v>
      </c>
      <c r="C11118" t="str">
        <f>IFERROR(__xludf.DUMMYFUNCTION("GOOGLETRANSLATE(B11118, ""fr"", ""en"")"),"Its sweetness me rest")</f>
        <v>Its sweetness me rest</v>
      </c>
    </row>
    <row r="11119">
      <c r="A11119" s="1">
        <v>3.0</v>
      </c>
      <c r="B11119" s="1" t="s">
        <v>10932</v>
      </c>
      <c r="C11119" t="str">
        <f>IFERROR(__xludf.DUMMYFUNCTION("GOOGLETRANSLATE(B11119, ""fr"", ""en"")"),"Rather satisfied I bought this mug for my daughter but she can not drink, I think it comes from my daughter because the daughter of a friend is drinking very well with. However when we washed the ring with the handles surrounding the cup came off and we n"&amp;"ever managed to remboiter.")</f>
        <v>Rather satisfied I bought this mug for my daughter but she can not drink, I think it comes from my daughter because the daughter of a friend is drinking very well with. However when we washed the ring with the handles surrounding the cup came off and we never managed to remboiter.</v>
      </c>
    </row>
    <row r="11120">
      <c r="A11120" s="1">
        <v>4.0</v>
      </c>
      <c r="B11120" s="1" t="s">
        <v>10933</v>
      </c>
      <c r="C11120" t="str">
        <f>IFERROR(__xludf.DUMMYFUNCTION("GOOGLETRANSLATE(B11120, ""fr"", ""en"")"),"Watch good quality vintage cheap watch is nice, I have received the chosen color, I imagined all the same a little more impressive (on the photo the other shows is also already rather thin) I ' I remove a point because the ""light"" is really sucks, ca en"&amp;"lightened enough not only share and lighting on one side, it makes no homogeneous unfortunately.")</f>
        <v>Watch good quality vintage cheap watch is nice, I have received the chosen color, I imagined all the same a little more impressive (on the photo the other shows is also already rather thin) I ' I remove a point because the "light" is really sucks, ca enlightened enough not only share and lighting on one side, it makes no homogeneous unfortunately.</v>
      </c>
    </row>
    <row r="11121">
      <c r="A11121" s="1">
        <v>4.0</v>
      </c>
      <c r="B11121" s="1" t="s">
        <v>10934</v>
      </c>
      <c r="C11121" t="str">
        <f>IFERROR(__xludf.DUMMYFUNCTION("GOOGLETRANSLATE(B11121, ""fr"", ""en"")"),"Hello looks solid, well packed, shoes according to the photo, consistent size. Seems stiff and strong, not setting (Sole reinforcement outside, reinforcing toe, heel reinforcement).")</f>
        <v>Hello looks solid, well packed, shoes according to the photo, consistent size. Seems stiff and strong, not setting (Sole reinforcement outside, reinforcing toe, heel reinforcement).</v>
      </c>
    </row>
    <row r="11122">
      <c r="A11122" s="1">
        <v>4.0</v>
      </c>
      <c r="B11122" s="1" t="s">
        <v>10935</v>
      </c>
      <c r="C11122" t="str">
        <f>IFERROR(__xludf.DUMMYFUNCTION("GOOGLETRANSLATE(B11122, ""fr"", ""en"")"),"ideal for daily use for 1 teenager 1 teenager")</f>
        <v>ideal for daily use for 1 teenager 1 teenager</v>
      </c>
    </row>
    <row r="11123">
      <c r="A11123" s="1">
        <v>4.0</v>
      </c>
      <c r="B11123" s="1" t="s">
        <v>10936</v>
      </c>
      <c r="C11123" t="str">
        <f>IFERROR(__xludf.DUMMYFUNCTION("GOOGLETRANSLATE(B11123, ""fr"", ""en"")"),"MEDIUM SIZE TOO SMALL")</f>
        <v>MEDIUM SIZE TOO SMALL</v>
      </c>
    </row>
    <row r="11124">
      <c r="A11124" s="1">
        <v>5.0</v>
      </c>
      <c r="B11124" s="1" t="s">
        <v>10937</v>
      </c>
      <c r="C11124" t="str">
        <f>IFERROR(__xludf.DUMMYFUNCTION("GOOGLETRANSLATE(B11124, ""fr"", ""en"")"),"It's really just great quality. Buy directly that the is not another because small price that will quickly broken. Does it make noise that the top is very costaut! No noise ! Do not hesitate!")</f>
        <v>It's really just great quality. Buy directly that the is not another because small price that will quickly broken. Does it make noise that the top is very costaut! No noise ! Do not hesitate!</v>
      </c>
    </row>
    <row r="11125">
      <c r="A11125" s="1">
        <v>5.0</v>
      </c>
      <c r="B11125" s="1" t="s">
        <v>10938</v>
      </c>
      <c r="C11125" t="str">
        <f>IFERROR(__xludf.DUMMYFUNCTION("GOOGLETRANSLATE(B11125, ""fr"", ""en"")"),"The quality Good quality and sending treats")</f>
        <v>The quality Good quality and sending treats</v>
      </c>
    </row>
    <row r="11126">
      <c r="A11126" s="1">
        <v>5.0</v>
      </c>
      <c r="B11126" s="1" t="s">
        <v>10939</v>
      </c>
      <c r="C11126" t="str">
        <f>IFERROR(__xludf.DUMMYFUNCTION("GOOGLETRANSLATE(B11126, ""fr"", ""en"")"),"Comfortable Super bra very wearable support well I took size M I make a 85bfrancais")</f>
        <v>Comfortable Super bra very wearable support well I took size M I make a 85bfrancais</v>
      </c>
    </row>
    <row r="11127">
      <c r="A11127" s="1">
        <v>5.0</v>
      </c>
      <c r="B11127" s="1" t="s">
        <v>10940</v>
      </c>
      <c r="C11127" t="str">
        <f>IFERROR(__xludf.DUMMYFUNCTION("GOOGLETRANSLATE(B11127, ""fr"", ""en"")"),"Beautiful and comfortable These shoes are really beautiful and very comfortable. It is light to carry and fit running or walking for example. They are breathable through the vents on the top of the shoe")</f>
        <v>Beautiful and comfortable These shoes are really beautiful and very comfortable. It is light to carry and fit running or walking for example. They are breathable through the vents on the top of the shoe</v>
      </c>
    </row>
    <row r="11128">
      <c r="A11128" s="1">
        <v>5.0</v>
      </c>
      <c r="B11128" s="1" t="s">
        <v>10941</v>
      </c>
      <c r="C11128" t="str">
        <f>IFERROR(__xludf.DUMMYFUNCTION("GOOGLETRANSLATE(B11128, ""fr"", ""en"")"),"chest or back bag small bag very well finished which can be worn front or back as well as left-handed, the strap goes right or gauche.porté chest opening for headphones, full of inner pocket to attach the keys, put a small bottle etc. chest Bag nice quali"&amp;"ty, well finished and daily practice or travel. I recommend this bag.")</f>
        <v>chest or back bag small bag very well finished which can be worn front or back as well as left-handed, the strap goes right or gauche.porté chest opening for headphones, full of inner pocket to attach the keys, put a small bottle etc. chest Bag nice quality, well finished and daily practice or travel. I recommend this bag.</v>
      </c>
    </row>
    <row r="11129">
      <c r="A11129" s="1">
        <v>5.0</v>
      </c>
      <c r="B11129" s="1" t="s">
        <v>10942</v>
      </c>
      <c r="C11129" t="str">
        <f>IFERROR(__xludf.DUMMYFUNCTION("GOOGLETRANSLATE(B11129, ""fr"", ""en"")"),"functional and easy to clean kettle Very pleased with this kettle. One unknown: how long will it you?")</f>
        <v>functional and easy to clean kettle Very pleased with this kettle. One unknown: how long will it you?</v>
      </c>
    </row>
    <row r="11130">
      <c r="A11130" s="1">
        <v>5.0</v>
      </c>
      <c r="B11130" s="1" t="s">
        <v>10943</v>
      </c>
      <c r="C11130" t="str">
        <f>IFERROR(__xludf.DUMMYFUNCTION("GOOGLETRANSLATE(B11130, ""fr"", ""en"")"),"The ink package price is interesting. By cons, it is unfortunate is that Canon does not offer recycling solution. It seems that Epson (or ... Lexmark memory hole) included an envelope with new cartridges that you can send by post your old cartridges for f"&amp;"ree.")</f>
        <v>The ink package price is interesting. By cons, it is unfortunate is that Canon does not offer recycling solution. It seems that Epson (or ... Lexmark memory hole) included an envelope with new cartridges that you can send by post your old cartridges for free.</v>
      </c>
    </row>
    <row r="11131">
      <c r="A11131" s="1">
        <v>5.0</v>
      </c>
      <c r="B11131" s="1" t="s">
        <v>10944</v>
      </c>
      <c r="C11131" t="str">
        <f>IFERROR(__xludf.DUMMYFUNCTION("GOOGLETRANSLATE(B11131, ""fr"", ""en"")"),"Recommends Great product I recommend")</f>
        <v>Recommends Great product I recommend</v>
      </c>
    </row>
    <row r="11132">
      <c r="A11132" s="1">
        <v>5.0</v>
      </c>
      <c r="B11132" s="1" t="s">
        <v>10945</v>
      </c>
      <c r="C11132" t="str">
        <f>IFERROR(__xludf.DUMMYFUNCTION("GOOGLETRANSLATE(B11132, ""fr"", ""en"")"),"Very effective ! One of my white T-shirt was stained with red wine stains ... literally impossible to leave, despite several washes (machine, hand) fierce. I bought this soap stain so I conducted a hand washing (hot water) and there miracle ... Those pesk"&amp;"y wine stains have finally gone!")</f>
        <v>Very effective ! One of my white T-shirt was stained with red wine stains ... literally impossible to leave, despite several washes (machine, hand) fierce. I bought this soap stain so I conducted a hand washing (hot water) and there miracle ... Those pesky wine stains have finally gone!</v>
      </c>
    </row>
    <row r="11133">
      <c r="A11133" s="1">
        <v>5.0</v>
      </c>
      <c r="B11133" s="1" t="s">
        <v>10946</v>
      </c>
      <c r="C11133" t="str">
        <f>IFERROR(__xludf.DUMMYFUNCTION("GOOGLETRANSLATE(B11133, ""fr"", ""en"")"),"practice kettle 0.8 liters Point needs a kettle 2-liter or 2.5-liter that will take up space on your worktop, it is very countenance of 0.8 liters! You can take him with you on vacation! she not take up too much space. On the other hand it is a low price."&amp;" Brushed stainless steel bright, it has a beautiful design. Grades are: +++ positives -the removable anti-limescale filter and washable underwater ... super item positive -Light water -level visible -contenance 0.8 l sufficient -the studied shape of the s"&amp;"pout -The compact form all -the blue lED signage +++ negatives -ergonomie handle reviewing risk years of burning by taking the handle as too close to the hot container Convenient and beautiful design is to a nice effect on the work surface without taking "&amp;"up too much space. Great for breakfast in the morning, teas and herbal teas. Five stars.")</f>
        <v>practice kettle 0.8 liters Point needs a kettle 2-liter or 2.5-liter that will take up space on your worktop, it is very countenance of 0.8 liters! You can take him with you on vacation! she not take up too much space. On the other hand it is a low price. Brushed stainless steel bright, it has a beautiful design. Grades are: +++ positives -the removable anti-limescale filter and washable underwater ... super item positive -Light water -level visible -contenance 0.8 l sufficient -the studied shape of the spout -The compact form all -the blue lED signage +++ negatives -ergonomie handle reviewing risk years of burning by taking the handle as too close to the hot container Convenient and beautiful design is to a nice effect on the work surface without taking up too much space. Great for breakfast in the morning, teas and herbal teas. Five stars.</v>
      </c>
    </row>
    <row r="11134">
      <c r="A11134" s="1">
        <v>5.0</v>
      </c>
      <c r="B11134" s="1" t="s">
        <v>10947</v>
      </c>
      <c r="C11134" t="str">
        <f>IFERROR(__xludf.DUMMYFUNCTION("GOOGLETRANSLATE(B11134, ""fr"", ""en"")"),"Mouth Exactly as I like")</f>
        <v>Mouth Exactly as I like</v>
      </c>
    </row>
    <row r="11135">
      <c r="A11135" s="1">
        <v>5.0</v>
      </c>
      <c r="B11135" s="1" t="s">
        <v>10948</v>
      </c>
      <c r="C11135" t="str">
        <f>IFERROR(__xludf.DUMMYFUNCTION("GOOGLETRANSLATE(B11135, ""fr"", ""en"")"),"Big surprise Very pleasantly surprised with these headphones. Very lightweight, comfortable, the sound is nice. With its small rechargeable case, it becomes easy to carry no matter where you go. It's very useful. Eyes closed, you can buy for anyone lookin"&amp;"g headphones just for calls and listening to music without exploding ears.")</f>
        <v>Big surprise Very pleasantly surprised with these headphones. Very lightweight, comfortable, the sound is nice. With its small rechargeable case, it becomes easy to carry no matter where you go. It's very useful. Eyes closed, you can buy for anyone looking headphones just for calls and listening to music without exploding ears.</v>
      </c>
    </row>
    <row r="11136">
      <c r="A11136" s="1">
        <v>5.0</v>
      </c>
      <c r="B11136" s="1" t="s">
        <v>10949</v>
      </c>
      <c r="C11136" t="str">
        <f>IFERROR(__xludf.DUMMYFUNCTION("GOOGLETRANSLATE(B11136, ""fr"", ""en"")"),"Good value Good quality, almost daily use for 2 months, few signs of wear")</f>
        <v>Good value Good quality, almost daily use for 2 months, few signs of wear</v>
      </c>
    </row>
    <row r="11137">
      <c r="A11137" s="1">
        <v>5.0</v>
      </c>
      <c r="B11137" s="1" t="s">
        <v>10950</v>
      </c>
      <c r="C11137" t="str">
        <f>IFERROR(__xludf.DUMMYFUNCTION("GOOGLETRANSLATE(B11137, ""fr"", ""en"")"),"Female and convenient A very nice bag (comes in a stylish protective case): adjustable in height at passersby before, we can slightly modify the size of the bag which is very original in my opinion. The texture of the leather is soft to the touch and the "&amp;"color is true to the picture: I am very happy with my purchase and recommend it sincerely.")</f>
        <v>Female and convenient A very nice bag (comes in a stylish protective case): adjustable in height at passersby before, we can slightly modify the size of the bag which is very original in my opinion. The texture of the leather is soft to the touch and the color is true to the picture: I am very happy with my purchase and recommend it sincerely.</v>
      </c>
    </row>
    <row r="11138">
      <c r="A11138" s="1">
        <v>5.0</v>
      </c>
      <c r="B11138" s="1" t="s">
        <v>10951</v>
      </c>
      <c r="C11138" t="str">
        <f>IFERROR(__xludf.DUMMYFUNCTION("GOOGLETRANSLATE(B11138, ""fr"", ""en"")"),"A great product! This product is of excellent quality. I definitely recommend it. Everything is digital. The phone recognizes the fine. The sound is very good and the entry in the ear is small but holds very well in place. Little more amazing this is a to"&amp;"rch on the left side of the box, so that you can go running late by taking the case and safely. To buy eyes closed!")</f>
        <v>A great product! This product is of excellent quality. I definitely recommend it. Everything is digital. The phone recognizes the fine. The sound is very good and the entry in the ear is small but holds very well in place. Little more amazing this is a torch on the left side of the box, so that you can go running late by taking the case and safely. To buy eyes closed!</v>
      </c>
    </row>
    <row r="11139">
      <c r="A11139" s="1">
        <v>2.0</v>
      </c>
      <c r="B11139" s="1" t="s">
        <v>10952</v>
      </c>
      <c r="C11139" t="str">
        <f>IFERROR(__xludf.DUMMYFUNCTION("GOOGLETRANSLATE(B11139, ""fr"", ""en"")"),"Clears badly This sponge is not very effective. It must pass and repass insisting get to remove the special markers for whiteboard. I do not recommend this purchase.")</f>
        <v>Clears badly This sponge is not very effective. It must pass and repass insisting get to remove the special markers for whiteboard. I do not recommend this purchase.</v>
      </c>
    </row>
    <row r="11140">
      <c r="A11140" s="1">
        <v>1.0</v>
      </c>
      <c r="B11140" s="1" t="s">
        <v>10953</v>
      </c>
      <c r="C11140" t="str">
        <f>IFERROR(__xludf.DUMMYFUNCTION("GOOGLETRANSLATE(B11140, ""fr"", ""en"")"),"Do not fit on the last RØDE VMP I have the latest version of Videomic pro who is yet very standard. It fits absolutely not although it is pretty. Unnecessary blow. Pity.")</f>
        <v>Do not fit on the last RØDE VMP I have the latest version of Videomic pro who is yet very standard. It fits absolutely not although it is pretty. Unnecessary blow. Pity.</v>
      </c>
    </row>
    <row r="11141">
      <c r="A11141" s="1">
        <v>1.0</v>
      </c>
      <c r="B11141" s="1" t="s">
        <v>10954</v>
      </c>
      <c r="C11141" t="str">
        <f>IFERROR(__xludf.DUMMYFUNCTION("GOOGLETRANSLATE(B11141, ""fr"", ""en"")"),"Well ... well .... but after 2 use it did not work anymore.")</f>
        <v>Well ... well .... but after 2 use it did not work anymore.</v>
      </c>
    </row>
    <row r="11142">
      <c r="A11142" s="1">
        <v>3.0</v>
      </c>
      <c r="B11142" s="1" t="s">
        <v>10955</v>
      </c>
      <c r="C11142" t="str">
        <f>IFERROR(__xludf.DUMMYFUNCTION("GOOGLETRANSLATE(B11142, ""fr"", ""en"")"),"👍 Cooll")</f>
        <v>👍 Cooll</v>
      </c>
    </row>
    <row r="11143">
      <c r="A11143" s="1">
        <v>3.0</v>
      </c>
      <c r="B11143" s="1" t="s">
        <v>10956</v>
      </c>
      <c r="C11143" t="str">
        <f>IFERROR(__xludf.DUMMYFUNCTION("GOOGLETRANSLATE(B11143, ""fr"", ""en"")"),"Good product same as the picture, only downside, the stitches come undone very easily and it will wear out quickly because already a little stuffed. Good resistance to the exit of the wash.")</f>
        <v>Good product same as the picture, only downside, the stitches come undone very easily and it will wear out quickly because already a little stuffed. Good resistance to the exit of the wash.</v>
      </c>
    </row>
    <row r="11144">
      <c r="A11144" s="1">
        <v>4.0</v>
      </c>
      <c r="B11144" s="1" t="s">
        <v>10957</v>
      </c>
      <c r="C11144" t="str">
        <f>IFERROR(__xludf.DUMMYFUNCTION("GOOGLETRANSLATE(B11144, ""fr"", ""en"")"),"Brandit Pure Vintage Black Pants Man I love these pants. The size is correct, size ... by cons, at the leg, it is rather wide so that you can not wear it with anything up. There are good practices across pockets. The fabric is quite thick, for cons, it ha"&amp;"s an unfortunate tendency to hang the hair of our pets ... it's a bit annoying, but good. Level comfort, this is the best!")</f>
        <v>Brandit Pure Vintage Black Pants Man I love these pants. The size is correct, size ... by cons, at the leg, it is rather wide so that you can not wear it with anything up. There are good practices across pockets. The fabric is quite thick, for cons, it has an unfortunate tendency to hang the hair of our pets ... it's a bit annoying, but good. Level comfort, this is the best!</v>
      </c>
    </row>
    <row r="11145">
      <c r="A11145" s="1">
        <v>4.0</v>
      </c>
      <c r="B11145" s="1" t="s">
        <v>10958</v>
      </c>
      <c r="C11145" t="str">
        <f>IFERROR(__xludf.DUMMYFUNCTION("GOOGLETRANSLATE(B11145, ""fr"", ""en"")"),"Good product quality Birthday Gift")</f>
        <v>Good product quality Birthday Gift</v>
      </c>
    </row>
    <row r="11146">
      <c r="A11146" s="1">
        <v>4.0</v>
      </c>
      <c r="B11146" s="1" t="s">
        <v>10959</v>
      </c>
      <c r="C11146" t="str">
        <f>IFERROR(__xludf.DUMMYFUNCTION("GOOGLETRANSLATE(B11146, ""fr"", ""en"")"),"Use satisfied for more than a good, recommended for people looking for a sense of well being after use")</f>
        <v>Use satisfied for more than a good, recommended for people looking for a sense of well being after use</v>
      </c>
    </row>
    <row r="11147">
      <c r="A11147" s="1">
        <v>4.0</v>
      </c>
      <c r="B11147" s="1" t="s">
        <v>10960</v>
      </c>
      <c r="C11147" t="str">
        <f>IFERROR(__xludf.DUMMYFUNCTION("GOOGLETRANSLATE(B11147, ""fr"", ""en"")"),"top ! here is timeless .... chouz that we want to have in her wardrobe has great shoes ... has the comfortable and she threw ease")</f>
        <v>top ! here is timeless .... chouz that we want to have in her wardrobe has great shoes ... has the comfortable and she threw ease</v>
      </c>
    </row>
    <row r="11148">
      <c r="A11148" s="1">
        <v>5.0</v>
      </c>
      <c r="B11148" s="1" t="s">
        <v>10961</v>
      </c>
      <c r="C11148" t="str">
        <f>IFERROR(__xludf.DUMMYFUNCTION("GOOGLETRANSLATE(B11148, ""fr"", ""en"")"),"Bluetooth Headset The sound is great but it's not good on the ears and long term it hurts like to ear")</f>
        <v>Bluetooth Headset The sound is great but it's not good on the ears and long term it hurts like to ear</v>
      </c>
    </row>
    <row r="11149">
      <c r="A11149" s="1">
        <v>5.0</v>
      </c>
      <c r="B11149" s="1" t="s">
        <v>10962</v>
      </c>
      <c r="C11149" t="str">
        <f>IFERROR(__xludf.DUMMYFUNCTION("GOOGLETRANSLATE(B11149, ""fr"", ""en"")"),"jadore useful simply !! no therefore no risk that taste it leaves the taste of the nipple unlike classic dishes products! That foam that's great !! a bottle makes me about 1 4/5 months bibs a day so it does not ruin!")</f>
        <v>jadore useful simply !! no therefore no risk that taste it leaves the taste of the nipple unlike classic dishes products! That foam that's great !! a bottle makes me about 1 4/5 months bibs a day so it does not ruin!</v>
      </c>
    </row>
    <row r="11150">
      <c r="A11150" s="1">
        <v>5.0</v>
      </c>
      <c r="B11150" s="1" t="s">
        <v>10963</v>
      </c>
      <c r="C11150" t="str">
        <f>IFERROR(__xludf.DUMMYFUNCTION("GOOGLETRANSLATE(B11150, ""fr"", ""en"")"),"round neck after a cervical osteoarthritis of my doc m advised to buy this product! Quick delivery impeccable color; very good quality product and heat serepand very well on the neck; I strongly recommend this product")</f>
        <v>round neck after a cervical osteoarthritis of my doc m advised to buy this product! Quick delivery impeccable color; very good quality product and heat serepand very well on the neck; I strongly recommend this product</v>
      </c>
    </row>
    <row r="11151">
      <c r="A11151" s="1">
        <v>5.0</v>
      </c>
      <c r="B11151" s="1" t="s">
        <v>10964</v>
      </c>
      <c r="C11151" t="str">
        <f>IFERROR(__xludf.DUMMYFUNCTION("GOOGLETRANSLATE(B11151, ""fr"", ""en"")"),"Quality Beautiful jewelry, consistent with the description")</f>
        <v>Quality Beautiful jewelry, consistent with the description</v>
      </c>
    </row>
    <row r="11152">
      <c r="A11152" s="1">
        <v>5.0</v>
      </c>
      <c r="B11152" s="1" t="s">
        <v>10965</v>
      </c>
      <c r="C11152" t="str">
        <f>IFERROR(__xludf.DUMMYFUNCTION("GOOGLETRANSLATE(B11152, ""fr"", ""en"")"),"super perfect perfect! consistent with the description and looks solid! the sound is great!")</f>
        <v>super perfect perfect! consistent with the description and looks solid! the sound is great!</v>
      </c>
    </row>
    <row r="11153">
      <c r="A11153" s="1">
        <v>5.0</v>
      </c>
      <c r="B11153" s="1" t="s">
        <v>10966</v>
      </c>
      <c r="C11153" t="str">
        <f>IFERROR(__xludf.DUMMYFUNCTION("GOOGLETRANSLATE(B11153, ""fr"", ""en"")"),"Perfect for beginners Having a youtube channel and filming with my smartphone capture the sound was not great but I do not want to spend much for a microphone like this, I fall on this one feedback was good and for the moment the first try finding its sou"&amp;"nd and clear and clear I should still see some adjustment but I'm satisfied")</f>
        <v>Perfect for beginners Having a youtube channel and filming with my smartphone capture the sound was not great but I do not want to spend much for a microphone like this, I fall on this one feedback was good and for the moment the first try finding its sound and clear and clear I should still see some adjustment but I'm satisfied</v>
      </c>
    </row>
    <row r="11154">
      <c r="A11154" s="1">
        <v>5.0</v>
      </c>
      <c r="B11154" s="1" t="s">
        <v>10967</v>
      </c>
      <c r="C11154" t="str">
        <f>IFERROR(__xludf.DUMMYFUNCTION("GOOGLETRANSLATE(B11154, ""fr"", ""en"")"),"Multi function very practical dimensions for A4 documents or 24x32. A satchel bag to look good or a large handbag, it's a nice bag. Too bad the side pockets have a not very fast closing as there before. He has very solid, it's fun.")</f>
        <v>Multi function very practical dimensions for A4 documents or 24x32. A satchel bag to look good or a large handbag, it's a nice bag. Too bad the side pockets have a not very fast closing as there before. He has very solid, it's fun.</v>
      </c>
    </row>
    <row r="11155">
      <c r="A11155" s="1">
        <v>5.0</v>
      </c>
      <c r="B11155" s="1" t="s">
        <v>10968</v>
      </c>
      <c r="C11155" t="str">
        <f>IFERROR(__xludf.DUMMYFUNCTION("GOOGLETRANSLATE(B11155, ""fr"", ""en"")"),"hypoallergenic, cheap and effective Everything is said in the title ... I think that laundry has no weak point: it washes well, it is hypoallergenic, it feels good and it's cheap. It all good!")</f>
        <v>hypoallergenic, cheap and effective Everything is said in the title ... I think that laundry has no weak point: it washes well, it is hypoallergenic, it feels good and it's cheap. It all good!</v>
      </c>
    </row>
    <row r="11156">
      <c r="A11156" s="1">
        <v>5.0</v>
      </c>
      <c r="B11156" s="1" t="s">
        <v>10969</v>
      </c>
      <c r="C11156" t="str">
        <f>IFERROR(__xludf.DUMMYFUNCTION("GOOGLETRANSLATE(B11156, ""fr"", ""en"")"),"chanffante + coverage: low price: € 25.99 + that: efficient to the point of heat in position 1 (2 and 3 are for the beginning) - s' stops after 2,3h (need wake up and reset if it is cold)")</f>
        <v>chanffante + coverage: low price: € 25.99 + that: efficient to the point of heat in position 1 (2 and 3 are for the beginning) - s' stops after 2,3h (need wake up and reset if it is cold)</v>
      </c>
    </row>
    <row r="11157">
      <c r="A11157" s="1">
        <v>5.0</v>
      </c>
      <c r="B11157" s="1" t="s">
        <v>10970</v>
      </c>
      <c r="C11157" t="str">
        <f>IFERROR(__xludf.DUMMYFUNCTION("GOOGLETRANSLATE(B11157, ""fr"", ""en"")"),"Adapted as planned 👍 great thank you")</f>
        <v>Adapted as planned 👍 great thank you</v>
      </c>
    </row>
    <row r="11158">
      <c r="A11158" s="1">
        <v>5.0</v>
      </c>
      <c r="B11158" s="1" t="s">
        <v>10971</v>
      </c>
      <c r="C11158" t="str">
        <f>IFERROR(__xludf.DUMMYFUNCTION("GOOGLETRANSLATE(B11158, ""fr"", ""en"")"),"Lovely bracelet I bought this gorgeous bracelet to offer and my friend loved it !! She loves jewelry tree of life and this bracelet is really nice. It is rigid, simple and elegant at once and I received really well packed in its box. In addition it can ex"&amp;"pand if needed as it is suitable for all types of handles. Good value for money. I recommend! Do not hesitate ;)")</f>
        <v>Lovely bracelet I bought this gorgeous bracelet to offer and my friend loved it !! She loves jewelry tree of life and this bracelet is really nice. It is rigid, simple and elegant at once and I received really well packed in its box. In addition it can expand if needed as it is suitable for all types of handles. Good value for money. I recommend! Do not hesitate ;)</v>
      </c>
    </row>
    <row r="11159">
      <c r="A11159" s="1">
        <v>5.0</v>
      </c>
      <c r="B11159" s="1" t="s">
        <v>10972</v>
      </c>
      <c r="C11159" t="str">
        <f>IFERROR(__xludf.DUMMYFUNCTION("GOOGLETRANSLATE(B11159, ""fr"", ""en"")"),"Very nice indeed very good and much pleased to offer the opportunity for a birthday.")</f>
        <v>Very nice indeed very good and much pleased to offer the opportunity for a birthday.</v>
      </c>
    </row>
    <row r="11160">
      <c r="A11160" s="1">
        <v>5.0</v>
      </c>
      <c r="B11160" s="1" t="s">
        <v>10973</v>
      </c>
      <c r="C11160" t="str">
        <f>IFERROR(__xludf.DUMMYFUNCTION("GOOGLETRANSLATE(B11160, ""fr"", ""en"")"),"Super good material product, is the picture. The pocket on the super side")</f>
        <v>Super good material product, is the picture. The pocket on the super side</v>
      </c>
    </row>
    <row r="11161">
      <c r="A11161" s="1">
        <v>5.0</v>
      </c>
      <c r="B11161" s="1" t="s">
        <v>10974</v>
      </c>
      <c r="C11161" t="str">
        <f>IFERROR(__xludf.DUMMYFUNCTION("GOOGLETRANSLATE(B11161, ""fr"", ""en"")"),"Very nice watch, extraordinary quality She is very beautiful watch Auto Seiko. Quality is at the appointment, especially the price is unbeatable, it is a mechanical watch worthy of its sound")</f>
        <v>Very nice watch, extraordinary quality She is very beautiful watch Auto Seiko. Quality is at the appointment, especially the price is unbeatable, it is a mechanical watch worthy of its sound</v>
      </c>
    </row>
    <row r="11162">
      <c r="A11162" s="1">
        <v>5.0</v>
      </c>
      <c r="B11162" s="1" t="s">
        <v>10975</v>
      </c>
      <c r="C11162" t="str">
        <f>IFERROR(__xludf.DUMMYFUNCTION("GOOGLETRANSLATE(B11162, ""fr"", ""en"")"),"Messenger bag for ideal man to go to work I bought this bag for my dad for Father's Day. The finishes are of quality product which has an excellent value for money. There are several closed compartments for the most by a zipper. This helps to organize his"&amp;" affairs, papers, keys, computer ... The color is sober and go anywhere for a masculine and dynamic appearance.")</f>
        <v>Messenger bag for ideal man to go to work I bought this bag for my dad for Father's Day. The finishes are of quality product which has an excellent value for money. There are several closed compartments for the most by a zipper. This helps to organize his affairs, papers, keys, computer ... The color is sober and go anywhere for a masculine and dynamic appearance.</v>
      </c>
    </row>
    <row r="11163">
      <c r="A11163" s="1">
        <v>2.0</v>
      </c>
      <c r="B11163" s="1" t="s">
        <v>10976</v>
      </c>
      <c r="C11163" t="str">
        <f>IFERROR(__xludf.DUMMYFUNCTION("GOOGLETRANSLATE(B11163, ""fr"", ""en"")"),"Bad After descales as indicated on the instructions, no desired result except for the green mold that was sunk in the tank bottom. Limestone seeing to date is still on ☹️")</f>
        <v>Bad After descales as indicated on the instructions, no desired result except for the green mold that was sunk in the tank bottom. Limestone seeing to date is still on ☹️</v>
      </c>
    </row>
    <row r="11164">
      <c r="A11164" s="1">
        <v>1.0</v>
      </c>
      <c r="B11164" s="1" t="s">
        <v>10977</v>
      </c>
      <c r="C11164" t="str">
        <f>IFERROR(__xludf.DUMMYFUNCTION("GOOGLETRANSLATE(B11164, ""fr"", ""en"")"),"The disappointed not solid zipper.")</f>
        <v>The disappointed not solid zipper.</v>
      </c>
    </row>
    <row r="11165">
      <c r="A11165" s="1">
        <v>1.0</v>
      </c>
      <c r="B11165" s="1" t="s">
        <v>10978</v>
      </c>
      <c r="C11165" t="str">
        <f>IFERROR(__xludf.DUMMYFUNCTION("GOOGLETRANSLATE(B11165, ""fr"", ""en"")"),"Improve strength and g Hello purchased sole occurs as I work in btp As a plumber The shoes are very beautiful indeed. But if that is the sole (nonexistent) is to feel naked foot provided in the sole is useless g put another that g bought and been 6 months"&amp;" that I used and I ' have pain in the plantar arch and I do not think what will be a long tough so if you are in btp please do not buy product")</f>
        <v>Improve strength and g Hello purchased sole occurs as I work in btp As a plumber The shoes are very beautiful indeed. But if that is the sole (nonexistent) is to feel naked foot provided in the sole is useless g put another that g bought and been 6 months that I used and I ' have pain in the plantar arch and I do not think what will be a long tough so if you are in btp please do not buy product</v>
      </c>
    </row>
    <row r="11166">
      <c r="A11166" s="1">
        <v>3.0</v>
      </c>
      <c r="B11166" s="1" t="s">
        <v>10979</v>
      </c>
      <c r="C11166" t="str">
        <f>IFERROR(__xludf.DUMMYFUNCTION("GOOGLETRANSLATE(B11166, ""fr"", ""en"")"),"His helmet Beautiful but not enough for her it is a pity")</f>
        <v>His helmet Beautiful but not enough for her it is a pity</v>
      </c>
    </row>
    <row r="11167">
      <c r="A11167" s="1">
        <v>4.0</v>
      </c>
      <c r="B11167" s="1" t="s">
        <v>10980</v>
      </c>
      <c r="C11167" t="str">
        <f>IFERROR(__xludf.DUMMYFUNCTION("GOOGLETRANSLATE(B11167, ""fr"", ""en"")"),"Good watch good quality, very nice watch, simple start. Be careful though not to put it in the water, this is my only regret.")</f>
        <v>Good watch good quality, very nice watch, simple start. Be careful though not to put it in the water, this is my only regret.</v>
      </c>
    </row>
    <row r="11168">
      <c r="A11168" s="1">
        <v>4.0</v>
      </c>
      <c r="B11168" s="1" t="s">
        <v>10981</v>
      </c>
      <c r="C11168" t="str">
        <f>IFERROR(__xludf.DUMMYFUNCTION("GOOGLETRANSLATE(B11168, ""fr"", ""en"")"),"Size too big for me a little big, I'm a size 34, it took me a'll XS as it fits me, I can still use it and it's true that it makes very soft skin after use, not least that by doing household")</f>
        <v>Size too big for me a little big, I'm a size 34, it took me a'll XS as it fits me, I can still use it and it's true that it makes very soft skin after use, not least that by doing household</v>
      </c>
    </row>
    <row r="11169">
      <c r="A11169" s="1">
        <v>4.0</v>
      </c>
      <c r="B11169" s="1" t="s">
        <v>10982</v>
      </c>
      <c r="C11169" t="str">
        <f>IFERROR(__xludf.DUMMYFUNCTION("GOOGLETRANSLATE(B11169, ""fr"", ""en"")"),"Practice This product is fine to relieve neck pain")</f>
        <v>Practice This product is fine to relieve neck pain</v>
      </c>
    </row>
    <row r="11170">
      <c r="A11170" s="1">
        <v>4.0</v>
      </c>
      <c r="B11170" s="1" t="s">
        <v>10983</v>
      </c>
      <c r="C11170" t="str">
        <f>IFERROR(__xludf.DUMMYFUNCTION("GOOGLETRANSLATE(B11170, ""fr"", ""en"")"),"normal size for the brand good product that size as the rest of the brand for a very acceptable price the photo corresponds to the product")</f>
        <v>normal size for the brand good product that size as the rest of the brand for a very acceptable price the photo corresponds to the product</v>
      </c>
    </row>
    <row r="11171">
      <c r="A11171" s="1">
        <v>5.0</v>
      </c>
      <c r="B11171" s="1" t="s">
        <v>10984</v>
      </c>
      <c r="C11171" t="str">
        <f>IFERROR(__xludf.DUMMYFUNCTION("GOOGLETRANSLATE(B11171, ""fr"", ""en"")"),"Massage well for my husband walk has foot problems suddenly I buy him this machine. A very good machine that massage the foot. He has improved a lot of foot traffic. The pain decreased significantly in the first try. Delivery is on time too. In any case m"&amp;"y husband is happy.")</f>
        <v>Massage well for my husband walk has foot problems suddenly I buy him this machine. A very good machine that massage the foot. He has improved a lot of foot traffic. The pain decreased significantly in the first try. Delivery is on time too. In any case my husband is happy.</v>
      </c>
    </row>
    <row r="11172">
      <c r="A11172" s="1">
        <v>5.0</v>
      </c>
      <c r="B11172" s="1" t="s">
        <v>10985</v>
      </c>
      <c r="C11172" t="str">
        <f>IFERROR(__xludf.DUMMYFUNCTION("GOOGLETRANSLATE(B11172, ""fr"", ""en"")"),"One of the most successful CASIO After buying a Casio F-201W-1AEF less than 15 € for my leisure activities and sports because of its thinness and lightness, I wanted to take another model more cozy and friendly looking for a more conventional use say. Pro"&amp;"posed € 17 (on the CASIO website is at 29.90) and sold and shipped by Amazon, this model seduced me immediately with its exceptional legibility, its lack of gadgets, wide comfortable strap and timeless look. The white background model (W-800H-1AVES) is al"&amp;"so the better visually (yellow background having the reference W-800HG-9AVES). Despite its larger size than the other, it remains suitable for slender wrists (which is my case). It is light to wear and certainly more pleasant than ""all metal"" of the sam"&amp;"e brand. Certainly the weak point of Casio resin bracelets is their break after some time and the painful surprise of the price of almost equivalent bracelet new watch! No panic, Amazon offers Chinese Casio bracelets may agree although this remains to be "&amp;"tested for myself. For cons, the battery lasts well over 10 years, except of course extensive use of light and other functions. Oddly this watch does not have countdown (while the other cheapest yes). It will not be a handicap to my mind because you can a"&amp;"lways take a second Casio for more targeted activities. In the extensive catalog Casio, there are all kinds of watches style so that everyone finds happiness. This watch is classic in a sense, but it is a quality because it is timeless and display the und"&amp;"istorted figures (as on other models Casio) of legibility among the best of Casio watches (one of the criteria important for a watch!) make this model a must for a paltry price final. We can only regret that Amazon does not offer the other 3 finishes this"&amp;" model (blue, green, gray) although black is the most popular finish. Recommended without reservation and a click on help if my review has helped you. Thank you.")</f>
        <v>One of the most successful CASIO After buying a Casio F-201W-1AEF less than 15 € for my leisure activities and sports because of its thinness and lightness, I wanted to take another model more cozy and friendly looking for a more conventional use say. Proposed € 17 (on the CASIO website is at 29.90) and sold and shipped by Amazon, this model seduced me immediately with its exceptional legibility, its lack of gadgets, wide comfortable strap and timeless look. The white background model (W-800H-1AVES) is also the better visually (yellow background having the reference W-800HG-9AVES). Despite its larger size than the other, it remains suitable for slender wrists (which is my case). It is light to wear and certainly more pleasant than "all metal" of the same brand. Certainly the weak point of Casio resin bracelets is their break after some time and the painful surprise of the price of almost equivalent bracelet new watch! No panic, Amazon offers Chinese Casio bracelets may agree although this remains to be tested for myself. For cons, the battery lasts well over 10 years, except of course extensive use of light and other functions. Oddly this watch does not have countdown (while the other cheapest yes). It will not be a handicap to my mind because you can always take a second Casio for more targeted activities. In the extensive catalog Casio, there are all kinds of watches style so that everyone finds happiness. This watch is classic in a sense, but it is a quality because it is timeless and display the undistorted figures (as on other models Casio) of legibility among the best of Casio watches (one of the criteria important for a watch!) make this model a must for a paltry price final. We can only regret that Amazon does not offer the other 3 finishes this model (blue, green, gray) although black is the most popular finish. Recommended without reservation and a click on help if my review has helped you. Thank you.</v>
      </c>
    </row>
    <row r="11173">
      <c r="A11173" s="1">
        <v>5.0</v>
      </c>
      <c r="B11173" s="1" t="s">
        <v>10986</v>
      </c>
      <c r="C11173" t="str">
        <f>IFERROR(__xludf.DUMMYFUNCTION("GOOGLETRANSLATE(B11173, ""fr"", ""en"")"),"Working shoes Received very quickly. Trainers purchased for my husband. For over a week that the daily door. He finds these shoes are light and flexible, also aesthetic. Especially comfortable for everyday use (it is standing all day for his job). To see "&amp;"in time, I recommend you view the value.")</f>
        <v>Working shoes Received very quickly. Trainers purchased for my husband. For over a week that the daily door. He finds these shoes are light and flexible, also aesthetic. Especially comfortable for everyday use (it is standing all day for his job). To see in time, I recommend you view the value.</v>
      </c>
    </row>
    <row r="11174">
      <c r="A11174" s="1">
        <v>5.0</v>
      </c>
      <c r="B11174" s="1" t="s">
        <v>10987</v>
      </c>
      <c r="C11174" t="str">
        <f>IFERROR(__xludf.DUMMYFUNCTION("GOOGLETRANSLATE(B11174, ""fr"", ""en"")"),"The speaker cable hi fi cable book perfectly matching the description. Ultra Fast delivery (- 5 days compared to the estimate). With this cable, the sound goes very well.")</f>
        <v>The speaker cable hi fi cable book perfectly matching the description. Ultra Fast delivery (- 5 days compared to the estimate). With this cable, the sound goes very well.</v>
      </c>
    </row>
    <row r="11175">
      <c r="A11175" s="1">
        <v>5.0</v>
      </c>
      <c r="B11175" s="1" t="s">
        <v>10988</v>
      </c>
      <c r="C11175" t="str">
        <f>IFERROR(__xludf.DUMMYFUNCTION("GOOGLETRANSLATE(B11175, ""fr"", ""en"")"),"Not very suitable for children under 4 years My daughter uses it to brighten his drawings. The little flat some are difficult to remove and it breaks, but otherwise they are very pretty")</f>
        <v>Not very suitable for children under 4 years My daughter uses it to brighten his drawings. The little flat some are difficult to remove and it breaks, but otherwise they are very pretty</v>
      </c>
    </row>
    <row r="11176">
      <c r="A11176" s="1">
        <v>5.0</v>
      </c>
      <c r="B11176" s="1" t="s">
        <v>10989</v>
      </c>
      <c r="C11176" t="str">
        <f>IFERROR(__xludf.DUMMYFUNCTION("GOOGLETRANSLATE(B11176, ""fr"", ""en"")"),"beautiful watch I love this watch really beautiful I'm really glad I have adapted it to my handle especially considering the price it is great good day all youpie")</f>
        <v>beautiful watch I love this watch really beautiful I'm really glad I have adapted it to my handle especially considering the price it is great good day all youpie</v>
      </c>
    </row>
    <row r="11177">
      <c r="A11177" s="1">
        <v>5.0</v>
      </c>
      <c r="B11177" s="1" t="s">
        <v>10990</v>
      </c>
      <c r="C11177" t="str">
        <f>IFERROR(__xludf.DUMMYFUNCTION("GOOGLETRANSLATE(B11177, ""fr"", ""en"")"),"product conformity are good size product")</f>
        <v>product conformity are good size product</v>
      </c>
    </row>
    <row r="11178">
      <c r="A11178" s="1">
        <v>5.0</v>
      </c>
      <c r="B11178" s="1" t="s">
        <v>10991</v>
      </c>
      <c r="C11178" t="str">
        <f>IFERROR(__xludf.DUMMYFUNCTION("GOOGLETRANSLATE(B11178, ""fr"", ""en"")"),"Very good I bought this diffuser diffuser for the cheap price and frankly I was pleasantly surprised. .. For me this is the way to have a relaxing atmosphere after a hard day. Simply put water without exceeding a witness and added the essential oil dose a"&amp;"ccording to his desires. Finally we still have to choose the time you want the choice here is more modest for this model we have a simple ""click"" made a pass modes. A long supported off the unit. Positives: _This is very silent diffuser _très beautiful "&amp;"_prend no place _and cheap I recommend")</f>
        <v>Very good I bought this diffuser diffuser for the cheap price and frankly I was pleasantly surprised. .. For me this is the way to have a relaxing atmosphere after a hard day. Simply put water without exceeding a witness and added the essential oil dose according to his desires. Finally we still have to choose the time you want the choice here is more modest for this model we have a simple "click" made a pass modes. A long supported off the unit. Positives: _This is very silent diffuser _très beautiful _prend no place _and cheap I recommend</v>
      </c>
    </row>
    <row r="11179">
      <c r="A11179" s="1">
        <v>5.0</v>
      </c>
      <c r="B11179" s="1" t="s">
        <v>10992</v>
      </c>
      <c r="C11179" t="str">
        <f>IFERROR(__xludf.DUMMYFUNCTION("GOOGLETRANSLATE(B11179, ""fr"", ""en"")"),"comfortable very nice and comfortable socks, I recommend them. Great that there is large sizes with a child that makes 48.5 in size.")</f>
        <v>comfortable very nice and comfortable socks, I recommend them. Great that there is large sizes with a child that makes 48.5 in size.</v>
      </c>
    </row>
    <row r="11180">
      <c r="A11180" s="1">
        <v>5.0</v>
      </c>
      <c r="B11180" s="1" t="s">
        <v>10993</v>
      </c>
      <c r="C11180" t="str">
        <f>IFERROR(__xludf.DUMMYFUNCTION("GOOGLETRANSLATE(B11180, ""fr"", ""en"")"),"Great price / quality! Good quality shoes, very good price / quality ratio really nice and dressed while remaining relaxed! Only regret that there was no benefit of choice of colors.")</f>
        <v>Great price / quality! Good quality shoes, very good price / quality ratio really nice and dressed while remaining relaxed! Only regret that there was no benefit of choice of colors.</v>
      </c>
    </row>
    <row r="11181">
      <c r="A11181" s="1">
        <v>5.0</v>
      </c>
      <c r="B11181" s="1" t="s">
        <v>10994</v>
      </c>
      <c r="C11181" t="str">
        <f>IFERROR(__xludf.DUMMYFUNCTION("GOOGLETRANSLATE(B11181, ""fr"", ""en"")"),"Although well to see to do with the time just vibrations in the arm")</f>
        <v>Although well to see to do with the time just vibrations in the arm</v>
      </c>
    </row>
    <row r="11182">
      <c r="A11182" s="1">
        <v>5.0</v>
      </c>
      <c r="B11182" s="1" t="s">
        <v>10995</v>
      </c>
      <c r="C11182" t="str">
        <f>IFERROR(__xludf.DUMMYFUNCTION("GOOGLETRANSLATE(B11182, ""fr"", ""en"")"),"Good value for money. Ideally suited to my needs. Has enough space and pocket for my case. Good value, I recommend.")</f>
        <v>Good value for money. Ideally suited to my needs. Has enough space and pocket for my case. Good value, I recommend.</v>
      </c>
    </row>
    <row r="11183">
      <c r="A11183" s="1">
        <v>5.0</v>
      </c>
      <c r="B11183" s="1" t="s">
        <v>10996</v>
      </c>
      <c r="C11183" t="str">
        <f>IFERROR(__xludf.DUMMYFUNCTION("GOOGLETRANSLATE(B11183, ""fr"", ""en"")"),"Pretty lovely pair of earrings. They are very light and consistent with the picture. I have taken gold. They look great, I recommend.")</f>
        <v>Pretty lovely pair of earrings. They are very light and consistent with the picture. I have taken gold. They look great, I recommend.</v>
      </c>
    </row>
    <row r="11184">
      <c r="A11184" s="1">
        <v>5.0</v>
      </c>
      <c r="B11184" s="1" t="s">
        <v>10997</v>
      </c>
      <c r="C11184" t="str">
        <f>IFERROR(__xludf.DUMMYFUNCTION("GOOGLETRANSLATE(B11184, ""fr"", ""en"")"),"LogiLink UA0037 USB to MIDI LogiLink UA0037 USB to MIDI still works after many years, it is an extra value for money please")</f>
        <v>LogiLink UA0037 USB to MIDI LogiLink UA0037 USB to MIDI still works after many years, it is an extra value for money please</v>
      </c>
    </row>
    <row r="11185">
      <c r="A11185" s="1">
        <v>5.0</v>
      </c>
      <c r="B11185" s="1" t="s">
        <v>10998</v>
      </c>
      <c r="C11185" t="str">
        <f>IFERROR(__xludf.DUMMYFUNCTION("GOOGLETRANSLATE(B11185, ""fr"", ""en"")"),"Top Served replacing an original belt on an old Technics turntable, and still did the job so than bought in 2013! To buy eyes closed!")</f>
        <v>Top Served replacing an original belt on an old Technics turntable, and still did the job so than bought in 2013! To buy eyes closed!</v>
      </c>
    </row>
    <row r="11186">
      <c r="A11186" s="1">
        <v>2.0</v>
      </c>
      <c r="B11186" s="1" t="s">
        <v>10999</v>
      </c>
      <c r="C11186" t="str">
        <f>IFERROR(__xludf.DUMMYFUNCTION("GOOGLETRANSLATE(B11186, ""fr"", ""en"")"),"Electrostimulation for women who do not need them? ... The promises of the electrostimulation shorts are enticing, but finally would take it that the people who need it most can put the pain : it is indeed pretty tight as soon as you exceed the 38-40! But"&amp;" perhaps is it a manufacturer's strategy: all physical activity is performed upstream, with short, even before sending the stream ... As for the results after a few weeks, nothing very obvious on voluntary guinea pig tester ( ""I serve science and this is"&amp;" my joy""). By cons, what is clear is that the electrodes wear out: the efficiency decreases at least to put hand to the wallet to buy spare. While the product has qualities (rather ease of use, clear and detailed programs, the presence of a remote, small"&amp;" travel bag ...) but in the end, one can only ask: ""Everything that for this? "" A purchase book maybe the conviction (s)!")</f>
        <v>Electrostimulation for women who do not need them? ... The promises of the electrostimulation shorts are enticing, but finally would take it that the people who need it most can put the pain : it is indeed pretty tight as soon as you exceed the 38-40! But perhaps is it a manufacturer's strategy: all physical activity is performed upstream, with short, even before sending the stream ... As for the results after a few weeks, nothing very obvious on voluntary guinea pig tester ( "I serve science and this is my joy"). By cons, what is clear is that the electrodes wear out: the efficiency decreases at least to put hand to the wallet to buy spare. While the product has qualities (rather ease of use, clear and detailed programs, the presence of a remote, small travel bag ...) but in the end, one can only ask: "Everything that for this? " A purchase book maybe the conviction (s)!</v>
      </c>
    </row>
    <row r="11187">
      <c r="A11187" s="1">
        <v>1.0</v>
      </c>
      <c r="B11187" s="1" t="s">
        <v>11000</v>
      </c>
      <c r="C11187" t="str">
        <f>IFERROR(__xludf.DUMMYFUNCTION("GOOGLETRANSLATE(B11187, ""fr"", ""en"")"),"Cheap soft ugly ugly zero: returned with two others taken in different colors.")</f>
        <v>Cheap soft ugly ugly zero: returned with two others taken in different colors.</v>
      </c>
    </row>
    <row r="11188">
      <c r="A11188" s="1">
        <v>3.0</v>
      </c>
      <c r="B11188" s="1" t="s">
        <v>11001</v>
      </c>
      <c r="C11188" t="str">
        <f>IFERROR(__xludf.DUMMYFUNCTION("GOOGLETRANSLATE(B11188, ""fr"", ""en"")"),"Beautiful As picture but the seam at the back of the shoe right to let loose with normal use in town.")</f>
        <v>Beautiful As picture but the seam at the back of the shoe right to let loose with normal use in town.</v>
      </c>
    </row>
    <row r="11189">
      <c r="A11189" s="1">
        <v>3.0</v>
      </c>
      <c r="B11189" s="1" t="s">
        <v>11002</v>
      </c>
      <c r="C11189" t="str">
        <f>IFERROR(__xludf.DUMMYFUNCTION("GOOGLETRANSLATE(B11189, ""fr"", ""en"")"),"Although this product is perfect. However, on one of the teats of an air valve was pierced therefore the milk passed through this hole instead of being eaten by baby.")</f>
        <v>Although this product is perfect. However, on one of the teats of an air valve was pierced therefore the milk passed through this hole instead of being eaten by baby.</v>
      </c>
    </row>
    <row r="11190">
      <c r="A11190" s="1">
        <v>4.0</v>
      </c>
      <c r="B11190" s="1" t="s">
        <v>11003</v>
      </c>
      <c r="C11190" t="str">
        <f>IFERROR(__xludf.DUMMYFUNCTION("GOOGLETRANSLATE(B11190, ""fr"", ""en"")"),"Qualitative pouch pocket of very good quality, leather is beautiful and aged very well, are the compartment is practical, the only downside and that the closure system does not work if the pouch is full because you can not properly fold the cover which me"&amp;"ans you can not put a lot of tobacco inside!")</f>
        <v>Qualitative pouch pocket of very good quality, leather is beautiful and aged very well, are the compartment is practical, the only downside and that the closure system does not work if the pouch is full because you can not properly fold the cover which means you can not put a lot of tobacco inside!</v>
      </c>
    </row>
    <row r="11191">
      <c r="A11191" s="1">
        <v>4.0</v>
      </c>
      <c r="B11191" s="1" t="s">
        <v>11004</v>
      </c>
      <c r="C11191" t="str">
        <f>IFERROR(__xludf.DUMMYFUNCTION("GOOGLETRANSLATE(B11191, ""fr"", ""en"")"),".... Movies, video games")</f>
        <v>.... Movies, video games</v>
      </c>
    </row>
    <row r="11192">
      <c r="A11192" s="1">
        <v>4.0</v>
      </c>
      <c r="B11192" s="1" t="s">
        <v>11005</v>
      </c>
      <c r="C11192" t="str">
        <f>IFERROR(__xludf.DUMMYFUNCTION("GOOGLETRANSLATE(B11192, ""fr"", ""en"")"),"Very comfortable The insole gives gives itself well to absorb shock. A little confusing at first because not accustomed to suspensions in shoes. Otherwise rather solid, no abnormal wear after several months.")</f>
        <v>Very comfortable The insole gives gives itself well to absorb shock. A little confusing at first because not accustomed to suspensions in shoes. Otherwise rather solid, no abnormal wear after several months.</v>
      </c>
    </row>
    <row r="11193">
      <c r="A11193" s="1">
        <v>4.0</v>
      </c>
      <c r="B11193" s="1" t="s">
        <v>11006</v>
      </c>
      <c r="C11193" t="str">
        <f>IFERROR(__xludf.DUMMYFUNCTION("GOOGLETRANSLATE(B11193, ""fr"", ""en"")"),"Ideal for children Easy to use, reasonably priced, waterproof, solid, mild, friendly .... good for a 13 year old boy is the ideal. For an adult it will be made for a manual laborer.")</f>
        <v>Ideal for children Easy to use, reasonably priced, waterproof, solid, mild, friendly .... good for a 13 year old boy is the ideal. For an adult it will be made for a manual laborer.</v>
      </c>
    </row>
    <row r="11194">
      <c r="A11194" s="1">
        <v>5.0</v>
      </c>
      <c r="B11194" s="1" t="s">
        <v>11007</v>
      </c>
      <c r="C11194" t="str">
        <f>IFERROR(__xludf.DUMMYFUNCTION("GOOGLETRANSLATE(B11194, ""fr"", ""en"")"),"good quality brush, the brush is good, brush well. The bristles are flexible and looks solid. See over time if it does not lose too much hair.")</f>
        <v>good quality brush, the brush is good, brush well. The bristles are flexible and looks solid. See over time if it does not lose too much hair.</v>
      </c>
    </row>
    <row r="11195">
      <c r="A11195" s="1">
        <v>5.0</v>
      </c>
      <c r="B11195" s="1" t="s">
        <v>11008</v>
      </c>
      <c r="C11195" t="str">
        <f>IFERROR(__xludf.DUMMYFUNCTION("GOOGLETRANSLATE(B11195, ""fr"", ""en"")"),"Impeccable After a live test in my living room, I can say this: The boots are dark green (bronze) with a sole brown and black. They s'enfilent well, the foot is held securely in the boot by the molded shape at the ankle. They are beautiful and are not ban"&amp;"al boots because they are more worked, more sculpted. The color mixing is very nice indeed! Comfort is surprising! It's also soft a good pair of hiking shoes. I put on the 43, I bought the 44, it's a little big city with socks, but it's perfect with winte"&amp;"r socks hunting. Dry (foot) they can be removed without trouble. The finish is flawless and I'll try as soon as the rain falls on our Vosges Mountains.")</f>
        <v>Impeccable After a live test in my living room, I can say this: The boots are dark green (bronze) with a sole brown and black. They s'enfilent well, the foot is held securely in the boot by the molded shape at the ankle. They are beautiful and are not banal boots because they are more worked, more sculpted. The color mixing is very nice indeed! Comfort is surprising! It's also soft a good pair of hiking shoes. I put on the 43, I bought the 44, it's a little big city with socks, but it's perfect with winter socks hunting. Dry (foot) they can be removed without trouble. The finish is flawless and I'll try as soon as the rain falls on our Vosges Mountains.</v>
      </c>
    </row>
    <row r="11196">
      <c r="A11196" s="1">
        <v>5.0</v>
      </c>
      <c r="B11196" s="1" t="s">
        <v>11009</v>
      </c>
      <c r="C11196" t="str">
        <f>IFERROR(__xludf.DUMMYFUNCTION("GOOGLETRANSLATE(B11196, ""fr"", ""en"")"),"Good article These socks arrived on time, they carve perfectly, sewing does not interfere toes, I recommend")</f>
        <v>Good article These socks arrived on time, they carve perfectly, sewing does not interfere toes, I recommend</v>
      </c>
    </row>
    <row r="11197">
      <c r="A11197" s="1">
        <v>5.0</v>
      </c>
      <c r="B11197" s="1" t="s">
        <v>11010</v>
      </c>
      <c r="C11197" t="str">
        <f>IFERROR(__xludf.DUMMYFUNCTION("GOOGLETRANSLATE(B11197, ""fr"", ""en"")"),"relieves nice to apply, pleasant smell")</f>
        <v>relieves nice to apply, pleasant smell</v>
      </c>
    </row>
    <row r="11198">
      <c r="A11198" s="1">
        <v>5.0</v>
      </c>
      <c r="B11198" s="1" t="s">
        <v>11011</v>
      </c>
      <c r="C11198" t="str">
        <f>IFERROR(__xludf.DUMMYFUNCTION("GOOGLETRANSLATE(B11198, ""fr"", ""en"")"),"Really perfect super Value for money with a phantom block and an external USB soundcard I better than friends with microphone € 250 LOL more")</f>
        <v>Really perfect super Value for money with a phantom block and an external USB soundcard I better than friends with microphone € 250 LOL more</v>
      </c>
    </row>
    <row r="11199">
      <c r="A11199" s="1">
        <v>5.0</v>
      </c>
      <c r="B11199" s="1" t="s">
        <v>11012</v>
      </c>
      <c r="C11199" t="str">
        <f>IFERROR(__xludf.DUMMYFUNCTION("GOOGLETRANSLATE(B11199, ""fr"", ""en"")"),"Very educational Christmas Gift Sale")</f>
        <v>Very educational Christmas Gift Sale</v>
      </c>
    </row>
    <row r="11200">
      <c r="A11200" s="1">
        <v>5.0</v>
      </c>
      <c r="B11200" s="1" t="s">
        <v>11013</v>
      </c>
      <c r="C11200" t="str">
        <f>IFERROR(__xludf.DUMMYFUNCTION("GOOGLETRANSLATE(B11200, ""fr"", ""en"")"),"I recommend! Very beautiful curls!")</f>
        <v>I recommend! Very beautiful curls!</v>
      </c>
    </row>
    <row r="11201">
      <c r="A11201" s="1">
        <v>5.0</v>
      </c>
      <c r="B11201" s="1" t="s">
        <v>11014</v>
      </c>
      <c r="C11201" t="str">
        <f>IFERROR(__xludf.DUMMYFUNCTION("GOOGLETRANSLATE(B11201, ""fr"", ""en"")"),"brr no problem to pass the freezer and hop.")</f>
        <v>brr no problem to pass the freezer and hop.</v>
      </c>
    </row>
    <row r="11202">
      <c r="A11202" s="1">
        <v>5.0</v>
      </c>
      <c r="B11202" s="1" t="s">
        <v>11015</v>
      </c>
      <c r="C11202" t="str">
        <f>IFERROR(__xludf.DUMMYFUNCTION("GOOGLETRANSLATE(B11202, ""fr"", ""en"")"),"beautiful besides I :) I currently door he holds very warm, great finish, it's a sweater that is the true copy of the photo, it is long in the buttocks :) I advise as no surprise!")</f>
        <v>beautiful besides I :) I currently door he holds very warm, great finish, it's a sweater that is the true copy of the photo, it is long in the buttocks :) I advise as no surprise!</v>
      </c>
    </row>
    <row r="11203">
      <c r="A11203" s="1">
        <v>5.0</v>
      </c>
      <c r="B11203" s="1" t="s">
        <v>11016</v>
      </c>
      <c r="C11203" t="str">
        <f>IFERROR(__xludf.DUMMYFUNCTION("GOOGLETRANSLATE(B11203, ""fr"", ""en"")"),"good quality product Wonderful product")</f>
        <v>good quality product Wonderful product</v>
      </c>
    </row>
    <row r="11204">
      <c r="A11204" s="1">
        <v>5.0</v>
      </c>
      <c r="B11204" s="1" t="s">
        <v>11017</v>
      </c>
      <c r="C11204" t="str">
        <f>IFERROR(__xludf.DUMMYFUNCTION("GOOGLETRANSLATE(B11204, ""fr"", ""en"")"),"Lovely bracelet nice bracelet with a diameter of 2cm. I took the necklace and matching earrings for a beautiful dress. The article photo.")</f>
        <v>Lovely bracelet nice bracelet with a diameter of 2cm. I took the necklace and matching earrings for a beautiful dress. The article photo.</v>
      </c>
    </row>
    <row r="11205">
      <c r="A11205" s="1">
        <v>5.0</v>
      </c>
      <c r="B11205" s="1" t="s">
        <v>11018</v>
      </c>
      <c r="C11205" t="str">
        <f>IFERROR(__xludf.DUMMYFUNCTION("GOOGLETRANSLATE(B11205, ""fr"", ""en"")"),"Gift Wrap Super quality to have at Christmas, this roll my license to make two consecutive noels / I recommend this product")</f>
        <v>Gift Wrap Super quality to have at Christmas, this roll my license to make two consecutive noels / I recommend this product</v>
      </c>
    </row>
    <row r="11206">
      <c r="A11206" s="1">
        <v>5.0</v>
      </c>
      <c r="B11206" s="1" t="s">
        <v>11019</v>
      </c>
      <c r="C11206" t="str">
        <f>IFERROR(__xludf.DUMMYFUNCTION("GOOGLETRANSLATE(B11206, ""fr"", ""en"")"),"Full Features perfect. full display, alarm, stopwatch 1/100 with part-time, 2nd time zone. Long battery life. chrome resistant plastic housing")</f>
        <v>Full Features perfect. full display, alarm, stopwatch 1/100 with part-time, 2nd time zone. Long battery life. chrome resistant plastic housing</v>
      </c>
    </row>
    <row r="11207">
      <c r="A11207" s="1">
        <v>5.0</v>
      </c>
      <c r="B11207" s="1" t="s">
        <v>11020</v>
      </c>
      <c r="C11207" t="str">
        <f>IFERROR(__xludf.DUMMYFUNCTION("GOOGLETRANSLATE(B11207, ""fr"", ""en"")"),"Perfect I'm doing my studies in drawing, I knew this brand felt and pencil and I'm really not disappointed with the precision and quality felts.")</f>
        <v>Perfect I'm doing my studies in drawing, I knew this brand felt and pencil and I'm really not disappointed with the precision and quality felts.</v>
      </c>
    </row>
    <row r="11208">
      <c r="A11208" s="1">
        <v>5.0</v>
      </c>
      <c r="B11208" s="1" t="s">
        <v>11021</v>
      </c>
      <c r="C11208" t="str">
        <f>IFERROR(__xludf.DUMMYFUNCTION("GOOGLETRANSLATE(B11208, ""fr"", ""en"")"),"Super I took it as a gift for my mom and she was super packed the LED lights with 8 there is the waaaw effect. I can only advise you!")</f>
        <v>Super I took it as a gift for my mom and she was super packed the LED lights with 8 there is the waaaw effect. I can only advise you!</v>
      </c>
    </row>
    <row r="11209">
      <c r="A11209" s="1">
        <v>2.0</v>
      </c>
      <c r="B11209" s="1" t="s">
        <v>11022</v>
      </c>
      <c r="C11209" t="str">
        <f>IFERROR(__xludf.DUMMYFUNCTION("GOOGLETRANSLATE(B11209, ""fr"", ""en"")"),"too light ! cotton shoddy")</f>
        <v>too light ! cotton shoddy</v>
      </c>
    </row>
    <row r="11210">
      <c r="A11210" s="1">
        <v>1.0</v>
      </c>
      <c r="B11210" s="1" t="s">
        <v>11023</v>
      </c>
      <c r="C11210" t="str">
        <f>IFERROR(__xludf.DUMMYFUNCTION("GOOGLETRANSLATE(B11210, ""fr"", ""en"")"),"Exacompta Refill I wish a Exacompta 14212E charging for the year 2019 and in 2018 I received !!!!!!!!")</f>
        <v>Exacompta Refill I wish a Exacompta 14212E charging for the year 2019 and in 2018 I received !!!!!!!!</v>
      </c>
    </row>
    <row r="11211">
      <c r="A11211" s="1">
        <v>1.0</v>
      </c>
      <c r="B11211" s="1" t="s">
        <v>11024</v>
      </c>
      <c r="C11211" t="str">
        <f>IFERROR(__xludf.DUMMYFUNCTION("GOOGLETRANSLATE(B11211, ""fr"", ""en"")"),"Temperature accuracy for tea and infusions")</f>
        <v>Temperature accuracy for tea and infusions</v>
      </c>
    </row>
    <row r="11212">
      <c r="A11212" s="1">
        <v>3.0</v>
      </c>
      <c r="B11212" s="1" t="s">
        <v>11025</v>
      </c>
      <c r="C11212" t="str">
        <f>IFERROR(__xludf.DUMMYFUNCTION("GOOGLETRANSLATE(B11212, ""fr"", ""en"")"),"Size a little big pity that the size 36 waist a little big if not very pretty high and the material is pleasant")</f>
        <v>Size a little big pity that the size 36 waist a little big if not very pretty high and the material is pleasant</v>
      </c>
    </row>
    <row r="11213">
      <c r="A11213" s="1">
        <v>3.0</v>
      </c>
      <c r="B11213" s="1" t="s">
        <v>11026</v>
      </c>
      <c r="C11213" t="str">
        <f>IFERROR(__xludf.DUMMYFUNCTION("GOOGLETRANSLATE(B11213, ""fr"", ""en"")"),"nice sweatshirt I love this sweatshirt, colors are less vivid than the photo, but it is beautiful nonetheless. As against it is small in size, if you put an L, take a XXL is really tight.")</f>
        <v>nice sweatshirt I love this sweatshirt, colors are less vivid than the photo, but it is beautiful nonetheless. As against it is small in size, if you put an L, take a XXL is really tight.</v>
      </c>
    </row>
    <row r="11214">
      <c r="A11214" s="1">
        <v>4.0</v>
      </c>
      <c r="B11214" s="1" t="s">
        <v>11027</v>
      </c>
      <c r="C11214" t="str">
        <f>IFERROR(__xludf.DUMMYFUNCTION("GOOGLETRANSLATE(B11214, ""fr"", ""en"")"),"Simple but powerful Used to practice the piano. The reproduced sound is very good and helmet insulates quite well from outside noise. Includes ears perfectly.")</f>
        <v>Simple but powerful Used to practice the piano. The reproduced sound is very good and helmet insulates quite well from outside noise. Includes ears perfectly.</v>
      </c>
    </row>
    <row r="11215">
      <c r="A11215" s="1">
        <v>4.0</v>
      </c>
      <c r="B11215" s="1" t="s">
        <v>11028</v>
      </c>
      <c r="C11215" t="str">
        <f>IFERROR(__xludf.DUMMYFUNCTION("GOOGLETRANSLATE(B11215, ""fr"", ""en"")"),"good shoe nice shoe shoes unfortunately a bit off for me, so, few soles and voila! By cons, ultra messy ... But it is the white that does it.")</f>
        <v>good shoe nice shoe shoes unfortunately a bit off for me, so, few soles and voila! By cons, ultra messy ... But it is the white that does it.</v>
      </c>
    </row>
    <row r="11216">
      <c r="A11216" s="1">
        <v>4.0</v>
      </c>
      <c r="B11216" s="1" t="s">
        <v>11029</v>
      </c>
      <c r="C11216" t="str">
        <f>IFERROR(__xludf.DUMMYFUNCTION("GOOGLETRANSLATE(B11216, ""fr"", ""en"")"),"Inexpensive and good for a low price, the headset has a pleasant sound. That's 15 days that I have by using 6 or 7 times and I still have not charged the battery. Noise reduction is performing. I thought the switch was used to light the helmet but in fact"&amp;" only serves to activate the noise reduction. The helmet lights with a button like most helmets.")</f>
        <v>Inexpensive and good for a low price, the headset has a pleasant sound. That's 15 days that I have by using 6 or 7 times and I still have not charged the battery. Noise reduction is performing. I thought the switch was used to light the helmet but in fact only serves to activate the noise reduction. The helmet lights with a button like most helmets.</v>
      </c>
    </row>
    <row r="11217">
      <c r="A11217" s="1">
        <v>4.0</v>
      </c>
      <c r="B11217" s="1" t="s">
        <v>11030</v>
      </c>
      <c r="C11217" t="str">
        <f>IFERROR(__xludf.DUMMYFUNCTION("GOOGLETRANSLATE(B11217, ""fr"", ""en"")"),"Very lightweight comfort. This is perfect very glad I bought this safety shoes that are really comfortable and light on everything so it's really perfect.")</f>
        <v>Very lightweight comfort. This is perfect very glad I bought this safety shoes that are really comfortable and light on everything so it's really perfect.</v>
      </c>
    </row>
    <row r="11218">
      <c r="A11218" s="1">
        <v>5.0</v>
      </c>
      <c r="B11218" s="1" t="s">
        <v>11031</v>
      </c>
      <c r="C11218" t="str">
        <f>IFERROR(__xludf.DUMMYFUNCTION("GOOGLETRANSLATE(B11218, ""fr"", ""en"")"),"the top The product is just amazing, I who have problems of ecxema since childhood, using products cortisone or another and over time do nothing more ... I'm just glad the results of which see already after one application! This is a week that I use and I"&amp;" have almost no trace ...")</f>
        <v>the top The product is just amazing, I who have problems of ecxema since childhood, using products cortisone or another and over time do nothing more ... I'm just glad the results of which see already after one application! This is a week that I use and I have almost no trace ...</v>
      </c>
    </row>
    <row r="11219">
      <c r="A11219" s="1">
        <v>5.0</v>
      </c>
      <c r="B11219" s="1" t="s">
        <v>11032</v>
      </c>
      <c r="C11219" t="str">
        <f>IFERROR(__xludf.DUMMYFUNCTION("GOOGLETRANSLATE(B11219, ""fr"", ""en"")"),"Perfect, efficient! I recommend I tried this initially septic time that it actually works but I have to be honest, it works, mild diffuse heat but mostly mild and massages. If you have a slight tension in the neck and neck, I can only advise you!")</f>
        <v>Perfect, efficient! I recommend I tried this initially septic time that it actually works but I have to be honest, it works, mild diffuse heat but mostly mild and massages. If you have a slight tension in the neck and neck, I can only advise you!</v>
      </c>
    </row>
    <row r="11220">
      <c r="A11220" s="1">
        <v>5.0</v>
      </c>
      <c r="B11220" s="1" t="s">
        <v>11033</v>
      </c>
      <c r="C11220" t="str">
        <f>IFERROR(__xludf.DUMMYFUNCTION("GOOGLETRANSLATE(B11220, ""fr"", ""en"")"),"Okay Super size just a little large for a typical 38 c is a bit large. Otherwise very nice and super comfortable")</f>
        <v>Okay Super size just a little large for a typical 38 c is a bit large. Otherwise very nice and super comfortable</v>
      </c>
    </row>
    <row r="11221">
      <c r="A11221" s="1">
        <v>5.0</v>
      </c>
      <c r="B11221" s="1" t="s">
        <v>11034</v>
      </c>
      <c r="C11221" t="str">
        <f>IFERROR(__xludf.DUMMYFUNCTION("GOOGLETRANSLATE(B11221, ""fr"", ""en"")"),"quality / price ratio! The microphone arrives in a Tonor carton. Inside everything is properly packed. The arm of the installation is quick and simple, for now everything seems fine hold (+ spider filter anti pop). The microphone is plug n play, you plug "&amp;"and it works, no need for software / drivers. The gain is adjustable on the micro or windows (this changes the same gain). In terms of quality of the microphone is excellent. You can hear a slight hiss, nothing much annoying as it may be processed in real"&amp;" time (on discord / Skype, for example) or in post prod. As for the frequency range is wide enough. Best micro usb quality / price")</f>
        <v>quality / price ratio! The microphone arrives in a Tonor carton. Inside everything is properly packed. The arm of the installation is quick and simple, for now everything seems fine hold (+ spider filter anti pop). The microphone is plug n play, you plug and it works, no need for software / drivers. The gain is adjustable on the micro or windows (this changes the same gain). In terms of quality of the microphone is excellent. You can hear a slight hiss, nothing much annoying as it may be processed in real time (on discord / Skype, for example) or in post prod. As for the frequency range is wide enough. Best micro usb quality / price</v>
      </c>
    </row>
    <row r="11222">
      <c r="A11222" s="1">
        <v>5.0</v>
      </c>
      <c r="B11222" s="1" t="s">
        <v>11035</v>
      </c>
      <c r="C11222" t="str">
        <f>IFERROR(__xludf.DUMMYFUNCTION("GOOGLETRANSLATE(B11222, ""fr"", ""en"")"),"Christmas gift Beautiful pair of shoes")</f>
        <v>Christmas gift Beautiful pair of shoes</v>
      </c>
    </row>
    <row r="11223">
      <c r="A11223" s="1">
        <v>5.0</v>
      </c>
      <c r="B11223" s="1" t="s">
        <v>11036</v>
      </c>
      <c r="C11223" t="str">
        <f>IFERROR(__xludf.DUMMYFUNCTION("GOOGLETRANSLATE(B11223, ""fr"", ""en"")"),"cartridge according cartridge works well in conformity competitive price I would buy when you print notes that there is more ink is wrong, you have to press 10 seconds on the red triangle on the side of the printer and there are still many pages to print "&amp;"look on YT knew the net there are explanations")</f>
        <v>cartridge according cartridge works well in conformity competitive price I would buy when you print notes that there is more ink is wrong, you have to press 10 seconds on the red triangle on the side of the printer and there are still many pages to print look on YT knew the net there are explanations</v>
      </c>
    </row>
    <row r="11224">
      <c r="A11224" s="1">
        <v>5.0</v>
      </c>
      <c r="B11224" s="1" t="s">
        <v>11037</v>
      </c>
      <c r="C11224" t="str">
        <f>IFERROR(__xludf.DUMMYFUNCTION("GOOGLETRANSLATE(B11224, ""fr"", ""en"")"),"a little extra Pretty toaster ""Toaster Bubble 2 slots ..."" The brand of product pretty in pastel colors and rounded shape which gives a bit of a retro effect 60's smooth and I like . The toaster, grid based thermostat adjustment, it can also thaw and it"&amp;" has the function eject Like many toaster, toast jump late grill, but you have the backup controller to get it out before. Beautiful line with the small grid and more on top, to warm the donut, round roll, hamburger bun ... I let it prominently in my kitc"&amp;"hen, so deco more")</f>
        <v>a little extra Pretty toaster "Toaster Bubble 2 slots ..." The brand of product pretty in pastel colors and rounded shape which gives a bit of a retro effect 60's smooth and I like . The toaster, grid based thermostat adjustment, it can also thaw and it has the function eject Like many toaster, toast jump late grill, but you have the backup controller to get it out before. Beautiful line with the small grid and more on top, to warm the donut, round roll, hamburger bun ... I let it prominently in my kitchen, so deco more</v>
      </c>
    </row>
    <row r="11225">
      <c r="A11225" s="1">
        <v>5.0</v>
      </c>
      <c r="B11225" s="1" t="s">
        <v>11038</v>
      </c>
      <c r="C11225" t="str">
        <f>IFERROR(__xludf.DUMMYFUNCTION("GOOGLETRANSLATE(B11225, ""fr"", ""en"")"),"Always so happy I have recommended this short leggings in gray, I had already black. Always very satisfied. The M size perfectly for a 40/42, the fabric is nice, size is maintained by a wide belt that greenhouse too. It is resistant to washing.")</f>
        <v>Always so happy I have recommended this short leggings in gray, I had already black. Always very satisfied. The M size perfectly for a 40/42, the fabric is nice, size is maintained by a wide belt that greenhouse too. It is resistant to washing.</v>
      </c>
    </row>
    <row r="11226">
      <c r="A11226" s="1">
        <v>5.0</v>
      </c>
      <c r="B11226" s="1" t="s">
        <v>11039</v>
      </c>
      <c r="C11226" t="str">
        <f>IFERROR(__xludf.DUMMYFUNCTION("GOOGLETRANSLATE(B11226, ""fr"", ""en"")"),"Everything is perfect. Too much has nothing perfect repeat (")</f>
        <v>Everything is perfect. Too much has nothing perfect repeat (</v>
      </c>
    </row>
    <row r="11227">
      <c r="A11227" s="1">
        <v>5.0</v>
      </c>
      <c r="B11227" s="1" t="s">
        <v>11040</v>
      </c>
      <c r="C11227" t="str">
        <f>IFERROR(__xludf.DUMMYFUNCTION("GOOGLETRANSLATE(B11227, ""fr"", ""en"")"),"Received quickly with comfortable tool for disassembly, very convenient! Bracelet soft and light, very comfortable. I recommend it for Suunto BLACK RH.")</f>
        <v>Received quickly with comfortable tool for disassembly, very convenient! Bracelet soft and light, very comfortable. I recommend it for Suunto BLACK RH.</v>
      </c>
    </row>
    <row r="11228">
      <c r="A11228" s="1">
        <v>5.0</v>
      </c>
      <c r="B11228" s="1" t="s">
        <v>11041</v>
      </c>
      <c r="C11228" t="str">
        <f>IFERROR(__xludf.DUMMYFUNCTION("GOOGLETRANSLATE(B11228, ""fr"", ""en"")"),"Very nice bag Harry Potter")</f>
        <v>Very nice bag Harry Potter</v>
      </c>
    </row>
    <row r="11229">
      <c r="A11229" s="1">
        <v>5.0</v>
      </c>
      <c r="B11229" s="1" t="s">
        <v>11042</v>
      </c>
      <c r="C11229" t="str">
        <f>IFERROR(__xludf.DUMMYFUNCTION("GOOGLETRANSLATE(B11229, ""fr"", ""en"")"),"Bluetooth Headset A Personal Peace Oasis: Enjoy music with minimal or no distraction, as soon as you activate the Noise Reduction Active, which monitors and measures the ambient noise continuously and then reduce them by sending the opposite signal high A"&amp;"utonomy Performance: Thanks to a generous battery life of up to 30 hours, you can enjoy longer")</f>
        <v>Bluetooth Headset A Personal Peace Oasis: Enjoy music with minimal or no distraction, as soon as you activate the Noise Reduction Active, which monitors and measures the ambient noise continuously and then reduce them by sending the opposite signal high Autonomy Performance: Thanks to a generous battery life of up to 30 hours, you can enjoy longer</v>
      </c>
    </row>
    <row r="11230">
      <c r="A11230" s="1">
        <v>5.0</v>
      </c>
      <c r="B11230" s="1" t="s">
        <v>11043</v>
      </c>
      <c r="C11230" t="str">
        <f>IFERROR(__xludf.DUMMYFUNCTION("GOOGLETRANSLATE(B11230, ""fr"", ""en"")"),"easy and attractive! The laces are in place, they go perfectly on sneakers adult size. Easy to clean, they make perfect illusion! What a joy to put on his sneakers and laces have always perfectly in place! I recommend.")</f>
        <v>easy and attractive! The laces are in place, they go perfectly on sneakers adult size. Easy to clean, they make perfect illusion! What a joy to put on his sneakers and laces have always perfectly in place! I recommend.</v>
      </c>
    </row>
    <row r="11231">
      <c r="A11231" s="1">
        <v>5.0</v>
      </c>
      <c r="B11231" s="1" t="s">
        <v>11044</v>
      </c>
      <c r="C11231" t="str">
        <f>IFERROR(__xludf.DUMMYFUNCTION("GOOGLETRANSLATE(B11231, ""fr"", ""en"")"),"beautiful bottles mam Mam pretty bottles, practical and solid quality teats fit all bottles Mam, which is very convenient")</f>
        <v>beautiful bottles mam Mam pretty bottles, practical and solid quality teats fit all bottles Mam, which is very convenient</v>
      </c>
    </row>
    <row r="11232">
      <c r="A11232" s="1">
        <v>5.0</v>
      </c>
      <c r="B11232" s="1" t="s">
        <v>11045</v>
      </c>
      <c r="C11232" t="str">
        <f>IFERROR(__xludf.DUMMYFUNCTION("GOOGLETRANSLATE(B11232, ""fr"", ""en"")"),"Super strap man Very beautiful bracelet bought to give to a teenager who was delighted.")</f>
        <v>Super strap man Very beautiful bracelet bought to give to a teenager who was delighted.</v>
      </c>
    </row>
    <row r="11233">
      <c r="A11233" s="1">
        <v>2.0</v>
      </c>
      <c r="B11233" s="1" t="s">
        <v>11046</v>
      </c>
      <c r="C11233" t="str">
        <f>IFERROR(__xludf.DUMMYFUNCTION("GOOGLETRANSLATE(B11233, ""fr"", ""en"")"),"without size too large for M but not in values. dull colors")</f>
        <v>without size too large for M but not in values. dull colors</v>
      </c>
    </row>
    <row r="11234">
      <c r="A11234" s="1">
        <v>1.0</v>
      </c>
      <c r="B11234" s="1" t="s">
        <v>11047</v>
      </c>
      <c r="C11234" t="str">
        <f>IFERROR(__xludf.DUMMYFUNCTION("GOOGLETRANSLATE(B11234, ""fr"", ""en"")"),"No forward hull !! We do not have full security shell in front of a shoe that does not cover anything suddenly I do not even know if we called it safety footwear I am very disappointed with the product!")</f>
        <v>No forward hull !! We do not have full security shell in front of a shoe that does not cover anything suddenly I do not even know if we called it safety footwear I am very disappointed with the product!</v>
      </c>
    </row>
    <row r="11235">
      <c r="A11235" s="1">
        <v>1.0</v>
      </c>
      <c r="B11235" s="1" t="s">
        <v>11048</v>
      </c>
      <c r="C11235" t="str">
        <f>IFERROR(__xludf.DUMMYFUNCTION("GOOGLETRANSLATE(B11235, ""fr"", ""en"")"),"very disappointed ... completely incorrect size I usually take the M I end up with the ad and M corresponds to the shameful XL I commenderais more clothes on amazon.")</f>
        <v>very disappointed ... completely incorrect size I usually take the M I end up with the ad and M corresponds to the shameful XL I commenderais more clothes on amazon.</v>
      </c>
    </row>
    <row r="11236">
      <c r="A11236" s="1">
        <v>3.0</v>
      </c>
      <c r="B11236" s="1" t="s">
        <v>11049</v>
      </c>
      <c r="C11236" t="str">
        <f>IFERROR(__xludf.DUMMYFUNCTION("GOOGLETRANSLATE(B11236, ""fr"", ""en"")"),"Mouai Tong of good quality but it is plastic it unleashed after 2 summer is not bad but good for the brand I was waiting a little better and more comfortable but still ok for the price")</f>
        <v>Mouai Tong of good quality but it is plastic it unleashed after 2 summer is not bad but good for the brand I was waiting a little better and more comfortable but still ok for the price</v>
      </c>
    </row>
    <row r="11237">
      <c r="A11237" s="1">
        <v>4.0</v>
      </c>
      <c r="B11237" s="1" t="s">
        <v>11050</v>
      </c>
      <c r="C11237" t="str">
        <f>IFERROR(__xludf.DUMMYFUNCTION("GOOGLETRANSLATE(B11237, ""fr"", ""en"")"),"safe safe Quality Quality")</f>
        <v>safe safe Quality Quality</v>
      </c>
    </row>
    <row r="11238">
      <c r="A11238" s="1">
        <v>4.0</v>
      </c>
      <c r="B11238" s="1" t="s">
        <v>11051</v>
      </c>
      <c r="C11238" t="str">
        <f>IFERROR(__xludf.DUMMYFUNCTION("GOOGLETRANSLATE(B11238, ""fr"", ""en"")"),"Although Good value, small size a little, I had to return to take a size bigger.")</f>
        <v>Although Good value, small size a little, I had to return to take a size bigger.</v>
      </c>
    </row>
    <row r="11239">
      <c r="A11239" s="1">
        <v>4.0</v>
      </c>
      <c r="B11239" s="1" t="s">
        <v>11052</v>
      </c>
      <c r="C11239" t="str">
        <f>IFERROR(__xludf.DUMMYFUNCTION("GOOGLETRANSLATE(B11239, ""fr"", ""en"")"),"basketball Comfortable")</f>
        <v>basketball Comfortable</v>
      </c>
    </row>
    <row r="11240">
      <c r="A11240" s="1">
        <v>4.0</v>
      </c>
      <c r="B11240" s="1" t="s">
        <v>11053</v>
      </c>
      <c r="C11240" t="str">
        <f>IFERROR(__xludf.DUMMYFUNCTION("GOOGLETRANSLATE(B11240, ""fr"", ""en"")"),"Teen Sweat The colors are identical to phographie, not very thick sweater")</f>
        <v>Teen Sweat The colors are identical to phographie, not very thick sweater</v>
      </c>
    </row>
    <row r="11241">
      <c r="A11241" s="1">
        <v>5.0</v>
      </c>
      <c r="B11241" s="1" t="s">
        <v>11054</v>
      </c>
      <c r="C11241" t="str">
        <f>IFERROR(__xludf.DUMMYFUNCTION("GOOGLETRANSLATE(B11241, ""fr"", ""en"")"),"Best choice obviously as good as the market reference, but 2 to 3 times cheaper. Do not hesitate.")</f>
        <v>Best choice obviously as good as the market reference, but 2 to 3 times cheaper. Do not hesitate.</v>
      </c>
    </row>
    <row r="11242">
      <c r="A11242" s="1">
        <v>5.0</v>
      </c>
      <c r="B11242" s="1" t="s">
        <v>11055</v>
      </c>
      <c r="C11242" t="str">
        <f>IFERROR(__xludf.DUMMYFUNCTION("GOOGLETRANSLATE(B11242, ""fr"", ""en"")"),"A classic and a safe bet ... bag bought for my teen who comes in third grade, I already knew the brand to have already used, I'm pretty happy with the result and the resistance of the bag in time and its correct capacity that can store binders, notebooks "&amp;"and other books for the day ... I regret one thing, there is no backing down, inside, like some other similar models other brands, to stabilize everything our children carry on their backs, it is already quite heavy and complicated for them ...")</f>
        <v>A classic and a safe bet ... bag bought for my teen who comes in third grade, I already knew the brand to have already used, I'm pretty happy with the result and the resistance of the bag in time and its correct capacity that can store binders, notebooks and other books for the day ... I regret one thing, there is no backing down, inside, like some other similar models other brands, to stabilize everything our children carry on their backs, it is already quite heavy and complicated for them ...</v>
      </c>
    </row>
    <row r="11243">
      <c r="A11243" s="1">
        <v>5.0</v>
      </c>
      <c r="B11243" s="1" t="s">
        <v>11056</v>
      </c>
      <c r="C11243" t="str">
        <f>IFERROR(__xludf.DUMMYFUNCTION("GOOGLETRANSLATE(B11243, ""fr"", ""en"")"),"Wonderful product hot Oh, perfect for relaxation!")</f>
        <v>Wonderful product hot Oh, perfect for relaxation!</v>
      </c>
    </row>
    <row r="11244">
      <c r="A11244" s="1">
        <v>5.0</v>
      </c>
      <c r="B11244" s="1" t="s">
        <v>11057</v>
      </c>
      <c r="C11244" t="str">
        <f>IFERROR(__xludf.DUMMYFUNCTION("GOOGLETRANSLATE(B11244, ""fr"", ""en"")"),"I just love it!! I am a big fan of this awakening !! Easy connection to Alexa, the alarm setting can also be done via Alexa. The design matches the picture, I adore!")</f>
        <v>I just love it!! I am a big fan of this awakening !! Easy connection to Alexa, the alarm setting can also be done via Alexa. The design matches the picture, I adore!</v>
      </c>
    </row>
    <row r="11245">
      <c r="A11245" s="1">
        <v>5.0</v>
      </c>
      <c r="B11245" s="1" t="s">
        <v>11058</v>
      </c>
      <c r="C11245" t="str">
        <f>IFERROR(__xludf.DUMMYFUNCTION("GOOGLETRANSLATE(B11245, ""fr"", ""en"")"),"ùmocassin slipper style comfortable shoes, moccasin style line brown, shoe size is perfect; I am very satisfied with this purchase.")</f>
        <v>ùmocassin slipper style comfortable shoes, moccasin style line brown, shoe size is perfect; I am very satisfied with this purchase.</v>
      </c>
    </row>
    <row r="11246">
      <c r="A11246" s="1">
        <v>5.0</v>
      </c>
      <c r="B11246" s="1" t="s">
        <v>11059</v>
      </c>
      <c r="C11246" t="str">
        <f>IFERROR(__xludf.DUMMYFUNCTION("GOOGLETRANSLATE(B11246, ""fr"", ""en"")"),"Pretty nice fi8nitions quality")</f>
        <v>Pretty nice fi8nitions quality</v>
      </c>
    </row>
    <row r="11247">
      <c r="A11247" s="1">
        <v>5.0</v>
      </c>
      <c r="B11247" s="1" t="s">
        <v>11060</v>
      </c>
      <c r="C11247" t="str">
        <f>IFERROR(__xludf.DUMMYFUNCTION("GOOGLETRANSLATE(B11247, ""fr"", ""en"")"),"Boots Good product, a bit heavy to wear, but it is a product classified as ""security"" Fast shipping; to recommend. Congratulations to this trader.")</f>
        <v>Boots Good product, a bit heavy to wear, but it is a product classified as "security" Fast shipping; to recommend. Congratulations to this trader.</v>
      </c>
    </row>
    <row r="11248">
      <c r="A11248" s="1">
        <v>5.0</v>
      </c>
      <c r="B11248" s="1" t="s">
        <v>11061</v>
      </c>
      <c r="C11248" t="str">
        <f>IFERROR(__xludf.DUMMYFUNCTION("GOOGLETRANSLATE(B11248, ""fr"", ""en"")"),"Superb! Great album for the price")</f>
        <v>Superb! Great album for the price</v>
      </c>
    </row>
    <row r="11249">
      <c r="A11249" s="1">
        <v>5.0</v>
      </c>
      <c r="B11249" s="1" t="s">
        <v>11062</v>
      </c>
      <c r="C11249" t="str">
        <f>IFERROR(__xludf.DUMMYFUNCTION("GOOGLETRANSLATE(B11249, ""fr"", ""en"")"),"Markers perfect to carefully write on blackboard markers correspond completely to my expectations and allow neat and legible writing slates on all media (painting, wall decoration ...). No problem to erase even the colored markers do not leave traces. I r"&amp;"ecommend.")</f>
        <v>Markers perfect to carefully write on blackboard markers correspond completely to my expectations and allow neat and legible writing slates on all media (painting, wall decoration ...). No problem to erase even the colored markers do not leave traces. I recommend.</v>
      </c>
    </row>
    <row r="11250">
      <c r="A11250" s="1">
        <v>5.0</v>
      </c>
      <c r="B11250" s="1" t="s">
        <v>11063</v>
      </c>
      <c r="C11250" t="str">
        <f>IFERROR(__xludf.DUMMYFUNCTION("GOOGLETRANSLATE(B11250, ""fr"", ""en"")"),"Beautiful bag Super beautiful .tres good quality bag")</f>
        <v>Beautiful bag Super beautiful .tres good quality bag</v>
      </c>
    </row>
    <row r="11251">
      <c r="A11251" s="1">
        <v>5.0</v>
      </c>
      <c r="B11251" s="1" t="s">
        <v>11064</v>
      </c>
      <c r="C11251" t="str">
        <f>IFERROR(__xludf.DUMMYFUNCTION("GOOGLETRANSLATE(B11251, ""fr"", ""en"")"),"It stings a little early Initially very spicy, but when installed, are you, saccoche storage and transport")</f>
        <v>It stings a little early Initially very spicy, but when installed, are you, saccoche storage and transport</v>
      </c>
    </row>
    <row r="11252">
      <c r="A11252" s="1">
        <v>5.0</v>
      </c>
      <c r="B11252" s="1" t="s">
        <v>11065</v>
      </c>
      <c r="C11252" t="str">
        <f>IFERROR(__xludf.DUMMYFUNCTION("GOOGLETRANSLATE(B11252, ""fr"", ""en"")"),"Vans official size and very good! I'm really happy with my purchase. These are official with original box and tags Official Vans. Size perfectly well, I have a 39 and took 39: impeccable!")</f>
        <v>Vans official size and very good! I'm really happy with my purchase. These are official with original box and tags Official Vans. Size perfectly well, I have a 39 and took 39: impeccable!</v>
      </c>
    </row>
    <row r="11253">
      <c r="A11253" s="1">
        <v>5.0</v>
      </c>
      <c r="B11253" s="1" t="s">
        <v>3772</v>
      </c>
      <c r="C11253" t="str">
        <f>IFERROR(__xludf.DUMMYFUNCTION("GOOGLETRANSLATE(B11253, ""fr"", ""en"")"),"Super Great")</f>
        <v>Super Great</v>
      </c>
    </row>
    <row r="11254">
      <c r="A11254" s="1">
        <v>5.0</v>
      </c>
      <c r="B11254" s="1" t="s">
        <v>11066</v>
      </c>
      <c r="C11254" t="str">
        <f>IFERROR(__xludf.DUMMYFUNCTION("GOOGLETRANSLATE(B11254, ""fr"", ""en"")"),"PERFECT COMPRESSION TOP HOT AND VERY NICE TO WEAR FOR RUNNING ESPECIALLY IN COLD WEATHER AND WET THIS WINTER")</f>
        <v>PERFECT COMPRESSION TOP HOT AND VERY NICE TO WEAR FOR RUNNING ESPECIALLY IN COLD WEATHER AND WET THIS WINTER</v>
      </c>
    </row>
    <row r="11255">
      <c r="A11255" s="1">
        <v>5.0</v>
      </c>
      <c r="B11255" s="1" t="s">
        <v>11067</v>
      </c>
      <c r="C11255" t="str">
        <f>IFERROR(__xludf.DUMMYFUNCTION("GOOGLETRANSLATE(B11255, ""fr"", ""en"")"),"Return ink cartridges for my order of May 10 No. 405 528518 0537142 Cartridge gun MG3600 Printer. This is the reference that I have entered in the search engine; I was delivered of cartridges for a MG3650 unsuitable. It turns out that the return window is"&amp;" closed, I realized my mistake only yesterday. There is a problem with the search engine.")</f>
        <v>Return ink cartridges for my order of May 10 No. 405 528518 0537142 Cartridge gun MG3600 Printer. This is the reference that I have entered in the search engine; I was delivered of cartridges for a MG3650 unsuitable. It turns out that the return window is closed, I realized my mistake only yesterday. There is a problem with the search engine.</v>
      </c>
    </row>
    <row r="11256">
      <c r="A11256" s="1">
        <v>2.0</v>
      </c>
      <c r="B11256" s="1" t="s">
        <v>11068</v>
      </c>
      <c r="C11256" t="str">
        <f>IFERROR(__xludf.DUMMYFUNCTION("GOOGLETRANSLATE(B11256, ""fr"", ""en"")"),"Beautiful watch that does not give the early service Amazon top. Watch beautiful; kind tool watch passes in costume. However ..... bad mechanism. Mine takes nearly 4 minutes ahead / day !!!!!!!!!!!!!!!!!!!!!!!!!!!!!!!!! So shop for back guarantee.")</f>
        <v>Beautiful watch that does not give the early service Amazon top. Watch beautiful; kind tool watch passes in costume. However ..... bad mechanism. Mine takes nearly 4 minutes ahead / day !!!!!!!!!!!!!!!!!!!!!!!!!!!!!!!!! So shop for back guarantee.</v>
      </c>
    </row>
    <row r="11257">
      <c r="A11257" s="1">
        <v>1.0</v>
      </c>
      <c r="B11257" s="1" t="s">
        <v>11069</v>
      </c>
      <c r="C11257" t="str">
        <f>IFERROR(__xludf.DUMMYFUNCTION("GOOGLETRANSLATE(B11257, ""fr"", ""en"")"),"Shit Happens to function as 🤔 2 days and it will not load.")</f>
        <v>Shit Happens to function as 🤔 2 days and it will not load.</v>
      </c>
    </row>
    <row r="11258">
      <c r="A11258" s="1">
        <v>3.0</v>
      </c>
      <c r="B11258" s="1" t="s">
        <v>11070</v>
      </c>
      <c r="C11258" t="str">
        <f>IFERROR(__xludf.DUMMYFUNCTION("GOOGLETRANSLATE(B11258, ""fr"", ""en"")"),"Quality at its price (42.99 euros) When I bought this helmet he was presented with a supposedly good promo that truth does not exist as is common on eBay (we are offered products with coupon 30, 40, up to 70% or more reduction while their real price corre"&amp;"sponds to that offered ""promo"" made. so beware of this type of scam that amazon has been directly or specialist as an accomplice. Now the product itself. the design is very nice. the part that protects the head is rather nice, quite frankly same, if not"&amp;" it is a little too rigid. It is very thick and therefore comfortable. the cover for the ear are really nickels. Wrapping our ears completely without heat, they are really comfortable. the possibilities to connect two different son on each side of the hel"&amp;"met might seem a detail but it's damn true p read. This is the first time I have a helmet with directional headphones, this makes me a little weird but it's not bad at all. Regarding the sound, in the end it is quite honest, nice. Let's be frank, it is go"&amp;"od (really). Compared to my old headphones, the Sony Extra Bass MDRXB500 of 2011, which dropped me, I find it almost higher if o allows for two details: the sound is closer, this was like being in presence of the interpreter as long as you close your eyes"&amp;" and that you let yourself take in the pieces. The other is that sometimes we hear certain sounds (instrument for example), some voices (singers) who passed rather unnoticed with Sony. BUT CAUTION: If the sound is really like to see a little above the Son"&amp;"y, a setting with the equalizer is downright necessary for this result (this was the case of the Sony APS). So into each other ... for the first few uses, the bass was virtually nonexistent with this OneOdio. The settings are really required. Another aspe"&amp;"ct is also that if the helmet is really light and is not too ears, all parties ""silver"" are neither more nor less than the plastocs, plastocs, plastocs. That seems fairly solid. Well, sure, it's not meant to be balanced against a wall. To see with time."&amp;" Anyway I think it will be more durable than the Sony in this regard. It's been a month since I use it. Last, those who write it protects us many surrounding noise should use in an apartment or a room where they are alone. It is true that we are a bit cut"&amp;" off from the outside world but especially not listen to those who want us to believe that this helmet is the pro equipment or has the efficacy of an active noise reduction. We realize some comments that those who write must be paid for it. Conclusion: a "&amp;"good helmet, really, that is not worth more than 43 euros that I paid in my opinion. Nothing revolutionary, however. A good compromise between quality very respectable and an expense without excess, without, however, let us not forget, type in the high ra"&amp;"nge. And it mandatory setting to really have a pleasant sound bothers me, I admit. If you tried, do not hesitate to try it. Posted by Amazon, there is always the possibility of a refund in case of dissatisfaction.")</f>
        <v>Quality at its price (42.99 euros) When I bought this helmet he was presented with a supposedly good promo that truth does not exist as is common on eBay (we are offered products with coupon 30, 40, up to 70% or more reduction while their real price corresponds to that offered "promo" made. so beware of this type of scam that amazon has been directly or specialist as an accomplice. Now the product itself. the design is very nice. the part that protects the head is rather nice, quite frankly same, if not it is a little too rigid. It is very thick and therefore comfortable. the cover for the ear are really nickels. Wrapping our ears completely without heat, they are really comfortable. the possibilities to connect two different son on each side of the helmet might seem a detail but it's damn true p read. This is the first time I have a helmet with directional headphones, this makes me a little weird but it's not bad at all. Regarding the sound, in the end it is quite honest, nice. Let's be frank, it is good (really). Compared to my old headphones, the Sony Extra Bass MDRXB500 of 2011, which dropped me, I find it almost higher if o allows for two details: the sound is closer, this was like being in presence of the interpreter as long as you close your eyes and that you let yourself take in the pieces. The other is that sometimes we hear certain sounds (instrument for example), some voices (singers) who passed rather unnoticed with Sony. BUT CAUTION: If the sound is really like to see a little above the Sony, a setting with the equalizer is downright necessary for this result (this was the case of the Sony APS). So into each other ... for the first few uses, the bass was virtually nonexistent with this OneOdio. The settings are really required. Another aspect is also that if the helmet is really light and is not too ears, all parties "silver" are neither more nor less than the plastocs, plastocs, plastocs. That seems fairly solid. Well, sure, it's not meant to be balanced against a wall. To see with time. Anyway I think it will be more durable than the Sony in this regard. It's been a month since I use it. Last, those who write it protects us many surrounding noise should use in an apartment or a room where they are alone. It is true that we are a bit cut off from the outside world but especially not listen to those who want us to believe that this helmet is the pro equipment or has the efficacy of an active noise reduction. We realize some comments that those who write must be paid for it. Conclusion: a good helmet, really, that is not worth more than 43 euros that I paid in my opinion. Nothing revolutionary, however. A good compromise between quality very respectable and an expense without excess, without, however, let us not forget, type in the high range. And it mandatory setting to really have a pleasant sound bothers me, I admit. If you tried, do not hesitate to try it. Posted by Amazon, there is always the possibility of a refund in case of dissatisfaction.</v>
      </c>
    </row>
    <row r="11259">
      <c r="A11259" s="1">
        <v>3.0</v>
      </c>
      <c r="B11259" s="1" t="s">
        <v>11071</v>
      </c>
      <c r="C11259" t="str">
        <f>IFERROR(__xludf.DUMMYFUNCTION("GOOGLETRANSLATE(B11259, ""fr"", ""en"")"),"Beautiful but too big White and varnish. With 2 pairs of laces with 1 satin style. But too big damage.")</f>
        <v>Beautiful but too big White and varnish. With 2 pairs of laces with 1 satin style. But too big damage.</v>
      </c>
    </row>
    <row r="11260">
      <c r="A11260" s="1">
        <v>4.0</v>
      </c>
      <c r="B11260" s="1" t="s">
        <v>11072</v>
      </c>
      <c r="C11260" t="str">
        <f>IFERROR(__xludf.DUMMYFUNCTION("GOOGLETRANSLATE(B11260, ""fr"", ""en"")"),"A watch classic invoice Presented in an elegant cardboard box with warranty card, there is also a manual (in English only) Operation and maintenance cleaning cloth. The watch is mounted on a brown leather strap natural suede, with 3 extras date dials. The"&amp;" needles steels have a little touch of white, the second hand a little red. The time is easy to read and the battery is already installed by the manufacturer. This is a dress watch for the office or the outputs of a rather classical style. For me it is ra"&amp;"ther a gift from 30 years or 40 years.")</f>
        <v>A watch classic invoice Presented in an elegant cardboard box with warranty card, there is also a manual (in English only) Operation and maintenance cleaning cloth. The watch is mounted on a brown leather strap natural suede, with 3 extras date dials. The needles steels have a little touch of white, the second hand a little red. The time is easy to read and the battery is already installed by the manufacturer. This is a dress watch for the office or the outputs of a rather classical style. For me it is rather a gift from 30 years or 40 years.</v>
      </c>
    </row>
    <row r="11261">
      <c r="A11261" s="1">
        <v>4.0</v>
      </c>
      <c r="B11261" s="1" t="s">
        <v>11073</v>
      </c>
      <c r="C11261" t="str">
        <f>IFERROR(__xludf.DUMMYFUNCTION("GOOGLETRANSLATE(B11261, ""fr"", ""en"")"),"Super practical So I love the concept of not being forced to take it all in full for 1 output by only a small box against the opening to pour the milk that is already broken a box but otherwise I buy it back if necessary")</f>
        <v>Super practical So I love the concept of not being forced to take it all in full for 1 output by only a small box against the opening to pour the milk that is already broken a box but otherwise I buy it back if necessary</v>
      </c>
    </row>
    <row r="11262">
      <c r="A11262" s="1">
        <v>4.0</v>
      </c>
      <c r="B11262" s="1" t="s">
        <v>11074</v>
      </c>
      <c r="C11262" t="str">
        <f>IFERROR(__xludf.DUMMYFUNCTION("GOOGLETRANSLATE(B11262, ""fr"", ""en"")"),"The seller is serious. Content of the product.")</f>
        <v>The seller is serious. Content of the product.</v>
      </c>
    </row>
    <row r="11263">
      <c r="A11263" s="1">
        <v>4.0</v>
      </c>
      <c r="B11263" s="1" t="s">
        <v>11075</v>
      </c>
      <c r="C11263" t="str">
        <f>IFERROR(__xludf.DUMMYFUNCTION("GOOGLETRANSLATE(B11263, ""fr"", ""en"")"),"Effective Second time I buy this product. If one follows the frequency of treatment, finished odors and grease trap I have more surface deposit. Essential")</f>
        <v>Effective Second time I buy this product. If one follows the frequency of treatment, finished odors and grease trap I have more surface deposit. Essential</v>
      </c>
    </row>
    <row r="11264">
      <c r="A11264" s="1">
        <v>5.0</v>
      </c>
      <c r="B11264" s="1" t="s">
        <v>11076</v>
      </c>
      <c r="C11264" t="str">
        <f>IFERROR(__xludf.DUMMYFUNCTION("GOOGLETRANSLATE(B11264, ""fr"", ""en"")"),"Dr. Martens 1460 Boots DMC SM-B mixed adult Bravo, great shoes, much as I do the bike (that's fine) but I needed to size 48 and I add super comfortable insoles Optimal care Decathlon otherwise I float in")</f>
        <v>Dr. Martens 1460 Boots DMC SM-B mixed adult Bravo, great shoes, much as I do the bike (that's fine) but I needed to size 48 and I add super comfortable insoles Optimal care Decathlon otherwise I float in</v>
      </c>
    </row>
    <row r="11265">
      <c r="A11265" s="1">
        <v>5.0</v>
      </c>
      <c r="B11265" s="1" t="s">
        <v>11077</v>
      </c>
      <c r="C11265" t="str">
        <f>IFERROR(__xludf.DUMMYFUNCTION("GOOGLETRANSLATE(B11265, ""fr"", ""en"")"),"No surprise Very good product no surprise Once bib purchased accessories enable a smooth evolution I advise")</f>
        <v>No surprise Very good product no surprise Once bib purchased accessories enable a smooth evolution I advise</v>
      </c>
    </row>
    <row r="11266">
      <c r="A11266" s="1">
        <v>5.0</v>
      </c>
      <c r="B11266" s="1" t="s">
        <v>11078</v>
      </c>
      <c r="C11266" t="str">
        <f>IFERROR(__xludf.DUMMYFUNCTION("GOOGLETRANSLATE(B11266, ""fr"", ""en"")"),"Top product Perfect thank you")</f>
        <v>Top product Perfect thank you</v>
      </c>
    </row>
    <row r="11267">
      <c r="A11267" s="1">
        <v>5.0</v>
      </c>
      <c r="B11267" s="1" t="s">
        <v>11079</v>
      </c>
      <c r="C11267" t="str">
        <f>IFERROR(__xludf.DUMMYFUNCTION("GOOGLETRANSLATE(B11267, ""fr"", ""en"")"),"Top Top but do not prevent colic in us ...")</f>
        <v>Top Top but do not prevent colic in us ...</v>
      </c>
    </row>
    <row r="11268">
      <c r="A11268" s="1">
        <v>5.0</v>
      </c>
      <c r="B11268" s="1" t="s">
        <v>11080</v>
      </c>
      <c r="C11268" t="str">
        <f>IFERROR(__xludf.DUMMYFUNCTION("GOOGLETRANSLATE(B11268, ""fr"", ""en"")"),"To provide emergency! The best purchase of my life! It's been 2 years since I put almost every day. Summer, like winter ! And yes they are extremely strong!")</f>
        <v>To provide emergency! The best purchase of my life! It's been 2 years since I put almost every day. Summer, like winter ! And yes they are extremely strong!</v>
      </c>
    </row>
    <row r="11269">
      <c r="A11269" s="1">
        <v>5.0</v>
      </c>
      <c r="B11269" s="1" t="s">
        <v>11081</v>
      </c>
      <c r="C11269" t="str">
        <f>IFERROR(__xludf.DUMMYFUNCTION("GOOGLETRANSLATE(B11269, ""fr"", ""en"")"),"very good")</f>
        <v>very good</v>
      </c>
    </row>
    <row r="11270">
      <c r="A11270" s="1">
        <v>5.0</v>
      </c>
      <c r="B11270" s="1" t="s">
        <v>787</v>
      </c>
      <c r="C11270" t="str">
        <f>IFERROR(__xludf.DUMMYFUNCTION("GOOGLETRANSLATE(B11270, ""fr"", ""en"")"),"Very good product great product")</f>
        <v>Very good product great product</v>
      </c>
    </row>
    <row r="11271">
      <c r="A11271" s="1">
        <v>5.0</v>
      </c>
      <c r="B11271" s="1" t="s">
        <v>11082</v>
      </c>
      <c r="C11271" t="str">
        <f>IFERROR(__xludf.DUMMYFUNCTION("GOOGLETRANSLATE(B11271, ""fr"", ""en"")"),"Watch digital product purchased but balance that matches my expectations. Watch very visible day and night with big numbers. Delivery and product conforms to my order.")</f>
        <v>Watch digital product purchased but balance that matches my expectations. Watch very visible day and night with big numbers. Delivery and product conforms to my order.</v>
      </c>
    </row>
    <row r="11272">
      <c r="A11272" s="1">
        <v>5.0</v>
      </c>
      <c r="B11272" s="1" t="s">
        <v>508</v>
      </c>
      <c r="C11272" t="str">
        <f>IFERROR(__xludf.DUMMYFUNCTION("GOOGLETRANSLATE(B11272, ""fr"", ""en"")"),"Very well very well")</f>
        <v>Very well very well</v>
      </c>
    </row>
    <row r="11273">
      <c r="A11273" s="1">
        <v>5.0</v>
      </c>
      <c r="B11273" s="1" t="s">
        <v>11083</v>
      </c>
      <c r="C11273" t="str">
        <f>IFERROR(__xludf.DUMMYFUNCTION("GOOGLETRANSLATE(B11273, ""fr"", ""en"")"),"Original and surprising Parcel quickly received great original idea for a birthday. I love the pictures and I find this so surprising surprise box I would order re")</f>
        <v>Original and surprising Parcel quickly received great original idea for a birthday. I love the pictures and I find this so surprising surprise box I would order re</v>
      </c>
    </row>
    <row r="11274">
      <c r="A11274" s="1">
        <v>5.0</v>
      </c>
      <c r="B11274" s="1" t="s">
        <v>11084</v>
      </c>
      <c r="C11274" t="str">
        <f>IFERROR(__xludf.DUMMYFUNCTION("GOOGLETRANSLATE(B11274, ""fr"", ""en"")"),"Top quality natural crystal powder, this product is beautiful color and small, offering a different experience, suitable for face, forehead, eyes, etc. It has become an indispensable part of my daily care, just 5 minutes a day, confident and beautiful")</f>
        <v>Top quality natural crystal powder, this product is beautiful color and small, offering a different experience, suitable for face, forehead, eyes, etc. It has become an indispensable part of my daily care, just 5 minutes a day, confident and beautiful</v>
      </c>
    </row>
    <row r="11275">
      <c r="A11275" s="1">
        <v>5.0</v>
      </c>
      <c r="B11275" s="1" t="s">
        <v>11085</v>
      </c>
      <c r="C11275" t="str">
        <f>IFERROR(__xludf.DUMMYFUNCTION("GOOGLETRANSLATE(B11275, ""fr"", ""en"")"),"Simple and convenient First time I bought a kettle, I just feel that it would be complicated, especially where I live, with very hard water, but ultimately no, this is very easy to use and even if the kettle is quite loud in heats, the result is impeccabl"&amp;"e.")</f>
        <v>Simple and convenient First time I bought a kettle, I just feel that it would be complicated, especially where I live, with very hard water, but ultimately no, this is very easy to use and even if the kettle is quite loud in heats, the result is impeccable.</v>
      </c>
    </row>
    <row r="11276">
      <c r="A11276" s="1">
        <v>5.0</v>
      </c>
      <c r="B11276" s="1" t="s">
        <v>11086</v>
      </c>
      <c r="C11276" t="str">
        <f>IFERROR(__xludf.DUMMYFUNCTION("GOOGLETRANSLATE(B11276, ""fr"", ""en"")"),"Perfect for running product purchased for the race. Good size. Good value for money. The delivery time is correct. It protects well against the cold during the winter and keeps the muscles warm during the race. Do not bother for the foot race. I bought it"&amp;" with its low in early fall to resume running and I was not disappointed in the winter. I expect even buy a third set. I recommand it")</f>
        <v>Perfect for running product purchased for the race. Good size. Good value for money. The delivery time is correct. It protects well against the cold during the winter and keeps the muscles warm during the race. Do not bother for the foot race. I bought it with its low in early fall to resume running and I was not disappointed in the winter. I expect even buy a third set. I recommand it</v>
      </c>
    </row>
    <row r="11277">
      <c r="A11277" s="1">
        <v>5.0</v>
      </c>
      <c r="B11277" s="1" t="s">
        <v>11087</v>
      </c>
      <c r="C11277" t="str">
        <f>IFERROR(__xludf.DUMMYFUNCTION("GOOGLETRANSLATE(B11277, ""fr"", ""en"")"),"Magnificent Brille thousand lights Very elegant I have only compliments")</f>
        <v>Magnificent Brille thousand lights Very elegant I have only compliments</v>
      </c>
    </row>
    <row r="11278">
      <c r="A11278" s="1">
        <v>5.0</v>
      </c>
      <c r="B11278" s="1" t="s">
        <v>11088</v>
      </c>
      <c r="C11278" t="str">
        <f>IFERROR(__xludf.DUMMYFUNCTION("GOOGLETRANSLATE(B11278, ""fr"", ""en"")"),"delivered in good condition thank you")</f>
        <v>delivered in good condition thank you</v>
      </c>
    </row>
    <row r="11279">
      <c r="A11279" s="1">
        <v>5.0</v>
      </c>
      <c r="B11279" s="1" t="s">
        <v>11089</v>
      </c>
      <c r="C11279" t="str">
        <f>IFERROR(__xludf.DUMMYFUNCTION("GOOGLETRANSLATE(B11279, ""fr"", ""en"")"),"Glad Very good quality / price ratio. Nothing to say negative about this product because it conforms to the product that we find in supermarkets")</f>
        <v>Glad Very good quality / price ratio. Nothing to say negative about this product because it conforms to the product that we find in supermarkets</v>
      </c>
    </row>
    <row r="11280">
      <c r="A11280" s="1">
        <v>2.0</v>
      </c>
      <c r="B11280" s="1" t="s">
        <v>11090</v>
      </c>
      <c r="C11280" t="str">
        <f>IFERROR(__xludf.DUMMYFUNCTION("GOOGLETRANSLATE(B11280, ""fr"", ""en"")"),"I recommend Following a lost parcel seller kindly resent the parcel so that I waited almost a month, but it go, after 2 hours of use (far from intensive) the sole right c is set to ""&amp; nbsp; crack &amp; nbsp;"" under my foot at every step, after three days se"&amp;"cond too .. certainly are not worth very expensive but I thought not having to buy after just a week of use, they are pretty but absolutely not adapted to 8h of work per day, or I only trample yet ..")</f>
        <v>I recommend Following a lost parcel seller kindly resent the parcel so that I waited almost a month, but it go, after 2 hours of use (far from intensive) the sole right c is set to "&amp; nbsp; crack &amp; nbsp;" under my foot at every step, after three days second too .. certainly are not worth very expensive but I thought not having to buy after just a week of use, they are pretty but absolutely not adapted to 8h of work per day, or I only trample yet ..</v>
      </c>
    </row>
    <row r="11281">
      <c r="A11281" s="1">
        <v>1.0</v>
      </c>
      <c r="B11281" s="1" t="s">
        <v>11091</v>
      </c>
      <c r="C11281" t="str">
        <f>IFERROR(__xludf.DUMMYFUNCTION("GOOGLETRANSLATE(B11281, ""fr"", ""en"")"),"Hazardous Object Object received defective: received in the state, the base is not sealed with the base making apparent electrical son. Risk of electric shock See pictures")</f>
        <v>Hazardous Object Object received defective: received in the state, the base is not sealed with the base making apparent electrical son. Risk of electric shock See pictures</v>
      </c>
    </row>
    <row r="11282">
      <c r="A11282" s="1">
        <v>1.0</v>
      </c>
      <c r="B11282" s="1" t="s">
        <v>11092</v>
      </c>
      <c r="C11282" t="str">
        <f>IFERROR(__xludf.DUMMYFUNCTION("GOOGLETRANSLATE(B11282, ""fr"", ""en"")"),"Casio declining Sure it starts on time alone !!! Very often on 01/01/2005, so manual reset. Watch gadget is the m ......")</f>
        <v>Casio declining Sure it starts on time alone !!! Very often on 01/01/2005, so manual reset. Watch gadget is the m ......</v>
      </c>
    </row>
    <row r="11283">
      <c r="A11283" s="1">
        <v>3.0</v>
      </c>
      <c r="B11283" s="1" t="s">
        <v>11093</v>
      </c>
      <c r="C11283" t="str">
        <f>IFERROR(__xludf.DUMMYFUNCTION("GOOGLETRANSLATE(B11283, ""fr"", ""en"")"),"We must take a size up As picture I have not tried because it's too hot it will I'm not disappointed")</f>
        <v>We must take a size up As picture I have not tried because it's too hot it will I'm not disappointed</v>
      </c>
    </row>
    <row r="11284">
      <c r="A11284" s="1">
        <v>3.0</v>
      </c>
      <c r="B11284" s="1" t="s">
        <v>11094</v>
      </c>
      <c r="C11284" t="str">
        <f>IFERROR(__xludf.DUMMYFUNCTION("GOOGLETRANSLATE(B11284, ""fr"", ""en"")"),"Good arm microphone arm is very useful for my videos. It is capable of folding in a different way as well as to turn by removing the screwed foot. However, I would have wanted to have attachments on the arm to the microphone cable. So I found the trick as"&amp;" surrounded the arm with the cable so it does not hang, it is not very attractive but it did the trick. Finally, after a few months of use, it's always like the first day.")</f>
        <v>Good arm microphone arm is very useful for my videos. It is capable of folding in a different way as well as to turn by removing the screwed foot. However, I would have wanted to have attachments on the arm to the microphone cable. So I found the trick as surrounded the arm with the cable so it does not hang, it is not very attractive but it did the trick. Finally, after a few months of use, it's always like the first day.</v>
      </c>
    </row>
    <row r="11285">
      <c r="A11285" s="1">
        <v>4.0</v>
      </c>
      <c r="B11285" s="1" t="s">
        <v>11095</v>
      </c>
      <c r="C11285" t="str">
        <f>IFERROR(__xludf.DUMMYFUNCTION("GOOGLETRANSLATE(B11285, ""fr"", ""en"")"),"Rather nice end but nice. Basic material not phew. Took Jai M pr man and it's rather L.")</f>
        <v>Rather nice end but nice. Basic material not phew. Took Jai M pr man and it's rather L.</v>
      </c>
    </row>
    <row r="11286">
      <c r="A11286" s="1">
        <v>4.0</v>
      </c>
      <c r="B11286" s="1" t="s">
        <v>11096</v>
      </c>
      <c r="C11286" t="str">
        <f>IFERROR(__xludf.DUMMYFUNCTION("GOOGLETRANSLATE(B11286, ""fr"", ""en"")"),"Super comfort Very comfortable purchase is recommended!")</f>
        <v>Super comfort Very comfortable purchase is recommended!</v>
      </c>
    </row>
    <row r="11287">
      <c r="A11287" s="1">
        <v>4.0</v>
      </c>
      <c r="B11287" s="1" t="s">
        <v>11097</v>
      </c>
      <c r="C11287" t="str">
        <f>IFERROR(__xludf.DUMMYFUNCTION("GOOGLETRANSLATE(B11287, ""fr"", ""en"")"),"Ear buds to replace my wired I ordered the Buds received 3 days after unpacking a few tries to adapt to my ears. I downloaded the application and commissioning. Telephone calls, plays music, delicious. I'm happy with my purchase and I recommend it. .")</f>
        <v>Ear buds to replace my wired I ordered the Buds received 3 days after unpacking a few tries to adapt to my ears. I downloaded the application and commissioning. Telephone calls, plays music, delicious. I'm happy with my purchase and I recommend it. .</v>
      </c>
    </row>
    <row r="11288">
      <c r="A11288" s="1">
        <v>4.0</v>
      </c>
      <c r="B11288" s="1" t="s">
        <v>11098</v>
      </c>
      <c r="C11288" t="str">
        <f>IFERROR(__xludf.DUMMYFUNCTION("GOOGLETRANSLATE(B11288, ""fr"", ""en"")"),"An article pretty sound pretty, the sound is too. The setting is insufficient however.")</f>
        <v>An article pretty sound pretty, the sound is too. The setting is insufficient however.</v>
      </c>
    </row>
    <row r="11289">
      <c r="A11289" s="1">
        <v>4.0</v>
      </c>
      <c r="B11289" s="1" t="s">
        <v>11099</v>
      </c>
      <c r="C11289" t="str">
        <f>IFERROR(__xludf.DUMMYFUNCTION("GOOGLETRANSLATE(B11289, ""fr"", ""en"")"),"It perfectly meets my expectations Earpiece very good")</f>
        <v>It perfectly meets my expectations Earpiece very good</v>
      </c>
    </row>
    <row r="11290">
      <c r="A11290" s="1">
        <v>5.0</v>
      </c>
      <c r="B11290" s="1" t="s">
        <v>11100</v>
      </c>
      <c r="C11290" t="str">
        <f>IFERROR(__xludf.DUMMYFUNCTION("GOOGLETRANSLATE(B11290, ""fr"", ""en"")"),"Okay Good value")</f>
        <v>Okay Good value</v>
      </c>
    </row>
    <row r="11291">
      <c r="A11291" s="1">
        <v>5.0</v>
      </c>
      <c r="B11291" s="1" t="s">
        <v>11101</v>
      </c>
      <c r="C11291" t="str">
        <f>IFERROR(__xludf.DUMMYFUNCTION("GOOGLETRANSLATE(B11291, ""fr"", ""en"")"),"Noble materials finely worked beautifully and reflecting light. &lt;Div id = ""video-block-R3GH3JFVXT9HV9"" class = ""a-section-spacing-small in-spacing-top mini video-block""&gt; &lt;/ div&gt; &lt;input type = ""hidden"" name = """" value = ""https://images-eu.ssl-imag"&amp;"es-amazon.com/images/I/D1dh5j5C-AS.mp4"" class = ""video-url""&gt; &lt;input type = ""hidden"" name = """" value = "" https://images-eu.ssl-images-amazon.com/images/I/818FP72mHiS.png ""class ="" video-slate-img-url ""&gt; &amp; nbsp; Well when I say fine materials it "&amp;"should be noted that the stones are not natural but made of zirconium oxide, they have the same light reflection properties than real diamonds. As for the metal is any money 925/1000 therefore not far from massive in small case presentation there is also "&amp;"a certificate of authenticity, a cleaning cloth and a small card to offer. The chain measures 45 cm and has a traditional buckle, be careful no adjustment links. Fine and elegant it is perfectly tailored to take light and give beautiful reflections in the"&amp;" sun. The pendant is composed of two intertwined infinity signs and set with small stones Zircon, in its center stands a large stone carved. Finishes such as inlays are beautiful for a flawless visual rendering, the pendant sparkles. Portable on all occas"&amp;"ions this small jewel remains discreet but perfectly reflects light, work and finishes of money like stones is remarkable. If I am not an expert in jewelry the quality / price seems quite decent.")</f>
        <v>Noble materials finely worked beautifully and reflecting light. &lt;Div id = "video-block-R3GH3JFVXT9HV9" class = "a-section-spacing-small in-spacing-top mini video-block"&gt; &lt;/ div&gt; &lt;input type = "hidden" name = "" value = "https://images-eu.ssl-images-amazon.com/images/I/D1dh5j5C-AS.mp4" class = "video-url"&gt; &lt;input type = "hidden" name = "" value = " https://images-eu.ssl-images-amazon.com/images/I/818FP72mHiS.png "class =" video-slate-img-url "&gt; &amp; nbsp; Well when I say fine materials it should be noted that the stones are not natural but made of zirconium oxide, they have the same light reflection properties than real diamonds. As for the metal is any money 925/1000 therefore not far from massive in small case presentation there is also a certificate of authenticity, a cleaning cloth and a small card to offer. The chain measures 45 cm and has a traditional buckle, be careful no adjustment links. Fine and elegant it is perfectly tailored to take light and give beautiful reflections in the sun. The pendant is composed of two intertwined infinity signs and set with small stones Zircon, in its center stands a large stone carved. Finishes such as inlays are beautiful for a flawless visual rendering, the pendant sparkles. Portable on all occasions this small jewel remains discreet but perfectly reflects light, work and finishes of money like stones is remarkable. If I am not an expert in jewelry the quality / price seems quite decent.</v>
      </c>
    </row>
    <row r="11292">
      <c r="A11292" s="1">
        <v>5.0</v>
      </c>
      <c r="B11292" s="1" t="s">
        <v>11102</v>
      </c>
      <c r="C11292" t="str">
        <f>IFERROR(__xludf.DUMMYFUNCTION("GOOGLETRANSLATE(B11292, ""fr"", ""en"")"),"Very good Fast shipping. Earphones practices magnetic tip, good sound, delivered in a small box with hooks and bits of various sizes, a usb cable. Best to put in the purse. The cable has a perfect length, much to touch the buttons for the microphone.")</f>
        <v>Very good Fast shipping. Earphones practices magnetic tip, good sound, delivered in a small box with hooks and bits of various sizes, a usb cable. Best to put in the purse. The cable has a perfect length, much to touch the buttons for the microphone.</v>
      </c>
    </row>
    <row r="11293">
      <c r="A11293" s="1">
        <v>5.0</v>
      </c>
      <c r="B11293" s="1" t="s">
        <v>11103</v>
      </c>
      <c r="C11293" t="str">
        <f>IFERROR(__xludf.DUMMYFUNCTION("GOOGLETRANSLATE(B11293, ""fr"", ""en"")"),"Perfect ! Gift I made to my dear mom for her birthday, which is a great consomatrice tea. She is thrilled! easy to use and effective")</f>
        <v>Perfect ! Gift I made to my dear mom for her birthday, which is a great consomatrice tea. She is thrilled! easy to use and effective</v>
      </c>
    </row>
    <row r="11294">
      <c r="A11294" s="1">
        <v>5.0</v>
      </c>
      <c r="B11294" s="1" t="s">
        <v>11104</v>
      </c>
      <c r="C11294" t="str">
        <f>IFERROR(__xludf.DUMMYFUNCTION("GOOGLETRANSLATE(B11294, ""fr"", ""en"")"),"Beautiful leggings Leggings comply with the description I recommend.")</f>
        <v>Beautiful leggings Leggings comply with the description I recommend.</v>
      </c>
    </row>
    <row r="11295">
      <c r="A11295" s="1">
        <v>5.0</v>
      </c>
      <c r="B11295" s="1" t="s">
        <v>11105</v>
      </c>
      <c r="C11295" t="str">
        <f>IFERROR(__xludf.DUMMYFUNCTION("GOOGLETRANSLATE(B11295, ""fr"", ""en"")"),"I'm late! I hesitated before ordering this awakening, and much good over me. It is true that it is a higher budget than any alarm, but at least this one wake up !!!! I do not put that light because I do not like its sound options, and put my laptop for re"&amp;"vival with my favorite music. Only drawback for me: you can not set the days, so if I forget, it lights on a Saturday morning! And forgets to turn on the Monday morning. Otherwise, I recommend for the difficult alarm clocks!")</f>
        <v>I'm late! I hesitated before ordering this awakening, and much good over me. It is true that it is a higher budget than any alarm, but at least this one wake up !!!! I do not put that light because I do not like its sound options, and put my laptop for revival with my favorite music. Only drawback for me: you can not set the days, so if I forget, it lights on a Saturday morning! And forgets to turn on the Monday morning. Otherwise, I recommend for the difficult alarm clocks!</v>
      </c>
    </row>
    <row r="11296">
      <c r="A11296" s="1">
        <v>5.0</v>
      </c>
      <c r="B11296" s="1" t="s">
        <v>11106</v>
      </c>
      <c r="C11296" t="str">
        <f>IFERROR(__xludf.DUMMYFUNCTION("GOOGLETRANSLATE(B11296, ""fr"", ""en"")"),"Perfect watch for the price I was looking for a diver shows like ""submariner"" it suits me perfectly. This is not my first automatic watch and it's the first time I put some money into a watch. My expectations were so low. But she surprised me with its q"&amp;"uality. Keep in mind that Invicta is a Swiss brand at the base. Here is a summary account in more detail. Packing: You receive the watch in his signed Invicta yellow box that protects well during transport, with warranty card, manual in English. It is str"&amp;"onger than the box of my Seiko sarb 400 euros so delighted that side. Watch: The quality is at its price. Obviously do not expect to have the quality of a Rolex or even a Steinhart Ocean One, but for this price, it is honorable. This is a mixture of polis"&amp;"hing and brushing rather well executed for the price (can be a bit too bright which gives effect ""bling bling"" at certain angles) The dial: There is nothing special, it is a matte black that reflects very little light (damage). The bottom entries are pr"&amp;"inted while the logo and ""invicta"" above are applied. They are a little ""cheap"" really. Round and rectangular markers are also affixed (not perfectly aligned but you really get close to see it) needles: They are also a little ""cheap"" in the image of"&amp;" the logo and ""unconquered."" Not much to say on that side. Here Invicta taken to the needle ""Mercedes"" for hours but stands rolex with a second hand taking the logo. The bezel (the notched bezel): It includes clicks 120 is rotated in the counterclockw"&amp;"ise direction only. It's a bit hard to turn but I was surprised to see that my model, it is very accurate. No game, and aligns perfectly to 12h. Really a good point here. The lume: Large negative here. The lume (phosphorescent material) is colored green a"&amp;"lmost dumpy. Moreover, it is not very effective (do not stay very long bright). Bracelet: Bracelet and friendly but the quality is not great. It is brushed with links in the middle who are polite. It makes a really nice look. The links are not connected b"&amp;"y screws but by bars. Too bad the end link are hollow. I suggest to replace it as quickly with a brown leather strap which makes top on Submariner (colareb sienna for example). But he can make the case pending. Movement: Big positive here. This is a movem"&amp;"ent Seiko NH 35A. It allows charging the watch with the balance in either direction, and a second-hacking. (Halt the seconds when setting the time) that one finds on the movement a little more normal. Like any Seiko movement, it is quite sturdy and holds "&amp;"well on time. (It may be regulated in your watch around 2-3 seconds per day). I got mine with a lead of 15 seconds per day. The first one I received was broken by cons. I had to return it from the opening. The screw-down crown: The idea of ​​the screw-dow"&amp;"n crown is good. Rather, it seems to me weak so do not too fun to screw up / down constantly. Conclusion: Overall quality + + Keeps good time nickel + Packaging + Price -Lume yucky -Hands logo and a little ""cheap"" -BRACELET replace if possible for even "&amp;"more class effect;) I RECOMMEND (note the price n stops not to go, you can soon turn to you mako East / mako USA / Ray raven for a more qualitative object at the same price) If you find this review helpful, put yes, it's always nice to know you has not sp"&amp;"ent time for nothing :)")</f>
        <v>Perfect watch for the price I was looking for a diver shows like "submariner" it suits me perfectly. This is not my first automatic watch and it's the first time I put some money into a watch. My expectations were so low. But she surprised me with its quality. Keep in mind that Invicta is a Swiss brand at the base. Here is a summary account in more detail. Packing: You receive the watch in his signed Invicta yellow box that protects well during transport, with warranty card, manual in English. It is stronger than the box of my Seiko sarb 400 euros so delighted that side. Watch: The quality is at its price. Obviously do not expect to have the quality of a Rolex or even a Steinhart Ocean One, but for this price, it is honorable. This is a mixture of polishing and brushing rather well executed for the price (can be a bit too bright which gives effect "bling bling" at certain angles) The dial: There is nothing special, it is a matte black that reflects very little light (damage). The bottom entries are printed while the logo and "invicta" above are applied. They are a little "cheap" really. Round and rectangular markers are also affixed (not perfectly aligned but you really get close to see it) needles: They are also a little "cheap" in the image of the logo and "unconquered." Not much to say on that side. Here Invicta taken to the needle "Mercedes" for hours but stands rolex with a second hand taking the logo. The bezel (the notched bezel): It includes clicks 120 is rotated in the counterclockwise direction only. It's a bit hard to turn but I was surprised to see that my model, it is very accurate. No game, and aligns perfectly to 12h. Really a good point here. The lume: Large negative here. The lume (phosphorescent material) is colored green almost dumpy. Moreover, it is not very effective (do not stay very long bright). Bracelet: Bracelet and friendly but the quality is not great. It is brushed with links in the middle who are polite. It makes a really nice look. The links are not connected by screws but by bars. Too bad the end link are hollow. I suggest to replace it as quickly with a brown leather strap which makes top on Submariner (colareb sienna for example). But he can make the case pending. Movement: Big positive here. This is a movement Seiko NH 35A. It allows charging the watch with the balance in either direction, and a second-hacking. (Halt the seconds when setting the time) that one finds on the movement a little more normal. Like any Seiko movement, it is quite sturdy and holds well on time. (It may be regulated in your watch around 2-3 seconds per day). I got mine with a lead of 15 seconds per day. The first one I received was broken by cons. I had to return it from the opening. The screw-down crown: The idea of ​​the screw-down crown is good. Rather, it seems to me weak so do not too fun to screw up / down constantly. Conclusion: Overall quality + + Keeps good time nickel + Packaging + Price -Lume yucky -Hands logo and a little "cheap" -BRACELET replace if possible for even more class effect;) I RECOMMEND (note the price n stops not to go, you can soon turn to you mako East / mako USA / Ray raven for a more qualitative object at the same price) If you find this review helpful, put yes, it's always nice to know you has not spent time for nothing :)</v>
      </c>
    </row>
    <row r="11297">
      <c r="A11297" s="1">
        <v>5.0</v>
      </c>
      <c r="B11297" s="1" t="s">
        <v>11107</v>
      </c>
      <c r="C11297" t="str">
        <f>IFERROR(__xludf.DUMMYFUNCTION("GOOGLETRANSLATE(B11297, ""fr"", ""en"")"),"elegant bracelet No delivery problem. I find this elegant and stylish bracelet. The mesh is fine. The bracelet is not heavy but solid. The clasp 3-position adjustment which is convenient. I do not regret my purchase.")</f>
        <v>elegant bracelet No delivery problem. I find this elegant and stylish bracelet. The mesh is fine. The bracelet is not heavy but solid. The clasp 3-position adjustment which is convenient. I do not regret my purchase.</v>
      </c>
    </row>
    <row r="11298">
      <c r="A11298" s="1">
        <v>5.0</v>
      </c>
      <c r="B11298" s="1" t="s">
        <v>11108</v>
      </c>
      <c r="C11298" t="str">
        <f>IFERROR(__xludf.DUMMYFUNCTION("GOOGLETRANSLATE(B11298, ""fr"", ""en"")"),"Great I wash all my clothes with this product, I associate it with white vinegar and essential oil of lemon.")</f>
        <v>Great I wash all my clothes with this product, I associate it with white vinegar and essential oil of lemon.</v>
      </c>
    </row>
    <row r="11299">
      <c r="A11299" s="1">
        <v>5.0</v>
      </c>
      <c r="B11299" s="1" t="s">
        <v>11109</v>
      </c>
      <c r="C11299" t="str">
        <f>IFERROR(__xludf.DUMMYFUNCTION("GOOGLETRANSLATE(B11299, ""fr"", ""en"")"),"These shoes are perfect perfect. Whether you are a hiker Sunday or member of an operational body in search of a solid and comfortable shoe, this model is that it takes you. To have it tested in the harshest conditions, I can tell you that I would trade it"&amp;" for anything.")</f>
        <v>These shoes are perfect perfect. Whether you are a hiker Sunday or member of an operational body in search of a solid and comfortable shoe, this model is that it takes you. To have it tested in the harshest conditions, I can tell you that I would trade it for anything.</v>
      </c>
    </row>
    <row r="11300">
      <c r="A11300" s="1">
        <v>5.0</v>
      </c>
      <c r="B11300" s="1" t="s">
        <v>11110</v>
      </c>
      <c r="C11300" t="str">
        <f>IFERROR(__xludf.DUMMYFUNCTION("GOOGLETRANSLATE(B11300, ""fr"", ""en"")"),"Top Very nice, I recommend ++")</f>
        <v>Top Very nice, I recommend ++</v>
      </c>
    </row>
    <row r="11301">
      <c r="A11301" s="1">
        <v>5.0</v>
      </c>
      <c r="B11301" s="1" t="s">
        <v>11111</v>
      </c>
      <c r="C11301" t="str">
        <f>IFERROR(__xludf.DUMMYFUNCTION("GOOGLETRANSLATE(B11301, ""fr"", ""en"")"),"Satisfied Good value for money easy and works very well. Instructions in French by not against, but not so complicated to use not important. I recommend . Comes with pouch began to different format.")</f>
        <v>Satisfied Good value for money easy and works very well. Instructions in French by not against, but not so complicated to use not important. I recommend . Comes with pouch began to different format.</v>
      </c>
    </row>
    <row r="11302">
      <c r="A11302" s="1">
        <v>5.0</v>
      </c>
      <c r="B11302" s="1" t="s">
        <v>11112</v>
      </c>
      <c r="C11302" t="str">
        <f>IFERROR(__xludf.DUMMYFUNCTION("GOOGLETRANSLATE(B11302, ""fr"", ""en"")"),"very very good quality price ratio I recommend completely")</f>
        <v>very very good quality price ratio I recommend completely</v>
      </c>
    </row>
    <row r="11303">
      <c r="A11303" s="1">
        <v>5.0</v>
      </c>
      <c r="B11303" s="1" t="s">
        <v>11113</v>
      </c>
      <c r="C11303" t="str">
        <f>IFERROR(__xludf.DUMMYFUNCTION("GOOGLETRANSLATE(B11303, ""fr"", ""en"")"),"The teat it prefers Of all the bottles that I could test / use for my son, I definitely fall for the Dodie brand! And my son prefers flat nipples, then! I recommend.")</f>
        <v>The teat it prefers Of all the bottles that I could test / use for my son, I definitely fall for the Dodie brand! And my son prefers flat nipples, then! I recommend.</v>
      </c>
    </row>
    <row r="11304">
      <c r="A11304" s="1">
        <v>5.0</v>
      </c>
      <c r="B11304" s="1" t="s">
        <v>11114</v>
      </c>
      <c r="C11304" t="str">
        <f>IFERROR(__xludf.DUMMYFUNCTION("GOOGLETRANSLATE(B11304, ""fr"", ""en"")"),"What extra worthwhile purchase! A comfortable table with good accessories and seems very solid! Perfectly matches my expectations.")</f>
        <v>What extra worthwhile purchase! A comfortable table with good accessories and seems very solid! Perfectly matches my expectations.</v>
      </c>
    </row>
    <row r="11305">
      <c r="A11305" s="1">
        <v>2.0</v>
      </c>
      <c r="B11305" s="1" t="s">
        <v>11115</v>
      </c>
      <c r="C11305" t="str">
        <f>IFERROR(__xludf.DUMMYFUNCTION("GOOGLETRANSLATE(B11305, ""fr"", ""en"")"),"Can be upgraded The small piece to wash the inside of the nipple is not at all effective. If the brush is resistant to time.")</f>
        <v>Can be upgraded The small piece to wash the inside of the nipple is not at all effective. If the brush is resistant to time.</v>
      </c>
    </row>
    <row r="11306">
      <c r="A11306" s="1">
        <v>1.0</v>
      </c>
      <c r="B11306" s="1" t="s">
        <v>11116</v>
      </c>
      <c r="C11306" t="str">
        <f>IFERROR(__xludf.DUMMYFUNCTION("GOOGLETRANSLATE(B11306, ""fr"", ""en"")"),"not so impossible to work evenings stroke this helmet is often mono ;;")</f>
        <v>not so impossible to work evenings stroke this helmet is often mono ;;</v>
      </c>
    </row>
    <row r="11307">
      <c r="A11307" s="1">
        <v>1.0</v>
      </c>
      <c r="B11307" s="1" t="s">
        <v>11117</v>
      </c>
      <c r="C11307" t="str">
        <f>IFERROR(__xludf.DUMMYFUNCTION("GOOGLETRANSLATE(B11307, ""fr"", ""en"")"),"Good water bottle but bad seller I always had hot water bottles being children, I am not surprised by the slight (and I said very light) rubber smell. Good size for a hot water bottle, nice polar design even if you do not choose it, it is a very good pric"&amp;"e / quality ratio. My third order is empty arrival is the seller but remains silent even after evaluation and my messages. Too bad for me, I was happy ... at first ...")</f>
        <v>Good water bottle but bad seller I always had hot water bottles being children, I am not surprised by the slight (and I said very light) rubber smell. Good size for a hot water bottle, nice polar design even if you do not choose it, it is a very good price / quality ratio. My third order is empty arrival is the seller but remains silent even after evaluation and my messages. Too bad for me, I was happy ... at first ...</v>
      </c>
    </row>
    <row r="11308">
      <c r="A11308" s="1">
        <v>3.0</v>
      </c>
      <c r="B11308" s="1" t="s">
        <v>11118</v>
      </c>
      <c r="C11308" t="str">
        <f>IFERROR(__xludf.DUMMYFUNCTION("GOOGLETRANSLATE(B11308, ""fr"", ""en"")"),"Size large I returned because they hewed great. But they were too pretty.")</f>
        <v>Size large I returned because they hewed great. But they were too pretty.</v>
      </c>
    </row>
    <row r="11309">
      <c r="A11309" s="1">
        <v>3.0</v>
      </c>
      <c r="B11309" s="1" t="s">
        <v>11119</v>
      </c>
      <c r="C11309" t="str">
        <f>IFERROR(__xludf.DUMMYFUNCTION("GOOGLETRANSLATE(B11309, ""fr"", ""en"")"),"Bad Slightly too transparent, seen through")</f>
        <v>Bad Slightly too transparent, seen through</v>
      </c>
    </row>
    <row r="11310">
      <c r="A11310" s="1">
        <v>4.0</v>
      </c>
      <c r="B11310" s="1" t="s">
        <v>11120</v>
      </c>
      <c r="C11310" t="str">
        <f>IFERROR(__xludf.DUMMYFUNCTION("GOOGLETRANSLATE(B11310, ""fr"", ""en"")"),"An alarm clock that wakes a single FM clock radio with alarm that one can choose between FM and 6 melodies (7 overall) to wake up. An illumination system (if connected to an outlet) that light up progressively before the alarm time. A system that warns fo"&amp;"r bedtime (light dims). 2 AAA batteries back not included + 220V connection via USB cable (with small transformer) Well suited for a young teenager")</f>
        <v>An alarm clock that wakes a single FM clock radio with alarm that one can choose between FM and 6 melodies (7 overall) to wake up. An illumination system (if connected to an outlet) that light up progressively before the alarm time. A system that warns for bedtime (light dims). 2 AAA batteries back not included + 220V connection via USB cable (with small transformer) Well suited for a young teenager</v>
      </c>
    </row>
    <row r="11311">
      <c r="A11311" s="1">
        <v>4.0</v>
      </c>
      <c r="B11311" s="1" t="s">
        <v>11121</v>
      </c>
      <c r="C11311" t="str">
        <f>IFERROR(__xludf.DUMMYFUNCTION("GOOGLETRANSLATE(B11311, ""fr"", ""en"")"),"very good value for money Very good microphone for a fair price. Good sound. The windshield for the wind is good but should not there is too much wind if we hear it still not bad.")</f>
        <v>very good value for money Very good microphone for a fair price. Good sound. The windshield for the wind is good but should not there is too much wind if we hear it still not bad.</v>
      </c>
    </row>
    <row r="11312">
      <c r="A11312" s="1">
        <v>4.0</v>
      </c>
      <c r="B11312" s="1" t="s">
        <v>11122</v>
      </c>
      <c r="C11312" t="str">
        <f>IFERROR(__xludf.DUMMYFUNCTION("GOOGLETRANSLATE(B11312, ""fr"", ""en"")"),"Quality has used money from the 43 and it's 43 beautiful finish")</f>
        <v>Quality has used money from the 43 and it's 43 beautiful finish</v>
      </c>
    </row>
    <row r="11313">
      <c r="A11313" s="1">
        <v>4.0</v>
      </c>
      <c r="B11313" s="1" t="s">
        <v>11123</v>
      </c>
      <c r="C11313" t="str">
        <f>IFERROR(__xludf.DUMMYFUNCTION("GOOGLETRANSLATE(B11313, ""fr"", ""en"")"),"Robust. Teats robust that fit perfectly and easily to a bottle Avent Classic +. They are relatively thick and rigid which allows the ""snap"" easily into the ring of the bottle since they do not deform. Easy cleaning and sterilization. They still have not"&amp;" been adopted by my child who preferred a competing brand (though he has not experienced breastfeeding).")</f>
        <v>Robust. Teats robust that fit perfectly and easily to a bottle Avent Classic +. They are relatively thick and rigid which allows the "snap" easily into the ring of the bottle since they do not deform. Easy cleaning and sterilization. They still have not been adopted by my child who preferred a competing brand (though he has not experienced breastfeeding).</v>
      </c>
    </row>
    <row r="11314">
      <c r="A11314" s="1">
        <v>5.0</v>
      </c>
      <c r="B11314" s="1" t="s">
        <v>11124</v>
      </c>
      <c r="C11314" t="str">
        <f>IFERROR(__xludf.DUMMYFUNCTION("GOOGLETRANSLATE(B11314, ""fr"", ""en"")"),"Magnificent I am satisfied with the product, delivered in advance and easily carried and over the pads are comfortable and adds volume to your pointrine")</f>
        <v>Magnificent I am satisfied with the product, delivered in advance and easily carried and over the pads are comfortable and adds volume to your pointrine</v>
      </c>
    </row>
    <row r="11315">
      <c r="A11315" s="1">
        <v>5.0</v>
      </c>
      <c r="B11315" s="1" t="s">
        <v>11125</v>
      </c>
      <c r="C11315" t="str">
        <f>IFERROR(__xludf.DUMMYFUNCTION("GOOGLETRANSLATE(B11315, ""fr"", ""en"")"),"Great product great product that will extend the life of your washing machine and effectively combating limestone. Much better than a powder package")</f>
        <v>Great product great product that will extend the life of your washing machine and effectively combating limestone. Much better than a powder package</v>
      </c>
    </row>
    <row r="11316">
      <c r="A11316" s="1">
        <v>5.0</v>
      </c>
      <c r="B11316" s="1" t="s">
        <v>11126</v>
      </c>
      <c r="C11316" t="str">
        <f>IFERROR(__xludf.DUMMYFUNCTION("GOOGLETRANSLATE(B11316, ""fr"", ""en"")"),"fan! I'm a fan of fangs to the chagrin of my wife :-) try a pair, you adopt them!")</f>
        <v>fan! I'm a fan of fangs to the chagrin of my wife :-) try a pair, you adopt them!</v>
      </c>
    </row>
    <row r="11317">
      <c r="A11317" s="1">
        <v>5.0</v>
      </c>
      <c r="B11317" s="1" t="s">
        <v>11127</v>
      </c>
      <c r="C11317" t="str">
        <f>IFERROR(__xludf.DUMMYFUNCTION("GOOGLETRANSLATE(B11317, ""fr"", ""en"")"),"SHOES RAS")</f>
        <v>SHOES RAS</v>
      </c>
    </row>
    <row r="11318">
      <c r="A11318" s="1">
        <v>5.0</v>
      </c>
      <c r="B11318" s="1" t="s">
        <v>11128</v>
      </c>
      <c r="C11318" t="str">
        <f>IFERROR(__xludf.DUMMYFUNCTION("GOOGLETRANSLATE(B11318, ""fr"", ""en"")"),"Good quality too wide")</f>
        <v>Good quality too wide</v>
      </c>
    </row>
    <row r="11319">
      <c r="A11319" s="1">
        <v>5.0</v>
      </c>
      <c r="B11319" s="1" t="s">
        <v>11129</v>
      </c>
      <c r="C11319" t="str">
        <f>IFERROR(__xludf.DUMMYFUNCTION("GOOGLETRANSLATE(B11319, ""fr"", ""en"")"),"Practical Compact, convenient, easy adjustments, bread jumps up high alone, and beautiful aesthetics.")</f>
        <v>Practical Compact, convenient, easy adjustments, bread jumps up high alone, and beautiful aesthetics.</v>
      </c>
    </row>
    <row r="11320">
      <c r="A11320" s="1">
        <v>5.0</v>
      </c>
      <c r="B11320" s="1" t="s">
        <v>11130</v>
      </c>
      <c r="C11320" t="str">
        <f>IFERROR(__xludf.DUMMYFUNCTION("GOOGLETRANSLATE(B11320, ""fr"", ""en"")"),"Easy to use calculator bought for my son to college. Very easy to use. Delivered very quickly.")</f>
        <v>Easy to use calculator bought for my son to college. Very easy to use. Delivered very quickly.</v>
      </c>
    </row>
    <row r="11321">
      <c r="A11321" s="1">
        <v>5.0</v>
      </c>
      <c r="B11321" s="1" t="s">
        <v>11131</v>
      </c>
      <c r="C11321" t="str">
        <f>IFERROR(__xludf.DUMMYFUNCTION("GOOGLETRANSLATE(B11321, ""fr"", ""en"")"),"Perfection in a bag! the image of the garbage bags: excellent quality. There are great, very solid, thick. In short, the Rolls Royce of plastic bags at a reasonable price.")</f>
        <v>Perfection in a bag! the image of the garbage bags: excellent quality. There are great, very solid, thick. In short, the Rolls Royce of plastic bags at a reasonable price.</v>
      </c>
    </row>
    <row r="11322">
      <c r="A11322" s="1">
        <v>5.0</v>
      </c>
      <c r="B11322" s="1" t="s">
        <v>11132</v>
      </c>
      <c r="C11322" t="str">
        <f>IFERROR(__xludf.DUMMYFUNCTION("GOOGLETRANSLATE(B11322, ""fr"", ""en"")"),"very good product and excellent value tested in a low-coast A320 aircraft on a flight from 3am - not with the ear to hear the dialogues of my tablet film; with this headset and the engaged NCA, no problem, room noise was almost nonexistent, which allowed "&amp;"me to follow my film without any discomfort. Excellent quality of its huge autonomy. Side comfort that cinches at times and a little lighter would have been better, but then nothing insurmountable. With case and accessories: complete product that fully me"&amp;"ets my expectations. Excellent value")</f>
        <v>very good product and excellent value tested in a low-coast A320 aircraft on a flight from 3am - not with the ear to hear the dialogues of my tablet film; with this headset and the engaged NCA, no problem, room noise was almost nonexistent, which allowed me to follow my film without any discomfort. Excellent quality of its huge autonomy. Side comfort that cinches at times and a little lighter would have been better, but then nothing insurmountable. With case and accessories: complete product that fully meets my expectations. Excellent value</v>
      </c>
    </row>
    <row r="11323">
      <c r="A11323" s="1">
        <v>5.0</v>
      </c>
      <c r="B11323" s="1" t="s">
        <v>11133</v>
      </c>
      <c r="C11323" t="str">
        <f>IFERROR(__xludf.DUMMYFUNCTION("GOOGLETRANSLATE(B11323, ""fr"", ""en"")"),"Contente Pretty ring, according to the picture, light and adaptable")</f>
        <v>Contente Pretty ring, according to the picture, light and adaptable</v>
      </c>
    </row>
    <row r="11324">
      <c r="A11324" s="1">
        <v>5.0</v>
      </c>
      <c r="B11324" s="1" t="s">
        <v>11134</v>
      </c>
      <c r="C11324" t="str">
        <f>IFERROR(__xludf.DUMMYFUNCTION("GOOGLETRANSLATE(B11324, ""fr"", ""en"")"),"Magnificent ! and yet not stingy. Browsing through Amazon I stumbled upon this gem that I found very beautiful, as I work in the favorite (without pierres😉) and the fact that I usually give gifts randomly and without cause especially the latter was evide"&amp;"nt. Anyway if she had been disappointed for the price! .... you'll understand it's a gift for my wife ... she liked it! ... for once beautiful rhymes with small price why not use it! I will renew this type of surprise because the other advantage is the ma"&amp;"nagement of timing, next day delivery. I would finish with a negative comment but I'm still looking! .....")</f>
        <v>Magnificent ! and yet not stingy. Browsing through Amazon I stumbled upon this gem that I found very beautiful, as I work in the favorite (without pierres😉) and the fact that I usually give gifts randomly and without cause especially the latter was evident. Anyway if she had been disappointed for the price! .... you'll understand it's a gift for my wife ... she liked it! ... for once beautiful rhymes with small price why not use it! I will renew this type of surprise because the other advantage is the management of timing, next day delivery. I would finish with a negative comment but I'm still looking! .....</v>
      </c>
    </row>
    <row r="11325">
      <c r="A11325" s="1">
        <v>5.0</v>
      </c>
      <c r="B11325" s="1" t="s">
        <v>11135</v>
      </c>
      <c r="C11325" t="str">
        <f>IFERROR(__xludf.DUMMYFUNCTION("GOOGLETRANSLATE(B11325, ""fr"", ""en"")"),"Size very good Sport")</f>
        <v>Size very good Sport</v>
      </c>
    </row>
    <row r="11326">
      <c r="A11326" s="1">
        <v>5.0</v>
      </c>
      <c r="B11326" s="1" t="s">
        <v>11136</v>
      </c>
      <c r="C11326" t="str">
        <f>IFERROR(__xludf.DUMMYFUNCTION("GOOGLETRANSLATE(B11326, ""fr"", ""en"")"),"very good ptoduit just great")</f>
        <v>very good ptoduit just great</v>
      </c>
    </row>
    <row r="11327">
      <c r="A11327" s="1">
        <v>5.0</v>
      </c>
      <c r="B11327" s="1" t="s">
        <v>11137</v>
      </c>
      <c r="C11327" t="str">
        <f>IFERROR(__xludf.DUMMYFUNCTION("GOOGLETRANSLATE(B11327, ""fr"", ""en"")"),"T shirt. They do the job, soft, breathable, and that seems solid.")</f>
        <v>T shirt. They do the job, soft, breathable, and that seems solid.</v>
      </c>
    </row>
    <row r="11328">
      <c r="A11328" s="1">
        <v>5.0</v>
      </c>
      <c r="B11328" s="1" t="s">
        <v>11138</v>
      </c>
      <c r="C11328" t="str">
        <f>IFERROR(__xludf.DUMMYFUNCTION("GOOGLETRANSLATE(B11328, ""fr"", ""en"")"),"Good laundry The laundry smells so good I do not like when the machine feels strong and it's perfect Cleans fine no residue in the machine, no spot on the machine Good value")</f>
        <v>Good laundry The laundry smells so good I do not like when the machine feels strong and it's perfect Cleans fine no residue in the machine, no spot on the machine Good value</v>
      </c>
    </row>
    <row r="11329">
      <c r="A11329" s="1">
        <v>2.0</v>
      </c>
      <c r="B11329" s="1" t="s">
        <v>11139</v>
      </c>
      <c r="C11329" t="str">
        <f>IFERROR(__xludf.DUMMYFUNCTION("GOOGLETRANSLATE(B11329, ""fr"", ""en"")"),"Hopefully she is really strong, because the rest ... Hopefully it really solid, because the rest .... read the digital display difficult, very low light, complicated manipulations for updates to time, limited functions (only advanced functions and lap tim"&amp;"e from different countries). Even the analog time is not immediately readable. It is hoped that the price is in the strength!")</f>
        <v>Hopefully she is really strong, because the rest ... Hopefully it really solid, because the rest .... read the digital display difficult, very low light, complicated manipulations for updates to time, limited functions (only advanced functions and lap time from different countries). Even the analog time is not immediately readable. It is hoped that the price is in the strength!</v>
      </c>
    </row>
    <row r="11330">
      <c r="A11330" s="1">
        <v>1.0</v>
      </c>
      <c r="B11330" s="1" t="s">
        <v>11140</v>
      </c>
      <c r="C11330" t="str">
        <f>IFERROR(__xludf.DUMMYFUNCTION("GOOGLETRANSLATE(B11330, ""fr"", ""en"")"),"Poor No not received all the panoply")</f>
        <v>Poor No not received all the panoply</v>
      </c>
    </row>
    <row r="11331">
      <c r="A11331" s="1">
        <v>1.0</v>
      </c>
      <c r="B11331" s="1" t="s">
        <v>11141</v>
      </c>
      <c r="C11331" t="str">
        <f>IFERROR(__xludf.DUMMYFUNCTION("GOOGLETRANSLATE(B11331, ""fr"", ""en"")"),"This is not Armenia of paper This product is not paper of Armenia, it's all short paper. Especially not to buy.")</f>
        <v>This is not Armenia of paper This product is not paper of Armenia, it's all short paper. Especially not to buy.</v>
      </c>
    </row>
    <row r="11332">
      <c r="A11332" s="1">
        <v>3.0</v>
      </c>
      <c r="B11332" s="1" t="s">
        <v>11142</v>
      </c>
      <c r="C11332" t="str">
        <f>IFERROR(__xludf.DUMMYFUNCTION("GOOGLETRANSLATE(B11332, ""fr"", ""en"")"),"Basketball compensated Compensated")</f>
        <v>Basketball compensated Compensated</v>
      </c>
    </row>
    <row r="11333">
      <c r="A11333" s="1">
        <v>4.0</v>
      </c>
      <c r="B11333" s="1" t="s">
        <v>11143</v>
      </c>
      <c r="C11333" t="str">
        <f>IFERROR(__xludf.DUMMYFUNCTION("GOOGLETRANSLATE(B11333, ""fr"", ""en"")"),"We'll see Tested it killed insects against I do not know if it killed the main bed bugs but I have not seen")</f>
        <v>We'll see Tested it killed insects against I do not know if it killed the main bed bugs but I have not seen</v>
      </c>
    </row>
    <row r="11334">
      <c r="A11334" s="1">
        <v>4.0</v>
      </c>
      <c r="B11334" s="1" t="s">
        <v>11144</v>
      </c>
      <c r="C11334" t="str">
        <f>IFERROR(__xludf.DUMMYFUNCTION("GOOGLETRANSLATE(B11334, ""fr"", ""en"")"),"Offered for nice Father's Day, the person who had a gift is very happy. light bag, several pockets, closes with a zipper, which prevents the bag from tipping over. 4 stars because to do with time. Satisfied with my purchase")</f>
        <v>Offered for nice Father's Day, the person who had a gift is very happy. light bag, several pockets, closes with a zipper, which prevents the bag from tipping over. 4 stars because to do with time. Satisfied with my purchase</v>
      </c>
    </row>
    <row r="11335">
      <c r="A11335" s="1">
        <v>4.0</v>
      </c>
      <c r="B11335" s="1" t="s">
        <v>11145</v>
      </c>
      <c r="C11335" t="str">
        <f>IFERROR(__xludf.DUMMYFUNCTION("GOOGLETRANSLATE(B11335, ""fr"", ""en"")"),"Beautiful light shows Montrat purchased the day of premuim day to less than 30 euros. Very thin and light. very quick adjustments. No complaints.")</f>
        <v>Beautiful light shows Montrat purchased the day of premuim day to less than 30 euros. Very thin and light. very quick adjustments. No complaints.</v>
      </c>
    </row>
    <row r="11336">
      <c r="A11336" s="1">
        <v>4.0</v>
      </c>
      <c r="B11336" s="1" t="s">
        <v>11146</v>
      </c>
      <c r="C11336" t="str">
        <f>IFERROR(__xludf.DUMMYFUNCTION("GOOGLETRANSLATE(B11336, ""fr"", ""en"")"),"Effective but strong Relieves muscle pain but most attention to wash your hands several times after use because the product is very strong and immensely warm.")</f>
        <v>Effective but strong Relieves muscle pain but most attention to wash your hands several times after use because the product is very strong and immensely warm.</v>
      </c>
    </row>
    <row r="11337">
      <c r="A11337" s="1">
        <v>5.0</v>
      </c>
      <c r="B11337" s="1" t="s">
        <v>11147</v>
      </c>
      <c r="C11337" t="str">
        <f>IFERROR(__xludf.DUMMYFUNCTION("GOOGLETRANSLATE(B11337, ""fr"", ""en"")"),"Okay Unsurprisingly, arrived quickly, efficiently")</f>
        <v>Okay Unsurprisingly, arrived quickly, efficiently</v>
      </c>
    </row>
    <row r="11338">
      <c r="A11338" s="1">
        <v>5.0</v>
      </c>
      <c r="B11338" s="1" t="s">
        <v>11148</v>
      </c>
      <c r="C11338" t="str">
        <f>IFERROR(__xludf.DUMMYFUNCTION("GOOGLETRANSLATE(B11338, ""fr"", ""en"")"),"Nice product gift Very nice product, ideal to offer !!! The box is very beautiful and is beautiful effect this month")</f>
        <v>Nice product gift Very nice product, ideal to offer !!! The box is very beautiful and is beautiful effect this month</v>
      </c>
    </row>
    <row r="11339">
      <c r="A11339" s="1">
        <v>5.0</v>
      </c>
      <c r="B11339" s="1" t="s">
        <v>11149</v>
      </c>
      <c r="C11339" t="str">
        <f>IFERROR(__xludf.DUMMYFUNCTION("GOOGLETRANSLATE(B11339, ""fr"", ""en"")"),"it's just enjoyable And I always rallait for a massage ... now is when I want. Great product, rotary massage balls really deep. I just love it")</f>
        <v>it's just enjoyable And I always rallait for a massage ... now is when I want. Great product, rotary massage balls really deep. I just love it</v>
      </c>
    </row>
    <row r="11340">
      <c r="A11340" s="1">
        <v>5.0</v>
      </c>
      <c r="B11340" s="1" t="s">
        <v>11150</v>
      </c>
      <c r="C11340" t="str">
        <f>IFERROR(__xludf.DUMMYFUNCTION("GOOGLETRANSLATE(B11340, ""fr"", ""en"")"),"Good size and very pleasant to walk Indoor use")</f>
        <v>Good size and very pleasant to walk Indoor use</v>
      </c>
    </row>
    <row r="11341">
      <c r="A11341" s="1">
        <v>5.0</v>
      </c>
      <c r="B11341" s="1" t="s">
        <v>11151</v>
      </c>
      <c r="C11341" t="str">
        <f>IFERROR(__xludf.DUMMYFUNCTION("GOOGLETRANSLATE(B11341, ""fr"", ""en"")"),"Well I received the product quickly, I use it for 2 wheels and sport. The sound quality is good even at max volume, very well even hear a motorcycle but it is not completely isolated from the outside so much for security. Good battery life and fast chargi"&amp;"ng with the housing that fits perfectly in your pocket. Can be loaded 3 or 4 times so it is nickel. The packaging is simple and nice, I recommend")</f>
        <v>Well I received the product quickly, I use it for 2 wheels and sport. The sound quality is good even at max volume, very well even hear a motorcycle but it is not completely isolated from the outside so much for security. Good battery life and fast charging with the housing that fits perfectly in your pocket. Can be loaded 3 or 4 times so it is nickel. The packaging is simple and nice, I recommend</v>
      </c>
    </row>
    <row r="11342">
      <c r="A11342" s="1">
        <v>5.0</v>
      </c>
      <c r="B11342" s="1" t="s">
        <v>11152</v>
      </c>
      <c r="C11342" t="str">
        <f>IFERROR(__xludf.DUMMYFUNCTION("GOOGLETRANSLATE(B11342, ""fr"", ""en"")"),"My cat is afraid but it works! Very good product. A little water a little essential oil and voila. Easy to use, effective. I do not regret this purchase.")</f>
        <v>My cat is afraid but it works! Very good product. A little water a little essential oil and voila. Easy to use, effective. I do not regret this purchase.</v>
      </c>
    </row>
    <row r="11343">
      <c r="A11343" s="1">
        <v>5.0</v>
      </c>
      <c r="B11343" s="1" t="s">
        <v>11153</v>
      </c>
      <c r="C11343" t="str">
        <f>IFERROR(__xludf.DUMMYFUNCTION("GOOGLETRANSLATE(B11343, ""fr"", ""en"")"),"Although I put 5 stars for it. Her but I admit that it is difficult to compare this quality is")</f>
        <v>Although I put 5 stars for it. Her but I admit that it is difficult to compare this quality is</v>
      </c>
    </row>
    <row r="11344">
      <c r="A11344" s="1">
        <v>5.0</v>
      </c>
      <c r="B11344" s="1" t="s">
        <v>11154</v>
      </c>
      <c r="C11344" t="str">
        <f>IFERROR(__xludf.DUMMYFUNCTION("GOOGLETRANSLATE(B11344, ""fr"", ""en"")"),"Good size I took the time to measure the distance by comparing this measure to size indications offered by the official website Converse. The result is clear, the size is perfect and the rest, very fast delivery as usual.")</f>
        <v>Good size I took the time to measure the distance by comparing this measure to size indications offered by the official website Converse. The result is clear, the size is perfect and the rest, very fast delivery as usual.</v>
      </c>
    </row>
    <row r="11345">
      <c r="A11345" s="1">
        <v>5.0</v>
      </c>
      <c r="B11345" s="1" t="s">
        <v>11155</v>
      </c>
      <c r="C11345" t="str">
        <f>IFERROR(__xludf.DUMMYFUNCTION("GOOGLETRANSLATE(B11345, ""fr"", ""en"")"),"Suitable for baby Pretty cup of good quality plastic Proposes our baby who immediately adopted Easy grip for him and especially it is not obliged to force too much to drink which is not easy to find as cup I recommend at this price do not ask questions NU"&amp;"K is a good brand")</f>
        <v>Suitable for baby Pretty cup of good quality plastic Proposes our baby who immediately adopted Easy grip for him and especially it is not obliged to force too much to drink which is not easy to find as cup I recommend at this price do not ask questions NUK is a good brand</v>
      </c>
    </row>
    <row r="11346">
      <c r="A11346" s="1">
        <v>5.0</v>
      </c>
      <c r="B11346" s="1" t="s">
        <v>11156</v>
      </c>
      <c r="C11346" t="str">
        <f>IFERROR(__xludf.DUMMYFUNCTION("GOOGLETRANSLATE(B11346, ""fr"", ""en"")"),"earphone son without top! This is a gift for my husband. I tried this listener. It really is a great product that is the best I bought. It is easy to connect. Both listener may well trail ears and automatically connect if allowed by our laptop. It's comfo"&amp;"rtable to the ears, no fatigue. The sound quality is very good. Plus it isolates the sounds around us. This is the top, and cheap.")</f>
        <v>earphone son without top! This is a gift for my husband. I tried this listener. It really is a great product that is the best I bought. It is easy to connect. Both listener may well trail ears and automatically connect if allowed by our laptop. It's comfortable to the ears, no fatigue. The sound quality is very good. Plus it isolates the sounds around us. This is the top, and cheap.</v>
      </c>
    </row>
    <row r="11347">
      <c r="A11347" s="1">
        <v>5.0</v>
      </c>
      <c r="B11347" s="1" t="s">
        <v>11157</v>
      </c>
      <c r="C11347" t="str">
        <f>IFERROR(__xludf.DUMMYFUNCTION("GOOGLETRANSLATE(B11347, ""fr"", ""en"")"),"too beautiful and fast super fast")</f>
        <v>too beautiful and fast super fast</v>
      </c>
    </row>
    <row r="11348">
      <c r="A11348" s="1">
        <v>5.0</v>
      </c>
      <c r="B11348" s="1" t="s">
        <v>11158</v>
      </c>
      <c r="C11348" t="str">
        <f>IFERROR(__xludf.DUMMYFUNCTION("GOOGLETRANSLATE(B11348, ""fr"", ""en"")"),"Original well stocked Calendar, cheaper than conventional boxes")</f>
        <v>Original well stocked Calendar, cheaper than conventional boxes</v>
      </c>
    </row>
    <row r="11349">
      <c r="A11349" s="1">
        <v>5.0</v>
      </c>
      <c r="B11349" s="1" t="s">
        <v>11159</v>
      </c>
      <c r="C11349" t="str">
        <f>IFERROR(__xludf.DUMMYFUNCTION("GOOGLETRANSLATE(B11349, ""fr"", ""en"")"),"Although mouse pad that matches the description. Very good for its low price. Simple and very fine.")</f>
        <v>Although mouse pad that matches the description. Very good for its low price. Simple and very fine.</v>
      </c>
    </row>
    <row r="11350">
      <c r="A11350" s="1">
        <v>5.0</v>
      </c>
      <c r="B11350" s="1" t="s">
        <v>11160</v>
      </c>
      <c r="C11350" t="str">
        <f>IFERROR(__xludf.DUMMYFUNCTION("GOOGLETRANSLATE(B11350, ""fr"", ""en"")"),"Lightweight and strong ... perfect! My 18 month old son and 12 kg love takes over the kitchen to watch what I did was eat. Perfect for washing hands. I highly recommend !")</f>
        <v>Lightweight and strong ... perfect! My 18 month old son and 12 kg love takes over the kitchen to watch what I did was eat. Perfect for washing hands. I highly recommend !</v>
      </c>
    </row>
    <row r="11351">
      <c r="A11351" s="1">
        <v>5.0</v>
      </c>
      <c r="B11351" s="1" t="s">
        <v>11161</v>
      </c>
      <c r="C11351" t="str">
        <f>IFERROR(__xludf.DUMMYFUNCTION("GOOGLETRANSLATE(B11351, ""fr"", ""en"")"),"Very good size very comfortable (I put without pads), the fabric is soft and seems solid.")</f>
        <v>Very good size very comfortable (I put without pads), the fabric is soft and seems solid.</v>
      </c>
    </row>
    <row r="11352">
      <c r="A11352" s="1">
        <v>2.0</v>
      </c>
      <c r="B11352" s="1" t="s">
        <v>11162</v>
      </c>
      <c r="C11352" t="str">
        <f>IFERROR(__xludf.DUMMYFUNCTION("GOOGLETRANSLATE(B11352, ""fr"", ""en"")"),"Obsolescence scheduled in less than two years! I bought this kettle - expensive - in December 2013 and it already has fallen down! It does not heat while the lights. Very unhappy, given the high price I had paid for an adjustable temperature. So far I was"&amp;" happy, but life's too short.")</f>
        <v>Obsolescence scheduled in less than two years! I bought this kettle - expensive - in December 2013 and it already has fallen down! It does not heat while the lights. Very unhappy, given the high price I had paid for an adjustable temperature. So far I was happy, but life's too short.</v>
      </c>
    </row>
    <row r="11353">
      <c r="A11353" s="1">
        <v>1.0</v>
      </c>
      <c r="B11353" s="1" t="s">
        <v>11163</v>
      </c>
      <c r="C11353" t="str">
        <f>IFERROR(__xludf.DUMMYFUNCTION("GOOGLETRANSLATE(B11353, ""fr"", ""en"")"),"Unhappy with the quality as the first pair that I was exchanged for free by Amazon (I thank!), This pair fades at the sole. Navy blue fabric, in its part just at the edge of the sole takes a rust color. Yet I do not use any detergent for cleaning. In addi"&amp;"tion, the sole comes off on the periphery, at the front and sides. I am very disappointed because this is the second pair that is the problem. I will buy more the Converse brand. I made 3 years ago with my first pair Converse and I was very happy, a few m"&amp;"onths with the 2nd and a few months with the 3rd. She already has more sense.")</f>
        <v>Unhappy with the quality as the first pair that I was exchanged for free by Amazon (I thank!), This pair fades at the sole. Navy blue fabric, in its part just at the edge of the sole takes a rust color. Yet I do not use any detergent for cleaning. In addition, the sole comes off on the periphery, at the front and sides. I am very disappointed because this is the second pair that is the problem. I will buy more the Converse brand. I made 3 years ago with my first pair Converse and I was very happy, a few months with the 2nd and a few months with the 3rd. She already has more sense.</v>
      </c>
    </row>
    <row r="11354">
      <c r="A11354" s="1">
        <v>3.0</v>
      </c>
      <c r="B11354" s="1" t="s">
        <v>11164</v>
      </c>
      <c r="C11354" t="str">
        <f>IFERROR(__xludf.DUMMYFUNCTION("GOOGLETRANSLATE(B11354, ""fr"", ""en"")"),"like the picture of good quality carpet, there was a single wash to see in time. Very nice as soft.")</f>
        <v>like the picture of good quality carpet, there was a single wash to see in time. Very nice as soft.</v>
      </c>
    </row>
    <row r="11355">
      <c r="A11355" s="1">
        <v>3.0</v>
      </c>
      <c r="B11355" s="1" t="s">
        <v>11165</v>
      </c>
      <c r="C11355" t="str">
        <f>IFERROR(__xludf.DUMMYFUNCTION("GOOGLETRANSLATE(B11355, ""fr"", ""en"")"),"concern I received my roll but there was only four and not six roll back made")</f>
        <v>concern I received my roll but there was only four and not six roll back made</v>
      </c>
    </row>
    <row r="11356">
      <c r="A11356" s="1">
        <v>4.0</v>
      </c>
      <c r="B11356" s="1" t="s">
        <v>11166</v>
      </c>
      <c r="C11356" t="str">
        <f>IFERROR(__xludf.DUMMYFUNCTION("GOOGLETRANSLATE(B11356, ""fr"", ""en"")"),"Genial Such comfortable sneakers slippers and they are very beautiful!")</f>
        <v>Genial Such comfortable sneakers slippers and they are very beautiful!</v>
      </c>
    </row>
    <row r="11357">
      <c r="A11357" s="1">
        <v>4.0</v>
      </c>
      <c r="B11357" s="1" t="s">
        <v>11167</v>
      </c>
      <c r="C11357" t="str">
        <f>IFERROR(__xludf.DUMMYFUNCTION("GOOGLETRANSLATE(B11357, ""fr"", ""en"")"),"Good money even with broken J did 2 First orders Ordered 200 hooks 180 in very good condition. 7 recovered by assembling defective. So only 187 compliance. 27 naked or pearls or spring hooks (I m servirat anyway) and 4 unusable. (Twisted or spring so dist"&amp;"orted that too tight and not usable. 2nd order 178 compliance, 17 naked, 3 twisted, 5 with ball broke, 3 spring and 2 crushed pearls and 2 springs. I ve managed to reconstruct complete 5 hooks and remain naked 16 ETC7 unusable. good for the price you will"&amp;" not complain. Seem strong enough for my creations. Rest still good")</f>
        <v>Good money even with broken J did 2 First orders Ordered 200 hooks 180 in very good condition. 7 recovered by assembling defective. So only 187 compliance. 27 naked or pearls or spring hooks (I m servirat anyway) and 4 unusable. (Twisted or spring so distorted that too tight and not usable. 2nd order 178 compliance, 17 naked, 3 twisted, 5 with ball broke, 3 spring and 2 crushed pearls and 2 springs. I ve managed to reconstruct complete 5 hooks and remain naked 16 ETC7 unusable. good for the price you will not complain. Seem strong enough for my creations. Rest still good</v>
      </c>
    </row>
    <row r="11358">
      <c r="A11358" s="1">
        <v>4.0</v>
      </c>
      <c r="B11358" s="1" t="s">
        <v>11168</v>
      </c>
      <c r="C11358" t="str">
        <f>IFERROR(__xludf.DUMMYFUNCTION("GOOGLETRANSLATE(B11358, ""fr"", ""en"")"),"Okay I love this helmet. The sound quality is not bad, I will not say it's the best in the world but it is fine. I have for several months and it works very well. It is very durable and especially the wire. The aesthetic is quite pretty and class, more th"&amp;"ere are several very nice color them. Personally, I red and I love the color also matches perfectly with the image. This is a very good helmet with great value for money, I would definitely recommend. Moreover it is foldable, so it does not take place. Th"&amp;"e only downside which is a shame is that the son from the sides, right and left, it is not practical and not very aesthetically beautiful and that's why I put it 4 stars. Nevertheless I recommend this helmet if you want a helmet strong enough every day wh"&amp;"o does his job without spending a fortune.")</f>
        <v>Okay I love this helmet. The sound quality is not bad, I will not say it's the best in the world but it is fine. I have for several months and it works very well. It is very durable and especially the wire. The aesthetic is quite pretty and class, more there are several very nice color them. Personally, I red and I love the color also matches perfectly with the image. This is a very good helmet with great value for money, I would definitely recommend. Moreover it is foldable, so it does not take place. The only downside which is a shame is that the son from the sides, right and left, it is not practical and not very aesthetically beautiful and that's why I put it 4 stars. Nevertheless I recommend this helmet if you want a helmet strong enough every day who does his job without spending a fortune.</v>
      </c>
    </row>
    <row r="11359">
      <c r="A11359" s="1">
        <v>4.0</v>
      </c>
      <c r="B11359" s="1" t="s">
        <v>11169</v>
      </c>
      <c r="C11359" t="str">
        <f>IFERROR(__xludf.DUMMYFUNCTION("GOOGLETRANSLATE(B11359, ""fr"", ""en"")"),"Although little better now but do I like the principle, the brush drips while storing two bottle brushes fit for a single flat space-saving, small brush size that is too big to clean teats and brush bristles that are very soft and therefore wear out very "&amp;"quickly, but if not I recommend this article")</f>
        <v>Although little better now but do I like the principle, the brush drips while storing two bottle brushes fit for a single flat space-saving, small brush size that is too big to clean teats and brush bristles that are very soft and therefore wear out very quickly, but if not I recommend this article</v>
      </c>
    </row>
    <row r="11360">
      <c r="A11360" s="1">
        <v>5.0</v>
      </c>
      <c r="B11360" s="1" t="s">
        <v>508</v>
      </c>
      <c r="C11360" t="str">
        <f>IFERROR(__xludf.DUMMYFUNCTION("GOOGLETRANSLATE(B11360, ""fr"", ""en"")"),"Very well very well")</f>
        <v>Very well very well</v>
      </c>
    </row>
    <row r="11361">
      <c r="A11361" s="1">
        <v>5.0</v>
      </c>
      <c r="B11361" s="1" t="s">
        <v>11170</v>
      </c>
      <c r="C11361" t="str">
        <f>IFERROR(__xludf.DUMMYFUNCTION("GOOGLETRANSLATE(B11361, ""fr"", ""en"")"),"Product to top Using everyday quality product for regular use. Easy to adjust")</f>
        <v>Product to top Using everyday quality product for regular use. Easy to adjust</v>
      </c>
    </row>
    <row r="11362">
      <c r="A11362" s="1">
        <v>5.0</v>
      </c>
      <c r="B11362" s="1" t="s">
        <v>11171</v>
      </c>
      <c r="C11362" t="str">
        <f>IFERROR(__xludf.DUMMYFUNCTION("GOOGLETRANSLATE(B11362, ""fr"", ""en"")"),"very very customizable wristband system very much (it was for a gift) I think it is likely (but I'm not expert mode) The only problem is that I was not sure for size, not easy to take the wrist circumference discreetly when a surprise. If successful gift "&amp;"with a beautiful gem")</f>
        <v>very very customizable wristband system very much (it was for a gift) I think it is likely (but I'm not expert mode) The only problem is that I was not sure for size, not easy to take the wrist circumference discreetly when a surprise. If successful gift with a beautiful gem</v>
      </c>
    </row>
    <row r="11363">
      <c r="A11363" s="1">
        <v>5.0</v>
      </c>
      <c r="B11363" s="1" t="s">
        <v>11172</v>
      </c>
      <c r="C11363" t="str">
        <f>IFERROR(__xludf.DUMMYFUNCTION("GOOGLETRANSLATE(B11363, ""fr"", ""en"")"),"The savior of your Bose devices! If like me you are unlucky enough to have your damaged cables for wear or your rodent you soon realize that changing your power cable that will cost you quite expensive. I when my cable was stripped following a fall and no"&amp;"t wanting to damage my Bose amplifier sought to replace logically by the brand owner that lacks see a policy similar to that of Apple, which involves you to charge the brand ... for my little part to me! So I saw dark for less than 20 € this charger. Upon"&amp;" receiving a rather elegant box that stands out from the box often used rigid cardboard, color ... cardboard. Inside we rather regret that the head of the charger started to fit into the box for lack of calibration of the charger. However RAS everything i"&amp;"s functional and in a state consistent with the picture of the proposed Lavolta! In terms of design, sober, simple and effective! We would have preferred it is true the possibility to disconnect the cable from the charger base in order to be more compact "&amp;"in transport, while the rest is rather well made. To use RAS again really pregnant Bose Mobile Soundlink II both use only charging one is totally delighted to have chosen this charger because it is clearly the same job as my old Bose charger. I tested the"&amp;" charger Lavoltaa other Bose products, and again nothing to say the cable is fully compatible recharging without overheating. Customer completely satisfied! I therefore recommend that all logically Lavoltaà charger for your Bose devices that will do exact"&amp;"ly (tested 1 week) the same job as the original Bose charger for your devices and all without breaking the bank! If my review was helpful to you, thank you for supporting me in writing my evaluations by clicking the small ""yes"" just below the comment. I"&amp;" received this product at a discounted price to test it and give you the most objective advice and detailed as possible.")</f>
        <v>The savior of your Bose devices! If like me you are unlucky enough to have your damaged cables for wear or your rodent you soon realize that changing your power cable that will cost you quite expensive. I when my cable was stripped following a fall and not wanting to damage my Bose amplifier sought to replace logically by the brand owner that lacks see a policy similar to that of Apple, which involves you to charge the brand ... for my little part to me! So I saw dark for less than 20 € this charger. Upon receiving a rather elegant box that stands out from the box often used rigid cardboard, color ... cardboard. Inside we rather regret that the head of the charger started to fit into the box for lack of calibration of the charger. However RAS everything is functional and in a state consistent with the picture of the proposed Lavolta! In terms of design, sober, simple and effective! We would have preferred it is true the possibility to disconnect the cable from the charger base in order to be more compact in transport, while the rest is rather well made. To use RAS again really pregnant Bose Mobile Soundlink II both use only charging one is totally delighted to have chosen this charger because it is clearly the same job as my old Bose charger. I tested the charger Lavoltaa other Bose products, and again nothing to say the cable is fully compatible recharging without overheating. Customer completely satisfied! I therefore recommend that all logically Lavoltaà charger for your Bose devices that will do exactly (tested 1 week) the same job as the original Bose charger for your devices and all without breaking the bank! If my review was helpful to you, thank you for supporting me in writing my evaluations by clicking the small "yes" just below the comment. I received this product at a discounted price to test it and give you the most objective advice and detailed as possible.</v>
      </c>
    </row>
    <row r="11364">
      <c r="A11364" s="1">
        <v>5.0</v>
      </c>
      <c r="B11364" s="1" t="s">
        <v>11173</v>
      </c>
      <c r="C11364" t="str">
        <f>IFERROR(__xludf.DUMMYFUNCTION("GOOGLETRANSLATE(B11364, ""fr"", ""en"")"),"Super pretty well done finish and it feels good leather!")</f>
        <v>Super pretty well done finish and it feels good leather!</v>
      </c>
    </row>
    <row r="11365">
      <c r="A11365" s="1">
        <v>5.0</v>
      </c>
      <c r="B11365" s="1" t="s">
        <v>11174</v>
      </c>
      <c r="C11365" t="str">
        <f>IFERROR(__xludf.DUMMYFUNCTION("GOOGLETRANSLATE(B11365, ""fr"", ""en"")"),"Functional Very Very happy with this agenda that perfectly meets my requirements.")</f>
        <v>Functional Very Very happy with this agenda that perfectly meets my requirements.</v>
      </c>
    </row>
    <row r="11366">
      <c r="A11366" s="1">
        <v>5.0</v>
      </c>
      <c r="B11366" s="1" t="s">
        <v>11175</v>
      </c>
      <c r="C11366" t="str">
        <f>IFERROR(__xludf.DUMMYFUNCTION("GOOGLETRANSLATE(B11366, ""fr"", ""en"")"),"nice product essential to disinfect the machine, the smell is sweet and pleasant")</f>
        <v>nice product essential to disinfect the machine, the smell is sweet and pleasant</v>
      </c>
    </row>
    <row r="11367">
      <c r="A11367" s="1">
        <v>5.0</v>
      </c>
      <c r="B11367" s="1" t="s">
        <v>11176</v>
      </c>
      <c r="C11367" t="str">
        <f>IFERROR(__xludf.DUMMYFUNCTION("GOOGLETRANSLATE(B11367, ""fr"", ""en"")"),"Well suited for sports Very good value for money")</f>
        <v>Well suited for sports Very good value for money</v>
      </c>
    </row>
    <row r="11368">
      <c r="A11368" s="1">
        <v>5.0</v>
      </c>
      <c r="B11368" s="1" t="s">
        <v>11177</v>
      </c>
      <c r="C11368" t="str">
        <f>IFERROR(__xludf.DUMMYFUNCTION("GOOGLETRANSLATE(B11368, ""fr"", ""en"")"),"Shoe hello I buy a pair of puma Vikky with a satisfactory result! in addition it will Enhances 4cm me that was 1m, 63 sui I happen to 1m, 67 this has changed my life somewhere! I suggest you this pair of shoes if you have a problem in height and in additi"&amp;"on it is comfortable! and pretty .")</f>
        <v>Shoe hello I buy a pair of puma Vikky with a satisfactory result! in addition it will Enhances 4cm me that was 1m, 63 sui I happen to 1m, 67 this has changed my life somewhere! I suggest you this pair of shoes if you have a problem in height and in addition it is comfortable! and pretty .</v>
      </c>
    </row>
    <row r="11369">
      <c r="A11369" s="1">
        <v>5.0</v>
      </c>
      <c r="B11369" s="1" t="s">
        <v>11178</v>
      </c>
      <c r="C11369" t="str">
        <f>IFERROR(__xludf.DUMMYFUNCTION("GOOGLETRANSLATE(B11369, ""fr"", ""en"")"),"Really top quality fast delivery Product comfort at the top. We walk with enormously and was not bad knee or back end of the day.")</f>
        <v>Really top quality fast delivery Product comfort at the top. We walk with enormously and was not bad knee or back end of the day.</v>
      </c>
    </row>
    <row r="11370">
      <c r="A11370" s="1">
        <v>5.0</v>
      </c>
      <c r="B11370" s="1" t="s">
        <v>11179</v>
      </c>
      <c r="C11370" t="str">
        <f>IFERROR(__xludf.DUMMYFUNCTION("GOOGLETRANSLATE(B11370, ""fr"", ""en"")"),"Excellent light and very comfortable shoes ... To see the behavior in time, but for the moment really pleased with my purchase.")</f>
        <v>Excellent light and very comfortable shoes ... To see the behavior in time, but for the moment really pleased with my purchase.</v>
      </c>
    </row>
    <row r="11371">
      <c r="A11371" s="1">
        <v>5.0</v>
      </c>
      <c r="B11371" s="1" t="s">
        <v>11180</v>
      </c>
      <c r="C11371" t="str">
        <f>IFERROR(__xludf.DUMMYFUNCTION("GOOGLETRANSLATE(B11371, ""fr"", ""en"")"),"Put my cat warm for winter evenings")</f>
        <v>Put my cat warm for winter evenings</v>
      </c>
    </row>
    <row r="11372">
      <c r="A11372" s="1">
        <v>5.0</v>
      </c>
      <c r="B11372" s="1" t="s">
        <v>11181</v>
      </c>
      <c r="C11372" t="str">
        <f>IFERROR(__xludf.DUMMYFUNCTION("GOOGLETRANSLATE(B11372, ""fr"", ""en"")"),"Super lightweight and practical bag")</f>
        <v>Super lightweight and practical bag</v>
      </c>
    </row>
    <row r="11373">
      <c r="A11373" s="1">
        <v>5.0</v>
      </c>
      <c r="B11373" s="1" t="s">
        <v>11182</v>
      </c>
      <c r="C11373" t="str">
        <f>IFERROR(__xludf.DUMMYFUNCTION("GOOGLETRANSLATE(B11373, ""fr"", ""en"")"),"Good product! &lt;= Div id ""video-block-RZCM7PIILUKY2"" class = ""a-section-spacing-small-spacing has-top video mini-block""&gt; &lt;div tabindex = ""0"" class = ""airy airy-svg vmin- supported airy-skin-beacon ""category ="" background-color: rgb (0, 0, 0); posi"&amp;"tion: relative; width: 100%; height: 100%; font-size: 0px; overflow: hidden; outline: none ; ""&gt; &lt;div class ="" airy-renderer-container ""style ="" position: relative; height: 100%; width: 100%; ""&gt; &lt;video id ="" 163 ""preload ="" auto ""src ="" https: //"&amp;"images-eu.ssl-images-amazon.com/images/I/B1evSUvRoBS.mp4 ""style ="" position: absolute; left: 0px; top: 0px; overflow: hidden; height: 1px; width: 1px; "" &gt; &lt;/ video&gt; &lt;/ div&gt; &lt;div id = ""airy-slate-preload"" style = ""background-color: rgb (0, 0, 0); bac"&amp;"kground-image: url (&amp; quot; https: // images- eu.ssl-images-amazon.com/images/I/61MRkEKD65S.png&amp;quot;); background-size: contain; background-position: center center; background-repeat: no-repeat; position: absolute; top: 0px; left : 0px; visibility: visib"&amp;"le; width: 100%; height: 100% ""&gt; &lt;/ div&gt; &lt;iframe scrolling ="" no ""frameborder = ""0"" src = ""about: blank"" style = ""display: none;""&gt; &lt;/ iframe&gt; &lt;div tabindex = ""- 1"" class = ""airy-controls-container"" style = ""opacity: 0; visibility: hidden; """&amp;"&gt; &lt;div tabindex ="" - 1 ""class ="" airy-screen-size-toggle airy-fullscreen ""&gt; &lt;/ div&gt; &lt;div tabindex ="" - 1 ""class ="" airy-container-bottom "" &gt; &lt;div tabindex = ""- 1"" class = ""airy-track-bar spacer-left"" style = ""width: 11px;""&gt; &lt;/ div&gt; &lt;div tabi"&amp;"ndex = ""- 1"" class = ""airy-play- toggle airy-play ""style ="" width: 12px; margin-right: 12px; ""&gt; &lt;/ div&gt; &lt;div tabindex ="" - 1 ""class ="" airy-audio-elements ""style ="" float: right; width: 34px; ""&gt; &lt;div tabindex ="" - 1 ""class ="" airy-audio-tog"&amp;"gle airy-on ""&gt; &lt;/ div&gt; &lt;div tabindex ="" - 1 ""class ="" airy-audio-container ""style = ""opacity: 0; visibility: hidden; ""&gt; &lt;div tabindex ="" - 1 ""class ="" airy-audio-track-bar ""style ="" height: 80%; ""&gt; &lt;div tabindex ="" - 1 ""class ="" airy-audio"&amp;"- scrubber bar ""style ="" height: 85% ""&gt; &lt;/ div&gt; &lt;div tabindex ="" - 1 ""class ="" airy-audio-scrubber ""style ="" height: 12px; bottom: 85% ""&gt; &lt;/ div&gt; &lt;/ div&gt; &lt;/ div&gt; &lt;/ div&gt; &lt;div tabindex ="" - 1 ""class ="" airy-duration-label ""style ="" float: rig"&amp;"ht; width: 26px; margin-right: 4px; text-align: center; ""&gt; 0:00 &lt;/ div&gt; &lt;div tabindex ="" - 1 ""class ="" airy-track-bar spacer-right ""style ="" float: right; width: 11px; ""&gt; &lt;/ div&gt; &lt;div tabindex ="" - 1 ""class ="" airy-track-bar-container ""style ="&amp;""" margin-left: 35px; margin-right: 75px; ""&gt; &lt;div tabindex ="" - 1 ""class ="" airy-airy-track-bar vertical-centering-table ""&gt; &lt;div tabindex ="" - 1 ""class ="" airy-vertical-centering- table-cell ""&gt; &lt;div tabindex ="" - 1 ""class ="" airy-track-bar ele"&amp;"ments ""&gt; &lt;div tabindex ="" - 1 ""class ="" airy-progress bar ""&gt; &lt;/ div&gt; &lt;div tabindex = ""- 1"" class = ""airy-scrubber bar""&gt; &lt;/ div&gt; &lt;div tabindex = ""- 1"" class = ""airy-scrubber""&gt; &lt;div tabindex = ""- 1"" class = ""airy-scrubber- icon ""&gt; &lt;/ div&gt; &lt;"&amp;"div tabindex ="" - 1 ""class ="" airy-adjusted-aui-tooltip ""style ="" opacity: 0; visibility: hidden; ""&gt; &lt;div tabindex ="" - 1 ""class ="" airy-adjusted-aui-tooltip-inner ""&gt; &lt;div tabindex ="" - 1 ""class ="" airy-current-time-label ""&gt; 0 00 &lt;/ div&gt; &lt;/ "&amp;"div&gt; &lt;div tabindex = ""- 1"" class = ""airy-adjusted-aui-arrow-border""&gt; &lt;div tabindex = ""- 1"" class = ""airy-adjusted-aui-arrow"" &gt; &lt;/ div&gt; &lt;/ div&gt; &lt;/ div&gt; &lt;/ div&gt; &lt;/ div&gt; &lt;/ div&gt; &lt;/ div&gt; &lt;/ div&gt; &lt;/ div&gt; &lt;/ div&gt; &lt;div tabindex = ""- 1"" class = ""airy-a"&amp;"iry-age-gate course airy-vertical-centering table-airy-dialog"" style = ""opacity: 0; visibility: hidden; ""&gt; &lt;div tabindex ="" - 1 ""class ="" airy-age-gate-vertical-centering-table-cell airy-vertical-centering-table-cell ""&gt; &lt;div tabindex ="" - 1 ""clas"&amp;"s = ""airy-vertical-centering-wrapper airy-age-gate-elements-wrapper""&gt; &lt;div tabindex = ""- 1"" class = ""airy-age-gate-elements airy-dialog-elements""&gt; &lt;div tabindex = "" -1 ""class ="" airy-age-gate-prompt ""&gt; This video is not Intended for all audience"&amp;"s What time were you born &lt;/ div&gt; &lt;div tabindex =.?"" - 1 ""class ="" airy-age-gate -inputs airy-dialog-inner-elements ""&gt; &lt;select tabindex ="" - 1 ""class ="" airy-age-gate-month ""&gt; &lt;option value ="" 1 ""&gt; January &lt;/ option&gt; &lt;option value ="" 2 ""&gt; Febr"&amp;"uary &lt;/ option&gt; &lt;option value ="" 3 ""&gt; March &lt;/ option&gt; &lt;option value ="" 4 ""&gt; April &lt;/ option&gt; &lt;option value ="" 5 ""&gt; May &lt;/ option&gt; &lt;option value = ""6""&gt; June &lt;/ option&gt; &lt;option value = ""7""&gt; July &lt;/ option&gt; &lt;option value = ""8""&gt; August &lt;/ option&gt;"&amp;" &lt;option value = ""9""&gt; September &lt;/ option&gt; &lt;option value = ""10""&gt; October &lt;/ option&gt; &lt;option value = ""11""&gt; November &lt;/ option&gt; &lt;option value = ""12""&gt; December &lt;/ option&gt; &lt;/ select&gt; &lt;select tabindex = ""- 1"" class = ""airy-age-gate-day""&gt; &lt;opti = On"&amp;"e value ""1""&gt; 1 &lt;/ option&gt; &lt;option value = ""2""&gt; 2 &lt;/ option&gt; &lt;option value = ""3""&gt; 3 &lt;/ option&gt; &lt;option value = ""4""&gt; 4 &lt;/ option &gt; &lt;option value = ""5""&gt; 5 &lt;/ option&gt; &lt;option value = ""6""&gt; 6 &lt;/ option&gt; &lt;option value = ""7""&gt; 7 &lt;/ option&gt; &lt;option va"&amp;"lue = ""8""&gt; 8 &lt; / option&gt; &lt;option value = ""9""&gt; 9 &lt;/ option&gt; &lt;option value = ""10""&gt; 10 &lt;/ option&gt; &lt;option value = ""11""&gt; 11 &lt;/ option&gt; &lt;option value = ""12""&gt; 12 &lt;/ option&gt; &lt;option value = ""13""&gt; 13 &lt;/ option&gt; &lt;option value = ""14""&gt; 14 &lt;/ option&gt; &lt;o"&amp;"ption value = ""15""&gt; 15 &lt;/ option&gt; &lt;option value = ""16 ""&gt; 16 &lt;/ option&gt; &lt;option value ="" 17 ""&gt; 17 &lt;/ option&gt; &lt;option value ="" 18 ""&gt; 18 &lt;/ option&gt; &lt;option value ="" 19 ""&gt; 19 &lt;/ option&gt; &lt;option value = ""20""&gt; 20 &lt;/ option&gt; &lt;option value = ""21""&gt; 2"&amp;"1 &lt;/ option&gt; &lt;option value = ""22""&gt; 22 &lt;/ option&gt; &lt;option value = ""23""&gt; 23 &lt;/ option&gt; &lt;option value = ""24""&gt; 24 &lt;/ option&gt; &lt;option value = ""25""&gt; 25 &lt;/ option&gt; &lt;option value = ""26""&gt; 26 &lt;/ option&gt; &lt;option value = ""27""&gt; 27 &lt;/ option&gt; &lt;option value "&amp;"= ""28""&gt; 28 &lt;/ option&gt; &lt;option value = ""29""&gt; 29 &lt;/ option&gt; &lt;option value = ""30""&gt; 30 &lt;/ option&gt; &lt;option value = ""31""&gt; 31 &lt;/ option&gt; &lt;/ select&gt; &lt;select tabindex = ""- 1"" class = ""airy-age-gate-year""&gt; &lt;option value = ""2019""&gt; 2019 &lt;/ option&gt; &lt; opt"&amp;"ion value = ""2018""&gt; 2018 &lt;/ option&gt; &lt;option value = ""2017""&gt; 2017 &lt;/ option&gt; &lt;option value = ""2016""&gt; ​​2016 &lt;/ option&gt; &lt;option value = ""2015""&gt; 2015 &lt;/ option &gt; &lt;option value = ""2014""&gt; 2014 &lt;/ option&gt; &lt;option value = ""2013""&gt; 2013 &lt;/ option&gt; &lt;opt"&amp;"ion value = ""2012""&gt; 2012 &lt;/ option&gt; &lt;option value = ""2011""&gt; 2011 &lt; / option&gt; &lt;option value = ""2010""&gt; 2010 &lt;/ option&gt; &lt;option value = ""2009""&gt; 2009 &lt;/ option&gt; &lt;option value = ""2008""&gt; 2008 &lt;/ option&gt; &lt;option value = ""2007""&gt; 2007 &lt;/ option&gt; &lt;optio"&amp;"n value = ""2006""&gt; 2006 &lt;/ option&gt; &lt;option value = ""2005""&gt; 2005 &lt;/ option&gt; &lt;option value = ""2004""&gt; 2004 &lt;/ option&gt; &lt;option value = ""2003 ""&gt; 2003 &lt;/ option&gt; &lt;option value ="" 2002 ""&gt; 2002 &lt;/ option&gt; &lt;option value ="" 2001 ""&gt; 2001 &lt;/ option&gt; &lt;optio"&amp;"n value ="" 2000 ""&gt; 2000 &lt;/ option&gt; &lt;option value = ""1999""&gt; 1999 &lt;/ option&gt; &lt;option value = ""1998""&gt; 1998 &lt;/ option&gt; &lt;option value = ""1997""&gt; 1997 &lt;/ option&gt; &lt;option value = ""1996""&gt; 1996 &lt;/ option&gt; &lt;option value = ""1995""&gt; 1995 &lt;/ option&gt; &lt;option "&amp;"value = ""1994""&gt; 1994 &lt;/ option&gt; &lt;option value = ""1993""&gt; 1993 &lt;/ option&gt; &lt;option value = ""1992""&gt; 1992 &lt;/ option&gt; &lt;option value = ""1991""&gt; 1991 &lt;/ option&gt; &lt;option value = ""1990""&gt; 1990 &lt;/ option&gt; &lt;option value = "" 1989 ""&gt; 1989 &lt;/ option&gt; &lt;option v"&amp;"alue ="" 1988 ""&gt; 1988 &lt;/ option&gt; &lt;option value ="" 1987 ""&gt; 1987 &lt;/ option&gt; &lt;option value ="" 1986 ""&gt; 1986 &lt;/ option&gt; &lt;option value = ""1985""&gt; 1985 &lt;/ option&gt; &lt;option value = ""1984""&gt; 1984 &lt;/ option&gt; &lt;option value = ""1983""&gt; 1983 &lt;/ option&gt; &lt;option v"&amp;"alue = ""1982""&gt; 1982 &lt;/ option&gt; &lt; option value = ""1981""&gt; 1981 &lt;/ option&gt; &lt;option value = ""1980""&gt; 1980 &lt;/ option&gt; &lt;option value = ""1979""&gt; 1979 &lt;/ option&gt; &lt;option value = ""1978""&gt; 1978 &lt;/ option &gt; &lt;option value = ""1977""&gt; 1977 &lt;/ option&gt; &lt;option va"&amp;"lue = ""1976""&gt; 1976 &lt;/ option&gt; &lt;option value = ""1975""&gt; 1975 &lt;/ option&gt; &lt;option value = ""1974""&gt; 1974 &lt; / option&gt; &lt;option value = ""1973""&gt; 1973 &lt;/ option&gt; &lt;option value = ""1972""&gt; 1972 &lt;/ option&gt; &lt;option value = ""1971""&gt; 1971 &lt;/ option&gt; &lt;option valu"&amp;"e = ""1970""&gt; 1970 &lt;/ option&gt; &lt;option value = ""1969""&gt; 1969 &lt;/ option&gt; &lt;option value = ""1968""&gt; 1968 &lt;/ option&gt; &lt;option value = ""1967""&gt; 1967 &lt;/ option&gt; &lt;option value = ""1966 ""&gt; 1966 &lt;/ option&gt; &lt;option value ="" 1965 ""&gt; 1965 &lt;/ option&gt; &lt;option value"&amp;" ="" 1964 ""&gt; 1964 &lt;/ option&gt; &lt;option value ="" 1963 ""&gt; 1963 &lt;/ option&gt; &lt;option value = ""1962""&gt; 1962 &lt;/ option&gt; &lt;option value = ""1961""&gt; 1961 &lt;/ option&gt; &lt;option value = ""1960""&gt; 1960 &lt;/ op tion&gt; &lt;option value = ""1959""&gt; 1959 &lt;/ option&gt; &lt;option value"&amp;" =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&lt;option value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&lt;option value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airy-course airy -Vertical-centering-table dialog airy-airy-denied ""style ="" opacity: 0"&amp;"; visibility: hidden; ""&gt; &lt;div tabindex ="" - 1 ""class ="" airy-install-flash-vertical-centering-table-cell airy-vertical-centering-table-cell ""&gt; &lt;div tabindex ="" - 1 ""class = ""airy-vertical-centering-wrapper airy-install-flash-elements-wrapper""&gt; &lt;d"&amp;"iv tabindex = ""- 1"" class = ""airy-install-flash-elements airy-dialog-elements""&gt; &lt;div tabindex = "" -1 ""class ="" airy-install-flash-prompt ""&gt; Adobe Flash Player is required to watch this video &lt;/ div&gt; &lt;div = tabindex."" - 1 ""class ="" airy-install-"&amp;"flash-button-wrapper airy -dialog-inner-elements ""&gt; &lt;div tabindex ="" - 1 ""class ="" airy-install-flash-button airy-button ""&gt; install Flash Player &lt;/ div&gt; &lt;/ div&gt; &lt;/ div&gt; &lt;/ div&gt; &lt;/ div&gt; &lt;/ div&gt; &lt;div tabindex = ""- 1"" class = ""airy-video-unsupported-"&amp;"dialog airy-course airy-vertical-centering table-airy-dialog airy-denied"" style = ""opacity: 0; visibility: hidden; ""&gt; &lt;div tabindex ="" - 1 ""class ="" airy-video-unsupported-vertical-centering-table-cell airy-vertical-centering-table-cell ""&gt; &lt;div tab"&amp;"index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tabin"&amp;"dex ="" - 1 ""class ="" airy-loading-spinner container airy-scalable-hint-container ""&gt; &lt;div tabindex ="" - 1 ""class ="" airy-loading-spinner-dummy airy-scalable-dummy ""&gt; &lt;/ div&gt; &lt; div tabindex = ""- 1"" class = ""airy-loading-spinner airy-hint"" style "&amp;"= ""visibility: hidden;""&gt; &lt;/ div&gt; &lt;/ div&gt; &lt;/ div&gt; &lt;/ div&gt; &lt;div tabindex = ""- 1 ""class ="" airy-ads-screen-size-toggle airy-screen-size-toggle airy-fullscreen ""style ="" visibility: hidden; ""&gt; &lt;/ div&gt; &lt;div tabindex = ""-1"" class = ""airy-ad-prompt-co"&amp;"ntainer"" style = ""visibility: hidden;""&gt; &lt;div tabindex = ""- 1"" class = ""airy-ad-prompt-vertical-centering table-airy-vertical- centering-table ""&gt; &lt;div tabindex ="" - 1 ""class ="" airy-ad-prompt-vertical-centering-table-cell airy-vertical-centering-"&amp;"table-cell ""&gt; &lt;div tabindex ="" - 1 ""class = ""airy-ad-prompt-label""&gt; &lt;/ div&gt; &lt;/ div&gt; &lt;/ div&gt; &lt;/ div&gt; &lt;div tabindex = ""- 1"" class = ""airy-ads-controls-container"" style = ""visibility: hidden; ""&gt; &lt;div tabindex ="" - 1 ""class ="" airy-ads-audio-tog"&amp;"gle airy-audio-toggle airy-on ""style ="" visibility: hidden; ""&gt; &lt;/ div&gt; &lt;div tabindex ="" - 1 ""class ="" airy-time-remaining-label-container ""&gt; &lt;div tabindex ="" - 1 ""class ="" airy-time-remaining-vertical-centering table-airy-vertical-centering-tabl"&amp;"e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"&amp;"&lt;/ div&gt; &lt;/ div&gt; &lt;/ div&gt; &lt;/ div&gt; &lt;/ div&gt; &lt;div tabindex ="" - 1 ""class ="" airy-learn-more ""style ="" visibility: hidden; ""&gt; &lt;/ div&gt; &lt;/ div&gt; &lt;div tabindex = ""- 1"" class = ""airy-play-toggle-hint-stage airy-course airy-cursor""&gt; &lt;div tabindex = ""- 1"" "&amp;"class = ""airy-play -toggle-hint-vertical-centering-table-cell airy-vertical-centering-table-cell airy-cursor ""&gt; &lt;div tabindex ="" - 1 ""class ="" airy-play-toggle-hint-container airy-scalable- hint-container ""&gt; &lt;div tabindex ="" - 1 ""class ="" airy-pl"&amp;"ay-toggle-hint-dummy airy-scalable-dummy ""&gt; &lt;/ div&gt; &lt;div tabindex ="" - 1 ""class ="" airy-play -toggle airy-hint-hint-hint airy-play ""style ="" opacity: 1; visibility: visible; ""&gt; &lt;/ div&gt; &lt;/ div&gt; &lt;/ div&gt; &lt;/ div&gt; &lt;div tabindex ="" - 1 ""class ="" airy-"&amp;"replay-hint-stage airy-stage ""style ="" visibility: hidden ; ""&gt; &lt;div tabindex ="" - 1 ""class ="" airy-replay-hint-vertical-centering-table-cell airy-vertical-centering-table-cell airy-cursor ""&gt; &lt;div tabindex ="" - 1 ""class = ""airy-replay-hint-contai"&amp;"ner airy-scalable-hint-container""&gt; &lt;div tabindex = ""- 1"" class = ""airy-replay-hint-dummy airy-scalable-dummy""&gt; &lt;/ div&gt; &lt;div tabindex = ""- 1"" class = ""airy-replay-hint airy-hint""&gt; &lt;/ div&gt; &lt;/ div&gt; &lt;/ div&gt; &lt;/ div&gt; &lt;div tabindex = ""- 1"" class = ""a"&amp;"iry-autoplay-hint -stage airy-stage ""style ="" visibility: hidden; ""&gt; &lt;div tabindex ="" - 1 ""class ="" airy-autoplay-hint-vertical-centering-table-cell airy-vertical-centering-table-cell airy- cursor ""&gt; &lt;div tabindex ="" - 1 ""class ="" autoplay airy-"&amp;"airy-hint-container-scalable-hint-container ""&gt; &lt;div tabindex ="" - 1 ""class ="" airy-autoplay-hint-dummy airy- scalable-dummy ""&gt; &lt;/ div&gt; &lt;/ div&gt; &lt;/ div&gt; &lt;/ div&gt; &lt;/ div&gt; &lt;/ div&gt; &lt;input type ="" hidden ""name ="" ""value ="" https: // pictures-eu .ssl-im"&amp;"age amazon.com / images / I / B1evSUvRoBS.mp4 ""Class ="" video-url ""&gt; &lt;input type ="" hidden ""name ="" ""value ="" https://images-eu.ssl-images-amazon.com/images/I/61MRkEKD65S.png ""class ="" video-slate-img-url ""&gt; &amp; nbsp; When unpacking we see that t"&amp;"he quality is by appointment. The box includes more headphones in their case, the spare nozzles, a micro USB cable. Pairing is simple and easy with the button and LED red / blue. The sound quality is also good. I use them with an iphone 11. The earphones "&amp;"hold well in the ears when moving. Do not hesitate!")</f>
        <v>Good product! &lt;= Div id "video-block-RZCM7PIILUKY2" class = "a-section-spacing-small-spacing has-top video mini-block"&gt; &lt;div tabindex = "0" class = "airy airy-svg vmin- supported airy-skin-beacon "category =" background-color: rgb (0, 0, 0); position: relative; width: 100%; height: 100%; font-size: 0px; overflow: hidden; outline: none ; "&gt; &lt;div class =" airy-renderer-container "style =" position: relative; height: 100%; width: 100%; "&gt; &lt;video id =" 163 "preload =" auto "src =" https: //images-eu.ssl-images-amazon.com/images/I/B1evSUvRoBS.mp4 "style =" position: absolute; left: 0px; top: 0px; overflow: hidden; height: 1px; width: 1px; " &gt; &lt;/ video&gt; &lt;/ div&gt; &lt;div id = "airy-slate-preload" style = "background-color: rgb (0, 0, 0); background-image: url (&amp; quot; https: // images- eu.ssl-images-amazon.com/images/I/61MRkEKD65S.png&amp;quot;); background-size: contain; background-position: center center; background-repeat: no-repeat; position: absolute; top: 0px; left :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B1evSUvRoBS.mp4 "Class =" video-url "&gt; &lt;input type =" hidden "name =" "value =" https://images-eu.ssl-images-amazon.com/images/I/61MRkEKD65S.png "class =" video-slate-img-url "&gt; &amp; nbsp; When unpacking we see that the quality is by appointment. The box includes more headphones in their case, the spare nozzles, a micro USB cable. Pairing is simple and easy with the button and LED red / blue. The sound quality is also good. I use them with an iphone 11. The earphones hold well in the ears when moving. Do not hesitate!</v>
      </c>
    </row>
    <row r="11374">
      <c r="A11374" s="1">
        <v>5.0</v>
      </c>
      <c r="B11374" s="1" t="s">
        <v>11183</v>
      </c>
      <c r="C11374" t="str">
        <f>IFERROR(__xludf.DUMMYFUNCTION("GOOGLETRANSLATE(B11374, ""fr"", ""en"")"),"out Super Shoe product, nothing to say. Parcels received fairly quickly and well packaged. For size fits my basic size and doubt possible as perfectly carved. Very comfortable and classy to dine or box or in bars. I highly recommend this product, both for"&amp;" the aesthetics, for its price / quality ratio.")</f>
        <v>out Super Shoe product, nothing to say. Parcels received fairly quickly and well packaged. For size fits my basic size and doubt possible as perfectly carved. Very comfortable and classy to dine or box or in bars. I highly recommend this product, both for the aesthetics, for its price / quality ratio.</v>
      </c>
    </row>
    <row r="11375">
      <c r="A11375" s="1">
        <v>2.0</v>
      </c>
      <c r="B11375" s="1" t="s">
        <v>11184</v>
      </c>
      <c r="C11375" t="str">
        <f>IFERROR(__xludf.DUMMYFUNCTION("GOOGLETRANSLATE(B11375, ""fr"", ""en"")"),"very interrogative I already changed 2 times resistance. maybe it's because I vapote all day ??? !!! But I respect the instructions to the letter")</f>
        <v>very interrogative I already changed 2 times resistance. maybe it's because I vapote all day ??? !!! But I respect the instructions to the letter</v>
      </c>
    </row>
    <row r="11376">
      <c r="A11376" s="1">
        <v>1.0</v>
      </c>
      <c r="B11376" s="1" t="s">
        <v>11185</v>
      </c>
      <c r="C11376" t="str">
        <f>IFERROR(__xludf.DUMMYFUNCTION("GOOGLETRANSLATE(B11376, ""fr"", ""en"")"),"Defective unit The unit arrived faulty decision being twisted I do not use it")</f>
        <v>Defective unit The unit arrived faulty decision being twisted I do not use it</v>
      </c>
    </row>
    <row r="11377">
      <c r="A11377" s="1">
        <v>1.0</v>
      </c>
      <c r="B11377" s="1" t="s">
        <v>11186</v>
      </c>
      <c r="C11377" t="str">
        <f>IFERROR(__xludf.DUMMYFUNCTION("GOOGLETRANSLATE(B11377, ""fr"", ""en"")"),"On / off switch defective It seems that this tea is of poor quality. After a few weeks the button that activates the heating water jumps in seconds, ie the water is not heated. We need to try several over or hold the button for 30 seconds the kettle works"&amp;".")</f>
        <v>On / off switch defective It seems that this tea is of poor quality. After a few weeks the button that activates the heating water jumps in seconds, ie the water is not heated. We need to try several over or hold the button for 30 seconds the kettle works.</v>
      </c>
    </row>
    <row r="11378">
      <c r="A11378" s="1">
        <v>3.0</v>
      </c>
      <c r="B11378" s="1" t="s">
        <v>11187</v>
      </c>
      <c r="C11378" t="str">
        <f>IFERROR(__xludf.DUMMYFUNCTION("GOOGLETRANSLATE(B11378, ""fr"", ""en"")"),"The microphone does not function the microphone headphones not working. So I can listen to music but can not make calls.")</f>
        <v>The microphone does not function the microphone headphones not working. So I can listen to music but can not make calls.</v>
      </c>
    </row>
    <row r="11379">
      <c r="A11379" s="1">
        <v>3.0</v>
      </c>
      <c r="B11379" s="1" t="s">
        <v>11188</v>
      </c>
      <c r="C11379" t="str">
        <f>IFERROR(__xludf.DUMMYFUNCTION("GOOGLETRANSLATE(B11379, ""fr"", ""en"")"),"MIDDLE The scriptures come off forced to patch things with iron and paper and baking. Now more problem.")</f>
        <v>MIDDLE The scriptures come off forced to patch things with iron and paper and baking. Now more problem.</v>
      </c>
    </row>
    <row r="11380">
      <c r="A11380" s="1">
        <v>4.0</v>
      </c>
      <c r="B11380" s="1" t="s">
        <v>11189</v>
      </c>
      <c r="C11380" t="str">
        <f>IFERROR(__xludf.DUMMYFUNCTION("GOOGLETRANSLATE(B11380, ""fr"", ""en"")"),"Satisfied product according to the description. It is also of good quality. I recommend my daughter to accept from a young age (4 months)")</f>
        <v>Satisfied product according to the description. It is also of good quality. I recommend my daughter to accept from a young age (4 months)</v>
      </c>
    </row>
    <row r="11381">
      <c r="A11381" s="1">
        <v>4.0</v>
      </c>
      <c r="B11381" s="1" t="s">
        <v>11190</v>
      </c>
      <c r="C11381" t="str">
        <f>IFERROR(__xludf.DUMMYFUNCTION("GOOGLETRANSLATE(B11381, ""fr"", ""en"")"),"very well cut, I have a size M price I did 1m80 for 70 kg just marginally short for me a can")</f>
        <v>very well cut, I have a size M price I did 1m80 for 70 kg just marginally short for me a can</v>
      </c>
    </row>
    <row r="11382">
      <c r="A11382" s="1">
        <v>4.0</v>
      </c>
      <c r="B11382" s="1" t="s">
        <v>11191</v>
      </c>
      <c r="C11382" t="str">
        <f>IFERROR(__xludf.DUMMYFUNCTION("GOOGLETRANSLATE(B11382, ""fr"", ""en"")"),"Okay Alarm that works very well and good. Point negative: Difficulty adjusting to the 'sunset' The dawn and sunset function works only condition plug the clock via its USB port.")</f>
        <v>Okay Alarm that works very well and good. Point negative: Difficulty adjusting to the 'sunset' The dawn and sunset function works only condition plug the clock via its USB port.</v>
      </c>
    </row>
    <row r="11383">
      <c r="A11383" s="1">
        <v>4.0</v>
      </c>
      <c r="B11383" s="1" t="s">
        <v>11192</v>
      </c>
      <c r="C11383" t="str">
        <f>IFERROR(__xludf.DUMMYFUNCTION("GOOGLETRANSLATE(B11383, ""fr"", ""en"")"),"Adapter cable of good quality Very good build quality. Nothing to say. Used for more flexibility with a 3.5 jack to RCA cable. Is connected without the computer is connected with the external sound card of much better quality.")</f>
        <v>Adapter cable of good quality Very good build quality. Nothing to say. Used for more flexibility with a 3.5 jack to RCA cable. Is connected without the computer is connected with the external sound card of much better quality.</v>
      </c>
    </row>
    <row r="11384">
      <c r="A11384" s="1">
        <v>5.0</v>
      </c>
      <c r="B11384" s="1" t="s">
        <v>369</v>
      </c>
      <c r="C11384" t="str">
        <f>IFERROR(__xludf.DUMMYFUNCTION("GOOGLETRANSLATE(B11384, ""fr"", ""en"")"),"Good product Good product")</f>
        <v>Good product Good product</v>
      </c>
    </row>
    <row r="11385">
      <c r="A11385" s="1">
        <v>5.0</v>
      </c>
      <c r="B11385" s="1" t="s">
        <v>11193</v>
      </c>
      <c r="C11385" t="str">
        <f>IFERROR(__xludf.DUMMYFUNCTION("GOOGLETRANSLATE(B11385, ""fr"", ""en"")"),"-Price great Top Value! I just love it")</f>
        <v>-Price great Top Value! I just love it</v>
      </c>
    </row>
    <row r="11386">
      <c r="A11386" s="1">
        <v>5.0</v>
      </c>
      <c r="B11386" s="1" t="s">
        <v>11194</v>
      </c>
      <c r="C11386" t="str">
        <f>IFERROR(__xludf.DUMMYFUNCTION("GOOGLETRANSLATE(B11386, ""fr"", ""en"")"),"Mersi Mersi")</f>
        <v>Mersi Mersi</v>
      </c>
    </row>
    <row r="11387">
      <c r="A11387" s="1">
        <v>5.0</v>
      </c>
      <c r="B11387" s="1" t="s">
        <v>11195</v>
      </c>
      <c r="C11387" t="str">
        <f>IFERROR(__xludf.DUMMYFUNCTION("GOOGLETRANSLATE(B11387, ""fr"", ""en"")"),"Magnificent necklace Very beautiful necklace, I put around the neck of my little son in the hope that it will be very effective as his cousin.")</f>
        <v>Magnificent necklace Very beautiful necklace, I put around the neck of my little son in the hope that it will be very effective as his cousin.</v>
      </c>
    </row>
    <row r="11388">
      <c r="A11388" s="1">
        <v>5.0</v>
      </c>
      <c r="B11388" s="1" t="s">
        <v>11196</v>
      </c>
      <c r="C11388" t="str">
        <f>IFERROR(__xludf.DUMMYFUNCTION("GOOGLETRANSLATE(B11388, ""fr"", ""en"")"),"Very good product this product is very well Rainett unscented, hypoallergenic and especially this liquid is an advantage because the other brands of products are not liquid enough, fragrance intolerant people like me")</f>
        <v>Very good product this product is very well Rainett unscented, hypoallergenic and especially this liquid is an advantage because the other brands of products are not liquid enough, fragrance intolerant people like me</v>
      </c>
    </row>
    <row r="11389">
      <c r="A11389" s="1">
        <v>5.0</v>
      </c>
      <c r="B11389" s="1" t="s">
        <v>11197</v>
      </c>
      <c r="C11389" t="str">
        <f>IFERROR(__xludf.DUMMYFUNCTION("GOOGLETRANSLATE(B11389, ""fr"", ""en"")"),"Very good smell Very good adoussissant feel very good Honed fine linen")</f>
        <v>Very good smell Very good adoussissant feel very good Honed fine linen</v>
      </c>
    </row>
    <row r="11390">
      <c r="A11390" s="1">
        <v>5.0</v>
      </c>
      <c r="B11390" s="1" t="s">
        <v>11198</v>
      </c>
      <c r="C11390" t="str">
        <f>IFERROR(__xludf.DUMMYFUNCTION("GOOGLETRANSLATE(B11390, ""fr"", ""en"")"),"Okay Bought for my little son who loves to sing because I tried not offered and it's great I think he will love it simp'e of Use and the sound is")</f>
        <v>Okay Bought for my little son who loves to sing because I tried not offered and it's great I think he will love it simp'e of Use and the sound is</v>
      </c>
    </row>
    <row r="11391">
      <c r="A11391" s="1">
        <v>5.0</v>
      </c>
      <c r="B11391" s="1" t="s">
        <v>11199</v>
      </c>
      <c r="C11391" t="str">
        <f>IFERROR(__xludf.DUMMYFUNCTION("GOOGLETRANSLATE(B11391, ""fr"", ""en"")"),"nike beautiful quality")</f>
        <v>nike beautiful quality</v>
      </c>
    </row>
    <row r="11392">
      <c r="A11392" s="1">
        <v>5.0</v>
      </c>
      <c r="B11392" s="1" t="s">
        <v>11200</v>
      </c>
      <c r="C11392" t="str">
        <f>IFERROR(__xludf.DUMMYFUNCTION("GOOGLETRANSLATE(B11392, ""fr"", ""en"")"),"Masseur perfect &lt;div id = ""video-block-R3BLNOMHON5D6U"" class = ""a-section-spacing-small in-spacing-top mini video-block""&gt; &lt;/ div&gt; &lt;input type = ""hidden"" name = "" ""value ="" https://images-eu.ssl-images-amazon.com/images/I/A1CtdRg0OhS.mp4 ""class ="&amp;""" video-url ""&gt; &lt;input type ="" hidden ""name ="" ""value ="" https://images-eu.ssl-images-amazon.com/images/I/913Zoh-EdhS.png ""class ="" video-slate-img-url ""&gt; &amp; nbsp; as my boyfriend was often ill at back, I want to buy a variety of masseurs. In the "&amp;"five different types of massage that I have now, I think this is the most practical. Appearance: According to the description, the masseur has four buttons: switch to adjust the direction. The switch heats and modifies force. The massager has a power cord"&amp;" and a plug for cigarette lighter can be used in the room, on a mountain chair or car. A strap can be opened at the back of the masseur allows to fix it correctly in any position. Function: Four massage balls can provide a very powerful and comfortable ma"&amp;"ssage, and you can choose the infrared heating, which is good for your body. The direction and intensity of the massage can be easily modified and the massage method can be adjusted according to your needs. Feeling of use: I really like this massager. Mas"&amp;"sage is powerful and comfortable. It can be placed at any time in a chair, on the couch and on the bed It's very useful. After work, you have 15 minutes to relax after work. Masseur. Suitable for friends, colleagues, seniors, etc. This is a very intimate "&amp;"gift. If you feel that my comments are useful, please click USEFUL, thank you!")</f>
        <v>Masseur perfect &lt;div id = "video-block-R3BLNOMHON5D6U" class = "a-section-spacing-small in-spacing-top mini video-block"&gt; &lt;/ div&gt; &lt;input type = "hidden" name = " "value =" https://images-eu.ssl-images-amazon.com/images/I/A1CtdRg0OhS.mp4 "class =" video-url "&gt; &lt;input type =" hidden "name =" "value =" https://images-eu.ssl-images-amazon.com/images/I/913Zoh-EdhS.png "class =" video-slate-img-url "&gt; &amp; nbsp; as my boyfriend was often ill at back, I want to buy a variety of masseurs. In the five different types of massage that I have now, I think this is the most practical. Appearance: According to the description, the masseur has four buttons: switch to adjust the direction. The switch heats and modifies force. The massager has a power cord and a plug for cigarette lighter can be used in the room, on a mountain chair or car. A strap can be opened at the back of the masseur allows to fix it correctly in any position. Function: Four massage balls can provide a very powerful and comfortable massage, and you can choose the infrared heating, which is good for your body. The direction and intensity of the massage can be easily modified and the massage method can be adjusted according to your needs. Feeling of use: I really like this massager. Massage is powerful and comfortable. It can be placed at any time in a chair, on the couch and on the bed It's very useful. After work, you have 15 minutes to relax after work. Masseur. Suitable for friends, colleagues, seniors, etc. This is a very intimate gift. If you feel that my comments are useful, please click USEFUL, thank you!</v>
      </c>
    </row>
    <row r="11393">
      <c r="A11393" s="1">
        <v>5.0</v>
      </c>
      <c r="B11393" s="1" t="s">
        <v>11201</v>
      </c>
      <c r="C11393" t="str">
        <f>IFERROR(__xludf.DUMMYFUNCTION("GOOGLETRANSLATE(B11393, ""fr"", ""en"")"),"Perfect . Perfect, he made a happy.")</f>
        <v>Perfect . Perfect, he made a happy.</v>
      </c>
    </row>
    <row r="11394">
      <c r="A11394" s="1">
        <v>5.0</v>
      </c>
      <c r="B11394" s="1" t="s">
        <v>11202</v>
      </c>
      <c r="C11394" t="str">
        <f>IFERROR(__xludf.DUMMYFUNCTION("GOOGLETRANSLATE(B11394, ""fr"", ""en"")"),"Perfect Very good product thank you satisfied")</f>
        <v>Perfect Very good product thank you satisfied</v>
      </c>
    </row>
    <row r="11395">
      <c r="A11395" s="1">
        <v>5.0</v>
      </c>
      <c r="B11395" s="1" t="s">
        <v>11203</v>
      </c>
      <c r="C11395" t="str">
        <f>IFERROR(__xludf.DUMMYFUNCTION("GOOGLETRANSLATE(B11395, ""fr"", ""en"")"),"Perfect Very relaxing.")</f>
        <v>Perfect Very relaxing.</v>
      </c>
    </row>
    <row r="11396">
      <c r="A11396" s="1">
        <v>5.0</v>
      </c>
      <c r="B11396" s="1" t="s">
        <v>11204</v>
      </c>
      <c r="C11396" t="str">
        <f>IFERROR(__xludf.DUMMYFUNCTION("GOOGLETRANSLATE(B11396, ""fr"", ""en"")"),"well I put them to put my Christmas garlands. it's perfect, it fits very well etc'est invisible, I left for next year ..")</f>
        <v>well I put them to put my Christmas garlands. it's perfect, it fits very well etc'est invisible, I left for next year ..</v>
      </c>
    </row>
    <row r="11397">
      <c r="A11397" s="1">
        <v>5.0</v>
      </c>
      <c r="B11397" s="1" t="s">
        <v>11205</v>
      </c>
      <c r="C11397" t="str">
        <f>IFERROR(__xludf.DUMMYFUNCTION("GOOGLETRANSLATE(B11397, ""fr"", ""en"")"),"Great deal ! I am a regular of Vans, and I will buy more today than at Amazon, I watch them cheaply, regardless of whether it is new or old model € 40 it's still better than 70 € in stores . I have never been disappointed, a pair of vans is a pair of vans"&amp;" after all! Photos conform to the proceeds we receive the pair in a box of the brand. The size is suitable, not too big, not too small, just the right size, the requested size. Very happy with my purchase as usual, I would repeat. (If my review was helpfu"&amp;"l to you do not hesitate to report it by clicking ""yes"")")</f>
        <v>Great deal ! I am a regular of Vans, and I will buy more today than at Amazon, I watch them cheaply, regardless of whether it is new or old model € 40 it's still better than 70 € in stores . I have never been disappointed, a pair of vans is a pair of vans after all! Photos conform to the proceeds we receive the pair in a box of the brand. The size is suitable, not too big, not too small, just the right size, the requested size. Very happy with my purchase as usual, I would repeat. (If my review was helpful to you do not hesitate to report it by clicking "yes")</v>
      </c>
    </row>
    <row r="11398">
      <c r="A11398" s="1">
        <v>5.0</v>
      </c>
      <c r="B11398" s="1" t="s">
        <v>11206</v>
      </c>
      <c r="C11398" t="str">
        <f>IFERROR(__xludf.DUMMYFUNCTION("GOOGLETRANSLATE(B11398, ""fr"", ""en"")"),"Very stylish My wife is really happy as product description once I took him too white")</f>
        <v>Very stylish My wife is really happy as product description once I took him too white</v>
      </c>
    </row>
    <row r="11399">
      <c r="A11399" s="1">
        <v>2.0</v>
      </c>
      <c r="B11399" s="1" t="s">
        <v>11207</v>
      </c>
      <c r="C11399" t="str">
        <f>IFERROR(__xludf.DUMMYFUNCTION("GOOGLETRANSLATE(B11399, ""fr"", ""en"")"),"2 sizes too small This is a labeled pants 7XL but it is a small or a large 3 XL 2 XL 7XL is a tour of 143.5 size 149 cm, waist circumference of this pant is 119 cm . waist size 3XL is a 121.5 cm. I guess there's no bigger so I'll keep it and try to get in"&amp;"to it someday. Meanwhile, there is no point me to anything or note. I think respect sizes is important. For the quality, I did nothing wrong, the pants look great.")</f>
        <v>2 sizes too small This is a labeled pants 7XL but it is a small or a large 3 XL 2 XL 7XL is a tour of 143.5 size 149 cm, waist circumference of this pant is 119 cm . waist size 3XL is a 121.5 cm. I guess there's no bigger so I'll keep it and try to get into it someday. Meanwhile, there is no point me to anything or note. I think respect sizes is important. For the quality, I did nothing wrong, the pants look great.</v>
      </c>
    </row>
    <row r="11400">
      <c r="A11400" s="1">
        <v>1.0</v>
      </c>
      <c r="B11400" s="1" t="s">
        <v>11208</v>
      </c>
      <c r="C11400" t="str">
        <f>IFERROR(__xludf.DUMMYFUNCTION("GOOGLETRANSLATE(B11400, ""fr"", ""en"")"),"to flee unpleasant material and very fine, tore in 1 week, rubbed off in the first wash was 30 degree. and size does not match, it is very tight. (Scam)")</f>
        <v>to flee unpleasant material and very fine, tore in 1 week, rubbed off in the first wash was 30 degree. and size does not match, it is very tight. (Scam)</v>
      </c>
    </row>
    <row r="11401">
      <c r="A11401" s="1">
        <v>1.0</v>
      </c>
      <c r="B11401" s="1" t="s">
        <v>11209</v>
      </c>
      <c r="C11401" t="str">
        <f>IFERROR(__xludf.DUMMYFUNCTION("GOOGLETRANSLATE(B11401, ""fr"", ""en"")"),"I recommend 4 months of use and the left earphone stopped working. Yet they did not receive any shock, have not fallen, incomprehensible. I highly recommend")</f>
        <v>I recommend 4 months of use and the left earphone stopped working. Yet they did not receive any shock, have not fallen, incomprehensible. I highly recommend</v>
      </c>
    </row>
    <row r="11402">
      <c r="A11402" s="1">
        <v>3.0</v>
      </c>
      <c r="B11402" s="1" t="s">
        <v>11210</v>
      </c>
      <c r="C11402" t="str">
        <f>IFERROR(__xludf.DUMMYFUNCTION("GOOGLETRANSLATE(B11402, ""fr"", ""en"")"),"Acceptable Overall satisfied for fitness at home. pleasant material. But the maintenance is average. Moreover, the cut in the buttocks is not great because of excess fabric which forms a fold so so, unless it encourages us to take up our muscles and butt.")</f>
        <v>Acceptable Overall satisfied for fitness at home. pleasant material. But the maintenance is average. Moreover, the cut in the buttocks is not great because of excess fabric which forms a fold so so, unless it encourages us to take up our muscles and butt.</v>
      </c>
    </row>
    <row r="11403">
      <c r="A11403" s="1">
        <v>4.0</v>
      </c>
      <c r="B11403" s="1" t="s">
        <v>11211</v>
      </c>
      <c r="C11403" t="str">
        <f>IFERROR(__xludf.DUMMYFUNCTION("GOOGLETRANSLATE(B11403, ""fr"", ""en"")"),"Good but Good attention to the nipple bottle, French manufacture, color holds well, but the nipple is cracked after just one month (and I do not sterilize baby and has not tooth)")</f>
        <v>Good but Good attention to the nipple bottle, French manufacture, color holds well, but the nipple is cracked after just one month (and I do not sterilize baby and has not tooth)</v>
      </c>
    </row>
    <row r="11404">
      <c r="A11404" s="1">
        <v>4.0</v>
      </c>
      <c r="B11404" s="1" t="s">
        <v>11212</v>
      </c>
      <c r="C11404" t="str">
        <f>IFERROR(__xludf.DUMMYFUNCTION("GOOGLETRANSLATE(B11404, ""fr"", ""en"")"),"Protect your clothes These pouches are handy with their embedded hook. One can easily hang in a closet and ensure didnt allow moisture to install. The principle is convenient because it is not as liquid as other absorbers. Practical and reassuring for clo"&amp;"thes.")</f>
        <v>Protect your clothes These pouches are handy with their embedded hook. One can easily hang in a closet and ensure didnt allow moisture to install. The principle is convenient because it is not as liquid as other absorbers. Practical and reassuring for clothes.</v>
      </c>
    </row>
    <row r="11405">
      <c r="A11405" s="1">
        <v>4.0</v>
      </c>
      <c r="B11405" s="1" t="s">
        <v>11213</v>
      </c>
      <c r="C11405" t="str">
        <f>IFERROR(__xludf.DUMMYFUNCTION("GOOGLETRANSLATE(B11405, ""fr"", ""en"")"),"satisfactory value for money Meets what I expected")</f>
        <v>satisfactory value for money Meets what I expected</v>
      </c>
    </row>
    <row r="11406">
      <c r="A11406" s="1">
        <v>4.0</v>
      </c>
      <c r="B11406" s="1" t="s">
        <v>11214</v>
      </c>
      <c r="C11406" t="str">
        <f>IFERROR(__xludf.DUMMYFUNCTION("GOOGLETRANSLATE(B11406, ""fr"", ""en"")"),"Good product is in any good product is in any")</f>
        <v>Good product is in any good product is in any</v>
      </c>
    </row>
    <row r="11407">
      <c r="A11407" s="1">
        <v>5.0</v>
      </c>
      <c r="B11407" s="1" t="s">
        <v>11215</v>
      </c>
      <c r="C11407" t="str">
        <f>IFERROR(__xludf.DUMMYFUNCTION("GOOGLETRANSLATE(B11407, ""fr"", ""en"")"),"A classic For years I buy this type of product and I am never disappointed. They last at least 2 years and as long as you take one size bigger, you alone here for 3 seasons")</f>
        <v>A classic For years I buy this type of product and I am never disappointed. They last at least 2 years and as long as you take one size bigger, you alone here for 3 seasons</v>
      </c>
    </row>
    <row r="11408">
      <c r="A11408" s="1">
        <v>5.0</v>
      </c>
      <c r="B11408" s="1" t="s">
        <v>11216</v>
      </c>
      <c r="C11408" t="str">
        <f>IFERROR(__xludf.DUMMYFUNCTION("GOOGLETRANSLATE(B11408, ""fr"", ""en"")"),"Perfect efficient and effective, its relaxes and helps calm some pain. After a 35 min sceance night I slept like a baby.")</f>
        <v>Perfect efficient and effective, its relaxes and helps calm some pain. After a 35 min sceance night I slept like a baby.</v>
      </c>
    </row>
    <row r="11409">
      <c r="A11409" s="1">
        <v>5.0</v>
      </c>
      <c r="B11409" s="1" t="s">
        <v>11217</v>
      </c>
      <c r="C11409" t="str">
        <f>IFERROR(__xludf.DUMMYFUNCTION("GOOGLETRANSLATE(B11409, ""fr"", ""en"")"),"Satisfied Very good value for money.")</f>
        <v>Satisfied Very good value for money.</v>
      </c>
    </row>
    <row r="11410">
      <c r="A11410" s="1">
        <v>5.0</v>
      </c>
      <c r="B11410" s="1" t="s">
        <v>11218</v>
      </c>
      <c r="C11410" t="str">
        <f>IFERROR(__xludf.DUMMYFUNCTION("GOOGLETRANSLATE(B11410, ""fr"", ""en"")"),"safety footwear compliant quality and perfect for my husband, he was very satisfied, good value for money.")</f>
        <v>safety footwear compliant quality and perfect for my husband, he was very satisfied, good value for money.</v>
      </c>
    </row>
    <row r="11411">
      <c r="A11411" s="1">
        <v>5.0</v>
      </c>
      <c r="B11411" s="1" t="s">
        <v>11219</v>
      </c>
      <c r="C11411" t="str">
        <f>IFERROR(__xludf.DUMMYFUNCTION("GOOGLETRANSLATE(B11411, ""fr"", ""en"")"),"Excellent value ! Excellent value !")</f>
        <v>Excellent value ! Excellent value !</v>
      </c>
    </row>
    <row r="11412">
      <c r="A11412" s="1">
        <v>5.0</v>
      </c>
      <c r="B11412" s="1" t="s">
        <v>11220</v>
      </c>
      <c r="C11412" t="str">
        <f>IFERROR(__xludf.DUMMYFUNCTION("GOOGLETRANSLATE(B11412, ""fr"", ""en"")"),"Do not hesitate to play sports is perfect. Even for everyday life. Lightweight and comfortable")</f>
        <v>Do not hesitate to play sports is perfect. Even for everyday life. Lightweight and comfortable</v>
      </c>
    </row>
    <row r="11413">
      <c r="A11413" s="1">
        <v>5.0</v>
      </c>
      <c r="B11413" s="1" t="s">
        <v>11221</v>
      </c>
      <c r="C11413" t="str">
        <f>IFERROR(__xludf.DUMMYFUNCTION("GOOGLETRANSLATE(B11413, ""fr"", ""en"")"),"shoulder bag article according to the description, it is there are too big too small, it perfectly suit me, the perfect size, the fabric is good, the zippers are resistant to air view in time !!!!! For now I am satisfied.")</f>
        <v>shoulder bag article according to the description, it is there are too big too small, it perfectly suit me, the perfect size, the fabric is good, the zippers are resistant to air view in time !!!!! For now I am satisfied.</v>
      </c>
    </row>
    <row r="11414">
      <c r="A11414" s="1">
        <v>5.0</v>
      </c>
      <c r="B11414" s="1" t="s">
        <v>11222</v>
      </c>
      <c r="C11414" t="str">
        <f>IFERROR(__xludf.DUMMYFUNCTION("GOOGLETRANSLATE(B11414, ""fr"", ""en"")"),"Excellent! I just bought this pair of shoes to my husband and he loved it. It is just that the sole is a little hard, but that's why it is resistant. Amazon always impeccable delivery;)")</f>
        <v>Excellent! I just bought this pair of shoes to my husband and he loved it. It is just that the sole is a little hard, but that's why it is resistant. Amazon always impeccable delivery;)</v>
      </c>
    </row>
    <row r="11415">
      <c r="A11415" s="1">
        <v>5.0</v>
      </c>
      <c r="B11415" s="1" t="s">
        <v>11223</v>
      </c>
      <c r="C11415" t="str">
        <f>IFERROR(__xludf.DUMMYFUNCTION("GOOGLETRANSLATE(B11415, ""fr"", ""en"")"),"Quality Ink is still too expensive, even if XL is more interesting; and the quality of the original remains above the generic ... and maintains the reliability of the printer")</f>
        <v>Quality Ink is still too expensive, even if XL is more interesting; and the quality of the original remains above the generic ... and maintains the reliability of the printer</v>
      </c>
    </row>
    <row r="11416">
      <c r="A11416" s="1">
        <v>5.0</v>
      </c>
      <c r="B11416" s="1" t="s">
        <v>11224</v>
      </c>
      <c r="C11416" t="str">
        <f>IFERROR(__xludf.DUMMYFUNCTION("GOOGLETRANSLATE(B11416, ""fr"", ""en"")"),"A great invention! Using this device, air is more breathable and less cold. I use with a mint flavor. It is very pleasant. I recommend it and I will order another to put in my son's room.")</f>
        <v>A great invention! Using this device, air is more breathable and less cold. I use with a mint flavor. It is very pleasant. I recommend it and I will order another to put in my son's room.</v>
      </c>
    </row>
    <row r="11417">
      <c r="A11417" s="1">
        <v>5.0</v>
      </c>
      <c r="B11417" s="1" t="s">
        <v>11225</v>
      </c>
      <c r="C11417" t="str">
        <f>IFERROR(__xludf.DUMMYFUNCTION("GOOGLETRANSLATE(B11417, ""fr"", ""en"")"),"Good product My son is happy. This really is essential for me !!!")</f>
        <v>Good product My son is happy. This really is essential for me !!!</v>
      </c>
    </row>
    <row r="11418">
      <c r="A11418" s="1">
        <v>5.0</v>
      </c>
      <c r="B11418" s="1" t="s">
        <v>11226</v>
      </c>
      <c r="C11418" t="str">
        <f>IFERROR(__xludf.DUMMYFUNCTION("GOOGLETRANSLATE(B11418, ""fr"", ""en"")"),"I recommend Product too great")</f>
        <v>I recommend Product too great</v>
      </c>
    </row>
    <row r="11419">
      <c r="A11419" s="1">
        <v>5.0</v>
      </c>
      <c r="B11419" s="1" t="s">
        <v>224</v>
      </c>
      <c r="C11419" t="str">
        <f>IFERROR(__xludf.DUMMYFUNCTION("GOOGLETRANSLATE(B11419, ""fr"", ""en"")"),"perfect perfect")</f>
        <v>perfect perfect</v>
      </c>
    </row>
    <row r="11420">
      <c r="A11420" s="1">
        <v>5.0</v>
      </c>
      <c r="B11420" s="1" t="s">
        <v>11227</v>
      </c>
      <c r="C11420" t="str">
        <f>IFERROR(__xludf.DUMMYFUNCTION("GOOGLETRANSLATE(B11420, ""fr"", ""en"")"),"Perfect Good quality product with natural products easy to use with its independent cushions that can fold it easily and use it on the body parts right fast delivery price")</f>
        <v>Perfect Good quality product with natural products easy to use with its independent cushions that can fold it easily and use it on the body parts right fast delivery price</v>
      </c>
    </row>
    <row r="11421">
      <c r="A11421" s="1">
        <v>5.0</v>
      </c>
      <c r="B11421" s="1" t="s">
        <v>11228</v>
      </c>
      <c r="C11421" t="str">
        <f>IFERROR(__xludf.DUMMYFUNCTION("GOOGLETRANSLATE(B11421, ""fr"", ""en"")"),"Retro effect guaranteed! Very good product, retro effect guaranteed :-)")</f>
        <v>Retro effect guaranteed! Very good product, retro effect guaranteed :-)</v>
      </c>
    </row>
    <row r="11422">
      <c r="A11422" s="1">
        <v>2.0</v>
      </c>
      <c r="B11422" s="1" t="s">
        <v>11229</v>
      </c>
      <c r="C11422" t="str">
        <f>IFERROR(__xludf.DUMMYFUNCTION("GOOGLETRANSLATE(B11422, ""fr"", ""en"")"),"Bad Not top, I have not noticed that there were no ears to carry the bag ... and suddenly it didn very interesting !!")</f>
        <v>Bad Not top, I have not noticed that there were no ears to carry the bag ... and suddenly it didn very interesting !!</v>
      </c>
    </row>
    <row r="11423">
      <c r="A11423" s="1">
        <v>1.0</v>
      </c>
      <c r="B11423" s="1" t="s">
        <v>11230</v>
      </c>
      <c r="C11423" t="str">
        <f>IFERROR(__xludf.DUMMYFUNCTION("GOOGLETRANSLATE(B11423, ""fr"", ""en"")"),"Item not received I ordered the printer with this pack of 50 sheets of photo paper. I received the printer but not the lot Photo leaf. I do not know even how to report the missing item")</f>
        <v>Item not received I ordered the printer with this pack of 50 sheets of photo paper. I received the printer but not the lot Photo leaf. I do not know even how to report the missing item</v>
      </c>
    </row>
    <row r="11424">
      <c r="A11424" s="1">
        <v>3.0</v>
      </c>
      <c r="B11424" s="1" t="s">
        <v>11231</v>
      </c>
      <c r="C11424" t="str">
        <f>IFERROR(__xludf.DUMMYFUNCTION("GOOGLETRANSLATE(B11424, ""fr"", ""en"")"),"essential oil there better. I use the essential oil in a mist and it does not give me satisfaction, A try again perhaps?")</f>
        <v>essential oil there better. I use the essential oil in a mist and it does not give me satisfaction, A try again perhaps?</v>
      </c>
    </row>
    <row r="11425">
      <c r="A11425" s="1">
        <v>3.0</v>
      </c>
      <c r="B11425" s="1" t="s">
        <v>11232</v>
      </c>
      <c r="C11425" t="str">
        <f>IFERROR(__xludf.DUMMYFUNCTION("GOOGLETRANSLATE(B11425, ""fr"", ""en"")"),"A little aggressive Slightly aggressive as essential oil .. Do betrayed it may be a lower quality .. Do not put a few drops. Perfect to eliminate insects it seems")</f>
        <v>A little aggressive Slightly aggressive as essential oil .. Do betrayed it may be a lower quality .. Do not put a few drops. Perfect to eliminate insects it seems</v>
      </c>
    </row>
    <row r="11426">
      <c r="A11426" s="1">
        <v>4.0</v>
      </c>
      <c r="B11426" s="1" t="s">
        <v>11233</v>
      </c>
      <c r="C11426" t="str">
        <f>IFERROR(__xludf.DUMMYFUNCTION("GOOGLETRANSLATE(B11426, ""fr"", ""en"")"),"light and pleasantly functional surprised at the quality of this beautiful watch, it is light on the wrist, the display is very readable and clear and more it comes with a small machine to adjust the strap. RAS for my part, I advise and then it can make a"&amp;" nice gift not excessive in price given the quality, I am fully satisfied, received in time and hours")</f>
        <v>light and pleasantly functional surprised at the quality of this beautiful watch, it is light on the wrist, the display is very readable and clear and more it comes with a small machine to adjust the strap. RAS for my part, I advise and then it can make a nice gift not excessive in price given the quality, I am fully satisfied, received in time and hours</v>
      </c>
    </row>
    <row r="11427">
      <c r="A11427" s="1">
        <v>4.0</v>
      </c>
      <c r="B11427" s="1" t="s">
        <v>11234</v>
      </c>
      <c r="C11427" t="str">
        <f>IFERROR(__xludf.DUMMYFUNCTION("GOOGLETRANSLATE(B11427, ""fr"", ""en"")"),"Quality, comfort and price I have given as a gift and the person felt very comfortable with the shoes and told me it was like in songs. I recommend this article.")</f>
        <v>Quality, comfort and price I have given as a gift and the person felt very comfortable with the shoes and told me it was like in songs. I recommend this article.</v>
      </c>
    </row>
    <row r="11428">
      <c r="A11428" s="1">
        <v>4.0</v>
      </c>
      <c r="B11428" s="1" t="s">
        <v>11235</v>
      </c>
      <c r="C11428" t="str">
        <f>IFERROR(__xludf.DUMMYFUNCTION("GOOGLETRANSLATE(B11428, ""fr"", ""en"")"),"Remains to test the moment I could not try them but I'm pleased with the speed of the shipment, the quality of packaging and equipment. After that, I did not check if the cables were long enough, the sound quality and si'ils good fit on the head of my 2 g"&amp;"irls but it's a great start.")</f>
        <v>Remains to test the moment I could not try them but I'm pleased with the speed of the shipment, the quality of packaging and equipment. After that, I did not check if the cables were long enough, the sound quality and si'ils good fit on the head of my 2 girls but it's a great start.</v>
      </c>
    </row>
    <row r="11429">
      <c r="A11429" s="1">
        <v>4.0</v>
      </c>
      <c r="B11429" s="1" t="s">
        <v>11236</v>
      </c>
      <c r="C11429" t="str">
        <f>IFERROR(__xludf.DUMMYFUNCTION("GOOGLETRANSLATE(B11429, ""fr"", ""en"")"),"Bag bag a little small beautiful colors")</f>
        <v>Bag bag a little small beautiful colors</v>
      </c>
    </row>
    <row r="11430">
      <c r="A11430" s="1">
        <v>4.0</v>
      </c>
      <c r="B11430" s="1" t="s">
        <v>11237</v>
      </c>
      <c r="C11430" t="str">
        <f>IFERROR(__xludf.DUMMYFUNCTION("GOOGLETRANSLATE(B11430, ""fr"", ""en"")"),"Nice product beautiful, robust bracelet, elegant, but the user interface is not optimal. Side shows for the time being, nothing to say, it is top. Connectivity side: the watch can manage notebook sound, which is much more practical than it seems. By cons,"&amp;" most other features are unnecessary or poorly made. For example, the watch tells you if you receive a notification, and if there is a Snapchat, a whatsapp, etc. It is not possible to distinguish the sender that the message for SMS - that is unnecessary i"&amp;"n Switzerland where everyone uses Whatsapp.")</f>
        <v>Nice product beautiful, robust bracelet, elegant, but the user interface is not optimal. Side shows for the time being, nothing to say, it is top. Connectivity side: the watch can manage notebook sound, which is much more practical than it seems. By cons, most other features are unnecessary or poorly made. For example, the watch tells you if you receive a notification, and if there is a Snapchat, a whatsapp, etc. It is not possible to distinguish the sender that the message for SMS - that is unnecessary in Switzerland where everyone uses Whatsapp.</v>
      </c>
    </row>
    <row r="11431">
      <c r="A11431" s="1">
        <v>5.0</v>
      </c>
      <c r="B11431" s="1" t="s">
        <v>11238</v>
      </c>
      <c r="C11431" t="str">
        <f>IFERROR(__xludf.DUMMYFUNCTION("GOOGLETRANSLATE(B11431, ""fr"", ""en"")"),"Works great! Is often a cold or breathing problems I turned to this product in order to broadcast an essential oil in my room before sleeping, and it works very well! The product is easy to use and has a nice feature that is a change of color in the dark,"&amp;" it is very attractive!")</f>
        <v>Works great! Is often a cold or breathing problems I turned to this product in order to broadcast an essential oil in my room before sleeping, and it works very well! The product is easy to use and has a nice feature that is a change of color in the dark, it is very attractive!</v>
      </c>
    </row>
    <row r="11432">
      <c r="A11432" s="1">
        <v>5.0</v>
      </c>
      <c r="B11432" s="1" t="s">
        <v>11239</v>
      </c>
      <c r="C11432" t="str">
        <f>IFERROR(__xludf.DUMMYFUNCTION("GOOGLETRANSLATE(B11432, ""fr"", ""en"")"),"Awesome A perfect product. super friendly Design for the kitchen. Difficult to find products for babies goes everywhere. Are looks awesome and super convenient. The product is flat and wide, it can put any baby bottles, pacifiers, spoons, plate without an"&amp;"ything breaking figure. It cleans super simple way. I absolutely recommend!")</f>
        <v>Awesome A perfect product. super friendly Design for the kitchen. Difficult to find products for babies goes everywhere. Are looks awesome and super convenient. The product is flat and wide, it can put any baby bottles, pacifiers, spoons, plate without anything breaking figure. It cleans super simple way. I absolutely recommend!</v>
      </c>
    </row>
    <row r="11433">
      <c r="A11433" s="1">
        <v>5.0</v>
      </c>
      <c r="B11433" s="1" t="s">
        <v>11240</v>
      </c>
      <c r="C11433" t="str">
        <f>IFERROR(__xludf.DUMMYFUNCTION("GOOGLETRANSLATE(B11433, ""fr"", ""en"")"),"Perfect Very good shoe remember to take one size larger than your usual size")</f>
        <v>Perfect Very good shoe remember to take one size larger than your usual size</v>
      </c>
    </row>
    <row r="11434">
      <c r="A11434" s="1">
        <v>5.0</v>
      </c>
      <c r="B11434" s="1" t="s">
        <v>11241</v>
      </c>
      <c r="C11434" t="str">
        <f>IFERROR(__xludf.DUMMYFUNCTION("GOOGLETRANSLATE(B11434, ""fr"", ""en"")"),"So good I received my microphones. I operated with a mixer Alesis Multimix 4 fx (equipped with a power supply phantoom 0.48 volts) usb on my PC and the result is stunning narrowly. clean finish, clear sound, a little flat, but it is worked into the mix wi"&amp;"thout problems. The only problem, and it is very minor point I am very satisfied and I removed any stars is that the windshield is highly compressed in the package and a hair marked by the event. But, in my opinion, this is an excellent price / quality ra"&amp;"tio.")</f>
        <v>So good I received my microphones. I operated with a mixer Alesis Multimix 4 fx (equipped with a power supply phantoom 0.48 volts) usb on my PC and the result is stunning narrowly. clean finish, clear sound, a little flat, but it is worked into the mix without problems. The only problem, and it is very minor point I am very satisfied and I removed any stars is that the windshield is highly compressed in the package and a hair marked by the event. But, in my opinion, this is an excellent price / quality ratio.</v>
      </c>
    </row>
    <row r="11435">
      <c r="A11435" s="1">
        <v>5.0</v>
      </c>
      <c r="B11435" s="1" t="s">
        <v>11242</v>
      </c>
      <c r="C11435" t="str">
        <f>IFERROR(__xludf.DUMMYFUNCTION("GOOGLETRANSLATE(B11435, ""fr"", ""en"")"),"It is small globe, the globe is a bit small but the night function with the constellations is superb")</f>
        <v>It is small globe, the globe is a bit small but the night function with the constellations is superb</v>
      </c>
    </row>
    <row r="11436">
      <c r="A11436" s="1">
        <v>5.0</v>
      </c>
      <c r="B11436" s="1" t="s">
        <v>11243</v>
      </c>
      <c r="C11436" t="str">
        <f>IFERROR(__xludf.DUMMYFUNCTION("GOOGLETRANSLATE(B11436, ""fr"", ""en"")"),"Mini Pocket This is the best of all markers")</f>
        <v>Mini Pocket This is the best of all markers</v>
      </c>
    </row>
    <row r="11437">
      <c r="A11437" s="1">
        <v>5.0</v>
      </c>
      <c r="B11437" s="1" t="s">
        <v>11244</v>
      </c>
      <c r="C11437" t="str">
        <f>IFERROR(__xludf.DUMMYFUNCTION("GOOGLETRANSLATE(B11437, ""fr"", ""en"")"),"Meets expectations bought shoes for my son who has an internship (17 years) .. his commentary ""They are cool, it looks like the real shoes.""")</f>
        <v>Meets expectations bought shoes for my son who has an internship (17 years) .. his commentary "They are cool, it looks like the real shoes."</v>
      </c>
    </row>
    <row r="11438">
      <c r="A11438" s="1">
        <v>5.0</v>
      </c>
      <c r="B11438" s="1" t="s">
        <v>11245</v>
      </c>
      <c r="C11438" t="str">
        <f>IFERROR(__xludf.DUMMYFUNCTION("GOOGLETRANSLATE(B11438, ""fr"", ""en"")"),"Perfect Very good value for money rather cleans well and leaves in a washing machine is better now for a product for children. The mine a little hard not super suited to art therapy.")</f>
        <v>Perfect Very good value for money rather cleans well and leaves in a washing machine is better now for a product for children. The mine a little hard not super suited to art therapy.</v>
      </c>
    </row>
    <row r="11439">
      <c r="A11439" s="1">
        <v>5.0</v>
      </c>
      <c r="B11439" s="1" t="s">
        <v>11246</v>
      </c>
      <c r="C11439" t="str">
        <f>IFERROR(__xludf.DUMMYFUNCTION("GOOGLETRANSLATE(B11439, ""fr"", ""en"")"),"Beautiful and lovely design kettle, it heats quickly. The LED light brought a very blue design note turns off when the water is at the right temperature. The glass carafe allows a perfect cleaning, easily seen if the kettle is clean or not. Very happy wit"&amp;"h the product")</f>
        <v>Beautiful and lovely design kettle, it heats quickly. The LED light brought a very blue design note turns off when the water is at the right temperature. The glass carafe allows a perfect cleaning, easily seen if the kettle is clean or not. Very happy with the product</v>
      </c>
    </row>
    <row r="11440">
      <c r="A11440" s="1">
        <v>5.0</v>
      </c>
      <c r="B11440" s="1" t="s">
        <v>7291</v>
      </c>
      <c r="C11440" t="str">
        <f>IFERROR(__xludf.DUMMYFUNCTION("GOOGLETRANSLATE(B11440, ""fr"", ""en"")"),"top top")</f>
        <v>top top</v>
      </c>
    </row>
    <row r="11441">
      <c r="A11441" s="1">
        <v>5.0</v>
      </c>
      <c r="B11441" s="1" t="s">
        <v>11247</v>
      </c>
      <c r="C11441" t="str">
        <f>IFERROR(__xludf.DUMMYFUNCTION("GOOGLETRANSLATE(B11441, ""fr"", ""en"")"),"Puma top I already had in black, I have taken into white for the summer! At first glance, one might think that this is cut a little small (I am the 45) but walk with 2/3 days and will be made. They are really beautiful, sober and are dressed. I recommend "&amp;"eyes closed, Puma are the best shoes for me.")</f>
        <v>Puma top I already had in black, I have taken into white for the summer! At first glance, one might think that this is cut a little small (I am the 45) but walk with 2/3 days and will be made. They are really beautiful, sober and are dressed. I recommend eyes closed, Puma are the best shoes for me.</v>
      </c>
    </row>
    <row r="11442">
      <c r="A11442" s="1">
        <v>5.0</v>
      </c>
      <c r="B11442" s="1" t="s">
        <v>11248</v>
      </c>
      <c r="C11442" t="str">
        <f>IFERROR(__xludf.DUMMYFUNCTION("GOOGLETRANSLATE(B11442, ""fr"", ""en"")"),"Perfect for learning Served approximately 2 months my daughter when she was beginning to want to try everything but she could not chew (around 7-8 months). We can hang on a string to prevent it from falling down constantly. Warning, it's great for bananas"&amp;" but must be cleaned immediately because this is the worst result to clean the beans when dried remain stuck for days!")</f>
        <v>Perfect for learning Served approximately 2 months my daughter when she was beginning to want to try everything but she could not chew (around 7-8 months). We can hang on a string to prevent it from falling down constantly. Warning, it's great for bananas but must be cleaned immediately because this is the worst result to clean the beans when dried remain stuck for days!</v>
      </c>
    </row>
    <row r="11443">
      <c r="A11443" s="1">
        <v>5.0</v>
      </c>
      <c r="B11443" s="1" t="s">
        <v>11249</v>
      </c>
      <c r="C11443" t="str">
        <f>IFERROR(__xludf.DUMMYFUNCTION("GOOGLETRANSLATE(B11443, ""fr"", ""en"")"),"perfect for me shows small and discreet with the necessary functions: time, date, alarm, stopwatch, second time: just right.")</f>
        <v>perfect for me shows small and discreet with the necessary functions: time, date, alarm, stopwatch, second time: just right.</v>
      </c>
    </row>
    <row r="11444">
      <c r="A11444" s="1">
        <v>5.0</v>
      </c>
      <c r="B11444" s="1" t="s">
        <v>11250</v>
      </c>
      <c r="C11444" t="str">
        <f>IFERROR(__xludf.DUMMYFUNCTION("GOOGLETRANSLATE(B11444, ""fr"", ""en"")"),"Suitable for music and movies")</f>
        <v>Suitable for music and movies</v>
      </c>
    </row>
    <row r="11445">
      <c r="A11445" s="1">
        <v>5.0</v>
      </c>
      <c r="B11445" s="1" t="s">
        <v>11251</v>
      </c>
      <c r="C11445" t="str">
        <f>IFERROR(__xludf.DUMMYFUNCTION("GOOGLETRANSLATE(B11445, ""fr"", ""en"")"),"Tommee Tippee I bought these fast flow nipples 6 month + when I add the cereal and I'm happy with my purchase because she drinks a lot faster without tiring and without regurgitation. Teats wash easily. Anyway, I'm happy and I recommend.")</f>
        <v>Tommee Tippee I bought these fast flow nipples 6 month + when I add the cereal and I'm happy with my purchase because she drinks a lot faster without tiring and without regurgitation. Teats wash easily. Anyway, I'm happy and I recommend.</v>
      </c>
    </row>
    <row r="11446">
      <c r="A11446" s="1">
        <v>2.0</v>
      </c>
      <c r="B11446" s="1" t="s">
        <v>11252</v>
      </c>
      <c r="C11446" t="str">
        <f>IFERROR(__xludf.DUMMYFUNCTION("GOOGLETRANSLATE(B11446, ""fr"", ""en"")"),"Yes, but to revise Goodies: transparency doses, large capacity Cons: too short threads, suddenly they unscrewed easily in the bag !!")</f>
        <v>Yes, but to revise Goodies: transparency doses, large capacity Cons: too short threads, suddenly they unscrewed easily in the bag !!</v>
      </c>
    </row>
    <row r="11447">
      <c r="A11447" s="1">
        <v>1.0</v>
      </c>
      <c r="B11447" s="1" t="s">
        <v>11253</v>
      </c>
      <c r="C11447" t="str">
        <f>IFERROR(__xludf.DUMMYFUNCTION("GOOGLETRANSLATE(B11447, ""fr"", ""en"")"),"Back back already")</f>
        <v>Back back already</v>
      </c>
    </row>
    <row r="11448">
      <c r="A11448" s="1">
        <v>1.0</v>
      </c>
      <c r="B11448" s="1" t="s">
        <v>11254</v>
      </c>
      <c r="C11448" t="str">
        <f>IFERROR(__xludf.DUMMYFUNCTION("GOOGLETRANSLATE(B11448, ""fr"", ""en"")"),"To avoid!!! No product to avoid bag attachment system do not want, you craft the cover off it it. (Bravo made in ""&amp; nbsp; &amp; nbsp Germany;"")")</f>
        <v>To avoid!!! No product to avoid bag attachment system do not want, you craft the cover off it it. (Bravo made in "&amp; nbsp; &amp; nbsp Germany;")</v>
      </c>
    </row>
    <row r="11449">
      <c r="A11449" s="1">
        <v>3.0</v>
      </c>
      <c r="B11449" s="1" t="s">
        <v>11255</v>
      </c>
      <c r="C11449" t="str">
        <f>IFERROR(__xludf.DUMMYFUNCTION("GOOGLETRANSLATE(B11449, ""fr"", ""en"")"),"narrow windshield good quality too narrow to cover the opening tie microphone. Furthermore it is necessary to remove the windscreen in original foam.")</f>
        <v>narrow windshield good quality too narrow to cover the opening tie microphone. Furthermore it is necessary to remove the windscreen in original foam.</v>
      </c>
    </row>
    <row r="11450">
      <c r="A11450" s="1">
        <v>3.0</v>
      </c>
      <c r="B11450" s="1" t="s">
        <v>11256</v>
      </c>
      <c r="C11450" t="str">
        <f>IFERROR(__xludf.DUMMYFUNCTION("GOOGLETRANSLATE(B11450, ""fr"", ""en"")"),"Reference section of great service site service seriously Clothing")</f>
        <v>Reference section of great service site service seriously Clothing</v>
      </c>
    </row>
    <row r="11451">
      <c r="A11451" s="1">
        <v>4.0</v>
      </c>
      <c r="B11451" s="1" t="s">
        <v>11257</v>
      </c>
      <c r="C11451" t="str">
        <f>IFERROR(__xludf.DUMMYFUNCTION("GOOGLETRANSLATE(B11451, ""fr"", ""en"")"),"Perfect Perfect for the use that I made (use to connect a rear center speaker on my home theater). Robust cable armé.La delivery was made on time, the product was packed in a bubble envelope, which is sufficient for a product that does not fear the shocks"&amp;".")</f>
        <v>Perfect Perfect for the use that I made (use to connect a rear center speaker on my home theater). Robust cable armé.La delivery was made on time, the product was packed in a bubble envelope, which is sufficient for a product that does not fear the shocks.</v>
      </c>
    </row>
    <row r="11452">
      <c r="A11452" s="1">
        <v>4.0</v>
      </c>
      <c r="B11452" s="1" t="s">
        <v>11258</v>
      </c>
      <c r="C11452" t="str">
        <f>IFERROR(__xludf.DUMMYFUNCTION("GOOGLETRANSLATE(B11452, ""fr"", ""en"")"),"good for that price I use as ""secondary"" boots you float on the calves and we know the temperature of where you walk ...! good but at this price ....")</f>
        <v>good for that price I use as "secondary" boots you float on the calves and we know the temperature of where you walk ...! good but at this price ....</v>
      </c>
    </row>
    <row r="11453">
      <c r="A11453" s="1">
        <v>4.0</v>
      </c>
      <c r="B11453" s="1" t="s">
        <v>11259</v>
      </c>
      <c r="C11453" t="str">
        <f>IFERROR(__xludf.DUMMYFUNCTION("GOOGLETRANSLATE(B11453, ""fr"", ""en"")"),"For lovers of fine watches The product seems cheap on the pictures, it is not the case when the received package. I've had more than 6 months and no complaints yet. The quality / price is clearly appreciable.")</f>
        <v>For lovers of fine watches The product seems cheap on the pictures, it is not the case when the received package. I've had more than 6 months and no complaints yet. The quality / price is clearly appreciable.</v>
      </c>
    </row>
    <row r="11454">
      <c r="A11454" s="1">
        <v>4.0</v>
      </c>
      <c r="B11454" s="1" t="s">
        <v>11260</v>
      </c>
      <c r="C11454" t="str">
        <f>IFERROR(__xludf.DUMMYFUNCTION("GOOGLETRANSLATE(B11454, ""fr"", ""en"")"),"Useful and effective but expensive water rinsing efficiency product. I clean my sink and my worktop in white resin and it does well from the marks or stains. Some product only. One caveat: let the deposit as a cream to recover and it takes so rinse water "&amp;"bcp on use.")</f>
        <v>Useful and effective but expensive water rinsing efficiency product. I clean my sink and my worktop in white resin and it does well from the marks or stains. Some product only. One caveat: let the deposit as a cream to recover and it takes so rinse water bcp on use.</v>
      </c>
    </row>
    <row r="11455">
      <c r="A11455" s="1">
        <v>5.0</v>
      </c>
      <c r="B11455" s="1" t="s">
        <v>11261</v>
      </c>
      <c r="C11455" t="str">
        <f>IFERROR(__xludf.DUMMYFUNCTION("GOOGLETRANSLATE(B11455, ""fr"", ""en"")"),"impeccable even more beautiful in person than in the picture")</f>
        <v>impeccable even more beautiful in person than in the picture</v>
      </c>
    </row>
    <row r="11456">
      <c r="A11456" s="1">
        <v>5.0</v>
      </c>
      <c r="B11456" s="1" t="s">
        <v>11262</v>
      </c>
      <c r="C11456" t="str">
        <f>IFERROR(__xludf.DUMMYFUNCTION("GOOGLETRANSLATE(B11456, ""fr"", ""en"")"),"quality earphones provided with the purchase of one my more usual 6 the supplied headphones with smartphones are not always very good they are parfais, no complaints.")</f>
        <v>quality earphones provided with the purchase of one my more usual 6 the supplied headphones with smartphones are not always very good they are parfais, no complaints.</v>
      </c>
    </row>
    <row r="11457">
      <c r="A11457" s="1">
        <v>5.0</v>
      </c>
      <c r="B11457" s="1" t="s">
        <v>11263</v>
      </c>
      <c r="C11457" t="str">
        <f>IFERROR(__xludf.DUMMYFUNCTION("GOOGLETRANSLATE(B11457, ""fr"", ""en"")"),"Very nice Very nice product but too big")</f>
        <v>Very nice Very nice product but too big</v>
      </c>
    </row>
    <row r="11458">
      <c r="A11458" s="1">
        <v>5.0</v>
      </c>
      <c r="B11458" s="1" t="s">
        <v>11264</v>
      </c>
      <c r="C11458" t="str">
        <f>IFERROR(__xludf.DUMMYFUNCTION("GOOGLETRANSLATE(B11458, ""fr"", ""en"")"),"Super Beautiful gray, very comfortable size as expected. No complaints")</f>
        <v>Super Beautiful gray, very comfortable size as expected. No complaints</v>
      </c>
    </row>
    <row r="11459">
      <c r="A11459" s="1">
        <v>5.0</v>
      </c>
      <c r="B11459" s="1" t="s">
        <v>11265</v>
      </c>
      <c r="C11459" t="str">
        <f>IFERROR(__xludf.DUMMYFUNCTION("GOOGLETRANSLATE(B11459, ""fr"", ""en"")"),"Really good Really good")</f>
        <v>Really good Really good</v>
      </c>
    </row>
    <row r="11460">
      <c r="A11460" s="1">
        <v>5.0</v>
      </c>
      <c r="B11460" s="1" t="s">
        <v>11266</v>
      </c>
      <c r="C11460" t="str">
        <f>IFERROR(__xludf.DUMMYFUNCTION("GOOGLETRANSLATE(B11460, ""fr"", ""en"")"),"Pleasant to use, optimal size I am very happy to point it excellent grip is light and efficient it is a real pleasure to use to place these power point. Batteries are not included with damage")</f>
        <v>Pleasant to use, optimal size I am very happy to point it excellent grip is light and efficient it is a real pleasure to use to place these power point. Batteries are not included with damage</v>
      </c>
    </row>
    <row r="11461">
      <c r="A11461" s="1">
        <v>5.0</v>
      </c>
      <c r="B11461" s="1" t="s">
        <v>11267</v>
      </c>
      <c r="C11461" t="str">
        <f>IFERROR(__xludf.DUMMYFUNCTION("GOOGLETRANSLATE(B11461, ""fr"", ""en"")"),"Great and very good quality! This brush is really good! I am very happy, and we also use it to wash the gourds")</f>
        <v>Great and very good quality! This brush is really good! I am very happy, and we also use it to wash the gourds</v>
      </c>
    </row>
    <row r="11462">
      <c r="A11462" s="1">
        <v>5.0</v>
      </c>
      <c r="B11462" s="1" t="s">
        <v>11268</v>
      </c>
      <c r="C11462" t="str">
        <f>IFERROR(__xludf.DUMMYFUNCTION("GOOGLETRANSLATE(B11462, ""fr"", ""en"")"),"Impeccable Impeccable, solid materials happy with my purchase. Bought to put a microphone on it. He would like very well and does his taff")</f>
        <v>Impeccable Impeccable, solid materials happy with my purchase. Bought to put a microphone on it. He would like very well and does his taff</v>
      </c>
    </row>
    <row r="11463">
      <c r="A11463" s="1">
        <v>5.0</v>
      </c>
      <c r="B11463" s="1" t="s">
        <v>11269</v>
      </c>
      <c r="C11463" t="str">
        <f>IFERROR(__xludf.DUMMYFUNCTION("GOOGLETRANSLATE(B11463, ""fr"", ""en"")"),"Box essential oils Very nice box of essential oils. I use a diffuser. Perfume lovely and soft. Very good to have several different flavors according to use its desires. Very handy in a box ra'gées")</f>
        <v>Box essential oils Very nice box of essential oils. I use a diffuser. Perfume lovely and soft. Very good to have several different flavors according to use its desires. Very handy in a box ra'gées</v>
      </c>
    </row>
    <row r="11464">
      <c r="A11464" s="1">
        <v>5.0</v>
      </c>
      <c r="B11464" s="1" t="s">
        <v>11270</v>
      </c>
      <c r="C11464" t="str">
        <f>IFERROR(__xludf.DUMMYFUNCTION("GOOGLETRANSLATE(B11464, ""fr"", ""en"")"),"Okay, the item is consistent with the description and corresponds perfectly to my expectations.")</f>
        <v>Okay, the item is consistent with the description and corresponds perfectly to my expectations.</v>
      </c>
    </row>
    <row r="11465">
      <c r="A11465" s="1">
        <v>5.0</v>
      </c>
      <c r="B11465" s="1" t="s">
        <v>7291</v>
      </c>
      <c r="C11465" t="str">
        <f>IFERROR(__xludf.DUMMYFUNCTION("GOOGLETRANSLATE(B11465, ""fr"", ""en"")"),"top top")</f>
        <v>top top</v>
      </c>
    </row>
    <row r="11466">
      <c r="A11466" s="1">
        <v>5.0</v>
      </c>
      <c r="B11466" s="1" t="s">
        <v>11271</v>
      </c>
      <c r="C11466" t="str">
        <f>IFERROR(__xludf.DUMMYFUNCTION("GOOGLETRANSLATE(B11466, ""fr"", ""en"")"),"Compliance and convenient Great for small")</f>
        <v>Compliance and convenient Great for small</v>
      </c>
    </row>
    <row r="11467">
      <c r="A11467" s="1">
        <v>5.0</v>
      </c>
      <c r="B11467" s="1" t="s">
        <v>11272</v>
      </c>
      <c r="C11467" t="str">
        <f>IFERROR(__xludf.DUMMYFUNCTION("GOOGLETRANSLATE(B11467, ""fr"", ""en"")"),"What's great !! Good Normal is the JBL frankly disappointed by the aesthetic quality as performance")</f>
        <v>What's great !! Good Normal is the JBL frankly disappointed by the aesthetic quality as performance</v>
      </c>
    </row>
    <row r="11468">
      <c r="A11468" s="1">
        <v>5.0</v>
      </c>
      <c r="B11468" s="1" t="s">
        <v>11273</v>
      </c>
      <c r="C11468" t="str">
        <f>IFERROR(__xludf.DUMMYFUNCTION("GOOGLETRANSLATE(B11468, ""fr"", ""en"")"),"VERY GOOD PRODUCT VERY GOOD PRODUCT")</f>
        <v>VERY GOOD PRODUCT VERY GOOD PRODUCT</v>
      </c>
    </row>
    <row r="11469">
      <c r="A11469" s="1">
        <v>5.0</v>
      </c>
      <c r="B11469" s="1" t="s">
        <v>11274</v>
      </c>
      <c r="C11469" t="str">
        <f>IFERROR(__xludf.DUMMYFUNCTION("GOOGLETRANSLATE(B11469, ""fr"", ""en"")"),"I am satisfied with my purchase 5/5 I'm satisfied From My Purchase From This product Microphone Double Head Tie Clip Recording Mic Mini Microphone for iPhone iPad and Smartphone SEVERAL after tests I Content From My Purchase 5/5")</f>
        <v>I am satisfied with my purchase 5/5 I'm satisfied From My Purchase From This product Microphone Double Head Tie Clip Recording Mic Mini Microphone for iPhone iPad and Smartphone SEVERAL after tests I Content From My Purchase 5/5</v>
      </c>
    </row>
    <row r="11470">
      <c r="A11470" s="1">
        <v>5.0</v>
      </c>
      <c r="B11470" s="1" t="s">
        <v>11275</v>
      </c>
      <c r="C11470" t="str">
        <f>IFERROR(__xludf.DUMMYFUNCTION("GOOGLETRANSLATE(B11470, ""fr"", ""en"")"),"good flavor and good decoration &lt;div id = ""video-block-R2ZXJ1KCQ15BE7"" class = ""a-section-spacing-small in-spacing-top mini video-block""&gt; &lt;/ div&gt; &lt;input type = ""hidden"" name = """" value = ""https://images-eu.ssl-images-amazon.com/images/I/713dJZpvr"&amp;"IS.mp4"" class = ""video-url""&gt; &lt;input type = ""hidden"" name = """" value = ""https://images-eu.ssl-images-amazon.com/images/I/91EclQfK7TS.png"" class = ""video-slate-img-url""&gt; &amp; nbsp; this diffuser is amazing! I love the effect of wood that he had and "&amp;"shape. When the light diffuser is very quiet and I like the light LED that changes color. It's great how you can choose to keep it on 1 hour 2 hours or 3 hours by clicking the buttons on the front. you can also choose to keep the lights switched on or off"&amp;". Is the machine will automatically turn off if the water mansion.")</f>
        <v>good flavor and good decoration &lt;div id = "video-block-R2ZXJ1KCQ15BE7" class = "a-section-spacing-small in-spacing-top mini video-block"&gt; &lt;/ div&gt; &lt;input type = "hidden" name = "" value = "https://images-eu.ssl-images-amazon.com/images/I/713dJZpvrIS.mp4" class = "video-url"&gt; &lt;input type = "hidden" name = "" value = "https://images-eu.ssl-images-amazon.com/images/I/91EclQfK7TS.png" class = "video-slate-img-url"&gt; &amp; nbsp; this diffuser is amazing! I love the effect of wood that he had and shape. When the light diffuser is very quiet and I like the light LED that changes color. It's great how you can choose to keep it on 1 hour 2 hours or 3 hours by clicking the buttons on the front. you can also choose to keep the lights switched on or off. Is the machine will automatically turn off if the water mansion.</v>
      </c>
    </row>
    <row r="11471">
      <c r="A11471" s="1">
        <v>2.0</v>
      </c>
      <c r="B11471" s="1" t="s">
        <v>11276</v>
      </c>
      <c r="C11471" t="str">
        <f>IFERROR(__xludf.DUMMYFUNCTION("GOOGLETRANSLATE(B11471, ""fr"", ""en"")"),"To reserve a marginal use this USB Midi is recognized directly on the Mac, no need to install additional software to use it. The whole is a fairly lightweight which makes it not suitable for frequent travel where repeated shocks could easily cause damage.")</f>
        <v>To reserve a marginal use this USB Midi is recognized directly on the Mac, no need to install additional software to use it. The whole is a fairly lightweight which makes it not suitable for frequent travel where repeated shocks could easily cause damage.</v>
      </c>
    </row>
    <row r="11472">
      <c r="A11472" s="1">
        <v>1.0</v>
      </c>
      <c r="B11472" s="1" t="s">
        <v>11277</v>
      </c>
      <c r="C11472" t="str">
        <f>IFERROR(__xludf.DUMMYFUNCTION("GOOGLETRANSLATE(B11472, ""fr"", ""en"")"),"Big disappointment 😞 Not happy at all flee like a colander very disappointed with my purchase")</f>
        <v>Big disappointment 😞 Not happy at all flee like a colander very disappointed with my purchase</v>
      </c>
    </row>
    <row r="11473">
      <c r="A11473" s="1">
        <v>1.0</v>
      </c>
      <c r="B11473" s="1" t="s">
        <v>11278</v>
      </c>
      <c r="C11473" t="str">
        <f>IFERROR(__xludf.DUMMYFUNCTION("GOOGLETRANSLATE(B11473, ""fr"", ""en"")"),"Article received no endomagé size S is valid for children 10 years old see less and the matter is a shame disaster")</f>
        <v>Article received no endomagé size S is valid for children 10 years old see less and the matter is a shame disaster</v>
      </c>
    </row>
    <row r="11474">
      <c r="A11474" s="1">
        <v>3.0</v>
      </c>
      <c r="B11474" s="1" t="s">
        <v>11279</v>
      </c>
      <c r="C11474" t="str">
        <f>IFERROR(__xludf.DUMMYFUNCTION("GOOGLETRANSLATE(B11474, ""fr"", ""en"")"),"blue Sweat The parcel is delivered quickly, the blue brand sweater is the right size, Good quality / price")</f>
        <v>blue Sweat The parcel is delivered quickly, the blue brand sweater is the right size, Good quality / price</v>
      </c>
    </row>
    <row r="11475">
      <c r="A11475" s="1">
        <v>3.0</v>
      </c>
      <c r="B11475" s="1" t="s">
        <v>11280</v>
      </c>
      <c r="C11475" t="str">
        <f>IFERROR(__xludf.DUMMYFUNCTION("GOOGLETRANSLATE(B11475, ""fr"", ""en"")"),"Watch correct price range in addition to a Casio Edifice. On the MRW-200H model, the glass is plastic as opposed to the building and is much more fragile. Light scratches from day 1 with no particular constraint exercise (hence the 3 stars). I imagine the"&amp;" state when I'll tinker !. It seems that the new model MRW 210 H has a mineral glass (but more expensive ... for now) To adjust, easy enough when you're used to watches with date. (Except the choice of the language of the day a little weird) Time is very "&amp;"readable Fair price 19 € (20.09.2016)")</f>
        <v>Watch correct price range in addition to a Casio Edifice. On the MRW-200H model, the glass is plastic as opposed to the building and is much more fragile. Light scratches from day 1 with no particular constraint exercise (hence the 3 stars). I imagine the state when I'll tinker !. It seems that the new model MRW 210 H has a mineral glass (but more expensive ... for now) To adjust, easy enough when you're used to watches with date. (Except the choice of the language of the day a little weird) Time is very readable Fair price 19 € (20.09.2016)</v>
      </c>
    </row>
    <row r="11476">
      <c r="A11476" s="1">
        <v>4.0</v>
      </c>
      <c r="B11476" s="1" t="s">
        <v>11281</v>
      </c>
      <c r="C11476" t="str">
        <f>IFERROR(__xludf.DUMMYFUNCTION("GOOGLETRANSLATE(B11476, ""fr"", ""en"")"),"Quick sending sends fast and pretty consistent. I was looking forward")</f>
        <v>Quick sending sends fast and pretty consistent. I was looking forward</v>
      </c>
    </row>
    <row r="11477">
      <c r="A11477" s="1">
        <v>4.0</v>
      </c>
      <c r="B11477" s="1" t="s">
        <v>11282</v>
      </c>
      <c r="C11477" t="str">
        <f>IFERROR(__xludf.DUMMYFUNCTION("GOOGLETRANSLATE(B11477, ""fr"", ""en"")"),"Draw me a sheep A double pack of coloring pens sold at that price, it can attract suspicions ... yet it is not so and these pens from Bic plants do very well the job. In light of mine, I think they are not recommended for children under five or six years "&amp;"because if the mines do not sink, the tip is quite fine and should soon not look like much more under the onslaught smaller. Apart from this detail, the colors have a beautiful record on paper, the caps are pesky and only the absence of a real metal box f"&amp;"or storage mitigates the excellent overall impression. But the selling price, we will do without willingly, even investing in a select box by the brats later :-) Advertised ""&amp; nbsp; &amp; nbsp ultra-washable;"" misfires on hands disappear into effect quickly"&amp;" enough. No slippage on clothes to mourn for the moment, so I hope that the promise is not vain on that! In short, it is basic and this should be enough to illustrate perfectly the stories of the Little Prince or inventing adventures for current superhero"&amp;"!")</f>
        <v>Draw me a sheep A double pack of coloring pens sold at that price, it can attract suspicions ... yet it is not so and these pens from Bic plants do very well the job. In light of mine, I think they are not recommended for children under five or six years because if the mines do not sink, the tip is quite fine and should soon not look like much more under the onslaught smaller. Apart from this detail, the colors have a beautiful record on paper, the caps are pesky and only the absence of a real metal box for storage mitigates the excellent overall impression. But the selling price, we will do without willingly, even investing in a select box by the brats later :-) Advertised "&amp; nbsp; &amp; nbsp ultra-washable;" misfires on hands disappear into effect quickly enough. No slippage on clothes to mourn for the moment, so I hope that the promise is not vain on that! In short, it is basic and this should be enough to illustrate perfectly the stories of the Little Prince or inventing adventures for current superhero!</v>
      </c>
    </row>
    <row r="11478">
      <c r="A11478" s="1">
        <v>4.0</v>
      </c>
      <c r="B11478" s="1" t="s">
        <v>11283</v>
      </c>
      <c r="C11478" t="str">
        <f>IFERROR(__xludf.DUMMYFUNCTION("GOOGLETRANSLATE(B11478, ""fr"", ""en"")"),"Original Kettle consistent with the description, look very retro, beautiful color, for its primary function, nothing to say fast and low noise, only downside is the lid on top a little difficult to remove (not automatic, pull it) but I am still satisfied "&amp;"with my purchase")</f>
        <v>Original Kettle consistent with the description, look very retro, beautiful color, for its primary function, nothing to say fast and low noise, only downside is the lid on top a little difficult to remove (not automatic, pull it) but I am still satisfied with my purchase</v>
      </c>
    </row>
    <row r="11479">
      <c r="A11479" s="1">
        <v>4.0</v>
      </c>
      <c r="B11479" s="1" t="s">
        <v>11284</v>
      </c>
      <c r="C11479" t="str">
        <f>IFERROR(__xludf.DUMMYFUNCTION("GOOGLETRANSLATE(B11479, ""fr"", ""en"")"),"What cut! As expected this product is very well suited to my taille.c'est product value .in cotton mix will be well understood for comfort. I recommend it to anyone looking for easy maintenance.")</f>
        <v>What cut! As expected this product is very well suited to my taille.c'est product value .in cotton mix will be well understood for comfort. I recommend it to anyone looking for easy maintenance.</v>
      </c>
    </row>
    <row r="11480">
      <c r="A11480" s="1">
        <v>5.0</v>
      </c>
      <c r="B11480" s="1" t="s">
        <v>11285</v>
      </c>
      <c r="C11480" t="str">
        <f>IFERROR(__xludf.DUMMYFUNCTION("GOOGLETRANSLATE(B11480, ""fr"", ""en"")"),"Nickel My student daughter is fully satisfied")</f>
        <v>Nickel My student daughter is fully satisfied</v>
      </c>
    </row>
    <row r="11481">
      <c r="A11481" s="1">
        <v>5.0</v>
      </c>
      <c r="B11481" s="1" t="s">
        <v>11286</v>
      </c>
      <c r="C11481" t="str">
        <f>IFERROR(__xludf.DUMMYFUNCTION("GOOGLETRANSLATE(B11481, ""fr"", ""en"")"),"A sweatshirt with style! A small gift for my man! I bought this sweater for a present for my man. I took the same size as usual, of M. The t exactly a size M in trade. I find it sized properly and takes out the man of my curve. The finishes are clean, the"&amp;" colors are nice and bright. There were two choices of colors but I preferred this one! There is a hood and behind a central pocket to put his hands. It's a little polar style feel, I love! My man told me that it is very good inside and it keeps you warm."&amp;" In addition he liked the design, like me. Result, I am very happy with this purchase! The price / quality ratio is very satisfying.")</f>
        <v>A sweatshirt with style! A small gift for my man! I bought this sweater for a present for my man. I took the same size as usual, of M. The t exactly a size M in trade. I find it sized properly and takes out the man of my curve. The finishes are clean, the colors are nice and bright. There were two choices of colors but I preferred this one! There is a hood and behind a central pocket to put his hands. It's a little polar style feel, I love! My man told me that it is very good inside and it keeps you warm. In addition he liked the design, like me. Result, I am very happy with this purchase! The price / quality ratio is very satisfying.</v>
      </c>
    </row>
    <row r="11482">
      <c r="A11482" s="1">
        <v>5.0</v>
      </c>
      <c r="B11482" s="1" t="s">
        <v>11287</v>
      </c>
      <c r="C11482" t="str">
        <f>IFERROR(__xludf.DUMMYFUNCTION("GOOGLETRANSLATE(B11482, ""fr"", ""en"")"),"A good buy, recommended. Beautiful shoes, well designed and very comfortable. Good value for money.")</f>
        <v>A good buy, recommended. Beautiful shoes, well designed and very comfortable. Good value for money.</v>
      </c>
    </row>
    <row r="11483">
      <c r="A11483" s="1">
        <v>5.0</v>
      </c>
      <c r="B11483" s="1" t="s">
        <v>11288</v>
      </c>
      <c r="C11483" t="str">
        <f>IFERROR(__xludf.DUMMYFUNCTION("GOOGLETRANSLATE(B11483, ""fr"", ""en"")"),"duration in time I have to buy a similar pair but not this brand and frankly they have not held the sole has let go in a granny not working an.je factory and I walk a lot I would say if she will do me a year of good and loyal service to the moment nothing"&amp;" to say it suits me, its very light and pretty rest see the strength in time.")</f>
        <v>duration in time I have to buy a similar pair but not this brand and frankly they have not held the sole has let go in a granny not working an.je factory and I walk a lot I would say if she will do me a year of good and loyal service to the moment nothing to say it suits me, its very light and pretty rest see the strength in time.</v>
      </c>
    </row>
    <row r="11484">
      <c r="A11484" s="1">
        <v>5.0</v>
      </c>
      <c r="B11484" s="1" t="s">
        <v>11289</v>
      </c>
      <c r="C11484" t="str">
        <f>IFERROR(__xludf.DUMMYFUNCTION("GOOGLETRANSLATE(B11484, ""fr"", ""en"")"),"good size right product for walks outputs perfect")</f>
        <v>good size right product for walks outputs perfect</v>
      </c>
    </row>
    <row r="11485">
      <c r="A11485" s="1">
        <v>5.0</v>
      </c>
      <c r="B11485" s="1" t="s">
        <v>11290</v>
      </c>
      <c r="C11485" t="str">
        <f>IFERROR(__xludf.DUMMYFUNCTION("GOOGLETRANSLATE(B11485, ""fr"", ""en"")"),"perfect for me I only use the gun brand cartridges because I quickly noticed that do not take consistent color over time this is boring for photos that lose color and this quickly. attention to gun cartridges marked sartup or something similar cheaper but"&amp;" with 50% less ink")</f>
        <v>perfect for me I only use the gun brand cartridges because I quickly noticed that do not take consistent color over time this is boring for photos that lose color and this quickly. attention to gun cartridges marked sartup or something similar cheaper but with 50% less ink</v>
      </c>
    </row>
    <row r="11486">
      <c r="A11486" s="1">
        <v>5.0</v>
      </c>
      <c r="B11486" s="1" t="s">
        <v>11291</v>
      </c>
      <c r="C11486" t="str">
        <f>IFERROR(__xludf.DUMMYFUNCTION("GOOGLETRANSLATE(B11486, ""fr"", ""en"")"),"Watch product according to the corresponding description, SEIKO delivered in a box with a warranty card. Reach from 3 days does not delay. I recommend this model")</f>
        <v>Watch product according to the corresponding description, SEIKO delivered in a box with a warranty card. Reach from 3 days does not delay. I recommend this model</v>
      </c>
    </row>
    <row r="11487">
      <c r="A11487" s="1">
        <v>5.0</v>
      </c>
      <c r="B11487" s="1" t="s">
        <v>11292</v>
      </c>
      <c r="C11487" t="str">
        <f>IFERROR(__xludf.DUMMYFUNCTION("GOOGLETRANSLATE(B11487, ""fr"", ""en"")"),"Waiting for true reading. I just traveled. History seems pleasant enough.")</f>
        <v>Waiting for true reading. I just traveled. History seems pleasant enough.</v>
      </c>
    </row>
    <row r="11488">
      <c r="A11488" s="1">
        <v>5.0</v>
      </c>
      <c r="B11488" s="1" t="s">
        <v>11293</v>
      </c>
      <c r="C11488" t="str">
        <f>IFERROR(__xludf.DUMMYFUNCTION("GOOGLETRANSLATE(B11488, ""fr"", ""en"")"),"Excellent Good product. Tien well on the shoe, serves not too top of the foot and convenient to slip")</f>
        <v>Excellent Good product. Tien well on the shoe, serves not too top of the foot and convenient to slip</v>
      </c>
    </row>
    <row r="11489">
      <c r="A11489" s="1">
        <v>5.0</v>
      </c>
      <c r="B11489" s="1" t="s">
        <v>11294</v>
      </c>
      <c r="C11489" t="str">
        <f>IFERROR(__xludf.DUMMYFUNCTION("GOOGLETRANSLATE(B11489, ""fr"", ""en"")"),"Good value good value nickel price Size")</f>
        <v>Good value good value nickel price Size</v>
      </c>
    </row>
    <row r="11490">
      <c r="A11490" s="1">
        <v>5.0</v>
      </c>
      <c r="B11490" s="1" t="s">
        <v>11295</v>
      </c>
      <c r="C11490" t="str">
        <f>IFERROR(__xludf.DUMMYFUNCTION("GOOGLETRANSLATE(B11490, ""fr"", ""en"")"),"Super Super shoes, same size at this manufacturer, the choice of size is simple")</f>
        <v>Super Super shoes, same size at this manufacturer, the choice of size is simple</v>
      </c>
    </row>
    <row r="11491">
      <c r="A11491" s="1">
        <v>5.0</v>
      </c>
      <c r="B11491" s="1" t="s">
        <v>11296</v>
      </c>
      <c r="C11491" t="str">
        <f>IFERROR(__xludf.DUMMYFUNCTION("GOOGLETRANSLATE(B11491, ""fr"", ""en"")"),"A sound and incredible comfort and I had tested many helmet since I started playing, and I finally found one I can keep hours with my glasses without genes or pain. First big positive, the sound of course, is just crazy, spatialization is super sharp, on "&amp;"games like R6 seat is a real plus for the win, but immersion is also amazing how when my session Alien insulation or each ship crunch is noticeable. Viewpoint comfort of games is simple, I tested the headset on 4 games, for 6 hours without ever having dis"&amp;"comfort or pain, isolation from the environment is excellent, hence no need to push the volume thoroughly. The sound is also extremely well balanced, although it is not clear purpose are, listen to music from its computer is perfectly feasible given the a"&amp;"ccuracy of the treble, mid and bass. In the end, it dethrones my old helmet of another make yet more expensive than the latter, I can not recommend")</f>
        <v>A sound and incredible comfort and I had tested many helmet since I started playing, and I finally found one I can keep hours with my glasses without genes or pain. First big positive, the sound of course, is just crazy, spatialization is super sharp, on games like R6 seat is a real plus for the win, but immersion is also amazing how when my session Alien insulation or each ship crunch is noticeable. Viewpoint comfort of games is simple, I tested the headset on 4 games, for 6 hours without ever having discomfort or pain, isolation from the environment is excellent, hence no need to push the volume thoroughly. The sound is also extremely well balanced, although it is not clear purpose are, listen to music from its computer is perfectly feasible given the accuracy of the treble, mid and bass. In the end, it dethrones my old helmet of another make yet more expensive than the latter, I can not recommend</v>
      </c>
    </row>
    <row r="11492">
      <c r="A11492" s="1">
        <v>5.0</v>
      </c>
      <c r="B11492" s="1" t="s">
        <v>11297</v>
      </c>
      <c r="C11492" t="str">
        <f>IFERROR(__xludf.DUMMYFUNCTION("GOOGLETRANSLATE(B11492, ""fr"", ""en"")"),"These are the best headphones for the money It's earphones are good whatsoever at her than at the finish. On his first to a good rendering of treble and bass. I have no ear fatigue feeling far unlike my previous headphones. They are easy to push and pull "&amp;"the ears. Personally, I used the smallest since the other was too big. Otherwise, the button is convenient because it avoids having to pull out my smartphone to change music.")</f>
        <v>These are the best headphones for the money It's earphones are good whatsoever at her than at the finish. On his first to a good rendering of treble and bass. I have no ear fatigue feeling far unlike my previous headphones. They are easy to push and pull the ears. Personally, I used the smallest since the other was too big. Otherwise, the button is convenient because it avoids having to pull out my smartphone to change music.</v>
      </c>
    </row>
    <row r="11493">
      <c r="A11493" s="1">
        <v>5.0</v>
      </c>
      <c r="B11493" s="1" t="s">
        <v>11298</v>
      </c>
      <c r="C11493" t="str">
        <f>IFERROR(__xludf.DUMMYFUNCTION("GOOGLETRANSLATE(B11493, ""fr"", ""en"")"),"economy and softness toilet")</f>
        <v>economy and softness toilet</v>
      </c>
    </row>
    <row r="11494">
      <c r="A11494" s="1">
        <v>5.0</v>
      </c>
      <c r="B11494" s="1" t="s">
        <v>11299</v>
      </c>
      <c r="C11494" t="str">
        <f>IFERROR(__xludf.DUMMYFUNCTION("GOOGLETRANSLATE(B11494, ""fr"", ""en"")"),"consistent, money, real pearls to offer, very nice gift for a small budget")</f>
        <v>consistent, money, real pearls to offer, very nice gift for a small budget</v>
      </c>
    </row>
    <row r="11495">
      <c r="A11495" s="1">
        <v>2.0</v>
      </c>
      <c r="B11495" s="1" t="s">
        <v>11300</v>
      </c>
      <c r="C11495" t="str">
        <f>IFERROR(__xludf.DUMMYFUNCTION("GOOGLETRANSLATE(B11495, ""fr"", ""en"")"),"One small snag Beautiful watch! No tight as say the comments. Only downside, the bracelet you tear the hair and it's not pleasant.")</f>
        <v>One small snag Beautiful watch! No tight as say the comments. Only downside, the bracelet you tear the hair and it's not pleasant.</v>
      </c>
    </row>
    <row r="11496">
      <c r="A11496" s="1">
        <v>1.0</v>
      </c>
      <c r="B11496" s="1" t="s">
        <v>11301</v>
      </c>
      <c r="C11496" t="str">
        <f>IFERROR(__xludf.DUMMYFUNCTION("GOOGLETRANSLATE(B11496, ""fr"", ""en"")"),"Too big for a newborn baby. Too big for a newborn baby. Take the size below. The explanation of the product at amazon is not explicit therefore not possible to anticipate difficulties")</f>
        <v>Too big for a newborn baby. Too big for a newborn baby. Take the size below. The explanation of the product at amazon is not explicit therefore not possible to anticipate difficulties</v>
      </c>
    </row>
    <row r="11497">
      <c r="A11497" s="1">
        <v>1.0</v>
      </c>
      <c r="B11497" s="1" t="s">
        <v>11302</v>
      </c>
      <c r="C11497" t="str">
        <f>IFERROR(__xludf.DUMMYFUNCTION("GOOGLETRANSLATE(B11497, ""fr"", ""en"")"),"Leaves traces Disappointed, I tried it with my daughter on a slate wall surprise: it leaves very visible traces !!! the worst is the White does not share at all ... So I made several tests: Blackboard: leaves traces slate Plate: leaves traces Glass: fades"&amp;" well")</f>
        <v>Leaves traces Disappointed, I tried it with my daughter on a slate wall surprise: it leaves very visible traces !!! the worst is the White does not share at all ... So I made several tests: Blackboard: leaves traces slate Plate: leaves traces Glass: fades well</v>
      </c>
    </row>
    <row r="11498">
      <c r="A11498" s="1">
        <v>3.0</v>
      </c>
      <c r="B11498" s="1" t="s">
        <v>11303</v>
      </c>
      <c r="C11498" t="str">
        <f>IFERROR(__xludf.DUMMYFUNCTION("GOOGLETRANSLATE(B11498, ""fr"", ""en"")"),"Good quality good quality: soft and strong enough. Squares correct size. I probably will redeem. Quality / fair price when compared to supermarket products.")</f>
        <v>Good quality good quality: soft and strong enough. Squares correct size. I probably will redeem. Quality / fair price when compared to supermarket products.</v>
      </c>
    </row>
    <row r="11499">
      <c r="A11499" s="1">
        <v>4.0</v>
      </c>
      <c r="B11499" s="1" t="s">
        <v>11304</v>
      </c>
      <c r="C11499" t="str">
        <f>IFERROR(__xludf.DUMMYFUNCTION("GOOGLETRANSLATE(B11499, ""fr"", ""en"")"),"Meets Many colors but colorful. Rendering impeccable and easy to write. Work very well. Price a bit high but consistent with the description.")</f>
        <v>Meets Many colors but colorful. Rendering impeccable and easy to write. Work very well. Price a bit high but consistent with the description.</v>
      </c>
    </row>
    <row r="11500">
      <c r="A11500" s="1">
        <v>4.0</v>
      </c>
      <c r="B11500" s="1" t="s">
        <v>11305</v>
      </c>
      <c r="C11500" t="str">
        <f>IFERROR(__xludf.DUMMYFUNCTION("GOOGLETRANSLATE(B11500, ""fr"", ""en"")"),"Top amateur sitting room Lack of aesthetics but top comfort and ideal for my sessions in the hall, the sole does not crush under the weight of the cast iron ^^")</f>
        <v>Top amateur sitting room Lack of aesthetics but top comfort and ideal for my sessions in the hall, the sole does not crush under the weight of the cast iron ^^</v>
      </c>
    </row>
    <row r="11501">
      <c r="A11501" s="1">
        <v>4.0</v>
      </c>
      <c r="B11501" s="1" t="s">
        <v>11306</v>
      </c>
      <c r="C11501" t="str">
        <f>IFERROR(__xludf.DUMMYFUNCTION("GOOGLETRANSLATE(B11501, ""fr"", ""en"")"),"Not bad except it's plastic ... Plastic is fantastic! except that outside light and relative strength in case of fall ... it remains as doubtful long-term level / health etc. Already we took the pink model .. (it was a girl: D) ... then after few uses beg"&amp;"an to be too much hassle with cleaning. The milk fat is not easy to remove as if the interior was quickly porous (washed by hand, brush, liquid dish hot water ...) We have no microwave ... and put that water heated to 37 about the baby espresso .. Even an"&amp;" infusion of mint: it still smells of mint after washing ... So compared to MAM bottles in glass that is the version that appears ""low cost ""light and colorful .. but will not last long.")</f>
        <v>Not bad except it's plastic ... Plastic is fantastic! except that outside light and relative strength in case of fall ... it remains as doubtful long-term level / health etc. Already we took the pink model .. (it was a girl: D) ... then after few uses began to be too much hassle with cleaning. The milk fat is not easy to remove as if the interior was quickly porous (washed by hand, brush, liquid dish hot water ...) We have no microwave ... and put that water heated to 37 about the baby espresso .. Even an infusion of mint: it still smells of mint after washing ... So compared to MAM bottles in glass that is the version that appears "low cost "light and colorful .. but will not last long.</v>
      </c>
    </row>
    <row r="11502">
      <c r="A11502" s="1">
        <v>4.0</v>
      </c>
      <c r="B11502" s="1" t="s">
        <v>11307</v>
      </c>
      <c r="C11502" t="str">
        <f>IFERROR(__xludf.DUMMYFUNCTION("GOOGLETRANSLATE(B11502, ""fr"", ""en"")"),"well nothing to say c is correct")</f>
        <v>well nothing to say c is correct</v>
      </c>
    </row>
    <row r="11503">
      <c r="A11503" s="1">
        <v>5.0</v>
      </c>
      <c r="B11503" s="1" t="s">
        <v>11308</v>
      </c>
      <c r="C11503" t="str">
        <f>IFERROR(__xludf.DUMMYFUNCTION("GOOGLETRANSLATE(B11503, ""fr"", ""en"")"),"Perfect Product arrived on time as the picture and that is the quality he has the perfect size take your waist and it's pretty wide on the coast")</f>
        <v>Perfect Product arrived on time as the picture and that is the quality he has the perfect size take your waist and it's pretty wide on the coast</v>
      </c>
    </row>
    <row r="11504">
      <c r="A11504" s="1">
        <v>5.0</v>
      </c>
      <c r="B11504" s="1" t="s">
        <v>11309</v>
      </c>
      <c r="C11504" t="str">
        <f>IFERROR(__xludf.DUMMYFUNCTION("GOOGLETRANSLATE(B11504, ""fr"", ""en"")"),"Size properly and it's comfortable life everyday")</f>
        <v>Size properly and it's comfortable life everyday</v>
      </c>
    </row>
    <row r="11505">
      <c r="A11505" s="1">
        <v>5.0</v>
      </c>
      <c r="B11505" s="1" t="s">
        <v>11310</v>
      </c>
      <c r="C11505" t="str">
        <f>IFERROR(__xludf.DUMMYFUNCTION("GOOGLETRANSLATE(B11505, ""fr"", ""en"")"),"Nickel classic Vans that go well with everything. Very good value for money vs shop, delighted to have purchased these shoes on Amazon!")</f>
        <v>Nickel classic Vans that go well with everything. Very good value for money vs shop, delighted to have purchased these shoes on Amazon!</v>
      </c>
    </row>
    <row r="11506">
      <c r="A11506" s="1">
        <v>5.0</v>
      </c>
      <c r="B11506" s="1" t="s">
        <v>11311</v>
      </c>
      <c r="C11506" t="str">
        <f>IFERROR(__xludf.DUMMYFUNCTION("GOOGLETRANSLATE(B11506, ""fr"", ""en"")"),"Good morning wake up Light can be set through sensors on the sphere. alarm music can be changed. There are three alternative music. One can even choose to be woken by the radio. It allows to wake up gently in the morning. I recommend")</f>
        <v>Good morning wake up Light can be set through sensors on the sphere. alarm music can be changed. There are three alternative music. One can even choose to be woken by the radio. It allows to wake up gently in the morning. I recommend</v>
      </c>
    </row>
    <row r="11507">
      <c r="A11507" s="1">
        <v>5.0</v>
      </c>
      <c r="B11507" s="1" t="s">
        <v>11312</v>
      </c>
      <c r="C11507" t="str">
        <f>IFERROR(__xludf.DUMMYFUNCTION("GOOGLETRANSLATE(B11507, ""fr"", ""en"")"),"recenzione ottima Tutto ok transazione, stivale Comodo molto caldo tiene he piede e ben asciutto, direi è che il comfort bike ragionevole")</f>
        <v>recenzione ottima Tutto ok transazione, stivale Comodo molto caldo tiene he piede e ben asciutto, direi è che il comfort bike ragionevole</v>
      </c>
    </row>
    <row r="11508">
      <c r="A11508" s="1">
        <v>5.0</v>
      </c>
      <c r="B11508" s="1" t="s">
        <v>11313</v>
      </c>
      <c r="C11508" t="str">
        <f>IFERROR(__xludf.DUMMYFUNCTION("GOOGLETRANSLATE(B11508, ""fr"", ""en"")"),"I love These are great. Very good product, color match the image. Pretty color. They are not expensive. arrived earlier than expected. I recommend it")</f>
        <v>I love These are great. Very good product, color match the image. Pretty color. They are not expensive. arrived earlier than expected. I recommend it</v>
      </c>
    </row>
    <row r="11509">
      <c r="A11509" s="1">
        <v>5.0</v>
      </c>
      <c r="B11509" s="1" t="s">
        <v>11314</v>
      </c>
      <c r="C11509" t="str">
        <f>IFERROR(__xludf.DUMMYFUNCTION("GOOGLETRANSLATE(B11509, ""fr"", ""en"")"),"Great ! Bought for my 2 year old daughter who calls me all the days of making peinture..à this stage mini pots purchased for Christmas were not long to finish .. Very convenient with the tip pouring unlike other or the pot is completely open, less obvious"&amp;" to pour the right amount on a pallet. The colors are intense, at least enough for my daughter. washable paint of course, mandatory criterion home. Pleased with this purchase, I recommend when they are finished!")</f>
        <v>Great ! Bought for my 2 year old daughter who calls me all the days of making peinture..à this stage mini pots purchased for Christmas were not long to finish .. Very convenient with the tip pouring unlike other or the pot is completely open, less obvious to pour the right amount on a pallet. The colors are intense, at least enough for my daughter. washable paint of course, mandatory criterion home. Pleased with this purchase, I recommend when they are finished!</v>
      </c>
    </row>
    <row r="11510">
      <c r="A11510" s="1">
        <v>5.0</v>
      </c>
      <c r="B11510" s="1" t="s">
        <v>11315</v>
      </c>
      <c r="C11510" t="str">
        <f>IFERROR(__xludf.DUMMYFUNCTION("GOOGLETRANSLATE(B11510, ""fr"", ""en"")"),"great great product with the BISSELL CrossWave")</f>
        <v>great great product with the BISSELL CrossWave</v>
      </c>
    </row>
    <row r="11511">
      <c r="A11511" s="1">
        <v>5.0</v>
      </c>
      <c r="B11511" s="1" t="s">
        <v>11316</v>
      </c>
      <c r="C11511" t="str">
        <f>IFERROR(__xludf.DUMMYFUNCTION("GOOGLETRANSLATE(B11511, ""fr"", ""en"")"),"Good product Very happy. I use it for work and yours well")</f>
        <v>Good product Very happy. I use it for work and yours well</v>
      </c>
    </row>
    <row r="11512">
      <c r="A11512" s="1">
        <v>5.0</v>
      </c>
      <c r="B11512" s="1" t="s">
        <v>11317</v>
      </c>
      <c r="C11512" t="str">
        <f>IFERROR(__xludf.DUMMYFUNCTION("GOOGLETRANSLATE(B11512, ""fr"", ""en"")"),"Super super comfortable high quality comfortable socks I have to say I'm not disappointed. Now I can relax on the couch and not put my feet in their iron velvet socks.")</f>
        <v>Super super comfortable high quality comfortable socks I have to say I'm not disappointed. Now I can relax on the couch and not put my feet in their iron velvet socks.</v>
      </c>
    </row>
    <row r="11513">
      <c r="A11513" s="1">
        <v>5.0</v>
      </c>
      <c r="B11513" s="1" t="s">
        <v>11318</v>
      </c>
      <c r="C11513" t="str">
        <f>IFERROR(__xludf.DUMMYFUNCTION("GOOGLETRANSLATE(B11513, ""fr"", ""en"")"),"Pretty box of essentielles_ oil smells good I am very satisfied with my essential oils. The package arrived on time and consistent with the description. Very nice set! Practice for storage. Essential oils smell good and there is even a small booklet trans"&amp;"lated into several languages ​​with advice on applications for each oils. Basically I had taken for me but it would make a lovely gift idea.")</f>
        <v>Pretty box of essentielles_ oil smells good I am very satisfied with my essential oils. The package arrived on time and consistent with the description. Very nice set! Practice for storage. Essential oils smell good and there is even a small booklet translated into several languages ​​with advice on applications for each oils. Basically I had taken for me but it would make a lovely gift idea.</v>
      </c>
    </row>
    <row r="11514">
      <c r="A11514" s="1">
        <v>5.0</v>
      </c>
      <c r="B11514" s="1" t="s">
        <v>224</v>
      </c>
      <c r="C11514" t="str">
        <f>IFERROR(__xludf.DUMMYFUNCTION("GOOGLETRANSLATE(B11514, ""fr"", ""en"")"),"perfect perfect")</f>
        <v>perfect perfect</v>
      </c>
    </row>
    <row r="11515">
      <c r="A11515" s="1">
        <v>5.0</v>
      </c>
      <c r="B11515" s="1" t="s">
        <v>11319</v>
      </c>
      <c r="C11515" t="str">
        <f>IFERROR(__xludf.DUMMYFUNCTION("GOOGLETRANSLATE(B11515, ""fr"", ""en"")"),"Very nice watch Ras")</f>
        <v>Very nice watch Ras</v>
      </c>
    </row>
    <row r="11516">
      <c r="A11516" s="1">
        <v>5.0</v>
      </c>
      <c r="B11516" s="1" t="s">
        <v>11320</v>
      </c>
      <c r="C11516" t="str">
        <f>IFERROR(__xludf.DUMMYFUNCTION("GOOGLETRANSLATE(B11516, ""fr"", ""en"")"),"Shows confidence Nickel everything is super functional, the watch offers various useful options well. Outside of design options is the way I wanted a military style and a box at the test of life Brief G shock what.")</f>
        <v>Shows confidence Nickel everything is super functional, the watch offers various useful options well. Outside of design options is the way I wanted a military style and a box at the test of life Brief G shock what.</v>
      </c>
    </row>
    <row r="11517">
      <c r="A11517" s="1">
        <v>5.0</v>
      </c>
      <c r="B11517" s="1" t="s">
        <v>11321</v>
      </c>
      <c r="C11517" t="str">
        <f>IFERROR(__xludf.DUMMYFUNCTION("GOOGLETRANSLATE(B11517, ""fr"", ""en"")"),"Beautiful, strong Purchased for my son for the winter. Convenient because no holes through which rain could seep. Solid because after several weeks of use (he plays football every day), it does not get damaged. Finally he finds comfortable (impossible to "&amp;"verify for me). But it is the return of my son")</f>
        <v>Beautiful, strong Purchased for my son for the winter. Convenient because no holes through which rain could seep. Solid because after several weeks of use (he plays football every day), it does not get damaged. Finally he finds comfortable (impossible to verify for me). But it is the return of my son</v>
      </c>
    </row>
    <row r="11518">
      <c r="A11518" s="1">
        <v>2.0</v>
      </c>
      <c r="B11518" s="1" t="s">
        <v>11322</v>
      </c>
      <c r="C11518" t="str">
        <f>IFERROR(__xludf.DUMMYFUNCTION("GOOGLETRANSLATE(B11518, ""fr"", ""en"")"),"Low quality Pretty disappointed, bass sound quality with grisillement désagréables..je not recommend")</f>
        <v>Low quality Pretty disappointed, bass sound quality with grisillement désagréables..je not recommend</v>
      </c>
    </row>
    <row r="11519">
      <c r="A11519" s="1">
        <v>1.0</v>
      </c>
      <c r="B11519" s="1" t="s">
        <v>11323</v>
      </c>
      <c r="C11519" t="str">
        <f>IFERROR(__xludf.DUMMYFUNCTION("GOOGLETRANSLATE(B11519, ""fr"", ""en"")"),"NUL This is the second bottle warmer that I refer, the switch-on button does not work, it's a low quality article I was looking for a versatile bottle heater (car and home) and although I did pay me and I will look at a more serious mark!")</f>
        <v>NUL This is the second bottle warmer that I refer, the switch-on button does not work, it's a low quality article I was looking for a versatile bottle heater (car and home) and although I did pay me and I will look at a more serious mark!</v>
      </c>
    </row>
    <row r="11520">
      <c r="A11520" s="1">
        <v>3.0</v>
      </c>
      <c r="B11520" s="1" t="s">
        <v>11324</v>
      </c>
      <c r="C11520" t="str">
        <f>IFERROR(__xludf.DUMMYFUNCTION("GOOGLETRANSLATE(B11520, ""fr"", ""en"")"),"for over 4 months my son of 5 months a little trouble with ..")</f>
        <v>for over 4 months my son of 5 months a little trouble with ..</v>
      </c>
    </row>
    <row r="11521">
      <c r="A11521" s="1">
        <v>3.0</v>
      </c>
      <c r="B11521" s="1" t="s">
        <v>11325</v>
      </c>
      <c r="C11521" t="str">
        <f>IFERROR(__xludf.DUMMYFUNCTION("GOOGLETRANSLATE(B11521, ""fr"", ""en"")"),"Good value good right size bag and I would say good quality price.")</f>
        <v>Good value good right size bag and I would say good quality price.</v>
      </c>
    </row>
    <row r="11522">
      <c r="A11522" s="1">
        <v>4.0</v>
      </c>
      <c r="B11522" s="1" t="s">
        <v>11326</v>
      </c>
      <c r="C11522" t="str">
        <f>IFERROR(__xludf.DUMMYFUNCTION("GOOGLETRANSLATE(B11522, ""fr"", ""en"")"),"For dévutants Controller with great experience with Virtual DJ Limited Edition a bit hard to configure in the beginning but we made it designed for beginners")</f>
        <v>For dévutants Controller with great experience with Virtual DJ Limited Edition a bit hard to configure in the beginning but we made it designed for beginners</v>
      </c>
    </row>
    <row r="11523">
      <c r="A11523" s="1">
        <v>4.0</v>
      </c>
      <c r="B11523" s="1" t="s">
        <v>11327</v>
      </c>
      <c r="C11523" t="str">
        <f>IFERROR(__xludf.DUMMYFUNCTION("GOOGLETRANSLATE(B11523, ""fr"", ""en"")"),"Good value for money. Good value, especially with the subscription. Be careful with prices as they are evolving and may occasionally exceed those of trade. But with home delivery, we found it in all cases.")</f>
        <v>Good value for money. Good value, especially with the subscription. Be careful with prices as they are evolving and may occasionally exceed those of trade. But with home delivery, we found it in all cases.</v>
      </c>
    </row>
    <row r="11524">
      <c r="A11524" s="1">
        <v>4.0</v>
      </c>
      <c r="B11524" s="1" t="s">
        <v>11328</v>
      </c>
      <c r="C11524" t="str">
        <f>IFERROR(__xludf.DUMMYFUNCTION("GOOGLETRANSLATE(B11524, ""fr"", ""en"")"),"Top simple and easy product to use for a baby 6 months is perfect")</f>
        <v>Top simple and easy product to use for a baby 6 months is perfect</v>
      </c>
    </row>
    <row r="11525">
      <c r="A11525" s="1">
        <v>4.0</v>
      </c>
      <c r="B11525" s="1" t="s">
        <v>11329</v>
      </c>
      <c r="C11525" t="str">
        <f>IFERROR(__xludf.DUMMYFUNCTION("GOOGLETRANSLATE(B11525, ""fr"", ""en"")"),"Not bad I did not know this brand, but I'm not disappointed quality of this cable to use a micro its done his job")</f>
        <v>Not bad I did not know this brand, but I'm not disappointed quality of this cable to use a micro its done his job</v>
      </c>
    </row>
    <row r="11526">
      <c r="A11526" s="1">
        <v>5.0</v>
      </c>
      <c r="B11526" s="1" t="s">
        <v>11330</v>
      </c>
      <c r="C11526" t="str">
        <f>IFERROR(__xludf.DUMMYFUNCTION("GOOGLETRANSLATE(B11526, ""fr"", ""en"")"),"Great ! Very very happy with my shoes, I love them !!!!")</f>
        <v>Great ! Very very happy with my shoes, I love them !!!!</v>
      </c>
    </row>
    <row r="11527">
      <c r="A11527" s="1">
        <v>5.0</v>
      </c>
      <c r="B11527" s="1" t="s">
        <v>11331</v>
      </c>
      <c r="C11527" t="str">
        <f>IFERROR(__xludf.DUMMYFUNCTION("GOOGLETRANSLATE(B11527, ""fr"", ""en"")"),"Super soft brush I got the brush quickly, as always with Amazon. I polished the leather seats of my car, it's great. I also use it to dust off the dashboard on the way. I stowed in her bag, and hop into the glove.")</f>
        <v>Super soft brush I got the brush quickly, as always with Amazon. I polished the leather seats of my car, it's great. I also use it to dust off the dashboard on the way. I stowed in her bag, and hop into the glove.</v>
      </c>
    </row>
    <row r="11528">
      <c r="A11528" s="1">
        <v>5.0</v>
      </c>
      <c r="B11528" s="1" t="s">
        <v>11332</v>
      </c>
      <c r="C11528" t="str">
        <f>IFERROR(__xludf.DUMMYFUNCTION("GOOGLETRANSLATE(B11528, ""fr"", ""en"")"),"Superb Jewelry and delicate. Beautiful quality. The value for money is great. I am glad. This is a Christmas gift that I give to my mom tomorrow Eve. I hope she will like it as much as me. thank you amazon")</f>
        <v>Superb Jewelry and delicate. Beautiful quality. The value for money is great. I am glad. This is a Christmas gift that I give to my mom tomorrow Eve. I hope she will like it as much as me. thank you amazon</v>
      </c>
    </row>
    <row r="11529">
      <c r="A11529" s="1">
        <v>5.0</v>
      </c>
      <c r="B11529" s="1" t="s">
        <v>11333</v>
      </c>
      <c r="C11529" t="str">
        <f>IFERROR(__xludf.DUMMYFUNCTION("GOOGLETRANSLATE(B11529, ""fr"", ""en"")"),"Good quality / price product received is day, setting easy road, 400ml of water and a few drops of essential oil (5-6) and it is ready to be switched on! Testing with the essential oil of lemon it is not disturbing off a good smell! The colors are more fo"&amp;"r atmosphere inside.")</f>
        <v>Good quality / price product received is day, setting easy road, 400ml of water and a few drops of essential oil (5-6) and it is ready to be switched on! Testing with the essential oil of lemon it is not disturbing off a good smell! The colors are more for atmosphere inside.</v>
      </c>
    </row>
    <row r="11530">
      <c r="A11530" s="1">
        <v>5.0</v>
      </c>
      <c r="B11530" s="1" t="s">
        <v>11334</v>
      </c>
      <c r="C11530" t="str">
        <f>IFERROR(__xludf.DUMMYFUNCTION("GOOGLETRANSLATE(B11530, ""fr"", ""en"")"),"Super Super !!! Easy to manipulate. It has different tip that will add the massage of your choice. The wheel can choose the intensity of the vibration and massage. My whole family was conquered even the dog 😉")</f>
        <v>Super Super !!! Easy to manipulate. It has different tip that will add the massage of your choice. The wheel can choose the intensity of the vibration and massage. My whole family was conquered even the dog 😉</v>
      </c>
    </row>
    <row r="11531">
      <c r="A11531" s="1">
        <v>5.0</v>
      </c>
      <c r="B11531" s="1" t="s">
        <v>11335</v>
      </c>
      <c r="C11531" t="str">
        <f>IFERROR(__xludf.DUMMYFUNCTION("GOOGLETRANSLATE(B11531, ""fr"", ""en"")"),"I recommend Tough enough for the price and stable. I recommend. 👍🏽")</f>
        <v>I recommend Tough enough for the price and stable. I recommend. 👍🏽</v>
      </c>
    </row>
    <row r="11532">
      <c r="A11532" s="1">
        <v>5.0</v>
      </c>
      <c r="B11532" s="1" t="s">
        <v>11336</v>
      </c>
      <c r="C11532" t="str">
        <f>IFERROR(__xludf.DUMMYFUNCTION("GOOGLETRANSLATE(B11532, ""fr"", ""en"")"),"Good quality / price To offer without hesitation for everyday use")</f>
        <v>Good quality / price To offer without hesitation for everyday use</v>
      </c>
    </row>
    <row r="11533">
      <c r="A11533" s="1">
        <v>5.0</v>
      </c>
      <c r="B11533" s="1" t="s">
        <v>11337</v>
      </c>
      <c r="C11533" t="str">
        <f>IFERROR(__xludf.DUMMYFUNCTION("GOOGLETRANSLATE(B11533, ""fr"", ""en"")"),"Finesse and elegance reflects beautifully light This little gem will delight the ladies with its finesse and its composition, elegant it easily worn with any attire as casual although more dressed. Ornament consisting of a chain and a pendant with a total"&amp;" weight of 3.25 grams that I detail you below ... The chain is 100% 925/1000 silver and measures 45 centimeters, fine and elegant work money allows him to take good light. Besides the traditional clasp it also has five size adjustment rings to fit most bo"&amp;"dy types. The pendant is composed of two intertwining her silver 925/1000 embellished with small zirconia stones and a large diamond of the same material throne in the center, with a height of 2 centimeters to 1.2 centimeters wide is elegant and refined ."&amp;" The zirconia stone (zirconium oxide) is the substitute for real diamonds most used in jewelry because it has the same light reflection properties, less expensive it is difficult to distinguish with the naked eye. The set is beautifully crafted and is the"&amp;" most beautiful day of effect and night shades of all colors are reflected in the extreme brightness of zirconia stones, including the large central stone. A small gift of a good quality / price offer or for pleasure, which is assigned the maximum score.")</f>
        <v>Finesse and elegance reflects beautifully light This little gem will delight the ladies with its finesse and its composition, elegant it easily worn with any attire as casual although more dressed. Ornament consisting of a chain and a pendant with a total weight of 3.25 grams that I detail you below ... The chain is 100% 925/1000 silver and measures 45 centimeters, fine and elegant work money allows him to take good light. Besides the traditional clasp it also has five size adjustment rings to fit most body types. The pendant is composed of two intertwining her silver 925/1000 embellished with small zirconia stones and a large diamond of the same material throne in the center, with a height of 2 centimeters to 1.2 centimeters wide is elegant and refined . The zirconia stone (zirconium oxide) is the substitute for real diamonds most used in jewelry because it has the same light reflection properties, less expensive it is difficult to distinguish with the naked eye. The set is beautifully crafted and is the most beautiful day of effect and night shades of all colors are reflected in the extreme brightness of zirconia stones, including the large central stone. A small gift of a good quality / price offer or for pleasure, which is assigned the maximum score.</v>
      </c>
    </row>
    <row r="11534">
      <c r="A11534" s="1">
        <v>5.0</v>
      </c>
      <c r="B11534" s="1" t="s">
        <v>11338</v>
      </c>
      <c r="C11534" t="str">
        <f>IFERROR(__xludf.DUMMYFUNCTION("GOOGLETRANSLATE(B11534, ""fr"", ""en"")"),"laundry for Ball For liquid detergent")</f>
        <v>laundry for Ball For liquid detergent</v>
      </c>
    </row>
    <row r="11535">
      <c r="A11535" s="1">
        <v>5.0</v>
      </c>
      <c r="B11535" s="1" t="s">
        <v>11339</v>
      </c>
      <c r="C11535" t="str">
        <f>IFERROR(__xludf.DUMMYFUNCTION("GOOGLETRANSLATE(B11535, ""fr"", ""en"")"),"Received good quality very quickly, it looks good too, it just remains whether sweetheart will love him as much as his old bag ^^")</f>
        <v>Received good quality very quickly, it looks good too, it just remains whether sweetheart will love him as much as his old bag ^^</v>
      </c>
    </row>
    <row r="11536">
      <c r="A11536" s="1">
        <v>5.0</v>
      </c>
      <c r="B11536" s="1" t="s">
        <v>11340</v>
      </c>
      <c r="C11536" t="str">
        <f>IFERROR(__xludf.DUMMYFUNCTION("GOOGLETRANSLATE(B11536, ""fr"", ""en"")"),"Bottle solid and practical Screws two tricks, robust, wide enough to put the baby milk powder without pay to side and for easy cleaning, cover that holds very well and ideal to shake the bottle because it blocks the hole the nipple. Teat my baby seems to "&amp;"appreciate (and big sister uses the same bottles that converts cup with pacifiers for toddlers, practice!). It is regrettable against by the absence of several speeds of teats of each level (because we should have an intermediate between 2 and 3). The air"&amp;" inlet hole in the nipple could be a little larger because the nipple flattens when drinking too fast and it must stop to retract the air (but no problem with the same bottle, the bottom unscrews because the air comes out there). But I found that brand Do"&amp;"die teats wide neck (not MAM) fit really well on MAM bottles (MAM and Dodie were previously in partnership). And they do not have these problems ...")</f>
        <v>Bottle solid and practical Screws two tricks, robust, wide enough to put the baby milk powder without pay to side and for easy cleaning, cover that holds very well and ideal to shake the bottle because it blocks the hole the nipple. Teat my baby seems to appreciate (and big sister uses the same bottles that converts cup with pacifiers for toddlers, practice!). It is regrettable against by the absence of several speeds of teats of each level (because we should have an intermediate between 2 and 3). The air inlet hole in the nipple could be a little larger because the nipple flattens when drinking too fast and it must stop to retract the air (but no problem with the same bottle, the bottom unscrews because the air comes out there). But I found that brand Dodie teats wide neck (not MAM) fit really well on MAM bottles (MAM and Dodie were previously in partnership). And they do not have these problems ...</v>
      </c>
    </row>
    <row r="11537">
      <c r="A11537" s="1">
        <v>5.0</v>
      </c>
      <c r="B11537" s="1" t="s">
        <v>11341</v>
      </c>
      <c r="C11537" t="str">
        <f>IFERROR(__xludf.DUMMYFUNCTION("GOOGLETRANSLATE(B11537, ""fr"", ""en"")"),"Really good ! Excellent product. Used from birth Avent teats are really great for the baby. Different sizes are available according to the age of the child, and it is very well studied, the flow rate is suitable. Very very well accepted by our small chip."&amp;" Fairly easy to clean, of very good quality, implementation without difficulty ... It's good all down the line. A highly recommended !!")</f>
        <v>Really good ! Excellent product. Used from birth Avent teats are really great for the baby. Different sizes are available according to the age of the child, and it is very well studied, the flow rate is suitable. Very very well accepted by our small chip. Fairly easy to clean, of very good quality, implementation without difficulty ... It's good all down the line. A highly recommended !!</v>
      </c>
    </row>
    <row r="11538">
      <c r="A11538" s="1">
        <v>5.0</v>
      </c>
      <c r="B11538" s="1" t="s">
        <v>11342</v>
      </c>
      <c r="C11538" t="str">
        <f>IFERROR(__xludf.DUMMYFUNCTION("GOOGLETRANSLATE(B11538, ""fr"", ""en"")"),"Charming and pleind'effet Un'p'tit gift for a friend who has his little effect! Received in a pretty box, happy with the price / quality ratio!")</f>
        <v>Charming and pleind'effet Un'p'tit gift for a friend who has his little effect! Received in a pretty box, happy with the price / quality ratio!</v>
      </c>
    </row>
    <row r="11539">
      <c r="A11539" s="1">
        <v>5.0</v>
      </c>
      <c r="B11539" s="1" t="s">
        <v>11343</v>
      </c>
      <c r="C11539" t="str">
        <f>IFERROR(__xludf.DUMMYFUNCTION("GOOGLETRANSLATE(B11539, ""fr"", ""en"")"),"Although Meets perfect picture for creations Fimo there are enough solid and withstands cooking good value for money")</f>
        <v>Although Meets perfect picture for creations Fimo there are enough solid and withstands cooking good value for money</v>
      </c>
    </row>
    <row r="11540">
      <c r="A11540" s="1">
        <v>5.0</v>
      </c>
      <c r="B11540" s="1" t="s">
        <v>11344</v>
      </c>
      <c r="C11540" t="str">
        <f>IFERROR(__xludf.DUMMYFUNCTION("GOOGLETRANSLATE(B11540, ""fr"", ""en"")"),"Good essential oils for diffuser complete set")</f>
        <v>Good essential oils for diffuser complete set</v>
      </c>
    </row>
    <row r="11541">
      <c r="A11541" s="1">
        <v>2.0</v>
      </c>
      <c r="B11541" s="1" t="s">
        <v>11345</v>
      </c>
      <c r="C11541" t="str">
        <f>IFERROR(__xludf.DUMMYFUNCTION("GOOGLETRANSLATE(B11541, ""fr"", ""en"")"),"too large medallion is very nice, fine and original with its small pink ... but for me it is too big and too long even the shortest chain. shame, because the end of the chain is also nice with a small heart during and after personally it does not suit me "&amp;"but nothing more to say on this pretty necklace.")</f>
        <v>too large medallion is very nice, fine and original with its small pink ... but for me it is too big and too long even the shortest chain. shame, because the end of the chain is also nice with a small heart during and after personally it does not suit me but nothing more to say on this pretty necklace.</v>
      </c>
    </row>
    <row r="11542">
      <c r="A11542" s="1">
        <v>1.0</v>
      </c>
      <c r="B11542" s="1" t="s">
        <v>11346</v>
      </c>
      <c r="C11542" t="str">
        <f>IFERROR(__xludf.DUMMYFUNCTION("GOOGLETRANSLATE(B11542, ""fr"", ""en"")"),"Horrible ... The product vien not Dan's original embalague, plus Fort ammonia odor originality in dout.")</f>
        <v>Horrible ... The product vien not Dan's original embalague, plus Fort ammonia odor originality in dout.</v>
      </c>
    </row>
    <row r="11543">
      <c r="A11543" s="1">
        <v>1.0</v>
      </c>
      <c r="B11543" s="1" t="s">
        <v>11347</v>
      </c>
      <c r="C11543" t="str">
        <f>IFERROR(__xludf.DUMMYFUNCTION("GOOGLETRANSLATE(B11543, ""fr"", ""en"")"),"discontent bjr J have put the black cartridge, I have to print a twenty page today more ink I should have read reviews before so being given that I still have the color cartridge I'll get closer to the consumer than 50 million c is flight cdlt")</f>
        <v>discontent bjr J have put the black cartridge, I have to print a twenty page today more ink I should have read reviews before so being given that I still have the color cartridge I'll get closer to the consumer than 50 million c is flight cdlt</v>
      </c>
    </row>
    <row r="11544">
      <c r="A11544" s="1">
        <v>3.0</v>
      </c>
      <c r="B11544" s="1" t="s">
        <v>11348</v>
      </c>
      <c r="C11544" t="str">
        <f>IFERROR(__xludf.DUMMYFUNCTION("GOOGLETRANSLATE(B11544, ""fr"", ""en"")"),"Mixed I love converses but they are half a size too large. Next time I buy 37.5 instead of 38. I recommend the seller, fast dispatch and low price.")</f>
        <v>Mixed I love converses but they are half a size too large. Next time I buy 37.5 instead of 38. I recommend the seller, fast dispatch and low price.</v>
      </c>
    </row>
    <row r="11545">
      <c r="A11545" s="1">
        <v>3.0</v>
      </c>
      <c r="B11545" s="1" t="s">
        <v>11349</v>
      </c>
      <c r="C11545" t="str">
        <f>IFERROR(__xludf.DUMMYFUNCTION("GOOGLETRANSLATE(B11545, ""fr"", ""en"")"),"Waisted and short Nice product, well finished with beautiful stitches. Pretty square I however underestimated the highly curved side and the short jumper.")</f>
        <v>Waisted and short Nice product, well finished with beautiful stitches. Pretty square I however underestimated the highly curved side and the short jumper.</v>
      </c>
    </row>
    <row r="11546">
      <c r="A11546" s="1">
        <v>4.0</v>
      </c>
      <c r="B11546" s="1" t="s">
        <v>11350</v>
      </c>
      <c r="C11546" t="str">
        <f>IFERROR(__xludf.DUMMYFUNCTION("GOOGLETRANSLATE(B11546, ""fr"", ""en"")"),"Very good vest hot and good but small size I have requested a XL and received 3 XL is a shame to me that the sleeves do not be padded fleece otherwise vest very well with 2 pocket Outside cotton vest is very good not Poloche")</f>
        <v>Very good vest hot and good but small size I have requested a XL and received 3 XL is a shame to me that the sleeves do not be padded fleece otherwise vest very well with 2 pocket Outside cotton vest is very good not Poloche</v>
      </c>
    </row>
    <row r="11547">
      <c r="A11547" s="1">
        <v>4.0</v>
      </c>
      <c r="B11547" s="1" t="s">
        <v>11351</v>
      </c>
      <c r="C11547" t="str">
        <f>IFERROR(__xludf.DUMMYFUNCTION("GOOGLETRANSLATE(B11547, ""fr"", ""en"")"),"Top Awesome! I, who sought in vain a nomadic bottle warmer for MAM .. Here I am filled ^^ Water at 90 ° C it keeps warm! 3 min to reach a bottle temperature to 30 ° C is perfect!")</f>
        <v>Top Awesome! I, who sought in vain a nomadic bottle warmer for MAM .. Here I am filled ^^ Water at 90 ° C it keeps warm! 3 min to reach a bottle temperature to 30 ° C is perfect!</v>
      </c>
    </row>
    <row r="11548">
      <c r="A11548" s="1">
        <v>4.0</v>
      </c>
      <c r="B11548" s="1" t="s">
        <v>11352</v>
      </c>
      <c r="C11548" t="str">
        <f>IFERROR(__xludf.DUMMYFUNCTION("GOOGLETRANSLATE(B11548, ""fr"", ""en"")"),"satisfied with the product the size is correct. The color matches that of the photo. I recommend this product, I see the product resistance over time")</f>
        <v>satisfied with the product the size is correct. The color matches that of the photo. I recommend this product, I see the product resistance over time</v>
      </c>
    </row>
    <row r="11549">
      <c r="A11549" s="1">
        <v>4.0</v>
      </c>
      <c r="B11549" s="1" t="s">
        <v>11353</v>
      </c>
      <c r="C11549" t="str">
        <f>IFERROR(__xludf.DUMMYFUNCTION("GOOGLETRANSLATE(B11549, ""fr"", ""en"")"),"good but good product pais noise, but a little too rigid")</f>
        <v>good but good product pais noise, but a little too rigid</v>
      </c>
    </row>
    <row r="11550">
      <c r="A11550" s="1">
        <v>5.0</v>
      </c>
      <c r="B11550" s="1" t="s">
        <v>11354</v>
      </c>
      <c r="C11550" t="str">
        <f>IFERROR(__xludf.DUMMYFUNCTION("GOOGLETRANSLATE(B11550, ""fr"", ""en"")"),"Kettle nothing wrong! When we apply the instructions for use, the kettle is nikel!")</f>
        <v>Kettle nothing wrong! When we apply the instructions for use, the kettle is nikel!</v>
      </c>
    </row>
    <row r="11551">
      <c r="A11551" s="1">
        <v>5.0</v>
      </c>
      <c r="B11551" s="1" t="s">
        <v>11355</v>
      </c>
      <c r="C11551" t="str">
        <f>IFERROR(__xludf.DUMMYFUNCTION("GOOGLETRANSLATE(B11551, ""fr"", ""en"")"),"The good surprise! On paper, these shoes seemed quite match what I wanted. And comments have convinced me to try my luck. Good surprise ! No need to double (or even triple) price to have winter shoes worthy of the name! No allergy (AC happened to me with "&amp;"other ""Chinese"" shoes). adequate size (39 to 39). They are warm, comfortable to wear, almost completely waterproof (it passed the test with Polish winter 20cm of snow without problem). In short, I recommend.")</f>
        <v>The good surprise! On paper, these shoes seemed quite match what I wanted. And comments have convinced me to try my luck. Good surprise ! No need to double (or even triple) price to have winter shoes worthy of the name! No allergy (AC happened to me with other "Chinese" shoes). adequate size (39 to 39). They are warm, comfortable to wear, almost completely waterproof (it passed the test with Polish winter 20cm of snow without problem). In short, I recommend.</v>
      </c>
    </row>
    <row r="11552">
      <c r="A11552" s="1">
        <v>5.0</v>
      </c>
      <c r="B11552" s="1" t="s">
        <v>11356</v>
      </c>
      <c r="C11552" t="str">
        <f>IFERROR(__xludf.DUMMYFUNCTION("GOOGLETRANSLATE(B11552, ""fr"", ""en"")"),"O Super top")</f>
        <v>O Super top</v>
      </c>
    </row>
    <row r="11553">
      <c r="A11553" s="1">
        <v>5.0</v>
      </c>
      <c r="B11553" s="1" t="s">
        <v>11357</v>
      </c>
      <c r="C11553" t="str">
        <f>IFERROR(__xludf.DUMMYFUNCTION("GOOGLETRANSLATE(B11553, ""fr"", ""en"")"),"Ras corresponding Corresponds to the description given in the time")</f>
        <v>Ras corresponding Corresponds to the description given in the time</v>
      </c>
    </row>
    <row r="11554">
      <c r="A11554" s="1">
        <v>5.0</v>
      </c>
      <c r="B11554" s="1" t="s">
        <v>11358</v>
      </c>
      <c r="C11554" t="str">
        <f>IFERROR(__xludf.DUMMYFUNCTION("GOOGLETRANSLATE(B11554, ""fr"", ""en"")"),"cheap but high quality After testing many generic, I decided to work with two printers; 1 for the office and everyday documents on an old printer with cheap generic cartridges than sufficient for this use and 1 printer dedicated to quality prints and phot"&amp;"os and there, no generic. The quality of the colors, their behavior over time is clearly higher with Canon cartridges. The delivered product is flawless and fast delivery makes me always resort to Amazon.")</f>
        <v>cheap but high quality After testing many generic, I decided to work with two printers; 1 for the office and everyday documents on an old printer with cheap generic cartridges than sufficient for this use and 1 printer dedicated to quality prints and photos and there, no generic. The quality of the colors, their behavior over time is clearly higher with Canon cartridges. The delivered product is flawless and fast delivery makes me always resort to Amazon.</v>
      </c>
    </row>
    <row r="11555">
      <c r="A11555" s="1">
        <v>5.0</v>
      </c>
      <c r="B11555" s="1" t="s">
        <v>11359</v>
      </c>
      <c r="C11555" t="str">
        <f>IFERROR(__xludf.DUMMYFUNCTION("GOOGLETRANSLATE(B11555, ""fr"", ""en"")"),"Simply superb! So I offered these headphones because I had a crush on the photo, I offered but I did not have much and I can say that they are true even more beautiful! My gift I appreciate it and use it all the time. With all honesty these headphones are"&amp;" a marvel to me. Not only the design is top white gives a really class side, and the size is perfect but they also have an impressive listening experience. The sound is clean no rattling or other noise control is very good. The highlight for me is the box"&amp;" ... It is beautiful and the charging gauge is very convenient. Do not regret in any case my choice I recommend them without any problem this really is for me a very good product.")</f>
        <v>Simply superb! So I offered these headphones because I had a crush on the photo, I offered but I did not have much and I can say that they are true even more beautiful! My gift I appreciate it and use it all the time. With all honesty these headphones are a marvel to me. Not only the design is top white gives a really class side, and the size is perfect but they also have an impressive listening experience. The sound is clean no rattling or other noise control is very good. The highlight for me is the box ... It is beautiful and the charging gauge is very convenient. Do not regret in any case my choice I recommend them without any problem this really is for me a very good product.</v>
      </c>
    </row>
    <row r="11556">
      <c r="A11556" s="1">
        <v>5.0</v>
      </c>
      <c r="B11556" s="1" t="s">
        <v>11360</v>
      </c>
      <c r="C11556" t="str">
        <f>IFERROR(__xludf.DUMMYFUNCTION("GOOGLETRANSLATE(B11556, ""fr"", ""en"")"),"Very good quality ! leisure shoe")</f>
        <v>Very good quality ! leisure shoe</v>
      </c>
    </row>
    <row r="11557">
      <c r="A11557" s="1">
        <v>5.0</v>
      </c>
      <c r="B11557" s="1" t="s">
        <v>11361</v>
      </c>
      <c r="C11557" t="str">
        <f>IFERROR(__xludf.DUMMYFUNCTION("GOOGLETRANSLATE(B11557, ""fr"", ""en"")"),"Everything is perfect. Perfect. nice price. Fast. accurate product description. solid tissue. We refer case and I will follow this brand now! Good job")</f>
        <v>Everything is perfect. Perfect. nice price. Fast. accurate product description. solid tissue. We refer case and I will follow this brand now! Good job</v>
      </c>
    </row>
    <row r="11558">
      <c r="A11558" s="1">
        <v>5.0</v>
      </c>
      <c r="B11558" s="1" t="s">
        <v>11362</v>
      </c>
      <c r="C11558" t="str">
        <f>IFERROR(__xludf.DUMMYFUNCTION("GOOGLETRANSLATE(B11558, ""fr"", ""en"")"),"Very nice is the hottest I bought to give Christmas gift, I bought 39, but my friend has the 38 .... I hope it will go! Delivery was fast as expected. I will write more after Christmas, but the boots are very pretty, apparently the interior it is very war"&amp;"m and very comfortable.")</f>
        <v>Very nice is the hottest I bought to give Christmas gift, I bought 39, but my friend has the 38 .... I hope it will go! Delivery was fast as expected. I will write more after Christmas, but the boots are very pretty, apparently the interior it is very warm and very comfortable.</v>
      </c>
    </row>
    <row r="11559">
      <c r="A11559" s="1">
        <v>5.0</v>
      </c>
      <c r="B11559" s="1" t="s">
        <v>11363</v>
      </c>
      <c r="C11559" t="str">
        <f>IFERROR(__xludf.DUMMYFUNCTION("GOOGLETRANSLATE(B11559, ""fr"", ""en"")"),"It's very nice for a gift for a girl, these stud earrings are great and are doing their effect.")</f>
        <v>It's very nice for a gift for a girl, these stud earrings are great and are doing their effect.</v>
      </c>
    </row>
    <row r="11560">
      <c r="A11560" s="1">
        <v>5.0</v>
      </c>
      <c r="B11560" s="1" t="s">
        <v>11364</v>
      </c>
      <c r="C11560" t="str">
        <f>IFERROR(__xludf.DUMMYFUNCTION("GOOGLETRANSLATE(B11560, ""fr"", ""en"")"),"APPARATUS FOR TO MY EXPECTATIONS THIS UNIT IS SIMPLY AWESOME IT REPRESENTS EXPECTATIONS WITH MY PROBLEMS sciatica, I AM FULLY SATISFIED WITH THE RECEIPT OF HIS SPEED AND ESPECIALLY THE RELIEF THAT THIS UNIT VA GET ME")</f>
        <v>APPARATUS FOR TO MY EXPECTATIONS THIS UNIT IS SIMPLY AWESOME IT REPRESENTS EXPECTATIONS WITH MY PROBLEMS sciatica, I AM FULLY SATISFIED WITH THE RECEIPT OF HIS SPEED AND ESPECIALLY THE RELIEF THAT THIS UNIT VA GET ME</v>
      </c>
    </row>
    <row r="11561">
      <c r="A11561" s="1">
        <v>5.0</v>
      </c>
      <c r="B11561" s="1" t="s">
        <v>11365</v>
      </c>
      <c r="C11561" t="str">
        <f>IFERROR(__xludf.DUMMYFUNCTION("GOOGLETRANSLATE(B11561, ""fr"", ""en"")"),"Classy I received it a month ago. She started on time alone right out of the box, the time zone was already in Paris. I quickly found out how to set the alarm and use the countdown. I ordered along a repair kit (10 € shipping included) and it's not a luxu"&amp;"ry to cut the bracelet. End result, perfect. It is an understated beauty, not too big, comfortable to wear. I am very happy with my choice.")</f>
        <v>Classy I received it a month ago. She started on time alone right out of the box, the time zone was already in Paris. I quickly found out how to set the alarm and use the countdown. I ordered along a repair kit (10 € shipping included) and it's not a luxury to cut the bracelet. End result, perfect. It is an understated beauty, not too big, comfortable to wear. I am very happy with my choice.</v>
      </c>
    </row>
    <row r="11562">
      <c r="A11562" s="1">
        <v>5.0</v>
      </c>
      <c r="B11562" s="1" t="s">
        <v>11366</v>
      </c>
      <c r="C11562" t="str">
        <f>IFERROR(__xludf.DUMMYFUNCTION("GOOGLETRANSLATE(B11562, ""fr"", ""en"")"),"A beautiful black Puma Composed of 68% cotton and 32% polyester, this right pant is very comfortable. Particularly preferred its rather thick fleece and size of tightening given to a wide elastic link and be tightened. The finishes are successful without "&amp;"exceeding son. The two side pockets are well drawn and the brand logo flocked on one thigh brings a beautiful decorative element. Puma is a brand of clothing and sports goods since 1948. Recognized around the world, his label is backed by a degree of qual"&amp;"ity and pants made in Cambodia is no exception ..")</f>
        <v>A beautiful black Puma Composed of 68% cotton and 32% polyester, this right pant is very comfortable. Particularly preferred its rather thick fleece and size of tightening given to a wide elastic link and be tightened. The finishes are successful without exceeding son. The two side pockets are well drawn and the brand logo flocked on one thigh brings a beautiful decorative element. Puma is a brand of clothing and sports goods since 1948. Recognized around the world, his label is backed by a degree of quality and pants made in Cambodia is no exception ..</v>
      </c>
    </row>
    <row r="11563">
      <c r="A11563" s="1">
        <v>5.0</v>
      </c>
      <c r="B11563" s="1" t="s">
        <v>11367</v>
      </c>
      <c r="C11563" t="str">
        <f>IFERROR(__xludf.DUMMYFUNCTION("GOOGLETRANSLATE(B11563, ""fr"", ""en"")"),"Big box Massage busy headstall good product")</f>
        <v>Big box Massage busy headstall good product</v>
      </c>
    </row>
    <row r="11564">
      <c r="A11564" s="1">
        <v>5.0</v>
      </c>
      <c r="B11564" s="1" t="s">
        <v>11368</v>
      </c>
      <c r="C11564" t="str">
        <f>IFERROR(__xludf.DUMMYFUNCTION("GOOGLETRANSLATE(B11564, ""fr"", ""en"")"),"32 years and the magic is still Blu Ray bought for my 3 year old son, gorgeous image quality. At 32 I could not help but watch it with him.")</f>
        <v>32 years and the magic is still Blu Ray bought for my 3 year old son, gorgeous image quality. At 32 I could not help but watch it with him.</v>
      </c>
    </row>
    <row r="11565">
      <c r="A11565" s="1">
        <v>2.0</v>
      </c>
      <c r="B11565" s="1" t="s">
        <v>11369</v>
      </c>
      <c r="C11565" t="str">
        <f>IFERROR(__xludf.DUMMYFUNCTION("GOOGLETRANSLATE(B11565, ""fr"", ""en"")"),"briquette press disillusionment briquette press the 5 to 6 briquettes then it bends under the person's strength. Briquettes burn but ....")</f>
        <v>briquette press disillusionment briquette press the 5 to 6 briquettes then it bends under the person's strength. Briquettes burn but ....</v>
      </c>
    </row>
    <row r="11566">
      <c r="A11566" s="1">
        <v>1.0</v>
      </c>
      <c r="B11566" s="1" t="s">
        <v>11370</v>
      </c>
      <c r="C11566" t="str">
        <f>IFERROR(__xludf.DUMMYFUNCTION("GOOGLETRANSLATE(B11566, ""fr"", ""en"")"),"product especially not order including 2 -4 pens without ink - not suitable display of glitter - ditto for the glitter glue fixing to spoil the Christmas your little ones there's no better!")</f>
        <v>product especially not order including 2 -4 pens without ink - not suitable display of glitter - ditto for the glitter glue fixing to spoil the Christmas your little ones there's no better!</v>
      </c>
    </row>
    <row r="11567">
      <c r="A11567" s="1">
        <v>1.0</v>
      </c>
      <c r="B11567" s="1" t="s">
        <v>11371</v>
      </c>
      <c r="C11567" t="str">
        <f>IFERROR(__xludf.DUMMYFUNCTION("GOOGLETRANSLATE(B11567, ""fr"", ""en"")"),"to flee rubber smell and deplorable quality, to be used for a single evening, how this kind of good products just for ONE night amazon can let it sell")</f>
        <v>to flee rubber smell and deplorable quality, to be used for a single evening, how this kind of good products just for ONE night amazon can let it sell</v>
      </c>
    </row>
    <row r="11568">
      <c r="A11568" s="1">
        <v>3.0</v>
      </c>
      <c r="B11568" s="1" t="s">
        <v>11372</v>
      </c>
      <c r="C11568" t="str">
        <f>IFERROR(__xludf.DUMMYFUNCTION("GOOGLETRANSLATE(B11568, ""fr"", ""en"")"),"Very good package for the price As the title, I think the pack is very interesting, but you have to configure the report and Noise Amplifier for the microphone is good. I think I came across better microphone than this but nothing prevents to buy another "&amp;"microphone of the same size as his replacement.")</f>
        <v>Very good package for the price As the title, I think the pack is very interesting, but you have to configure the report and Noise Amplifier for the microphone is good. I think I came across better microphone than this but nothing prevents to buy another microphone of the same size as his replacement.</v>
      </c>
    </row>
    <row r="11569">
      <c r="A11569" s="1">
        <v>4.0</v>
      </c>
      <c r="B11569" s="1" t="s">
        <v>11373</v>
      </c>
      <c r="C11569" t="str">
        <f>IFERROR(__xludf.DUMMYFUNCTION("GOOGLETRANSLATE(B11569, ""fr"", ""en"")"),"pretty pretty")</f>
        <v>pretty pretty</v>
      </c>
    </row>
    <row r="11570">
      <c r="A11570" s="1">
        <v>4.0</v>
      </c>
      <c r="B11570" s="1" t="s">
        <v>11374</v>
      </c>
      <c r="C11570" t="str">
        <f>IFERROR(__xludf.DUMMYFUNCTION("GOOGLETRANSLATE(B11570, ""fr"", ""en"")"),"Good quality is very watched")</f>
        <v>Good quality is very watched</v>
      </c>
    </row>
    <row r="11571">
      <c r="A11571" s="1">
        <v>4.0</v>
      </c>
      <c r="B11571" s="1" t="s">
        <v>1547</v>
      </c>
      <c r="C11571" t="str">
        <f>IFERROR(__xludf.DUMMYFUNCTION("GOOGLETRANSLATE(B11571, ""fr"", ""en"")"),"Ras Ras")</f>
        <v>Ras Ras</v>
      </c>
    </row>
    <row r="11572">
      <c r="A11572" s="1">
        <v>4.0</v>
      </c>
      <c r="B11572" s="1" t="s">
        <v>11375</v>
      </c>
      <c r="C11572" t="str">
        <f>IFERROR(__xludf.DUMMYFUNCTION("GOOGLETRANSLATE(B11572, ""fr"", ""en"")"),"Very well designed a beautifully designed book, clear, precise, well illustrated. Also good for children 5 years old and for adults!")</f>
        <v>Very well designed a beautifully designed book, clear, precise, well illustrated. Also good for children 5 years old and for adults!</v>
      </c>
    </row>
    <row r="11573">
      <c r="A11573" s="1">
        <v>4.0</v>
      </c>
      <c r="B11573" s="1" t="s">
        <v>11376</v>
      </c>
      <c r="C11573" t="str">
        <f>IFERROR(__xludf.DUMMYFUNCTION("GOOGLETRANSLATE(B11573, ""fr"", ""en"")"),"3 sets of 3 refills. Even if the price is cheaper than the supermarket, I think the price is anyway still high. But Children love these pens.")</f>
        <v>3 sets of 3 refills. Even if the price is cheaper than the supermarket, I think the price is anyway still high. But Children love these pens.</v>
      </c>
    </row>
    <row r="11574">
      <c r="A11574" s="1">
        <v>5.0</v>
      </c>
      <c r="B11574" s="1" t="s">
        <v>11377</v>
      </c>
      <c r="C11574" t="str">
        <f>IFERROR(__xludf.DUMMYFUNCTION("GOOGLETRANSLATE(B11574, ""fr"", ""en"")"),"As the picture I do not regret this purchase, the bracelet matches the photo. For men, too bad there was not one or two fancy beads (male) ... I was also looking for a round pearl bracelet Lapis lazuli (8MN) but I not found by this manufacturer.")</f>
        <v>As the picture I do not regret this purchase, the bracelet matches the photo. For men, too bad there was not one or two fancy beads (male) ... I was also looking for a round pearl bracelet Lapis lazuli (8MN) but I not found by this manufacturer.</v>
      </c>
    </row>
    <row r="11575">
      <c r="A11575" s="1">
        <v>5.0</v>
      </c>
      <c r="B11575" s="1" t="s">
        <v>11378</v>
      </c>
      <c r="C11575" t="str">
        <f>IFERROR(__xludf.DUMMYFUNCTION("GOOGLETRANSLATE(B11575, ""fr"", ""en"")"),"Bottle top Very satisfied by these bottles Making a mixed feeding sells bottles were not disturbed baby. I really think the nipple form of breast helped my son not to breast nipple confusion")</f>
        <v>Bottle top Very satisfied by these bottles Making a mixed feeding sells bottles were not disturbed baby. I really think the nipple form of breast helped my son not to breast nipple confusion</v>
      </c>
    </row>
    <row r="11576">
      <c r="A11576" s="1">
        <v>5.0</v>
      </c>
      <c r="B11576" s="1" t="s">
        <v>11379</v>
      </c>
      <c r="C11576" t="str">
        <f>IFERROR(__xludf.DUMMYFUNCTION("GOOGLETRANSLATE(B11576, ""fr"", ""en"")"),"Elegant refined Simple and effective we love Canon canon canon")</f>
        <v>Elegant refined Simple and effective we love Canon canon canon</v>
      </c>
    </row>
    <row r="11577">
      <c r="A11577" s="1">
        <v>5.0</v>
      </c>
      <c r="B11577" s="1" t="s">
        <v>11380</v>
      </c>
      <c r="C11577" t="str">
        <f>IFERROR(__xludf.DUMMYFUNCTION("GOOGLETRANSLATE(B11577, ""fr"", ""en"")"),"The cartridges are genuine HP cartridges, the price is very affordable compared to the dealer in the city. Only minor complaint, the delivery that respects the time is long. But for a small economy that is worth waited.")</f>
        <v>The cartridges are genuine HP cartridges, the price is very affordable compared to the dealer in the city. Only minor complaint, the delivery that respects the time is long. But for a small economy that is worth waited.</v>
      </c>
    </row>
    <row r="11578">
      <c r="A11578" s="1">
        <v>5.0</v>
      </c>
      <c r="B11578" s="1" t="s">
        <v>11381</v>
      </c>
      <c r="C11578" t="str">
        <f>IFERROR(__xludf.DUMMYFUNCTION("GOOGLETRANSLATE(B11578, ""fr"", ""en"")"),"Good value for money. Entertaining but pretty good. The size fits me spot on. Satisfied with my purchase.")</f>
        <v>Good value for money. Entertaining but pretty good. The size fits me spot on. Satisfied with my purchase.</v>
      </c>
    </row>
    <row r="11579">
      <c r="A11579" s="1">
        <v>5.0</v>
      </c>
      <c r="B11579" s="1" t="s">
        <v>11382</v>
      </c>
      <c r="C11579" t="str">
        <f>IFERROR(__xludf.DUMMYFUNCTION("GOOGLETRANSLATE(B11579, ""fr"", ""en"")"),"WATCH BEAUTIFUL ITEM DESING FLAWLESS")</f>
        <v>WATCH BEAUTIFUL ITEM DESING FLAWLESS</v>
      </c>
    </row>
    <row r="11580">
      <c r="A11580" s="1">
        <v>5.0</v>
      </c>
      <c r="B11580" s="1" t="s">
        <v>11383</v>
      </c>
      <c r="C11580" t="str">
        <f>IFERROR(__xludf.DUMMYFUNCTION("GOOGLETRANSLATE(B11580, ""fr"", ""en"")"),"Top Meet the pictures and description, for now and for some days everything goes well, no surprises. The size is perfect, nothing to say.")</f>
        <v>Top Meet the pictures and description, for now and for some days everything goes well, no surprises. The size is perfect, nothing to say.</v>
      </c>
    </row>
    <row r="11581">
      <c r="A11581" s="1">
        <v>5.0</v>
      </c>
      <c r="B11581" s="1" t="s">
        <v>11384</v>
      </c>
      <c r="C11581" t="str">
        <f>IFERROR(__xludf.DUMMYFUNCTION("GOOGLETRANSLATE(B11581, ""fr"", ""en"")"),"comfortable shoes to walk around with good shoes")</f>
        <v>comfortable shoes to walk around with good shoes</v>
      </c>
    </row>
    <row r="11582">
      <c r="A11582" s="1">
        <v>5.0</v>
      </c>
      <c r="B11582" s="1" t="s">
        <v>11385</v>
      </c>
      <c r="C11582" t="str">
        <f>IFERROR(__xludf.DUMMYFUNCTION("GOOGLETRANSLATE(B11582, ""fr"", ""en"")"),"simple and efficient they make their effect for the holidays, of course it's not super quality but they are pretty.")</f>
        <v>simple and efficient they make their effect for the holidays, of course it's not super quality but they are pretty.</v>
      </c>
    </row>
    <row r="11583">
      <c r="A11583" s="1">
        <v>5.0</v>
      </c>
      <c r="B11583" s="1" t="s">
        <v>11386</v>
      </c>
      <c r="C11583" t="str">
        <f>IFERROR(__xludf.DUMMYFUNCTION("GOOGLETRANSLATE(B11583, ""fr"", ""en"")"),"Hygiene and Health You put 5 drops with a tablespoon of baking soda a tablespoon of vinegar and you also add more lemon essential oil and you have your perfect product for cleaning or for colds in the diffuser you put two drops in the water and you breath"&amp;"e it feels good. Then it can be used for acne, for hair in shampoo")</f>
        <v>Hygiene and Health You put 5 drops with a tablespoon of baking soda a tablespoon of vinegar and you also add more lemon essential oil and you have your perfect product for cleaning or for colds in the diffuser you put two drops in the water and you breathe it feels good. Then it can be used for acne, for hair in shampoo</v>
      </c>
    </row>
    <row r="11584">
      <c r="A11584" s="1">
        <v>5.0</v>
      </c>
      <c r="B11584" s="1" t="s">
        <v>11387</v>
      </c>
      <c r="C11584" t="str">
        <f>IFERROR(__xludf.DUMMYFUNCTION("GOOGLETRANSLATE(B11584, ""fr"", ""en"")"),"Perfect !!!! The sneakers are great. They are super comfortable and good quality. Size small I play 37 and I took 38 as stated in the description. I'm really happy with my purchase I'll even recommend in other colors")</f>
        <v>Perfect !!!! The sneakers are great. They are super comfortable and good quality. Size small I play 37 and I took 38 as stated in the description. I'm really happy with my purchase I'll even recommend in other colors</v>
      </c>
    </row>
    <row r="11585">
      <c r="A11585" s="1">
        <v>5.0</v>
      </c>
      <c r="B11585" s="1" t="s">
        <v>11388</v>
      </c>
      <c r="C11585" t="str">
        <f>IFERROR(__xludf.DUMMYFUNCTION("GOOGLETRANSLATE(B11585, ""fr"", ""en"")"),"Good value for money. The value for money is unbeatable. This watch works perfectly.")</f>
        <v>Good value for money. The value for money is unbeatable. This watch works perfectly.</v>
      </c>
    </row>
    <row r="11586">
      <c r="A11586" s="1">
        <v>5.0</v>
      </c>
      <c r="B11586" s="1" t="s">
        <v>11389</v>
      </c>
      <c r="C11586" t="str">
        <f>IFERROR(__xludf.DUMMYFUNCTION("GOOGLETRANSLATE(B11586, ""fr"", ""en"")"),"super good shoes, great design, pleasant harbor, well hold the foot without being too heavy, good value for money I did not encounter a problem with this purchase I recommend, therefore,")</f>
        <v>super good shoes, great design, pleasant harbor, well hold the foot without being too heavy, good value for money I did not encounter a problem with this purchase I recommend, therefore,</v>
      </c>
    </row>
    <row r="11587">
      <c r="A11587" s="1">
        <v>5.0</v>
      </c>
      <c r="B11587" s="1" t="s">
        <v>11390</v>
      </c>
      <c r="C11587" t="str">
        <f>IFERROR(__xludf.DUMMYFUNCTION("GOOGLETRANSLATE(B11587, ""fr"", ""en"")"),"Top top top Product compliant and delivers quickly. In the top.")</f>
        <v>Top top top Product compliant and delivers quickly. In the top.</v>
      </c>
    </row>
    <row r="11588">
      <c r="A11588" s="1">
        <v>5.0</v>
      </c>
      <c r="B11588" s="1" t="s">
        <v>11391</v>
      </c>
      <c r="C11588" t="str">
        <f>IFERROR(__xludf.DUMMYFUNCTION("GOOGLETRANSLATE(B11588, ""fr"", ""en"")"),"Really great product essential to who wants to keep his shoes long. The ideal is to treat new shoes before wearing, though the product does its job if applied after a good brushing with a suitable brush. attractive price, delivery is fast and neat. If thi"&amp;"s advice was helpful, please let know :)")</f>
        <v>Really great product essential to who wants to keep his shoes long. The ideal is to treat new shoes before wearing, though the product does its job if applied after a good brushing with a suitable brush. attractive price, delivery is fast and neat. If this advice was helpful, please let know :)</v>
      </c>
    </row>
    <row r="11589">
      <c r="A11589" s="1">
        <v>2.0</v>
      </c>
      <c r="B11589" s="1" t="s">
        <v>11392</v>
      </c>
      <c r="C11589" t="str">
        <f>IFERROR(__xludf.DUMMYFUNCTION("GOOGLETRANSLATE(B11589, ""fr"", ""en"")"),"No leather Shipped quickly correct quality product at prices views but never leather. This is actually a cord coated with a coating ""aspect"" leather that does not hold a leather cord.")</f>
        <v>No leather Shipped quickly correct quality product at prices views but never leather. This is actually a cord coated with a coating "aspect" leather that does not hold a leather cord.</v>
      </c>
    </row>
    <row r="11590">
      <c r="A11590" s="1">
        <v>1.0</v>
      </c>
      <c r="B11590" s="1" t="s">
        <v>11393</v>
      </c>
      <c r="C11590" t="str">
        <f>IFERROR(__xludf.DUMMYFUNCTION("GOOGLETRANSLATE(B11590, ""fr"", ""en"")"),"Failure on the shoes. The two shoes received are not identical. stitching problem.")</f>
        <v>Failure on the shoes. The two shoes received are not identical. stitching problem.</v>
      </c>
    </row>
    <row r="11591">
      <c r="A11591" s="1">
        <v>3.0</v>
      </c>
      <c r="B11591" s="1" t="s">
        <v>11394</v>
      </c>
      <c r="C11591" t="str">
        <f>IFERROR(__xludf.DUMMYFUNCTION("GOOGLETRANSLATE(B11591, ""fr"", ""en"")"),"safety shoes excellent safety shoes for the little light work. about the size, they Shoe not too big, personally I recommend a size above if you put on a little thick socks. they are working shoes, not sneakers")</f>
        <v>safety shoes excellent safety shoes for the little light work. about the size, they Shoe not too big, personally I recommend a size above if you put on a little thick socks. they are working shoes, not sneakers</v>
      </c>
    </row>
    <row r="11592">
      <c r="A11592" s="1">
        <v>3.0</v>
      </c>
      <c r="B11592" s="1" t="s">
        <v>11395</v>
      </c>
      <c r="C11592" t="str">
        <f>IFERROR(__xludf.DUMMYFUNCTION("GOOGLETRANSLATE(B11592, ""fr"", ""en"")"),"WELL Neck holding well despite the hot its weight that is too heavy and a bit small, but corresponding product quite the image at color.")</f>
        <v>WELL Neck holding well despite the hot its weight that is too heavy and a bit small, but corresponding product quite the image at color.</v>
      </c>
    </row>
    <row r="11593">
      <c r="A11593" s="1">
        <v>4.0</v>
      </c>
      <c r="B11593" s="1" t="s">
        <v>11396</v>
      </c>
      <c r="C11593" t="str">
        <f>IFERROR(__xludf.DUMMYFUNCTION("GOOGLETRANSLATE(B11593, ""fr"", ""en"")"),"Me well be a little late but malgrés several washing they did not move after DC I recommend this is not a firm maintientm for sports such")</f>
        <v>Me well be a little late but malgrés several washing they did not move after DC I recommend this is not a firm maintientm for sports such</v>
      </c>
    </row>
    <row r="11594">
      <c r="A11594" s="1">
        <v>4.0</v>
      </c>
      <c r="B11594" s="1" t="s">
        <v>11397</v>
      </c>
      <c r="C11594" t="str">
        <f>IFERROR(__xludf.DUMMYFUNCTION("GOOGLETRANSLATE(B11594, ""fr"", ""en"")"),"Super hot shoe Available for Christmas, perfect for winter. Size a little big but my son strong foot very comfortable and soft while to warm up!")</f>
        <v>Super hot shoe Available for Christmas, perfect for winter. Size a little big but my son strong foot very comfortable and soft while to warm up!</v>
      </c>
    </row>
    <row r="11595">
      <c r="A11595" s="1">
        <v>4.0</v>
      </c>
      <c r="B11595" s="1" t="s">
        <v>11398</v>
      </c>
      <c r="C11595" t="str">
        <f>IFERROR(__xludf.DUMMYFUNCTION("GOOGLETRANSLATE(B11595, ""fr"", ""en"")"),"Practice for heat resistant microwave is adjusted the volume of the bottle and a first stream of hot water is provided to remove any bacteria. milk powder is added, manually mixed, and a second water jet (colder) enables complete. The bottle is served at "&amp;"temperatures well diluted. This practice is, it's fast ... but frankly I was just as well with my microwave, once programmed ideal length. The features of this device seem too limited to make its essential purchase even if it is well thought out and reass"&amp;"uring. We must also plan to change the filter every 3 months, which adds additional stress to the fact there needs to be a place in the kitchen for him. Well done, practical even with one hand, fast and reassuring, its price still cool for all those who u"&amp;"se the microwave is not fatal because it ultimately does not do much more ...")</f>
        <v>Practice for heat resistant microwave is adjusted the volume of the bottle and a first stream of hot water is provided to remove any bacteria. milk powder is added, manually mixed, and a second water jet (colder) enables complete. The bottle is served at temperatures well diluted. This practice is, it's fast ... but frankly I was just as well with my microwave, once programmed ideal length. The features of this device seem too limited to make its essential purchase even if it is well thought out and reassuring. We must also plan to change the filter every 3 months, which adds additional stress to the fact there needs to be a place in the kitchen for him. Well done, practical even with one hand, fast and reassuring, its price still cool for all those who use the microwave is not fatal because it ultimately does not do much more ...</v>
      </c>
    </row>
    <row r="11596">
      <c r="A11596" s="1">
        <v>4.0</v>
      </c>
      <c r="B11596" s="1" t="s">
        <v>11399</v>
      </c>
      <c r="C11596" t="str">
        <f>IFERROR(__xludf.DUMMYFUNCTION("GOOGLETRANSLATE(B11596, ""fr"", ""en"")"),"Excellent They are very pretty and the stones are beautiful")</f>
        <v>Excellent They are very pretty and the stones are beautiful</v>
      </c>
    </row>
    <row r="11597">
      <c r="A11597" s="1">
        <v>5.0</v>
      </c>
      <c r="B11597" s="1" t="s">
        <v>11400</v>
      </c>
      <c r="C11597" t="str">
        <f>IFERROR(__xludf.DUMMYFUNCTION("GOOGLETRANSLATE(B11597, ""fr"", ""en"")"),"shoe slight this pair of shoe is too comfortable, light and flexible.")</f>
        <v>shoe slight this pair of shoe is too comfortable, light and flexible.</v>
      </c>
    </row>
    <row r="11598">
      <c r="A11598" s="1">
        <v>5.0</v>
      </c>
      <c r="B11598" s="1" t="s">
        <v>11401</v>
      </c>
      <c r="C11598" t="str">
        <f>IFERROR(__xludf.DUMMYFUNCTION("GOOGLETRANSLATE(B11598, ""fr"", ""en"")"),"PERFECT I offered it is much more. I am satisfied with my purchase")</f>
        <v>PERFECT I offered it is much more. I am satisfied with my purchase</v>
      </c>
    </row>
    <row r="11599">
      <c r="A11599" s="1">
        <v>5.0</v>
      </c>
      <c r="B11599" s="1" t="s">
        <v>11402</v>
      </c>
      <c r="C11599" t="str">
        <f>IFERROR(__xludf.DUMMYFUNCTION("GOOGLETRANSLATE(B11599, ""fr"", ""en"")"),"Fun Very funny as a gift. Long has come by against.")</f>
        <v>Fun Very funny as a gift. Long has come by against.</v>
      </c>
    </row>
    <row r="11600">
      <c r="A11600" s="1">
        <v>5.0</v>
      </c>
      <c r="B11600" s="1" t="s">
        <v>11403</v>
      </c>
      <c r="C11600" t="str">
        <f>IFERROR(__xludf.DUMMYFUNCTION("GOOGLETRANSLATE(B11600, ""fr"", ""en"")"),"Awesome Very good")</f>
        <v>Awesome Very good</v>
      </c>
    </row>
    <row r="11601">
      <c r="A11601" s="1">
        <v>5.0</v>
      </c>
      <c r="B11601" s="1" t="s">
        <v>11404</v>
      </c>
      <c r="C11601" t="str">
        <f>IFERROR(__xludf.DUMMYFUNCTION("GOOGLETRANSLATE(B11601, ""fr"", ""en"")"),"Okay book ideal for learning to read, my son loves.")</f>
        <v>Okay book ideal for learning to read, my son loves.</v>
      </c>
    </row>
    <row r="11602">
      <c r="A11602" s="1">
        <v>5.0</v>
      </c>
      <c r="B11602" s="1" t="s">
        <v>11405</v>
      </c>
      <c r="C11602" t="str">
        <f>IFERROR(__xludf.DUMMYFUNCTION("GOOGLETRANSLATE(B11602, ""fr"", ""en"")"),"perfect ! really great, insulation, easy installation and proper attire on a door, am very satisfied, thank you again")</f>
        <v>perfect ! really great, insulation, easy installation and proper attire on a door, am very satisfied, thank you again</v>
      </c>
    </row>
    <row r="11603">
      <c r="A11603" s="1">
        <v>5.0</v>
      </c>
      <c r="B11603" s="1" t="s">
        <v>11406</v>
      </c>
      <c r="C11603" t="str">
        <f>IFERROR(__xludf.DUMMYFUNCTION("GOOGLETRANSLATE(B11603, ""fr"", ""en"")"),"Nike socks good quality low waist to recommend")</f>
        <v>Nike socks good quality low waist to recommend</v>
      </c>
    </row>
    <row r="11604">
      <c r="A11604" s="1">
        <v>5.0</v>
      </c>
      <c r="B11604" s="1" t="s">
        <v>11407</v>
      </c>
      <c r="C11604" t="str">
        <f>IFERROR(__xludf.DUMMYFUNCTION("GOOGLETRANSLATE(B11604, ""fr"", ""en"")"),"Casio Fast delivery and compliant. This watch is a very good price / quality ratio. It is easy to use and very convenient for snorkeling pool workouts even if there is compass lux :)")</f>
        <v>Casio Fast delivery and compliant. This watch is a very good price / quality ratio. It is easy to use and very convenient for snorkeling pool workouts even if there is compass lux :)</v>
      </c>
    </row>
    <row r="11605">
      <c r="A11605" s="1">
        <v>5.0</v>
      </c>
      <c r="B11605" s="1" t="s">
        <v>11408</v>
      </c>
      <c r="C11605" t="str">
        <f>IFERROR(__xludf.DUMMYFUNCTION("GOOGLETRANSLATE(B11605, ""fr"", ""en"")"),"Perfect Excellent product. Replace perfectly the original cartridges. Quick delivery")</f>
        <v>Perfect Excellent product. Replace perfectly the original cartridges. Quick delivery</v>
      </c>
    </row>
    <row r="11606">
      <c r="A11606" s="1">
        <v>5.0</v>
      </c>
      <c r="B11606" s="1" t="s">
        <v>11409</v>
      </c>
      <c r="C11606" t="str">
        <f>IFERROR(__xludf.DUMMYFUNCTION("GOOGLETRANSLATE(B11606, ""fr"", ""en"")"),"The quality Super happy with this purchase")</f>
        <v>The quality Super happy with this purchase</v>
      </c>
    </row>
    <row r="11607">
      <c r="A11607" s="1">
        <v>5.0</v>
      </c>
      <c r="B11607" s="1" t="s">
        <v>11410</v>
      </c>
      <c r="C11607" t="str">
        <f>IFERROR(__xludf.DUMMYFUNCTION("GOOGLETRANSLATE(B11607, ""fr"", ""en"")"),"Good product. Good quality product. Discreet and functional.")</f>
        <v>Good product. Good quality product. Discreet and functional.</v>
      </c>
    </row>
    <row r="11608">
      <c r="A11608" s="1">
        <v>5.0</v>
      </c>
      <c r="B11608" s="1" t="s">
        <v>11411</v>
      </c>
      <c r="C11608" t="str">
        <f>IFERROR(__xludf.DUMMYFUNCTION("GOOGLETRANSLATE(B11608, ""fr"", ""en"")"),"Good value stylish, Connect and turn off automatically, adjust instantly after signal loss, headset charge lasts 3 hours, do not go after login, great design and quality headset and case !!! This is the Best Quality used when we came out, thanks to the ma"&amp;"nufacturer and the seller! For such a price I paunch well .... elegant appearance!")</f>
        <v>Good value stylish, Connect and turn off automatically, adjust instantly after signal loss, headset charge lasts 3 hours, do not go after login, great design and quality headset and case !!! This is the Best Quality used when we came out, thanks to the manufacturer and the seller! For such a price I paunch well .... elegant appearance!</v>
      </c>
    </row>
    <row r="11609">
      <c r="A11609" s="1">
        <v>5.0</v>
      </c>
      <c r="B11609" s="1" t="s">
        <v>11412</v>
      </c>
      <c r="C11609" t="str">
        <f>IFERROR(__xludf.DUMMYFUNCTION("GOOGLETRANSLATE(B11609, ""fr"", ""en"")"),"Good value diffuser design, suitable for any type of interior design. Fairly quiet and diffuse enough. The colors are great. Good value, ideal to offer")</f>
        <v>Good value diffuser design, suitable for any type of interior design. Fairly quiet and diffuse enough. The colors are great. Good value, ideal to offer</v>
      </c>
    </row>
    <row r="11610">
      <c r="A11610" s="1">
        <v>5.0</v>
      </c>
      <c r="B11610" s="1" t="s">
        <v>11413</v>
      </c>
      <c r="C11610" t="str">
        <f>IFERROR(__xludf.DUMMYFUNCTION("GOOGLETRANSLATE(B11610, ""fr"", ""en"")"),"One of the best on Amazon This is a simple but effective micro to start. The design is functional and nothing to configure. The price is unbeatable if you compare other brands or other products.")</f>
        <v>One of the best on Amazon This is a simple but effective micro to start. The design is functional and nothing to configure. The price is unbeatable if you compare other brands or other products.</v>
      </c>
    </row>
    <row r="11611">
      <c r="A11611" s="1">
        <v>5.0</v>
      </c>
      <c r="B11611" s="1" t="s">
        <v>11414</v>
      </c>
      <c r="C11611" t="str">
        <f>IFERROR(__xludf.DUMMYFUNCTION("GOOGLETRANSLATE(B11611, ""fr"", ""en"")"),"nickel kettle with a very nice vintage design !!! heats at very fast with a great capacity for 1 minute 45 1L8 water I recommend")</f>
        <v>nickel kettle with a very nice vintage design !!! heats at very fast with a great capacity for 1 minute 45 1L8 water I recommend</v>
      </c>
    </row>
    <row r="11612">
      <c r="A11612" s="1">
        <v>2.0</v>
      </c>
      <c r="B11612" s="1" t="s">
        <v>11415</v>
      </c>
      <c r="C11612" t="str">
        <f>IFERROR(__xludf.DUMMYFUNCTION("GOOGLETRANSLATE(B11612, ""fr"", ""en"")"),"Not usable I tested several times with my daughter more than 6 months for its slurries which are struggling to spend with pacifiers L of the same brand. My daughter so tired sucking nipples with these she falls asleep a quarter of the bottle and do not fi"&amp;"nish the shot! A pity because I was quite happy with the other teats of this brand and I found beast with these teats that we can not use and are in no way suited to baby cereals. So even when using the pacifier The lack of anything better.")</f>
        <v>Not usable I tested several times with my daughter more than 6 months for its slurries which are struggling to spend with pacifiers L of the same brand. My daughter so tired sucking nipples with these she falls asleep a quarter of the bottle and do not finish the shot! A pity because I was quite happy with the other teats of this brand and I found beast with these teats that we can not use and are in no way suited to baby cereals. So even when using the pacifier The lack of anything better.</v>
      </c>
    </row>
    <row r="11613">
      <c r="A11613" s="1">
        <v>1.0</v>
      </c>
      <c r="B11613" s="1" t="s">
        <v>11416</v>
      </c>
      <c r="C11613" t="str">
        <f>IFERROR(__xludf.DUMMYFUNCTION("GOOGLETRANSLATE(B11613, ""fr"", ""en"")"),"null prostate ... .poubelle!")</f>
        <v>null prostate ... .poubelle!</v>
      </c>
    </row>
    <row r="11614">
      <c r="A11614" s="1">
        <v>1.0</v>
      </c>
      <c r="B11614" s="1" t="s">
        <v>11417</v>
      </c>
      <c r="C11614" t="str">
        <f>IFERROR(__xludf.DUMMYFUNCTION("GOOGLETRANSLATE(B11614, ""fr"", ""en"")"),"Big doubt on the authenticity big doubt on the authenticity of headphones. The quality is not the same as the identical reference store bought last year (either side aesthetic comfort side or side sound quality). The son are extremely thin compared to the"&amp;" original Samsung. They will not take more than a few weeks.")</f>
        <v>Big doubt on the authenticity big doubt on the authenticity of headphones. The quality is not the same as the identical reference store bought last year (either side aesthetic comfort side or side sound quality). The son are extremely thin compared to the original Samsung. They will not take more than a few weeks.</v>
      </c>
    </row>
    <row r="11615">
      <c r="A11615" s="1">
        <v>3.0</v>
      </c>
      <c r="B11615" s="1" t="s">
        <v>11418</v>
      </c>
      <c r="C11615" t="str">
        <f>IFERROR(__xludf.DUMMYFUNCTION("GOOGLETRANSLATE(B11615, ""fr"", ""en"")"),"Small note the camera is tiny to read the description cordially")</f>
        <v>Small note the camera is tiny to read the description cordially</v>
      </c>
    </row>
    <row r="11616">
      <c r="A11616" s="1">
        <v>3.0</v>
      </c>
      <c r="B11616" s="1" t="s">
        <v>11419</v>
      </c>
      <c r="C11616" t="str">
        <f>IFERROR(__xludf.DUMMYFUNCTION("GOOGLETRANSLATE(B11616, ""fr"", ""en"")"),"Heavy brush Dyson Model V11. Not bought on Amazon for prices well above that ""we find elsewhere, including on the manufacturer's website (still 200 € difference!). No wonder in itself as Dyson manages to close the sale price retailers that it pampers whi"&amp;"le proscribing any competition .. But back to its intrinsic qualities No surprise on the quality of materials. this is pure Dyson with quality plastic, like vacuum cleaners sled brand. accessories question it was worth the money: in addition to the nozzle"&amp;" and 3 conventional brushes, no less than 3 power brush, broad and closer to hard floors, wide for fragile surfaces Still, one can only regret. the absence of a non-motorized ultra-flat tip to slip under furniture at ground level, as existed for sleds mod"&amp;"els. Fortunately, if you already have this type of equipment you'll find on Amazon for adapted ad hoc ers to reuse all your bits and thus have a wide range of accessories. Nothing wrong if the suction efficiency, on top, and the last credible autonomy (1 "&amp;"hour) that is not in a vacuum booster, though I bought it as complement of a Neato robot to complete the cleansing process. In fact, the biggest problem of this vacuum cleaner is its weight which makes it all but handy device at arm's length, especially w"&amp;"ith a motorized brush. Dyson would invest in bodybuilding and forced coercion?")</f>
        <v>Heavy brush Dyson Model V11. Not bought on Amazon for prices well above that "we find elsewhere, including on the manufacturer's website (still 200 € difference!). No wonder in itself as Dyson manages to close the sale price retailers that it pampers while proscribing any competition .. But back to its intrinsic qualities No surprise on the quality of materials. this is pure Dyson with quality plastic, like vacuum cleaners sled brand. accessories question it was worth the money: in addition to the nozzle and 3 conventional brushes, no less than 3 power brush, broad and closer to hard floors, wide for fragile surfaces Still, one can only regret. the absence of a non-motorized ultra-flat tip to slip under furniture at ground level, as existed for sleds models. Fortunately, if you already have this type of equipment you'll find on Amazon for adapted ad hoc ers to reuse all your bits and thus have a wide range of accessories. Nothing wrong if the suction efficiency, on top, and the last credible autonomy (1 hour) that is not in a vacuum booster, though I bought it as complement of a Neato robot to complete the cleansing process. In fact, the biggest problem of this vacuum cleaner is its weight which makes it all but handy device at arm's length, especially with a motorized brush. Dyson would invest in bodybuilding and forced coercion?</v>
      </c>
    </row>
    <row r="11617">
      <c r="A11617" s="1">
        <v>4.0</v>
      </c>
      <c r="B11617" s="1" t="s">
        <v>11420</v>
      </c>
      <c r="C11617" t="str">
        <f>IFERROR(__xludf.DUMMYFUNCTION("GOOGLETRANSLATE(B11617, ""fr"", ""en"")"),"Anti-Colic Meets specification, suitable from birth and anti-colic teat simple design")</f>
        <v>Anti-Colic Meets specification, suitable from birth and anti-colic teat simple design</v>
      </c>
    </row>
    <row r="11618">
      <c r="A11618" s="1">
        <v>4.0</v>
      </c>
      <c r="B11618" s="1" t="s">
        <v>11421</v>
      </c>
      <c r="C11618" t="str">
        <f>IFERROR(__xludf.DUMMYFUNCTION("GOOGLETRANSLATE(B11618, ""fr"", ""en"")"),"Almost perfect fast delivery. I thought getting a good deal saw the promo. Not so much because between order and delivery, she was even cheaper at comf. Tanpis. Otherwise aesthetically it is a bit big but the lights take over. Sound level, pity we can not"&amp;" take away the relatively stressful beep at every manipulation. I confess convenience must be the idea that if you want a tea at 80 must be put in 65 program. For the kettle stops well at 80 but continued to heat water. For example I programmed 55 and is "&amp;"mounted 74/75. Otherwise works fine. Keeping perfect warm. It goes down easily and the basket makers. To drain it well enough to put up position. Easy to clean and there but mostly I insist because I really like: tea remains in it, no leaks! So I recommen"&amp;"d despite its minor flaws.")</f>
        <v>Almost perfect fast delivery. I thought getting a good deal saw the promo. Not so much because between order and delivery, she was even cheaper at comf. Tanpis. Otherwise aesthetically it is a bit big but the lights take over. Sound level, pity we can not take away the relatively stressful beep at every manipulation. I confess convenience must be the idea that if you want a tea at 80 must be put in 65 program. For the kettle stops well at 80 but continued to heat water. For example I programmed 55 and is mounted 74/75. Otherwise works fine. Keeping perfect warm. It goes down easily and the basket makers. To drain it well enough to put up position. Easy to clean and there but mostly I insist because I really like: tea remains in it, no leaks! So I recommend despite its minor flaws.</v>
      </c>
    </row>
    <row r="11619">
      <c r="A11619" s="1">
        <v>4.0</v>
      </c>
      <c r="B11619" s="1" t="s">
        <v>11422</v>
      </c>
      <c r="C11619" t="str">
        <f>IFERROR(__xludf.DUMMYFUNCTION("GOOGLETRANSLATE(B11619, ""fr"", ""en"")"),"Display the bracelet is very easy to adjust. display contains the year what I like. great deal")</f>
        <v>Display the bracelet is very easy to adjust. display contains the year what I like. great deal</v>
      </c>
    </row>
    <row r="11620">
      <c r="A11620" s="1">
        <v>4.0</v>
      </c>
      <c r="B11620" s="1" t="s">
        <v>11423</v>
      </c>
      <c r="C11620" t="str">
        <f>IFERROR(__xludf.DUMMYFUNCTION("GOOGLETRANSLATE(B11620, ""fr"", ""en"")"),"Rather satisfied Fast delivery. The product conforms to my expectations. Oils feel pretty good (especially the one in the prime of Monoi). I'm satisfied. :-)")</f>
        <v>Rather satisfied Fast delivery. The product conforms to my expectations. Oils feel pretty good (especially the one in the prime of Monoi). I'm satisfied. :-)</v>
      </c>
    </row>
    <row r="11621">
      <c r="A11621" s="1">
        <v>5.0</v>
      </c>
      <c r="B11621" s="1" t="s">
        <v>11424</v>
      </c>
      <c r="C11621" t="str">
        <f>IFERROR(__xludf.DUMMYFUNCTION("GOOGLETRANSLATE(B11621, ""fr"", ""en"")"),"The Super deadlines are met and the product is in line with expectations. Very good product I recommend it. Size a little big")</f>
        <v>The Super deadlines are met and the product is in line with expectations. Very good product I recommend it. Size a little big</v>
      </c>
    </row>
    <row r="11622">
      <c r="A11622" s="1">
        <v>5.0</v>
      </c>
      <c r="B11622" s="1" t="s">
        <v>11425</v>
      </c>
      <c r="C11622" t="str">
        <f>IFERROR(__xludf.DUMMYFUNCTION("GOOGLETRANSLATE(B11622, ""fr"", ""en"")"),"Perfect for me Oprée feet, sore dog to walk the cabin bare feet to the pool (pool). Finally I had the good sense to me acehter pool sandals. These convenient me, conforables without mo-soft, I can now go quietly in booths basin. They take well to the foot"&amp;". Size ok. The ""flange"" (band) of the upper foot is lined inside with a soft, comfortable. Special fabric suitable.")</f>
        <v>Perfect for me Oprée feet, sore dog to walk the cabin bare feet to the pool (pool). Finally I had the good sense to me acehter pool sandals. These convenient me, conforables without mo-soft, I can now go quietly in booths basin. They take well to the foot. Size ok. The "flange" (band) of the upper foot is lined inside with a soft, comfortable. Special fabric suitable.</v>
      </c>
    </row>
    <row r="11623">
      <c r="A11623" s="1">
        <v>5.0</v>
      </c>
      <c r="B11623" s="1" t="s">
        <v>11426</v>
      </c>
      <c r="C11623" t="str">
        <f>IFERROR(__xludf.DUMMYFUNCTION("GOOGLETRANSLATE(B11623, ""fr"", ""en"")"),"good gift children are having fun with this game to draw blowing")</f>
        <v>good gift children are having fun with this game to draw blowing</v>
      </c>
    </row>
    <row r="11624">
      <c r="A11624" s="1">
        <v>5.0</v>
      </c>
      <c r="B11624" s="1" t="s">
        <v>11427</v>
      </c>
      <c r="C11624" t="str">
        <f>IFERROR(__xludf.DUMMYFUNCTION("GOOGLETRANSLATE(B11624, ""fr"", ""en"")"),"Backpack Convertible Just perfect delivery in line with what was announced, consistent package. And most, this bag is large enough, even my computer 17-inch goes perfectly. Finally a very useful bag where I could put everything at once.")</f>
        <v>Backpack Convertible Just perfect delivery in line with what was announced, consistent package. And most, this bag is large enough, even my computer 17-inch goes perfectly. Finally a very useful bag where I could put everything at once.</v>
      </c>
    </row>
    <row r="11625">
      <c r="A11625" s="1">
        <v>5.0</v>
      </c>
      <c r="B11625" s="1" t="s">
        <v>11428</v>
      </c>
      <c r="C11625" t="str">
        <f>IFERROR(__xludf.DUMMYFUNCTION("GOOGLETRANSLATE(B11625, ""fr"", ""en"")"),"micro value for money with perfect aesthetics, strength seen his metal body connection and super simple installation. impeccable sound quality.")</f>
        <v>micro value for money with perfect aesthetics, strength seen his metal body connection and super simple installation. impeccable sound quality.</v>
      </c>
    </row>
    <row r="11626">
      <c r="A11626" s="1">
        <v>5.0</v>
      </c>
      <c r="B11626" s="1" t="s">
        <v>11429</v>
      </c>
      <c r="C11626" t="str">
        <f>IFERROR(__xludf.DUMMYFUNCTION("GOOGLETRANSLATE(B11626, ""fr"", ""en"")"),"Perfect my wife who has big problems with severe pain feet takes only the ones when she goes walking. These are the only that she found that allow it to move without pain. It's extremely comfortable and does not want is to change (his 3rd pair)")</f>
        <v>Perfect my wife who has big problems with severe pain feet takes only the ones when she goes walking. These are the only that she found that allow it to move without pain. It's extremely comfortable and does not want is to change (his 3rd pair)</v>
      </c>
    </row>
    <row r="11627">
      <c r="A11627" s="1">
        <v>5.0</v>
      </c>
      <c r="B11627" s="1" t="s">
        <v>11430</v>
      </c>
      <c r="C11627" t="str">
        <f>IFERROR(__xludf.DUMMYFUNCTION("GOOGLETRANSLATE(B11627, ""fr"", ""en"")"),"Good protection Very good pocket my kids love creating designs and power mettrent them in a pouch that the security guard")</f>
        <v>Good protection Very good pocket my kids love creating designs and power mettrent them in a pouch that the security guard</v>
      </c>
    </row>
    <row r="11628">
      <c r="A11628" s="1">
        <v>5.0</v>
      </c>
      <c r="B11628" s="1" t="s">
        <v>11431</v>
      </c>
      <c r="C11628" t="str">
        <f>IFERROR(__xludf.DUMMYFUNCTION("GOOGLETRANSLATE(B11628, ""fr"", ""en"")"),"It's the perfect size not too big nor too small just enough I use it to get out there is awesome too big or too small it takes even an umbrella and water bottle 500ml")</f>
        <v>It's the perfect size not too big nor too small just enough I use it to get out there is awesome too big or too small it takes even an umbrella and water bottle 500ml</v>
      </c>
    </row>
    <row r="11629">
      <c r="A11629" s="1">
        <v>5.0</v>
      </c>
      <c r="B11629" s="1" t="s">
        <v>11432</v>
      </c>
      <c r="C11629" t="str">
        <f>IFERROR(__xludf.DUMMYFUNCTION("GOOGLETRANSLATE(B11629, ""fr"", ""en"")"),"Nice and cheap Receipts 3 weeks in advance ... Considering the price I do not think it should be required as far I am satisfied")</f>
        <v>Nice and cheap Receipts 3 weeks in advance ... Considering the price I do not think it should be required as far I am satisfied</v>
      </c>
    </row>
    <row r="11630">
      <c r="A11630" s="1">
        <v>5.0</v>
      </c>
      <c r="B11630" s="1" t="s">
        <v>11433</v>
      </c>
      <c r="C11630" t="str">
        <f>IFERROR(__xludf.DUMMYFUNCTION("GOOGLETRANSLATE(B11630, ""fr"", ""en"")"),"RAS Good product")</f>
        <v>RAS Good product</v>
      </c>
    </row>
    <row r="11631">
      <c r="A11631" s="1">
        <v>5.0</v>
      </c>
      <c r="B11631" s="1" t="s">
        <v>11434</v>
      </c>
      <c r="C11631" t="str">
        <f>IFERROR(__xludf.DUMMYFUNCTION("GOOGLETRANSLATE(B11631, ""fr"", ""en"")"),"Super basketball Super basketball very well suited to my size and make any type of sport running, cycling, muscu")</f>
        <v>Super basketball Super basketball very well suited to my size and make any type of sport running, cycling, muscu</v>
      </c>
    </row>
    <row r="11632">
      <c r="A11632" s="1">
        <v>5.0</v>
      </c>
      <c r="B11632" s="1" t="s">
        <v>11435</v>
      </c>
      <c r="C11632" t="str">
        <f>IFERROR(__xludf.DUMMYFUNCTION("GOOGLETRANSLATE(B11632, ""fr"", ""en"")"),"Super helmet used by my son for 50 flight hours (big trip in the Pacific) the headset is beautiful and very solid (impressive given the number of times my son stepped on it), the sound is good and it is nice to wear (my son's sleep easily with the ears). "&amp;"Brief content of this purchase that still has a great life ahead for trips to come.")</f>
        <v>Super helmet used by my son for 50 flight hours (big trip in the Pacific) the headset is beautiful and very solid (impressive given the number of times my son stepped on it), the sound is good and it is nice to wear (my son's sleep easily with the ears). Brief content of this purchase that still has a great life ahead for trips to come.</v>
      </c>
    </row>
    <row r="11633">
      <c r="A11633" s="1">
        <v>5.0</v>
      </c>
      <c r="B11633" s="1" t="s">
        <v>3772</v>
      </c>
      <c r="C11633" t="str">
        <f>IFERROR(__xludf.DUMMYFUNCTION("GOOGLETRANSLATE(B11633, ""fr"", ""en"")"),"Super Great")</f>
        <v>Super Great</v>
      </c>
    </row>
    <row r="11634">
      <c r="A11634" s="1">
        <v>5.0</v>
      </c>
      <c r="B11634" s="1" t="s">
        <v>11436</v>
      </c>
      <c r="C11634" t="str">
        <f>IFERROR(__xludf.DUMMYFUNCTION("GOOGLETRANSLATE(B11634, ""fr"", ""en"")"),"Very good My 3 month old son takes his bottle of. Other amplified him yet colic these bottles are great in theory and therefore contain more air but oddly it is with these bottles that feels best. Quickly arrived and very good! They are top nothing wrong "&amp;":)")</f>
        <v>Very good My 3 month old son takes his bottle of. Other amplified him yet colic these bottles are great in theory and therefore contain more air but oddly it is with these bottles that feels best. Quickly arrived and very good! They are top nothing wrong :)</v>
      </c>
    </row>
    <row r="11635">
      <c r="A11635" s="1">
        <v>5.0</v>
      </c>
      <c r="B11635" s="1" t="s">
        <v>11437</v>
      </c>
      <c r="C11635" t="str">
        <f>IFERROR(__xludf.DUMMYFUNCTION("GOOGLETRANSLATE(B11635, ""fr"", ""en"")"),"Washing with a mild laundry This holiday scents Super Cross ""Bora Bora"" is packaged in a box of 4 cans of 1.25l. The assay is easy and accurate with the dosing cap, is placed one or two plugs directly into the tray laundry depending upon the amount of l"&amp;"aundry in the machine. A tour 30 ° C eco cycle, and no problems with the machine, it comes out clean, fresh, and with a sweet fragrance exotic (which fades quickly enough then). Good laundry, efficient and convenient packaging.")</f>
        <v>Washing with a mild laundry This holiday scents Super Cross "Bora Bora" is packaged in a box of 4 cans of 1.25l. The assay is easy and accurate with the dosing cap, is placed one or two plugs directly into the tray laundry depending upon the amount of laundry in the machine. A tour 30 ° C eco cycle, and no problems with the machine, it comes out clean, fresh, and with a sweet fragrance exotic (which fades quickly enough then). Good laundry, efficient and convenient packaging.</v>
      </c>
    </row>
    <row r="11636">
      <c r="A11636" s="1">
        <v>5.0</v>
      </c>
      <c r="B11636" s="1" t="s">
        <v>11438</v>
      </c>
      <c r="C11636" t="str">
        <f>IFERROR(__xludf.DUMMYFUNCTION("GOOGLETRANSLATE(B11636, ""fr"", ""en"")"),"Consistent with the description and size pretty lightweight shoe, average amortized but very good for a gym for example, with low impact. These shoes are not suitable for road racing (and consequently even less in the mountains, of course ...), because li"&amp;"ttle cushioning and traction. But the effect is guaranteed, I am very happy ...")</f>
        <v>Consistent with the description and size pretty lightweight shoe, average amortized but very good for a gym for example, with low impact. These shoes are not suitable for road racing (and consequently even less in the mountains, of course ...), because little cushioning and traction. But the effect is guaranteed, I am very happy ...</v>
      </c>
    </row>
    <row r="11637">
      <c r="A11637" s="1">
        <v>2.0</v>
      </c>
      <c r="B11637" s="1" t="s">
        <v>11439</v>
      </c>
      <c r="C11637" t="str">
        <f>IFERROR(__xludf.DUMMYFUNCTION("GOOGLETRANSLATE(B11637, ""fr"", ""en"")"),"The faulty clasp a loop snaps are not so useless! It was a gift for my little girl ... I am VERY disappointed and above it!")</f>
        <v>The faulty clasp a loop snaps are not so useless! It was a gift for my little girl ... I am VERY disappointed and above it!</v>
      </c>
    </row>
    <row r="11638">
      <c r="A11638" s="1">
        <v>1.0</v>
      </c>
      <c r="B11638" s="1" t="s">
        <v>11440</v>
      </c>
      <c r="C11638" t="str">
        <f>IFERROR(__xludf.DUMMYFUNCTION("GOOGLETRANSLATE(B11638, ""fr"", ""en"")"),"TOO FRAGILE broken closure after a month, I worked as a teacher, so as you can immaginer resistance matérieaux of this watch. To avoid ever again")</f>
        <v>TOO FRAGILE broken closure after a month, I worked as a teacher, so as you can immaginer resistance matérieaux of this watch. To avoid ever again</v>
      </c>
    </row>
    <row r="11639">
      <c r="A11639" s="1">
        <v>1.0</v>
      </c>
      <c r="B11639" s="1" t="s">
        <v>11441</v>
      </c>
      <c r="C11639" t="str">
        <f>IFERROR(__xludf.DUMMYFUNCTION("GOOGLETRANSLATE(B11639, ""fr"", ""en"")"),"Disconnect constantly These Bluetooth headsets are constantly disconnect unintentionally and unexpectedly. Sometimes only the Left earpiece is offline! They are then very difficult to reconnect and you often repeat the entire procedure. The sound is of lo"&amp;"wer quality than my iPhone earphones. Very bad value for money.")</f>
        <v>Disconnect constantly These Bluetooth headsets are constantly disconnect unintentionally and unexpectedly. Sometimes only the Left earpiece is offline! They are then very difficult to reconnect and you often repeat the entire procedure. The sound is of lower quality than my iPhone earphones. Very bad value for money.</v>
      </c>
    </row>
    <row r="11640">
      <c r="A11640" s="1">
        <v>3.0</v>
      </c>
      <c r="B11640" s="1" t="s">
        <v>11442</v>
      </c>
      <c r="C11640" t="str">
        <f>IFERROR(__xludf.DUMMYFUNCTION("GOOGLETRANSLATE(B11640, ""fr"", ""en"")"),"Fair Good but tends to relax after several wash")</f>
        <v>Fair Good but tends to relax after several wash</v>
      </c>
    </row>
    <row r="11641">
      <c r="A11641" s="1">
        <v>3.0</v>
      </c>
      <c r="B11641" s="1" t="s">
        <v>11443</v>
      </c>
      <c r="C11641" t="str">
        <f>IFERROR(__xludf.DUMMYFUNCTION("GOOGLETRANSLATE(B11641, ""fr"", ""en"")"),"Watch with a nice style :) Beautiful But battery that does not work, you have to go buy for this to work;)")</f>
        <v>Watch with a nice style :) Beautiful But battery that does not work, you have to go buy for this to work;)</v>
      </c>
    </row>
    <row r="11642">
      <c r="A11642" s="1">
        <v>4.0</v>
      </c>
      <c r="B11642" s="1" t="s">
        <v>11444</v>
      </c>
      <c r="C11642" t="str">
        <f>IFERROR(__xludf.DUMMYFUNCTION("GOOGLETRANSLATE(B11642, ""fr"", ""en"")"),"Poor quality leather product does not conform to the picture. The leather has stepped appearance beautiful, very soft and especially porous. Otherwise no surprises. I wanted this bag to hope to accommodate a mini bottle of water. In the end its just a bot"&amp;"tle of Coke 50cl who returns. Checkbook also houses in height. Question ergonomics is not better. The fastening system is fast and efficient.")</f>
        <v>Poor quality leather product does not conform to the picture. The leather has stepped appearance beautiful, very soft and especially porous. Otherwise no surprises. I wanted this bag to hope to accommodate a mini bottle of water. In the end its just a bottle of Coke 50cl who returns. Checkbook also houses in height. Question ergonomics is not better. The fastening system is fast and efficient.</v>
      </c>
    </row>
    <row r="11643">
      <c r="A11643" s="1">
        <v>4.0</v>
      </c>
      <c r="B11643" s="1" t="s">
        <v>11445</v>
      </c>
      <c r="C11643" t="str">
        <f>IFERROR(__xludf.DUMMYFUNCTION("GOOGLETRANSLATE(B11643, ""fr"", ""en"")"),"Fits my expectations completely corresponds to the description. Is neither too big nor too small, the watch remains aesthetic on the wrist. Just a little flat, remove the wrist and wait a minute 10ène to have a consistent temperature.")</f>
        <v>Fits my expectations completely corresponds to the description. Is neither too big nor too small, the watch remains aesthetic on the wrist. Just a little flat, remove the wrist and wait a minute 10ène to have a consistent temperature.</v>
      </c>
    </row>
    <row r="11644">
      <c r="A11644" s="1">
        <v>4.0</v>
      </c>
      <c r="B11644" s="1" t="s">
        <v>11446</v>
      </c>
      <c r="C11644" t="str">
        <f>IFERROR(__xludf.DUMMYFUNCTION("GOOGLETRANSLATE(B11644, ""fr"", ""en"")"),"Good Very good mask mask, it revives the natural skin tone and removes all impurities, I use it regularly, I do not put 5 stars because it is not a miracle product, packaging and correct very fast delivery")</f>
        <v>Good Very good mask mask, it revives the natural skin tone and removes all impurities, I use it regularly, I do not put 5 stars because it is not a miracle product, packaging and correct very fast delivery</v>
      </c>
    </row>
    <row r="11645">
      <c r="A11645" s="1">
        <v>4.0</v>
      </c>
      <c r="B11645" s="1" t="s">
        <v>11447</v>
      </c>
      <c r="C11645" t="str">
        <f>IFERROR(__xludf.DUMMYFUNCTION("GOOGLETRANSLATE(B11645, ""fr"", ""en"")"),"Revival X.")</f>
        <v>Revival X.</v>
      </c>
    </row>
    <row r="11646">
      <c r="A11646" s="1">
        <v>5.0</v>
      </c>
      <c r="B11646" s="1" t="s">
        <v>11448</v>
      </c>
      <c r="C11646" t="str">
        <f>IFERROR(__xludf.DUMMYFUNCTION("GOOGLETRANSLATE(B11646, ""fr"", ""en"")"),"Kit pen Eastpak As usual, a nice package and strong. Also, my daughter is convenient because of ideal size. A fair price for several years!")</f>
        <v>Kit pen Eastpak As usual, a nice package and strong. Also, my daughter is convenient because of ideal size. A fair price for several years!</v>
      </c>
    </row>
    <row r="11647">
      <c r="A11647" s="1">
        <v>5.0</v>
      </c>
      <c r="B11647" s="1" t="s">
        <v>11449</v>
      </c>
      <c r="C11647" t="str">
        <f>IFERROR(__xludf.DUMMYFUNCTION("GOOGLETRANSLATE(B11647, ""fr"", ""en"")"),"Top Scalded by the disastrous quality for such a price level of its big brother pads, I still took these headphones. I '(mainly used in metro / rer must choose the appropriate tip to the ears The noise cancellation is an exceptional level autonomy... Fair"&amp;"ly low 2/3 days max in His moderate use.: in my opinion very satisfying and powerful Bluetooth distance. over 10 meters with iPhone 8. not suitable for cycling on air movements cause unpleasant noises for the price, do not hesitate to visit Amazon.es that"&amp;" book. also in France, price 180 euros :-)")</f>
        <v>Top Scalded by the disastrous quality for such a price level of its big brother pads, I still took these headphones. I '(mainly used in metro / rer must choose the appropriate tip to the ears The noise cancellation is an exceptional level autonomy... Fairly low 2/3 days max in His moderate use.: in my opinion very satisfying and powerful Bluetooth distance. over 10 meters with iPhone 8. not suitable for cycling on air movements cause unpleasant noises for the price, do not hesitate to visit Amazon.es that book. also in France, price 180 euros :-)</v>
      </c>
    </row>
    <row r="11648">
      <c r="A11648" s="1">
        <v>5.0</v>
      </c>
      <c r="B11648" s="1" t="s">
        <v>11450</v>
      </c>
      <c r="C11648" t="str">
        <f>IFERROR(__xludf.DUMMYFUNCTION("GOOGLETRANSLATE(B11648, ""fr"", ""en"")"),"Excellent product These bags are fine, resistant and practical with zip. I used me to put my little pieces of scrapbooking cutouts. I recommend this article to order delivery was super fast, very good seller.")</f>
        <v>Excellent product These bags are fine, resistant and practical with zip. I used me to put my little pieces of scrapbooking cutouts. I recommend this article to order delivery was super fast, very good seller.</v>
      </c>
    </row>
    <row r="11649">
      <c r="A11649" s="1">
        <v>5.0</v>
      </c>
      <c r="B11649" s="1" t="s">
        <v>11451</v>
      </c>
      <c r="C11649" t="str">
        <f>IFERROR(__xludf.DUMMYFUNCTION("GOOGLETRANSLATE(B11649, ""fr"", ""en"")"),"Comfortable and resistant For several weeks I use this bracelet. It is very comfortable (no hairs that get stuck like with the metal bracelets, for example). It is comfortable and fits perfectly to my Galaxy Watch. I have not spared and is still in perfec"&amp;"t condition, I just have not tried putting it under water or wear it in the pool, I'm not sure that it reacts very well to chlorine when in doubt I abstain! The chosen color perfectly matches the picture of the item. Perfect quality / price for me!")</f>
        <v>Comfortable and resistant For several weeks I use this bracelet. It is very comfortable (no hairs that get stuck like with the metal bracelets, for example). It is comfortable and fits perfectly to my Galaxy Watch. I have not spared and is still in perfect condition, I just have not tried putting it under water or wear it in the pool, I'm not sure that it reacts very well to chlorine when in doubt I abstain! The chosen color perfectly matches the picture of the item. Perfect quality / price for me!</v>
      </c>
    </row>
    <row r="11650">
      <c r="A11650" s="1">
        <v>5.0</v>
      </c>
      <c r="B11650" s="1" t="s">
        <v>11452</v>
      </c>
      <c r="C11650" t="str">
        <f>IFERROR(__xludf.DUMMYFUNCTION("GOOGLETRANSLATE(B11650, ""fr"", ""en"")"),"It is perfect Sandy I love them")</f>
        <v>It is perfect Sandy I love them</v>
      </c>
    </row>
    <row r="11651">
      <c r="A11651" s="1">
        <v>5.0</v>
      </c>
      <c r="B11651" s="1" t="s">
        <v>11453</v>
      </c>
      <c r="C11651" t="str">
        <f>IFERROR(__xludf.DUMMYFUNCTION("GOOGLETRANSLATE(B11651, ""fr"", ""en"")"),"I find that for the price of printing a few extra pages would be coming to my canon printer")</f>
        <v>I find that for the price of printing a few extra pages would be coming to my canon printer</v>
      </c>
    </row>
    <row r="11652">
      <c r="A11652" s="1">
        <v>5.0</v>
      </c>
      <c r="B11652" s="1" t="s">
        <v>11454</v>
      </c>
      <c r="C11652" t="str">
        <f>IFERROR(__xludf.DUMMYFUNCTION("GOOGLETRANSLATE(B11652, ""fr"", ""en"")"),"Super Super jacket model. Parcontre narrowed quickly in dryer")</f>
        <v>Super Super jacket model. Parcontre narrowed quickly in dryer</v>
      </c>
    </row>
    <row r="11653">
      <c r="A11653" s="1">
        <v>5.0</v>
      </c>
      <c r="B11653" s="1" t="s">
        <v>1547</v>
      </c>
      <c r="C11653" t="str">
        <f>IFERROR(__xludf.DUMMYFUNCTION("GOOGLETRANSLATE(B11653, ""fr"", ""en"")"),"Ras Ras")</f>
        <v>Ras Ras</v>
      </c>
    </row>
    <row r="11654">
      <c r="A11654" s="1">
        <v>5.0</v>
      </c>
      <c r="B11654" s="1" t="s">
        <v>11455</v>
      </c>
      <c r="C11654" t="str">
        <f>IFERROR(__xludf.DUMMYFUNCTION("GOOGLETRANSLATE(B11654, ""fr"", ""en"")"),"A very pretty and elegant product I bought these shoes for my husband. He is very happy to receive this gift. He is always looking for shoes that do not tire her feet. Obviously, Geox do not disappoint ...")</f>
        <v>A very pretty and elegant product I bought these shoes for my husband. He is very happy to receive this gift. He is always looking for shoes that do not tire her feet. Obviously, Geox do not disappoint ...</v>
      </c>
    </row>
    <row r="11655">
      <c r="A11655" s="1">
        <v>5.0</v>
      </c>
      <c r="B11655" s="1" t="s">
        <v>11456</v>
      </c>
      <c r="C11655" t="str">
        <f>IFERROR(__xludf.DUMMYFUNCTION("GOOGLETRANSLATE(B11655, ""fr"", ""en"")"),"Beautiful necklace ... The necklace is really beautiful, fine and good length in relation to the neck of my friend. Congratulations! total confidence. Cordially. Stéphane PORTAL.")</f>
        <v>Beautiful necklace ... The necklace is really beautiful, fine and good length in relation to the neck of my friend. Congratulations! total confidence. Cordially. Stéphane PORTAL.</v>
      </c>
    </row>
    <row r="11656">
      <c r="A11656" s="1">
        <v>5.0</v>
      </c>
      <c r="B11656" s="1" t="s">
        <v>11457</v>
      </c>
      <c r="C11656" t="str">
        <f>IFERROR(__xludf.DUMMYFUNCTION("GOOGLETRANSLATE(B11656, ""fr"", ""en"")"),"Ideal for bikers. Used for my jacket and my motorcycle leather sneakers.")</f>
        <v>Ideal for bikers. Used for my jacket and my motorcycle leather sneakers.</v>
      </c>
    </row>
    <row r="11657">
      <c r="A11657" s="1">
        <v>5.0</v>
      </c>
      <c r="B11657" s="1" t="s">
        <v>11458</v>
      </c>
      <c r="C11657" t="str">
        <f>IFERROR(__xludf.DUMMYFUNCTION("GOOGLETRANSLATE(B11657, ""fr"", ""en"")"),"a sure takes the size below for a perfect fit, perfect when you have knee pain or ankle, very relaxing")</f>
        <v>a sure takes the size below for a perfect fit, perfect when you have knee pain or ankle, very relaxing</v>
      </c>
    </row>
    <row r="11658">
      <c r="A11658" s="1">
        <v>5.0</v>
      </c>
      <c r="B11658" s="1" t="s">
        <v>11459</v>
      </c>
      <c r="C11658" t="str">
        <f>IFERROR(__xludf.DUMMYFUNCTION("GOOGLETRANSLATE(B11658, ""fr"", ""en"")"),"Tefal Too noisy.")</f>
        <v>Tefal Too noisy.</v>
      </c>
    </row>
    <row r="11659">
      <c r="A11659" s="1">
        <v>5.0</v>
      </c>
      <c r="B11659" s="1" t="s">
        <v>11460</v>
      </c>
      <c r="C11659" t="str">
        <f>IFERROR(__xludf.DUMMYFUNCTION("GOOGLETRANSLATE(B11659, ""fr"", ""en"")"),"Topissime Quality / correct price. The sweater the worth. It keeps you warm well. It is quite thick. Only small problem ... it is close enough to the body. It was a Christmas gift. It is much appreciated. I recommend")</f>
        <v>Topissime Quality / correct price. The sweater the worth. It keeps you warm well. It is quite thick. Only small problem ... it is close enough to the body. It was a Christmas gift. It is much appreciated. I recommend</v>
      </c>
    </row>
    <row r="11660">
      <c r="A11660" s="1">
        <v>5.0</v>
      </c>
      <c r="B11660" s="1" t="s">
        <v>11461</v>
      </c>
      <c r="C11660" t="str">
        <f>IFERROR(__xludf.DUMMYFUNCTION("GOOGLETRANSLATE(B11660, ""fr"", ""en"")"),"Professional I bought to record sound, good quality, very suitable and professional to work in my studio.")</f>
        <v>Professional I bought to record sound, good quality, very suitable and professional to work in my studio.</v>
      </c>
    </row>
    <row r="11661">
      <c r="A11661" s="1">
        <v>2.0</v>
      </c>
      <c r="B11661" s="1" t="s">
        <v>11462</v>
      </c>
      <c r="C11661" t="str">
        <f>IFERROR(__xludf.DUMMYFUNCTION("GOOGLETRANSLATE(B11661, ""fr"", ""en"")"),"Perfect for 2 months This diffuser was perfect (easy to clean and use) until he dropped 2 months from receipt (it no longer lights). Fortunately the customer service Amazon is always impeccable, but I hesitate to recommend it.")</f>
        <v>Perfect for 2 months This diffuser was perfect (easy to clean and use) until he dropped 2 months from receipt (it no longer lights). Fortunately the customer service Amazon is always impeccable, but I hesitate to recommend it.</v>
      </c>
    </row>
    <row r="11662">
      <c r="A11662" s="1">
        <v>1.0</v>
      </c>
      <c r="B11662" s="1" t="s">
        <v>11463</v>
      </c>
      <c r="C11662" t="str">
        <f>IFERROR(__xludf.DUMMYFUNCTION("GOOGLETRANSLATE(B11662, ""fr"", ""en"")"),"Very fragile It's super scary lie above the fold when table upside down on the middle ... I recommend produces too fragile and can fall and hurt badly :(")</f>
        <v>Very fragile It's super scary lie above the fold when table upside down on the middle ... I recommend produces too fragile and can fall and hurt badly :(</v>
      </c>
    </row>
    <row r="11663">
      <c r="A11663" s="1">
        <v>1.0</v>
      </c>
      <c r="B11663" s="1" t="s">
        <v>11464</v>
      </c>
      <c r="C11663" t="str">
        <f>IFERROR(__xludf.DUMMYFUNCTION("GOOGLETRANSLATE(B11663, ""fr"", ""en"")"),"I do not recommend Not suitable for pandora bracelet")</f>
        <v>I do not recommend Not suitable for pandora bracelet</v>
      </c>
    </row>
    <row r="11664">
      <c r="A11664" s="1">
        <v>3.0</v>
      </c>
      <c r="B11664" s="1" t="s">
        <v>11465</v>
      </c>
      <c r="C11664" t="str">
        <f>IFERROR(__xludf.DUMMYFUNCTION("GOOGLETRANSLATE(B11664, ""fr"", ""en"")"),"Reduced not terrible noise I took this helmet because I had the same that worked great but forgotten in a hotel I wanted me to buy another immediate disappointment after updating the noise reduction is very low I thought about setting but it was not up I "&amp;"do not know if it was updated but I am disappointed can be a bad series ps I lai made for battery problem from 40 to 50% the autonomy fell at high speed")</f>
        <v>Reduced not terrible noise I took this helmet because I had the same that worked great but forgotten in a hotel I wanted me to buy another immediate disappointment after updating the noise reduction is very low I thought about setting but it was not up I do not know if it was updated but I am disappointed can be a bad series ps I lai made for battery problem from 40 to 50% the autonomy fell at high speed</v>
      </c>
    </row>
    <row r="11665">
      <c r="A11665" s="1">
        <v>4.0</v>
      </c>
      <c r="B11665" s="1" t="s">
        <v>11466</v>
      </c>
      <c r="C11665" t="str">
        <f>IFERROR(__xludf.DUMMYFUNCTION("GOOGLETRANSLATE(B11665, ""fr"", ""en"")"),"To be good inside as out shoes")</f>
        <v>To be good inside as out shoes</v>
      </c>
    </row>
    <row r="11666">
      <c r="A11666" s="1">
        <v>4.0</v>
      </c>
      <c r="B11666" s="1" t="s">
        <v>11467</v>
      </c>
      <c r="C11666" t="str">
        <f>IFERROR(__xludf.DUMMYFUNCTION("GOOGLETRANSLATE(B11666, ""fr"", ""en"")"),"The original unadorned Adept g-stock, the model 5600 is a must and with this sleek module that gives it a more modern look that's a nice nod to the 30 years of existence of unbreakable watch ...")</f>
        <v>The original unadorned Adept g-stock, the model 5600 is a must and with this sleek module that gives it a more modern look that's a nice nod to the 30 years of existence of unbreakable watch ...</v>
      </c>
    </row>
    <row r="11667">
      <c r="A11667" s="1">
        <v>4.0</v>
      </c>
      <c r="B11667" s="1" t="s">
        <v>11468</v>
      </c>
      <c r="C11667" t="str">
        <f>IFERROR(__xludf.DUMMYFUNCTION("GOOGLETRANSLATE(B11667, ""fr"", ""en"")"),"cheap and not too bad this microphone is well known that it is on amazon youtube as it will match a lot of people!")</f>
        <v>cheap and not too bad this microphone is well known that it is on amazon youtube as it will match a lot of people!</v>
      </c>
    </row>
    <row r="11668">
      <c r="A11668" s="1">
        <v>4.0</v>
      </c>
      <c r="B11668" s="1" t="s">
        <v>11469</v>
      </c>
      <c r="C11668" t="str">
        <f>IFERROR(__xludf.DUMMYFUNCTION("GOOGLETRANSLATE(B11668, ""fr"", ""en"")"),"Exacompta Year after year I take the same I am satisfied")</f>
        <v>Exacompta Year after year I take the same I am satisfied</v>
      </c>
    </row>
    <row r="11669">
      <c r="A11669" s="1">
        <v>5.0</v>
      </c>
      <c r="B11669" s="1" t="s">
        <v>11470</v>
      </c>
      <c r="C11669" t="str">
        <f>IFERROR(__xludf.DUMMYFUNCTION("GOOGLETRANSLATE(B11669, ""fr"", ""en"")"),"Okay Easy to use, works great, very good value!")</f>
        <v>Okay Easy to use, works great, very good value!</v>
      </c>
    </row>
    <row r="11670">
      <c r="A11670" s="1">
        <v>5.0</v>
      </c>
      <c r="B11670" s="1" t="s">
        <v>11471</v>
      </c>
      <c r="C11670" t="str">
        <f>IFERROR(__xludf.DUMMYFUNCTION("GOOGLETRANSLATE(B11670, ""fr"", ""en"")"),"Great product I thought was Eastpack premium, given the 99% of people in my high school who just bouncing around with, but in fact, it is simply because it is robust, almost stylish and has enough space. Recommend, by cons do not expect to be original, ev"&amp;"eryone has the same gray Eastpak bag like this ...")</f>
        <v>Great product I thought was Eastpack premium, given the 99% of people in my high school who just bouncing around with, but in fact, it is simply because it is robust, almost stylish and has enough space. Recommend, by cons do not expect to be original, everyone has the same gray Eastpak bag like this ...</v>
      </c>
    </row>
    <row r="11671">
      <c r="A11671" s="1">
        <v>5.0</v>
      </c>
      <c r="B11671" s="1" t="s">
        <v>11472</v>
      </c>
      <c r="C11671" t="str">
        <f>IFERROR(__xludf.DUMMYFUNCTION("GOOGLETRANSLATE(B11671, ""fr"", ""en"")"),"incredible helmet What more on this helmet ... This is a moment that made me the eye, I try specialty store, and now I enjoy the promo when to buy 270 €, nothing to say suddenly level price, it seems more than satisfactory given the beast. However it is c"&amp;"lear that € 380 is a bit too expensive. Then, when unpacking, it is at first surprised by the small box that contains Bose headphones. Upon opening it falls directly on the equally small case comes with (which is also an extremely significant point). The "&amp;"helmet is carefully folded inside, the space savings is enormous unlike other more bulky headsets. It is clear that this helmet filled out his mobile and versatile function and will delight travelers in particular. Regarding the design, it has a very sobe"&amp;"r and elegant style, maybe a bit too for my taste and the helmet would certainly have benefited from being a bit more ""extravagant"", why not offer letters ""Bose"" that sees wholesale silver color ... the first thing that impresses is the light weight o"&amp;"f the helmet. We can take it to a finger without any trouble, it is lightweight. But really super kind. Then comes comfort, then this is ... just incredible. The helmet that completely forgotten on the head, it is soft, the pads are too, the ears are abso"&amp;"rbed and found it in a little cocoon cut off from the outside world. Because in speaking of cocoon, it must of course mention the noise reduction (3 reduction levels, the last of which completely removes) that works wonders, and may even seem confusing so"&amp;" it is effective, careful do not use it on public roads, it can be dangerous .. This reduction eliminates all background noise with integrated microphones on the helmet. It is effective even without music in the ears, is to say ... One point more importan"&amp;"t now, the sound quality of the headphones. I must say that personally I was a little disappointed compared to that. So beware sound quality is excellent, it's bose (with low fat and less on the helmet, which is a good thing from a personal point of view,"&amp;" because I have other materials to get me some big bass.) nevertheless, I expected to sound a little more ""hi-fi"" ... Whatever it is already very good. Coupled with Tidal application and its Master, it is the foot. Regarding bose app, it is altogether s"&amp;"ummary enough, there is also no equalizer, as always with bose. I draw your attention to the fact that it apparently must not do the updating of the helmet, and stay in version 4.1.3. I'm not able to say exactly why he should not make this shift, but othe"&amp;"r comments not recommend it highly, so I do not want to take that risk. This is broadly what we can say about this gem, it will meet your expectations and will become your most faithful musical companion, so that it becomes difficult to pass.")</f>
        <v>incredible helmet What more on this helmet ... This is a moment that made me the eye, I try specialty store, and now I enjoy the promo when to buy 270 €, nothing to say suddenly level price, it seems more than satisfactory given the beast. However it is clear that € 380 is a bit too expensive. Then, when unpacking, it is at first surprised by the small box that contains Bose headphones. Upon opening it falls directly on the equally small case comes with (which is also an extremely significant point). The helmet is carefully folded inside, the space savings is enormous unlike other more bulky headsets. It is clear that this helmet filled out his mobile and versatile function and will delight travelers in particular. Regarding the design, it has a very sober and elegant style, maybe a bit too for my taste and the helmet would certainly have benefited from being a bit more "extravagant", why not offer letters "Bose" that sees wholesale silver color ... the first thing that impresses is the light weight of the helmet. We can take it to a finger without any trouble, it is lightweight. But really super kind. Then comes comfort, then this is ... just incredible. The helmet that completely forgotten on the head, it is soft, the pads are too, the ears are absorbed and found it in a little cocoon cut off from the outside world. Because in speaking of cocoon, it must of course mention the noise reduction (3 reduction levels, the last of which completely removes) that works wonders, and may even seem confusing so it is effective, careful do not use it on public roads, it can be dangerous .. This reduction eliminates all background noise with integrated microphones on the helmet. It is effective even without music in the ears, is to say ... One point more important now, the sound quality of the headphones. I must say that personally I was a little disappointed compared to that. So beware sound quality is excellent, it's bose (with low fat and less on the helmet, which is a good thing from a personal point of view, because I have other materials to get me some big bass.) nevertheless, I expected to sound a little more "hi-fi" ... Whatever it is already very good. Coupled with Tidal application and its Master, it is the foot. Regarding bose app, it is altogether summary enough, there is also no equalizer, as always with bose. I draw your attention to the fact that it apparently must not do the updating of the helmet, and stay in version 4.1.3. I'm not able to say exactly why he should not make this shift, but other comments not recommend it highly, so I do not want to take that risk. This is broadly what we can say about this gem, it will meet your expectations and will become your most faithful musical companion, so that it becomes difficult to pass.</v>
      </c>
    </row>
    <row r="11672">
      <c r="A11672" s="1">
        <v>5.0</v>
      </c>
      <c r="B11672" s="1" t="s">
        <v>11473</v>
      </c>
      <c r="C11672" t="str">
        <f>IFERROR(__xludf.DUMMYFUNCTION("GOOGLETRANSLATE(B11672, ""fr"", ""en"")"),"sock Solid")</f>
        <v>sock Solid</v>
      </c>
    </row>
    <row r="11673">
      <c r="A11673" s="1">
        <v>5.0</v>
      </c>
      <c r="B11673" s="1" t="s">
        <v>11474</v>
      </c>
      <c r="C11673" t="str">
        <f>IFERROR(__xludf.DUMMYFUNCTION("GOOGLETRANSLATE(B11673, ""fr"", ""en"")"),"Beautiful Impeccable perfectly nice cut size")</f>
        <v>Beautiful Impeccable perfectly nice cut size</v>
      </c>
    </row>
    <row r="11674">
      <c r="A11674" s="1">
        <v>5.0</v>
      </c>
      <c r="B11674" s="1" t="s">
        <v>11475</v>
      </c>
      <c r="C11674" t="str">
        <f>IFERROR(__xludf.DUMMYFUNCTION("GOOGLETRANSLATE(B11674, ""fr"", ""en"")"),"I recommend After several attempts to bottle we find the brand that baby is suited to us too .... variable nipple ideal for baby, the form of the practice bibi for taking in hand ....")</f>
        <v>I recommend After several attempts to bottle we find the brand that baby is suited to us too .... variable nipple ideal for baby, the form of the practice bibi for taking in hand ....</v>
      </c>
    </row>
    <row r="11675">
      <c r="A11675" s="1">
        <v>5.0</v>
      </c>
      <c r="B11675" s="1" t="s">
        <v>11476</v>
      </c>
      <c r="C11675" t="str">
        <f>IFERROR(__xludf.DUMMYFUNCTION("GOOGLETRANSLATE(B11675, ""fr"", ""en"")"),"Sennheiser thank you for the quality! Super headset, Sennheiser will not disappoint apparently never me! He absolutely needed a Bluetooth headset and the one for me was the best Quality price! I recommand it ! Ps: noise reduction is not amazing but it did"&amp;" the trick")</f>
        <v>Sennheiser thank you for the quality! Super headset, Sennheiser will not disappoint apparently never me! He absolutely needed a Bluetooth headset and the one for me was the best Quality price! I recommand it ! Ps: noise reduction is not amazing but it did the trick</v>
      </c>
    </row>
    <row r="11676">
      <c r="A11676" s="1">
        <v>5.0</v>
      </c>
      <c r="B11676" s="1" t="s">
        <v>11477</v>
      </c>
      <c r="C11676" t="str">
        <f>IFERROR(__xludf.DUMMYFUNCTION("GOOGLETRANSLATE(B11676, ""fr"", ""en"")"),"Good resistance correct batteries that hold rather well in time. I recommend.")</f>
        <v>Good resistance correct batteries that hold rather well in time. I recommend.</v>
      </c>
    </row>
    <row r="11677">
      <c r="A11677" s="1">
        <v>5.0</v>
      </c>
      <c r="B11677" s="1" t="s">
        <v>11478</v>
      </c>
      <c r="C11677" t="str">
        <f>IFERROR(__xludf.DUMMYFUNCTION("GOOGLETRANSLATE(B11677, ""fr"", ""en"")"),"Patfait! Frankly nothing to tell you I highly recommend this product because it is easy to use, surtt practice when you have with you the good oils KIFF A TOTAL !! Aheter it!")</f>
        <v>Patfait! Frankly nothing to tell you I highly recommend this product because it is easy to use, surtt practice when you have with you the good oils KIFF A TOTAL !! Aheter it!</v>
      </c>
    </row>
    <row r="11678">
      <c r="A11678" s="1">
        <v>5.0</v>
      </c>
      <c r="B11678" s="1" t="s">
        <v>11479</v>
      </c>
      <c r="C11678" t="str">
        <f>IFERROR(__xludf.DUMMYFUNCTION("GOOGLETRANSLATE(B11678, ""fr"", ""en"")"),"Very good quality and great sound! 💪 The quality of these headphones at this price is disconcerting I had bought for my wife who is thrilled 💪💪💪 The choice of headsets is wide to fit the shape of your ear with a small cord that passes the stroke and u"&amp;"ses in order to not lose them. Also a small carrying bag of very good quality that even there is no sometimes with big brand headphones! Pairing is almost alone and recognition later is also easy! 😄")</f>
        <v>Very good quality and great sound! 💪 The quality of these headphones at this price is disconcerting I had bought for my wife who is thrilled 💪💪💪 The choice of headsets is wide to fit the shape of your ear with a small cord that passes the stroke and uses in order to not lose them. Also a small carrying bag of very good quality that even there is no sometimes with big brand headphones! Pairing is almost alone and recognition later is also easy! 😄</v>
      </c>
    </row>
    <row r="11679">
      <c r="A11679" s="1">
        <v>5.0</v>
      </c>
      <c r="B11679" s="1" t="s">
        <v>11480</v>
      </c>
      <c r="C11679" t="str">
        <f>IFERROR(__xludf.DUMMYFUNCTION("GOOGLETRANSLATE(B11679, ""fr"", ""en"")"),"Very good buy shoes conform. My daughter is thrilled !!!")</f>
        <v>Very good buy shoes conform. My daughter is thrilled !!!</v>
      </c>
    </row>
    <row r="11680">
      <c r="A11680" s="1">
        <v>5.0</v>
      </c>
      <c r="B11680" s="1" t="s">
        <v>11481</v>
      </c>
      <c r="C11680" t="str">
        <f>IFERROR(__xludf.DUMMYFUNCTION("GOOGLETRANSLATE(B11680, ""fr"", ""en"")"),"Over the top I do not usually write reviews but here I am completely satisfied, hence the 5 stars. The quality is exceptional for the price Headphones are easy to use and very practical with the magnets. I recommend 100%")</f>
        <v>Over the top I do not usually write reviews but here I am completely satisfied, hence the 5 stars. The quality is exceptional for the price Headphones are easy to use and very practical with the magnets. I recommend 100%</v>
      </c>
    </row>
    <row r="11681">
      <c r="A11681" s="1">
        <v>5.0</v>
      </c>
      <c r="B11681" s="1" t="s">
        <v>11482</v>
      </c>
      <c r="C11681" t="str">
        <f>IFERROR(__xludf.DUMMYFUNCTION("GOOGLETRANSLATE(B11681, ""fr"", ""en"")"),"Comfort Socks comforts, like sport, neither too thick nor too thin. The quality is there. Nothing more to say. .")</f>
        <v>Comfort Socks comforts, like sport, neither too thick nor too thin. The quality is there. Nothing more to say. .</v>
      </c>
    </row>
    <row r="11682">
      <c r="A11682" s="1">
        <v>5.0</v>
      </c>
      <c r="B11682" s="1" t="s">
        <v>11483</v>
      </c>
      <c r="C11682" t="str">
        <f>IFERROR(__xludf.DUMMYFUNCTION("GOOGLETRANSLATE(B11682, ""fr"", ""en"")"),"top hot but I took a lot less messy black than white. Make their effect at work. They are very light which count when it tramples all day, as comfortable in solid slippers, does not slip when the ground is a little wet. the only downside c 'which are hot "&amp;"to avoid the summer but for winter top ... too beautiful it + beautiful than the picture. I recommend this article")</f>
        <v>top hot but I took a lot less messy black than white. Make their effect at work. They are very light which count when it tramples all day, as comfortable in solid slippers, does not slip when the ground is a little wet. the only downside c 'which are hot to avoid the summer but for winter top ... too beautiful it + beautiful than the picture. I recommend this article</v>
      </c>
    </row>
    <row r="11683">
      <c r="A11683" s="1">
        <v>5.0</v>
      </c>
      <c r="B11683" s="1" t="s">
        <v>11484</v>
      </c>
      <c r="C11683" t="str">
        <f>IFERROR(__xludf.DUMMYFUNCTION("GOOGLETRANSLATE(B11683, ""fr"", ""en"")"),"Although Good size, nice shoes. I recently es door I can not tell whether in the long run it hard.")</f>
        <v>Although Good size, nice shoes. I recently es door I can not tell whether in the long run it hard.</v>
      </c>
    </row>
    <row r="11684">
      <c r="A11684" s="1">
        <v>2.0</v>
      </c>
      <c r="B11684" s="1" t="s">
        <v>11485</v>
      </c>
      <c r="C11684" t="str">
        <f>IFERROR(__xludf.DUMMYFUNCTION("GOOGLETRANSLATE(B11684, ""fr"", ""en"")"),"Disappointed The article does not correspond to the picture, I chose the sweet blue with red hood like the logo (the store has already deleted the photo) but the arrival hood is blue like the sweater. The sweet is good, but the imbalance of the model was "&amp;"very disappointing. They sent him without warning. I also do not like that the logo is not cloth but rubber. I expected better of the Levi's brand.")</f>
        <v>Disappointed The article does not correspond to the picture, I chose the sweet blue with red hood like the logo (the store has already deleted the photo) but the arrival hood is blue like the sweater. The sweet is good, but the imbalance of the model was very disappointing. They sent him without warning. I also do not like that the logo is not cloth but rubber. I expected better of the Levi's brand.</v>
      </c>
    </row>
    <row r="11685">
      <c r="A11685" s="1">
        <v>1.0</v>
      </c>
      <c r="B11685" s="1" t="s">
        <v>11486</v>
      </c>
      <c r="C11685" t="str">
        <f>IFERROR(__xludf.DUMMYFUNCTION("GOOGLETRANSLATE(B11685, ""fr"", ""en"")"),"SAV nothingness The product has arrived on time but not the right size I wrote 2 times without back from them ...")</f>
        <v>SAV nothingness The product has arrived on time but not the right size I wrote 2 times without back from them ...</v>
      </c>
    </row>
    <row r="11686">
      <c r="A11686" s="1">
        <v>3.0</v>
      </c>
      <c r="B11686" s="1" t="s">
        <v>11487</v>
      </c>
      <c r="C11686" t="str">
        <f>IFERROR(__xludf.DUMMYFUNCTION("GOOGLETRANSLATE(B11686, ""fr"", ""en"")"),"TBS Archer Trainer menswear - Black (Black 4824), 46 US Congratulations Amazon TBS Archer Trainer menswear - Black (Black 4824), I made an order in the city in July by getting them in September I told the saleswoman I have just had the commande..Il in 6 ?"&amp;"?? Yes but your husband eb size 46 I will have that on December 5 ... .We canceled and I ordered on a Friday and Saturday morning the driver rang the grid ... Bravo Amazon.")</f>
        <v>TBS Archer Trainer menswear - Black (Black 4824), 46 US Congratulations Amazon TBS Archer Trainer menswear - Black (Black 4824), I made an order in the city in July by getting them in September I told the saleswoman I have just had the commande..Il in 6 ??? Yes but your husband eb size 46 I will have that on December 5 ... .We canceled and I ordered on a Friday and Saturday morning the driver rang the grid ... Bravo Amazon.</v>
      </c>
    </row>
    <row r="11687">
      <c r="A11687" s="1">
        <v>3.0</v>
      </c>
      <c r="B11687" s="1" t="s">
        <v>11488</v>
      </c>
      <c r="C11687" t="str">
        <f>IFERROR(__xludf.DUMMYFUNCTION("GOOGLETRANSLATE(B11687, ""fr"", ""en"")"),"Means the tubular foot level metal components and plastic tubes Fear at joints of the foot.")</f>
        <v>Means the tubular foot level metal components and plastic tubes Fear at joints of the foot.</v>
      </c>
    </row>
    <row r="11688">
      <c r="A11688" s="1">
        <v>4.0</v>
      </c>
      <c r="B11688" s="1" t="s">
        <v>11489</v>
      </c>
      <c r="C11688" t="str">
        <f>IFERROR(__xludf.DUMMYFUNCTION("GOOGLETRANSLATE(B11688, ""fr"", ""en"")"),"good size well enough! resistant after several wash! personally I had bought to put at home, and frankly I even put out! good value for money.")</f>
        <v>good size well enough! resistant after several wash! personally I had bought to put at home, and frankly I even put out! good value for money.</v>
      </c>
    </row>
    <row r="11689">
      <c r="A11689" s="1">
        <v>4.0</v>
      </c>
      <c r="B11689" s="1" t="s">
        <v>11490</v>
      </c>
      <c r="C11689" t="str">
        <f>IFERROR(__xludf.DUMMYFUNCTION("GOOGLETRANSLATE(B11689, ""fr"", ""en"")"),"Order received as expected, product complies nothing to report except perhaps a bit short cable. Opt for longer whatever your installation. The product looks solid")</f>
        <v>Order received as expected, product complies nothing to report except perhaps a bit short cable. Opt for longer whatever your installation. The product looks solid</v>
      </c>
    </row>
    <row r="11690">
      <c r="A11690" s="1">
        <v>4.0</v>
      </c>
      <c r="B11690" s="1" t="s">
        <v>11491</v>
      </c>
      <c r="C11690" t="str">
        <f>IFERROR(__xludf.DUMMYFUNCTION("GOOGLETRANSLATE(B11690, ""fr"", ""en"")"),"Simple and convenient !! My son was thrilled and very comfortable")</f>
        <v>Simple and convenient !! My son was thrilled and very comfortable</v>
      </c>
    </row>
    <row r="11691">
      <c r="A11691" s="1">
        <v>4.0</v>
      </c>
      <c r="B11691" s="1" t="s">
        <v>11492</v>
      </c>
      <c r="C11691" t="str">
        <f>IFERROR(__xludf.DUMMYFUNCTION("GOOGLETRANSLATE(B11691, ""fr"", ""en"")"),"Cartridge Canon PG-540 XL product a bit expensive but very satisfying; I hope the XL cartridge will last much longer than the original. Generally Canon products are of excellent quality: here the quality is at the rendezvous, but the duration is really to"&amp;"o short. So I based all my hopes on this XL model for a better life: The printer manufacturers exaggerate: the machines are very expensive but not by the brand cartridges remain very expensive. Congratulations to Amazon for delivery of the package.")</f>
        <v>Cartridge Canon PG-540 XL product a bit expensive but very satisfying; I hope the XL cartridge will last much longer than the original. Generally Canon products are of excellent quality: here the quality is at the rendezvous, but the duration is really too short. So I based all my hopes on this XL model for a better life: The printer manufacturers exaggerate: the machines are very expensive but not by the brand cartridges remain very expensive. Congratulations to Amazon for delivery of the package.</v>
      </c>
    </row>
    <row r="11692">
      <c r="A11692" s="1">
        <v>5.0</v>
      </c>
      <c r="B11692" s="1" t="s">
        <v>11493</v>
      </c>
      <c r="C11692" t="str">
        <f>IFERROR(__xludf.DUMMYFUNCTION("GOOGLETRANSLATE(B11692, ""fr"", ""en"")"),"Size normally I'm happy with my purchase. The pants size well. The colors are consistent with the description. For a first purchase clothing I'm satisfied.")</f>
        <v>Size normally I'm happy with my purchase. The pants size well. The colors are consistent with the description. For a first purchase clothing I'm satisfied.</v>
      </c>
    </row>
    <row r="11693">
      <c r="A11693" s="1">
        <v>5.0</v>
      </c>
      <c r="B11693" s="1" t="s">
        <v>11494</v>
      </c>
      <c r="C11693" t="str">
        <f>IFERROR(__xludf.DUMMYFUNCTION("GOOGLETRANSLATE(B11693, ""fr"", ""en"")"),"Leggings Very much like leggings, not transparent, pleasant material")</f>
        <v>Leggings Very much like leggings, not transparent, pleasant material</v>
      </c>
    </row>
    <row r="11694">
      <c r="A11694" s="1">
        <v>5.0</v>
      </c>
      <c r="B11694" s="1" t="s">
        <v>11495</v>
      </c>
      <c r="C11694" t="str">
        <f>IFERROR(__xludf.DUMMYFUNCTION("GOOGLETRANSLATE(B11694, ""fr"", ""en"")"),"It's beautiful Top quality")</f>
        <v>It's beautiful Top quality</v>
      </c>
    </row>
    <row r="11695">
      <c r="A11695" s="1">
        <v>5.0</v>
      </c>
      <c r="B11695" s="1" t="s">
        <v>11496</v>
      </c>
      <c r="C11695" t="str">
        <f>IFERROR(__xludf.DUMMYFUNCTION("GOOGLETRANSLATE(B11695, ""fr"", ""en"")"),"Quality, refinement, country or rustic Very satisfied with the quality of the product. The labels are of the same color on the photo and really pretty. They are fine and strong and stand straight. Their diameter is about 4 cm (I do not have them in front "&amp;"of the eyes). I have used them as table placement, inserted into nametags (2 small cinnamon wood pieces assembled with the cord supplied with the labels). The cord is also fine and beautiful quality. It is rustic chic.")</f>
        <v>Quality, refinement, country or rustic Very satisfied with the quality of the product. The labels are of the same color on the photo and really pretty. They are fine and strong and stand straight. Their diameter is about 4 cm (I do not have them in front of the eyes). I have used them as table placement, inserted into nametags (2 small cinnamon wood pieces assembled with the cord supplied with the labels). The cord is also fine and beautiful quality. It is rustic chic.</v>
      </c>
    </row>
    <row r="11696">
      <c r="A11696" s="1">
        <v>5.0</v>
      </c>
      <c r="B11696" s="1" t="s">
        <v>11497</v>
      </c>
      <c r="C11696" t="str">
        <f>IFERROR(__xludf.DUMMYFUNCTION("GOOGLETRANSLATE(B11696, ""fr"", ""en"")"),"essential oil fragrance intense, I recommend using them in large spaced")</f>
        <v>essential oil fragrance intense, I recommend using them in large spaced</v>
      </c>
    </row>
    <row r="11697">
      <c r="A11697" s="1">
        <v>5.0</v>
      </c>
      <c r="B11697" s="1" t="s">
        <v>11498</v>
      </c>
      <c r="C11697" t="str">
        <f>IFERROR(__xludf.DUMMYFUNCTION("GOOGLETRANSLATE(B11697, ""fr"", ""en"")"),"Good socks unisex 🧦👍 Very good anti skid socks for sports practiced on mats like yoga, stretching and cardio. Slight contention at the nice calf, same at the foot of the plant. Received in black and white (predominantly black), they are unisex: basicall"&amp;"y I take a pair for yoga and cardio for Mr. indoors (yes, that is 🤷🏼♀️ socks). I play 37 and him 44 so much that it is extensible but once worn by 44 they will still be relaxed and less will go to smaller sizes. Non slip effect effective. Enough ""&amp; nbs"&amp;"p; &amp; nbsp beautiful;"" for 🧦 socks of this type. Price is in the standard. Received in a cardboard box: beware ⚠️ socks are held up and down by a sharp metal clip, remember to remove otherwise it stings when it is found at the bottom of the 😉 sock plus:"&amp;" L (for left = left in English) and R (right = right English) on socks because once they are brought still not bad the shape of the foot / calf so it's cool to always put at the foot of usual. We recommend 👍")</f>
        <v>Good socks unisex 🧦👍 Very good anti skid socks for sports practiced on mats like yoga, stretching and cardio. Slight contention at the nice calf, same at the foot of the plant. Received in black and white (predominantly black), they are unisex: basically I take a pair for yoga and cardio for Mr. indoors (yes, that is 🤷🏼♀️ socks). I play 37 and him 44 so much that it is extensible but once worn by 44 they will still be relaxed and less will go to smaller sizes. Non slip effect effective. Enough "&amp; nbsp; &amp; nbsp beautiful;" for 🧦 socks of this type. Price is in the standard. Received in a cardboard box: beware ⚠️ socks are held up and down by a sharp metal clip, remember to remove otherwise it stings when it is found at the bottom of the 😉 sock plus: L (for left = left in English) and R (right = right English) on socks because once they are brought still not bad the shape of the foot / calf so it's cool to always put at the foot of usual. We recommend 👍</v>
      </c>
    </row>
    <row r="11698">
      <c r="A11698" s="1">
        <v>5.0</v>
      </c>
      <c r="B11698" s="1" t="s">
        <v>11499</v>
      </c>
      <c r="C11698" t="str">
        <f>IFERROR(__xludf.DUMMYFUNCTION("GOOGLETRANSLATE(B11698, ""fr"", ""en"")"),"I took a perfect size below my usual size, it's perfect! I fear it is counterfeit considering the price but they were delivered in their original box and nothing suggests that these are false.")</f>
        <v>I took a perfect size below my usual size, it's perfect! I fear it is counterfeit considering the price but they were delivered in their original box and nothing suggests that these are false.</v>
      </c>
    </row>
    <row r="11699">
      <c r="A11699" s="1">
        <v>5.0</v>
      </c>
      <c r="B11699" s="1" t="s">
        <v>11500</v>
      </c>
      <c r="C11699" t="str">
        <f>IFERROR(__xludf.DUMMYFUNCTION("GOOGLETRANSLATE(B11699, ""fr"", ""en"")"),"cool very satisfied, matches the description")</f>
        <v>cool very satisfied, matches the description</v>
      </c>
    </row>
    <row r="11700">
      <c r="A11700" s="1">
        <v>5.0</v>
      </c>
      <c r="B11700" s="1" t="s">
        <v>11501</v>
      </c>
      <c r="C11700" t="str">
        <f>IFERROR(__xludf.DUMMYFUNCTION("GOOGLETRANSLATE(B11700, ""fr"", ""en"")"),"Good size no complaints Perfect excellent value")</f>
        <v>Good size no complaints Perfect excellent value</v>
      </c>
    </row>
    <row r="11701">
      <c r="A11701" s="1">
        <v>5.0</v>
      </c>
      <c r="B11701" s="1" t="s">
        <v>11502</v>
      </c>
      <c r="C11701" t="str">
        <f>IFERROR(__xludf.DUMMYFUNCTION("GOOGLETRANSLATE(B11701, ""fr"", ""en"")"),"Excellent product Absolutely no complaints. This is the third pair of Bluetooth headphones I buy And by far the best. Already the design of the box is really nice, very ergonomic. As a result the atria are the perfect size. The sound is very good and rang"&amp;"e / strength of the Bluetooth signal is absolutely great. Tested at home and in the subway on a journey of 40 minutes, no signal loss, little disturbed by outside noise. Value excellent. Not yet tested in running the atria but look well set ears.")</f>
        <v>Excellent product Absolutely no complaints. This is the third pair of Bluetooth headphones I buy And by far the best. Already the design of the box is really nice, very ergonomic. As a result the atria are the perfect size. The sound is very good and range / strength of the Bluetooth signal is absolutely great. Tested at home and in the subway on a journey of 40 minutes, no signal loss, little disturbed by outside noise. Value excellent. Not yet tested in running the atria but look well set ears.</v>
      </c>
    </row>
    <row r="11702">
      <c r="A11702" s="1">
        <v>5.0</v>
      </c>
      <c r="B11702" s="1" t="s">
        <v>11503</v>
      </c>
      <c r="C11702" t="str">
        <f>IFERROR(__xludf.DUMMYFUNCTION("GOOGLETRANSLATE(B11702, ""fr"", ""en"")"),"LEVIS T-shirt comfortable to wear; size and color matching my expectations. Very good value for money. I RECOMMEND THIS ARTICLE.")</f>
        <v>LEVIS T-shirt comfortable to wear; size and color matching my expectations. Very good value for money. I RECOMMEND THIS ARTICLE.</v>
      </c>
    </row>
    <row r="11703">
      <c r="A11703" s="1">
        <v>5.0</v>
      </c>
      <c r="B11703" s="1" t="s">
        <v>11504</v>
      </c>
      <c r="C11703" t="str">
        <f>IFERROR(__xludf.DUMMYFUNCTION("GOOGLETRANSLATE(B11703, ""fr"", ""en"")"),"Top This is my third order of this still very satisfactory. Quality, delivery, price everything is there. I recommend without hesitation")</f>
        <v>Top This is my third order of this still very satisfactory. Quality, delivery, price everything is there. I recommend without hesitation</v>
      </c>
    </row>
    <row r="11704">
      <c r="A11704" s="1">
        <v>5.0</v>
      </c>
      <c r="B11704" s="1" t="s">
        <v>11505</v>
      </c>
      <c r="C11704" t="str">
        <f>IFERROR(__xludf.DUMMYFUNCTION("GOOGLETRANSLATE(B11704, ""fr"", ""en"")"),"Top Very comfortable.")</f>
        <v>Top Very comfortable.</v>
      </c>
    </row>
    <row r="11705">
      <c r="A11705" s="1">
        <v>5.0</v>
      </c>
      <c r="B11705" s="1" t="s">
        <v>11506</v>
      </c>
      <c r="C11705" t="str">
        <f>IFERROR(__xludf.DUMMYFUNCTION("GOOGLETRANSLATE(B11705, ""fr"", ""en"")"),"Fast and efficient Ultra efficient. My shoes shine like new !! Warning, this is not done to rejuvenate but remove everyday dirt")</f>
        <v>Fast and efficient Ultra efficient. My shoes shine like new !! Warning, this is not done to rejuvenate but remove everyday dirt</v>
      </c>
    </row>
    <row r="11706">
      <c r="A11706" s="1">
        <v>5.0</v>
      </c>
      <c r="B11706" s="1" t="s">
        <v>11507</v>
      </c>
      <c r="C11706" t="str">
        <f>IFERROR(__xludf.DUMMYFUNCTION("GOOGLETRANSLATE(B11706, ""fr"", ""en"")"),"Sandal Good products")</f>
        <v>Sandal Good products</v>
      </c>
    </row>
    <row r="11707">
      <c r="A11707" s="1">
        <v>2.0</v>
      </c>
      <c r="B11707" s="1" t="s">
        <v>11508</v>
      </c>
      <c r="C11707" t="str">
        <f>IFERROR(__xludf.DUMMYFUNCTION("GOOGLETRANSLATE(B11707, ""fr"", ""en"")"),"Bad ... Pictures give an impression far more 'chic' of this watch, probably psychologically reinforced with a price of more than 100 euros barred. The packaging is fairly light cardboard, small cloth bright orange scratched horribly, and the watch does no"&amp;"t stop notch and so is already running (usually the quality of new watches have a sytem to avoid blocking 'user battery unnecessarily). The Benyar mark (not Bersigar!) Is written in big letters on the bracelet, that's a shame because the bracelet is nice "&amp;"and genuine leather.")</f>
        <v>Bad ... Pictures give an impression far more 'chic' of this watch, probably psychologically reinforced with a price of more than 100 euros barred. The packaging is fairly light cardboard, small cloth bright orange scratched horribly, and the watch does not stop notch and so is already running (usually the quality of new watches have a sytem to avoid blocking 'user battery unnecessarily). The Benyar mark (not Bersigar!) Is written in big letters on the bracelet, that's a shame because the bracelet is nice and genuine leather.</v>
      </c>
    </row>
    <row r="11708">
      <c r="A11708" s="1">
        <v>1.0</v>
      </c>
      <c r="B11708" s="1" t="s">
        <v>11509</v>
      </c>
      <c r="C11708" t="str">
        <f>IFERROR(__xludf.DUMMYFUNCTION("GOOGLETRANSLATE(B11708, ""fr"", ""en"")"),"Exceptional Value - Defaulting by the second use! A laser spot very powerful (By far the best all the ones I used to date). ultra fast delivery. And above all it is light, compact, and remote PC over 25 meters (theoretically, but I have not tested). Only "&amp;"concern: think of the charge ... Two hours for full charge. Otherwise impossible to put batteries ... Unfortunately, from my second use, three months after the first: nothing works except the laser! it is expensive for a laser pointer. I check if the warr"&amp;"anty is still working.")</f>
        <v>Exceptional Value - Defaulting by the second use! A laser spot very powerful (By far the best all the ones I used to date). ultra fast delivery. And above all it is light, compact, and remote PC over 25 meters (theoretically, but I have not tested). Only concern: think of the charge ... Two hours for full charge. Otherwise impossible to put batteries ... Unfortunately, from my second use, three months after the first: nothing works except the laser! it is expensive for a laser pointer. I check if the warranty is still working.</v>
      </c>
    </row>
    <row r="11709">
      <c r="A11709" s="1">
        <v>1.0</v>
      </c>
      <c r="B11709" s="1" t="s">
        <v>11510</v>
      </c>
      <c r="C11709" t="str">
        <f>IFERROR(__xludf.DUMMYFUNCTION("GOOGLETRANSLATE(B11709, ""fr"", ""en"")"),"Bracelet fragile Very disappointed in this product, the small bars holding the bracelet the watch are twisted, and suddenly forced to go to the jeweler, and two days after the change here is the bracelet breaks ...")</f>
        <v>Bracelet fragile Very disappointed in this product, the small bars holding the bracelet the watch are twisted, and suddenly forced to go to the jeweler, and two days after the change here is the bracelet breaks ...</v>
      </c>
    </row>
    <row r="11710">
      <c r="A11710" s="1">
        <v>3.0</v>
      </c>
      <c r="B11710" s="1" t="s">
        <v>11511</v>
      </c>
      <c r="C11710" t="str">
        <f>IFERROR(__xludf.DUMMYFUNCTION("GOOGLETRANSLATE(B11710, ""fr"", ""en"")"),"sweat pants comfortable good product but a large can")</f>
        <v>sweat pants comfortable good product but a large can</v>
      </c>
    </row>
    <row r="11711">
      <c r="A11711" s="1">
        <v>4.0</v>
      </c>
      <c r="B11711" s="1" t="s">
        <v>11512</v>
      </c>
      <c r="C11711" t="str">
        <f>IFERROR(__xludf.DUMMYFUNCTION("GOOGLETRANSLATE(B11711, ""fr"", ""en"")"),"socks for gym quite satisfied with this product, comfortable and antidérapante.ces socks are great for the gym. pilates and other sports ground")</f>
        <v>socks for gym quite satisfied with this product, comfortable and antidérapante.ces socks are great for the gym. pilates and other sports ground</v>
      </c>
    </row>
    <row r="11712">
      <c r="A11712" s="1">
        <v>4.0</v>
      </c>
      <c r="B11712" s="1" t="s">
        <v>11513</v>
      </c>
      <c r="C11712" t="str">
        <f>IFERROR(__xludf.DUMMYFUNCTION("GOOGLETRANSLATE(B11712, ""fr"", ""en"")"),"handy very useful product, cleanliness, freshness, but it lacks a dispenser box, I adopted an airtight box that closes with content Pampers wipes is ideal, Lotus wipes remain wet well, they are delivered in difficult to open packaging, and more becomes bl"&amp;"ocked again after three times, a real stew.")</f>
        <v>handy very useful product, cleanliness, freshness, but it lacks a dispenser box, I adopted an airtight box that closes with content Pampers wipes is ideal, Lotus wipes remain wet well, they are delivered in difficult to open packaging, and more becomes blocked again after three times, a real stew.</v>
      </c>
    </row>
    <row r="11713">
      <c r="A11713" s="1">
        <v>4.0</v>
      </c>
      <c r="B11713" s="1" t="s">
        <v>11514</v>
      </c>
      <c r="C11713" t="str">
        <f>IFERROR(__xludf.DUMMYFUNCTION("GOOGLETRANSLATE(B11713, ""fr"", ""en"")"),"Compliant Compliant, varied colors and friendly, pots of proper capacity for longevity, child friendly as can be cleaned with water, ideal for DIY jobs and hobby")</f>
        <v>Compliant Compliant, varied colors and friendly, pots of proper capacity for longevity, child friendly as can be cleaned with water, ideal for DIY jobs and hobby</v>
      </c>
    </row>
    <row r="11714">
      <c r="A11714" s="1">
        <v>4.0</v>
      </c>
      <c r="B11714" s="1" t="s">
        <v>11515</v>
      </c>
      <c r="C11714" t="str">
        <f>IFERROR(__xludf.DUMMYFUNCTION("GOOGLETRANSLATE(B11714, ""fr"", ""en"")"),"Pleasant! J'adore! Like hot several hours and very pampering")</f>
        <v>Pleasant! J'adore! Like hot several hours and very pampering</v>
      </c>
    </row>
    <row r="11715">
      <c r="A11715" s="1">
        <v>4.0</v>
      </c>
      <c r="B11715" s="1" t="s">
        <v>11516</v>
      </c>
      <c r="C11715" t="str">
        <f>IFERROR(__xludf.DUMMYFUNCTION("GOOGLETRANSLATE(B11715, ""fr"", ""en"")"),"The quality is good, but I find they rise too high anyway, happy overall for 2 or 3 months")</f>
        <v>The quality is good, but I find they rise too high anyway, happy overall for 2 or 3 months</v>
      </c>
    </row>
    <row r="11716">
      <c r="A11716" s="1">
        <v>5.0</v>
      </c>
      <c r="B11716" s="1" t="s">
        <v>11517</v>
      </c>
      <c r="C11716" t="str">
        <f>IFERROR(__xludf.DUMMYFUNCTION("GOOGLETRANSLATE(B11716, ""fr"", ""en"")"),"Perfect Pleased with my purchase")</f>
        <v>Perfect Pleased with my purchase</v>
      </c>
    </row>
    <row r="11717">
      <c r="A11717" s="1">
        <v>5.0</v>
      </c>
      <c r="B11717" s="1" t="s">
        <v>11518</v>
      </c>
      <c r="C11717" t="str">
        <f>IFERROR(__xludf.DUMMYFUNCTION("GOOGLETRANSLATE(B11717, ""fr"", ""en"")"),"I love beads I love pearls, she arrived very quickly and I loved the packaging and the information on the stones. I very much hope that the bracelet will last a long time because of the elastic cord. Thank you.")</f>
        <v>I love beads I love pearls, she arrived very quickly and I loved the packaging and the information on the stones. I very much hope that the bracelet will last a long time because of the elastic cord. Thank you.</v>
      </c>
    </row>
    <row r="11718">
      <c r="A11718" s="1">
        <v>5.0</v>
      </c>
      <c r="B11718" s="1" t="s">
        <v>11519</v>
      </c>
      <c r="C11718" t="str">
        <f>IFERROR(__xludf.DUMMYFUNCTION("GOOGLETRANSLATE(B11718, ""fr"", ""en"")"),"Order your eyes closed! Product according to the picture. Very nice, this watch is time for both women and men. Moreover it is discreet, I was afraid that it is too big. The bracelet looks solid but I read some reviews that said the bracelet was pretty fr"&amp;"agile but for the price you will not quibble. After my order (almost 1 year) I remain very satisfied, the watch is very strong and the bracelet is intact when I wear it quite often. I'm so glad I ordered it for my brother for Christmas. Also I am pleasant"&amp;"ly surprised as I was to receive the 29/12 and I received 19! Perfect timing for it to be under the tree. I recommend this product to 100%, you can ordered closed eyes.")</f>
        <v>Order your eyes closed! Product according to the picture. Very nice, this watch is time for both women and men. Moreover it is discreet, I was afraid that it is too big. The bracelet looks solid but I read some reviews that said the bracelet was pretty fragile but for the price you will not quibble. After my order (almost 1 year) I remain very satisfied, the watch is very strong and the bracelet is intact when I wear it quite often. I'm so glad I ordered it for my brother for Christmas. Also I am pleasantly surprised as I was to receive the 29/12 and I received 19! Perfect timing for it to be under the tree. I recommend this product to 100%, you can ordered closed eyes.</v>
      </c>
    </row>
    <row r="11719">
      <c r="A11719" s="1">
        <v>5.0</v>
      </c>
      <c r="B11719" s="1" t="s">
        <v>11520</v>
      </c>
      <c r="C11719" t="str">
        <f>IFERROR(__xludf.DUMMYFUNCTION("GOOGLETRANSLATE(B11719, ""fr"", ""en"")"),"Happiness ! Purchased for my children, perfect! they are excited to slip in a warm bed. I unplug once they are lying.")</f>
        <v>Happiness ! Purchased for my children, perfect! they are excited to slip in a warm bed. I unplug once they are lying.</v>
      </c>
    </row>
    <row r="11720">
      <c r="A11720" s="1">
        <v>5.0</v>
      </c>
      <c r="B11720" s="1" t="s">
        <v>11521</v>
      </c>
      <c r="C11720" t="str">
        <f>IFERROR(__xludf.DUMMYFUNCTION("GOOGLETRANSLATE(B11720, ""fr"", ""en"")"),"Reveil light device very comfortable to use and consistent with the description. We wake up every morning in a good mood with her.")</f>
        <v>Reveil light device very comfortable to use and consistent with the description. We wake up every morning in a good mood with her.</v>
      </c>
    </row>
    <row r="11721">
      <c r="A11721" s="1">
        <v>5.0</v>
      </c>
      <c r="B11721" s="1" t="s">
        <v>11522</v>
      </c>
      <c r="C11721" t="str">
        <f>IFERROR(__xludf.DUMMYFUNCTION("GOOGLETRANSLATE(B11721, ""fr"", ""en"")"),"Perfect for the price Good cable and super competitive price. Very fast delivery")</f>
        <v>Perfect for the price Good cable and super competitive price. Very fast delivery</v>
      </c>
    </row>
    <row r="11722">
      <c r="A11722" s="1">
        <v>5.0</v>
      </c>
      <c r="B11722" s="1" t="s">
        <v>11523</v>
      </c>
      <c r="C11722" t="str">
        <f>IFERROR(__xludf.DUMMYFUNCTION("GOOGLETRANSLATE(B11722, ""fr"", ""en"")"),"Very good quality! Received as a gift and very satisfied! Comfortable to wear, good quality.")</f>
        <v>Very good quality! Received as a gift and very satisfied! Comfortable to wear, good quality.</v>
      </c>
    </row>
    <row r="11723">
      <c r="A11723" s="1">
        <v>5.0</v>
      </c>
      <c r="B11723" s="1" t="s">
        <v>11524</v>
      </c>
      <c r="C11723" t="str">
        <f>IFERROR(__xludf.DUMMYFUNCTION("GOOGLETRANSLATE(B11723, ""fr"", ""en"")"),"Comfort and 10 years for me to put on Easy")</f>
        <v>Comfort and 10 years for me to put on Easy</v>
      </c>
    </row>
    <row r="11724">
      <c r="A11724" s="1">
        <v>5.0</v>
      </c>
      <c r="B11724" s="1" t="s">
        <v>1547</v>
      </c>
      <c r="C11724" t="str">
        <f>IFERROR(__xludf.DUMMYFUNCTION("GOOGLETRANSLATE(B11724, ""fr"", ""en"")"),"Ras Ras")</f>
        <v>Ras Ras</v>
      </c>
    </row>
    <row r="11725">
      <c r="A11725" s="1">
        <v>5.0</v>
      </c>
      <c r="B11725" s="1" t="s">
        <v>11525</v>
      </c>
      <c r="C11725" t="str">
        <f>IFERROR(__xludf.DUMMYFUNCTION("GOOGLETRANSLATE(B11725, ""fr"", ""en"")"),"Excellent Excellent product, to see the long term")</f>
        <v>Excellent Excellent product, to see the long term</v>
      </c>
    </row>
    <row r="11726">
      <c r="A11726" s="1">
        <v>5.0</v>
      </c>
      <c r="B11726" s="1" t="s">
        <v>11526</v>
      </c>
      <c r="C11726" t="str">
        <f>IFERROR(__xludf.DUMMYFUNCTION("GOOGLETRANSLATE(B11726, ""fr"", ""en"")"),"Perfect for work long hours standing Very satisfied. I was afraid they are a bit big but spotless. Very comfortable when working long hours standing and laces system is very convenient, just put on.")</f>
        <v>Perfect for work long hours standing Very satisfied. I was afraid they are a bit big but spotless. Very comfortable when working long hours standing and laces system is very convenient, just put on.</v>
      </c>
    </row>
    <row r="11727">
      <c r="A11727" s="1">
        <v>5.0</v>
      </c>
      <c r="B11727" s="1" t="s">
        <v>11527</v>
      </c>
      <c r="C11727" t="str">
        <f>IFERROR(__xludf.DUMMYFUNCTION("GOOGLETRANSLATE(B11727, ""fr"", ""en"")"),"This is the top of waiting Christmas with Sami and julie Great for my son who is in the beginning of CE1 and hates to read. For this period just before Christmas the level 2 child cp will struggle to read it alone. But with help parents early it will go a"&amp;"lone. So in short this book is perfect for a bad ce1 player and a very good PC drive. Anyway when it comes to Christmas, the children love.")</f>
        <v>This is the top of waiting Christmas with Sami and julie Great for my son who is in the beginning of CE1 and hates to read. For this period just before Christmas the level 2 child cp will struggle to read it alone. But with help parents early it will go alone. So in short this book is perfect for a bad ce1 player and a very good PC drive. Anyway when it comes to Christmas, the children love.</v>
      </c>
    </row>
    <row r="11728">
      <c r="A11728" s="1">
        <v>5.0</v>
      </c>
      <c r="B11728" s="1" t="s">
        <v>6638</v>
      </c>
      <c r="C11728" t="str">
        <f>IFERROR(__xludf.DUMMYFUNCTION("GOOGLETRANSLATE(B11728, ""fr"", ""en"")"),"Product in accordance product according")</f>
        <v>Product in accordance product according</v>
      </c>
    </row>
    <row r="11729">
      <c r="A11729" s="1">
        <v>5.0</v>
      </c>
      <c r="B11729" s="1" t="s">
        <v>11528</v>
      </c>
      <c r="C11729" t="str">
        <f>IFERROR(__xludf.DUMMYFUNCTION("GOOGLETRANSLATE(B11729, ""fr"", ""en"")"),"Excellent product Lightweight, breathable and particularly comfortable. Size consistent, which is not always the case for this brand.")</f>
        <v>Excellent product Lightweight, breathable and particularly comfortable. Size consistent, which is not always the case for this brand.</v>
      </c>
    </row>
    <row r="11730">
      <c r="A11730" s="1">
        <v>5.0</v>
      </c>
      <c r="B11730" s="1" t="s">
        <v>11529</v>
      </c>
      <c r="C11730" t="str">
        <f>IFERROR(__xludf.DUMMYFUNCTION("GOOGLETRANSLATE(B11730, ""fr"", ""en"")"),"Perfect Perfect for a moment of relaxation or to ease an aching back!")</f>
        <v>Perfect Perfect for a moment of relaxation or to ease an aching back!</v>
      </c>
    </row>
    <row r="11731">
      <c r="A11731" s="1">
        <v>2.0</v>
      </c>
      <c r="B11731" s="1" t="s">
        <v>11530</v>
      </c>
      <c r="C11731" t="str">
        <f>IFERROR(__xludf.DUMMYFUNCTION("GOOGLETRANSLATE(B11731, ""fr"", ""en"")"),"Paper Lotus onérus. Bjr, issue paper nothing wrong, but frankly issue price he is growing. It is now most expensive in the stores so interesting + all.")</f>
        <v>Paper Lotus onérus. Bjr, issue paper nothing wrong, but frankly issue price he is growing. It is now most expensive in the stores so interesting + all.</v>
      </c>
    </row>
    <row r="11732">
      <c r="A11732" s="1">
        <v>1.0</v>
      </c>
      <c r="B11732" s="1" t="s">
        <v>11531</v>
      </c>
      <c r="C11732" t="str">
        <f>IFERROR(__xludf.DUMMYFUNCTION("GOOGLETRANSLATE(B11732, ""fr"", ""en"")"),"No, objectively I went to see the film during its theatrical release, without expecting much, and really well done. First of all I want to emphasize that I love beautiful cars, and the rest concerned, but then I found distressing ca. First tuning the same"&amp;" spirit present in this film is pitiful, cars decoration is not bad but not out of the ordinary, so unremarkable. But then what about the scenario ... well nothing, yet it would take, ""Show me your good conduct and I pay you"", I have summarized the movi"&amp;"e! The first game was at least one new type appearance, but it would have been better never go out! I put 1 star just for daring producers who dare to leave the DVD (and apparently it works ...)")</f>
        <v>No, objectively I went to see the film during its theatrical release, without expecting much, and really well done. First of all I want to emphasize that I love beautiful cars, and the rest concerned, but then I found distressing ca. First tuning the same spirit present in this film is pitiful, cars decoration is not bad but not out of the ordinary, so unremarkable. But then what about the scenario ... well nothing, yet it would take, "Show me your good conduct and I pay you", I have summarized the movie! The first game was at least one new type appearance, but it would have been better never go out! I put 1 star just for daring producers who dare to leave the DVD (and apparently it works ...)</v>
      </c>
    </row>
    <row r="11733">
      <c r="A11733" s="1">
        <v>3.0</v>
      </c>
      <c r="B11733" s="1" t="s">
        <v>11532</v>
      </c>
      <c r="C11733" t="str">
        <f>IFERROR(__xludf.DUMMYFUNCTION("GOOGLETRANSLATE(B11733, ""fr"", ""en"")"),"Pretty maroon sweat shirt hoodie, color matches the picture. I ordered it for my little girl apparently good size to see and use")</f>
        <v>Pretty maroon sweat shirt hoodie, color matches the picture. I ordered it for my little girl apparently good size to see and use</v>
      </c>
    </row>
    <row r="11734">
      <c r="A11734" s="1">
        <v>3.0</v>
      </c>
      <c r="B11734" s="1" t="s">
        <v>11533</v>
      </c>
      <c r="C11734" t="str">
        <f>IFERROR(__xludf.DUMMYFUNCTION("GOOGLETRANSLATE(B11734, ""fr"", ""en"")"),"difficult to light The product was delivered perfectly on time but the button ""MIST"" that can turn it malfunctions or so I missed something because I have to support a hundred times over before the broadcaster did put on the way. But when it works it's "&amp;"perfect, haze is visible and it's very nice. If the ignition problem persists I will surely return the product, it may be faulty.")</f>
        <v>difficult to light The product was delivered perfectly on time but the button "MIST" that can turn it malfunctions or so I missed something because I have to support a hundred times over before the broadcaster did put on the way. But when it works it's perfect, haze is visible and it's very nice. If the ignition problem persists I will surely return the product, it may be faulty.</v>
      </c>
    </row>
    <row r="11735">
      <c r="A11735" s="1">
        <v>3.0</v>
      </c>
      <c r="B11735" s="1" t="s">
        <v>11534</v>
      </c>
      <c r="C11735" t="str">
        <f>IFERROR(__xludf.DUMMYFUNCTION("GOOGLETRANSLATE(B11735, ""fr"", ""en"")"),"Ink / Toner After several cleanings buses- remaining traces WHITE BK in the area of ​​the test sheet (medium) What to do with old cartridges? (Backgrounds supplied with the machine when buying) Cdrlt")</f>
        <v>Ink / Toner After several cleanings buses- remaining traces WHITE BK in the area of ​​the test sheet (medium) What to do with old cartridges? (Backgrounds supplied with the machine when buying) Cdrlt</v>
      </c>
    </row>
    <row r="11736">
      <c r="A11736" s="1">
        <v>4.0</v>
      </c>
      <c r="B11736" s="1" t="s">
        <v>11535</v>
      </c>
      <c r="C11736" t="str">
        <f>IFERROR(__xludf.DUMMYFUNCTION("GOOGLETRANSLATE(B11736, ""fr"", ""en"")"),"charger Lavolta For a reasonable price it corresponds to what I need, Operation is simple and effective, a good buy, Perfect Service Amazon")</f>
        <v>charger Lavolta For a reasonable price it corresponds to what I need, Operation is simple and effective, a good buy, Perfect Service Amazon</v>
      </c>
    </row>
    <row r="11737">
      <c r="A11737" s="1">
        <v>4.0</v>
      </c>
      <c r="B11737" s="1" t="s">
        <v>11536</v>
      </c>
      <c r="C11737" t="str">
        <f>IFERROR(__xludf.DUMMYFUNCTION("GOOGLETRANSLATE(B11737, ""fr"", ""en"")"),"Vans Footwear is very hard to walk first. Eventually she becomes more comfortable. This is a basic model that is worn with many different outfit and style.")</f>
        <v>Vans Footwear is very hard to walk first. Eventually she becomes more comfortable. This is a basic model that is worn with many different outfit and style.</v>
      </c>
    </row>
    <row r="11738">
      <c r="A11738" s="1">
        <v>4.0</v>
      </c>
      <c r="B11738" s="1" t="s">
        <v>11537</v>
      </c>
      <c r="C11738" t="str">
        <f>IFERROR(__xludf.DUMMYFUNCTION("GOOGLETRANSLATE(B11738, ""fr"", ""en"")"),"J adore Warm and soft on the inside, beautiful on the outside, good size, very tolerant washes")</f>
        <v>J adore Warm and soft on the inside, beautiful on the outside, good size, very tolerant washes</v>
      </c>
    </row>
    <row r="11739">
      <c r="A11739" s="1">
        <v>4.0</v>
      </c>
      <c r="B11739" s="1" t="s">
        <v>11538</v>
      </c>
      <c r="C11739" t="str">
        <f>IFERROR(__xludf.DUMMYFUNCTION("GOOGLETRANSLATE(B11739, ""fr"", ""en"")"),"Same as the original correct shipping in 3 days and indentique model for the original model XP528 Krups dance my case. Taste and level dez foam coffee has complied my expectations.")</f>
        <v>Same as the original correct shipping in 3 days and indentique model for the original model XP528 Krups dance my case. Taste and level dez foam coffee has complied my expectations.</v>
      </c>
    </row>
    <row r="11740">
      <c r="A11740" s="1">
        <v>5.0</v>
      </c>
      <c r="B11740" s="1" t="s">
        <v>11539</v>
      </c>
      <c r="C11740" t="str">
        <f>IFERROR(__xludf.DUMMYFUNCTION("GOOGLETRANSLATE(B11740, ""fr"", ""en"")"),"essential for any good DIY")</f>
        <v>essential for any good DIY</v>
      </c>
    </row>
    <row r="11741">
      <c r="A11741" s="1">
        <v>5.0</v>
      </c>
      <c r="B11741" s="1" t="s">
        <v>11540</v>
      </c>
      <c r="C11741" t="str">
        <f>IFERROR(__xludf.DUMMYFUNCTION("GOOGLETRANSLATE(B11741, ""fr"", ""en"")"),"Very satisfied ! I am very satisfied! They are great! .The design is perfect, the sound is very good, the connection is fast and stable.Surtout, the charging case is very intonation and practice, not great, very portable. Very good product its many great "&amp;"autonomy and fast charge allows listening to music at work discreetly to the small size they keep very well in the ear! Especially it is automatic link!")</f>
        <v>Very satisfied ! I am very satisfied! They are great! .The design is perfect, the sound is very good, the connection is fast and stable.Surtout, the charging case is very intonation and practice, not great, very portable. Very good product its many great autonomy and fast charge allows listening to music at work discreetly to the small size they keep very well in the ear! Especially it is automatic link!</v>
      </c>
    </row>
    <row r="11742">
      <c r="A11742" s="1">
        <v>5.0</v>
      </c>
      <c r="B11742" s="1" t="s">
        <v>11541</v>
      </c>
      <c r="C11742" t="str">
        <f>IFERROR(__xludf.DUMMYFUNCTION("GOOGLETRANSLATE(B11742, ""fr"", ""en"")"),"good product content of the product, I use it for my dolly upright vacuum cleaner")</f>
        <v>good product content of the product, I use it for my dolly upright vacuum cleaner</v>
      </c>
    </row>
    <row r="11743">
      <c r="A11743" s="1">
        <v>5.0</v>
      </c>
      <c r="B11743" s="1" t="s">
        <v>11542</v>
      </c>
      <c r="C11743" t="str">
        <f>IFERROR(__xludf.DUMMYFUNCTION("GOOGLETRANSLATE(B11743, ""fr"", ""en"")"),"Nothing wrong with this teapot is perfect, good size, tea or herbal tea and the contents remain hot long enough. I have bought 2 to offer.")</f>
        <v>Nothing wrong with this teapot is perfect, good size, tea or herbal tea and the contents remain hot long enough. I have bought 2 to offer.</v>
      </c>
    </row>
    <row r="11744">
      <c r="A11744" s="1">
        <v>5.0</v>
      </c>
      <c r="B11744" s="1" t="s">
        <v>11543</v>
      </c>
      <c r="C11744" t="str">
        <f>IFERROR(__xludf.DUMMYFUNCTION("GOOGLETRANSLATE(B11744, ""fr"", ""en"")"),"Super microphone microphone I took this as a gift for my nephew he loved it very easy to use, it is powerful and the sound is very intense There are several buttons to adapt to use and adjust the volume as the colors are consistent with photo and can be f"&amp;"or boys or girls packaging is also good and showcases cadeah")</f>
        <v>Super microphone microphone I took this as a gift for my nephew he loved it very easy to use, it is powerful and the sound is very intense There are several buttons to adapt to use and adjust the volume as the colors are consistent with photo and can be for boys or girls packaging is also good and showcases cadeah</v>
      </c>
    </row>
    <row r="11745">
      <c r="A11745" s="1">
        <v>5.0</v>
      </c>
      <c r="B11745" s="1" t="s">
        <v>11544</v>
      </c>
      <c r="C11745" t="str">
        <f>IFERROR(__xludf.DUMMYFUNCTION("GOOGLETRANSLATE(B11745, ""fr"", ""en"")"),"Purchase very satisfying product easy to use and that is exactly what he has to do. manufacturing quality and all very inexpensive.")</f>
        <v>Purchase very satisfying product easy to use and that is exactly what he has to do. manufacturing quality and all very inexpensive.</v>
      </c>
    </row>
    <row r="11746">
      <c r="A11746" s="1">
        <v>5.0</v>
      </c>
      <c r="B11746" s="1" t="s">
        <v>11545</v>
      </c>
      <c r="C11746" t="str">
        <f>IFERROR(__xludf.DUMMYFUNCTION("GOOGLETRANSLATE(B11746, ""fr"", ""en"")"),"Puma Sweden purple For years I only takes pumas Sweden and the color one. unbeatable offer !!! 22euros the pair. What could be better ? 😊")</f>
        <v>Puma Sweden purple For years I only takes pumas Sweden and the color one. unbeatable offer !!! 22euros the pair. What could be better ? 😊</v>
      </c>
    </row>
    <row r="11747">
      <c r="A11747" s="1">
        <v>5.0</v>
      </c>
      <c r="B11747" s="1" t="s">
        <v>11546</v>
      </c>
      <c r="C11747" t="str">
        <f>IFERROR(__xludf.DUMMYFUNCTION("GOOGLETRANSLATE(B11747, ""fr"", ""en"")"),"a must for history caps Solid tray, accurate, value for money, in short everything you asked! Is useful for the story of bin geo among others")</f>
        <v>a must for history caps Solid tray, accurate, value for money, in short everything you asked! Is useful for the story of bin geo among others</v>
      </c>
    </row>
    <row r="11748">
      <c r="A11748" s="1">
        <v>5.0</v>
      </c>
      <c r="B11748" s="1" t="s">
        <v>11547</v>
      </c>
      <c r="C11748" t="str">
        <f>IFERROR(__xludf.DUMMYFUNCTION("GOOGLETRANSLATE(B11748, ""fr"", ""en"")"),"Beautiful coat Beautiful coat ideal for mid season it is a bit warm, well-cut. It easily worn with a sweater underneath if needed. I also like the fact that there is a hood. Very good value for money (because not very expensive for a coat)! I had no coat "&amp;"mid season I am happy!")</f>
        <v>Beautiful coat Beautiful coat ideal for mid season it is a bit warm, well-cut. It easily worn with a sweater underneath if needed. I also like the fact that there is a hood. Very good value for money (because not very expensive for a coat)! I had no coat mid season I am happy!</v>
      </c>
    </row>
    <row r="11749">
      <c r="A11749" s="1">
        <v>5.0</v>
      </c>
      <c r="B11749" s="1" t="s">
        <v>11548</v>
      </c>
      <c r="C11749" t="str">
        <f>IFERROR(__xludf.DUMMYFUNCTION("GOOGLETRANSLATE(B11749, ""fr"", ""en"")"),"Nickel Bought to replace a foldable Sony headset (like this), one ear had dropped. This one is more comfortable and the sound is niquel. I would rather be isolated from ambient noise but for the price it is really great! I recommend :)")</f>
        <v>Nickel Bought to replace a foldable Sony headset (like this), one ear had dropped. This one is more comfortable and the sound is niquel. I would rather be isolated from ambient noise but for the price it is really great! I recommend :)</v>
      </c>
    </row>
    <row r="11750">
      <c r="A11750" s="1">
        <v>5.0</v>
      </c>
      <c r="B11750" s="1" t="s">
        <v>11549</v>
      </c>
      <c r="C11750" t="str">
        <f>IFERROR(__xludf.DUMMYFUNCTION("GOOGLETRANSLATE(B11750, ""fr"", ""en"")"),"I recommend perfect perfect")</f>
        <v>I recommend perfect perfect</v>
      </c>
    </row>
    <row r="11751">
      <c r="A11751" s="1">
        <v>5.0</v>
      </c>
      <c r="B11751" s="1" t="s">
        <v>11550</v>
      </c>
      <c r="C11751" t="str">
        <f>IFERROR(__xludf.DUMMYFUNCTION("GOOGLETRANSLATE(B11751, ""fr"", ""en"")"),"Delighted and not disappointed They are very comfortable and légère.je am delighted with my purchase. Jai took the black. The material is nice. I recommend them.")</f>
        <v>Delighted and not disappointed They are very comfortable and légère.je am delighted with my purchase. Jai took the black. The material is nice. I recommend them.</v>
      </c>
    </row>
    <row r="11752">
      <c r="A11752" s="1">
        <v>5.0</v>
      </c>
      <c r="B11752" s="1" t="s">
        <v>11551</v>
      </c>
      <c r="C11752" t="str">
        <f>IFERROR(__xludf.DUMMYFUNCTION("GOOGLETRANSLATE(B11752, ""fr"", ""en"")"),"Expect more market noise reduction the past 15 years, I bought different generations of headphones noise reduction for my plane and public transport trips. And I always bought Sony because their noise reduction algorithm is unstoppable to dynamically comp"&amp;"ensate for outside sounds: the headphones adapt to the surrounding noise level and instantly erase any discomfort to make the most of the music or 'a movie. This latest generation is a marvel, with this feature to cut noise reduction with a simple swipe o"&amp;"f the headset with your finger. It is perfect to avoid having to remove the headphones to ""reconnect"" with ""external"" noise. Like always, the quality is impeccable. We find bine heard the little box transport and reloading, very classy. IF you are aud"&amp;"iophile and are often on the move, this is a gem to offer, Sony knows how to combine features to date (taking calls, touch controls on the headphones ...) and excellent sound.")</f>
        <v>Expect more market noise reduction the past 15 years, I bought different generations of headphones noise reduction for my plane and public transport trips. And I always bought Sony because their noise reduction algorithm is unstoppable to dynamically compensate for outside sounds: the headphones adapt to the surrounding noise level and instantly erase any discomfort to make the most of the music or 'a movie. This latest generation is a marvel, with this feature to cut noise reduction with a simple swipe of the headset with your finger. It is perfect to avoid having to remove the headphones to "reconnect" with "external" noise. Like always, the quality is impeccable. We find bine heard the little box transport and reloading, very classy. IF you are audiophile and are often on the move, this is a gem to offer, Sony knows how to combine features to date (taking calls, touch controls on the headphones ...) and excellent sound.</v>
      </c>
    </row>
    <row r="11753">
      <c r="A11753" s="1">
        <v>5.0</v>
      </c>
      <c r="B11753" s="1" t="s">
        <v>11552</v>
      </c>
      <c r="C11753" t="str">
        <f>IFERROR(__xludf.DUMMYFUNCTION("GOOGLETRANSLATE(B11753, ""fr"", ""en"")"),"Using very fast I often use and is very effective. Practice can take him everywhere")</f>
        <v>Using very fast I often use and is very effective. Practice can take him everywhere</v>
      </c>
    </row>
    <row r="11754">
      <c r="A11754" s="1">
        <v>5.0</v>
      </c>
      <c r="B11754" s="1" t="s">
        <v>11553</v>
      </c>
      <c r="C11754" t="str">
        <f>IFERROR(__xludf.DUMMYFUNCTION("GOOGLETRANSLATE(B11754, ""fr"", ""en"")"),"basic but effective shoes. simple and goes everywhere I regularly buy this model which is an essential collection of the man for me.")</f>
        <v>basic but effective shoes. simple and goes everywhere I regularly buy this model which is an essential collection of the man for me.</v>
      </c>
    </row>
    <row r="11755">
      <c r="A11755" s="1">
        <v>2.0</v>
      </c>
      <c r="B11755" s="1" t="s">
        <v>11554</v>
      </c>
      <c r="C11755" t="str">
        <f>IFERROR(__xludf.DUMMYFUNCTION("GOOGLETRANSLATE(B11755, ""fr"", ""en"")"),"Poor quality resistors that take 1 day. Not at all satisfied. Money thrown out the window! I do not advise this.")</f>
        <v>Poor quality resistors that take 1 day. Not at all satisfied. Money thrown out the window! I do not advise this.</v>
      </c>
    </row>
    <row r="11756">
      <c r="A11756" s="1">
        <v>1.0</v>
      </c>
      <c r="B11756" s="1" t="s">
        <v>11555</v>
      </c>
      <c r="C11756" t="str">
        <f>IFERROR(__xludf.DUMMYFUNCTION("GOOGLETRANSLATE(B11756, ""fr"", ""en"")"),"nonconforming product I do not even know how this product has passed the safety test. The shell you saw the top of the foot, they are not portable at all after 2 trials almost a week, and I use safety shoes for 25 years daily. Just to throw good (I did!)")</f>
        <v>nonconforming product I do not even know how this product has passed the safety test. The shell you saw the top of the foot, they are not portable at all after 2 trials almost a week, and I use safety shoes for 25 years daily. Just to throw good (I did!)</v>
      </c>
    </row>
    <row r="11757">
      <c r="A11757" s="1">
        <v>1.0</v>
      </c>
      <c r="B11757" s="1" t="s">
        <v>11556</v>
      </c>
      <c r="C11757" t="str">
        <f>IFERROR(__xludf.DUMMYFUNCTION("GOOGLETRANSLATE(B11757, ""fr"", ""en"")"),"Fragile product! Go to the top range! Malfunction of a headset!")</f>
        <v>Fragile product! Go to the top range! Malfunction of a headset!</v>
      </c>
    </row>
    <row r="11758">
      <c r="A11758" s="1">
        <v>1.0</v>
      </c>
      <c r="B11758" s="1" t="s">
        <v>11557</v>
      </c>
      <c r="C11758" t="str">
        <f>IFERROR(__xludf.DUMMYFUNCTION("GOOGLETRANSLATE(B11758, ""fr"", ""en"")"),"very disappointed necklace !!! I wore two days ... the black neck and black chain ... avoid ... I wear a silver necklace and I have no problem ..celui is not money product lie !!")</f>
        <v>very disappointed necklace !!! I wore two days ... the black neck and black chain ... avoid ... I wear a silver necklace and I have no problem ..celui is not money product lie !!</v>
      </c>
    </row>
    <row r="11759">
      <c r="A11759" s="1">
        <v>3.0</v>
      </c>
      <c r="B11759" s="1" t="s">
        <v>11558</v>
      </c>
      <c r="C11759" t="str">
        <f>IFERROR(__xludf.DUMMYFUNCTION("GOOGLETRANSLATE(B11759, ""fr"", ""en"")"),"Bad I love these bracelets but I'm disappointed because after the day faded blue beads have on my arm! For real pearls ...")</f>
        <v>Bad I love these bracelets but I'm disappointed because after the day faded blue beads have on my arm! For real pearls ...</v>
      </c>
    </row>
    <row r="11760">
      <c r="A11760" s="1">
        <v>4.0</v>
      </c>
      <c r="B11760" s="1" t="s">
        <v>11559</v>
      </c>
      <c r="C11760" t="str">
        <f>IFERROR(__xludf.DUMMYFUNCTION("GOOGLETRANSLATE(B11760, ""fr"", ""en"")"),"Article consistent with the description of beautiful appearance, and received quickly. All solid air, we'll see in time ... The straps closures are not quick enough to defeat me, I added a satchel loop that allows me an opening or closing very fast ( emer"&amp;"gencies), so I use very little thongs. P.I.")</f>
        <v>Article consistent with the description of beautiful appearance, and received quickly. All solid air, we'll see in time ... The straps closures are not quick enough to defeat me, I added a satchel loop that allows me an opening or closing very fast ( emergencies), so I use very little thongs. P.I.</v>
      </c>
    </row>
    <row r="11761">
      <c r="A11761" s="1">
        <v>4.0</v>
      </c>
      <c r="B11761" s="1" t="s">
        <v>11560</v>
      </c>
      <c r="C11761" t="str">
        <f>IFERROR(__xludf.DUMMYFUNCTION("GOOGLETRANSLATE(B11761, ""fr"", ""en"")"),"Lightweight easy to store and especially low noise Satisfied with my purchase.")</f>
        <v>Lightweight easy to store and especially low noise Satisfied with my purchase.</v>
      </c>
    </row>
    <row r="11762">
      <c r="A11762" s="1">
        <v>4.0</v>
      </c>
      <c r="B11762" s="1" t="s">
        <v>11561</v>
      </c>
      <c r="C11762" t="str">
        <f>IFERROR(__xludf.DUMMYFUNCTION("GOOGLETRANSLATE(B11762, ""fr"", ""en"")"),"Mysterious very style")</f>
        <v>Mysterious very style</v>
      </c>
    </row>
    <row r="11763">
      <c r="A11763" s="1">
        <v>4.0</v>
      </c>
      <c r="B11763" s="1" t="s">
        <v>11562</v>
      </c>
      <c r="C11763" t="str">
        <f>IFERROR(__xludf.DUMMYFUNCTION("GOOGLETRANSLATE(B11763, ""fr"", ""en"")"),"Sweat Sweat is the leger well for summer happens attention to the size that is larger than expected")</f>
        <v>Sweat Sweat is the leger well for summer happens attention to the size that is larger than expected</v>
      </c>
    </row>
    <row r="11764">
      <c r="A11764" s="1">
        <v>5.0</v>
      </c>
      <c r="B11764" s="1" t="s">
        <v>11563</v>
      </c>
      <c r="C11764" t="str">
        <f>IFERROR(__xludf.DUMMYFUNCTION("GOOGLETRANSLATE(B11764, ""fr"", ""en"")"),"Perfect An excellent value, the helmet is light, the sound is correct, the proper autonomy. One driver can with an application for adjustments and updates are simply from the site by plugging headphones. The plastic creaks much we feel that this is good b"&amp;"ut at least we put all the rest.")</f>
        <v>Perfect An excellent value, the helmet is light, the sound is correct, the proper autonomy. One driver can with an application for adjustments and updates are simply from the site by plugging headphones. The plastic creaks much we feel that this is good but at least we put all the rest.</v>
      </c>
    </row>
    <row r="11765">
      <c r="A11765" s="1">
        <v>5.0</v>
      </c>
      <c r="B11765" s="1" t="s">
        <v>11564</v>
      </c>
      <c r="C11765" t="str">
        <f>IFERROR(__xludf.DUMMYFUNCTION("GOOGLETRANSLATE(B11765, ""fr"", ""en"")"),"Very good buy I am very glad I bought this kettle. I use against pain of endometriosis and it is perfect. She loudly enough heat and the heat remains for a full night! It's perfect !")</f>
        <v>Very good buy I am very glad I bought this kettle. I use against pain of endometriosis and it is perfect. She loudly enough heat and the heat remains for a full night! It's perfect !</v>
      </c>
    </row>
    <row r="11766">
      <c r="A11766" s="1">
        <v>5.0</v>
      </c>
      <c r="B11766" s="1" t="s">
        <v>11565</v>
      </c>
      <c r="C11766" t="str">
        <f>IFERROR(__xludf.DUMMYFUNCTION("GOOGLETRANSLATE(B11766, ""fr"", ""en"")"),"Legging black woman Perfect for sports, very comfortable with a very significant percentage elastane. I recommend this product and think renew my order.")</f>
        <v>Legging black woman Perfect for sports, very comfortable with a very significant percentage elastane. I recommend this product and think renew my order.</v>
      </c>
    </row>
    <row r="11767">
      <c r="A11767" s="1">
        <v>5.0</v>
      </c>
      <c r="B11767" s="1" t="s">
        <v>11566</v>
      </c>
      <c r="C11767" t="str">
        <f>IFERROR(__xludf.DUMMYFUNCTION("GOOGLETRANSLATE(B11767, ""fr"", ""en"")"),"Exactly what I needed. Hard to find on the market, it's done on Amazon. Can charge my calendar from one year to the other, no surprise as you order the correct reference! And cheaper than in the little shops / the few sites where it is listed.")</f>
        <v>Exactly what I needed. Hard to find on the market, it's done on Amazon. Can charge my calendar from one year to the other, no surprise as you order the correct reference! And cheaper than in the little shops / the few sites where it is listed.</v>
      </c>
    </row>
    <row r="11768">
      <c r="A11768" s="1">
        <v>5.0</v>
      </c>
      <c r="B11768" s="1" t="s">
        <v>11567</v>
      </c>
      <c r="C11768" t="str">
        <f>IFERROR(__xludf.DUMMYFUNCTION("GOOGLETRANSLATE(B11768, ""fr"", ""en"")"),"Exactly what I needed Perfect, his very correct for this price. Autonomy very satisfactory.")</f>
        <v>Exactly what I needed Perfect, his very correct for this price. Autonomy very satisfactory.</v>
      </c>
    </row>
    <row r="11769">
      <c r="A11769" s="1">
        <v>5.0</v>
      </c>
      <c r="B11769" s="1" t="s">
        <v>11568</v>
      </c>
      <c r="C11769" t="str">
        <f>IFERROR(__xludf.DUMMYFUNCTION("GOOGLETRANSLATE(B11769, ""fr"", ""en"")"),"Cut all the entourage of his Touch and good sound, the noise stop doing its job. I could even use one earpiece when 2em is charging")</f>
        <v>Cut all the entourage of his Touch and good sound, the noise stop doing its job. I could even use one earpiece when 2em is charging</v>
      </c>
    </row>
    <row r="11770">
      <c r="A11770" s="1">
        <v>5.0</v>
      </c>
      <c r="B11770" s="1" t="s">
        <v>11569</v>
      </c>
      <c r="C11770" t="str">
        <f>IFERROR(__xludf.DUMMYFUNCTION("GOOGLETRANSLATE(B11770, ""fr"", ""en"")"),"guarantee long super plus I saw that there was a 30-year warranty, I was fed up of buying a bag every year, with that, I would not need to bring out money the day when it will be broken")</f>
        <v>guarantee long super plus I saw that there was a 30-year warranty, I was fed up of buying a bag every year, with that, I would not need to bring out money the day when it will be broken</v>
      </c>
    </row>
    <row r="11771">
      <c r="A11771" s="1">
        <v>5.0</v>
      </c>
      <c r="B11771" s="1" t="s">
        <v>11570</v>
      </c>
      <c r="C11771" t="str">
        <f>IFERROR(__xludf.DUMMYFUNCTION("GOOGLETRANSLATE(B11771, ""fr"", ""en"")"),"Very easy and very well to use. Excellent lighter, works very well.")</f>
        <v>Very easy and very well to use. Excellent lighter, works very well.</v>
      </c>
    </row>
    <row r="11772">
      <c r="A11772" s="1">
        <v>5.0</v>
      </c>
      <c r="B11772" s="1" t="s">
        <v>11571</v>
      </c>
      <c r="C11772" t="str">
        <f>IFERROR(__xludf.DUMMYFUNCTION("GOOGLETRANSLATE(B11772, ""fr"", ""en"")"),"Super nice to this purchase. Meets my expectations. It looks solid.")</f>
        <v>Super nice to this purchase. Meets my expectations. It looks solid.</v>
      </c>
    </row>
    <row r="11773">
      <c r="A11773" s="1">
        <v>5.0</v>
      </c>
      <c r="B11773" s="1" t="s">
        <v>11572</v>
      </c>
      <c r="C11773" t="str">
        <f>IFERROR(__xludf.DUMMYFUNCTION("GOOGLETRANSLATE(B11773, ""fr"", ""en"")"),"good reception shoe received in a very short time. right size and comfort as always in this great brand for this model. hoping that it seraz monitored over time")</f>
        <v>good reception shoe received in a very short time. right size and comfort as always in this great brand for this model. hoping that it seraz monitored over time</v>
      </c>
    </row>
    <row r="11774">
      <c r="A11774" s="1">
        <v>5.0</v>
      </c>
      <c r="B11774" s="1" t="s">
        <v>11573</v>
      </c>
      <c r="C11774" t="str">
        <f>IFERROR(__xludf.DUMMYFUNCTION("GOOGLETRANSLATE(B11774, ""fr"", ""en"")"),"Comfortable to wear Perfect")</f>
        <v>Comfortable to wear Perfect</v>
      </c>
    </row>
    <row r="11775">
      <c r="A11775" s="1">
        <v>5.0</v>
      </c>
      <c r="B11775" s="1" t="s">
        <v>11574</v>
      </c>
      <c r="C11775" t="str">
        <f>IFERROR(__xludf.DUMMYFUNCTION("GOOGLETRANSLATE(B11775, ""fr"", ""en"")"),"R.a.s Boots")</f>
        <v>R.a.s Boots</v>
      </c>
    </row>
    <row r="11776">
      <c r="A11776" s="1">
        <v>5.0</v>
      </c>
      <c r="B11776" s="1" t="s">
        <v>11575</v>
      </c>
      <c r="C11776" t="str">
        <f>IFERROR(__xludf.DUMMYFUNCTION("GOOGLETRANSLATE(B11776, ""fr"", ""en"")"),"Super good seller daughter'm glad good quality fast delivery")</f>
        <v>Super good seller daughter'm glad good quality fast delivery</v>
      </c>
    </row>
    <row r="11777">
      <c r="A11777" s="1">
        <v>5.0</v>
      </c>
      <c r="B11777" s="1" t="s">
        <v>11576</v>
      </c>
      <c r="C11777" t="str">
        <f>IFERROR(__xludf.DUMMYFUNCTION("GOOGLETRANSLATE(B11777, ""fr"", ""en"")"),"prices to post a picture")</f>
        <v>prices to post a picture</v>
      </c>
    </row>
    <row r="11778">
      <c r="A11778" s="1">
        <v>5.0</v>
      </c>
      <c r="B11778" s="1" t="s">
        <v>11577</v>
      </c>
      <c r="C11778" t="str">
        <f>IFERROR(__xludf.DUMMYFUNCTION("GOOGLETRANSLATE(B11778, ""fr"", ""en"")"),"Very useful quality product. Adorable during difficult nights. Very fast to heat easy to use. To have birth. Quick clean")</f>
        <v>Very useful quality product. Adorable during difficult nights. Very fast to heat easy to use. To have birth. Quick clean</v>
      </c>
    </row>
    <row r="11779">
      <c r="A11779" s="1">
        <v>2.0</v>
      </c>
      <c r="B11779" s="1" t="s">
        <v>11578</v>
      </c>
      <c r="C11779" t="str">
        <f>IFERROR(__xludf.DUMMYFUNCTION("GOOGLETRANSLATE(B11779, ""fr"", ""en"")"),"Headphones can performance for the price and the product conforms to my expectation but if you want a helmet of good quality I do not recommend, cushions do its not very pleasant for long use, the sound is so-so and when I moves, the boomer inside moves t"&amp;"oo")</f>
        <v>Headphones can performance for the price and the product conforms to my expectation but if you want a helmet of good quality I do not recommend, cushions do its not very pleasant for long use, the sound is so-so and when I moves, the boomer inside moves too</v>
      </c>
    </row>
    <row r="11780">
      <c r="A11780" s="1">
        <v>1.0</v>
      </c>
      <c r="B11780" s="1" t="s">
        <v>11579</v>
      </c>
      <c r="C11780" t="str">
        <f>IFERROR(__xludf.DUMMYFUNCTION("GOOGLETRANSLATE(B11780, ""fr"", ""en"")"),"It's not a lot of 5 !! It's not as told in the title Avery 2574 Lot 5 reams of 500 sheets White but ONLY 1 RAMETTE !!")</f>
        <v>It's not a lot of 5 !! It's not as told in the title Avery 2574 Lot 5 reams of 500 sheets White but ONLY 1 RAMETTE !!</v>
      </c>
    </row>
    <row r="11781">
      <c r="A11781" s="1">
        <v>3.0</v>
      </c>
      <c r="B11781" s="1" t="s">
        <v>11580</v>
      </c>
      <c r="C11781" t="str">
        <f>IFERROR(__xludf.DUMMYFUNCTION("GOOGLETRANSLATE(B11781, ""fr"", ""en"")"),"Good but ... Very good windbreaker, worn with a fleece cold weather, for what transpires against it in hot weather! Very stuffy I find there is no component to remove heat ...")</f>
        <v>Good but ... Very good windbreaker, worn with a fleece cold weather, for what transpires against it in hot weather! Very stuffy I find there is no component to remove heat ...</v>
      </c>
    </row>
    <row r="11782">
      <c r="A11782" s="1">
        <v>3.0</v>
      </c>
      <c r="B11782" s="1" t="s">
        <v>11581</v>
      </c>
      <c r="C11782" t="str">
        <f>IFERROR(__xludf.DUMMYFUNCTION("GOOGLETRANSLATE(B11782, ""fr"", ""en"")"),"Size small Caught one size bigger and nikel")</f>
        <v>Size small Caught one size bigger and nikel</v>
      </c>
    </row>
    <row r="11783">
      <c r="A11783" s="1">
        <v>4.0</v>
      </c>
      <c r="B11783" s="1" t="s">
        <v>11582</v>
      </c>
      <c r="C11783" t="str">
        <f>IFERROR(__xludf.DUMMYFUNCTION("GOOGLETRANSLATE(B11783, ""fr"", ""en"")"),"Convenient and cheaper than other gift for my partner who makes sport with so it will not take his hands in the cables and it was less expensive than others")</f>
        <v>Convenient and cheaper than other gift for my partner who makes sport with so it will not take his hands in the cables and it was less expensive than others</v>
      </c>
    </row>
    <row r="11784">
      <c r="A11784" s="1">
        <v>4.0</v>
      </c>
      <c r="B11784" s="1" t="s">
        <v>11583</v>
      </c>
      <c r="C11784" t="str">
        <f>IFERROR(__xludf.DUMMYFUNCTION("GOOGLETRANSLATE(B11784, ""fr"", ""en"")"),"AURIQUE Yoga Pants Women Matter is very nice, a little stretch and seems to have a good performance. For cons, I referred to the size chart and size really great. I return it and recommends smaller.")</f>
        <v>AURIQUE Yoga Pants Women Matter is very nice, a little stretch and seems to have a good performance. For cons, I referred to the size chart and size really great. I return it and recommends smaller.</v>
      </c>
    </row>
    <row r="11785">
      <c r="A11785" s="1">
        <v>4.0</v>
      </c>
      <c r="B11785" s="1" t="s">
        <v>11584</v>
      </c>
      <c r="C11785" t="str">
        <f>IFERROR(__xludf.DUMMYFUNCTION("GOOGLETRANSLATE(B11785, ""fr"", ""en"")"),"A good entry level, building solid helmet encompasses both ears and adjusts quickly, adequate and set it causes no discomfort. I fell asleep several times with the helmet without it have suffered deformation to follow over time. provided with a fabric cov"&amp;"er, take a rigid cases where hindered transport. Good sound quality, nevertheless we regret a parasite related to Bluetooth activation noise is absent uses wired. recommended purchase if the active noise reduction technology is not required Good call qual"&amp;"ity with virtually instant his back to avoid having the impression to hear echo")</f>
        <v>A good entry level, building solid helmet encompasses both ears and adjusts quickly, adequate and set it causes no discomfort. I fell asleep several times with the helmet without it have suffered deformation to follow over time. provided with a fabric cover, take a rigid cases where hindered transport. Good sound quality, nevertheless we regret a parasite related to Bluetooth activation noise is absent uses wired. recommended purchase if the active noise reduction technology is not required Good call quality with virtually instant his back to avoid having the impression to hear echo</v>
      </c>
    </row>
    <row r="11786">
      <c r="A11786" s="1">
        <v>4.0</v>
      </c>
      <c r="B11786" s="1" t="s">
        <v>11585</v>
      </c>
      <c r="C11786" t="str">
        <f>IFERROR(__xludf.DUMMYFUNCTION("GOOGLETRANSLATE(B11786, ""fr"", ""en"")"),"Superb and efficient I love the presets is top maintaining several choices nickel she had beautiful weather for a high tech side, it's beautiful and so have the guard on the worktop the only drawback (to say) too high capacity 1 liter have been top")</f>
        <v>Superb and efficient I love the presets is top maintaining several choices nickel she had beautiful weather for a high tech side, it's beautiful and so have the guard on the worktop the only drawback (to say) too high capacity 1 liter have been top</v>
      </c>
    </row>
    <row r="11787">
      <c r="A11787" s="1">
        <v>5.0</v>
      </c>
      <c r="B11787" s="1" t="s">
        <v>11586</v>
      </c>
      <c r="C11787" t="str">
        <f>IFERROR(__xludf.DUMMYFUNCTION("GOOGLETRANSLATE(B11787, ""fr"", ""en"")"),"Perfect Nothing to say! It is the quality of SONY. It works perfectly with iPhone and iPad.")</f>
        <v>Perfect Nothing to say! It is the quality of SONY. It works perfectly with iPhone and iPad.</v>
      </c>
    </row>
    <row r="11788">
      <c r="A11788" s="1">
        <v>5.0</v>
      </c>
      <c r="B11788" s="1" t="s">
        <v>11587</v>
      </c>
      <c r="C11788" t="str">
        <f>IFERROR(__xludf.DUMMYFUNCTION("GOOGLETRANSLATE(B11788, ""fr"", ""en"")"),"A reference ! Very very good ! I do not know if it was me who hibernates me more, but tws headphones did a darn good quality. I had qcy for some time now and that suited me to be close, but compared with what Yaciko model, I'm impressed! (O_o) To start th"&amp;"e housing is of good quality, durable and a valve closure seriously. It integrates a battery of 3500 mAh giving sufficient weight to build strength and is lightweight enough to carry in my pocket all day. The headphones are very light, they easily plugs e"&amp;"ar and gives a significant passive isolation. It is welded to the ear canal, a guarantee that it does not fly away during exercise. The controls are tactile and respond perfectly. They can be used independently from each other, so we can answer a call wit"&amp;"h a single atrium, left or right. The sound is powerful, clear bass are very active and we want more. The feeling is nice. Short of that happiness.")</f>
        <v>A reference ! Very very good ! I do not know if it was me who hibernates me more, but tws headphones did a darn good quality. I had qcy for some time now and that suited me to be close, but compared with what Yaciko model, I'm impressed! (O_o) To start the housing is of good quality, durable and a valve closure seriously. It integrates a battery of 3500 mAh giving sufficient weight to build strength and is lightweight enough to carry in my pocket all day. The headphones are very light, they easily plugs ear and gives a significant passive isolation. It is welded to the ear canal, a guarantee that it does not fly away during exercise. The controls are tactile and respond perfectly. They can be used independently from each other, so we can answer a call with a single atrium, left or right. The sound is powerful, clear bass are very active and we want more. The feeling is nice. Short of that happiness.</v>
      </c>
    </row>
    <row r="11789">
      <c r="A11789" s="1">
        <v>5.0</v>
      </c>
      <c r="B11789" s="1" t="s">
        <v>11588</v>
      </c>
      <c r="C11789" t="str">
        <f>IFERROR(__xludf.DUMMYFUNCTION("GOOGLETRANSLATE(B11789, ""fr"", ""en"")"),"Very good ! My Bluetooth headset broke down after 3 months, so I came back to the wired headset. These headphones are comfortable to wear. The buttons work well, I like the small pouchette they contain, as it offers some protection when the headset is in "&amp;"my pocket. The sound quality is very good. totally not Umal.")</f>
        <v>Very good ! My Bluetooth headset broke down after 3 months, so I came back to the wired headset. These headphones are comfortable to wear. The buttons work well, I like the small pouchette they contain, as it offers some protection when the headset is in my pocket. The sound quality is very good. totally not Umal.</v>
      </c>
    </row>
    <row r="11790">
      <c r="A11790" s="1">
        <v>5.0</v>
      </c>
      <c r="B11790" s="1" t="s">
        <v>11589</v>
      </c>
      <c r="C11790" t="str">
        <f>IFERROR(__xludf.DUMMYFUNCTION("GOOGLETRANSLATE(B11790, ""fr"", ""en"")"),"Very nice and fulfills its function Glad to have received my lovely essential oil diffuser, which, for my part, will find its place in my son's room ^^ I love his look, fairly compact and imitation wood; finishes are of quality. It perfectly fulfills its "&amp;"function, it gives a pleasant smell in the room ... In the box, there is the diffuser (400ml capacity), the power cord, a drink dispenser with spout, and instructions in English ( no french), but it really is very easy to use. It is set with 2 buttons on "&amp;"the front. You can adjust the intensity of the fog, and LED lighting is always nice! It works great choice for 1h, 3h or 6h. Very satisfied for now :-)")</f>
        <v>Very nice and fulfills its function Glad to have received my lovely essential oil diffuser, which, for my part, will find its place in my son's room ^^ I love his look, fairly compact and imitation wood; finishes are of quality. It perfectly fulfills its function, it gives a pleasant smell in the room ... In the box, there is the diffuser (400ml capacity), the power cord, a drink dispenser with spout, and instructions in English ( no french), but it really is very easy to use. It is set with 2 buttons on the front. You can adjust the intensity of the fog, and LED lighting is always nice! It works great choice for 1h, 3h or 6h. Very satisfied for now :-)</v>
      </c>
    </row>
    <row r="11791">
      <c r="A11791" s="1">
        <v>5.0</v>
      </c>
      <c r="B11791" s="1" t="s">
        <v>11590</v>
      </c>
      <c r="C11791" t="str">
        <f>IFERROR(__xludf.DUMMYFUNCTION("GOOGLETRANSLATE(B11791, ""fr"", ""en"")"),"Top As the entire range Advent")</f>
        <v>Top As the entire range Advent</v>
      </c>
    </row>
    <row r="11792">
      <c r="A11792" s="1">
        <v>5.0</v>
      </c>
      <c r="B11792" s="1" t="s">
        <v>11591</v>
      </c>
      <c r="C11792" t="str">
        <f>IFERROR(__xludf.DUMMYFUNCTION("GOOGLETRANSLATE(B11792, ""fr"", ""en"")"),"effective awesome I bought it because I was tired of putting layers to play tennis in double winter with temperatures close to 0. And the result is really nickel keeps warm and wicks perspiration. contact with the skin is really nice.")</f>
        <v>effective awesome I bought it because I was tired of putting layers to play tennis in double winter with temperatures close to 0. And the result is really nickel keeps warm and wicks perspiration. contact with the skin is really nice.</v>
      </c>
    </row>
    <row r="11793">
      <c r="A11793" s="1">
        <v>5.0</v>
      </c>
      <c r="B11793" s="1" t="s">
        <v>11592</v>
      </c>
      <c r="C11793" t="str">
        <f>IFERROR(__xludf.DUMMYFUNCTION("GOOGLETRANSLATE(B11793, ""fr"", ""en"")"),"Top Very nice shoes purchased in white. Sole very thick. Cushioning. Very comfortable. I play 40, made 40.5. Take one size bigger for comfort.")</f>
        <v>Top Very nice shoes purchased in white. Sole very thick. Cushioning. Very comfortable. I play 40, made 40.5. Take one size bigger for comfort.</v>
      </c>
    </row>
    <row r="11794">
      <c r="A11794" s="1">
        <v>5.0</v>
      </c>
      <c r="B11794" s="1" t="s">
        <v>11593</v>
      </c>
      <c r="C11794" t="str">
        <f>IFERROR(__xludf.DUMMYFUNCTION("GOOGLETRANSLATE(B11794, ""fr"", ""en"")"),"➰ Kettle 1 liter stainless steel quick, silent and temperature adjustable ➰ I wanted a stainless steel kettle: 100% success. No plastic in contact with water. Marking parts water is etched (min: 33cl / max 1l) within the kettle. The plug is made of plasti"&amp;"c on the outside to a cold seizure safely and lined with stainless steel inside in contact with water. The filter is also stainless steel and is part of the kettle. For other functions: the kettle is very fast and ultra-quiet. The double wall keeps its pr"&amp;"omises: it is never hot. For temperature adjustment: it starts at 50 ° and 5 is 5 to 100 °. I use 60 for green tea, black tea for 80, 90 and 100 coffee infusions. We choose the temperature using the + and - is pressed a second time to start. The extras: t"&amp;"he spout is well thought out and slightly flared, not a drop falls outside even if we pour some ""nag"". It is easy to clean, no corner, and brushed stainless ignores the marks of fingers. The little less: the size of the electric wire is good but not ver"&amp;"y long (58 cm plug included). ➰➰➰➰➰➰➰➰➰➰➰➰➰➰➰➰➰➰➰➰➰➰➰➰➰➰➰➰➰➰➰➰➰➰➰ Summary: kettle very well thought that meets the needs 100% consumers in their daily lives. Its average capacity (1l) is largely compensated by its rapidity.")</f>
        <v>➰ Kettle 1 liter stainless steel quick, silent and temperature adjustable ➰ I wanted a stainless steel kettle: 100% success. No plastic in contact with water. Marking parts water is etched (min: 33cl / max 1l) within the kettle. The plug is made of plastic on the outside to a cold seizure safely and lined with stainless steel inside in contact with water. The filter is also stainless steel and is part of the kettle. For other functions: the kettle is very fast and ultra-quiet. The double wall keeps its promises: it is never hot. For temperature adjustment: it starts at 50 ° and 5 is 5 to 100 °. I use 60 for green tea, black tea for 80, 90 and 100 coffee infusions. We choose the temperature using the + and - is pressed a second time to start. The extras: the spout is well thought out and slightly flared, not a drop falls outside even if we pour some "nag". It is easy to clean, no corner, and brushed stainless ignores the marks of fingers. The little less: the size of the electric wire is good but not very long (58 cm plug included). ➰➰➰➰➰➰➰➰➰➰➰➰➰➰➰➰➰➰➰➰➰➰➰➰➰➰➰➰➰➰➰➰➰➰➰ Summary: kettle very well thought that meets the needs 100% consumers in their daily lives. Its average capacity (1l) is largely compensated by its rapidity.</v>
      </c>
    </row>
    <row r="11795">
      <c r="A11795" s="1">
        <v>5.0</v>
      </c>
      <c r="B11795" s="1" t="s">
        <v>11594</v>
      </c>
      <c r="C11795" t="str">
        <f>IFERROR(__xludf.DUMMYFUNCTION("GOOGLETRANSLATE(B11795, ""fr"", ""en"")"),"At purchased eyes closed Superb high quality safety shoes, I work in a warehouse as a control with preparateur go back constantly, and no problem. Very comfortable.")</f>
        <v>At purchased eyes closed Superb high quality safety shoes, I work in a warehouse as a control with preparateur go back constantly, and no problem. Very comfortable.</v>
      </c>
    </row>
    <row r="11796">
      <c r="A11796" s="1">
        <v>5.0</v>
      </c>
      <c r="B11796" s="1" t="s">
        <v>11595</v>
      </c>
      <c r="C11796" t="str">
        <f>IFERROR(__xludf.DUMMYFUNCTION("GOOGLETRANSLATE(B11796, ""fr"", ""en"")"),"Very nice but a little short chain Bought to give to a girl 12 years ... and it is so pretty in person than I wanted to keep it to myself! I would put a little damper on the size of the string that is too short hair ...")</f>
        <v>Very nice but a little short chain Bought to give to a girl 12 years ... and it is so pretty in person than I wanted to keep it to myself! I would put a little damper on the size of the string that is too short hair ...</v>
      </c>
    </row>
    <row r="11797">
      <c r="A11797" s="1">
        <v>5.0</v>
      </c>
      <c r="B11797" s="1" t="s">
        <v>11596</v>
      </c>
      <c r="C11797" t="str">
        <f>IFERROR(__xludf.DUMMYFUNCTION("GOOGLETRANSLATE(B11797, ""fr"", ""en"")"),"If they are comfortable His sneakers are perfect for small sizes women like me are very comfortable I recommend.")</f>
        <v>If they are comfortable His sneakers are perfect for small sizes women like me are very comfortable I recommend.</v>
      </c>
    </row>
    <row r="11798">
      <c r="A11798" s="1">
        <v>5.0</v>
      </c>
      <c r="B11798" s="1" t="s">
        <v>4020</v>
      </c>
      <c r="C11798" t="str">
        <f>IFERROR(__xludf.DUMMYFUNCTION("GOOGLETRANSLATE(B11798, ""fr"", ""en"")"),"ok ok")</f>
        <v>ok ok</v>
      </c>
    </row>
    <row r="11799">
      <c r="A11799" s="1">
        <v>5.0</v>
      </c>
      <c r="B11799" s="1" t="s">
        <v>11597</v>
      </c>
      <c r="C11799" t="str">
        <f>IFERROR(__xludf.DUMMYFUNCTION("GOOGLETRANSLATE(B11799, ""fr"", ""en"")"),"Necklace woman Beautiful necklace very good qualité.tres well presented in a beautiful box for offrir.je have to offer to buy but I will recommend it to me")</f>
        <v>Necklace woman Beautiful necklace very good qualité.tres well presented in a beautiful box for offrir.je have to offer to buy but I will recommend it to me</v>
      </c>
    </row>
    <row r="11800">
      <c r="A11800" s="1">
        <v>5.0</v>
      </c>
      <c r="B11800" s="1" t="s">
        <v>11598</v>
      </c>
      <c r="C11800" t="str">
        <f>IFERROR(__xludf.DUMMYFUNCTION("GOOGLETRANSLATE(B11800, ""fr"", ""en"")"),"Although speed corresponds to purchase")</f>
        <v>Although speed corresponds to purchase</v>
      </c>
    </row>
    <row r="11801">
      <c r="A11801" s="1">
        <v>5.0</v>
      </c>
      <c r="B11801" s="1" t="s">
        <v>11599</v>
      </c>
      <c r="C11801" t="str">
        <f>IFERROR(__xludf.DUMMYFUNCTION("GOOGLETRANSLATE(B11801, ""fr"", ""en"")"),"Practice Good product, usable on many surfaces; relatively fine tip allows for precision.")</f>
        <v>Practice Good product, usable on many surfaces; relatively fine tip allows for precision.</v>
      </c>
    </row>
    <row r="11802">
      <c r="A11802" s="1">
        <v>2.0</v>
      </c>
      <c r="B11802" s="1" t="s">
        <v>11600</v>
      </c>
      <c r="C11802" t="str">
        <f>IFERROR(__xludf.DUMMYFUNCTION("GOOGLETRANSLATE(B11802, ""fr"", ""en"")"),"Disappointing compared to the photo The bag is not nearly as nice as presented, either at the color of the leather, its shine, or its shape. Moreover, the quality of the canvas shows the interior of the bag is poor.")</f>
        <v>Disappointing compared to the photo The bag is not nearly as nice as presented, either at the color of the leather, its shine, or its shape. Moreover, the quality of the canvas shows the interior of the bag is poor.</v>
      </c>
    </row>
    <row r="11803">
      <c r="A11803" s="1">
        <v>1.0</v>
      </c>
      <c r="B11803" s="1" t="s">
        <v>11601</v>
      </c>
      <c r="C11803" t="str">
        <f>IFERROR(__xludf.DUMMYFUNCTION("GOOGLETRANSLATE(B11803, ""fr"", ""en"")"),"Article shoddy I bought these shoes in March for my husband. They were brought 4 times and they tear at the side of the right shoe. Very disapointed. I have the opportunity to contact the seller please")</f>
        <v>Article shoddy I bought these shoes in March for my husband. They were brought 4 times and they tear at the side of the right shoe. Very disapointed. I have the opportunity to contact the seller please</v>
      </c>
    </row>
    <row r="11804">
      <c r="A11804" s="1">
        <v>1.0</v>
      </c>
      <c r="B11804" s="1" t="s">
        <v>11602</v>
      </c>
      <c r="C11804" t="str">
        <f>IFERROR(__xludf.DUMMYFUNCTION("GOOGLETRANSLATE(B11804, ""fr"", ""en"")"),"Streamer &amp; amp; Videographers: Do not fall into the beginner's trap. Do not buy. After 6 months of use for my video streams and I can clearly say that I regret this purchase beginner. I bought it by starting the streams, thinking immediately improve the q"&amp;"uality of my sound through the microphone but it is clearly a trap for people who wish to engage in Youtube or Twitch Game. Dear creators, do not fall into the trap! Save to buy better! For the moment your headset is enough! Within a few days of using the"&amp;" problems begin. Here is a complete list: - Micro not powerful enough (let alone a laptop computer), which necessarily requires various purchases and additional installation (see below) - Micro unrecognized on Streamlabs OBS and crashes sound - Emits whit"&amp;"e crackling very unpleasant for the spectators. - Sizzling difficult to remove. Obligation to go through software like Adobe Audition but then alters the voice. - The more time passes, the problem worsens. Concerns arise randomly, even when everything see"&amp;"ms correct. If you persist in this purchase, here's everything you'll need to: - Buy a USB sound card (+ € 10 min) and a transformer (€ + 10 min). - Install software that improves the sound between the input and output, such as Adobe Audition or free soft"&amp;"ware - So install software to create a ghost cable to your computer - and even with that, you will need to add filters to your microphone on the stream software for tens of euros more you can invest in a blue yeti or rode that will sound good (about 100 €"&amp;"). Wait, so you can count on the support of your community to properly improve your equipment, but do not waste your money on startup.")</f>
        <v>Streamer &amp; amp; Videographers: Do not fall into the beginner's trap. Do not buy. After 6 months of use for my video streams and I can clearly say that I regret this purchase beginner. I bought it by starting the streams, thinking immediately improve the quality of my sound through the microphone but it is clearly a trap for people who wish to engage in Youtube or Twitch Game. Dear creators, do not fall into the trap! Save to buy better! For the moment your headset is enough! Within a few days of using the problems begin. Here is a complete list: - Micro not powerful enough (let alone a laptop computer), which necessarily requires various purchases and additional installation (see below) - Micro unrecognized on Streamlabs OBS and crashes sound - Emits white crackling very unpleasant for the spectators. - Sizzling difficult to remove. Obligation to go through software like Adobe Audition but then alters the voice. - The more time passes, the problem worsens. Concerns arise randomly, even when everything seems correct. If you persist in this purchase, here's everything you'll need to: - Buy a USB sound card (+ € 10 min) and a transformer (€ + 10 min). - Install software that improves the sound between the input and output, such as Adobe Audition or free software - So install software to create a ghost cable to your computer - and even with that, you will need to add filters to your microphone on the stream software for tens of euros more you can invest in a blue yeti or rode that will sound good (about 100 €). Wait, so you can count on the support of your community to properly improve your equipment, but do not waste your money on startup.</v>
      </c>
    </row>
    <row r="11805">
      <c r="A11805" s="1">
        <v>3.0</v>
      </c>
      <c r="B11805" s="1" t="s">
        <v>11603</v>
      </c>
      <c r="C11805" t="str">
        <f>IFERROR(__xludf.DUMMYFUNCTION("GOOGLETRANSLATE(B11805, ""fr"", ""en"")"),"Not a bad bag too small but the real ""default"" of the bag is its size. the straps are too short for my taste which limits the settings if you are a little bit bigger. The pocket underneath is convenient to wedge a pair of shoes")</f>
        <v>Not a bad bag too small but the real "default" of the bag is its size. the straps are too short for my taste which limits the settings if you are a little bit bigger. The pocket underneath is convenient to wedge a pair of shoes</v>
      </c>
    </row>
    <row r="11806">
      <c r="A11806" s="1">
        <v>3.0</v>
      </c>
      <c r="B11806" s="1" t="s">
        <v>11604</v>
      </c>
      <c r="C11806" t="str">
        <f>IFERROR(__xludf.DUMMYFUNCTION("GOOGLETRANSLATE(B11806, ""fr"", ""en"")"),"Connection to review on smartphone, not (to) shoot using the external microphone. However it works fine via dictaphone my smartphone, I do not understand ... So I keep it anyway, but with some regret because it is not appropriate to the main uses for whic"&amp;"h I had bought.")</f>
        <v>Connection to review on smartphone, not (to) shoot using the external microphone. However it works fine via dictaphone my smartphone, I do not understand ... So I keep it anyway, but with some regret because it is not appropriate to the main uses for which I had bought.</v>
      </c>
    </row>
    <row r="11807">
      <c r="A11807" s="1">
        <v>4.0</v>
      </c>
      <c r="B11807" s="1" t="s">
        <v>11605</v>
      </c>
      <c r="C11807" t="str">
        <f>IFERROR(__xludf.DUMMYFUNCTION("GOOGLETRANSLATE(B11807, ""fr"", ""en"")"),"solid but size a little big for the price, the shoes look pretty strong against it by a little big size")</f>
        <v>solid but size a little big for the price, the shoes look pretty strong against it by a little big size</v>
      </c>
    </row>
    <row r="11808">
      <c r="A11808" s="1">
        <v>4.0</v>
      </c>
      <c r="B11808" s="1" t="s">
        <v>11606</v>
      </c>
      <c r="C11808" t="str">
        <f>IFERROR(__xludf.DUMMYFUNCTION("GOOGLETRANSLATE(B11808, ""fr"", ""en"")"),"Fun Everyday")</f>
        <v>Fun Everyday</v>
      </c>
    </row>
    <row r="11809">
      <c r="A11809" s="1">
        <v>4.0</v>
      </c>
      <c r="B11809" s="1" t="s">
        <v>11607</v>
      </c>
      <c r="C11809" t="str">
        <f>IFERROR(__xludf.DUMMYFUNCTION("GOOGLETRANSLATE(B11809, ""fr"", ""en"")"),"The SPORC Size perfectly after to be honest with you .... I never used to do sports or physical activities ... But to hang like a fat pig watching series and eating chips .A regret is that the dog's hair tend to stay glued .... well this severe electrosta"&amp;"tic problem has kidnapped regret a star.")</f>
        <v>The SPORC Size perfectly after to be honest with you .... I never used to do sports or physical activities ... But to hang like a fat pig watching series and eating chips .A regret is that the dog's hair tend to stay glued .... well this severe electrostatic problem has kidnapped regret a star.</v>
      </c>
    </row>
    <row r="11810">
      <c r="A11810" s="1">
        <v>4.0</v>
      </c>
      <c r="B11810" s="1" t="s">
        <v>11608</v>
      </c>
      <c r="C11810" t="str">
        <f>IFERROR(__xludf.DUMMYFUNCTION("GOOGLETRANSLATE(B11810, ""fr"", ""en"")"),"Cushioning and comfort excellent Training Half Marathon")</f>
        <v>Cushioning and comfort excellent Training Half Marathon</v>
      </c>
    </row>
    <row r="11811">
      <c r="A11811" s="1">
        <v>5.0</v>
      </c>
      <c r="B11811" s="1" t="s">
        <v>11609</v>
      </c>
      <c r="C11811" t="str">
        <f>IFERROR(__xludf.DUMMYFUNCTION("GOOGLETRANSLATE(B11811, ""fr"", ""en"")"),"Lacks a little cushioning. A simple and classic look.")</f>
        <v>Lacks a little cushioning. A simple and classic look.</v>
      </c>
    </row>
    <row r="11812">
      <c r="A11812" s="1">
        <v>5.0</v>
      </c>
      <c r="B11812" s="1" t="s">
        <v>11610</v>
      </c>
      <c r="C11812" t="str">
        <f>IFERROR(__xludf.DUMMYFUNCTION("GOOGLETRANSLATE(B11812, ""fr"", ""en"")"),"as remarks in the right direction timely delivery and well before the final date of 12/10 assembly facilities highly valued for judging the quality of this kit, it will take some time but the material inspires confidence thanks")</f>
        <v>as remarks in the right direction timely delivery and well before the final date of 12/10 assembly facilities highly valued for judging the quality of this kit, it will take some time but the material inspires confidence thanks</v>
      </c>
    </row>
    <row r="11813">
      <c r="A11813" s="1">
        <v>5.0</v>
      </c>
      <c r="B11813" s="1" t="s">
        <v>11611</v>
      </c>
      <c r="C11813" t="str">
        <f>IFERROR(__xludf.DUMMYFUNCTION("GOOGLETRANSLATE(B11813, ""fr"", ""en"")"),"rain boots adapted to rural life and good quality, this is a must buy for country living")</f>
        <v>rain boots adapted to rural life and good quality, this is a must buy for country living</v>
      </c>
    </row>
    <row r="11814">
      <c r="A11814" s="1">
        <v>5.0</v>
      </c>
      <c r="B11814" s="1" t="s">
        <v>11612</v>
      </c>
      <c r="C11814" t="str">
        <f>IFERROR(__xludf.DUMMYFUNCTION("GOOGLETRANSLATE(B11814, ""fr"", ""en"")"),"Beautiful Casio watch. Look sober. No mastoque wrist. multilingual manual but not in French. We cope with English. Pretty simple to setup though. The needles are not phosphorescent in the dark. There is no second hand / second hand, so, it is silent. The "&amp;"strap width is adjustable up to a rather fine wrist (teen or woman). Seems quality. Recommended article.")</f>
        <v>Beautiful Casio watch. Look sober. No mastoque wrist. multilingual manual but not in French. We cope with English. Pretty simple to setup though. The needles are not phosphorescent in the dark. There is no second hand / second hand, so, it is silent. The strap width is adjustable up to a rather fine wrist (teen or woman). Seems quality. Recommended article.</v>
      </c>
    </row>
    <row r="11815">
      <c r="A11815" s="1">
        <v>5.0</v>
      </c>
      <c r="B11815" s="1" t="s">
        <v>11613</v>
      </c>
      <c r="C11815" t="str">
        <f>IFERROR(__xludf.DUMMYFUNCTION("GOOGLETRANSLATE(B11815, ""fr"", ""en"")"),"Discover the world A very well done Hymns globe, countries, populations, capitals ...")</f>
        <v>Discover the world A very well done Hymns globe, countries, populations, capitals ...</v>
      </c>
    </row>
    <row r="11816">
      <c r="A11816" s="1">
        <v>5.0</v>
      </c>
      <c r="B11816" s="1" t="s">
        <v>11614</v>
      </c>
      <c r="C11816" t="str">
        <f>IFERROR(__xludf.DUMMYFUNCTION("GOOGLETRANSLATE(B11816, ""fr"", ""en"")"),"Set of 2 Magnets 2500 Gauss Anti pain I find it's well cool 2 magnets (they look like the product description) and it is true that faith in hand they are pleasant to handle. Good product distracting! I am also satisfied with the rapiditée my delivery. Qty"&amp;".")</f>
        <v>Set of 2 Magnets 2500 Gauss Anti pain I find it's well cool 2 magnets (they look like the product description) and it is true that faith in hand they are pleasant to handle. Good product distracting! I am also satisfied with the rapiditée my delivery. Qty.</v>
      </c>
    </row>
    <row r="11817">
      <c r="A11817" s="1">
        <v>5.0</v>
      </c>
      <c r="B11817" s="1" t="s">
        <v>11615</v>
      </c>
      <c r="C11817" t="str">
        <f>IFERROR(__xludf.DUMMYFUNCTION("GOOGLETRANSLATE(B11817, ""fr"", ""en"")"),"As usual ... the RAS control, quick and correct value! I am always satisfied with your quotes and product selection.")</f>
        <v>As usual ... the RAS control, quick and correct value! I am always satisfied with your quotes and product selection.</v>
      </c>
    </row>
    <row r="11818">
      <c r="A11818" s="1">
        <v>5.0</v>
      </c>
      <c r="B11818" s="1" t="s">
        <v>11616</v>
      </c>
      <c r="C11818" t="str">
        <f>IFERROR(__xludf.DUMMYFUNCTION("GOOGLETRANSLATE(B11818, ""fr"", ""en"")"),"Super Practical and functional lamp this lamp has fully found its place in my home. One can easily vary between warm or cold light light with a button. The lighting is perfect to read without damaging the eyes. The lamp is of good quality for the price is"&amp;" unbeatable! I recommend this product !")</f>
        <v>Super Practical and functional lamp this lamp has fully found its place in my home. One can easily vary between warm or cold light light with a button. The lighting is perfect to read without damaging the eyes. The lamp is of good quality for the price is unbeatable! I recommend this product !</v>
      </c>
    </row>
    <row r="11819">
      <c r="A11819" s="1">
        <v>5.0</v>
      </c>
      <c r="B11819" s="1" t="s">
        <v>11617</v>
      </c>
      <c r="C11819" t="str">
        <f>IFERROR(__xludf.DUMMYFUNCTION("GOOGLETRANSLATE(B11819, ""fr"", ""en"")"),"Very nice very nice product reçpli perfectly describes the feature does not have to move")</f>
        <v>Very nice very nice product reçpli perfectly describes the feature does not have to move</v>
      </c>
    </row>
    <row r="11820">
      <c r="A11820" s="1">
        <v>5.0</v>
      </c>
      <c r="B11820" s="1" t="s">
        <v>11618</v>
      </c>
      <c r="C11820" t="str">
        <f>IFERROR(__xludf.DUMMYFUNCTION("GOOGLETRANSLATE(B11820, ""fr"", ""en"")"),"good product I already knew that I bought this in much more expensive specialty store. Here I make a saving of € 3. otherwise, the product is fine. Very soft and very resistant.")</f>
        <v>good product I already knew that I bought this in much more expensive specialty store. Here I make a saving of € 3. otherwise, the product is fine. Very soft and very resistant.</v>
      </c>
    </row>
    <row r="11821">
      <c r="A11821" s="1">
        <v>5.0</v>
      </c>
      <c r="B11821" s="1" t="s">
        <v>11619</v>
      </c>
      <c r="C11821" t="str">
        <f>IFERROR(__xludf.DUMMYFUNCTION("GOOGLETRANSLATE(B11821, ""fr"", ""en"")"),"•• •• adidas Pace Vs I made this purchase, there are a half months. Beautiful casual shoes, look at trends and relaxed. In addition, it is very comfortable. And will be Perfect to wear every day this summer. 🆗👌🔝👍")</f>
        <v>•• •• adidas Pace Vs I made this purchase, there are a half months. Beautiful casual shoes, look at trends and relaxed. In addition, it is very comfortable. And will be Perfect to wear every day this summer. 🆗👌🔝👍</v>
      </c>
    </row>
    <row r="11822">
      <c r="A11822" s="1">
        <v>5.0</v>
      </c>
      <c r="B11822" s="1" t="s">
        <v>11620</v>
      </c>
      <c r="C11822" t="str">
        <f>IFERROR(__xludf.DUMMYFUNCTION("GOOGLETRANSLATE(B11822, ""fr"", ""en"")"),"Very glad I took the pants, so I needed the top, glue well to the skin and dries quickly I recommend this product for a very reasonable price")</f>
        <v>Very glad I took the pants, so I needed the top, glue well to the skin and dries quickly I recommend this product for a very reasonable price</v>
      </c>
    </row>
    <row r="11823">
      <c r="A11823" s="1">
        <v>5.0</v>
      </c>
      <c r="B11823" s="1" t="s">
        <v>11621</v>
      </c>
      <c r="C11823" t="str">
        <f>IFERROR(__xludf.DUMMYFUNCTION("GOOGLETRANSLATE(B11823, ""fr"", ""en"")"),"MEET THE COMFORTABLE AND GOOD QUALITY PHOTO")</f>
        <v>MEET THE COMFORTABLE AND GOOD QUALITY PHOTO</v>
      </c>
    </row>
    <row r="11824">
      <c r="A11824" s="1">
        <v>5.0</v>
      </c>
      <c r="B11824" s="1" t="s">
        <v>11622</v>
      </c>
      <c r="C11824" t="str">
        <f>IFERROR(__xludf.DUMMYFUNCTION("GOOGLETRANSLATE(B11824, ""fr"", ""en"")"),"Good product ... The converse all there is more classic. Ideal for summer.")</f>
        <v>Good product ... The converse all there is more classic. Ideal for summer.</v>
      </c>
    </row>
    <row r="11825">
      <c r="A11825" s="1">
        <v>5.0</v>
      </c>
      <c r="B11825" s="1" t="s">
        <v>11623</v>
      </c>
      <c r="C11825" t="str">
        <f>IFERROR(__xludf.DUMMYFUNCTION("GOOGLETRANSLATE(B11825, ""fr"", ""en"")"),"very well perfect")</f>
        <v>very well perfect</v>
      </c>
    </row>
    <row r="11826">
      <c r="A11826" s="1">
        <v>5.0</v>
      </c>
      <c r="B11826" s="1" t="s">
        <v>11624</v>
      </c>
      <c r="C11826" t="str">
        <f>IFERROR(__xludf.DUMMYFUNCTION("GOOGLETRANSLATE(B11826, ""fr"", ""en"")"),"my best headphones to date After having a Koss UR 40 Grado SR60i then I found the limited performance, especially in the low end, I read very good reviews on Beyerdynamic headphones. So I chose the 990 Pro. In terms of comfort, it is well above my Grado, "&amp;"which, it must be said, is not a reference in this field. This is a monitoring headphones: a scene much more open, each instrument in its place. I feared the cold listening but it is not at all the case. The offer reconditioned Amazon to finish decide. Pu"&amp;"rchase very satisfying")</f>
        <v>my best headphones to date After having a Koss UR 40 Grado SR60i then I found the limited performance, especially in the low end, I read very good reviews on Beyerdynamic headphones. So I chose the 990 Pro. In terms of comfort, it is well above my Grado, which, it must be said, is not a reference in this field. This is a monitoring headphones: a scene much more open, each instrument in its place. I feared the cold listening but it is not at all the case. The offer reconditioned Amazon to finish decide. Purchase very satisfying</v>
      </c>
    </row>
    <row r="11827">
      <c r="A11827" s="1">
        <v>2.0</v>
      </c>
      <c r="B11827" s="1" t="s">
        <v>11625</v>
      </c>
      <c r="C11827" t="str">
        <f>IFERROR(__xludf.DUMMYFUNCTION("GOOGLETRANSLATE(B11827, ""fr"", ""en"")"),"Wireless Earpiece The means is fine. The sound setting for each ear has enough amplitude (for me). 3 settings for words (bass / treble) did not suit me, more I could not stand a whole although it is very mild evening. I replaced by an arch wired headset, "&amp;"Sennheiser always. that it does not cause me any concern. Connected to a converter Digital / Analog with Toslink Optical, Volume Control, Super")</f>
        <v>Wireless Earpiece The means is fine. The sound setting for each ear has enough amplitude (for me). 3 settings for words (bass / treble) did not suit me, more I could not stand a whole although it is very mild evening. I replaced by an arch wired headset, Sennheiser always. that it does not cause me any concern. Connected to a converter Digital / Analog with Toslink Optical, Volume Control, Super</v>
      </c>
    </row>
    <row r="11828">
      <c r="A11828" s="1">
        <v>1.0</v>
      </c>
      <c r="B11828" s="1" t="s">
        <v>11626</v>
      </c>
      <c r="C11828" t="str">
        <f>IFERROR(__xludf.DUMMYFUNCTION("GOOGLETRANSLATE(B11828, ""fr"", ""en"")"),"I found cheaper elsewhere Toilet paper is good (LOL it's still a PQ) but I found the first less at carrouf ;-)")</f>
        <v>I found cheaper elsewhere Toilet paper is good (LOL it's still a PQ) but I found the first less at carrouf ;-)</v>
      </c>
    </row>
    <row r="11829">
      <c r="A11829" s="1">
        <v>1.0</v>
      </c>
      <c r="B11829" s="1" t="s">
        <v>11627</v>
      </c>
      <c r="C11829" t="str">
        <f>IFERROR(__xludf.DUMMYFUNCTION("GOOGLETRANSLATE(B11829, ""fr"", ""en"")"),"not solid arrived desultory")</f>
        <v>not solid arrived desultory</v>
      </c>
    </row>
    <row r="11830">
      <c r="A11830" s="1">
        <v>3.0</v>
      </c>
      <c r="B11830" s="1" t="s">
        <v>11628</v>
      </c>
      <c r="C11830" t="str">
        <f>IFERROR(__xludf.DUMMYFUNCTION("GOOGLETRANSLATE(B11830, ""fr"", ""en"")"),"A little expensive I had spots on my wall that does not leave so I wanted to try the famous magic erasers, I'm not disappointed, it works well and I'm using it on the shoes, but watch out for some surfaces !")</f>
        <v>A little expensive I had spots on my wall that does not leave so I wanted to try the famous magic erasers, I'm not disappointed, it works well and I'm using it on the shoes, but watch out for some surfaces !</v>
      </c>
    </row>
    <row r="11831">
      <c r="A11831" s="1">
        <v>4.0</v>
      </c>
      <c r="B11831" s="1" t="s">
        <v>11629</v>
      </c>
      <c r="C11831" t="str">
        <f>IFERROR(__xludf.DUMMYFUNCTION("GOOGLETRANSLATE(B11831, ""fr"", ""en"")"),"good product size XXL = 62cm")</f>
        <v>good product size XXL = 62cm</v>
      </c>
    </row>
    <row r="11832">
      <c r="A11832" s="1">
        <v>4.0</v>
      </c>
      <c r="B11832" s="1" t="s">
        <v>11630</v>
      </c>
      <c r="C11832" t="str">
        <f>IFERROR(__xludf.DUMMYFUNCTION("GOOGLETRANSLATE(B11832, ""fr"", ""en"")"),"Perfect I bought this product there for over a year and it works every day. It's great, I do not regret my purchase. It is quite large and the thread runs under the kettle, leaving only necessary to go to the outlet.")</f>
        <v>Perfect I bought this product there for over a year and it works every day. It's great, I do not regret my purchase. It is quite large and the thread runs under the kettle, leaving only necessary to go to the outlet.</v>
      </c>
    </row>
    <row r="11833">
      <c r="A11833" s="1">
        <v>4.0</v>
      </c>
      <c r="B11833" s="1" t="s">
        <v>11631</v>
      </c>
      <c r="C11833" t="str">
        <f>IFERROR(__xludf.DUMMYFUNCTION("GOOGLETRANSLATE(B11833, ""fr"", ""en"")"),"Meets Meets pictures pictures, beautiful Casio")</f>
        <v>Meets Meets pictures pictures, beautiful Casio</v>
      </c>
    </row>
    <row r="11834">
      <c r="A11834" s="1">
        <v>4.0</v>
      </c>
      <c r="B11834" s="1" t="s">
        <v>11632</v>
      </c>
      <c r="C11834" t="str">
        <f>IFERROR(__xludf.DUMMYFUNCTION("GOOGLETRANSLATE(B11834, ""fr"", ""en"")"),"Entertaining but pretty and effective Jolie and pop with color. stop light market. Button to open the top opaque and transparent.")</f>
        <v>Entertaining but pretty and effective Jolie and pop with color. stop light market. Button to open the top opaque and transparent.</v>
      </c>
    </row>
    <row r="11835">
      <c r="A11835" s="1">
        <v>5.0</v>
      </c>
      <c r="B11835" s="1" t="s">
        <v>11633</v>
      </c>
      <c r="C11835" t="str">
        <f>IFERROR(__xludf.DUMMYFUNCTION("GOOGLETRANSLATE(B11835, ""fr"", ""en"")"),"Value for money I ordered this many times it satisfies me.")</f>
        <v>Value for money I ordered this many times it satisfies me.</v>
      </c>
    </row>
    <row r="11836">
      <c r="A11836" s="1">
        <v>5.0</v>
      </c>
      <c r="B11836" s="1" t="s">
        <v>11634</v>
      </c>
      <c r="C11836" t="str">
        <f>IFERROR(__xludf.DUMMYFUNCTION("GOOGLETRANSLATE(B11836, ""fr"", ""en"")"),"Perfect for all kinds of teas Heater water quickly. I wanted simple temperature controls, direct and easily readable. The temperature setting is perfect for teas. A bit expensive but nevertheless I'm happy with my purchase. Kettle recommended.")</f>
        <v>Perfect for all kinds of teas Heater water quickly. I wanted simple temperature controls, direct and easily readable. The temperature setting is perfect for teas. A bit expensive but nevertheless I'm happy with my purchase. Kettle recommended.</v>
      </c>
    </row>
    <row r="11837">
      <c r="A11837" s="1">
        <v>5.0</v>
      </c>
      <c r="B11837" s="1" t="s">
        <v>11635</v>
      </c>
      <c r="C11837" t="str">
        <f>IFERROR(__xludf.DUMMYFUNCTION("GOOGLETRANSLATE(B11837, ""fr"", ""en"")"),"Beautiful bracelets Very beautiful bracelets I am delighted with my purchase little more there is an elastic wire coil in case. I recommend this Article")</f>
        <v>Beautiful bracelets Very beautiful bracelets I am delighted with my purchase little more there is an elastic wire coil in case. I recommend this Article</v>
      </c>
    </row>
    <row r="11838">
      <c r="A11838" s="1">
        <v>5.0</v>
      </c>
      <c r="B11838" s="1" t="s">
        <v>11636</v>
      </c>
      <c r="C11838" t="str">
        <f>IFERROR(__xludf.DUMMYFUNCTION("GOOGLETRANSLATE(B11838, ""fr"", ""en"")"),"Pretty watch that job! Watch purchased for running and cycling. Very easy to use and the battery lasts a long time! I'm not disappointed :-)")</f>
        <v>Pretty watch that job! Watch purchased for running and cycling. Very easy to use and the battery lasts a long time! I'm not disappointed :-)</v>
      </c>
    </row>
    <row r="11839">
      <c r="A11839" s="1">
        <v>5.0</v>
      </c>
      <c r="B11839" s="1" t="s">
        <v>11637</v>
      </c>
      <c r="C11839" t="str">
        <f>IFERROR(__xludf.DUMMYFUNCTION("GOOGLETRANSLATE(B11839, ""fr"", ""en"")"),"I recommend super its quality. &lt;Div id = ""video-block-R2XHNSUYNEGEPA"" class = ""a-section-spacing-small in-spacing-top mini video-block""&gt; &lt;/ div&gt; &lt;input type = ""hidden"" name = """" value = ""https://images-eu.ssl-images-amazon.com/images/I/91dAMctbGm"&amp;"S.mp4"" class = ""video-url""&gt; &lt;input type = ""hidden"" name = """" value = ""https: //images-eu.ssl-images-amazon.com/images/I/A1YhYL-YuTS.png ""class ="" video-slate-img-url ""&gt; &amp; nbsp; J bought this for my wife for her birthday. J was pleasantly surpri"&amp;"sed of the quality of the product is also very pretty. My wife is hard enough side jewelry is very satisfied and enjoyed in.")</f>
        <v>I recommend super its quality. &lt;Div id = "video-block-R2XHNSUYNEGEPA" class = "a-section-spacing-small in-spacing-top mini video-block"&gt; &lt;/ div&gt; &lt;input type = "hidden" name = "" value = "https://images-eu.ssl-images-amazon.com/images/I/91dAMctbGmS.mp4" class = "video-url"&gt; &lt;input type = "hidden" name = "" value = "https: //images-eu.ssl-images-amazon.com/images/I/A1YhYL-YuTS.png "class =" video-slate-img-url "&gt; &amp; nbsp; J bought this for my wife for her birthday. J was pleasantly surprised of the quality of the product is also very pretty. My wife is hard enough side jewelry is very satisfied and enjoyed in.</v>
      </c>
    </row>
    <row r="11840">
      <c r="A11840" s="1">
        <v>5.0</v>
      </c>
      <c r="B11840" s="1" t="s">
        <v>11638</v>
      </c>
      <c r="C11840" t="str">
        <f>IFERROR(__xludf.DUMMYFUNCTION("GOOGLETRANSLATE(B11840, ""fr"", ""en"")"),"impeccable delivery. For a Birthday (4 years) great gift appreciated by the young boy.")</f>
        <v>impeccable delivery. For a Birthday (4 years) great gift appreciated by the young boy.</v>
      </c>
    </row>
    <row r="11841">
      <c r="A11841" s="1">
        <v>5.0</v>
      </c>
      <c r="B11841" s="1" t="s">
        <v>11639</v>
      </c>
      <c r="C11841" t="str">
        <f>IFERROR(__xludf.DUMMYFUNCTION("GOOGLETRANSLATE(B11841, ""fr"", ""en"")"),"Although Nikel nothing to say for the price, shipping a little long count 2 weeks. Battery not included.")</f>
        <v>Although Nikel nothing to say for the price, shipping a little long count 2 weeks. Battery not included.</v>
      </c>
    </row>
    <row r="11842">
      <c r="A11842" s="1">
        <v>5.0</v>
      </c>
      <c r="B11842" s="1" t="s">
        <v>11640</v>
      </c>
      <c r="C11842" t="str">
        <f>IFERROR(__xludf.DUMMYFUNCTION("GOOGLETRANSLATE(B11842, ""fr"", ""en"")"),"Good product size is good, the correct weight and relatively comfortable (it is not either slippers). Small flat domestic support is a little firm for my taste, I added inner gel insoles and all is well. Good product")</f>
        <v>Good product size is good, the correct weight and relatively comfortable (it is not either slippers). Small flat domestic support is a little firm for my taste, I added inner gel insoles and all is well. Good product</v>
      </c>
    </row>
    <row r="11843">
      <c r="A11843" s="1">
        <v>5.0</v>
      </c>
      <c r="B11843" s="1" t="s">
        <v>11641</v>
      </c>
      <c r="C11843" t="str">
        <f>IFERROR(__xludf.DUMMYFUNCTION("GOOGLETRANSLATE(B11843, ""fr"", ""en"")"),"Very good buy very good buy. Good grip")</f>
        <v>Very good buy very good buy. Good grip</v>
      </c>
    </row>
    <row r="11844">
      <c r="A11844" s="1">
        <v>5.0</v>
      </c>
      <c r="B11844" s="1" t="s">
        <v>11642</v>
      </c>
      <c r="C11844" t="str">
        <f>IFERROR(__xludf.DUMMYFUNCTION("GOOGLETRANSLATE(B11844, ""fr"", ""en"")"),"Very good very good I bought it 2 years ago but I every day I come to change")</f>
        <v>Very good very good I bought it 2 years ago but I every day I come to change</v>
      </c>
    </row>
    <row r="11845">
      <c r="A11845" s="1">
        <v>5.0</v>
      </c>
      <c r="B11845" s="1" t="s">
        <v>11643</v>
      </c>
      <c r="C11845" t="str">
        <f>IFERROR(__xludf.DUMMYFUNCTION("GOOGLETRANSLATE(B11845, ""fr"", ""en"")"),"Bracelet quality I am delighted with my purchase. I bought this bracelet for the offer and it really is beautiful. Small diamonds hold well. The. Strap can be tightened as desired and it holds very well. It is superb, very happy. I recommend.")</f>
        <v>Bracelet quality I am delighted with my purchase. I bought this bracelet for the offer and it really is beautiful. Small diamonds hold well. The. Strap can be tightened as desired and it holds very well. It is superb, very happy. I recommend.</v>
      </c>
    </row>
    <row r="11846">
      <c r="A11846" s="1">
        <v>5.0</v>
      </c>
      <c r="B11846" s="1" t="s">
        <v>11644</v>
      </c>
      <c r="C11846" t="str">
        <f>IFERROR(__xludf.DUMMYFUNCTION("GOOGLETRANSLATE(B11846, ""fr"", ""en"")"),"Top quality good XXXL size 183 cm 120kg Perfect Cam good time top")</f>
        <v>Top quality good XXXL size 183 cm 120kg Perfect Cam good time top</v>
      </c>
    </row>
    <row r="11847">
      <c r="A11847" s="1">
        <v>5.0</v>
      </c>
      <c r="B11847" s="1" t="s">
        <v>11645</v>
      </c>
      <c r="C11847" t="str">
        <f>IFERROR(__xludf.DUMMYFUNCTION("GOOGLETRANSLATE(B11847, ""fr"", ""en"")"),"Softness 😊😊 This is a very practical coverage and very sweet. Ideal when it starts getting cold, it prevents out large blankets and adjusts the temperature. Very handy I love")</f>
        <v>Softness 😊😊 This is a very practical coverage and very sweet. Ideal when it starts getting cold, it prevents out large blankets and adjusts the temperature. Very handy I love</v>
      </c>
    </row>
    <row r="11848">
      <c r="A11848" s="1">
        <v>5.0</v>
      </c>
      <c r="B11848" s="1" t="s">
        <v>11646</v>
      </c>
      <c r="C11848" t="str">
        <f>IFERROR(__xludf.DUMMYFUNCTION("GOOGLETRANSLATE(B11848, ""fr"", ""en"")"),"I just love it ! Superb, I who have a small handful I could put the battery in my size, quick delivery nothing wrong I love it! Edit: Buy 4 years ago, still as beautiful, never change the battery.")</f>
        <v>I just love it ! Superb, I who have a small handful I could put the battery in my size, quick delivery nothing wrong I love it! Edit: Buy 4 years ago, still as beautiful, never change the battery.</v>
      </c>
    </row>
    <row r="11849">
      <c r="A11849" s="1">
        <v>5.0</v>
      </c>
      <c r="B11849" s="1" t="s">
        <v>11647</v>
      </c>
      <c r="C11849" t="str">
        <f>IFERROR(__xludf.DUMMYFUNCTION("GOOGLETRANSLATE(B11849, ""fr"", ""en"")"),"converse reasonable price My son is a fan. He loves this kind of basketball. nothing to say. for the fans I recommend this product")</f>
        <v>converse reasonable price My son is a fan. He loves this kind of basketball. nothing to say. for the fans I recommend this product</v>
      </c>
    </row>
    <row r="11850">
      <c r="A11850" s="1">
        <v>2.0</v>
      </c>
      <c r="B11850" s="1" t="s">
        <v>11648</v>
      </c>
      <c r="C11850" t="str">
        <f>IFERROR(__xludf.DUMMYFUNCTION("GOOGLETRANSLATE(B11850, ""fr"", ""en"")"),"simple with easy reading disappointed to update the date as button defective - it was not a priority for me but more easy reading without glasses hour - I did not dare therefore tested the tightness !")</f>
        <v>simple with easy reading disappointed to update the date as button defective - it was not a priority for me but more easy reading without glasses hour - I did not dare therefore tested the tightness !</v>
      </c>
    </row>
    <row r="11851">
      <c r="A11851" s="1">
        <v>1.0</v>
      </c>
      <c r="B11851" s="1" t="s">
        <v>11649</v>
      </c>
      <c r="C11851" t="str">
        <f>IFERROR(__xludf.DUMMYFUNCTION("GOOGLETRANSLATE(B11851, ""fr"", ""en"")"),"Not the right product that I put a star becaufe the photo does not match the product. I spent a first order and I thought that there had been a mistake. But passing a second order I noticed that the seller has a bad picture and that the product is not the"&amp;" one shown.")</f>
        <v>Not the right product that I put a star becaufe the photo does not match the product. I spent a first order and I thought that there had been a mistake. But passing a second order I noticed that the seller has a bad picture and that the product is not the one shown.</v>
      </c>
    </row>
    <row r="11852">
      <c r="A11852" s="1">
        <v>3.0</v>
      </c>
      <c r="B11852" s="1" t="s">
        <v>11650</v>
      </c>
      <c r="C11852" t="str">
        <f>IFERROR(__xludf.DUMMYFUNCTION("GOOGLETRANSLATE(B11852, ""fr"", ""en"")"),"Its very flat At first, the helmet is rather nice, but beware fingerprints with the glossy plastic. Once on the ears, the helmet is an absolutely remarkable comfort (circa, for me) and the surrounding noise rather mitigated. Pairing with my iPhone was don"&amp;"e without any difficulty. Then comes the time of the test sound and there is disappointment. The sound has no depth, it's flat. Even with an equalizer, nothing happens, bluetooth as wired. In short, to watch a movie or video, why not, especially since the"&amp;" headset is very comfortable, but especially not to listen to music.")</f>
        <v>Its very flat At first, the helmet is rather nice, but beware fingerprints with the glossy plastic. Once on the ears, the helmet is an absolutely remarkable comfort (circa, for me) and the surrounding noise rather mitigated. Pairing with my iPhone was done without any difficulty. Then comes the time of the test sound and there is disappointment. The sound has no depth, it's flat. Even with an equalizer, nothing happens, bluetooth as wired. In short, to watch a movie or video, why not, especially since the headset is very comfortable, but especially not to listen to music.</v>
      </c>
    </row>
    <row r="11853">
      <c r="A11853" s="1">
        <v>3.0</v>
      </c>
      <c r="B11853" s="1" t="s">
        <v>11651</v>
      </c>
      <c r="C11853" t="str">
        <f>IFERROR(__xludf.DUMMYFUNCTION("GOOGLETRANSLATE(B11853, ""fr"", ""en"")"),"The sweater sweater pineapple is cut (I took a million). Printing is perfect. Only downside matter, I expected warmer. The material is a little shiny synthetic view.")</f>
        <v>The sweater sweater pineapple is cut (I took a million). Printing is perfect. Only downside matter, I expected warmer. The material is a little shiny synthetic view.</v>
      </c>
    </row>
    <row r="11854">
      <c r="A11854" s="1">
        <v>4.0</v>
      </c>
      <c r="B11854" s="1" t="s">
        <v>11652</v>
      </c>
      <c r="C11854" t="str">
        <f>IFERROR(__xludf.DUMMYFUNCTION("GOOGLETRANSLATE(B11854, ""fr"", ""en"")"),"Consistent with the description The product is fully compliant to the specification and delivery is fast but for me it vibrates too eventually. The sound is OK, I've had worse for lower vibration. I think the speed of fans will be conquered. I recommend t"&amp;"he product and the seller.")</f>
        <v>Consistent with the description The product is fully compliant to the specification and delivery is fast but for me it vibrates too eventually. The sound is OK, I've had worse for lower vibration. I think the speed of fans will be conquered. I recommend the product and the seller.</v>
      </c>
    </row>
    <row r="11855">
      <c r="A11855" s="1">
        <v>4.0</v>
      </c>
      <c r="B11855" s="1" t="s">
        <v>11653</v>
      </c>
      <c r="C11855" t="str">
        <f>IFERROR(__xludf.DUMMYFUNCTION("GOOGLETRANSLATE(B11855, ""fr"", ""en"")"),"very good value Very good value, with transparent inscriptions disappear after lamination to properly remember insertion direction. I have made it 4 stars because some kits contain dust that adhered to plastic are difficult to remove before laminating in "&amp;"this case I set the default in the back of sheets I laminated. I am still very satisfied because the top edge allows easy positioning of the document and that the dimensions of the circumference are perfect for a perfect lamination of the document.")</f>
        <v>very good value Very good value, with transparent inscriptions disappear after lamination to properly remember insertion direction. I have made it 4 stars because some kits contain dust that adhered to plastic are difficult to remove before laminating in this case I set the default in the back of sheets I laminated. I am still very satisfied because the top edge allows easy positioning of the document and that the dimensions of the circumference are perfect for a perfect lamination of the document.</v>
      </c>
    </row>
    <row r="11856">
      <c r="A11856" s="1">
        <v>4.0</v>
      </c>
      <c r="B11856" s="1" t="s">
        <v>11654</v>
      </c>
      <c r="C11856" t="str">
        <f>IFERROR(__xludf.DUMMYFUNCTION("GOOGLETRANSLATE(B11856, ""fr"", ""en"")"),"Gift Lovely Gift recommends compliant PANDORA Bracelet identical to the photo !!")</f>
        <v>Gift Lovely Gift recommends compliant PANDORA Bracelet identical to the photo !!</v>
      </c>
    </row>
    <row r="11857">
      <c r="A11857" s="1">
        <v>4.0</v>
      </c>
      <c r="B11857" s="1" t="s">
        <v>11655</v>
      </c>
      <c r="C11857" t="str">
        <f>IFERROR(__xludf.DUMMYFUNCTION("GOOGLETRANSLATE(B11857, ""fr"", ""en"")"),"Advent Teat 2 hole Tetine good but for my son and gallia anti regurgitation milk I had to take her 3 hole 3months + so that he didnt than one month because milk was sinking too slowly which lenervais much.")</f>
        <v>Advent Teat 2 hole Tetine good but for my son and gallia anti regurgitation milk I had to take her 3 hole 3months + so that he didnt than one month because milk was sinking too slowly which lenervais much.</v>
      </c>
    </row>
    <row r="11858">
      <c r="A11858" s="1">
        <v>4.0</v>
      </c>
      <c r="B11858" s="1" t="s">
        <v>11656</v>
      </c>
      <c r="C11858" t="str">
        <f>IFERROR(__xludf.DUMMYFUNCTION("GOOGLETRANSLATE(B11858, ""fr"", ""en"")"),"Certain defects .... To replace my EPSON Stylus BW600FW whose dismantling was impossible to clean the ink sponge. Can not set directly ink shades. Cart undermined leaves convenient to go out. tactil too small screen. Only quality: the WiFi connection spee"&amp;"d. Conclusion: I start cleaning the EPSON patiently .....")</f>
        <v>Certain defects .... To replace my EPSON Stylus BW600FW whose dismantling was impossible to clean the ink sponge. Can not set directly ink shades. Cart undermined leaves convenient to go out. tactil too small screen. Only quality: the WiFi connection speed. Conclusion: I start cleaning the EPSON patiently .....</v>
      </c>
    </row>
    <row r="11859">
      <c r="A11859" s="1">
        <v>5.0</v>
      </c>
      <c r="B11859" s="1" t="s">
        <v>11657</v>
      </c>
      <c r="C11859" t="str">
        <f>IFERROR(__xludf.DUMMYFUNCTION("GOOGLETRANSLATE(B11859, ""fr"", ""en"")"),"Good product slipper winter warm")</f>
        <v>Good product slipper winter warm</v>
      </c>
    </row>
    <row r="11860">
      <c r="A11860" s="1">
        <v>5.0</v>
      </c>
      <c r="B11860" s="1" t="s">
        <v>11658</v>
      </c>
      <c r="C11860" t="str">
        <f>IFERROR(__xludf.DUMMYFUNCTION("GOOGLETRANSLATE(B11860, ""fr"", ""en"")"),"Good pacifier nipple consistent with the description")</f>
        <v>Good pacifier nipple consistent with the description</v>
      </c>
    </row>
    <row r="11861">
      <c r="A11861" s="1">
        <v>5.0</v>
      </c>
      <c r="B11861" s="1" t="s">
        <v>11659</v>
      </c>
      <c r="C11861" t="str">
        <f>IFERROR(__xludf.DUMMYFUNCTION("GOOGLETRANSLATE(B11861, ""fr"", ""en"")"),"Size limit 1Petlt 37 36 1 bit tight for the 37. For me it was limited, it LIRS I do 1 ""&amp; nbsp; true &amp; nbsp;"" 37 My nephew needed as I thought of the size above.")</f>
        <v>Size limit 1Petlt 37 36 1 bit tight for the 37. For me it was limited, it LIRS I do 1 "&amp; nbsp; true &amp; nbsp;" 37 My nephew needed as I thought of the size above.</v>
      </c>
    </row>
    <row r="11862">
      <c r="A11862" s="1">
        <v>5.0</v>
      </c>
      <c r="B11862" s="1" t="s">
        <v>11660</v>
      </c>
      <c r="C11862" t="str">
        <f>IFERROR(__xludf.DUMMYFUNCTION("GOOGLETRANSLATE(B11862, ""fr"", ""en"")"),"PERFECT In reading offered or reading comprehension, my cycle 3 students in me wanting more, they are captivated by the adventures of Hermes!")</f>
        <v>PERFECT In reading offered or reading comprehension, my cycle 3 students in me wanting more, they are captivated by the adventures of Hermes!</v>
      </c>
    </row>
    <row r="11863">
      <c r="A11863" s="1">
        <v>5.0</v>
      </c>
      <c r="B11863" s="1" t="s">
        <v>11661</v>
      </c>
      <c r="C11863" t="str">
        <f>IFERROR(__xludf.DUMMYFUNCTION("GOOGLETRANSLATE(B11863, ""fr"", ""en"")"),"Micro lightweight, durable and high quality! The reputation of this brand is more to do! I use it extensively for micro stories for several months and I am very satisfied! It does absolutely no abyss even if it is transported in a bulk bag! I recommend th"&amp;"is micro eyes closed because it has a great value!")</f>
        <v>Micro lightweight, durable and high quality! The reputation of this brand is more to do! I use it extensively for micro stories for several months and I am very satisfied! It does absolutely no abyss even if it is transported in a bulk bag! I recommend this micro eyes closed because it has a great value!</v>
      </c>
    </row>
    <row r="11864">
      <c r="A11864" s="1">
        <v>5.0</v>
      </c>
      <c r="B11864" s="1" t="s">
        <v>11662</v>
      </c>
      <c r="C11864" t="str">
        <f>IFERROR(__xludf.DUMMYFUNCTION("GOOGLETRANSLATE(B11864, ""fr"", ""en"")"),"RAS Nothing to report. Easy to assemble, sometimes into 3 parts.")</f>
        <v>RAS Nothing to report. Easy to assemble, sometimes into 3 parts.</v>
      </c>
    </row>
    <row r="11865">
      <c r="A11865" s="1">
        <v>5.0</v>
      </c>
      <c r="B11865" s="1" t="s">
        <v>11663</v>
      </c>
      <c r="C11865" t="str">
        <f>IFERROR(__xludf.DUMMYFUNCTION("GOOGLETRANSLATE(B11865, ""fr"", ""en"")"),"perfect ! a first for me adept creams amiss, she is just super nice. no smell, good packaging, perfect pipette. Nothing to say. As to the skin closed pores, smooth and light skin. non fatty oil. perfect delivery too. I recommend and do not understand why "&amp;"this type of oil is not over emphasized!")</f>
        <v>perfect ! a first for me adept creams amiss, she is just super nice. no smell, good packaging, perfect pipette. Nothing to say. As to the skin closed pores, smooth and light skin. non fatty oil. perfect delivery too. I recommend and do not understand why this type of oil is not over emphasized!</v>
      </c>
    </row>
    <row r="11866">
      <c r="A11866" s="1">
        <v>5.0</v>
      </c>
      <c r="B11866" s="1" t="s">
        <v>11664</v>
      </c>
      <c r="C11866" t="str">
        <f>IFERROR(__xludf.DUMMYFUNCTION("GOOGLETRANSLATE(B11866, ""fr"", ""en"")"),"Perfect Very good value for money :) Its like that with my old so audio cables on top. By receiving coil I thought ""thin I had not seen that there was no plotter for the yarn (black / negative)"" but in the end there are markings on the cable (cable char"&amp;"acteristics ) always the same so it helps to not mislead the side over long distances instead of taking the meter and test the continuity :)")</f>
        <v>Perfect Very good value for money :) Its like that with my old so audio cables on top. By receiving coil I thought "thin I had not seen that there was no plotter for the yarn (black / negative)" but in the end there are markings on the cable (cable characteristics ) always the same so it helps to not mislead the side over long distances instead of taking the meter and test the continuity :)</v>
      </c>
    </row>
    <row r="11867">
      <c r="A11867" s="1">
        <v>5.0</v>
      </c>
      <c r="B11867" s="1" t="s">
        <v>11665</v>
      </c>
      <c r="C11867" t="str">
        <f>IFERROR(__xludf.DUMMYFUNCTION("GOOGLETRANSLATE(B11867, ""fr"", ""en"")"),"Perfect I have installed and used in Blu-ray player for a few days now, it works perfectly. Of course, it is important to remember that you will need the appropriate software to play Blu-ray disc. I downloaded the Blu-ray player to test it. until now, it "&amp;"is excellent, the driver was logical to work too. A manual or user guide is not necessary.")</f>
        <v>Perfect I have installed and used in Blu-ray player for a few days now, it works perfectly. Of course, it is important to remember that you will need the appropriate software to play Blu-ray disc. I downloaded the Blu-ray player to test it. until now, it is excellent, the driver was logical to work too. A manual or user guide is not necessary.</v>
      </c>
    </row>
    <row r="11868">
      <c r="A11868" s="1">
        <v>5.0</v>
      </c>
      <c r="B11868" s="1" t="s">
        <v>11666</v>
      </c>
      <c r="C11868" t="str">
        <f>IFERROR(__xludf.DUMMYFUNCTION("GOOGLETRANSLATE(B11868, ""fr"", ""en"")"),"cocinelle I buy this product for a baptism. really disappointed. Delivered in a box and I got a pair of earrings available. Nothing to say of this website. especially well packed, which is important.")</f>
        <v>cocinelle I buy this product for a baptism. really disappointed. Delivered in a box and I got a pair of earrings available. Nothing to say of this website. especially well packed, which is important.</v>
      </c>
    </row>
    <row r="11869">
      <c r="A11869" s="1">
        <v>5.0</v>
      </c>
      <c r="B11869" s="1" t="s">
        <v>11667</v>
      </c>
      <c r="C11869" t="str">
        <f>IFERROR(__xludf.DUMMYFUNCTION("GOOGLETRANSLATE(B11869, ""fr"", ""en"")"),"Great sound I adore It is not the first time that I control the sound is top entrust the best with silicone protection on the headphones they hold in place and the bass really significant if t")</f>
        <v>Great sound I adore It is not the first time that I control the sound is top entrust the best with silicone protection on the headphones they hold in place and the bass really significant if t</v>
      </c>
    </row>
    <row r="11870">
      <c r="A11870" s="1">
        <v>5.0</v>
      </c>
      <c r="B11870" s="1" t="s">
        <v>11668</v>
      </c>
      <c r="C11870" t="str">
        <f>IFERROR(__xludf.DUMMYFUNCTION("GOOGLETRANSLATE(B11870, ""fr"", ""en"")"),"Great !! After several months of use in hot or cold, I am extremely pleased of these pockets (I bought 2). They leave more either for myself or for my grandchildren: eg hot drink that my little son drank in my car at the exit of school!")</f>
        <v>Great !! After several months of use in hot or cold, I am extremely pleased of these pockets (I bought 2). They leave more either for myself or for my grandchildren: eg hot drink that my little son drank in my car at the exit of school!</v>
      </c>
    </row>
    <row r="11871">
      <c r="A11871" s="1">
        <v>5.0</v>
      </c>
      <c r="B11871" s="1" t="s">
        <v>11669</v>
      </c>
      <c r="C11871" t="str">
        <f>IFERROR(__xludf.DUMMYFUNCTION("GOOGLETRANSLATE(B11871, ""fr"", ""en"")"),"Foot micro Seems solid.")</f>
        <v>Foot micro Seems solid.</v>
      </c>
    </row>
    <row r="11872">
      <c r="A11872" s="1">
        <v>5.0</v>
      </c>
      <c r="B11872" s="1" t="s">
        <v>11670</v>
      </c>
      <c r="C11872" t="str">
        <f>IFERROR(__xludf.DUMMYFUNCTION("GOOGLETRANSLATE(B11872, ""fr"", ""en"")"),"Beautiful fossil shows shows presented in an attractive gift box christmas special iron my son adored. She is even more beautiful in real life. I recommend this purchase.")</f>
        <v>Beautiful fossil shows shows presented in an attractive gift box christmas special iron my son adored. She is even more beautiful in real life. I recommend this purchase.</v>
      </c>
    </row>
    <row r="11873">
      <c r="A11873" s="1">
        <v>5.0</v>
      </c>
      <c r="B11873" s="1" t="s">
        <v>11671</v>
      </c>
      <c r="C11873" t="str">
        <f>IFERROR(__xludf.DUMMYFUNCTION("GOOGLETRANSLATE(B11873, ""fr"", ""en"")"),"I just love it!!! The good reviews convinced me to buy his sneakers. Thank you to all serious people who commented. These sneakers came 15 days after the order and 10 days before the scheduled date. They are as beautiful as on the photo above and it feels"&amp;" like slippers !! I use it for the gym only. I am THRILLED and will recommend another pair of a different color.")</f>
        <v>I just love it!!! The good reviews convinced me to buy his sneakers. Thank you to all serious people who commented. These sneakers came 15 days after the order and 10 days before the scheduled date. They are as beautiful as on the photo above and it feels like slippers !! I use it for the gym only. I am THRILLED and will recommend another pair of a different color.</v>
      </c>
    </row>
    <row r="11874">
      <c r="A11874" s="1">
        <v>2.0</v>
      </c>
      <c r="B11874" s="1" t="s">
        <v>11672</v>
      </c>
      <c r="C11874" t="str">
        <f>IFERROR(__xludf.DUMMYFUNCTION("GOOGLETRANSLATE(B11874, ""fr"", ""en"")"),"Charm guaranteed effect At the reception, I miss fasteners for earrings + the packaging cover. Clearly I did not expect to receive a high-end set, but for once, it really makes ""charm"". I had to provide for Mother's Day in addition to a strap also order"&amp;"ed on the site (the same effect), but rather think offer other things because I'm going to look ridiculous.")</f>
        <v>Charm guaranteed effect At the reception, I miss fasteners for earrings + the packaging cover. Clearly I did not expect to receive a high-end set, but for once, it really makes "charm". I had to provide for Mother's Day in addition to a strap also ordered on the site (the same effect), but rather think offer other things because I'm going to look ridiculous.</v>
      </c>
    </row>
    <row r="11875">
      <c r="A11875" s="1">
        <v>1.0</v>
      </c>
      <c r="B11875" s="1" t="s">
        <v>11673</v>
      </c>
      <c r="C11875" t="str">
        <f>IFERROR(__xludf.DUMMYFUNCTION("GOOGLETRANSLATE(B11875, ""fr"", ""en"")"),"Article disastrous great void in fact I do not understand the comments precedent is the very brittle junk does not close very disappointed they ended up in the trash.")</f>
        <v>Article disastrous great void in fact I do not understand the comments precedent is the very brittle junk does not close very disappointed they ended up in the trash.</v>
      </c>
    </row>
    <row r="11876">
      <c r="A11876" s="1">
        <v>1.0</v>
      </c>
      <c r="B11876" s="1" t="s">
        <v>11674</v>
      </c>
      <c r="C11876" t="str">
        <f>IFERROR(__xludf.DUMMYFUNCTION("GOOGLETRANSLATE(B11876, ""fr"", ""en"")"),"Amazon sells counterfeit ??? Forgery, unnecessary purchase, paper smell burned with a chemical scent")</f>
        <v>Amazon sells counterfeit ??? Forgery, unnecessary purchase, paper smell burned with a chemical scent</v>
      </c>
    </row>
    <row r="11877">
      <c r="A11877" s="1">
        <v>3.0</v>
      </c>
      <c r="B11877" s="1" t="s">
        <v>11675</v>
      </c>
      <c r="C11877" t="str">
        <f>IFERROR(__xludf.DUMMYFUNCTION("GOOGLETRANSLATE(B11877, ""fr"", ""en"")"),"Silver Several time I order a silver chain and although they are nice I think they are thinner than the appearance they give the photo. They are very cool when you're allergic to other metals.")</f>
        <v>Silver Several time I order a silver chain and although they are nice I think they are thinner than the appearance they give the photo. They are very cool when you're allergic to other metals.</v>
      </c>
    </row>
    <row r="11878">
      <c r="A11878" s="1">
        <v>3.0</v>
      </c>
      <c r="B11878" s="1" t="s">
        <v>11676</v>
      </c>
      <c r="C11878" t="str">
        <f>IFERROR(__xludf.DUMMYFUNCTION("GOOGLETRANSLATE(B11878, ""fr"", ""en"")"),"The Storage Practice")</f>
        <v>The Storage Practice</v>
      </c>
    </row>
    <row r="11879">
      <c r="A11879" s="1">
        <v>4.0</v>
      </c>
      <c r="B11879" s="1" t="s">
        <v>11677</v>
      </c>
      <c r="C11879" t="str">
        <f>IFERROR(__xludf.DUMMYFUNCTION("GOOGLETRANSLATE(B11879, ""fr"", ""en"")"),"Excellent Excellent product value very simple price Pairing His perfect")</f>
        <v>Excellent Excellent product value very simple price Pairing His perfect</v>
      </c>
    </row>
    <row r="11880">
      <c r="A11880" s="1">
        <v>4.0</v>
      </c>
      <c r="B11880" s="1" t="s">
        <v>11678</v>
      </c>
      <c r="C11880" t="str">
        <f>IFERROR(__xludf.DUMMYFUNCTION("GOOGLETRANSLATE(B11880, ""fr"", ""en"")"),"Comfortable To walk")</f>
        <v>Comfortable To walk</v>
      </c>
    </row>
    <row r="11881">
      <c r="A11881" s="1">
        <v>4.0</v>
      </c>
      <c r="B11881" s="1" t="s">
        <v>11679</v>
      </c>
      <c r="C11881" t="str">
        <f>IFERROR(__xludf.DUMMYFUNCTION("GOOGLETRANSLATE(B11881, ""fr"", ""en"")"),"To blow your nose gently First, I have not received a lot of 12 boxes, but a lot of 3 boxes. More than enough to test the product but I hope that buyers will receive their 12 boxes well ... Then the dishes are quite nice, better than the usual same old mo"&amp;"no color. So we can let hang easily on the coffee table in the living room. What about the handkerchief? these are tissues, gentle enough, sufficient thickness not you stay in the fingers even though wet as some.")</f>
        <v>To blow your nose gently First, I have not received a lot of 12 boxes, but a lot of 3 boxes. More than enough to test the product but I hope that buyers will receive their 12 boxes well ... Then the dishes are quite nice, better than the usual same old mono color. So we can let hang easily on the coffee table in the living room. What about the handkerchief? these are tissues, gentle enough, sufficient thickness not you stay in the fingers even though wet as some.</v>
      </c>
    </row>
    <row r="11882">
      <c r="A11882" s="1">
        <v>4.0</v>
      </c>
      <c r="B11882" s="1" t="s">
        <v>11680</v>
      </c>
      <c r="C11882" t="str">
        <f>IFERROR(__xludf.DUMMYFUNCTION("GOOGLETRANSLATE(B11882, ""fr"", ""en"")"),"practice a little disappointed in the quality, but at that price it was not I receive an item pure leather .... The quality / price is right. The cover is very convenient and dimensions match those that I expected.")</f>
        <v>practice a little disappointed in the quality, but at that price it was not I receive an item pure leather .... The quality / price is right. The cover is very convenient and dimensions match those that I expected.</v>
      </c>
    </row>
    <row r="11883">
      <c r="A11883" s="1">
        <v>5.0</v>
      </c>
      <c r="B11883" s="1" t="s">
        <v>11681</v>
      </c>
      <c r="C11883" t="str">
        <f>IFERROR(__xludf.DUMMYFUNCTION("GOOGLETRANSLATE(B11883, ""fr"", ""en"")"),"Nice product Meets expectations.")</f>
        <v>Nice product Meets expectations.</v>
      </c>
    </row>
    <row r="11884">
      <c r="A11884" s="1">
        <v>5.0</v>
      </c>
      <c r="B11884" s="1" t="s">
        <v>11682</v>
      </c>
      <c r="C11884" t="str">
        <f>IFERROR(__xludf.DUMMYFUNCTION("GOOGLETRANSLATE(B11884, ""fr"", ""en"")"),"Top Super happy. say nothing. I can evaluate longevity but for now nothing to envy the brand. Hoping what lasts.")</f>
        <v>Top Super happy. say nothing. I can evaluate longevity but for now nothing to envy the brand. Hoping what lasts.</v>
      </c>
    </row>
    <row r="11885">
      <c r="A11885" s="1">
        <v>5.0</v>
      </c>
      <c r="B11885" s="1" t="s">
        <v>11683</v>
      </c>
      <c r="C11885" t="str">
        <f>IFERROR(__xludf.DUMMYFUNCTION("GOOGLETRANSLATE(B11885, ""fr"", ""en"")"),"J would have liked to have the manual in French apart from that perfect item for the well-being with essential oils")</f>
        <v>J would have liked to have the manual in French apart from that perfect item for the well-being with essential oils</v>
      </c>
    </row>
    <row r="11886">
      <c r="A11886" s="1">
        <v>5.0</v>
      </c>
      <c r="B11886" s="1" t="s">
        <v>11684</v>
      </c>
      <c r="C11886" t="str">
        <f>IFERROR(__xludf.DUMMYFUNCTION("GOOGLETRANSLATE(B11886, ""fr"", ""en"")"),"Always good sizes Stroll")</f>
        <v>Always good sizes Stroll</v>
      </c>
    </row>
    <row r="11887">
      <c r="A11887" s="1">
        <v>5.0</v>
      </c>
      <c r="B11887" s="1" t="s">
        <v>11685</v>
      </c>
      <c r="C11887" t="str">
        <f>IFERROR(__xludf.DUMMYFUNCTION("GOOGLETRANSLATE(B11887, ""fr"", ""en"")"),"It is simple to use I use Desktop")</f>
        <v>It is simple to use I use Desktop</v>
      </c>
    </row>
    <row r="11888">
      <c r="A11888" s="1">
        <v>5.0</v>
      </c>
      <c r="B11888" s="1" t="s">
        <v>11686</v>
      </c>
      <c r="C11888" t="str">
        <f>IFERROR(__xludf.DUMMYFUNCTION("GOOGLETRANSLATE(B11888, ""fr"", ""en"")"),"Perfect complete fast and efficient full box and quality each accessory is useful for leather and suede. Small defect no manual in French but I leave 5 star because Amazon was smart to do the translation directly on the product description. Maybe just pri"&amp;"nt it and put it in the package would be perfect! I recommend this product")</f>
        <v>Perfect complete fast and efficient full box and quality each accessory is useful for leather and suede. Small defect no manual in French but I leave 5 star because Amazon was smart to do the translation directly on the product description. Maybe just print it and put it in the package would be perfect! I recommend this product</v>
      </c>
    </row>
    <row r="11889">
      <c r="A11889" s="1">
        <v>5.0</v>
      </c>
      <c r="B11889" s="1" t="s">
        <v>11687</v>
      </c>
      <c r="C11889" t="str">
        <f>IFERROR(__xludf.DUMMYFUNCTION("GOOGLETRANSLATE(B11889, ""fr"", ""en"")"),"Super 👍🏻")</f>
        <v>Super 👍🏻</v>
      </c>
    </row>
    <row r="11890">
      <c r="A11890" s="1">
        <v>5.0</v>
      </c>
      <c r="B11890" s="1" t="s">
        <v>11688</v>
      </c>
      <c r="C11890" t="str">
        <f>IFERROR(__xludf.DUMMYFUNCTION("GOOGLETRANSLATE(B11890, ""fr"", ""en"")"),"Perfect Just perfect. Fits perfectly and landed easily on Samsung phones J3 2016. Received quickly and in good condition.")</f>
        <v>Perfect Just perfect. Fits perfectly and landed easily on Samsung phones J3 2016. Received quickly and in good condition.</v>
      </c>
    </row>
    <row r="11891">
      <c r="A11891" s="1">
        <v>5.0</v>
      </c>
      <c r="B11891" s="1" t="s">
        <v>11689</v>
      </c>
      <c r="C11891" t="str">
        <f>IFERROR(__xludf.DUMMYFUNCTION("GOOGLETRANSLATE(B11891, ""fr"", ""en"")"),"Bad Gifts")</f>
        <v>Bad Gifts</v>
      </c>
    </row>
    <row r="11892">
      <c r="A11892" s="1">
        <v>5.0</v>
      </c>
      <c r="B11892" s="1" t="s">
        <v>11690</v>
      </c>
      <c r="C11892" t="str">
        <f>IFERROR(__xludf.DUMMYFUNCTION("GOOGLETRANSLATE(B11892, ""fr"", ""en"")"),"Good Very good value")</f>
        <v>Good Very good value</v>
      </c>
    </row>
    <row r="11893">
      <c r="A11893" s="1">
        <v>5.0</v>
      </c>
      <c r="B11893" s="1" t="s">
        <v>11691</v>
      </c>
      <c r="C11893" t="str">
        <f>IFERROR(__xludf.DUMMYFUNCTION("GOOGLETRANSLATE(B11893, ""fr"", ""en"")"),"EXCELLENT FOR CITY")</f>
        <v>EXCELLENT FOR CITY</v>
      </c>
    </row>
    <row r="11894">
      <c r="A11894" s="1">
        <v>5.0</v>
      </c>
      <c r="B11894" s="1" t="s">
        <v>11692</v>
      </c>
      <c r="C11894" t="str">
        <f>IFERROR(__xludf.DUMMYFUNCTION("GOOGLETRANSLATE(B11894, ""fr"", ""en"")"),"Helmet top Product bought for my 4 year old son, the sound quality and very easy to fold. It prevails over his bag to his factory that listening to history.")</f>
        <v>Helmet top Product bought for my 4 year old son, the sound quality and very easy to fold. It prevails over his bag to his factory that listening to history.</v>
      </c>
    </row>
    <row r="11895">
      <c r="A11895" s="1">
        <v>5.0</v>
      </c>
      <c r="B11895" s="1" t="s">
        <v>11693</v>
      </c>
      <c r="C11895" t="str">
        <f>IFERROR(__xludf.DUMMYFUNCTION("GOOGLETRANSLATE(B11895, ""fr"", ""en"")"),"Very good price / quality pair of very comfortable and lightweight shoe")</f>
        <v>Very good price / quality pair of very comfortable and lightweight shoe</v>
      </c>
    </row>
    <row r="11896">
      <c r="A11896" s="1">
        <v>5.0</v>
      </c>
      <c r="B11896" s="1" t="s">
        <v>11694</v>
      </c>
      <c r="C11896" t="str">
        <f>IFERROR(__xludf.DUMMYFUNCTION("GOOGLETRANSLATE(B11896, ""fr"", ""en"")"),"Pleased to offer this necklace with this pretty pearl and rhinestones are three very nice I recommend to make a small gift just to please C is pretty classic and c is pleased to offer is well!")</f>
        <v>Pleased to offer this necklace with this pretty pearl and rhinestones are three very nice I recommend to make a small gift just to please C is pretty classic and c is pleased to offer is well!</v>
      </c>
    </row>
    <row r="11897">
      <c r="A11897" s="1">
        <v>5.0</v>
      </c>
      <c r="B11897" s="1" t="s">
        <v>11695</v>
      </c>
      <c r="C11897" t="str">
        <f>IFERROR(__xludf.DUMMYFUNCTION("GOOGLETRANSLATE(B11897, ""fr"", ""en"")"),"Top Remote works well not to fall. Very pleasant.")</f>
        <v>Top Remote works well not to fall. Very pleasant.</v>
      </c>
    </row>
    <row r="11898">
      <c r="A11898" s="1">
        <v>2.0</v>
      </c>
      <c r="B11898" s="1" t="s">
        <v>11696</v>
      </c>
      <c r="C11898" t="str">
        <f>IFERROR(__xludf.DUMMYFUNCTION("GOOGLETRANSLATE(B11898, ""fr"", ""en"")"),"not solid Dead after 3 months for a city shoe use more than sports, they have cracked on the side and very worn soles. Updates on average two days not weeks. By cons level look, well, comfortable.")</f>
        <v>not solid Dead after 3 months for a city shoe use more than sports, they have cracked on the side and very worn soles. Updates on average two days not weeks. By cons level look, well, comfortable.</v>
      </c>
    </row>
    <row r="11899">
      <c r="A11899" s="1">
        <v>1.0</v>
      </c>
      <c r="B11899" s="1" t="s">
        <v>11697</v>
      </c>
      <c r="C11899" t="str">
        <f>IFERROR(__xludf.DUMMYFUNCTION("GOOGLETRANSLATE(B11899, ""fr"", ""en"")"),"Does not work correctly with my software. First, I had some trouble installing the cable drivers (although I am computer class). After successfully installing the drivers and adjust the keyboard settings in my software (Synthesia), it works BUT plays me n"&amp;"otes to the hazards (severe) and blocks my other keys. I do not recommend at all (Synthesia also warns to avoid this kind of product, if only I had seen before). For my first review on Amazon, it's good to leave with an evaluation at a Star!")</f>
        <v>Does not work correctly with my software. First, I had some trouble installing the cable drivers (although I am computer class). After successfully installing the drivers and adjust the keyboard settings in my software (Synthesia), it works BUT plays me notes to the hazards (severe) and blocks my other keys. I do not recommend at all (Synthesia also warns to avoid this kind of product, if only I had seen before). For my first review on Amazon, it's good to leave with an evaluation at a Star!</v>
      </c>
    </row>
    <row r="11900">
      <c r="A11900" s="1">
        <v>1.0</v>
      </c>
      <c r="B11900" s="1" t="s">
        <v>11698</v>
      </c>
      <c r="C11900" t="str">
        <f>IFERROR(__xludf.DUMMYFUNCTION("GOOGLETRANSLATE(B11900, ""fr"", ""en"")"),"Warning rust shoes rust and break after a few weeks and are good for the trash.")</f>
        <v>Warning rust shoes rust and break after a few weeks and are good for the trash.</v>
      </c>
    </row>
    <row r="11901">
      <c r="A11901" s="1">
        <v>3.0</v>
      </c>
      <c r="B11901" s="1" t="s">
        <v>11699</v>
      </c>
      <c r="C11901" t="str">
        <f>IFERROR(__xludf.DUMMYFUNCTION("GOOGLETRANSLATE(B11901, ""fr"", ""en"")"),"not very comfortable so pretty as the picture, and not very comfortable, at this price you can find better")</f>
        <v>not very comfortable so pretty as the picture, and not very comfortable, at this price you can find better</v>
      </c>
    </row>
    <row r="11902">
      <c r="A11902" s="1">
        <v>3.0</v>
      </c>
      <c r="B11902" s="1" t="s">
        <v>11700</v>
      </c>
      <c r="C11902" t="str">
        <f>IFERROR(__xludf.DUMMYFUNCTION("GOOGLETRANSLATE(B11902, ""fr"", ""en"")"),"Comfortable Rollers and elliptical, I thought I sweat more, leaves the skin soft, I have not enough declined to say whether cellulite is attenuated, has an odor that is clear but after 2.3 washes it going, comfortable.")</f>
        <v>Comfortable Rollers and elliptical, I thought I sweat more, leaves the skin soft, I have not enough declined to say whether cellulite is attenuated, has an odor that is clear but after 2.3 washes it going, comfortable.</v>
      </c>
    </row>
    <row r="11903">
      <c r="A11903" s="1">
        <v>4.0</v>
      </c>
      <c r="B11903" s="1" t="s">
        <v>11701</v>
      </c>
      <c r="C11903" t="str">
        <f>IFERROR(__xludf.DUMMYFUNCTION("GOOGLETRANSLATE(B11903, ""fr"", ""en"")"),"good enough product Article pretty good quality for the price, we will see sustainability in time, but for the hobbyist and do voiceovers in videos if left in a position where we are not comfortable with having to handle the ever I think it will last, in "&amp;"short I recommend for an amateur, professional go your way, little more extra fast delivery mega super congratulations Amazon !!!!")</f>
        <v>good enough product Article pretty good quality for the price, we will see sustainability in time, but for the hobbyist and do voiceovers in videos if left in a position where we are not comfortable with having to handle the ever I think it will last, in short I recommend for an amateur, professional go your way, little more extra fast delivery mega super congratulations Amazon !!!!</v>
      </c>
    </row>
    <row r="11904">
      <c r="A11904" s="1">
        <v>4.0</v>
      </c>
      <c r="B11904" s="1" t="s">
        <v>11702</v>
      </c>
      <c r="C11904" t="str">
        <f>IFERROR(__xludf.DUMMYFUNCTION("GOOGLETRANSLATE(B11904, ""fr"", ""en"")"),"pretty unfortunate that the leaflet is written in English !!!!!!!! the tool to reduce the bracelet is not easy to use, better go to your jeweler to avoid damaging your watch !!! t it will be tough? the future will tell !!!")</f>
        <v>pretty unfortunate that the leaflet is written in English !!!!!!!! the tool to reduce the bracelet is not easy to use, better go to your jeweler to avoid damaging your watch !!! t it will be tough? the future will tell !!!</v>
      </c>
    </row>
    <row r="11905">
      <c r="A11905" s="1">
        <v>4.0</v>
      </c>
      <c r="B11905" s="1" t="s">
        <v>11703</v>
      </c>
      <c r="C11905" t="str">
        <f>IFERROR(__xludf.DUMMYFUNCTION("GOOGLETRANSLATE(B11905, ""fr"", ""en"")"),"This is the cable, and good! Easy control, good customer information from the seller. reasonable price this cable is what I was looking for, no more, no less. Section identified with good conductors. In conclusion, this is a good buy. Only regret, the Ger"&amp;"man speaking salespeople .....")</f>
        <v>This is the cable, and good! Easy control, good customer information from the seller. reasonable price this cable is what I was looking for, no more, no less. Section identified with good conductors. In conclusion, this is a good buy. Only regret, the German speaking salespeople .....</v>
      </c>
    </row>
    <row r="11906">
      <c r="A11906" s="1">
        <v>4.0</v>
      </c>
      <c r="B11906" s="1" t="s">
        <v>11704</v>
      </c>
      <c r="C11906" t="str">
        <f>IFERROR(__xludf.DUMMYFUNCTION("GOOGLETRANSLATE(B11906, ""fr"", ""en"")"),"Great product T-shirt with compression end, flexible and excellent compression. For fans of the Under Armor brand, however I feel that the ""quality"" decreased HeatGear on these products (fabric less comfortable to wear than the predecessors)")</f>
        <v>Great product T-shirt with compression end, flexible and excellent compression. For fans of the Under Armor brand, however I feel that the "quality" decreased HeatGear on these products (fabric less comfortable to wear than the predecessors)</v>
      </c>
    </row>
    <row r="11907">
      <c r="A11907" s="1">
        <v>5.0</v>
      </c>
      <c r="B11907" s="1" t="s">
        <v>11705</v>
      </c>
      <c r="C11907" t="str">
        <f>IFERROR(__xludf.DUMMYFUNCTION("GOOGLETRANSLATE(B11907, ""fr"", ""en"")"),"Flexibility and strength. I ordered these shoes to replace a pair of the same brand reach several years and was quelqes scratches. I put on the 43, I chose to order 43, and they are exactly the size we needed. Manufacturing seems very neat.")</f>
        <v>Flexibility and strength. I ordered these shoes to replace a pair of the same brand reach several years and was quelqes scratches. I put on the 43, I chose to order 43, and they are exactly the size we needed. Manufacturing seems very neat.</v>
      </c>
    </row>
    <row r="11908">
      <c r="A11908" s="1">
        <v>5.0</v>
      </c>
      <c r="B11908" s="1" t="s">
        <v>11706</v>
      </c>
      <c r="C11908" t="str">
        <f>IFERROR(__xludf.DUMMYFUNCTION("GOOGLETRANSLATE(B11908, ""fr"", ""en"")"),"Very good color and size correspond to my request. Look nice, as usual with Converse. Delivery time, a little over a week but fast nonetheless.")</f>
        <v>Very good color and size correspond to my request. Look nice, as usual with Converse. Delivery time, a little over a week but fast nonetheless.</v>
      </c>
    </row>
    <row r="11909">
      <c r="A11909" s="1">
        <v>5.0</v>
      </c>
      <c r="B11909" s="1" t="s">
        <v>11707</v>
      </c>
      <c r="C11909" t="str">
        <f>IFERROR(__xludf.DUMMYFUNCTION("GOOGLETRANSLATE(B11909, ""fr"", ""en"")"),"Paper for a little girl This book was the subject of a Christmas present. Although it did not with me this child, I noticed that receipt she could start playing (this is only his first year of learning to read!) She seemed very happy and I find it very en"&amp;"couraging")</f>
        <v>Paper for a little girl This book was the subject of a Christmas present. Although it did not with me this child, I noticed that receipt she could start playing (this is only his first year of learning to read!) She seemed very happy and I find it very encouraging</v>
      </c>
    </row>
    <row r="11910">
      <c r="A11910" s="1">
        <v>5.0</v>
      </c>
      <c r="B11910" s="1" t="s">
        <v>11708</v>
      </c>
      <c r="C11910" t="str">
        <f>IFERROR(__xludf.DUMMYFUNCTION("GOOGLETRANSLATE(B11910, ""fr"", ""en"")"),"product perfectly matches the description The product complies with the description. It is very well designed and quality looks. Its format is not imposing and yet allows plenty of storage space with many practical pockets. A fabric cover is available to "&amp;"dress up the product.")</f>
        <v>product perfectly matches the description The product complies with the description. It is very well designed and quality looks. Its format is not imposing and yet allows plenty of storage space with many practical pockets. A fabric cover is available to dress up the product.</v>
      </c>
    </row>
    <row r="11911">
      <c r="A11911" s="1">
        <v>5.0</v>
      </c>
      <c r="B11911" s="1" t="s">
        <v>11709</v>
      </c>
      <c r="C11911" t="str">
        <f>IFERROR(__xludf.DUMMYFUNCTION("GOOGLETRANSLATE(B11911, ""fr"", ""en"")"),"Jogging pants product perfectly corresponds to my expectation too big or too long with a perfect waist height very good product thank you")</f>
        <v>Jogging pants product perfectly corresponds to my expectation too big or too long with a perfect waist height very good product thank you</v>
      </c>
    </row>
    <row r="11912">
      <c r="A11912" s="1">
        <v>5.0</v>
      </c>
      <c r="B11912" s="1" t="s">
        <v>11710</v>
      </c>
      <c r="C11912" t="str">
        <f>IFERROR(__xludf.DUMMYFUNCTION("GOOGLETRANSLATE(B11912, ""fr"", ""en"")"),"sports jacket I need a jacket to cover outside. He began to feel cold. Jacket off knees. It's also nice when put daily. It keeps warm. I like it.")</f>
        <v>sports jacket I need a jacket to cover outside. He began to feel cold. Jacket off knees. It's also nice when put daily. It keeps warm. I like it.</v>
      </c>
    </row>
    <row r="11913">
      <c r="A11913" s="1">
        <v>5.0</v>
      </c>
      <c r="B11913" s="1" t="s">
        <v>11711</v>
      </c>
      <c r="C11913" t="str">
        <f>IFERROR(__xludf.DUMMYFUNCTION("GOOGLETRANSLATE(B11913, ""fr"", ""en"")"),"Very Satisfactory I tested these headphones this morning by bicycle and is the top, over son lying around and being able to listen to music easily and unencumbered design is very much agréable.écouteurs flashing when is used and even when they are chargin"&amp;"g. Charging is done directly in the storage life and soul together.")</f>
        <v>Very Satisfactory I tested these headphones this morning by bicycle and is the top, over son lying around and being able to listen to music easily and unencumbered design is very much agréable.écouteurs flashing when is used and even when they are charging. Charging is done directly in the storage life and soul together.</v>
      </c>
    </row>
    <row r="11914">
      <c r="A11914" s="1">
        <v>5.0</v>
      </c>
      <c r="B11914" s="1" t="s">
        <v>11712</v>
      </c>
      <c r="C11914" t="str">
        <f>IFERROR(__xludf.DUMMYFUNCTION("GOOGLETRANSLATE(B11914, ""fr"", ""en"")"),"Good RAS product")</f>
        <v>Good RAS product</v>
      </c>
    </row>
    <row r="11915">
      <c r="A11915" s="1">
        <v>5.0</v>
      </c>
      <c r="B11915" s="1" t="s">
        <v>11713</v>
      </c>
      <c r="C11915" t="str">
        <f>IFERROR(__xludf.DUMMYFUNCTION("GOOGLETRANSLATE(B11915, ""fr"", ""en"")"),"Beautiful presentation Hello, These little bottles dragees are superb, they have a good capacity, have a perfect size and the small disappointment is pretty solid, everything is very well packed ;-)")</f>
        <v>Beautiful presentation Hello, These little bottles dragees are superb, they have a good capacity, have a perfect size and the small disappointment is pretty solid, everything is very well packed ;-)</v>
      </c>
    </row>
    <row r="11916">
      <c r="A11916" s="1">
        <v>5.0</v>
      </c>
      <c r="B11916" s="1" t="s">
        <v>11714</v>
      </c>
      <c r="C11916" t="str">
        <f>IFERROR(__xludf.DUMMYFUNCTION("GOOGLETRANSLATE(B11916, ""fr"", ""en"")"),"RAS CONFORM TO THE DESCRIPTION")</f>
        <v>RAS CONFORM TO THE DESCRIPTION</v>
      </c>
    </row>
    <row r="11917">
      <c r="A11917" s="1">
        <v>5.0</v>
      </c>
      <c r="B11917" s="1" t="s">
        <v>11715</v>
      </c>
      <c r="C11917" t="str">
        <f>IFERROR(__xludf.DUMMYFUNCTION("GOOGLETRANSLATE(B11917, ""fr"", ""en"")"),"Glass Kettle White and Brown Awesome last farewell plastic and pleasant the transparency of glass To be able to program the temperature is more pleasant and much more for tea I recommend this purchase Yet little problem with the delivery bar LEDs n ' were"&amp;" not complete, call with a collaborator at Amazon and the day scheduled exchange and made within 48 hours. Perfect")</f>
        <v>Glass Kettle White and Brown Awesome last farewell plastic and pleasant the transparency of glass To be able to program the temperature is more pleasant and much more for tea I recommend this purchase Yet little problem with the delivery bar LEDs n ' were not complete, call with a collaborator at Amazon and the day scheduled exchange and made within 48 hours. Perfect</v>
      </c>
    </row>
    <row r="11918">
      <c r="A11918" s="1">
        <v>5.0</v>
      </c>
      <c r="B11918" s="1" t="s">
        <v>11716</v>
      </c>
      <c r="C11918" t="str">
        <f>IFERROR(__xludf.DUMMYFUNCTION("GOOGLETRANSLATE(B11918, ""fr"", ""en"")"),"Bag Product consistent with the description, I'm surprised the good quality for the price Very happy with my purchase and I recommend cool design")</f>
        <v>Bag Product consistent with the description, I'm surprised the good quality for the price Very happy with my purchase and I recommend cool design</v>
      </c>
    </row>
    <row r="11919">
      <c r="A11919" s="1">
        <v>5.0</v>
      </c>
      <c r="B11919" s="1" t="s">
        <v>11717</v>
      </c>
      <c r="C11919" t="str">
        <f>IFERROR(__xludf.DUMMYFUNCTION("GOOGLETRANSLATE(B11919, ""fr"", ""en"")"),"I recommend sweater Pretty moumouteux, lightweight material to wear and keeps you warm and is very comfortable to wear. He cuts well. And matches the color. Take two sizes above PIUR a wide effect. I recommend.")</f>
        <v>I recommend sweater Pretty moumouteux, lightweight material to wear and keeps you warm and is very comfortable to wear. He cuts well. And matches the color. Take two sizes above PIUR a wide effect. I recommend.</v>
      </c>
    </row>
    <row r="11920">
      <c r="A11920" s="1">
        <v>5.0</v>
      </c>
      <c r="B11920" s="1" t="s">
        <v>11718</v>
      </c>
      <c r="C11920" t="str">
        <f>IFERROR(__xludf.DUMMYFUNCTION("GOOGLETRANSLATE(B11920, ""fr"", ""en"")"),"Very nice bottle lovely bottle. I bought it and I do not regret it, taking in hand is nice, Winnie the drawings are adorable, the fact it is yellow is original compared to the other blue and pink, very easy to clean. I highly recommend. I'm just disappoin"&amp;"ted with the delivery man who laid the parcel on top of all the boxes letters in my building lobby")</f>
        <v>Very nice bottle lovely bottle. I bought it and I do not regret it, taking in hand is nice, Winnie the drawings are adorable, the fact it is yellow is original compared to the other blue and pink, very easy to clean. I highly recommend. I'm just disappointed with the delivery man who laid the parcel on top of all the boxes letters in my building lobby</v>
      </c>
    </row>
    <row r="11921">
      <c r="A11921" s="1">
        <v>5.0</v>
      </c>
      <c r="B11921" s="1" t="s">
        <v>11719</v>
      </c>
      <c r="C11921" t="str">
        <f>IFERROR(__xludf.DUMMYFUNCTION("GOOGLETRANSLATE(B11921, ""fr"", ""en"")"),"A preferred kettle It was a gift. I had already offered two other different models of the brand. So I step back: everybody is happy. Here aesthetics, without being ""Top Design"" (I hesitated between 4 and 5 star just for that) is very nice and we perceiv"&amp;"e quality. The different temperatures perfect for every type of tea, herbal tea, coffee, soup ... Very appreciated. Responds perfectly to use, practical a priori durable, beautiful, five-star.")</f>
        <v>A preferred kettle It was a gift. I had already offered two other different models of the brand. So I step back: everybody is happy. Here aesthetics, without being "Top Design" (I hesitated between 4 and 5 star just for that) is very nice and we perceive quality. The different temperatures perfect for every type of tea, herbal tea, coffee, soup ... Very appreciated. Responds perfectly to use, practical a priori durable, beautiful, five-star.</v>
      </c>
    </row>
    <row r="11922">
      <c r="A11922" s="1">
        <v>2.0</v>
      </c>
      <c r="B11922" s="1" t="s">
        <v>11720</v>
      </c>
      <c r="C11922" t="str">
        <f>IFERROR(__xludf.DUMMYFUNCTION("GOOGLETRANSLATE(B11922, ""fr"", ""en"")"),"Too expensive for a life too short comfortable shoes. But after two and a half months of use, the sole is already exploded under the heel and give unusable. For the price, frankly disappointed")</f>
        <v>Too expensive for a life too short comfortable shoes. But after two and a half months of use, the sole is already exploded under the heel and give unusable. For the price, frankly disappointed</v>
      </c>
    </row>
    <row r="11923">
      <c r="A11923" s="1">
        <v>1.0</v>
      </c>
      <c r="B11923" s="1" t="s">
        <v>11721</v>
      </c>
      <c r="C11923" t="str">
        <f>IFERROR(__xludf.DUMMYFUNCTION("GOOGLETRANSLATE(B11923, ""fr"", ""en"")"),"Great great product")</f>
        <v>Great great product</v>
      </c>
    </row>
    <row r="11924">
      <c r="A11924" s="1">
        <v>1.0</v>
      </c>
      <c r="B11924" s="1" t="s">
        <v>11722</v>
      </c>
      <c r="C11924" t="str">
        <f>IFERROR(__xludf.DUMMYFUNCTION("GOOGLETRANSLATE(B11924, ""fr"", ""en"")"),"steady decline in quality since the 2000s I put docs past years 30aine. Since the relocation of production in Asia, the quality has been steadily declining and a pair of shoes that long ago held resists barely a year. The sole, plastic ""low cost"" wears "&amp;"very quickly, leather is really ""cheap"" and does not take the patina of old leather. There are more English than the name. The Solovair brand, historical manufacturer Dc Martens seems to produce a real alternative that has kept the ethics of the origina"&amp;"l product")</f>
        <v>steady decline in quality since the 2000s I put docs past years 30aine. Since the relocation of production in Asia, the quality has been steadily declining and a pair of shoes that long ago held resists barely a year. The sole, plastic "low cost" wears very quickly, leather is really "cheap" and does not take the patina of old leather. There are more English than the name. The Solovair brand, historical manufacturer Dc Martens seems to produce a real alternative that has kept the ethics of the original product</v>
      </c>
    </row>
    <row r="11925">
      <c r="A11925" s="1">
        <v>3.0</v>
      </c>
      <c r="B11925" s="1" t="s">
        <v>11723</v>
      </c>
      <c r="C11925" t="str">
        <f>IFERROR(__xludf.DUMMYFUNCTION("GOOGLETRANSLATE(B11925, ""fr"", ""en"")"),"Very delicate shoe Beautiful but very delicate right foot inmetable sole deteriorated after 1semaine")</f>
        <v>Very delicate shoe Beautiful but very delicate right foot inmetable sole deteriorated after 1semaine</v>
      </c>
    </row>
    <row r="11926">
      <c r="A11926" s="1">
        <v>4.0</v>
      </c>
      <c r="B11926" s="1" t="s">
        <v>11724</v>
      </c>
      <c r="C11926" t="str">
        <f>IFERROR(__xludf.DUMMYFUNCTION("GOOGLETRANSLATE(B11926, ""fr"", ""en"")"),"Good value for my back pain once I badly I did the best I and will not dot its going to walk once more in pain but when i hurt her senva")</f>
        <v>Good value for my back pain once I badly I did the best I and will not dot its going to walk once more in pain but when i hurt her senva</v>
      </c>
    </row>
    <row r="11927">
      <c r="A11927" s="1">
        <v>4.0</v>
      </c>
      <c r="B11927" s="1" t="s">
        <v>11725</v>
      </c>
      <c r="C11927" t="str">
        <f>IFERROR(__xludf.DUMMYFUNCTION("GOOGLETRANSLATE(B11927, ""fr"", ""en"")"),"Very good sound, the sound quality is very good, perfect positioning in the ears, the product aesthetics. The downside: low battery and small clip to attach to the neck of an easy shirt to lose.")</f>
        <v>Very good sound, the sound quality is very good, perfect positioning in the ears, the product aesthetics. The downside: low battery and small clip to attach to the neck of an easy shirt to lose.</v>
      </c>
    </row>
    <row r="11928">
      <c r="A11928" s="1">
        <v>4.0</v>
      </c>
      <c r="B11928" s="1" t="s">
        <v>11726</v>
      </c>
      <c r="C11928" t="str">
        <f>IFERROR(__xludf.DUMMYFUNCTION("GOOGLETRANSLATE(B11928, ""fr"", ""en"")"),"Taking its size nor Marche town.")</f>
        <v>Taking its size nor Marche town.</v>
      </c>
    </row>
    <row r="11929">
      <c r="A11929" s="1">
        <v>4.0</v>
      </c>
      <c r="B11929" s="1" t="s">
        <v>11727</v>
      </c>
      <c r="C11929" t="str">
        <f>IFERROR(__xludf.DUMMYFUNCTION("GOOGLETRANSLATE(B11929, ""fr"", ""en"")"),"It's good for office life with tea varied This dinner theater looks like cafeteria, you can make tea, coffee beans, like American coffee, tea flower etc. This is good for my life everyday work desk especially in winter or autumn! But when it is heated a l"&amp;"ittle noise, like the boiler hot water level value is good, that's why I give 4 stars.")</f>
        <v>It's good for office life with tea varied This dinner theater looks like cafeteria, you can make tea, coffee beans, like American coffee, tea flower etc. This is good for my life everyday work desk especially in winter or autumn! But when it is heated a little noise, like the boiler hot water level value is good, that's why I give 4 stars.</v>
      </c>
    </row>
    <row r="11930">
      <c r="A11930" s="1">
        <v>5.0</v>
      </c>
      <c r="B11930" s="1" t="s">
        <v>11728</v>
      </c>
      <c r="C11930" t="str">
        <f>IFERROR(__xludf.DUMMYFUNCTION("GOOGLETRANSLATE(B11930, ""fr"", ""en"")"),"It fat well I use this for cooking tasks")</f>
        <v>It fat well I use this for cooking tasks</v>
      </c>
    </row>
    <row r="11931">
      <c r="A11931" s="1">
        <v>5.0</v>
      </c>
      <c r="B11931" s="1" t="s">
        <v>11729</v>
      </c>
      <c r="C11931" t="str">
        <f>IFERROR(__xludf.DUMMYFUNCTION("GOOGLETRANSLATE(B11931, ""fr"", ""en"")"),"A fine pair of shoes exactly match the description for a price beating all competition. A very good and nice purchase")</f>
        <v>A fine pair of shoes exactly match the description for a price beating all competition. A very good and nice purchase</v>
      </c>
    </row>
    <row r="11932">
      <c r="A11932" s="1">
        <v>5.0</v>
      </c>
      <c r="B11932" s="1" t="s">
        <v>11730</v>
      </c>
      <c r="C11932" t="str">
        <f>IFERROR(__xludf.DUMMYFUNCTION("GOOGLETRANSLATE(B11932, ""fr"", ""en"")"),"Very satisfied Excellent price / quality")</f>
        <v>Very satisfied Excellent price / quality</v>
      </c>
    </row>
    <row r="11933">
      <c r="A11933" s="1">
        <v>5.0</v>
      </c>
      <c r="B11933" s="1" t="s">
        <v>11731</v>
      </c>
      <c r="C11933" t="str">
        <f>IFERROR(__xludf.DUMMYFUNCTION("GOOGLETRANSLATE(B11933, ""fr"", ""en"")"),"Top! Great product, super fast heating of the bottle on sector. In really long hand into the cigarette lighter in car ... I recommend, very good value!")</f>
        <v>Top! Great product, super fast heating of the bottle on sector. In really long hand into the cigarette lighter in car ... I recommend, very good value!</v>
      </c>
    </row>
    <row r="11934">
      <c r="A11934" s="1">
        <v>5.0</v>
      </c>
      <c r="B11934" s="1" t="s">
        <v>11732</v>
      </c>
      <c r="C11934" t="str">
        <f>IFERROR(__xludf.DUMMYFUNCTION("GOOGLETRANSLATE(B11934, ""fr"", ""en"")"),"ideal watch that shows class price, understated and sporty for me when these three elements are together we get a beautiful watch, which is the case here, in addition to its affordable price to all.")</f>
        <v>ideal watch that shows class price, understated and sporty for me when these three elements are together we get a beautiful watch, which is the case here, in addition to its affordable price to all.</v>
      </c>
    </row>
    <row r="11935">
      <c r="A11935" s="1">
        <v>5.0</v>
      </c>
      <c r="B11935" s="1" t="s">
        <v>11733</v>
      </c>
      <c r="C11935" t="str">
        <f>IFERROR(__xludf.DUMMYFUNCTION("GOOGLETRANSLATE(B11935, ""fr"", ""en"")"),"Letters of the alphabet Ordered for learning letters and writing his name. Very good value for money.")</f>
        <v>Letters of the alphabet Ordered for learning letters and writing his name. Very good value for money.</v>
      </c>
    </row>
    <row r="11936">
      <c r="A11936" s="1">
        <v>5.0</v>
      </c>
      <c r="B11936" s="1" t="s">
        <v>11734</v>
      </c>
      <c r="C11936" t="str">
        <f>IFERROR(__xludf.DUMMYFUNCTION("GOOGLETRANSLATE(B11936, ""fr"", ""en"")"),"This is paper. This is the paper!")</f>
        <v>This is paper. This is the paper!</v>
      </c>
    </row>
    <row r="11937">
      <c r="A11937" s="1">
        <v>5.0</v>
      </c>
      <c r="B11937" s="1" t="s">
        <v>11735</v>
      </c>
      <c r="C11937" t="str">
        <f>IFERROR(__xludf.DUMMYFUNCTION("GOOGLETRANSLATE(B11937, ""fr"", ""en"")"),"TOP OF THE TOP The size is perfect. Comfort is top and above it are light and do not make safety shoes. The price is right. I recommend without hesitation")</f>
        <v>TOP OF THE TOP The size is perfect. Comfort is top and above it are light and do not make safety shoes. The price is right. I recommend without hesitation</v>
      </c>
    </row>
    <row r="11938">
      <c r="A11938" s="1">
        <v>5.0</v>
      </c>
      <c r="B11938" s="1" t="s">
        <v>11736</v>
      </c>
      <c r="C11938" t="str">
        <f>IFERROR(__xludf.DUMMYFUNCTION("GOOGLETRANSLATE(B11938, ""fr"", ""en"")"),"Useful Very useful for daily use. Effective. I advise buying.")</f>
        <v>Useful Very useful for daily use. Effective. I advise buying.</v>
      </c>
    </row>
    <row r="11939">
      <c r="A11939" s="1">
        <v>5.0</v>
      </c>
      <c r="B11939" s="1" t="s">
        <v>11737</v>
      </c>
      <c r="C11939" t="str">
        <f>IFERROR(__xludf.DUMMYFUNCTION("GOOGLETRANSLATE(B11939, ""fr"", ""en"")"),"Excellent product, answer my need excellent product, answer my need (fill light in a corner of the room) ... I'm done ""sting"" by my daughter who also enjoyed and brought At her place ! The only little ""problem"" is to turn it off, you must repeatedly p"&amp;"ress the button that lets you choose the lighting level (there are 4) and finally to extinguish the lamp. It is true that often it does not go out there fault that remake the tower (4 supports) to finally extinguish it ... That said my wife there happens "&amp;"almost at once to turn it off. I recommend.")</f>
        <v>Excellent product, answer my need excellent product, answer my need (fill light in a corner of the room) ... I'm done "sting" by my daughter who also enjoyed and brought At her place ! The only little "problem" is to turn it off, you must repeatedly press the button that lets you choose the lighting level (there are 4) and finally to extinguish the lamp. It is true that often it does not go out there fault that remake the tower (4 supports) to finally extinguish it ... That said my wife there happens almost at once to turn it off. I recommend.</v>
      </c>
    </row>
    <row r="11940">
      <c r="A11940" s="1">
        <v>5.0</v>
      </c>
      <c r="B11940" s="1" t="s">
        <v>11738</v>
      </c>
      <c r="C11940" t="str">
        <f>IFERROR(__xludf.DUMMYFUNCTION("GOOGLETRANSLATE(B11940, ""fr"", ""en"")"),"Good Very clean")</f>
        <v>Good Very clean</v>
      </c>
    </row>
    <row r="11941">
      <c r="A11941" s="1">
        <v>5.0</v>
      </c>
      <c r="B11941" s="1" t="s">
        <v>11739</v>
      </c>
      <c r="C11941" t="str">
        <f>IFERROR(__xludf.DUMMYFUNCTION("GOOGLETRANSLATE(B11941, ""fr"", ""en"")"),"impeccable quality. For active men.")</f>
        <v>impeccable quality. For active men.</v>
      </c>
    </row>
    <row r="11942">
      <c r="A11942" s="1">
        <v>5.0</v>
      </c>
      <c r="B11942" s="1" t="s">
        <v>11740</v>
      </c>
      <c r="C11942" t="str">
        <f>IFERROR(__xludf.DUMMYFUNCTION("GOOGLETRANSLATE(B11942, ""fr"", ""en"")"),"Kettle 1.7 liter effective, light and beautiful! First stainless kettle for me. Although lighter than my old plastic. Good grip the handle. fast and playful blue light heating. One small note, the base is a bit too light for my taste and may miss some sta"&amp;"bility to hang the kettle on (but it's not really a problem)")</f>
        <v>Kettle 1.7 liter effective, light and beautiful! First stainless kettle for me. Although lighter than my old plastic. Good grip the handle. fast and playful blue light heating. One small note, the base is a bit too light for my taste and may miss some stability to hang the kettle on (but it's not really a problem)</v>
      </c>
    </row>
    <row r="11943">
      <c r="A11943" s="1">
        <v>5.0</v>
      </c>
      <c r="B11943" s="1" t="s">
        <v>11741</v>
      </c>
      <c r="C11943" t="str">
        <f>IFERROR(__xludf.DUMMYFUNCTION("GOOGLETRANSLATE(B11943, ""fr"", ""en"")"),"ink cartridge satisfied very fast transmission")</f>
        <v>ink cartridge satisfied very fast transmission</v>
      </c>
    </row>
    <row r="11944">
      <c r="A11944" s="1">
        <v>5.0</v>
      </c>
      <c r="B11944" s="1" t="s">
        <v>11742</v>
      </c>
      <c r="C11944" t="str">
        <f>IFERROR(__xludf.DUMMYFUNCTION("GOOGLETRANSLATE(B11944, ""fr"", ""en"")"),"Really great, great product it is doing very well I had a fear for the well proportioned. Really great, great product it is doing very well I had a fear for the well proportioned and not too big.")</f>
        <v>Really great, great product it is doing very well I had a fear for the well proportioned. Really great, great product it is doing very well I had a fear for the well proportioned and not too big.</v>
      </c>
    </row>
    <row r="11945">
      <c r="A11945" s="1">
        <v>2.0</v>
      </c>
      <c r="B11945" s="1" t="s">
        <v>11743</v>
      </c>
      <c r="C11945" t="str">
        <f>IFERROR(__xludf.DUMMYFUNCTION("GOOGLETRANSLATE(B11945, ""fr"", ""en"")"),"Although precarious manufacture but as it is plastic, the odors are retained and amplified. No way to wash")</f>
        <v>Although precarious manufacture but as it is plastic, the odors are retained and amplified. No way to wash</v>
      </c>
    </row>
    <row r="11946">
      <c r="A11946" s="1">
        <v>1.0</v>
      </c>
      <c r="B11946" s="1" t="s">
        <v>11744</v>
      </c>
      <c r="C11946" t="str">
        <f>IFERROR(__xludf.DUMMYFUNCTION("GOOGLETRANSLATE(B11946, ""fr"", ""en"")"),"compression jersey this sweet nothing compression, it is just tight !!!! I am so disappointed with this purchase and I do not recommend")</f>
        <v>compression jersey this sweet nothing compression, it is just tight !!!! I am so disappointed with this purchase and I do not recommend</v>
      </c>
    </row>
    <row r="11947">
      <c r="A11947" s="1">
        <v>3.0</v>
      </c>
      <c r="B11947" s="1" t="s">
        <v>11745</v>
      </c>
      <c r="C11947" t="str">
        <f>IFERROR(__xludf.DUMMYFUNCTION("GOOGLETRANSLATE(B11947, ""fr"", ""en"")"),"Beautiful watch but I ve already purchased the same model in blue and I put 5 étoiles.mon comment about my second purchase green flash sale. It lacks the tool to adjust the bracelet and the crown in the air less well adjusted. It's not serious I have the "&amp;"impression that the watch was already delivered to someone else that there was a concern and that I was fobbed off the baby. In waiting for an explanation from the seller. A by this very nice watch for the moment it works. I put it next to the blue we'll "&amp;"see if it lasts 24 hours. Thanks in advance.")</f>
        <v>Beautiful watch but I ve already purchased the same model in blue and I put 5 étoiles.mon comment about my second purchase green flash sale. It lacks the tool to adjust the bracelet and the crown in the air less well adjusted. It's not serious I have the impression that the watch was already delivered to someone else that there was a concern and that I was fobbed off the baby. In waiting for an explanation from the seller. A by this very nice watch for the moment it works. I put it next to the blue we'll see if it lasts 24 hours. Thanks in advance.</v>
      </c>
    </row>
    <row r="11948">
      <c r="A11948" s="1">
        <v>3.0</v>
      </c>
      <c r="B11948" s="1" t="s">
        <v>11746</v>
      </c>
      <c r="C11948" t="str">
        <f>IFERROR(__xludf.DUMMYFUNCTION("GOOGLETRANSLATE(B11948, ""fr"", ""en"")"),"Mixed opinion The big flaw in my opinion, is a low rise and have great difficulty with the lower sizes. I use to dance and have to regularly go in the back ....... otherwise, the fabric is very nice, the design is nice ...... not discreet but friendly ..."&amp;".... apart this defect, I love it")</f>
        <v>Mixed opinion The big flaw in my opinion, is a low rise and have great difficulty with the lower sizes. I use to dance and have to regularly go in the back ....... otherwise, the fabric is very nice, the design is nice ...... not discreet but friendly ....... apart this defect, I love it</v>
      </c>
    </row>
    <row r="11949">
      <c r="A11949" s="1">
        <v>4.0</v>
      </c>
      <c r="B11949" s="1" t="s">
        <v>11747</v>
      </c>
      <c r="C11949" t="str">
        <f>IFERROR(__xludf.DUMMYFUNCTION("GOOGLETRANSLATE(B11949, ""fr"", ""en"")"),"Very good product very satisfied nonetheless difficult to install without camera because the plastic part inside out of its housing and impossible to put it back. A raise by a professional.")</f>
        <v>Very good product very satisfied nonetheless difficult to install without camera because the plastic part inside out of its housing and impossible to put it back. A raise by a professional.</v>
      </c>
    </row>
    <row r="11950">
      <c r="A11950" s="1">
        <v>4.0</v>
      </c>
      <c r="B11950" s="1" t="s">
        <v>11748</v>
      </c>
      <c r="C11950" t="str">
        <f>IFERROR(__xludf.DUMMYFUNCTION("GOOGLETRANSLATE(B11950, ""fr"", ""en"")"),"Convenient and efficient This vacuum is specialized in cleaning mites. I like the light levels that measure cleanliness: green light when it is ok, orange when it's not top and red when it's bad. It's convenient and it allows you to know when to stop. It "&amp;"removes dust mites, allergens and bacteria. It is easy to use and clean. My son is allergic to dust mites and I admit that this is handy!")</f>
        <v>Convenient and efficient This vacuum is specialized in cleaning mites. I like the light levels that measure cleanliness: green light when it is ok, orange when it's not top and red when it's bad. It's convenient and it allows you to know when to stop. It removes dust mites, allergens and bacteria. It is easy to use and clean. My son is allergic to dust mites and I admit that this is handy!</v>
      </c>
    </row>
    <row r="11951">
      <c r="A11951" s="1">
        <v>4.0</v>
      </c>
      <c r="B11951" s="1" t="s">
        <v>11749</v>
      </c>
      <c r="C11951" t="str">
        <f>IFERROR(__xludf.DUMMYFUNCTION("GOOGLETRANSLATE(B11951, ""fr"", ""en"")"),"Good product Good product, quality fashion dawn only downside Ringtones ""natures"" waves / birds are very artificial I recommend anyway.")</f>
        <v>Good product Good product, quality fashion dawn only downside Ringtones "natures" waves / birds are very artificial I recommend anyway.</v>
      </c>
    </row>
    <row r="11952">
      <c r="A11952" s="1">
        <v>4.0</v>
      </c>
      <c r="B11952" s="1" t="s">
        <v>11750</v>
      </c>
      <c r="C11952" t="str">
        <f>IFERROR(__xludf.DUMMYFUNCTION("GOOGLETRANSLATE(B11952, ""fr"", ""en"")"),"Okay okay")</f>
        <v>Okay okay</v>
      </c>
    </row>
    <row r="11953">
      <c r="A11953" s="1">
        <v>5.0</v>
      </c>
      <c r="B11953" s="1" t="s">
        <v>11751</v>
      </c>
      <c r="C11953" t="str">
        <f>IFERROR(__xludf.DUMMYFUNCTION("GOOGLETRANSLATE(B11953, ""fr"", ""en"")"),"ideal necklace I ordered this necklace as a gift. quality is superb, color too. She is really hungry, pretty. You will not find better elsewhere.")</f>
        <v>ideal necklace I ordered this necklace as a gift. quality is superb, color too. She is really hungry, pretty. You will not find better elsewhere.</v>
      </c>
    </row>
    <row r="11954">
      <c r="A11954" s="1">
        <v>5.0</v>
      </c>
      <c r="B11954" s="1" t="s">
        <v>11752</v>
      </c>
      <c r="C11954" t="str">
        <f>IFERROR(__xludf.DUMMYFUNCTION("GOOGLETRANSLATE(B11954, ""fr"", ""en"")"),"Watch Walking super nice, I like everything especially the color ""melon"" very original.")</f>
        <v>Watch Walking super nice, I like everything especially the color "melon" very original.</v>
      </c>
    </row>
    <row r="11955">
      <c r="A11955" s="1">
        <v>5.0</v>
      </c>
      <c r="B11955" s="1" t="s">
        <v>11753</v>
      </c>
      <c r="C11955" t="str">
        <f>IFERROR(__xludf.DUMMYFUNCTION("GOOGLETRANSLATE(B11955, ""fr"", ""en"")"),"Everything works Markers work well once we figured out how to get off the ink in the tip. I am very satisfied.")</f>
        <v>Everything works Markers work well once we figured out how to get off the ink in the tip. I am very satisfied.</v>
      </c>
    </row>
    <row r="11956">
      <c r="A11956" s="1">
        <v>5.0</v>
      </c>
      <c r="B11956" s="1" t="s">
        <v>11754</v>
      </c>
      <c r="C11956" t="str">
        <f>IFERROR(__xludf.DUMMYFUNCTION("GOOGLETRANSLATE(B11956, ""fr"", ""en"")"),"Satisfaction Superb my son is very happy")</f>
        <v>Satisfaction Superb my son is very happy</v>
      </c>
    </row>
    <row r="11957">
      <c r="A11957" s="1">
        <v>5.0</v>
      </c>
      <c r="B11957" s="1" t="s">
        <v>11755</v>
      </c>
      <c r="C11957" t="str">
        <f>IFERROR(__xludf.DUMMYFUNCTION("GOOGLETRANSLATE(B11957, ""fr"", ""en"")"),"Works fine original cartridge Canon XL, received quickly and well packaged. No worries of operation. I always preferred to take the brand's original cartridges to prevent printhead clogging.")</f>
        <v>Works fine original cartridge Canon XL, received quickly and well packaged. No worries of operation. I always preferred to take the brand's original cartridges to prevent printhead clogging.</v>
      </c>
    </row>
    <row r="11958">
      <c r="A11958" s="1">
        <v>5.0</v>
      </c>
      <c r="B11958" s="1" t="s">
        <v>11756</v>
      </c>
      <c r="C11958" t="str">
        <f>IFERROR(__xludf.DUMMYFUNCTION("GOOGLETRANSLATE(B11958, ""fr"", ""en"")"),"Pretty box to offer for a birth 👶 Very nice gift package at a birth it has needed for the first days and more! Namely: - 1 small bottle with 150ml S pacifier for newborn or liquid fluids. flat cap to seal the bottle and bottle cap with notch for easy ope"&amp;"ning a 🖐🏻 hand Sets 💕 small cores - 1 large bottle of 300ml with nipples M for larger babies or artificial milk (AR example). Flat cap and bottle cap notch. Decor 🐰 rabbit and hearts 💕. BPA and complies with EN 14350 for baby bottles. Made in Germany"&amp;" 🇩🇪 Made of polypropylene, they are dishwasher safe. Do not exceed 100 degrees of treatment. - 2 teats 0-6 months with ring accompanied by their well appreciable protective cap for storage. Decor 💕 small hearts and one pink rabbit 🐰 for the other. Com"&amp;"plies with EN 14000 teats. - 1 rattle gripping butterfly 🦋 pink. Polyester and polypropylene. Small jingle bell 🔔. My daughter is a fan! 😍 For the price (20 € for the writing of this review) is a SUPER gift idea that all parents need to the birth of a "&amp;"baby. Bonus: presence on the box of a pre printed gift gold label (see photo) where you can fill in the child's first name and that of the person who offered the cabinet, for baby shower, it ' Everything is nice 👍 good ☺️ Thank you read 👋")</f>
        <v>Pretty box to offer for a birth 👶 Very nice gift package at a birth it has needed for the first days and more! Namely: - 1 small bottle with 150ml S pacifier for newborn or liquid fluids. flat cap to seal the bottle and bottle cap with notch for easy opening a 🖐🏻 hand Sets 💕 small cores - 1 large bottle of 300ml with nipples M for larger babies or artificial milk (AR example). Flat cap and bottle cap notch. Decor 🐰 rabbit and hearts 💕. BPA and complies with EN 14350 for baby bottles. Made in Germany 🇩🇪 Made of polypropylene, they are dishwasher safe. Do not exceed 100 degrees of treatment. - 2 teats 0-6 months with ring accompanied by their well appreciable protective cap for storage. Decor 💕 small hearts and one pink rabbit 🐰 for the other. Complies with EN 14000 teats. - 1 rattle gripping butterfly 🦋 pink. Polyester and polypropylene. Small jingle bell 🔔. My daughter is a fan! 😍 For the price (20 € for the writing of this review) is a SUPER gift idea that all parents need to the birth of a baby. Bonus: presence on the box of a pre printed gift gold label (see photo) where you can fill in the child's first name and that of the person who offered the cabinet, for baby shower, it ' Everything is nice 👍 good ☺️ Thank you read 👋</v>
      </c>
    </row>
    <row r="11959">
      <c r="A11959" s="1">
        <v>5.0</v>
      </c>
      <c r="B11959" s="1" t="s">
        <v>11757</v>
      </c>
      <c r="C11959" t="str">
        <f>IFERROR(__xludf.DUMMYFUNCTION("GOOGLETRANSLATE(B11959, ""fr"", ""en"")"),"Works great guard well the temperature, I use it for my water bottles go. handy cap to pour the contents.")</f>
        <v>Works great guard well the temperature, I use it for my water bottles go. handy cap to pour the contents.</v>
      </c>
    </row>
    <row r="11960">
      <c r="A11960" s="1">
        <v>5.0</v>
      </c>
      <c r="B11960" s="1" t="s">
        <v>11758</v>
      </c>
      <c r="C11960" t="str">
        <f>IFERROR(__xludf.DUMMYFUNCTION("GOOGLETRANSLATE(B11960, ""fr"", ""en"")"),"Done the job well for its price")</f>
        <v>Done the job well for its price</v>
      </c>
    </row>
    <row r="11961">
      <c r="A11961" s="1">
        <v>5.0</v>
      </c>
      <c r="B11961" s="1" t="s">
        <v>11759</v>
      </c>
      <c r="C11961" t="str">
        <f>IFERROR(__xludf.DUMMYFUNCTION("GOOGLETRANSLATE(B11961, ""fr"", ""en"")"),"Fast delivery Product top top")</f>
        <v>Fast delivery Product top top</v>
      </c>
    </row>
    <row r="11962">
      <c r="A11962" s="1">
        <v>5.0</v>
      </c>
      <c r="B11962" s="1" t="s">
        <v>11760</v>
      </c>
      <c r="C11962" t="str">
        <f>IFERROR(__xludf.DUMMYFUNCTION("GOOGLETRANSLATE(B11962, ""fr"", ""en"")"),"Handkerchiefs Handkerchiefs solid pleasant when trimming. great price. Especially if one takes the subscription. Nothing wrong I keep the subscription.")</f>
        <v>Handkerchiefs Handkerchiefs solid pleasant when trimming. great price. Especially if one takes the subscription. Nothing wrong I keep the subscription.</v>
      </c>
    </row>
    <row r="11963">
      <c r="A11963" s="1">
        <v>5.0</v>
      </c>
      <c r="B11963" s="1" t="s">
        <v>11761</v>
      </c>
      <c r="C11963" t="str">
        <f>IFERROR(__xludf.DUMMYFUNCTION("GOOGLETRANSLATE(B11963, ""fr"", ""en"")"),"Really satisfied Very nice watch, black color with adjustable metal bracelet as the wrist, she arrived in time, very well packaged, well holds the wrist and very practical. a very good value, I am very happy, I highly recommend this product.")</f>
        <v>Really satisfied Very nice watch, black color with adjustable metal bracelet as the wrist, she arrived in time, very well packaged, well holds the wrist and very practical. a very good value, I am very happy, I highly recommend this product.</v>
      </c>
    </row>
    <row r="11964">
      <c r="A11964" s="1">
        <v>5.0</v>
      </c>
      <c r="B11964" s="1" t="s">
        <v>11762</v>
      </c>
      <c r="C11964" t="str">
        <f>IFERROR(__xludf.DUMMYFUNCTION("GOOGLETRANSLATE(B11964, ""fr"", ""en"")"),"super comfortable shoes suitable and comfortable shoes that perfectly meet the announcement. I recommend this product")</f>
        <v>super comfortable shoes suitable and comfortable shoes that perfectly meet the announcement. I recommend this product</v>
      </c>
    </row>
    <row r="11965">
      <c r="A11965" s="1">
        <v>5.0</v>
      </c>
      <c r="B11965" s="1" t="s">
        <v>11763</v>
      </c>
      <c r="C11965" t="str">
        <f>IFERROR(__xludf.DUMMYFUNCTION("GOOGLETRANSLATE(B11965, ""fr"", ""en"")"),"Very good quality / price ratio very good price / quality ratio. The format corresponds perfectly to slide his car registration. I've also added my license and my insurance.")</f>
        <v>Very good quality / price ratio very good price / quality ratio. The format corresponds perfectly to slide his car registration. I've also added my license and my insurance.</v>
      </c>
    </row>
    <row r="11966">
      <c r="A11966" s="1">
        <v>5.0</v>
      </c>
      <c r="B11966" s="1" t="s">
        <v>11764</v>
      </c>
      <c r="C11966" t="str">
        <f>IFERROR(__xludf.DUMMYFUNCTION("GOOGLETRANSLATE(B11966, ""fr"", ""en"")"),"Beautiful CASIO watch Watch which gives a nice effect on your wrist. Comfortable to wear. All information is legible and little more ringing erst coupled with a vibrator !!! For the hard of an excuse to miss waking sheet. But this is not a G-SHOCK, but it"&amp;" is a Casio. Superb watch. No problem.")</f>
        <v>Beautiful CASIO watch Watch which gives a nice effect on your wrist. Comfortable to wear. All information is legible and little more ringing erst coupled with a vibrator !!! For the hard of an excuse to miss waking sheet. But this is not a G-SHOCK, but it is a Casio. Superb watch. No problem.</v>
      </c>
    </row>
    <row r="11967">
      <c r="A11967" s="1">
        <v>5.0</v>
      </c>
      <c r="B11967" s="1" t="s">
        <v>11765</v>
      </c>
      <c r="C11967" t="str">
        <f>IFERROR(__xludf.DUMMYFUNCTION("GOOGLETRANSLATE(B11967, ""fr"", ""en"")"),"Exactly what I was looking for this watch is quite what I was looking for: elegant, minimalist, lightweight, small dial and not too expensive. The product is an excellent price / quality ratio. Indeed, the precise finishing and good quality materials. I s"&amp;"truggle to understand the few reviews that the glass is plastic or mesh failed because it is not. The window is glass and the mesh without blemish. The adjustment of the watch is done quickly and easily on one of the 16 possible steps. Suitable for small "&amp;"wrists like mine (in the picture I am the smallest notch).")</f>
        <v>Exactly what I was looking for this watch is quite what I was looking for: elegant, minimalist, lightweight, small dial and not too expensive. The product is an excellent price / quality ratio. Indeed, the precise finishing and good quality materials. I struggle to understand the few reviews that the glass is plastic or mesh failed because it is not. The window is glass and the mesh without blemish. The adjustment of the watch is done quickly and easily on one of the 16 possible steps. Suitable for small wrists like mine (in the picture I am the smallest notch).</v>
      </c>
    </row>
    <row r="11968">
      <c r="A11968" s="1">
        <v>2.0</v>
      </c>
      <c r="B11968" s="1" t="s">
        <v>11766</v>
      </c>
      <c r="C11968" t="str">
        <f>IFERROR(__xludf.DUMMYFUNCTION("GOOGLETRANSLATE(B11968, ""fr"", ""en"")"),"Too large very large headphones. almost immediate feeling of warmth. I have not kept them. correct finish. Did not test the sound, size and weight were prohibitive.")</f>
        <v>Too large very large headphones. almost immediate feeling of warmth. I have not kept them. correct finish. Did not test the sound, size and weight were prohibitive.</v>
      </c>
    </row>
    <row r="11969">
      <c r="A11969" s="1">
        <v>1.0</v>
      </c>
      <c r="B11969" s="1" t="s">
        <v>11767</v>
      </c>
      <c r="C11969" t="str">
        <f>IFERROR(__xludf.DUMMYFUNCTION("GOOGLETRANSLATE(B11969, ""fr"", ""en"")"),"Sock gap from the first use Budermmy The socks are reinforced on the front and pierce from the first use. Still nice but the quality is disappointing.")</f>
        <v>Sock gap from the first use Budermmy The socks are reinforced on the front and pierce from the first use. Still nice but the quality is disappointing.</v>
      </c>
    </row>
    <row r="11970">
      <c r="A11970" s="1">
        <v>1.0</v>
      </c>
      <c r="B11970" s="1" t="s">
        <v>11768</v>
      </c>
      <c r="C11970" t="str">
        <f>IFERROR(__xludf.DUMMYFUNCTION("GOOGLETRANSLATE(B11970, ""fr"", ""en"")"),"Very poor quality Scotch is fine, transparent, if you take a little break there, no use to tape cartons, appropriate only for taping a letter")</f>
        <v>Very poor quality Scotch is fine, transparent, if you take a little break there, no use to tape cartons, appropriate only for taping a letter</v>
      </c>
    </row>
    <row r="11971">
      <c r="A11971" s="1">
        <v>3.0</v>
      </c>
      <c r="B11971" s="1" t="s">
        <v>11769</v>
      </c>
      <c r="C11971" t="str">
        <f>IFERROR(__xludf.DUMMYFUNCTION("GOOGLETRANSLATE(B11971, ""fr"", ""en"")"),"Nice but fragile seams Design nice, lightweight bag with little space nevertheless instead. The transition to the USB port has not found its use at home (I would need 3 cables to connect the phone to the battery backup ...). But the big worry is that the "&amp;"first day of use, a thong dropped (see photo): poorly sewn I think.")</f>
        <v>Nice but fragile seams Design nice, lightweight bag with little space nevertheless instead. The transition to the USB port has not found its use at home (I would need 3 cables to connect the phone to the battery backup ...). But the big worry is that the first day of use, a thong dropped (see photo): poorly sewn I think.</v>
      </c>
    </row>
    <row r="11972">
      <c r="A11972" s="1">
        <v>4.0</v>
      </c>
      <c r="B11972" s="1" t="s">
        <v>1261</v>
      </c>
      <c r="C11972" t="str">
        <f>IFERROR(__xludf.DUMMYFUNCTION("GOOGLETRANSLATE(B11972, ""fr"", ""en"")"),"good good")</f>
        <v>good good</v>
      </c>
    </row>
    <row r="11973">
      <c r="A11973" s="1">
        <v>4.0</v>
      </c>
      <c r="B11973" s="1" t="s">
        <v>11770</v>
      </c>
      <c r="C11973" t="str">
        <f>IFERROR(__xludf.DUMMYFUNCTION("GOOGLETRANSLATE(B11973, ""fr"", ""en"")"),"Product compliant and mega express delivery Ras")</f>
        <v>Product compliant and mega express delivery Ras</v>
      </c>
    </row>
    <row r="11974">
      <c r="A11974" s="1">
        <v>4.0</v>
      </c>
      <c r="B11974" s="1" t="s">
        <v>11771</v>
      </c>
      <c r="C11974" t="str">
        <f>IFERROR(__xludf.DUMMYFUNCTION("GOOGLETRANSLATE(B11974, ""fr"", ""en"")"),"Pretty A little tight at the shoelaces, but otherwise very nice sneakers")</f>
        <v>Pretty A little tight at the shoelaces, but otherwise very nice sneakers</v>
      </c>
    </row>
    <row r="11975">
      <c r="A11975" s="1">
        <v>4.0</v>
      </c>
      <c r="B11975" s="1" t="s">
        <v>11772</v>
      </c>
      <c r="C11975" t="str">
        <f>IFERROR(__xludf.DUMMYFUNCTION("GOOGLETRANSLATE(B11975, ""fr"", ""en"")"),"satisfied I gave these earrings in my director on the occasion of her birthday she was very happy she is discreet and pretty")</f>
        <v>satisfied I gave these earrings in my director on the occasion of her birthday she was very happy she is discreet and pretty</v>
      </c>
    </row>
    <row r="11976">
      <c r="A11976" s="1">
        <v>5.0</v>
      </c>
      <c r="B11976" s="1" t="s">
        <v>11773</v>
      </c>
      <c r="C11976" t="str">
        <f>IFERROR(__xludf.DUMMYFUNCTION("GOOGLETRANSLATE(B11976, ""fr"", ""en"")"),"Delighted with my Jade Roller skating This jade is very good. Beautiful packaging and sending very fast. I leave permanently in the freezer and it does not move.")</f>
        <v>Delighted with my Jade Roller skating This jade is very good. Beautiful packaging and sending very fast. I leave permanently in the freezer and it does not move.</v>
      </c>
    </row>
    <row r="11977">
      <c r="A11977" s="1">
        <v>5.0</v>
      </c>
      <c r="B11977" s="1" t="s">
        <v>11774</v>
      </c>
      <c r="C11977" t="str">
        <f>IFERROR(__xludf.DUMMYFUNCTION("GOOGLETRANSLATE(B11977, ""fr"", ""en"")"),"Very nice very cute History my girls 4 and 7 years have enjoyed! We'll even buy the other books in the series to see other story of the little hen!")</f>
        <v>Very nice very cute History my girls 4 and 7 years have enjoyed! We'll even buy the other books in the series to see other story of the little hen!</v>
      </c>
    </row>
    <row r="11978">
      <c r="A11978" s="1">
        <v>5.0</v>
      </c>
      <c r="B11978" s="1" t="s">
        <v>11775</v>
      </c>
      <c r="C11978" t="str">
        <f>IFERROR(__xludf.DUMMYFUNCTION("GOOGLETRANSLATE(B11978, ""fr"", ""en"")"),"Very well! Item delivered very quickly, ordered the night before and received the next day. The rollers are of good quality and conform to the description of the seller. Good Quaite money, it's perfect!")</f>
        <v>Very well! Item delivered very quickly, ordered the night before and received the next day. The rollers are of good quality and conform to the description of the seller. Good Quaite money, it's perfect!</v>
      </c>
    </row>
    <row r="11979">
      <c r="A11979" s="1">
        <v>5.0</v>
      </c>
      <c r="B11979" s="1" t="s">
        <v>11776</v>
      </c>
      <c r="C11979" t="str">
        <f>IFERROR(__xludf.DUMMYFUNCTION("GOOGLETRANSLATE(B11979, ""fr"", ""en"")"),"Lightweight and comfortable Very light. Very comfortable. I just love it!! I recommend")</f>
        <v>Lightweight and comfortable Very light. Very comfortable. I just love it!! I recommend</v>
      </c>
    </row>
    <row r="11980">
      <c r="A11980" s="1">
        <v>5.0</v>
      </c>
      <c r="B11980" s="1" t="s">
        <v>11777</v>
      </c>
      <c r="C11980" t="str">
        <f>IFERROR(__xludf.DUMMYFUNCTION("GOOGLETRANSLATE(B11980, ""fr"", ""en"")"),"Perfect Perfect as always, I no longer takes THAT high capacity cartridge because what hard much longer. I exchange cartridge when the printer can no longer print in color and not when she told me of the change, otherwise you lose a copy of 100ène.")</f>
        <v>Perfect Perfect as always, I no longer takes THAT high capacity cartridge because what hard much longer. I exchange cartridge when the printer can no longer print in color and not when she told me of the change, otherwise you lose a copy of 100ène.</v>
      </c>
    </row>
    <row r="11981">
      <c r="A11981" s="1">
        <v>5.0</v>
      </c>
      <c r="B11981" s="1" t="s">
        <v>11778</v>
      </c>
      <c r="C11981" t="str">
        <f>IFERROR(__xludf.DUMMYFUNCTION("GOOGLETRANSLATE(B11981, ""fr"", ""en"")"),"beautifully crafted genuine stones of good quality, the bracelet holds well on the wrist and does not break after months of daily use, I recommend this provider I have three other stones they are all true")</f>
        <v>beautifully crafted genuine stones of good quality, the bracelet holds well on the wrist and does not break after months of daily use, I recommend this provider I have three other stones they are all true</v>
      </c>
    </row>
    <row r="11982">
      <c r="A11982" s="1">
        <v>5.0</v>
      </c>
      <c r="B11982" s="1" t="s">
        <v>11779</v>
      </c>
      <c r="C11982" t="str">
        <f>IFERROR(__xludf.DUMMYFUNCTION("GOOGLETRANSLATE(B11982, ""fr"", ""en"")"),"Tea from adjustable temperature 70 degrees &lt;div id = ""video-block-R197IOQ49AHCQH"" class = ""a-section-spacing-small in-spacing-top mini video-block""&gt; &lt;/ div&gt; &lt;input type = "" hidden ""name ="" ""value ="" https://images-eu.ssl-images-amazon.com/images/"&amp;"I/91iBCXbCDuS.mp4 ""class ="" video-url ""&gt; &lt;input type ="" hidden ""name = """" value = ""https://images-eu.ssl-images-amazon.com/images/I/91P9q5rkF4S.png"" class = ""video-slate-img-url""&gt; &amp; nbsp; This kettle is great! The product matches the pictures a"&amp;"nd description. I'm too happy with this kettle. I bought it to replace mine that was in plastic for use only glass! A little scared when we saw that the outer layer is plastic but it's there not to burn your fingers and actually inside that is indeed the "&amp;"glass! There are 3 heating mode: - We light the ON button and it heats the water to 100 ° then stops herself - We light the ON button and then the KEEP WARM button - &amp; gt; Heats the water to 100 ° and then maintained at 90, 80 or 70 ° as required - is ign"&amp;"ited directly by pressing KEEP WARM and water heated directly to the desired temperature. The blue LED is very pretty, she lights up only when the water is heating up. In addition it is good quality too. I heard the glass kettle is better than plastic, al"&amp;"though the latter is cheaper. For cons, I love the blue light when it works !!! In general it is a purchase very satisfied.")</f>
        <v>Tea from adjustable temperature 70 degrees &lt;div id = "video-block-R197IOQ49AHCQH" class = "a-section-spacing-small in-spacing-top mini video-block"&gt; &lt;/ div&gt; &lt;input type = " hidden "name =" "value =" https://images-eu.ssl-images-amazon.com/images/I/91iBCXbCDuS.mp4 "class =" video-url "&gt; &lt;input type =" hidden "name = "" value = "https://images-eu.ssl-images-amazon.com/images/I/91P9q5rkF4S.png" class = "video-slate-img-url"&gt; &amp; nbsp; This kettle is great! The product matches the pictures and description. I'm too happy with this kettle. I bought it to replace mine that was in plastic for use only glass! A little scared when we saw that the outer layer is plastic but it's there not to burn your fingers and actually inside that is indeed the glass! There are 3 heating mode: - We light the ON button and it heats the water to 100 ° then stops herself - We light the ON button and then the KEEP WARM button - &amp; gt; Heats the water to 100 ° and then maintained at 90, 80 or 70 ° as required - is ignited directly by pressing KEEP WARM and water heated directly to the desired temperature. The blue LED is very pretty, she lights up only when the water is heating up. In addition it is good quality too. I heard the glass kettle is better than plastic, although the latter is cheaper. For cons, I love the blue light when it works !!! In general it is a purchase very satisfied.</v>
      </c>
    </row>
    <row r="11983">
      <c r="A11983" s="1">
        <v>5.0</v>
      </c>
      <c r="B11983" s="1" t="s">
        <v>11780</v>
      </c>
      <c r="C11983" t="str">
        <f>IFERROR(__xludf.DUMMYFUNCTION("GOOGLETRANSLATE(B11983, ""fr"", ""en"")"),"Very good quality / price printing color photos that model serve me later, on photo paper glossy A4 color quality is well respected by against the volume of ink in the cartridge does not allow me to make big impressions.")</f>
        <v>Very good quality / price printing color photos that model serve me later, on photo paper glossy A4 color quality is well respected by against the volume of ink in the cartridge does not allow me to make big impressions.</v>
      </c>
    </row>
    <row r="11984">
      <c r="A11984" s="1">
        <v>5.0</v>
      </c>
      <c r="B11984" s="1" t="s">
        <v>11781</v>
      </c>
      <c r="C11984" t="str">
        <f>IFERROR(__xludf.DUMMYFUNCTION("GOOGLETRANSLATE(B11984, ""fr"", ""en"")"),"Electric Kettle I am very satisfied with this product that matches my expectations, received Saturday, November 24, 2018 in its brand new original packaging flawless thank you goodbye")</f>
        <v>Electric Kettle I am very satisfied with this product that matches my expectations, received Saturday, November 24, 2018 in its brand new original packaging flawless thank you goodbye</v>
      </c>
    </row>
    <row r="11985">
      <c r="A11985" s="1">
        <v>5.0</v>
      </c>
      <c r="B11985" s="1" t="s">
        <v>11782</v>
      </c>
      <c r="C11985" t="str">
        <f>IFERROR(__xludf.DUMMYFUNCTION("GOOGLETRANSLATE(B11985, ""fr"", ""en"")"),"Provide see two sizes above yours. (Small size) These shoes are very comfortable and very thick sole to not feel the stones. Ideal for hiking .I am not disappointed with my purchase and recommended for lovers of walking.")</f>
        <v>Provide see two sizes above yours. (Small size) These shoes are very comfortable and very thick sole to not feel the stones. Ideal for hiking .I am not disappointed with my purchase and recommended for lovers of walking.</v>
      </c>
    </row>
    <row r="11986">
      <c r="A11986" s="1">
        <v>5.0</v>
      </c>
      <c r="B11986" s="1" t="s">
        <v>11783</v>
      </c>
      <c r="C11986" t="str">
        <f>IFERROR(__xludf.DUMMYFUNCTION("GOOGLETRANSLATE(B11986, ""fr"", ""en"")"),"Good value Command in size 42, my feet a little swim. I think this is because toed shoes are after. Otherwise very good stand of the foot and ankle. Friends bikers, it will surely be necessary to increase your speed dial. The toe of the shoe is quite high"&amp;" and wide.")</f>
        <v>Good value Command in size 42, my feet a little swim. I think this is because toed shoes are after. Otherwise very good stand of the foot and ankle. Friends bikers, it will surely be necessary to increase your speed dial. The toe of the shoe is quite high and wide.</v>
      </c>
    </row>
    <row r="11987">
      <c r="A11987" s="1">
        <v>5.0</v>
      </c>
      <c r="B11987" s="1" t="s">
        <v>11784</v>
      </c>
      <c r="C11987" t="str">
        <f>IFERROR(__xludf.DUMMYFUNCTION("GOOGLETRANSLATE(B11987, ""fr"", ""en"")"),"They are lightweight shoes and they fit me. They are top.")</f>
        <v>They are lightweight shoes and they fit me. They are top.</v>
      </c>
    </row>
    <row r="11988">
      <c r="A11988" s="1">
        <v>5.0</v>
      </c>
      <c r="B11988" s="1" t="s">
        <v>11785</v>
      </c>
      <c r="C11988" t="str">
        <f>IFERROR(__xludf.DUMMYFUNCTION("GOOGLETRANSLATE(B11988, ""fr"", ""en"")"),"very nice for the evening I watched this for a short time but I am fascinated by this! The bracelet is very beautiful crystal andwhenever shines. perfectly noble, wearing the wrist is very upscale. By cooperating with the same style of collar, it attracte"&amp;"d a lot of attention during the evening. I love it!")</f>
        <v>very nice for the evening I watched this for a short time but I am fascinated by this! The bracelet is very beautiful crystal andwhenever shines. perfectly noble, wearing the wrist is very upscale. By cooperating with the same style of collar, it attracted a lot of attention during the evening. I love it!</v>
      </c>
    </row>
    <row r="11989">
      <c r="A11989" s="1">
        <v>5.0</v>
      </c>
      <c r="B11989" s="1" t="s">
        <v>11786</v>
      </c>
      <c r="C11989" t="str">
        <f>IFERROR(__xludf.DUMMYFUNCTION("GOOGLETRANSLATE(B11989, ""fr"", ""en"")"),"The best market I am a great devotee of these markers there because I think they are really well suited for fans of coloring. The body of the fabric is thin enough and the tip is average. I love the new advanced locking system because younger have a tende"&amp;"ncy to press too hard and thus to return the tip of the felt which makes it unusable. The big strong point of Bic pens in general is its washable ink! What a change even if the red is always more trouble from the other colors. The colors are nice and the "&amp;"service life is short unless I find these markers to it.")</f>
        <v>The best market I am a great devotee of these markers there because I think they are really well suited for fans of coloring. The body of the fabric is thin enough and the tip is average. I love the new advanced locking system because younger have a tendency to press too hard and thus to return the tip of the felt which makes it unusable. The big strong point of Bic pens in general is its washable ink! What a change even if the red is always more trouble from the other colors. The colors are nice and the service life is short unless I find these markers to it.</v>
      </c>
    </row>
    <row r="11990">
      <c r="A11990" s="1">
        <v>5.0</v>
      </c>
      <c r="B11990" s="1" t="s">
        <v>11787</v>
      </c>
      <c r="C11990" t="str">
        <f>IFERROR(__xludf.DUMMYFUNCTION("GOOGLETRANSLATE(B11990, ""fr"", ""en"")"),"It is recommended Delivery digress fast. The roll once empty empties into the toilet it relieves our trash even if it seems that we pollute more by doing so.")</f>
        <v>It is recommended Delivery digress fast. The roll once empty empties into the toilet it relieves our trash even if it seems that we pollute more by doing so.</v>
      </c>
    </row>
    <row r="11991">
      <c r="A11991" s="1">
        <v>2.0</v>
      </c>
      <c r="B11991" s="1" t="s">
        <v>11788</v>
      </c>
      <c r="C11991" t="str">
        <f>IFERROR(__xludf.DUMMYFUNCTION("GOOGLETRANSLATE(B11991, ""fr"", ""en"")"),"Not content with this cartridge Installed in the right compartment, this sensible ink color being black spell, I do not understand pas.Pourtant 541 XL is good for color, I do not think I was mistaken.")</f>
        <v>Not content with this cartridge Installed in the right compartment, this sensible ink color being black spell, I do not understand pas.Pourtant 541 XL is good for color, I do not think I was mistaken.</v>
      </c>
    </row>
    <row r="11992">
      <c r="A11992" s="1">
        <v>1.0</v>
      </c>
      <c r="B11992" s="1" t="s">
        <v>11789</v>
      </c>
      <c r="C11992" t="str">
        <f>IFERROR(__xludf.DUMMYFUNCTION("GOOGLETRANSLATE(B11992, ""fr"", ""en"")"),"No interest, no interest, nothing to do with the real patch Tiger Balm. The patch is very thin so almost no product to broadcast unlike real patch that lasts 12 hours and it feels right or installing the hot sensation. Zero vulgar dressing with a little c"&amp;"amphor smell very far from what we announced in the description.")</f>
        <v>No interest, no interest, nothing to do with the real patch Tiger Balm. The patch is very thin so almost no product to broadcast unlike real patch that lasts 12 hours and it feels right or installing the hot sensation. Zero vulgar dressing with a little camphor smell very far from what we announced in the description.</v>
      </c>
    </row>
    <row r="11993">
      <c r="A11993" s="1">
        <v>3.0</v>
      </c>
      <c r="B11993" s="1" t="s">
        <v>11790</v>
      </c>
      <c r="C11993" t="str">
        <f>IFERROR(__xludf.DUMMYFUNCTION("GOOGLETRANSLATE(B11993, ""fr"", ""en"")"),"Damaged shoes are already damaged after 5 months of use ...")</f>
        <v>Damaged shoes are already damaged after 5 months of use ...</v>
      </c>
    </row>
    <row r="11994">
      <c r="A11994" s="1">
        <v>3.0</v>
      </c>
      <c r="B11994" s="1" t="s">
        <v>11791</v>
      </c>
      <c r="C11994" t="str">
        <f>IFERROR(__xludf.DUMMYFUNCTION("GOOGLETRANSLATE(B11994, ""fr"", ""en"")"),"Cable seems sturdy and consistent length Fast delivery, Cable seems sturdy and consistent in length, although wired second screen and a laptop so good.")</f>
        <v>Cable seems sturdy and consistent length Fast delivery, Cable seems sturdy and consistent in length, although wired second screen and a laptop so good.</v>
      </c>
    </row>
    <row r="11995">
      <c r="A11995" s="1">
        <v>4.0</v>
      </c>
      <c r="B11995" s="1" t="s">
        <v>11792</v>
      </c>
      <c r="C11995" t="str">
        <f>IFERROR(__xludf.DUMMYFUNCTION("GOOGLETRANSLATE(B11995, ""fr"", ""en"")"),"Good Very good but a bit small shoes")</f>
        <v>Good Very good but a bit small shoes</v>
      </c>
    </row>
    <row r="11996">
      <c r="A11996" s="1">
        <v>4.0</v>
      </c>
      <c r="B11996" s="1" t="s">
        <v>11793</v>
      </c>
      <c r="C11996" t="str">
        <f>IFERROR(__xludf.DUMMYFUNCTION("GOOGLETRANSLATE(B11996, ""fr"", ""en"")"),"Excellent product but not the right color Good product. I order a bag color ""midnight"" but she arrived home in black. The product size are overrated: it takes 3.5 cm thick, 15 cm wide and 20 cm long. The product to air quality so I recommend it.")</f>
        <v>Excellent product but not the right color Good product. I order a bag color "midnight" but she arrived home in black. The product size are overrated: it takes 3.5 cm thick, 15 cm wide and 20 cm long. The product to air quality so I recommend it.</v>
      </c>
    </row>
    <row r="11997">
      <c r="A11997" s="1">
        <v>4.0</v>
      </c>
      <c r="B11997" s="1" t="s">
        <v>11794</v>
      </c>
      <c r="C11997" t="str">
        <f>IFERROR(__xludf.DUMMYFUNCTION("GOOGLETRANSLATE(B11997, ""fr"", ""en"")"),"COMFORTABLE Very comfortable to wear, maybe a bit long.")</f>
        <v>COMFORTABLE Very comfortable to wear, maybe a bit long.</v>
      </c>
    </row>
    <row r="11998">
      <c r="A11998" s="1">
        <v>4.0</v>
      </c>
      <c r="B11998" s="1" t="s">
        <v>11795</v>
      </c>
      <c r="C11998" t="str">
        <f>IFERROR(__xludf.DUMMYFUNCTION("GOOGLETRANSLATE(B11998, ""fr"", ""en"")"),"Ras price. Convenient and lightweight")</f>
        <v>Ras price. Convenient and lightweight</v>
      </c>
    </row>
    <row r="11999">
      <c r="A11999" s="1">
        <v>5.0</v>
      </c>
      <c r="B11999" s="1" t="s">
        <v>11796</v>
      </c>
      <c r="C11999" t="str">
        <f>IFERROR(__xludf.DUMMYFUNCTION("GOOGLETRANSLATE(B11999, ""fr"", ""en"")"),"Very fun and very comfortable Very comfortable and totally suited to hiking shoes")</f>
        <v>Very fun and very comfortable Very comfortable and totally suited to hiking shoes</v>
      </c>
    </row>
    <row r="12000">
      <c r="A12000" s="1">
        <v>5.0</v>
      </c>
      <c r="B12000" s="1" t="s">
        <v>11797</v>
      </c>
      <c r="C12000" t="str">
        <f>IFERROR(__xludf.DUMMYFUNCTION("GOOGLETRANSLATE(B12000, ""fr"", ""en"")"),"Good product, used in decoration Used for creating lace complement vase")</f>
        <v>Good product, used in decoration Used for creating lace complement vase</v>
      </c>
    </row>
    <row r="12001">
      <c r="A12001" s="1">
        <v>5.0</v>
      </c>
      <c r="B12001" s="1" t="s">
        <v>11798</v>
      </c>
      <c r="C12001" t="str">
        <f>IFERROR(__xludf.DUMMYFUNCTION("GOOGLETRANSLATE(B12001, ""fr"", ""en"")"),"Wireless headphones at good value These headphones without UMI brand yarn (a trademark of Amazon) are available at 50 euros price that day, which is ideal to allow his teen to be plugged ... because it ' has become a ""must have"" ... But to have experien"&amp;"ced, teens can lose quite easily, so as not to buy the high end. The quality is quite good for the price, the sound is good phone for music lacks depth and roundness but frankly, if this helmet is for someone who is not particularly music lover, he the jo"&amp;"b, the sound is quite correct. The red box has a nice design, it is small and looks solid. The principle: charging the housing (Micro USB mini cable provided, but not the USB charger) and when one ranks headphones (magnetic location), they are then rechar"&amp;"ged (up to 3 full loads). I appreciate that there is an indication of the level of charge is handy. Each headset once fully charged takes between 4 and 6 hours. It is not bad at all ! It is important to place the right tip size (there are three), so that "&amp;"the headphones good fit in the ear. They are remarkably light and are forgotten. Are not painful for small ears unlike others which are yet more expensive, and I think they really hold well (they have not fallen even after riding). Note that they resistan"&amp;"t to sweat and rain. The Bluetooth pairing is simple, we must know that we can use only one earphone (handy in the street, in stores ... because we keep contact with the outside world) or both ears (this is the binaural mode) . So read the user manual. Th"&amp;"is is the grip controls on the headphones which is a bit complicated I think. But lets many things: take a phone call and hang up, raise or lower the sound, move from one track to another, pause. It takes a few hours of practice to really take in hand. Th"&amp;"at, in any case these wireless headsets, the price of 50 euros, are really interesting.")</f>
        <v>Wireless headphones at good value These headphones without UMI brand yarn (a trademark of Amazon) are available at 50 euros price that day, which is ideal to allow his teen to be plugged ... because it ' has become a "must have" ... But to have experienced, teens can lose quite easily, so as not to buy the high end. The quality is quite good for the price, the sound is good phone for music lacks depth and roundness but frankly, if this helmet is for someone who is not particularly music lover, he the job, the sound is quite correct. The red box has a nice design, it is small and looks solid. The principle: charging the housing (Micro USB mini cable provided, but not the USB charger) and when one ranks headphones (magnetic location), they are then recharged (up to 3 full loads). I appreciate that there is an indication of the level of charge is handy. Each headset once fully charged takes between 4 and 6 hours. It is not bad at all ! It is important to place the right tip size (there are three), so that the headphones good fit in the ear. They are remarkably light and are forgotten. Are not painful for small ears unlike others which are yet more expensive, and I think they really hold well (they have not fallen even after riding). Note that they resistant to sweat and rain. The Bluetooth pairing is simple, we must know that we can use only one earphone (handy in the street, in stores ... because we keep contact with the outside world) or both ears (this is the binaural mode) . So read the user manual. This is the grip controls on the headphones which is a bit complicated I think. But lets many things: take a phone call and hang up, raise or lower the sound, move from one track to another, pause. It takes a few hours of practice to really take in hand. That, in any case these wireless headsets, the price of 50 euros, are really interesting.</v>
      </c>
    </row>
    <row r="12002">
      <c r="A12002" s="1">
        <v>5.0</v>
      </c>
      <c r="B12002" s="1" t="s">
        <v>11799</v>
      </c>
      <c r="C12002" t="str">
        <f>IFERROR(__xludf.DUMMYFUNCTION("GOOGLETRANSLATE(B12002, ""fr"", ""en"")"),"I recommend I recommend happens to washed laundry of Baby because it reduces risk of allergy on the skin of the baby.")</f>
        <v>I recommend I recommend happens to washed laundry of Baby because it reduces risk of allergy on the skin of the baby.</v>
      </c>
    </row>
    <row r="12003">
      <c r="A12003" s="1">
        <v>5.0</v>
      </c>
      <c r="B12003" s="1" t="s">
        <v>11800</v>
      </c>
      <c r="C12003" t="str">
        <f>IFERROR(__xludf.DUMMYFUNCTION("GOOGLETRANSLATE(B12003, ""fr"", ""en"")"),"Original adidas Spezial I bought these shoes because I was fed up sneakers hard at the back especially hard for them and they are super comfortable and very pretty, its exchange of new models hi tech, those are great one believe that walking with slippers"&amp;". I really recommend and more dark green color is super nice.")</f>
        <v>Original adidas Spezial I bought these shoes because I was fed up sneakers hard at the back especially hard for them and they are super comfortable and very pretty, its exchange of new models hi tech, those are great one believe that walking with slippers. I really recommend and more dark green color is super nice.</v>
      </c>
    </row>
    <row r="12004">
      <c r="A12004" s="1">
        <v>5.0</v>
      </c>
      <c r="B12004" s="1" t="s">
        <v>11801</v>
      </c>
      <c r="C12004" t="str">
        <f>IFERROR(__xludf.DUMMYFUNCTION("GOOGLETRANSLATE(B12004, ""fr"", ""en"")"),"Single rear precut paper use. Children especially enjoy their designs they transform into stickers. Great!")</f>
        <v>Single rear precut paper use. Children especially enjoy their designs they transform into stickers. Great!</v>
      </c>
    </row>
    <row r="12005">
      <c r="A12005" s="1">
        <v>5.0</v>
      </c>
      <c r="B12005" s="1" t="s">
        <v>11802</v>
      </c>
      <c r="C12005" t="str">
        <f>IFERROR(__xludf.DUMMYFUNCTION("GOOGLETRANSLATE(B12005, ""fr"", ""en"")"),"simple and efficient diffuser Very good product I already have two of this brand, style is nice and so discreet.")</f>
        <v>simple and efficient diffuser Very good product I already have two of this brand, style is nice and so discreet.</v>
      </c>
    </row>
    <row r="12006">
      <c r="A12006" s="1">
        <v>5.0</v>
      </c>
      <c r="B12006" s="1" t="s">
        <v>11803</v>
      </c>
      <c r="C12006" t="str">
        <f>IFERROR(__xludf.DUMMYFUNCTION("GOOGLETRANSLATE(B12006, ""fr"", ""en"")"),"Ravi Ravi by the ease of use of this product through its distribution system and its ergonomics. I use this product for the dissemination of essential oils in my office. The made that it can be programmed for an hour or three hours, I leave you the choice"&amp;" to determine the time and the diffusion time of your oils. I recommend the so make good use")</f>
        <v>Ravi Ravi by the ease of use of this product through its distribution system and its ergonomics. I use this product for the dissemination of essential oils in my office. The made that it can be programmed for an hour or three hours, I leave you the choice to determine the time and the diffusion time of your oils. I recommend the so make good use</v>
      </c>
    </row>
    <row r="12007">
      <c r="A12007" s="1">
        <v>5.0</v>
      </c>
      <c r="B12007" s="1" t="s">
        <v>11804</v>
      </c>
      <c r="C12007" t="str">
        <f>IFERROR(__xludf.DUMMYFUNCTION("GOOGLETRANSLATE(B12007, ""fr"", ""en"")"),"milk thickened teats number 2 purchased for baby 2 months drinks thickened milk. While the number 1 is stopped up, no problem with that one.")</f>
        <v>milk thickened teats number 2 purchased for baby 2 months drinks thickened milk. While the number 1 is stopped up, no problem with that one.</v>
      </c>
    </row>
    <row r="12008">
      <c r="A12008" s="1">
        <v>5.0</v>
      </c>
      <c r="B12008" s="1" t="s">
        <v>11805</v>
      </c>
      <c r="C12008" t="str">
        <f>IFERROR(__xludf.DUMMYFUNCTION("GOOGLETRANSLATE(B12008, ""fr"", ""en"")"),"nothing very good value for money to say")</f>
        <v>nothing very good value for money to say</v>
      </c>
    </row>
    <row r="12009">
      <c r="A12009" s="1">
        <v>5.0</v>
      </c>
      <c r="B12009" s="1" t="s">
        <v>11806</v>
      </c>
      <c r="C12009" t="str">
        <f>IFERROR(__xludf.DUMMYFUNCTION("GOOGLETRANSLATE(B12009, ""fr"", ""en"")"),"Electric kettle BPA Super electric kettle containing 1.7 liters. Very easy to use and the value for money and really correct. Moreover, they are BPA-free, which is not the case of all marketed products, especially at this price. I recommend.")</f>
        <v>Electric kettle BPA Super electric kettle containing 1.7 liters. Very easy to use and the value for money and really correct. Moreover, they are BPA-free, which is not the case of all marketed products, especially at this price. I recommend.</v>
      </c>
    </row>
    <row r="12010">
      <c r="A12010" s="1">
        <v>5.0</v>
      </c>
      <c r="B12010" s="1" t="s">
        <v>11807</v>
      </c>
      <c r="C12010" t="str">
        <f>IFERROR(__xludf.DUMMYFUNCTION("GOOGLETRANSLATE(B12010, ""fr"", ""en"")"),"Solomon 3D Superb and cozy.")</f>
        <v>Solomon 3D Superb and cozy.</v>
      </c>
    </row>
    <row r="12011">
      <c r="A12011" s="1">
        <v>5.0</v>
      </c>
      <c r="B12011" s="1" t="s">
        <v>11808</v>
      </c>
      <c r="C12011" t="str">
        <f>IFERROR(__xludf.DUMMYFUNCTION("GOOGLETRANSLATE(B12011, ""fr"", ""en"")"),"FEATURED book for a pleasant approach of the sky and the space .Livre browse and read with her children, beautiful photographs and interesting articles Bought for children 7 and 8 years to tackle their first steps towards this universe so mysterious")</f>
        <v>FEATURED book for a pleasant approach of the sky and the space .Livre browse and read with her children, beautiful photographs and interesting articles Bought for children 7 and 8 years to tackle their first steps towards this universe so mysterious</v>
      </c>
    </row>
    <row r="12012">
      <c r="A12012" s="1">
        <v>5.0</v>
      </c>
      <c r="B12012" s="1" t="s">
        <v>11809</v>
      </c>
      <c r="C12012" t="str">
        <f>IFERROR(__xludf.DUMMYFUNCTION("GOOGLETRANSLATE(B12012, ""fr"", ""en"")"),"Perfect Pack ink cartridges consistent with the description, no complaints about the quality and packaging, perfectly suited to the printer of the same brand.")</f>
        <v>Perfect Pack ink cartridges consistent with the description, no complaints about the quality and packaging, perfectly suited to the printer of the same brand.</v>
      </c>
    </row>
    <row r="12013">
      <c r="A12013" s="1">
        <v>5.0</v>
      </c>
      <c r="B12013" s="1" t="s">
        <v>11810</v>
      </c>
      <c r="C12013" t="str">
        <f>IFERROR(__xludf.DUMMYFUNCTION("GOOGLETRANSLATE(B12013, ""fr"", ""en"")"),"Excellent choice This product is design, simple and effective. These may match with any style of interior. Pleasantly surprised dissemination")</f>
        <v>Excellent choice This product is design, simple and effective. These may match with any style of interior. Pleasantly surprised dissemination</v>
      </c>
    </row>
    <row r="12014">
      <c r="A12014" s="1">
        <v>5.0</v>
      </c>
      <c r="B12014" s="1" t="s">
        <v>11811</v>
      </c>
      <c r="C12014" t="str">
        <f>IFERROR(__xludf.DUMMYFUNCTION("GOOGLETRANSLATE(B12014, ""fr"", ""en"")"),"HP Cartridge Cartridge compliant product")</f>
        <v>HP Cartridge Cartridge compliant product</v>
      </c>
    </row>
    <row r="12015">
      <c r="A12015" s="1">
        <v>2.0</v>
      </c>
      <c r="B12015" s="1" t="s">
        <v>11812</v>
      </c>
      <c r="C12015" t="str">
        <f>IFERROR(__xludf.DUMMYFUNCTION("GOOGLETRANSLATE(B12015, ""fr"", ""en"")"),"Size of the bracelet wrist Gift Tower purchased for Valentine's Day I have serious doubts as to the size I am not sure that the bracelet soiut big enough for a woman. The size would rather think of a gift for a teenager The bracelet will be offered for Va"&amp;"lentine's Day, I reserve the right to return it if the size did not fit. In the datasheet there is no clarification size")</f>
        <v>Size of the bracelet wrist Gift Tower purchased for Valentine's Day I have serious doubts as to the size I am not sure that the bracelet soiut big enough for a woman. The size would rather think of a gift for a teenager The bracelet will be offered for Valentine's Day, I reserve the right to return it if the size did not fit. In the datasheet there is no clarification size</v>
      </c>
    </row>
    <row r="12016">
      <c r="A12016" s="1">
        <v>1.0</v>
      </c>
      <c r="B12016" s="1" t="s">
        <v>11813</v>
      </c>
      <c r="C12016" t="str">
        <f>IFERROR(__xludf.DUMMYFUNCTION("GOOGLETRANSLATE(B12016, ""fr"", ""en"")"),"Jacket too big and take twice 83.99 euros in my account jacket it is too large it would take me the s but you had me remove twice 83.99 euros")</f>
        <v>Jacket too big and take twice 83.99 euros in my account jacket it is too large it would take me the s but you had me remove twice 83.99 euros</v>
      </c>
    </row>
    <row r="12017">
      <c r="A12017" s="1">
        <v>1.0</v>
      </c>
      <c r="B12017" s="1" t="s">
        <v>11814</v>
      </c>
      <c r="C12017" t="str">
        <f>IFERROR(__xludf.DUMMYFUNCTION("GOOGLETRANSLATE(B12017, ""fr"", ""en"")"),"24 instead of 30 cords Received cords 24 instead of 30")</f>
        <v>24 instead of 30 cords Received cords 24 instead of 30</v>
      </c>
    </row>
    <row r="12018">
      <c r="A12018" s="1">
        <v>3.0</v>
      </c>
      <c r="B12018" s="1" t="s">
        <v>11815</v>
      </c>
      <c r="C12018" t="str">
        <f>IFERROR(__xludf.DUMMYFUNCTION("GOOGLETRANSLATE(B12018, ""fr"", ""en"")"),"Correct, but weak These socks do not last more than a year or two. They end up having holes on the back or below. however they have the advantage of being more comfortable to wear.")</f>
        <v>Correct, but weak These socks do not last more than a year or two. They end up having holes on the back or below. however they have the advantage of being more comfortable to wear.</v>
      </c>
    </row>
    <row r="12019">
      <c r="A12019" s="1">
        <v>3.0</v>
      </c>
      <c r="B12019" s="1" t="s">
        <v>11816</v>
      </c>
      <c r="C12019" t="str">
        <f>IFERROR(__xludf.DUMMYFUNCTION("GOOGLETRANSLATE(B12019, ""fr"", ""en"")"),"Quality very average for the price a little disappointed in the quality for the price. Metal cable very average. Works well, I can not speak to its durability, I hope I'm wrong.")</f>
        <v>Quality very average for the price a little disappointed in the quality for the price. Metal cable very average. Works well, I can not speak to its durability, I hope I'm wrong.</v>
      </c>
    </row>
    <row r="12020">
      <c r="A12020" s="1">
        <v>4.0</v>
      </c>
      <c r="B12020" s="1" t="s">
        <v>11817</v>
      </c>
      <c r="C12020" t="str">
        <f>IFERROR(__xludf.DUMMYFUNCTION("GOOGLETRANSLATE(B12020, ""fr"", ""en"")"),"Pretty nice sneakers sneakers for my son. Nice design and good cushioning. To see over time. Satisfied with my purchase.")</f>
        <v>Pretty nice sneakers sneakers for my son. Nice design and good cushioning. To see over time. Satisfied with my purchase.</v>
      </c>
    </row>
    <row r="12021">
      <c r="A12021" s="1">
        <v>4.0</v>
      </c>
      <c r="B12021" s="1" t="s">
        <v>11818</v>
      </c>
      <c r="C12021" t="str">
        <f>IFERROR(__xludf.DUMMYFUNCTION("GOOGLETRANSLATE(B12021, ""fr"", ""en"")"),"Not bad Super very soft I did not expect such a small size perfect clasp. I still recommend to see if his will is not too")</f>
        <v>Not bad Super very soft I did not expect such a small size perfect clasp. I still recommend to see if his will is not too</v>
      </c>
    </row>
    <row r="12022">
      <c r="A12022" s="1">
        <v>4.0</v>
      </c>
      <c r="B12022" s="1" t="s">
        <v>11819</v>
      </c>
      <c r="C12022" t="str">
        <f>IFERROR(__xludf.DUMMYFUNCTION("GOOGLETRANSLATE(B12022, ""fr"", ""en"")"),"Size Small Size")</f>
        <v>Size Small Size</v>
      </c>
    </row>
    <row r="12023">
      <c r="A12023" s="1">
        <v>4.0</v>
      </c>
      <c r="B12023" s="1" t="s">
        <v>11820</v>
      </c>
      <c r="C12023" t="str">
        <f>IFERROR(__xludf.DUMMYFUNCTION("GOOGLETRANSLATE(B12023, ""fr"", ""en"")"),"Good product good product overall. Not super stable but sufficient for my use")</f>
        <v>Good product good product overall. Not super stable but sufficient for my use</v>
      </c>
    </row>
    <row r="12024">
      <c r="A12024" s="1">
        <v>4.0</v>
      </c>
      <c r="B12024" s="1" t="s">
        <v>11821</v>
      </c>
      <c r="C12024" t="str">
        <f>IFERROR(__xludf.DUMMYFUNCTION("GOOGLETRANSLATE(B12024, ""fr"", ""en"")"),"Good for its price. Product purchased for travel. Reducing active noise, although it brings a slight white noise, is functional and efficient to clear the roar of a car or the bass speakers of a home theater. Headset which supports the head but comfortabl"&amp;"e, the cushions enclose the ear and are very soft. Noise level good. The spatialization is quite reduced with the ANC (active noise reduction), but acceptable. Good battery but not 30 hours of battery life. Quickly charges.")</f>
        <v>Good for its price. Product purchased for travel. Reducing active noise, although it brings a slight white noise, is functional and efficient to clear the roar of a car or the bass speakers of a home theater. Headset which supports the head but comfortable, the cushions enclose the ear and are very soft. Noise level good. The spatialization is quite reduced with the ANC (active noise reduction), but acceptable. Good battery but not 30 hours of battery life. Quickly charges.</v>
      </c>
    </row>
    <row r="12025">
      <c r="A12025" s="1">
        <v>5.0</v>
      </c>
      <c r="B12025" s="1" t="s">
        <v>11822</v>
      </c>
      <c r="C12025" t="str">
        <f>IFERROR(__xludf.DUMMYFUNCTION("GOOGLETRANSLATE(B12025, ""fr"", ""en"")"),"Perfect Nikel! Good size. My son is delighted.")</f>
        <v>Perfect Nikel! Good size. My son is delighted.</v>
      </c>
    </row>
    <row r="12026">
      <c r="A12026" s="1">
        <v>5.0</v>
      </c>
      <c r="B12026" s="1" t="s">
        <v>11823</v>
      </c>
      <c r="C12026" t="str">
        <f>IFERROR(__xludf.DUMMYFUNCTION("GOOGLETRANSLATE(B12026, ""fr"", ""en"")"),"Thank you I love I am happy with my purchase")</f>
        <v>Thank you I love I am happy with my purchase</v>
      </c>
    </row>
    <row r="12027">
      <c r="A12027" s="1">
        <v>5.0</v>
      </c>
      <c r="B12027" s="1" t="s">
        <v>11824</v>
      </c>
      <c r="C12027" t="str">
        <f>IFERROR(__xludf.DUMMYFUNCTION("GOOGLETRANSLATE(B12027, ""fr"", ""en"")"),"Very good to excellent use associative quality posters nothing wrong")</f>
        <v>Very good to excellent use associative quality posters nothing wrong</v>
      </c>
    </row>
    <row r="12028">
      <c r="A12028" s="1">
        <v>5.0</v>
      </c>
      <c r="B12028" s="1" t="s">
        <v>11825</v>
      </c>
      <c r="C12028" t="str">
        <f>IFERROR(__xludf.DUMMYFUNCTION("GOOGLETRANSLATE(B12028, ""fr"", ""en"")"),"Practical and leak Contain breast pulled milk produced respecting the description of the ad. Very practical and no leaks reported. I carry the bottles in a small cooler bag placed in the stroller.")</f>
        <v>Practical and leak Contain breast pulled milk produced respecting the description of the ad. Very practical and no leaks reported. I carry the bottles in a small cooler bag placed in the stroller.</v>
      </c>
    </row>
    <row r="12029">
      <c r="A12029" s="1">
        <v>5.0</v>
      </c>
      <c r="B12029" s="1" t="s">
        <v>11826</v>
      </c>
      <c r="C12029" t="str">
        <f>IFERROR(__xludf.DUMMYFUNCTION("GOOGLETRANSLATE(B12029, ""fr"", ""en"")"),"bracelet for Garmin in 26mm as well as an original, to ask what will it not out of the same factory")</f>
        <v>bracelet for Garmin in 26mm as well as an original, to ask what will it not out of the same factory</v>
      </c>
    </row>
    <row r="12030">
      <c r="A12030" s="1">
        <v>5.0</v>
      </c>
      <c r="B12030" s="1" t="s">
        <v>11827</v>
      </c>
      <c r="C12030" t="str">
        <f>IFERROR(__xludf.DUMMYFUNCTION("GOOGLETRANSLATE(B12030, ""fr"", ""en"")"),"Purchase suitable for souvenir album. Rather nice the possibility of memories comments. The downside is the fragility of the plastic on the leaves to insert pictures but for the price is very correct")</f>
        <v>Purchase suitable for souvenir album. Rather nice the possibility of memories comments. The downside is the fragility of the plastic on the leaves to insert pictures but for the price is very correct</v>
      </c>
    </row>
    <row r="12031">
      <c r="A12031" s="1">
        <v>5.0</v>
      </c>
      <c r="B12031" s="1" t="s">
        <v>11828</v>
      </c>
      <c r="C12031" t="str">
        <f>IFERROR(__xludf.DUMMYFUNCTION("GOOGLETRANSLATE(B12031, ""fr"", ""en"")"),"Diffuser very pleasant and functional As many people this year, I fell for an essential oil diffuser. This is consistent with the description of a beautiful countenance, and a rather successful online. Steam flow is supported and well disseminated aromas."&amp;" Colors are either changing or fixed but still very nice through the translucent cover. Unbeatable price and next day after the order, Amazon is really great to have fun quickly and cheaply!")</f>
        <v>Diffuser very pleasant and functional As many people this year, I fell for an essential oil diffuser. This is consistent with the description of a beautiful countenance, and a rather successful online. Steam flow is supported and well disseminated aromas. Colors are either changing or fixed but still very nice through the translucent cover. Unbeatable price and next day after the order, Amazon is really great to have fun quickly and cheaply!</v>
      </c>
    </row>
    <row r="12032">
      <c r="A12032" s="1">
        <v>5.0</v>
      </c>
      <c r="B12032" s="1" t="s">
        <v>11829</v>
      </c>
      <c r="C12032" t="str">
        <f>IFERROR(__xludf.DUMMYFUNCTION("GOOGLETRANSLATE(B12032, ""fr"", ""en"")"),"Superb design A beautiful and original kettle Works great so far possible to heat a large amount of water After I hope will be easy descaling")</f>
        <v>Superb design A beautiful and original kettle Works great so far possible to heat a large amount of water After I hope will be easy descaling</v>
      </c>
    </row>
    <row r="12033">
      <c r="A12033" s="1">
        <v>5.0</v>
      </c>
      <c r="B12033" s="1" t="s">
        <v>11830</v>
      </c>
      <c r="C12033" t="str">
        <f>IFERROR(__xludf.DUMMYFUNCTION("GOOGLETRANSLATE(B12033, ""fr"", ""en"")"),"Pretty good product sweater")</f>
        <v>Pretty good product sweater</v>
      </c>
    </row>
    <row r="12034">
      <c r="A12034" s="1">
        <v>5.0</v>
      </c>
      <c r="B12034" s="1" t="s">
        <v>11831</v>
      </c>
      <c r="C12034" t="str">
        <f>IFERROR(__xludf.DUMMYFUNCTION("GOOGLETRANSLATE(B12034, ""fr"", ""en"")"),"Not disappointed Watch practical and solid. Features at the top. Shipping fast and safe.")</f>
        <v>Not disappointed Watch practical and solid. Features at the top. Shipping fast and safe.</v>
      </c>
    </row>
    <row r="12035">
      <c r="A12035" s="1">
        <v>5.0</v>
      </c>
      <c r="B12035" s="1" t="s">
        <v>11832</v>
      </c>
      <c r="C12035" t="str">
        <f>IFERROR(__xludf.DUMMYFUNCTION("GOOGLETRANSLATE(B12035, ""fr"", ""en"")"),"Very Comfortable With lower temperature my feet are happy to be had in these hot slippers. Very comfortable with a thick sole that molds to our foot. Take one size above I do a 41 I took the 42-43 and it's perfect. I recommend you")</f>
        <v>Very Comfortable With lower temperature my feet are happy to be had in these hot slippers. Very comfortable with a thick sole that molds to our foot. Take one size above I do a 41 I took the 42-43 and it's perfect. I recommend you</v>
      </c>
    </row>
    <row r="12036">
      <c r="A12036" s="1">
        <v>5.0</v>
      </c>
      <c r="B12036" s="1" t="s">
        <v>11833</v>
      </c>
      <c r="C12036" t="str">
        <f>IFERROR(__xludf.DUMMYFUNCTION("GOOGLETRANSLATE(B12036, ""fr"", ""en"")"),"A nomadic lamp that has everything a fixed! The light HF3430 / 01 is advertised as nomad in the comparative table of the product page. Indeed, it carries very easily and works just as well on battery sector. It is very intuitive to use: one located on the"&amp;" side stop operation button which locks the stop position when the lamp carries (hold, is unlocked in the same way). The battery level is indicated by a backlight on the front of the lamp. Similarly, the exposure time to the lamp is indicated by a lumineu"&amp;"x.également indicator lamp before. The lamp has 5 levels of light ... it really shines very strong! I understand it is not recommended to use it at night! Fortunately, this lamp is adjustable. The sweetest levels are very pleasant because they do not dazz"&amp;"le. The levels of the strongest lights correspond to the three levels of HF lighting model 3420. These are the most useful in the context of therapy. The lamp is also powerful when it operates on battery power when it is connected and as powerful as the m"&amp;"odel HF 3420. THREE WEEKS after my first comment: I am a fan of my lamp! More than waking in the morning upon awakening (still difficult) without exposing myself ten minutes at least. The glare became less painful and above all I am effective at work all "&amp;"day !!! The lamp comes with a small bag for transport, it is very well thought out. The manual is complete and begins by explaining the benefits of light therapy and times when it is best to expose according to the types of person. I used the morning: I t"&amp;"hink it is something good for harsh awakenings. Finally, I have the feeling to get up while it is broad daylight! After comparison with 3420 lamp, I'd say it's worth it to invest additional € 50 of this model if you travel often (to combat jetlag effect) "&amp;"or if you, like me, used to walk with its lamp itself. For traditional use in a fixed location, I think the model HF3420 is ample.")</f>
        <v>A nomadic lamp that has everything a fixed! The light HF3430 / 01 is advertised as nomad in the comparative table of the product page. Indeed, it carries very easily and works just as well on battery sector. It is very intuitive to use: one located on the side stop operation button which locks the stop position when the lamp carries (hold, is unlocked in the same way). The battery level is indicated by a backlight on the front of the lamp. Similarly, the exposure time to the lamp is indicated by a lumineux.également indicator lamp before. The lamp has 5 levels of light ... it really shines very strong! I understand it is not recommended to use it at night! Fortunately, this lamp is adjustable. The sweetest levels are very pleasant because they do not dazzle. The levels of the strongest lights correspond to the three levels of HF lighting model 3420. These are the most useful in the context of therapy. The lamp is also powerful when it operates on battery power when it is connected and as powerful as the model HF 3420. THREE WEEKS after my first comment: I am a fan of my lamp! More than waking in the morning upon awakening (still difficult) without exposing myself ten minutes at least. The glare became less painful and above all I am effective at work all day !!! The lamp comes with a small bag for transport, it is very well thought out. The manual is complete and begins by explaining the benefits of light therapy and times when it is best to expose according to the types of person. I used the morning: I think it is something good for harsh awakenings. Finally, I have the feeling to get up while it is broad daylight! After comparison with 3420 lamp, I'd say it's worth it to invest additional € 50 of this model if you travel often (to combat jetlag effect) or if you, like me, used to walk with its lamp itself. For traditional use in a fixed location, I think the model HF3420 is ample.</v>
      </c>
    </row>
    <row r="12037">
      <c r="A12037" s="1">
        <v>5.0</v>
      </c>
      <c r="B12037" s="1" t="s">
        <v>11834</v>
      </c>
      <c r="C12037" t="str">
        <f>IFERROR(__xludf.DUMMYFUNCTION("GOOGLETRANSLATE(B12037, ""fr"", ""en"")"),"Ideal for running My wife needed to make socks Running. She's 37. Impeccable shoes. Very happy with the texture. No smell.")</f>
        <v>Ideal for running My wife needed to make socks Running. She's 37. Impeccable shoes. Very happy with the texture. No smell.</v>
      </c>
    </row>
    <row r="12038">
      <c r="A12038" s="1">
        <v>5.0</v>
      </c>
      <c r="B12038" s="1" t="s">
        <v>11835</v>
      </c>
      <c r="C12038" t="str">
        <f>IFERROR(__xludf.DUMMYFUNCTION("GOOGLETRANSLATE(B12038, ""fr"", ""en"")"),"A good laminator versatile Received quickly my new laminator I hate to make him take his first A3 posters to decorate my walls a bit economically and it is a success. It gets hot quickly, silent, fast. the result is up to my expectations. Note that for ex"&amp;"ample some new printers like the new Eco Tank Epson ink used is water based and therefore deteriorates relatively quickly on photo papers if not the ""stabilized"" not just in the plasticizer. This way we keep all our memories intact for many years. So th"&amp;"e laminator is a must for me. Full of small accessories that come with that I will try over time and especially bonuses sleeves to get started. Satisfied, I recommend.")</f>
        <v>A good laminator versatile Received quickly my new laminator I hate to make him take his first A3 posters to decorate my walls a bit economically and it is a success. It gets hot quickly, silent, fast. the result is up to my expectations. Note that for example some new printers like the new Eco Tank Epson ink used is water based and therefore deteriorates relatively quickly on photo papers if not the "stabilized" not just in the plasticizer. This way we keep all our memories intact for many years. So the laminator is a must for me. Full of small accessories that come with that I will try over time and especially bonuses sleeves to get started. Satisfied, I recommend.</v>
      </c>
    </row>
    <row r="12039">
      <c r="A12039" s="1">
        <v>5.0</v>
      </c>
      <c r="B12039" s="1" t="s">
        <v>11836</v>
      </c>
      <c r="C12039" t="str">
        <f>IFERROR(__xludf.DUMMYFUNCTION("GOOGLETRANSLATE(B12039, ""fr"", ""en"")"),"Beautiful jacket Perfect! My son is delighted.")</f>
        <v>Beautiful jacket Perfect! My son is delighted.</v>
      </c>
    </row>
    <row r="12040">
      <c r="A12040" s="1">
        <v>2.0</v>
      </c>
      <c r="B12040" s="1" t="s">
        <v>11837</v>
      </c>
      <c r="C12040" t="str">
        <f>IFERROR(__xludf.DUMMYFUNCTION("GOOGLETRANSLATE(B12040, ""fr"", ""en"")"),"What size...? Not easy to buy without trying ... I will not do ... more")</f>
        <v>What size...? Not easy to buy without trying ... I will not do ... more</v>
      </c>
    </row>
    <row r="12041">
      <c r="A12041" s="1">
        <v>1.0</v>
      </c>
      <c r="B12041" s="1" t="s">
        <v>11838</v>
      </c>
      <c r="C12041" t="str">
        <f>IFERROR(__xludf.DUMMYFUNCTION("GOOGLETRANSLATE(B12041, ""fr"", ""en"")"),"disappointed I was not lucky on 4 rings that I bought 2 months 2 we already lost a stone, which is the case for this ring, which lost a stone heart.")</f>
        <v>disappointed I was not lucky on 4 rings that I bought 2 months 2 we already lost a stone, which is the case for this ring, which lost a stone heart.</v>
      </c>
    </row>
    <row r="12042">
      <c r="A12042" s="1">
        <v>1.0</v>
      </c>
      <c r="B12042" s="1" t="s">
        <v>11839</v>
      </c>
      <c r="C12042" t="str">
        <f>IFERROR(__xludf.DUMMYFUNCTION("GOOGLETRANSLATE(B12042, ""fr"", ""en"")"),"Very good quality / price ratio for live music on you tube or my being Italian. With headphones that avoids çe hear happening around. Too bad It does not work with my TV. Too old !!!!")</f>
        <v>Very good quality / price ratio for live music on you tube or my being Italian. With headphones that avoids çe hear happening around. Too bad It does not work with my TV. Too old !!!!</v>
      </c>
    </row>
    <row r="12043">
      <c r="A12043" s="1">
        <v>3.0</v>
      </c>
      <c r="B12043" s="1" t="s">
        <v>11840</v>
      </c>
      <c r="C12043" t="str">
        <f>IFERROR(__xludf.DUMMYFUNCTION("GOOGLETRANSLATE(B12043, ""fr"", ""en"")"),"attention to pain in the heel counter (bulb) because the counter really goes back much damage because are beautiful shoes")</f>
        <v>attention to pain in the heel counter (bulb) because the counter really goes back much damage because are beautiful shoes</v>
      </c>
    </row>
    <row r="12044">
      <c r="A12044" s="1">
        <v>3.0</v>
      </c>
      <c r="B12044" s="1" t="s">
        <v>11841</v>
      </c>
      <c r="C12044" t="str">
        <f>IFERROR(__xludf.DUMMYFUNCTION("GOOGLETRANSLATE(B12044, ""fr"", ""en"")"),"Very nice kettle kettle, the most beautiful effect in the kitchen! The price is right. By cons not five stars because it is not always very reliable in the temperature level when I bought into a party for it.")</f>
        <v>Very nice kettle kettle, the most beautiful effect in the kitchen! The price is right. By cons not five stars because it is not always very reliable in the temperature level when I bought into a party for it.</v>
      </c>
    </row>
    <row r="12045">
      <c r="A12045" s="1">
        <v>4.0</v>
      </c>
      <c r="B12045" s="1" t="s">
        <v>11842</v>
      </c>
      <c r="C12045" t="str">
        <f>IFERROR(__xludf.DUMMYFUNCTION("GOOGLETRANSLATE(B12045, ""fr"", ""en"")"),"Extra satisfied overall to mix the milk thickens bottles in seconds! Only downside we pass 2 batteries every two weeks I do not know if this is normal or if it is the model that we have that problem, but does not hinder its use (that Just back it expensiv"&amp;"e batteries!) Or long enough for natural plastic bottles and all Advent battery length for release too short to drink bottles gbb Raymond glass (do not attein substance to dissolve lumps milk thickens)")</f>
        <v>Extra satisfied overall to mix the milk thickens bottles in seconds! Only downside we pass 2 batteries every two weeks I do not know if this is normal or if it is the model that we have that problem, but does not hinder its use (that Just back it expensive batteries!) Or long enough for natural plastic bottles and all Advent battery length for release too short to drink bottles gbb Raymond glass (do not attein substance to dissolve lumps milk thickens)</v>
      </c>
    </row>
    <row r="12046">
      <c r="A12046" s="1">
        <v>4.0</v>
      </c>
      <c r="B12046" s="1" t="s">
        <v>11843</v>
      </c>
      <c r="C12046" t="str">
        <f>IFERROR(__xludf.DUMMYFUNCTION("GOOGLETRANSLATE(B12046, ""fr"", ""en"")"),"good sports bra Comfortable leisure but not much maintenance. Acknowledged for 40 L c a little big for support. My might be enough")</f>
        <v>good sports bra Comfortable leisure but not much maintenance. Acknowledged for 40 L c a little big for support. My might be enough</v>
      </c>
    </row>
    <row r="12047">
      <c r="A12047" s="1">
        <v>4.0</v>
      </c>
      <c r="B12047" s="1" t="s">
        <v>11844</v>
      </c>
      <c r="C12047" t="str">
        <f>IFERROR(__xludf.DUMMYFUNCTION("GOOGLETRANSLATE(B12047, ""fr"", ""en"")"),"RECEPTION PACKAGE THANK YOU AN ARTICLE OF GOOD QUALITY")</f>
        <v>RECEPTION PACKAGE THANK YOU AN ARTICLE OF GOOD QUALITY</v>
      </c>
    </row>
    <row r="12048">
      <c r="A12048" s="1">
        <v>4.0</v>
      </c>
      <c r="B12048" s="1" t="s">
        <v>11845</v>
      </c>
      <c r="C12048" t="str">
        <f>IFERROR(__xludf.DUMMYFUNCTION("GOOGLETRANSLATE(B12048, ""fr"", ""en"")"),"Necklace I found this pretty necklace and price is right but short to wear. longer, it would be more beautiful.")</f>
        <v>Necklace I found this pretty necklace and price is right but short to wear. longer, it would be more beautiful.</v>
      </c>
    </row>
    <row r="12049">
      <c r="A12049" s="1">
        <v>5.0</v>
      </c>
      <c r="B12049" s="1" t="s">
        <v>11846</v>
      </c>
      <c r="C12049" t="str">
        <f>IFERROR(__xludf.DUMMYFUNCTION("GOOGLETRANSLATE(B12049, ""fr"", ""en"")"),"Gift awesome Bought for my daughter who is 5 years old, I had a happy. Bluetooth connected to one of our phones, we are entitled to gorgeous representation of the Snow Queen! The echoes form also please him much.")</f>
        <v>Gift awesome Bought for my daughter who is 5 years old, I had a happy. Bluetooth connected to one of our phones, we are entitled to gorgeous representation of the Snow Queen! The echoes form also please him much.</v>
      </c>
    </row>
    <row r="12050">
      <c r="A12050" s="1">
        <v>5.0</v>
      </c>
      <c r="B12050" s="1" t="s">
        <v>11847</v>
      </c>
      <c r="C12050" t="str">
        <f>IFERROR(__xludf.DUMMYFUNCTION("GOOGLETRANSLATE(B12050, ""fr"", ""en"")"),"Those I had it They are light, simple, the sole is very thick! I am very happy with this purchase !!!")</f>
        <v>Those I had it They are light, simple, the sole is very thick! I am very happy with this purchase !!!</v>
      </c>
    </row>
    <row r="12051">
      <c r="A12051" s="1">
        <v>5.0</v>
      </c>
      <c r="B12051" s="1" t="s">
        <v>11848</v>
      </c>
      <c r="C12051" t="str">
        <f>IFERROR(__xludf.DUMMYFUNCTION("GOOGLETRANSLATE(B12051, ""fr"", ""en"")"),"I Ca hair was long since I had not bought. The store prices were prohibitive. Until I check Amazon. I hesitated before buying them and I left on vacation has finished decide. They are now at my feet and I feel another. The Adidas Gazelle you transform a m"&amp;"an.")</f>
        <v>I Ca hair was long since I had not bought. The store prices were prohibitive. Until I check Amazon. I hesitated before buying them and I left on vacation has finished decide. They are now at my feet and I feel another. The Adidas Gazelle you transform a man.</v>
      </c>
    </row>
    <row r="12052">
      <c r="A12052" s="1">
        <v>5.0</v>
      </c>
      <c r="B12052" s="1" t="s">
        <v>11849</v>
      </c>
      <c r="C12052" t="str">
        <f>IFERROR(__xludf.DUMMYFUNCTION("GOOGLETRANSLATE(B12052, ""fr"", ""en"")"),"Top! Look no further than Cool, it's solid, and the loop is top! This is the best I've found")</f>
        <v>Top! Look no further than Cool, it's solid, and the loop is top! This is the best I've found</v>
      </c>
    </row>
    <row r="12053">
      <c r="A12053" s="1">
        <v>5.0</v>
      </c>
      <c r="B12053" s="1" t="s">
        <v>11850</v>
      </c>
      <c r="C12053" t="str">
        <f>IFERROR(__xludf.DUMMYFUNCTION("GOOGLETRANSLATE(B12053, ""fr"", ""en"")"),"very functional and beautiful tea super functional different temperatures available, it's great beautiful design Unlike bcp comments read, the 2 keys with black inscription absolutely not move")</f>
        <v>very functional and beautiful tea super functional different temperatures available, it's great beautiful design Unlike bcp comments read, the 2 keys with black inscription absolutely not move</v>
      </c>
    </row>
    <row r="12054">
      <c r="A12054" s="1">
        <v>5.0</v>
      </c>
      <c r="B12054" s="1" t="s">
        <v>11851</v>
      </c>
      <c r="C12054" t="str">
        <f>IFERROR(__xludf.DUMMYFUNCTION("GOOGLETRANSLATE(B12054, ""fr"", ""en"")"),"Jolie To have the strength with time")</f>
        <v>Jolie To have the strength with time</v>
      </c>
    </row>
    <row r="12055">
      <c r="A12055" s="1">
        <v>5.0</v>
      </c>
      <c r="B12055" s="1" t="s">
        <v>11852</v>
      </c>
      <c r="C12055" t="str">
        <f>IFERROR(__xludf.DUMMYFUNCTION("GOOGLETRANSLATE(B12055, ""fr"", ""en"")"),"Fast delivery The shipment was fast, the price is interesting. I have not yet had the opportunity to test the product. If I am satisfied, I recommend this product.")</f>
        <v>Fast delivery The shipment was fast, the price is interesting. I have not yet had the opportunity to test the product. If I am satisfied, I recommend this product.</v>
      </c>
    </row>
    <row r="12056">
      <c r="A12056" s="1">
        <v>5.0</v>
      </c>
      <c r="B12056" s="1" t="s">
        <v>11853</v>
      </c>
      <c r="C12056" t="str">
        <f>IFERROR(__xludf.DUMMYFUNCTION("GOOGLETRANSLATE(B12056, ""fr"", ""en"")"),"Good quality / price ratio, good técommande I bought this remote to present a defense as part of my studies in engineering. It is very easy to use and easy to implement. Basically what I had to show with your finger, I show the laser pointer and it really"&amp;" makes a difference, no need to move it's top. There are quite a few options, it can trigger automatic scrolling slide show by example. You can also change the pages to full screen or return to the standard display. The contents of the box: the laser remo"&amp;"te control, manual and USB to connect on the computer. PS: Having the USB key that fits into the remote is not bad it avoids losing and it's convenient. I can you recommend it.")</f>
        <v>Good quality / price ratio, good técommande I bought this remote to present a defense as part of my studies in engineering. It is very easy to use and easy to implement. Basically what I had to show with your finger, I show the laser pointer and it really makes a difference, no need to move it's top. There are quite a few options, it can trigger automatic scrolling slide show by example. You can also change the pages to full screen or return to the standard display. The contents of the box: the laser remote control, manual and USB to connect on the computer. PS: Having the USB key that fits into the remote is not bad it avoids losing and it's convenient. I can you recommend it.</v>
      </c>
    </row>
    <row r="12057">
      <c r="A12057" s="1">
        <v>5.0</v>
      </c>
      <c r="B12057" s="1" t="s">
        <v>11854</v>
      </c>
      <c r="C12057" t="str">
        <f>IFERROR(__xludf.DUMMYFUNCTION("GOOGLETRANSLATE(B12057, ""fr"", ""en"")"),"Super Beautiful necklace, details are magnificent. It is very fine and elegant. I find it simply beautiful. Received in a nice box with a small cloth for cleaning. But I dare not wear it constantly for being very late, I'm afraid it will break.")</f>
        <v>Super Beautiful necklace, details are magnificent. It is very fine and elegant. I find it simply beautiful. Received in a nice box with a small cloth for cleaning. But I dare not wear it constantly for being very late, I'm afraid it will break.</v>
      </c>
    </row>
    <row r="12058">
      <c r="A12058" s="1">
        <v>5.0</v>
      </c>
      <c r="B12058" s="1" t="s">
        <v>787</v>
      </c>
      <c r="C12058" t="str">
        <f>IFERROR(__xludf.DUMMYFUNCTION("GOOGLETRANSLATE(B12058, ""fr"", ""en"")"),"Very good product great product")</f>
        <v>Very good product great product</v>
      </c>
    </row>
    <row r="12059">
      <c r="A12059" s="1">
        <v>5.0</v>
      </c>
      <c r="B12059" s="1" t="s">
        <v>11855</v>
      </c>
      <c r="C12059" t="str">
        <f>IFERROR(__xludf.DUMMYFUNCTION("GOOGLETRANSLATE(B12059, ""fr"", ""en"")"),"Super Fast Shipping thank you I am very satisfied")</f>
        <v>Super Fast Shipping thank you I am very satisfied</v>
      </c>
    </row>
    <row r="12060">
      <c r="A12060" s="1">
        <v>5.0</v>
      </c>
      <c r="B12060" s="1" t="s">
        <v>11856</v>
      </c>
      <c r="C12060" t="str">
        <f>IFERROR(__xludf.DUMMYFUNCTION("GOOGLETRANSLATE(B12060, ""fr"", ""en"")"),"a really good helmet My ear has passed away I wanted to try a different model and as I saw many of my friends with headphones I decided to opt for this model that seemed pretty design and not too expensive. Comfort level is very correct because even if th"&amp;"e cousin are kind of plastic is a good quality plastic in which do not sweat, the top of the arch is not as nice as some model with plastic bar rigid that you hurt the skull above, this model is very pleasant to wear and is adjustable for small and big he"&amp;"ads. Level sound quality is more than satisfactory, the bass is very present and immersion is not bad at all. The soundproofing is good and the neighbors can not hear what you listen to when you are in public transport eg .. As for the place it folds very"&amp;" very easily and can almost slip into a pocket. . In summary I would say that this helmet really is a very good value for money and I would recommend it to my friends if they want a good headset that will not ruin their wallet.")</f>
        <v>a really good helmet My ear has passed away I wanted to try a different model and as I saw many of my friends with headphones I decided to opt for this model that seemed pretty design and not too expensive. Comfort level is very correct because even if the cousin are kind of plastic is a good quality plastic in which do not sweat, the top of the arch is not as nice as some model with plastic bar rigid that you hurt the skull above, this model is very pleasant to wear and is adjustable for small and big heads. Level sound quality is more than satisfactory, the bass is very present and immersion is not bad at all. The soundproofing is good and the neighbors can not hear what you listen to when you are in public transport eg .. As for the place it folds very very easily and can almost slip into a pocket. . In summary I would say that this helmet really is a very good value for money and I would recommend it to my friends if they want a good headset that will not ruin their wallet.</v>
      </c>
    </row>
    <row r="12061">
      <c r="A12061" s="1">
        <v>5.0</v>
      </c>
      <c r="B12061" s="1" t="s">
        <v>11857</v>
      </c>
      <c r="C12061" t="str">
        <f>IFERROR(__xludf.DUMMYFUNCTION("GOOGLETRANSLATE(B12061, ""fr"", ""en"")"),"Perfect Canon ink cartridge of quality and performance. It lasts a long time and it does not dry even with the ink lamp light they can still print at least 50 pages yet")</f>
        <v>Perfect Canon ink cartridge of quality and performance. It lasts a long time and it does not dry even with the ink lamp light they can still print at least 50 pages yet</v>
      </c>
    </row>
    <row r="12062">
      <c r="A12062" s="1">
        <v>5.0</v>
      </c>
      <c r="B12062" s="1" t="s">
        <v>11858</v>
      </c>
      <c r="C12062" t="str">
        <f>IFERROR(__xludf.DUMMYFUNCTION("GOOGLETRANSLATE(B12062, ""fr"", ""en"")"),"Very good saccoche This is the right size (you can put in a tablet) and it is not too big. Perfect. Lack a small pocket for easy access my bluetooth headset")</f>
        <v>Very good saccoche This is the right size (you can put in a tablet) and it is not too big. Perfect. Lack a small pocket for easy access my bluetooth headset</v>
      </c>
    </row>
    <row r="12063">
      <c r="A12063" s="1">
        <v>5.0</v>
      </c>
      <c r="B12063" s="1" t="s">
        <v>11859</v>
      </c>
      <c r="C12063" t="str">
        <f>IFERROR(__xludf.DUMMYFUNCTION("GOOGLETRANSLATE(B12063, ""fr"", ""en"")"),"Super is just super comfortable and aesthetic frankly for the price I bought ... super fast delivery and satisfied in a thick folds")</f>
        <v>Super is just super comfortable and aesthetic frankly for the price I bought ... super fast delivery and satisfied in a thick folds</v>
      </c>
    </row>
    <row r="12064">
      <c r="A12064" s="1">
        <v>2.0</v>
      </c>
      <c r="B12064" s="1" t="s">
        <v>11860</v>
      </c>
      <c r="C12064" t="str">
        <f>IFERROR(__xludf.DUMMYFUNCTION("GOOGLETRANSLATE(B12064, ""fr"", ""en"")"),"This is not true of Armenia This paper is not the true paper of Armenia")</f>
        <v>This is not true of Armenia This paper is not the true paper of Armenia</v>
      </c>
    </row>
    <row r="12065">
      <c r="A12065" s="1">
        <v>1.0</v>
      </c>
      <c r="B12065" s="1" t="s">
        <v>11861</v>
      </c>
      <c r="C12065" t="str">
        <f>IFERROR(__xludf.DUMMYFUNCTION("GOOGLETRANSLATE(B12065, ""fr"", ""en"")"),"Dissatisfied It is not hot enough and also it is moletenez to capiche")</f>
        <v>Dissatisfied It is not hot enough and also it is moletenez to capiche</v>
      </c>
    </row>
    <row r="12066">
      <c r="A12066" s="1">
        <v>1.0</v>
      </c>
      <c r="B12066" s="1" t="s">
        <v>11862</v>
      </c>
      <c r="C12066" t="str">
        <f>IFERROR(__xludf.DUMMYFUNCTION("GOOGLETRANSLATE(B12066, ""fr"", ""en"")"),"Despite catastrophic ""slow flow"" announced baby drinks a bottle of breast milk in a minute and a half, chokes, chokes and spits. Then he refuses to take the breast and becomes hysterical. A disaster! PS: Calma nipple has the same effect. Very disappoint"&amp;"ed with the Medela products.")</f>
        <v>Despite catastrophic "slow flow" announced baby drinks a bottle of breast milk in a minute and a half, chokes, chokes and spits. Then he refuses to take the breast and becomes hysterical. A disaster! PS: Calma nipple has the same effect. Very disappointed with the Medela products.</v>
      </c>
    </row>
    <row r="12067">
      <c r="A12067" s="1">
        <v>3.0</v>
      </c>
      <c r="B12067" s="1" t="s">
        <v>11863</v>
      </c>
      <c r="C12067" t="str">
        <f>IFERROR(__xludf.DUMMYFUNCTION("GOOGLETRANSLATE(B12067, ""fr"", ""en"")"),"BOF for the price you should not have to expect a miracle ... its almost inaudible, even with phantom power and sound card. I had yet bought a similar micro him that works great for my other son ... better buy a little more expensive but have something th"&amp;"at is working properly")</f>
        <v>BOF for the price you should not have to expect a miracle ... its almost inaudible, even with phantom power and sound card. I had yet bought a similar micro him that works great for my other son ... better buy a little more expensive but have something that is working properly</v>
      </c>
    </row>
    <row r="12068">
      <c r="A12068" s="1">
        <v>3.0</v>
      </c>
      <c r="B12068" s="1" t="s">
        <v>11864</v>
      </c>
      <c r="C12068" t="str">
        <f>IFERROR(__xludf.DUMMYFUNCTION("GOOGLETRANSLATE(B12068, ""fr"", ""en"")"),"The alarm is either sound mode or vibrate mode Unless I did not understand how it works (which I doubt), has no way to have both alerts sound and vibration, it is either one or the other. Too bad because when we sleep the vibration is not strong enough to"&amp;" be awaken. Having the sound more might help.")</f>
        <v>The alarm is either sound mode or vibrate mode Unless I did not understand how it works (which I doubt), has no way to have both alerts sound and vibration, it is either one or the other. Too bad because when we sleep the vibration is not strong enough to be awaken. Having the sound more might help.</v>
      </c>
    </row>
    <row r="12069">
      <c r="A12069" s="1">
        <v>4.0</v>
      </c>
      <c r="B12069" s="1" t="s">
        <v>11865</v>
      </c>
      <c r="C12069" t="str">
        <f>IFERROR(__xludf.DUMMYFUNCTION("GOOGLETRANSLATE(B12069, ""fr"", ""en"")"),"Basketball skate resistant product")</f>
        <v>Basketball skate resistant product</v>
      </c>
    </row>
    <row r="12070">
      <c r="A12070" s="1">
        <v>4.0</v>
      </c>
      <c r="B12070" s="1" t="s">
        <v>11866</v>
      </c>
      <c r="C12070" t="str">
        <f>IFERROR(__xludf.DUMMYFUNCTION("GOOGLETRANSLATE(B12070, ""fr"", ""en"")"),"Very good sound and good quality / price ratio Excellent product and a retro look that satisfies me. Good value for money. The sound suits me fully and it fits perfectly when you look.")</f>
        <v>Very good sound and good quality / price ratio Excellent product and a retro look that satisfies me. Good value for money. The sound suits me fully and it fits perfectly when you look.</v>
      </c>
    </row>
    <row r="12071">
      <c r="A12071" s="1">
        <v>4.0</v>
      </c>
      <c r="B12071" s="1" t="s">
        <v>11867</v>
      </c>
      <c r="C12071" t="str">
        <f>IFERROR(__xludf.DUMMYFUNCTION("GOOGLETRANSLATE(B12071, ""fr"", ""en"")"),"Perfect takes very little wire only defect place !!! builder waiting to put my boulloires a Lidl base have it for less !! but that the tea is traveling it is the only market in stainless steel")</f>
        <v>Perfect takes very little wire only defect place !!! builder waiting to put my boulloires a Lidl base have it for less !! but that the tea is traveling it is the only market in stainless steel</v>
      </c>
    </row>
    <row r="12072">
      <c r="A12072" s="1">
        <v>4.0</v>
      </c>
      <c r="B12072" s="1" t="s">
        <v>11868</v>
      </c>
      <c r="C12072" t="str">
        <f>IFERROR(__xludf.DUMMYFUNCTION("GOOGLETRANSLATE(B12072, ""fr"", ""en"")"),"I recommend Good quality but the glitter fall slightly")</f>
        <v>I recommend Good quality but the glitter fall slightly</v>
      </c>
    </row>
    <row r="12073">
      <c r="A12073" s="1">
        <v>5.0</v>
      </c>
      <c r="B12073" s="1" t="s">
        <v>11869</v>
      </c>
      <c r="C12073" t="str">
        <f>IFERROR(__xludf.DUMMYFUNCTION("GOOGLETRANSLATE(B12073, ""fr"", ""en"")"),"Absorber small parts moisture 10m2 Product received 4 days after ordering, but well protected. Already in operation in my room, I have water in the tank the next day. Easy to use. immaculate condition of the tank, not the slightest breach, and lowered pri"&amp;"ces. Thank you .")</f>
        <v>Absorber small parts moisture 10m2 Product received 4 days after ordering, but well protected. Already in operation in my room, I have water in the tank the next day. Easy to use. immaculate condition of the tank, not the slightest breach, and lowered prices. Thank you .</v>
      </c>
    </row>
    <row r="12074">
      <c r="A12074" s="1">
        <v>5.0</v>
      </c>
      <c r="B12074" s="1" t="s">
        <v>11870</v>
      </c>
      <c r="C12074" t="str">
        <f>IFERROR(__xludf.DUMMYFUNCTION("GOOGLETRANSLATE(B12074, ""fr"", ""en"")"),"Adorable shows 70 'A refabriquation really in the spirit of 70', the favorite insured at an unbeatable price. It remains to see the durability of the watch, but good for the price ... I recommend.")</f>
        <v>Adorable shows 70 'A refabriquation really in the spirit of 70', the favorite insured at an unbeatable price. It remains to see the durability of the watch, but good for the price ... I recommend.</v>
      </c>
    </row>
    <row r="12075">
      <c r="A12075" s="1">
        <v>5.0</v>
      </c>
      <c r="B12075" s="1" t="s">
        <v>224</v>
      </c>
      <c r="C12075" t="str">
        <f>IFERROR(__xludf.DUMMYFUNCTION("GOOGLETRANSLATE(B12075, ""fr"", ""en"")"),"perfect perfect")</f>
        <v>perfect perfect</v>
      </c>
    </row>
    <row r="12076">
      <c r="A12076" s="1">
        <v>5.0</v>
      </c>
      <c r="B12076" s="1" t="s">
        <v>11871</v>
      </c>
      <c r="C12076" t="str">
        <f>IFERROR(__xludf.DUMMYFUNCTION("GOOGLETRANSLATE(B12076, ""fr"", ""en"")"),"Okay, son kept it up, ensuring that it suits him practice these halves sizes to really have something suitable and then the indicated size fits perfectly. Compared to the visual, gray spring a little more like a blue gray front. The set is very simple and"&amp;" comfortable and that's what my son wanted. They are very lightweight and comfortable shoes that will pass well enough in street clothes also.")</f>
        <v>Okay, son kept it up, ensuring that it suits him practice these halves sizes to really have something suitable and then the indicated size fits perfectly. Compared to the visual, gray spring a little more like a blue gray front. The set is very simple and comfortable and that's what my son wanted. They are very lightweight and comfortable shoes that will pass well enough in street clothes also.</v>
      </c>
    </row>
    <row r="12077">
      <c r="A12077" s="1">
        <v>5.0</v>
      </c>
      <c r="B12077" s="1" t="s">
        <v>11872</v>
      </c>
      <c r="C12077" t="str">
        <f>IFERROR(__xludf.DUMMYFUNCTION("GOOGLETRANSLATE(B12077, ""fr"", ""en"")"),"Perfect Watch arrived in perfect condition in box and Casio label and a guarantee certificate. My second watch casio, replacing the first (same) in perfect working order after 7 years of regular use. I recommend this product and seller!")</f>
        <v>Perfect Watch arrived in perfect condition in box and Casio label and a guarantee certificate. My second watch casio, replacing the first (same) in perfect working order after 7 years of regular use. I recommend this product and seller!</v>
      </c>
    </row>
    <row r="12078">
      <c r="A12078" s="1">
        <v>5.0</v>
      </c>
      <c r="B12078" s="1" t="s">
        <v>11873</v>
      </c>
      <c r="C12078" t="str">
        <f>IFERROR(__xludf.DUMMYFUNCTION("GOOGLETRANSLATE(B12078, ""fr"", ""en"")"),"Great ! Good quality / price for this PHILIPS headphones. The color is perfect for a girl, it is adjustable and the sound is impeccable. Very happy with this purchase. I recommand it !!")</f>
        <v>Great ! Good quality / price for this PHILIPS headphones. The color is perfect for a girl, it is adjustable and the sound is impeccable. Very happy with this purchase. I recommand it !!</v>
      </c>
    </row>
    <row r="12079">
      <c r="A12079" s="1">
        <v>5.0</v>
      </c>
      <c r="B12079" s="1" t="s">
        <v>11874</v>
      </c>
      <c r="C12079" t="str">
        <f>IFERROR(__xludf.DUMMYFUNCTION("GOOGLETRANSLATE(B12079, ""fr"", ""en"")"),"100% like the picture It's totally those I expected so I am happy and my daughter especially is also a big fan of Harry Potter")</f>
        <v>100% like the picture It's totally those I expected so I am happy and my daughter especially is also a big fan of Harry Potter</v>
      </c>
    </row>
    <row r="12080">
      <c r="A12080" s="1">
        <v>5.0</v>
      </c>
      <c r="B12080" s="1" t="s">
        <v>11875</v>
      </c>
      <c r="C12080" t="str">
        <f>IFERROR(__xludf.DUMMYFUNCTION("GOOGLETRANSLATE(B12080, ""fr"", ""en"")"),"hello beautiful discovery I bought this without conviction, I read the reviews, they convinced me with muscle pain in the shoulders is the ideal product for me, I put it in the evening 20 minutes power 3 there is enough to relieve myself")</f>
        <v>hello beautiful discovery I bought this without conviction, I read the reviews, they convinced me with muscle pain in the shoulders is the ideal product for me, I put it in the evening 20 minutes power 3 there is enough to relieve myself</v>
      </c>
    </row>
    <row r="12081">
      <c r="A12081" s="1">
        <v>5.0</v>
      </c>
      <c r="B12081" s="1" t="s">
        <v>11876</v>
      </c>
      <c r="C12081" t="str">
        <f>IFERROR(__xludf.DUMMYFUNCTION("GOOGLETRANSLATE(B12081, ""fr"", ""en"")"),"lovely item thank you")</f>
        <v>lovely item thank you</v>
      </c>
    </row>
    <row r="12082">
      <c r="A12082" s="1">
        <v>5.0</v>
      </c>
      <c r="B12082" s="1" t="s">
        <v>11877</v>
      </c>
      <c r="C12082" t="str">
        <f>IFERROR(__xludf.DUMMYFUNCTION("GOOGLETRANSLATE(B12082, ""fr"", ""en"")"),"Nike pent. Great, thank you . Good warm size, great for winter when still fresh t'i do ...")</f>
        <v>Nike pent. Great, thank you . Good warm size, great for winter when still fresh t'i do ...</v>
      </c>
    </row>
    <row r="12083">
      <c r="A12083" s="1">
        <v>5.0</v>
      </c>
      <c r="B12083" s="1" t="s">
        <v>11878</v>
      </c>
      <c r="C12083" t="str">
        <f>IFERROR(__xludf.DUMMYFUNCTION("GOOGLETRANSLATE(B12083, ""fr"", ""en"")"),"Original Ink Cartridge Product received in time and packaging okay, received The ink cartridge corresponds to an original cartridge, with sufficient capacity for a long time, in my case more than a year, the report life / price is very competitive! I am s"&amp;"atisfied with my purchase, If you have any questions, do not hesitate !!!")</f>
        <v>Original Ink Cartridge Product received in time and packaging okay, received The ink cartridge corresponds to an original cartridge, with sufficient capacity for a long time, in my case more than a year, the report life / price is very competitive! I am satisfied with my purchase, If you have any questions, do not hesitate !!!</v>
      </c>
    </row>
    <row r="12084">
      <c r="A12084" s="1">
        <v>5.0</v>
      </c>
      <c r="B12084" s="1" t="s">
        <v>11879</v>
      </c>
      <c r="C12084" t="str">
        <f>IFERROR(__xludf.DUMMYFUNCTION("GOOGLETRANSLATE(B12084, ""fr"", ""en"")"),"boiling water This is a very handy device, quick in getting boiling water in precise degrees ... very satisfactory also in design;")</f>
        <v>boiling water This is a very handy device, quick in getting boiling water in precise degrees ... very satisfactory also in design;</v>
      </c>
    </row>
    <row r="12085">
      <c r="A12085" s="1">
        <v>5.0</v>
      </c>
      <c r="B12085" s="1" t="s">
        <v>11880</v>
      </c>
      <c r="C12085" t="str">
        <f>IFERROR(__xludf.DUMMYFUNCTION("GOOGLETRANSLATE(B12085, ""fr"", ""en"")"),"great, nothing to say to my son")</f>
        <v>great, nothing to say to my son</v>
      </c>
    </row>
    <row r="12086">
      <c r="A12086" s="1">
        <v>5.0</v>
      </c>
      <c r="B12086" s="1" t="s">
        <v>11881</v>
      </c>
      <c r="C12086" t="str">
        <f>IFERROR(__xludf.DUMMYFUNCTION("GOOGLETRANSLATE(B12086, ""fr"", ""en"")"),"Great !!! great product, not all heavy, size very well, although rising, this compares to a city basquette !!!")</f>
        <v>Great !!! great product, not all heavy, size very well, although rising, this compares to a city basquette !!!</v>
      </c>
    </row>
    <row r="12087">
      <c r="A12087" s="1">
        <v>5.0</v>
      </c>
      <c r="B12087" s="1" t="s">
        <v>11882</v>
      </c>
      <c r="C12087" t="str">
        <f>IFERROR(__xludf.DUMMYFUNCTION("GOOGLETRANSLATE(B12087, ""fr"", ""en"")"),"A real delight to walk away Wow topissime")</f>
        <v>A real delight to walk away Wow topissime</v>
      </c>
    </row>
    <row r="12088">
      <c r="A12088" s="1">
        <v>2.0</v>
      </c>
      <c r="B12088" s="1" t="s">
        <v>11883</v>
      </c>
      <c r="C12088" t="str">
        <f>IFERROR(__xludf.DUMMYFUNCTION("GOOGLETRANSLATE(B12088, ""fr"", ""en"")"),"Disappointed This is not leather but plastic. They are not very comfortable, not fitting the foot. It's a shame.")</f>
        <v>Disappointed This is not leather but plastic. They are not very comfortable, not fitting the foot. It's a shame.</v>
      </c>
    </row>
    <row r="12089">
      <c r="A12089" s="1">
        <v>1.0</v>
      </c>
      <c r="B12089" s="1" t="s">
        <v>11884</v>
      </c>
      <c r="C12089" t="str">
        <f>IFERROR(__xludf.DUMMYFUNCTION("GOOGLETRANSLATE(B12089, ""fr"", ""en"")"),"In no time, the inside heels makes noise. Never again will I buy GLOBE. This model me forever disgusted with this brand. Just 15 days later, inside the heel began to make noise when I walk, and get really uncomfortable. I find myself with new shoes that I"&amp;" can not use. I would not recommend highly, choose something other than that.")</f>
        <v>In no time, the inside heels makes noise. Never again will I buy GLOBE. This model me forever disgusted with this brand. Just 15 days later, inside the heel began to make noise when I walk, and get really uncomfortable. I find myself with new shoes that I can not use. I would not recommend highly, choose something other than that.</v>
      </c>
    </row>
    <row r="12090">
      <c r="A12090" s="1">
        <v>1.0</v>
      </c>
      <c r="B12090" s="1" t="s">
        <v>11885</v>
      </c>
      <c r="C12090" t="str">
        <f>IFERROR(__xludf.DUMMYFUNCTION("GOOGLETRANSLATE(B12090, ""fr"", ""en"")"),"I regret my purchase Poor")</f>
        <v>I regret my purchase Poor</v>
      </c>
    </row>
    <row r="12091">
      <c r="A12091" s="1">
        <v>3.0</v>
      </c>
      <c r="B12091" s="1" t="s">
        <v>11886</v>
      </c>
      <c r="C12091" t="str">
        <f>IFERROR(__xludf.DUMMYFUNCTION("GOOGLETRANSLATE(B12091, ""fr"", ""en"")"),"Good Article entry headphones conform to the description of the seller. For since smartphones are one microphone. Good bass, mids are clear but the highs are fairly neutral. So do not expect a helmet hifi sound but good entry level product.")</f>
        <v>Good Article entry headphones conform to the description of the seller. For since smartphones are one microphone. Good bass, mids are clear but the highs are fairly neutral. So do not expect a helmet hifi sound but good entry level product.</v>
      </c>
    </row>
    <row r="12092">
      <c r="A12092" s="1">
        <v>4.0</v>
      </c>
      <c r="B12092" s="1" t="s">
        <v>11887</v>
      </c>
      <c r="C12092" t="str">
        <f>IFERROR(__xludf.DUMMYFUNCTION("GOOGLETRANSLATE(B12092, ""fr"", ""en"")"),"Asser good size limit")</f>
        <v>Asser good size limit</v>
      </c>
    </row>
    <row r="12093">
      <c r="A12093" s="1">
        <v>4.0</v>
      </c>
      <c r="B12093" s="1" t="s">
        <v>11888</v>
      </c>
      <c r="C12093" t="str">
        <f>IFERROR(__xludf.DUMMYFUNCTION("GOOGLETRANSLATE(B12093, ""fr"", ""en"")"),"Too wide even for already wide feet a little wider, although I myself wide feet, otherwise it's going really well. Take your usual size")</f>
        <v>Too wide even for already wide feet a little wider, although I myself wide feet, otherwise it's going really well. Take your usual size</v>
      </c>
    </row>
    <row r="12094">
      <c r="A12094" s="1">
        <v>4.0</v>
      </c>
      <c r="B12094" s="1" t="s">
        <v>11889</v>
      </c>
      <c r="C12094" t="str">
        <f>IFERROR(__xludf.DUMMYFUNCTION("GOOGLETRANSLATE(B12094, ""fr"", ""en"")"),"Safe and top sound adjustment No stress a quiet ballad without reminder to relax super battery")</f>
        <v>Safe and top sound adjustment No stress a quiet ballad without reminder to relax super battery</v>
      </c>
    </row>
    <row r="12095">
      <c r="A12095" s="1">
        <v>4.0</v>
      </c>
      <c r="B12095" s="1" t="s">
        <v>11890</v>
      </c>
      <c r="C12095" t="str">
        <f>IFERROR(__xludf.DUMMYFUNCTION("GOOGLETRANSLATE(B12095, ""fr"", ""en"")"),"Quick order I make a 36/38 and given the reviews I chose to order the pants in 40! Indeed, it must be this size for section looks at the photo and not too bullseye. It can quickly cut short. The pants are quite warm and comfortable to wear. Although I ord"&amp;"ered 40 and thus leg length is too great, I do not regret this purchase (or this !! size).")</f>
        <v>Quick order I make a 36/38 and given the reviews I chose to order the pants in 40! Indeed, it must be this size for section looks at the photo and not too bullseye. It can quickly cut short. The pants are quite warm and comfortable to wear. Although I ordered 40 and thus leg length is too great, I do not regret this purchase (or this !! size).</v>
      </c>
    </row>
    <row r="12096">
      <c r="A12096" s="1">
        <v>5.0</v>
      </c>
      <c r="B12096" s="1" t="s">
        <v>11891</v>
      </c>
      <c r="C12096" t="str">
        <f>IFERROR(__xludf.DUMMYFUNCTION("GOOGLETRANSLATE(B12096, ""fr"", ""en"")"),"Pretty Pretty earrings earring, it is not very big, ideal for people looking for discreet earrings and pendant too. I recommend")</f>
        <v>Pretty Pretty earrings earring, it is not very big, ideal for people looking for discreet earrings and pendant too. I recommend</v>
      </c>
    </row>
    <row r="12097">
      <c r="A12097" s="1">
        <v>5.0</v>
      </c>
      <c r="B12097" s="1" t="s">
        <v>224</v>
      </c>
      <c r="C12097" t="str">
        <f>IFERROR(__xludf.DUMMYFUNCTION("GOOGLETRANSLATE(B12097, ""fr"", ""en"")"),"perfect perfect")</f>
        <v>perfect perfect</v>
      </c>
    </row>
    <row r="12098">
      <c r="A12098" s="1">
        <v>5.0</v>
      </c>
      <c r="B12098" s="1" t="s">
        <v>11892</v>
      </c>
      <c r="C12098" t="str">
        <f>IFERROR(__xludf.DUMMYFUNCTION("GOOGLETRANSLATE(B12098, ""fr"", ""en"")"),"Eyes closed. I wear this watch every day for several months, I can not do him any reproach! Class, robust, accurate and with good power reserve. To buy eyes closed.")</f>
        <v>Eyes closed. I wear this watch every day for several months, I can not do him any reproach! Class, robust, accurate and with good power reserve. To buy eyes closed.</v>
      </c>
    </row>
    <row r="12099">
      <c r="A12099" s="1">
        <v>5.0</v>
      </c>
      <c r="B12099" s="1" t="s">
        <v>11893</v>
      </c>
      <c r="C12099" t="str">
        <f>IFERROR(__xludf.DUMMYFUNCTION("GOOGLETRANSLATE(B12099, ""fr"", ""en"")"),"HP304XL always satisfied for the moment but I have installed there shortly")</f>
        <v>HP304XL always satisfied for the moment but I have installed there shortly</v>
      </c>
    </row>
    <row r="12100">
      <c r="A12100" s="1">
        <v>5.0</v>
      </c>
      <c r="B12100" s="1" t="s">
        <v>11894</v>
      </c>
      <c r="C12100" t="str">
        <f>IFERROR(__xludf.DUMMYFUNCTION("GOOGLETRANSLATE(B12100, ""fr"", ""en"")"),"very well very well that's what I wanted, I'm happy, it's like writing forestay in the description of the amazon page")</f>
        <v>very well very well that's what I wanted, I'm happy, it's like writing forestay in the description of the amazon page</v>
      </c>
    </row>
    <row r="12101">
      <c r="A12101" s="1">
        <v>5.0</v>
      </c>
      <c r="B12101" s="1" t="s">
        <v>11895</v>
      </c>
      <c r="C12101" t="str">
        <f>IFERROR(__xludf.DUMMYFUNCTION("GOOGLETRANSLATE(B12101, ""fr"", ""en"")"),"Top Super tennis, very comfortable, very pretty. Normal size.")</f>
        <v>Top Super tennis, very comfortable, very pretty. Normal size.</v>
      </c>
    </row>
    <row r="12102">
      <c r="A12102" s="1">
        <v>5.0</v>
      </c>
      <c r="B12102" s="1" t="s">
        <v>11896</v>
      </c>
      <c r="C12102" t="str">
        <f>IFERROR(__xludf.DUMMYFUNCTION("GOOGLETRANSLATE(B12102, ""fr"", ""en"")"),"Wonderful as all the lay Are addicted converse. Have several different models and colors. Its white rising absolutely go with everything.")</f>
        <v>Wonderful as all the lay Are addicted converse. Have several different models and colors. Its white rising absolutely go with everything.</v>
      </c>
    </row>
    <row r="12103">
      <c r="A12103" s="1">
        <v>5.0</v>
      </c>
      <c r="B12103" s="1" t="s">
        <v>11897</v>
      </c>
      <c r="C12103" t="str">
        <f>IFERROR(__xludf.DUMMYFUNCTION("GOOGLETRANSLATE(B12103, ""fr"", ""en"")"),"Bought for sound to a general meeting of a purchased association for sound to a general meeting of an association. Installation is very easy and convenient. The pickups are very nice and solid, receiver and with its perfect setting for each microphone.")</f>
        <v>Bought for sound to a general meeting of a purchased association for sound to a general meeting of an association. Installation is very easy and convenient. The pickups are very nice and solid, receiver and with its perfect setting for each microphone.</v>
      </c>
    </row>
    <row r="12104">
      <c r="A12104" s="1">
        <v>5.0</v>
      </c>
      <c r="B12104" s="1" t="s">
        <v>11898</v>
      </c>
      <c r="C12104" t="str">
        <f>IFERROR(__xludf.DUMMYFUNCTION("GOOGLETRANSLATE(B12104, ""fr"", ""en"")"),"Gift popular ...")</f>
        <v>Gift popular ...</v>
      </c>
    </row>
    <row r="12105">
      <c r="A12105" s="1">
        <v>5.0</v>
      </c>
      <c r="B12105" s="1" t="s">
        <v>11899</v>
      </c>
      <c r="C12105" t="str">
        <f>IFERROR(__xludf.DUMMYFUNCTION("GOOGLETRANSLATE(B12105, ""fr"", ""en"")"),"Very good very good pocket pouch, solid, multiple pockets, guaranteed 30 years depending on the label.")</f>
        <v>Very good very good pocket pouch, solid, multiple pockets, guaranteed 30 years depending on the label.</v>
      </c>
    </row>
    <row r="12106">
      <c r="A12106" s="1">
        <v>5.0</v>
      </c>
      <c r="B12106" s="1" t="s">
        <v>11900</v>
      </c>
      <c r="C12106" t="str">
        <f>IFERROR(__xludf.DUMMYFUNCTION("GOOGLETRANSLATE(B12106, ""fr"", ""en"")"),"Great product used his bottles of the birth of our daughter. It was never disappointed me.")</f>
        <v>Great product used his bottles of the birth of our daughter. It was never disappointed me.</v>
      </c>
    </row>
    <row r="12107">
      <c r="A12107" s="1">
        <v>5.0</v>
      </c>
      <c r="B12107" s="1" t="s">
        <v>11901</v>
      </c>
      <c r="C12107" t="str">
        <f>IFERROR(__xludf.DUMMYFUNCTION("GOOGLETRANSLATE(B12107, ""fr"", ""en"")"),"Good product ! Very good value for money ! I recommend :) The instruction is in English, but it is not disturbing!")</f>
        <v>Good product ! Very good value for money ! I recommend :) The instruction is in English, but it is not disturbing!</v>
      </c>
    </row>
    <row r="12108">
      <c r="A12108" s="1">
        <v>5.0</v>
      </c>
      <c r="B12108" s="1" t="s">
        <v>11902</v>
      </c>
      <c r="C12108" t="str">
        <f>IFERROR(__xludf.DUMMYFUNCTION("GOOGLETRANSLATE(B12108, ""fr"", ""en"")"),"ok map")</f>
        <v>ok map</v>
      </c>
    </row>
    <row r="12109">
      <c r="A12109" s="1">
        <v>5.0</v>
      </c>
      <c r="B12109" s="1" t="s">
        <v>11903</v>
      </c>
      <c r="C12109" t="str">
        <f>IFERROR(__xludf.DUMMYFUNCTION("GOOGLETRANSLATE(B12109, ""fr"", ""en"")"),"Great for me ... Ordered 2 August and received August 4, 2018, white leather converse quite nice, I put on the 43 and despite the recommendations for these sneakers that cut off I finally took my waist lest they are too small, and they are perfect ... hop"&amp;"ing they do not take one that's been .... voilou")</f>
        <v>Great for me ... Ordered 2 August and received August 4, 2018, white leather converse quite nice, I put on the 43 and despite the recommendations for these sneakers that cut off I finally took my waist lest they are too small, and they are perfect ... hoping they do not take one that's been .... voilou</v>
      </c>
    </row>
    <row r="12110">
      <c r="A12110" s="1">
        <v>5.0</v>
      </c>
      <c r="B12110" s="1" t="s">
        <v>11904</v>
      </c>
      <c r="C12110" t="str">
        <f>IFERROR(__xludf.DUMMYFUNCTION("GOOGLETRANSLATE(B12110, ""fr"", ""en"")"),"Very good product I recommend to buy the meal my son I bring in the nanny, very helpful and very strong, now no longer having this utility I diverted drugs into a bag for child very its practical isothermal rating keeps the drug in all temperatures ....")</f>
        <v>Very good product I recommend to buy the meal my son I bring in the nanny, very helpful and very strong, now no longer having this utility I diverted drugs into a bag for child very its practical isothermal rating keeps the drug in all temperatures ....</v>
      </c>
    </row>
    <row r="12111">
      <c r="A12111" s="1">
        <v>2.0</v>
      </c>
      <c r="B12111" s="1" t="s">
        <v>11905</v>
      </c>
      <c r="C12111" t="str">
        <f>IFERROR(__xludf.DUMMYFUNCTION("GOOGLETRANSLATE(B12111, ""fr"", ""en"")"),"Does not in place! Certainly nipple protectors provide a less painful breastfeeding if crevices, but it is best not to keep them too long not to jeopardize breastfeeding. The end pieces are perhaps a bit too high compared to the nipples. Lack of adherence"&amp;" to the skin, the tips tend to turn in all directions")</f>
        <v>Does not in place! Certainly nipple protectors provide a less painful breastfeeding if crevices, but it is best not to keep them too long not to jeopardize breastfeeding. The end pieces are perhaps a bit too high compared to the nipples. Lack of adherence to the skin, the tips tend to turn in all directions</v>
      </c>
    </row>
    <row r="12112">
      <c r="A12112" s="1">
        <v>1.0</v>
      </c>
      <c r="B12112" s="1" t="s">
        <v>11906</v>
      </c>
      <c r="C12112" t="str">
        <f>IFERROR(__xludf.DUMMYFUNCTION("GOOGLETRANSLATE(B12112, ""fr"", ""en"")"),"I'm over my purchasing quality is not good")</f>
        <v>I'm over my purchasing quality is not good</v>
      </c>
    </row>
    <row r="12113">
      <c r="A12113" s="1">
        <v>3.0</v>
      </c>
      <c r="B12113" s="1" t="s">
        <v>11907</v>
      </c>
      <c r="C12113" t="str">
        <f>IFERROR(__xludf.DUMMYFUNCTION("GOOGLETRANSLATE(B12113, ""fr"", ""en"")"),"One can disappointed overall helmet has impeccable sound quality, though the headset is very big and great, for me, having a small head, that's all right. Also the quality of the microphone rest review, the sound is very muffled and mic easily captures so"&amp;"ufflements noise. That said, the helmet of Control software is very good and the autonomy of the helmet is also about 8/10 hours.")</f>
        <v>One can disappointed overall helmet has impeccable sound quality, though the headset is very big and great, for me, having a small head, that's all right. Also the quality of the microphone rest review, the sound is very muffled and mic easily captures soufflements noise. That said, the helmet of Control software is very good and the autonomy of the helmet is also about 8/10 hours.</v>
      </c>
    </row>
    <row r="12114">
      <c r="A12114" s="1">
        <v>3.0</v>
      </c>
      <c r="B12114" s="1" t="s">
        <v>11908</v>
      </c>
      <c r="C12114" t="str">
        <f>IFERROR(__xludf.DUMMYFUNCTION("GOOGLETRANSLATE(B12114, ""fr"", ""en"")"),"Top I have received the product. I have not been entitled to the beautiful pouch mentioned in other reviews, but the product is a very good product for the price. Frankly we take zero risk to try at this price. I highly recommend it to small grants.")</f>
        <v>Top I have received the product. I have not been entitled to the beautiful pouch mentioned in other reviews, but the product is a very good product for the price. Frankly we take zero risk to try at this price. I highly recommend it to small grants.</v>
      </c>
    </row>
    <row r="12115">
      <c r="A12115" s="1">
        <v>4.0</v>
      </c>
      <c r="B12115" s="1" t="s">
        <v>11909</v>
      </c>
      <c r="C12115" t="str">
        <f>IFERROR(__xludf.DUMMYFUNCTION("GOOGLETRANSLATE(B12115, ""fr"", ""en"")"),"Meets Beautiful shoes ... fashion, very comfortable, real slippers. I just love it.")</f>
        <v>Meets Beautiful shoes ... fashion, very comfortable, real slippers. I just love it.</v>
      </c>
    </row>
    <row r="12116">
      <c r="A12116" s="1">
        <v>4.0</v>
      </c>
      <c r="B12116" s="1" t="s">
        <v>11910</v>
      </c>
      <c r="C12116" t="str">
        <f>IFERROR(__xludf.DUMMYFUNCTION("GOOGLETRANSLATE(B12116, ""fr"", ""en"")"),"Super pretty good quality")</f>
        <v>Super pretty good quality</v>
      </c>
    </row>
    <row r="12117">
      <c r="A12117" s="1">
        <v>4.0</v>
      </c>
      <c r="B12117" s="1" t="s">
        <v>11911</v>
      </c>
      <c r="C12117" t="str">
        <f>IFERROR(__xludf.DUMMYFUNCTION("GOOGLETRANSLATE(B12117, ""fr"", ""en"")"),"Good value product used in each machine")</f>
        <v>Good value product used in each machine</v>
      </c>
    </row>
    <row r="12118">
      <c r="A12118" s="1">
        <v>4.0</v>
      </c>
      <c r="B12118" s="1" t="s">
        <v>11912</v>
      </c>
      <c r="C12118" t="str">
        <f>IFERROR(__xludf.DUMMYFUNCTION("GOOGLETRANSLATE(B12118, ""fr"", ""en"")"),"Easy to use and beautiful style Recently buy but very happy at the moment, it is a very good product.")</f>
        <v>Easy to use and beautiful style Recently buy but very happy at the moment, it is a very good product.</v>
      </c>
    </row>
    <row r="12119">
      <c r="A12119" s="1">
        <v>5.0</v>
      </c>
      <c r="B12119" s="1" t="s">
        <v>11913</v>
      </c>
      <c r="C12119" t="str">
        <f>IFERROR(__xludf.DUMMYFUNCTION("GOOGLETRANSLATE(B12119, ""fr"", ""en"")"),"Excellent bag - however careful to take into account its dimensions This bag is of excellent quality and very solid. Its overall organization - number of pockets, interior layout - is very functional. Being able to wear both hand in shoulder or as a backp"&amp;"ack (not tried) enhances practicality. I was able to make professional use immediately (living room / multi-day exposure): it proved more practical. However we must not lose sight of its limitations related to its dimensions. So - do not overload the risk"&amp;" that everything is packed and the bag is no longer any functional (I read a comment on a bottle of champagne; I think there were not many cases in the bag) ; - do not carry a laptop beyond 13.3 inches (knowing that mine measuring 37x25). If the computer "&amp;"will not enter in the reserved compartment and completely invade one of two large compartments of the bag; - an indication, is ideal for a large tablet and two large catalogs of 3 cm thick (or 2), which represents multiple folders and notebooks.")</f>
        <v>Excellent bag - however careful to take into account its dimensions This bag is of excellent quality and very solid. Its overall organization - number of pockets, interior layout - is very functional. Being able to wear both hand in shoulder or as a backpack (not tried) enhances practicality. I was able to make professional use immediately (living room / multi-day exposure): it proved more practical. However we must not lose sight of its limitations related to its dimensions. So - do not overload the risk that everything is packed and the bag is no longer any functional (I read a comment on a bottle of champagne; I think there were not many cases in the bag) ; - do not carry a laptop beyond 13.3 inches (knowing that mine measuring 37x25). If the computer will not enter in the reserved compartment and completely invade one of two large compartments of the bag; - an indication, is ideal for a large tablet and two large catalogs of 3 cm thick (or 2), which represents multiple folders and notebooks.</v>
      </c>
    </row>
    <row r="12120">
      <c r="A12120" s="1">
        <v>5.0</v>
      </c>
      <c r="B12120" s="1" t="s">
        <v>11914</v>
      </c>
      <c r="C12120" t="str">
        <f>IFERROR(__xludf.DUMMYFUNCTION("GOOGLETRANSLATE(B12120, ""fr"", ""en"")"),"Headphones on top Super product. I bought these headphones to replace my wired headset. It almost does not feel the once well set. They hold very well, no need to replace them every 30sec. The handling is simple and intuitive. The size of the transport bo"&amp;"x / charging is perfect. The sound is very clear without crackling, noises are mitigated. In short I recommend")</f>
        <v>Headphones on top Super product. I bought these headphones to replace my wired headset. It almost does not feel the once well set. They hold very well, no need to replace them every 30sec. The handling is simple and intuitive. The size of the transport box / charging is perfect. The sound is very clear without crackling, noises are mitigated. In short I recommend</v>
      </c>
    </row>
    <row r="12121">
      <c r="A12121" s="1">
        <v>5.0</v>
      </c>
      <c r="B12121" s="1" t="s">
        <v>11915</v>
      </c>
      <c r="C12121" t="str">
        <f>IFERROR(__xludf.DUMMYFUNCTION("GOOGLETRANSLATE(B12121, ""fr"", ""en"")"),"thermal heat coil bobbins well finished length greater than others perfect for me to treat my clients bills I recommend")</f>
        <v>thermal heat coil bobbins well finished length greater than others perfect for me to treat my clients bills I recommend</v>
      </c>
    </row>
    <row r="12122">
      <c r="A12122" s="1">
        <v>5.0</v>
      </c>
      <c r="B12122" s="1" t="s">
        <v>11916</v>
      </c>
      <c r="C12122" t="str">
        <f>IFERROR(__xludf.DUMMYFUNCTION("GOOGLETRANSLATE(B12122, ""fr"", ""en"")"),"Excellent authentic Zippo Zippo. Works very well.")</f>
        <v>Excellent authentic Zippo Zippo. Works very well.</v>
      </c>
    </row>
    <row r="12123">
      <c r="A12123" s="1">
        <v>5.0</v>
      </c>
      <c r="B12123" s="1" t="s">
        <v>11917</v>
      </c>
      <c r="C12123" t="str">
        <f>IFERROR(__xludf.DUMMYFUNCTION("GOOGLETRANSLATE(B12123, ""fr"", ""en"")"),"Purchased good buy for their effects in crystal healing, I received recently but I feel I feel freer ... I left them more. Very light, they do not interfere at all, are nice and large enough (I have a fairly large wrist). Are not junk at all!")</f>
        <v>Purchased good buy for their effects in crystal healing, I received recently but I feel I feel freer ... I left them more. Very light, they do not interfere at all, are nice and large enough (I have a fairly large wrist). Are not junk at all!</v>
      </c>
    </row>
    <row r="12124">
      <c r="A12124" s="1">
        <v>5.0</v>
      </c>
      <c r="B12124" s="1" t="s">
        <v>11918</v>
      </c>
      <c r="C12124" t="str">
        <f>IFERROR(__xludf.DUMMYFUNCTION("GOOGLETRANSLATE(B12124, ""fr"", ""en"")"),"Good investment. These shoes are both dress and casual, great for the city, too, but we must still there is some snow or rain or suitable weather. The surface appearance is beautiful.")</f>
        <v>Good investment. These shoes are both dress and casual, great for the city, too, but we must still there is some snow or rain or suitable weather. The surface appearance is beautiful.</v>
      </c>
    </row>
    <row r="12125">
      <c r="A12125" s="1">
        <v>5.0</v>
      </c>
      <c r="B12125" s="1" t="s">
        <v>11919</v>
      </c>
      <c r="C12125" t="str">
        <f>IFERROR(__xludf.DUMMYFUNCTION("GOOGLETRANSLATE(B12125, ""fr"", ""en"")"),"of dummies ... My daughter uses only the nipples, I was glad to find on amazon")</f>
        <v>of dummies ... My daughter uses only the nipples, I was glad to find on amazon</v>
      </c>
    </row>
    <row r="12126">
      <c r="A12126" s="1">
        <v>5.0</v>
      </c>
      <c r="B12126" s="1" t="s">
        <v>11920</v>
      </c>
      <c r="C12126" t="str">
        <f>IFERROR(__xludf.DUMMYFUNCTION("GOOGLETRANSLATE(B12126, ""fr"", ""en"")"),"Excellent buy for my boyfriend for his birthday perfect size very good price send in the box converse nothing to say.")</f>
        <v>Excellent buy for my boyfriend for his birthday perfect size very good price send in the box converse nothing to say.</v>
      </c>
    </row>
    <row r="12127">
      <c r="A12127" s="1">
        <v>5.0</v>
      </c>
      <c r="B12127" s="1" t="s">
        <v>11921</v>
      </c>
      <c r="C12127" t="str">
        <f>IFERROR(__xludf.DUMMYFUNCTION("GOOGLETRANSLATE(B12127, ""fr"", ""en"")"),"PERFECT for binding wireless microphone.")</f>
        <v>PERFECT for binding wireless microphone.</v>
      </c>
    </row>
    <row r="12128">
      <c r="A12128" s="1">
        <v>5.0</v>
      </c>
      <c r="B12128" s="1" t="s">
        <v>11922</v>
      </c>
      <c r="C12128" t="str">
        <f>IFERROR(__xludf.DUMMYFUNCTION("GOOGLETRANSLATE(B12128, ""fr"", ""en"")"),"Take a size above for wide feet Very good product that matches my expectations. Apparently very strong and quite comfortable overall. Requires little maintenance as the environment. Very satisfied.")</f>
        <v>Take a size above for wide feet Very good product that matches my expectations. Apparently very strong and quite comfortable overall. Requires little maintenance as the environment. Very satisfied.</v>
      </c>
    </row>
    <row r="12129">
      <c r="A12129" s="1">
        <v>5.0</v>
      </c>
      <c r="B12129" s="1" t="s">
        <v>11923</v>
      </c>
      <c r="C12129" t="str">
        <f>IFERROR(__xludf.DUMMYFUNCTION("GOOGLETRANSLATE(B12129, ""fr"", ""en"")"),"Perfect tres chic Very nice effect")</f>
        <v>Perfect tres chic Very nice effect</v>
      </c>
    </row>
    <row r="12130">
      <c r="A12130" s="1">
        <v>5.0</v>
      </c>
      <c r="B12130" s="1" t="s">
        <v>11924</v>
      </c>
      <c r="C12130" t="str">
        <f>IFERROR(__xludf.DUMMYFUNCTION("GOOGLETRANSLATE(B12130, ""fr"", ""en"")"),"Excellent quality tea kettle, easy to use. The holding temperature is very pleasant and offers comfort unsuspected")</f>
        <v>Excellent quality tea kettle, easy to use. The holding temperature is very pleasant and offers comfort unsuspected</v>
      </c>
    </row>
    <row r="12131">
      <c r="A12131" s="1">
        <v>5.0</v>
      </c>
      <c r="B12131" s="1" t="s">
        <v>11925</v>
      </c>
      <c r="C12131" t="str">
        <f>IFERROR(__xludf.DUMMYFUNCTION("GOOGLETRANSLATE(B12131, ""fr"", ""en"")"),"This practice is very convenient sorter, can organize his work and categorize. Solid and compact, it's an excellent value.")</f>
        <v>This practice is very convenient sorter, can organize his work and categorize. Solid and compact, it's an excellent value.</v>
      </c>
    </row>
    <row r="12132">
      <c r="A12132" s="1">
        <v>5.0</v>
      </c>
      <c r="B12132" s="1" t="s">
        <v>11926</v>
      </c>
      <c r="C12132" t="str">
        <f>IFERROR(__xludf.DUMMYFUNCTION("GOOGLETRANSLATE(B12132, ""fr"", ""en"")"),"Perfect cartridges are safe and perfect print resolution, I tried unsuccessfully compatible. then return to brand products even if the price is prohibitive.")</f>
        <v>Perfect cartridges are safe and perfect print resolution, I tried unsuccessfully compatible. then return to brand products even if the price is prohibitive.</v>
      </c>
    </row>
    <row r="12133">
      <c r="A12133" s="1">
        <v>5.0</v>
      </c>
      <c r="B12133" s="1" t="s">
        <v>11927</v>
      </c>
      <c r="C12133" t="str">
        <f>IFERROR(__xludf.DUMMYFUNCTION("GOOGLETRANSLATE(B12133, ""fr"", ""en"")"),"Excellent I use a Blue II Radius support and a microphone Blue Yeti USB Blackout and it's the perfect combination. Good keeps the microphone despite its heavy weight, easy to install either on the edge of a desk or by piercing the office, everything is pr"&amp;"ovided except for the drill and the drill bit;)")</f>
        <v>Excellent I use a Blue II Radius support and a microphone Blue Yeti USB Blackout and it's the perfect combination. Good keeps the microphone despite its heavy weight, easy to install either on the edge of a desk or by piercing the office, everything is provided except for the drill and the drill bit;)</v>
      </c>
    </row>
    <row r="12134">
      <c r="A12134" s="1">
        <v>2.0</v>
      </c>
      <c r="B12134" s="1" t="s">
        <v>11928</v>
      </c>
      <c r="C12134" t="str">
        <f>IFERROR(__xludf.DUMMYFUNCTION("GOOGLETRANSLATE(B12134, ""fr"", ""en"")"),"disappointed in the quality When I saw the picture we see that the bag is flat and like law, but when he arrived in the parcel totally crushed it wanted even standing over my computer does not fit in the compartment I'm really disappointed I do not really"&amp;" recommend")</f>
        <v>disappointed in the quality When I saw the picture we see that the bag is flat and like law, but when he arrived in the parcel totally crushed it wanted even standing over my computer does not fit in the compartment I'm really disappointed I do not really recommend</v>
      </c>
    </row>
    <row r="12135">
      <c r="A12135" s="1">
        <v>1.0</v>
      </c>
      <c r="B12135" s="1" t="s">
        <v>11929</v>
      </c>
      <c r="C12135" t="str">
        <f>IFERROR(__xludf.DUMMYFUNCTION("GOOGLETRANSLATE(B12135, ""fr"", ""en"")"),"Way . But not for accuracy. Use for painting miniature. The brushes are too soft and the strands will not stay together. After a use that it takes more. One can disappointed ☹️")</f>
        <v>Way . But not for accuracy. Use for painting miniature. The brushes are too soft and the strands will not stay together. After a use that it takes more. One can disappointed ☹️</v>
      </c>
    </row>
    <row r="12136">
      <c r="A12136" s="1">
        <v>1.0</v>
      </c>
      <c r="B12136" s="1" t="s">
        <v>11930</v>
      </c>
      <c r="C12136" t="str">
        <f>IFERROR(__xludf.DUMMYFUNCTION("GOOGLETRANSLATE(B12136, ""fr"", ""en"")"),"DO AUTHENTICATION of ATTENTION !!! FAKE!")</f>
        <v>DO AUTHENTICATION of ATTENTION !!! FAKE!</v>
      </c>
    </row>
    <row r="12137">
      <c r="A12137" s="1">
        <v>3.0</v>
      </c>
      <c r="B12137" s="1" t="s">
        <v>11931</v>
      </c>
      <c r="C12137" t="str">
        <f>IFERROR(__xludf.DUMMYFUNCTION("GOOGLETRANSLATE(B12137, ""fr"", ""en"")"),"valid for six weeks? it is expensive! I use this lot Rubson 1940376 Minifresh moisture absorber Bag 2 pieces 50g Neutral to clean a closet containing business season. this closet is only open two or three times a year and it is not ventilated. the affairs"&amp;" sometimes feel a little musty, but there is no longer the case. no scent to mask any odor, but just well-efficient crystals. by cons, having to change every six weeks and the price displayed, it is not cheap!")</f>
        <v>valid for six weeks? it is expensive! I use this lot Rubson 1940376 Minifresh moisture absorber Bag 2 pieces 50g Neutral to clean a closet containing business season. this closet is only open two or three times a year and it is not ventilated. the affairs sometimes feel a little musty, but there is no longer the case. no scent to mask any odor, but just well-efficient crystals. by cons, having to change every six weeks and the price displayed, it is not cheap!</v>
      </c>
    </row>
    <row r="12138">
      <c r="A12138" s="1">
        <v>4.0</v>
      </c>
      <c r="B12138" s="1" t="s">
        <v>11932</v>
      </c>
      <c r="C12138" t="str">
        <f>IFERROR(__xludf.DUMMYFUNCTION("GOOGLETRANSLATE(B12138, ""fr"", ""en"")"),"What to do his foot Take 1/2 pointure.chaussure to his foot. A little tight, heats the planted foot. Preference to kayano 19 or 21- fabrics and comfort.")</f>
        <v>What to do his foot Take 1/2 pointure.chaussure to his foot. A little tight, heats the planted foot. Preference to kayano 19 or 21- fabrics and comfort.</v>
      </c>
    </row>
    <row r="12139">
      <c r="A12139" s="1">
        <v>4.0</v>
      </c>
      <c r="B12139" s="1" t="s">
        <v>11933</v>
      </c>
      <c r="C12139" t="str">
        <f>IFERROR(__xludf.DUMMYFUNCTION("GOOGLETRANSLATE(B12139, ""fr"", ""en"")"),"Pretty elegant end necklace fine, elegant. serious and meticulous packaging. Price very advantageous. I recommend ! 😊 !!")</f>
        <v>Pretty elegant end necklace fine, elegant. serious and meticulous packaging. Price very advantageous. I recommend ! 😊 !!</v>
      </c>
    </row>
    <row r="12140">
      <c r="A12140" s="1">
        <v>4.0</v>
      </c>
      <c r="B12140" s="1" t="s">
        <v>11934</v>
      </c>
      <c r="C12140" t="str">
        <f>IFERROR(__xludf.DUMMYFUNCTION("GOOGLETRANSLATE(B12140, ""fr"", ""en"")"),"Not bad for the sport in the summer when it's hot light material a bit thin but pretty leggings")</f>
        <v>Not bad for the sport in the summer when it's hot light material a bit thin but pretty leggings</v>
      </c>
    </row>
    <row r="12141">
      <c r="A12141" s="1">
        <v>4.0</v>
      </c>
      <c r="B12141" s="1" t="s">
        <v>11935</v>
      </c>
      <c r="C12141" t="str">
        <f>IFERROR(__xludf.DUMMYFUNCTION("GOOGLETRANSLATE(B12141, ""fr"", ""en"")"),"Meets description by the seller complies with description by the seller and size Havaianas Brasil is adapted to US")</f>
        <v>Meets description by the seller complies with description by the seller and size Havaianas Brasil is adapted to US</v>
      </c>
    </row>
    <row r="12142">
      <c r="A12142" s="1">
        <v>5.0</v>
      </c>
      <c r="B12142" s="1" t="s">
        <v>11936</v>
      </c>
      <c r="C12142" t="str">
        <f>IFERROR(__xludf.DUMMYFUNCTION("GOOGLETRANSLATE(B12142, ""fr"", ""en"")"),"Excellent Plus to drill, everything can be maintained thanks to these bands.")</f>
        <v>Excellent Plus to drill, everything can be maintained thanks to these bands.</v>
      </c>
    </row>
    <row r="12143">
      <c r="A12143" s="1">
        <v>5.0</v>
      </c>
      <c r="B12143" s="1" t="s">
        <v>11937</v>
      </c>
      <c r="C12143" t="str">
        <f>IFERROR(__xludf.DUMMYFUNCTION("GOOGLETRANSLATE(B12143, ""fr"", ""en"")"),"conforms to my expectations Perfect")</f>
        <v>conforms to my expectations Perfect</v>
      </c>
    </row>
    <row r="12144">
      <c r="A12144" s="1">
        <v>5.0</v>
      </c>
      <c r="B12144" s="1" t="s">
        <v>11938</v>
      </c>
      <c r="C12144" t="str">
        <f>IFERROR(__xludf.DUMMYFUNCTION("GOOGLETRANSLATE(B12144, ""fr"", ""en"")"),"Super super")</f>
        <v>Super super</v>
      </c>
    </row>
    <row r="12145">
      <c r="A12145" s="1">
        <v>5.0</v>
      </c>
      <c r="B12145" s="1" t="s">
        <v>11939</v>
      </c>
      <c r="C12145" t="str">
        <f>IFERROR(__xludf.DUMMYFUNCTION("GOOGLETRANSLATE(B12145, ""fr"", ""en"")"),"The look is top I love the desing of this diffuser, the timer is very convenient, it lacks an independent battery to avoid letting the plug continuously.")</f>
        <v>The look is top I love the desing of this diffuser, the timer is very convenient, it lacks an independent battery to avoid letting the plug continuously.</v>
      </c>
    </row>
    <row r="12146">
      <c r="A12146" s="1">
        <v>5.0</v>
      </c>
      <c r="B12146" s="1" t="s">
        <v>11940</v>
      </c>
      <c r="C12146" t="str">
        <f>IFERROR(__xludf.DUMMYFUNCTION("GOOGLETRANSLATE(B12146, ""fr"", ""en"")"),"sneaker I use them every day and I recommend I recommend surely")</f>
        <v>sneaker I use them every day and I recommend I recommend surely</v>
      </c>
    </row>
    <row r="12147">
      <c r="A12147" s="1">
        <v>5.0</v>
      </c>
      <c r="B12147" s="1" t="s">
        <v>11941</v>
      </c>
      <c r="C12147" t="str">
        <f>IFERROR(__xludf.DUMMYFUNCTION("GOOGLETRANSLATE(B12147, ""fr"", ""en"")"),"Very good very good quality")</f>
        <v>Very good very good quality</v>
      </c>
    </row>
    <row r="12148">
      <c r="A12148" s="1">
        <v>5.0</v>
      </c>
      <c r="B12148" s="1" t="s">
        <v>11942</v>
      </c>
      <c r="C12148" t="str">
        <f>IFERROR(__xludf.DUMMYFUNCTION("GOOGLETRANSLATE(B12148, ""fr"", ""en"")"),"That still good for over a year I use the first brush I bought, I could still use it because it just has a few hairs that have collapsed but for better use I prefer renewed. In short, nickel!")</f>
        <v>That still good for over a year I use the first brush I bought, I could still use it because it just has a few hairs that have collapsed but for better use I prefer renewed. In short, nickel!</v>
      </c>
    </row>
    <row r="12149">
      <c r="A12149" s="1">
        <v>5.0</v>
      </c>
      <c r="B12149" s="1" t="s">
        <v>11943</v>
      </c>
      <c r="C12149" t="str">
        <f>IFERROR(__xludf.DUMMYFUNCTION("GOOGLETRANSLATE(B12149, ""fr"", ""en"")"),"Bracelet Any occasion.a wear day and night")</f>
        <v>Bracelet Any occasion.a wear day and night</v>
      </c>
    </row>
    <row r="12150">
      <c r="A12150" s="1">
        <v>5.0</v>
      </c>
      <c r="B12150" s="1" t="s">
        <v>11944</v>
      </c>
      <c r="C12150" t="str">
        <f>IFERROR(__xludf.DUMMYFUNCTION("GOOGLETRANSLATE(B12150, ""fr"", ""en"")"),"Perfect I love the look of these shoes that are not seen on everyone. They are very classy. To wear with pants, a dress, a skirt ... They have completely found their way into my closet. I recommend 100%.")</f>
        <v>Perfect I love the look of these shoes that are not seen on everyone. They are very classy. To wear with pants, a dress, a skirt ... They have completely found their way into my closet. I recommend 100%.</v>
      </c>
    </row>
    <row r="12151">
      <c r="A12151" s="1">
        <v>5.0</v>
      </c>
      <c r="B12151" s="1" t="s">
        <v>7291</v>
      </c>
      <c r="C12151" t="str">
        <f>IFERROR(__xludf.DUMMYFUNCTION("GOOGLETRANSLATE(B12151, ""fr"", ""en"")"),"top top")</f>
        <v>top top</v>
      </c>
    </row>
    <row r="12152">
      <c r="A12152" s="1">
        <v>5.0</v>
      </c>
      <c r="B12152" s="1" t="s">
        <v>11945</v>
      </c>
      <c r="C12152" t="str">
        <f>IFERROR(__xludf.DUMMYFUNCTION("GOOGLETRANSLATE(B12152, ""fr"", ""en"")"),"A very nice classic I purchased this book for my 3 year old daughter. And I do not regret it. It allows to spend time with her, to explain, chat, describe, while providing knowledge and interest, sparking new questions based on the answers given. The illu"&amp;"strations are attractive. I recommend.")</f>
        <v>A very nice classic I purchased this book for my 3 year old daughter. And I do not regret it. It allows to spend time with her, to explain, chat, describe, while providing knowledge and interest, sparking new questions based on the answers given. The illustrations are attractive. I recommend.</v>
      </c>
    </row>
    <row r="12153">
      <c r="A12153" s="1">
        <v>5.0</v>
      </c>
      <c r="B12153" s="1" t="s">
        <v>11946</v>
      </c>
      <c r="C12153" t="str">
        <f>IFERROR(__xludf.DUMMYFUNCTION("GOOGLETRANSLATE(B12153, ""fr"", ""en"")"),"Perfect authentic Doc Martens good quality. Buy this article on amazon allowed me to save from the price in the shop. However careful when you wear them for the first few times it takes time to get them!")</f>
        <v>Perfect authentic Doc Martens good quality. Buy this article on amazon allowed me to save from the price in the shop. However careful when you wear them for the first few times it takes time to get them!</v>
      </c>
    </row>
    <row r="12154">
      <c r="A12154" s="1">
        <v>5.0</v>
      </c>
      <c r="B12154" s="1" t="s">
        <v>11947</v>
      </c>
      <c r="C12154" t="str">
        <f>IFERROR(__xludf.DUMMYFUNCTION("GOOGLETRANSLATE(B12154, ""fr"", ""en"")"),"Good product By cons, not enough hemp to 100 labels but still good product")</f>
        <v>Good product By cons, not enough hemp to 100 labels but still good product</v>
      </c>
    </row>
    <row r="12155">
      <c r="A12155" s="1">
        <v>5.0</v>
      </c>
      <c r="B12155" s="1" t="s">
        <v>11948</v>
      </c>
      <c r="C12155" t="str">
        <f>IFERROR(__xludf.DUMMYFUNCTION("GOOGLETRANSLATE(B12155, ""fr"", ""en"")"),"Good socks I play 44, they will niquel me to see if they hold after many washings but for now they are very well! However I find the slightly thick.")</f>
        <v>Good socks I play 44, they will niquel me to see if they hold after many washings but for now they are very well! However I find the slightly thick.</v>
      </c>
    </row>
    <row r="12156">
      <c r="A12156" s="1">
        <v>5.0</v>
      </c>
      <c r="B12156" s="1" t="s">
        <v>11949</v>
      </c>
      <c r="C12156" t="str">
        <f>IFERROR(__xludf.DUMMYFUNCTION("GOOGLETRANSLATE(B12156, ""fr"", ""en"")"),"Ras Corresponds to the description")</f>
        <v>Ras Corresponds to the description</v>
      </c>
    </row>
    <row r="12157">
      <c r="A12157" s="1">
        <v>2.0</v>
      </c>
      <c r="B12157" s="1" t="s">
        <v>11950</v>
      </c>
      <c r="C12157" t="str">
        <f>IFERROR(__xludf.DUMMYFUNCTION("GOOGLETRANSLATE(B12157, ""fr"", ""en"")"),"Size small I put 2 because of the size, put my son of 29 and 29-30 was too small .... Be careful to size")</f>
        <v>Size small I put 2 because of the size, put my son of 29 and 29-30 was too small .... Be careful to size</v>
      </c>
    </row>
    <row r="12158">
      <c r="A12158" s="1">
        <v>1.0</v>
      </c>
      <c r="B12158" s="1" t="s">
        <v>11951</v>
      </c>
      <c r="C12158" t="str">
        <f>IFERROR(__xludf.DUMMYFUNCTION("GOOGLETRANSLATE(B12158, ""fr"", ""en"")"),"He shakes No no no all")</f>
        <v>He shakes No no no all</v>
      </c>
    </row>
    <row r="12159">
      <c r="A12159" s="1">
        <v>3.0</v>
      </c>
      <c r="B12159" s="1" t="s">
        <v>11952</v>
      </c>
      <c r="C12159" t="str">
        <f>IFERROR(__xludf.DUMMYFUNCTION("GOOGLETRANSLATE(B12159, ""fr"", ""en"")"),"Good quality but a bit long. For every day, good cut.")</f>
        <v>Good quality but a bit long. For every day, good cut.</v>
      </c>
    </row>
    <row r="12160">
      <c r="A12160" s="1">
        <v>3.0</v>
      </c>
      <c r="B12160" s="1" t="s">
        <v>11953</v>
      </c>
      <c r="C12160" t="str">
        <f>IFERROR(__xludf.DUMMYFUNCTION("GOOGLETRANSLATE(B12160, ""fr"", ""en"")"),"Pity ! Shoes are good but were delivered in 38 instead de36 .. Too bad! and return product can not ... I'm disappointed.")</f>
        <v>Pity ! Shoes are good but were delivered in 38 instead de36 .. Too bad! and return product can not ... I'm disappointed.</v>
      </c>
    </row>
    <row r="12161">
      <c r="A12161" s="1">
        <v>4.0</v>
      </c>
      <c r="B12161" s="1" t="s">
        <v>11954</v>
      </c>
      <c r="C12161" t="str">
        <f>IFERROR(__xludf.DUMMYFUNCTION("GOOGLETRANSLATE(B12161, ""fr"", ""en"")"),"Fast shipping black leather bag very good quality. I received the package very quickly. Many pockets. A little smaller than I what I thought if anything to say. I recommend its purchase. Excellent value")</f>
        <v>Fast shipping black leather bag very good quality. I received the package very quickly. Many pockets. A little smaller than I what I thought if anything to say. I recommend its purchase. Excellent value</v>
      </c>
    </row>
    <row r="12162">
      <c r="A12162" s="1">
        <v>4.0</v>
      </c>
      <c r="B12162" s="1" t="s">
        <v>11955</v>
      </c>
      <c r="C12162" t="str">
        <f>IFERROR(__xludf.DUMMYFUNCTION("GOOGLETRANSLATE(B12162, ""fr"", ""en"")"),"Of Pretty fancy unpretentious gem.")</f>
        <v>Of Pretty fancy unpretentious gem.</v>
      </c>
    </row>
    <row r="12163">
      <c r="A12163" s="1">
        <v>4.0</v>
      </c>
      <c r="B12163" s="1" t="s">
        <v>11956</v>
      </c>
      <c r="C12163" t="str">
        <f>IFERROR(__xludf.DUMMYFUNCTION("GOOGLETRANSLATE(B12163, ""fr"", ""en"")"),"Cap man Very good quality materials and stitching 1 star less because much darker (dark navy) on the photo damage")</f>
        <v>Cap man Very good quality materials and stitching 1 star less because much darker (dark navy) on the photo damage</v>
      </c>
    </row>
    <row r="12164">
      <c r="A12164" s="1">
        <v>4.0</v>
      </c>
      <c r="B12164" s="1" t="s">
        <v>11957</v>
      </c>
      <c r="C12164" t="str">
        <f>IFERROR(__xludf.DUMMYFUNCTION("GOOGLETRANSLATE(B12164, ""fr"", ""en"")"),"Finally a good product purchase 3rd in 6 weeks the first unusable lever to the start under the handle broke, the second returned because of the taste. The third impeccable water production odorless unlike hot. Regular moderate noise. positive the jacket, "&amp;"the outside temperature is reasonable. The point is to improve the visibility of the water level for filling. Great deal.")</f>
        <v>Finally a good product purchase 3rd in 6 weeks the first unusable lever to the start under the handle broke, the second returned because of the taste. The third impeccable water production odorless unlike hot. Regular moderate noise. positive the jacket, the outside temperature is reasonable. The point is to improve the visibility of the water level for filling. Great deal.</v>
      </c>
    </row>
    <row r="12165">
      <c r="A12165" s="1">
        <v>5.0</v>
      </c>
      <c r="B12165" s="1" t="s">
        <v>11958</v>
      </c>
      <c r="C12165" t="str">
        <f>IFERROR(__xludf.DUMMYFUNCTION("GOOGLETRANSLATE(B12165, ""fr"", ""en"")"),"Just perfect I love")</f>
        <v>Just perfect I love</v>
      </c>
    </row>
    <row r="12166">
      <c r="A12166" s="1">
        <v>5.0</v>
      </c>
      <c r="B12166" s="1" t="s">
        <v>11959</v>
      </c>
      <c r="C12166" t="str">
        <f>IFERROR(__xludf.DUMMYFUNCTION("GOOGLETRANSLATE(B12166, ""fr"", ""en"")"),"A boon necklace bought for Mother's Day. I bought it when Flash coupon for 20 € instead of 110 €. However, it really is worth its cost base. If you want to please a woman in your life: go for it!")</f>
        <v>A boon necklace bought for Mother's Day. I bought it when Flash coupon for 20 € instead of 110 €. However, it really is worth its cost base. If you want to please a woman in your life: go for it!</v>
      </c>
    </row>
    <row r="12167">
      <c r="A12167" s="1">
        <v>5.0</v>
      </c>
      <c r="B12167" s="1" t="s">
        <v>11960</v>
      </c>
      <c r="C12167" t="str">
        <f>IFERROR(__xludf.DUMMYFUNCTION("GOOGLETRANSLATE(B12167, ""fr"", ""en"")"),"Comfortable and beautiful finishes Parcel arrived quickly and well packaged. I took a pair of 43 for my husband, his shoe size, they will perfect it. &amp; Nbsp; The sole is flexible. They are comfortable as slippers. Very nice quality. The blue color is brig"&amp;"ht. Good finishes. EXCELLENT value for money 😍")</f>
        <v>Comfortable and beautiful finishes Parcel arrived quickly and well packaged. I took a pair of 43 for my husband, his shoe size, they will perfect it. &amp; Nbsp; The sole is flexible. They are comfortable as slippers. Very nice quality. The blue color is bright. Good finishes. EXCELLENT value for money 😍</v>
      </c>
    </row>
    <row r="12168">
      <c r="A12168" s="1">
        <v>5.0</v>
      </c>
      <c r="B12168" s="1" t="s">
        <v>11961</v>
      </c>
      <c r="C12168" t="str">
        <f>IFERROR(__xludf.DUMMYFUNCTION("GOOGLETRANSLATE(B12168, ""fr"", ""en"")"),"good quality shoes Bought to replace models without a brand name, what difference, good mantien foot and comfortable to wear, I use them whenever I can.")</f>
        <v>good quality shoes Bought to replace models without a brand name, what difference, good mantien foot and comfortable to wear, I use them whenever I can.</v>
      </c>
    </row>
    <row r="12169">
      <c r="A12169" s="1">
        <v>5.0</v>
      </c>
      <c r="B12169" s="1" t="s">
        <v>11962</v>
      </c>
      <c r="C12169" t="str">
        <f>IFERROR(__xludf.DUMMYFUNCTION("GOOGLETRANSLATE(B12169, ""fr"", ""en"")"),"I recommend, very well for the home, holds well. take 2 sizes bigger, if not perfect, we can afford a plume of color, considering the price is interesting c")</f>
        <v>I recommend, very well for the home, holds well. take 2 sizes bigger, if not perfect, we can afford a plume of color, considering the price is interesting c</v>
      </c>
    </row>
    <row r="12170">
      <c r="A12170" s="1">
        <v>5.0</v>
      </c>
      <c r="B12170" s="1" t="s">
        <v>11963</v>
      </c>
      <c r="C12170" t="str">
        <f>IFERROR(__xludf.DUMMYFUNCTION("GOOGLETRANSLATE(B12170, ""fr"", ""en"")"),"Very satisfied Good felt with marking that want well")</f>
        <v>Very satisfied Good felt with marking that want well</v>
      </c>
    </row>
    <row r="12171">
      <c r="A12171" s="1">
        <v>5.0</v>
      </c>
      <c r="B12171" s="1" t="s">
        <v>11964</v>
      </c>
      <c r="C12171" t="str">
        <f>IFERROR(__xludf.DUMMYFUNCTION("GOOGLETRANSLATE(B12171, ""fr"", ""en"")"),"A still effective classic A timeless watch, very readable and solid. For the ""Waveceptor"" be sure to read the instructions to put the watch in sync forced the first time the area ""PAR"" (Paris). Also make sure its orientation in front of a window (it s"&amp;"hould, preferably, the icon in bottom right satellite is the max). After a few minutes the sync was successful and everything works the second set!")</f>
        <v>A still effective classic A timeless watch, very readable and solid. For the "Waveceptor" be sure to read the instructions to put the watch in sync forced the first time the area "PAR" (Paris). Also make sure its orientation in front of a window (it should, preferably, the icon in bottom right satellite is the max). After a few minutes the sync was successful and everything works the second set!</v>
      </c>
    </row>
    <row r="12172">
      <c r="A12172" s="1">
        <v>5.0</v>
      </c>
      <c r="B12172" s="1" t="s">
        <v>11965</v>
      </c>
      <c r="C12172" t="str">
        <f>IFERROR(__xludf.DUMMYFUNCTION("GOOGLETRANSLATE(B12172, ""fr"", ""en"")"),"really great for the price I bought this diffuser to the living room and it suits me very well. The operation is very simple. The time can be selected from 1, 2 or 3 hours but can be disabled at any time. The light band is also switchable separately and d"&amp;"raws the eye in the dark. The force of the spray can also be adjusted. If the water level is too low, the diffuser is extinguished, which was very important to me. With a room size of about 28 square meters, this creates a pleasant fragrance that is not i"&amp;"ntrusive, but clearly feels. The diffuser is as I imagined and the price is right. Can you recommend it!")</f>
        <v>really great for the price I bought this diffuser to the living room and it suits me very well. The operation is very simple. The time can be selected from 1, 2 or 3 hours but can be disabled at any time. The light band is also switchable separately and draws the eye in the dark. The force of the spray can also be adjusted. If the water level is too low, the diffuser is extinguished, which was very important to me. With a room size of about 28 square meters, this creates a pleasant fragrance that is not intrusive, but clearly feels. The diffuser is as I imagined and the price is right. Can you recommend it!</v>
      </c>
    </row>
    <row r="12173">
      <c r="A12173" s="1">
        <v>5.0</v>
      </c>
      <c r="B12173" s="1" t="s">
        <v>11966</v>
      </c>
      <c r="C12173" t="str">
        <f>IFERROR(__xludf.DUMMYFUNCTION("GOOGLETRANSLATE(B12173, ""fr"", ""en"")"),"Great Works great")</f>
        <v>Great Works great</v>
      </c>
    </row>
    <row r="12174">
      <c r="A12174" s="1">
        <v>5.0</v>
      </c>
      <c r="B12174" s="1" t="s">
        <v>11967</v>
      </c>
      <c r="C12174" t="str">
        <f>IFERROR(__xludf.DUMMYFUNCTION("GOOGLETRANSLATE(B12174, ""fr"", ""en"")"),"I still love alive")</f>
        <v>I still love alive</v>
      </c>
    </row>
    <row r="12175">
      <c r="A12175" s="1">
        <v>5.0</v>
      </c>
      <c r="B12175" s="1" t="s">
        <v>11968</v>
      </c>
      <c r="C12175" t="str">
        <f>IFERROR(__xludf.DUMMYFUNCTION("GOOGLETRANSLATE(B12175, ""fr"", ""en"")"),"Ball washing Command received and consistent with the description, I used is currently one I am satisfied. I recommend its original form 6 balls for washing and beat the machine.")</f>
        <v>Ball washing Command received and consistent with the description, I used is currently one I am satisfied. I recommend its original form 6 balls for washing and beat the machine.</v>
      </c>
    </row>
    <row r="12176">
      <c r="A12176" s="1">
        <v>5.0</v>
      </c>
      <c r="B12176" s="1" t="s">
        <v>11969</v>
      </c>
      <c r="C12176" t="str">
        <f>IFERROR(__xludf.DUMMYFUNCTION("GOOGLETRANSLATE(B12176, ""fr"", ""en"")"),"Products at the top so I can not really describe the experience with this product since I bought a Christmas gift for my daughter but they told me this article and very especially to soothe your aches and winter it warms installed in front of the TV after"&amp;" a day of work it's relaxing")</f>
        <v>Products at the top so I can not really describe the experience with this product since I bought a Christmas gift for my daughter but they told me this article and very especially to soothe your aches and winter it warms installed in front of the TV after a day of work it's relaxing</v>
      </c>
    </row>
    <row r="12177">
      <c r="A12177" s="1">
        <v>5.0</v>
      </c>
      <c r="B12177" s="1" t="s">
        <v>11970</v>
      </c>
      <c r="C12177" t="str">
        <f>IFERROR(__xludf.DUMMYFUNCTION("GOOGLETRANSLATE(B12177, ""fr"", ""en"")"),"Basketball pleasant The cut is good, choose the perfect color. Comfortable to wear with jeans.")</f>
        <v>Basketball pleasant The cut is good, choose the perfect color. Comfortable to wear with jeans.</v>
      </c>
    </row>
    <row r="12178">
      <c r="A12178" s="1">
        <v>5.0</v>
      </c>
      <c r="B12178" s="1" t="s">
        <v>11971</v>
      </c>
      <c r="C12178" t="str">
        <f>IFERROR(__xludf.DUMMYFUNCTION("GOOGLETRANSLATE(B12178, ""fr"", ""en"")"),"Socks good Conform to my expectations, these socks are comfortable to wear and do not slip on sneakers.")</f>
        <v>Socks good Conform to my expectations, these socks are comfortable to wear and do not slip on sneakers.</v>
      </c>
    </row>
    <row r="12179">
      <c r="A12179" s="1">
        <v>5.0</v>
      </c>
      <c r="B12179" s="1" t="s">
        <v>11972</v>
      </c>
      <c r="C12179" t="str">
        <f>IFERROR(__xludf.DUMMYFUNCTION("GOOGLETRANSLATE(B12179, ""fr"", ""en"")"),"Pretty and sweet My daughter really like this jacket filled both sweet and lovely color. We are very satisfied with this purchase ..,")</f>
        <v>Pretty and sweet My daughter really like this jacket filled both sweet and lovely color. We are very satisfied with this purchase ..,</v>
      </c>
    </row>
    <row r="12180">
      <c r="A12180" s="1">
        <v>5.0</v>
      </c>
      <c r="B12180" s="1" t="s">
        <v>11973</v>
      </c>
      <c r="C12180" t="str">
        <f>IFERROR(__xludf.DUMMYFUNCTION("GOOGLETRANSLATE(B12180, ""fr"", ""en"")"),"Excelent its very good quality helmet. The sound is great, and do not often recharge. I recommend this product.")</f>
        <v>Excelent its very good quality helmet. The sound is great, and do not often recharge. I recommend this product.</v>
      </c>
    </row>
    <row r="12181">
      <c r="A12181" s="1">
        <v>2.0</v>
      </c>
      <c r="B12181" s="1" t="s">
        <v>11974</v>
      </c>
      <c r="C12181" t="str">
        <f>IFERROR(__xludf.DUMMYFUNCTION("GOOGLETRANSLATE(B12181, ""fr"", ""en"")"),"Very blah Too heavy ... too noisy ... and some parts are very difficult to removed when the lead changes ... fly off your fingers ..! Little effect on a very stubborn cellulite")</f>
        <v>Very blah Too heavy ... too noisy ... and some parts are very difficult to removed when the lead changes ... fly off your fingers ..! Little effect on a very stubborn cellulite</v>
      </c>
    </row>
    <row r="12182">
      <c r="A12182" s="1">
        <v>1.0</v>
      </c>
      <c r="B12182" s="1" t="s">
        <v>11975</v>
      </c>
      <c r="C12182" t="str">
        <f>IFERROR(__xludf.DUMMYFUNCTION("GOOGLETRANSLATE(B12182, ""fr"", ""en"")"),"No effect No effect to soften the laundry.")</f>
        <v>No effect No effect to soften the laundry.</v>
      </c>
    </row>
    <row r="12183">
      <c r="A12183" s="1">
        <v>1.0</v>
      </c>
      <c r="B12183" s="1" t="s">
        <v>11976</v>
      </c>
      <c r="C12183" t="str">
        <f>IFERROR(__xludf.DUMMYFUNCTION("GOOGLETRANSLATE(B12183, ""fr"", ""en"")"),"Low quality Not worth more ... after a workout there is already a ""shooting"" as in nylons! Too bad because the original as required.")</f>
        <v>Low quality Not worth more ... after a workout there is already a "shooting" as in nylons! Too bad because the original as required.</v>
      </c>
    </row>
    <row r="12184">
      <c r="A12184" s="1">
        <v>3.0</v>
      </c>
      <c r="B12184" s="1" t="s">
        <v>11977</v>
      </c>
      <c r="C12184" t="str">
        <f>IFERROR(__xludf.DUMMYFUNCTION("GOOGLETRANSLATE(B12184, ""fr"", ""en"")"),"The Middle prodiot works great once we found a leaflet in French.")</f>
        <v>The Middle prodiot works great once we found a leaflet in French.</v>
      </c>
    </row>
    <row r="12185">
      <c r="A12185" s="1">
        <v>3.0</v>
      </c>
      <c r="B12185" s="1" t="s">
        <v>11978</v>
      </c>
      <c r="C12185" t="str">
        <f>IFERROR(__xludf.DUMMYFUNCTION("GOOGLETRANSLATE(B12185, ""fr"", ""en"")"),"Headband Pretty color but a bit wide for girl")</f>
        <v>Headband Pretty color but a bit wide for girl</v>
      </c>
    </row>
    <row r="12186">
      <c r="A12186" s="1">
        <v>4.0</v>
      </c>
      <c r="B12186" s="1" t="s">
        <v>11979</v>
      </c>
      <c r="C12186" t="str">
        <f>IFERROR(__xludf.DUMMYFUNCTION("GOOGLETRANSLATE(B12186, ""fr"", ""en"")"),"Perfect on my desk, one downside to this whole mesh design's tough and above there is storage a lot of great things even. The low central part can store sticky notes and other items besides. This is the downside: this part is not right, it is poorly made."&amp;" For the rest no problem. The upper part allows to put small items with removable media. Then we have two equivalent sides of 4 pen holders. The set takes up little space and allows it to be well organized.")</f>
        <v>Perfect on my desk, one downside to this whole mesh design's tough and above there is storage a lot of great things even. The low central part can store sticky notes and other items besides. This is the downside: this part is not right, it is poorly made. For the rest no problem. The upper part allows to put small items with removable media. Then we have two equivalent sides of 4 pen holders. The set takes up little space and allows it to be well organized.</v>
      </c>
    </row>
    <row r="12187">
      <c r="A12187" s="1">
        <v>4.0</v>
      </c>
      <c r="B12187" s="1" t="s">
        <v>11980</v>
      </c>
      <c r="C12187" t="str">
        <f>IFERROR(__xludf.DUMMYFUNCTION("GOOGLETRANSLATE(B12187, ""fr"", ""en"")"),"Perfect ! Suits me very well for my necklaces made with Nespresso capsules. Better than these chains blackened neck ...")</f>
        <v>Perfect ! Suits me very well for my necklaces made with Nespresso capsules. Better than these chains blackened neck ...</v>
      </c>
    </row>
    <row r="12188">
      <c r="A12188" s="1">
        <v>4.0</v>
      </c>
      <c r="B12188" s="1" t="s">
        <v>11981</v>
      </c>
      <c r="C12188" t="str">
        <f>IFERROR(__xludf.DUMMYFUNCTION("GOOGLETRANSLATE(B12188, ""fr"", ""en"")"),"Review the rubber is not his slip slides lot")</f>
        <v>Review the rubber is not his slip slides lot</v>
      </c>
    </row>
    <row r="12189">
      <c r="A12189" s="1">
        <v>4.0</v>
      </c>
      <c r="B12189" s="1" t="s">
        <v>11982</v>
      </c>
      <c r="C12189" t="str">
        <f>IFERROR(__xludf.DUMMYFUNCTION("GOOGLETRANSLATE(B12189, ""fr"", ""en"")"),"Although Meets description damage but it is not clear that it is not possible to select a water temperature very accurately.")</f>
        <v>Although Meets description damage but it is not clear that it is not possible to select a water temperature very accurately.</v>
      </c>
    </row>
    <row r="12190">
      <c r="A12190" s="1">
        <v>4.0</v>
      </c>
      <c r="B12190" s="1" t="s">
        <v>11983</v>
      </c>
      <c r="C12190" t="str">
        <f>IFERROR(__xludf.DUMMYFUNCTION("GOOGLETRANSLATE(B12190, ""fr"", ""en"")"),"To review? I use them to listen to music mainly. Bass response without exaggeration or distortion sound. Headphones rather ""classic"" no surprises in terms of sound for the price. However, two (large) caveats: - the controls are not compatible with my la"&amp;"ptop (Asus Zenfone) - Micro Problem on the PS4: the person hears all the surrounding noises except ... My voice. Suffice to say useless on PS4. Is this a problem with my headphones? A setting? I do not think .. Maybe, but I doubt that the vendor sends me "&amp;"and I did not do RECLA")</f>
        <v>To review? I use them to listen to music mainly. Bass response without exaggeration or distortion sound. Headphones rather "classic" no surprises in terms of sound for the price. However, two (large) caveats: - the controls are not compatible with my laptop (Asus Zenfone) - Micro Problem on the PS4: the person hears all the surrounding noises except ... My voice. Suffice to say useless on PS4. Is this a problem with my headphones? A setting? I do not think .. Maybe, but I doubt that the vendor sends me and I did not do RECLA</v>
      </c>
    </row>
    <row r="12191">
      <c r="A12191" s="1">
        <v>5.0</v>
      </c>
      <c r="B12191" s="1" t="s">
        <v>11984</v>
      </c>
      <c r="C12191" t="str">
        <f>IFERROR(__xludf.DUMMYFUNCTION("GOOGLETRANSLATE(B12191, ""fr"", ""en"")"),"Perfect to offer! As always with Advent, we pledge to buy a quality item. This will be perfect for a gift of birth. The bottles are fine, just need to find the right angle. With these 3 bottles and nipple is a complete kit. Excellent value.")</f>
        <v>Perfect to offer! As always with Advent, we pledge to buy a quality item. This will be perfect for a gift of birth. The bottles are fine, just need to find the right angle. With these 3 bottles and nipple is a complete kit. Excellent value.</v>
      </c>
    </row>
    <row r="12192">
      <c r="A12192" s="1">
        <v>5.0</v>
      </c>
      <c r="B12192" s="1" t="s">
        <v>11985</v>
      </c>
      <c r="C12192" t="str">
        <f>IFERROR(__xludf.DUMMYFUNCTION("GOOGLETRANSLATE(B12192, ""fr"", ""en"")"),"Attention to the size Quality is at the appointment Based on the comments I have the size 37.5 order too large size. I also tried the 36.5 c is too small. I'll take the 37. If the colors are true to the photos (brown and dark green)")</f>
        <v>Attention to the size Quality is at the appointment Based on the comments I have the size 37.5 order too large size. I also tried the 36.5 c is too small. I'll take the 37. If the colors are true to the photos (brown and dark green)</v>
      </c>
    </row>
    <row r="12193">
      <c r="A12193" s="1">
        <v>5.0</v>
      </c>
      <c r="B12193" s="1" t="s">
        <v>11986</v>
      </c>
      <c r="C12193" t="str">
        <f>IFERROR(__xludf.DUMMYFUNCTION("GOOGLETRANSLATE(B12193, ""fr"", ""en"")"),"Easy to assemble, lightweight, rolling ... Perfect! Received very quickly. Easy to install (with a screwdriver is shorter). Strong enough. The plastic covers fit right.")</f>
        <v>Easy to assemble, lightweight, rolling ... Perfect! Received very quickly. Easy to install (with a screwdriver is shorter). Strong enough. The plastic covers fit right.</v>
      </c>
    </row>
    <row r="12194">
      <c r="A12194" s="1">
        <v>5.0</v>
      </c>
      <c r="B12194" s="1" t="s">
        <v>11987</v>
      </c>
      <c r="C12194" t="str">
        <f>IFERROR(__xludf.DUMMYFUNCTION("GOOGLETRANSLATE(B12194, ""fr"", ""en"")"),"Masseur This is &amp; nbsp; very &amp; nbsp; well &amp; nbsp; for &amp; nbsp; the &amp; nbsp; time, &amp; nbsp; but &amp; nbsp; I &amp; nbsp; have &amp; nbsp; not &amp; nbsp; still &amp; nbsp; see &amp; nbsp; &amp; nbsp; results &amp; nbsp; évidents.Je &amp; nbsp; use &amp; nbsp; often &amp; nbsp; it &amp; nbsp; be &amp; nbsp ; h"&amp;"ave &amp; nbsp; the &amp; nbsp; Courage &amp; nbsp; &amp; nbsp; the &amp; nbsp; to &amp; nbsp; all &amp; nbsp; &amp; nbsp; night, &amp; nbsp; I &amp; nbsp; believe &amp; nbsp; have &amp; nbsp; a &amp; nbsp; résultat.Je &amp; nbsp; &amp; nbsp; the &amp; nbsp; recommandeBon &amp; nbsp; massage &amp; nbsp; to &amp; nbsp; all &amp; nbsp;"&amp;" the &amp; nbsp; world")</f>
        <v>Masseur This is &amp; nbsp; very &amp; nbsp; well &amp; nbsp; for &amp; nbsp; the &amp; nbsp; time, &amp; nbsp; but &amp; nbsp; I &amp; nbsp; have &amp; nbsp; not &amp; nbsp; still &amp; nbsp; see &amp; nbsp; &amp; nbsp; results &amp; nbsp; évidents.Je &amp; nbsp; use &amp; nbsp; often &amp; nbsp; it &amp; nbsp; be &amp; nbsp ; have &amp; nbsp; the &amp; nbsp; Courage &amp; nbsp; &amp; nbsp; the &amp; nbsp; to &amp; nbsp; all &amp; nbsp; &amp; nbsp; night, &amp; nbsp; I &amp; nbsp; believe &amp; nbsp; have &amp; nbsp; a &amp; nbsp; résultat.Je &amp; nbsp; &amp; nbsp; the &amp; nbsp; recommandeBon &amp; nbsp; massage &amp; nbsp; to &amp; nbsp; all &amp; nbsp; the &amp; nbsp; world</v>
      </c>
    </row>
    <row r="12195">
      <c r="A12195" s="1">
        <v>5.0</v>
      </c>
      <c r="B12195" s="1" t="s">
        <v>11988</v>
      </c>
      <c r="C12195" t="str">
        <f>IFERROR(__xludf.DUMMYFUNCTION("GOOGLETRANSLATE(B12195, ""fr"", ""en"")"),"Convincing I had already bought a Bluetooth speaker Kilburn brand which I remained enchanted. This time the Marshall Mid headset that won me over with its ease of use, quick and easy connection, and especially by the quality of its sound throughout the fr"&amp;"equency curve. Excellent range / receipt of Bluetooth, comfortable to use for long periods and well above the average range. Bought for my daughter I will quickly order a second for me after suffering a sound unconvincing experience with the headset Cowin"&amp;" E7 (lack of frequency discrimination, low ubiquitous medium, ear fatigue). I'll add that Marshall Mid is very well built for a finish and a perfect weight.")</f>
        <v>Convincing I had already bought a Bluetooth speaker Kilburn brand which I remained enchanted. This time the Marshall Mid headset that won me over with its ease of use, quick and easy connection, and especially by the quality of its sound throughout the frequency curve. Excellent range / receipt of Bluetooth, comfortable to use for long periods and well above the average range. Bought for my daughter I will quickly order a second for me after suffering a sound unconvincing experience with the headset Cowin E7 (lack of frequency discrimination, low ubiquitous medium, ear fatigue). I'll add that Marshall Mid is very well built for a finish and a perfect weight.</v>
      </c>
    </row>
    <row r="12196">
      <c r="A12196" s="1">
        <v>5.0</v>
      </c>
      <c r="B12196" s="1" t="s">
        <v>11989</v>
      </c>
      <c r="C12196" t="str">
        <f>IFERROR(__xludf.DUMMYFUNCTION("GOOGLETRANSLATE(B12196, ""fr"", ""en"")"),"Making the transition to minimalism before c c zero drop after the top Running road, great! Size it right shoe is one with the foot feels light and bare foot the principle of minimalism.")</f>
        <v>Making the transition to minimalism before c c zero drop after the top Running road, great! Size it right shoe is one with the foot feels light and bare foot the principle of minimalism.</v>
      </c>
    </row>
    <row r="12197">
      <c r="A12197" s="1">
        <v>5.0</v>
      </c>
      <c r="B12197" s="1" t="s">
        <v>11990</v>
      </c>
      <c r="C12197" t="str">
        <f>IFERROR(__xludf.DUMMYFUNCTION("GOOGLETRANSLATE(B12197, ""fr"", ""en"")"),"Good product Size a little big but good product. The material is nice but draws much lint and pet hair. But wearable.")</f>
        <v>Good product Size a little big but good product. The material is nice but draws much lint and pet hair. But wearable.</v>
      </c>
    </row>
    <row r="12198">
      <c r="A12198" s="1">
        <v>5.0</v>
      </c>
      <c r="B12198" s="1" t="s">
        <v>11991</v>
      </c>
      <c r="C12198" t="str">
        <f>IFERROR(__xludf.DUMMYFUNCTION("GOOGLETRANSLATE(B12198, ""fr"", ""en"")"),"Reveil Reveil light easy to use, the received document is well explained and includes several languages ​​including French, touch is soft and the keys work well, it has one alarm clock that lights the lamp gradually over 30min and 1 alarm bed making Conve"&amp;"rsely (I like this feature when I look at the series), the light is powerful enough to wake up if you're in the dark.")</f>
        <v>Reveil Reveil light easy to use, the received document is well explained and includes several languages ​​including French, touch is soft and the keys work well, it has one alarm clock that lights the lamp gradually over 30min and 1 alarm bed making Conversely (I like this feature when I look at the series), the light is powerful enough to wake up if you're in the dark.</v>
      </c>
    </row>
    <row r="12199">
      <c r="A12199" s="1">
        <v>5.0</v>
      </c>
      <c r="B12199" s="1" t="s">
        <v>11992</v>
      </c>
      <c r="C12199" t="str">
        <f>IFERROR(__xludf.DUMMYFUNCTION("GOOGLETRANSLATE(B12199, ""fr"", ""en"")"),"Good quality and very useful for making baby formula at home or outside, the metering powder milk is really useful in everyday life, it can anticipate preparations bottles with the right amount of milk powder and save time in preparation. Essential also f"&amp;"or outings with baby. The quality is excellent, the plastic is solid and the elements are screwed tightly together. the risk that the milk powder is emptied in the diaper bag is very low. For the price, I am completely satisfied.")</f>
        <v>Good quality and very useful for making baby formula at home or outside, the metering powder milk is really useful in everyday life, it can anticipate preparations bottles with the right amount of milk powder and save time in preparation. Essential also for outings with baby. The quality is excellent, the plastic is solid and the elements are screwed tightly together. the risk that the milk powder is emptied in the diaper bag is very low. For the price, I am completely satisfied.</v>
      </c>
    </row>
    <row r="12200">
      <c r="A12200" s="1">
        <v>5.0</v>
      </c>
      <c r="B12200" s="1" t="s">
        <v>11993</v>
      </c>
      <c r="C12200" t="str">
        <f>IFERROR(__xludf.DUMMYFUNCTION("GOOGLETRANSLATE(B12200, ""fr"", ""en"")"),"wELL well")</f>
        <v>wELL well</v>
      </c>
    </row>
    <row r="12201">
      <c r="A12201" s="1">
        <v>5.0</v>
      </c>
      <c r="B12201" s="1" t="s">
        <v>11994</v>
      </c>
      <c r="C12201" t="str">
        <f>IFERROR(__xludf.DUMMYFUNCTION("GOOGLETRANSLATE(B12201, ""fr"", ""en"")"),"Nothing wrong product complies product according")</f>
        <v>Nothing wrong product complies product according</v>
      </c>
    </row>
    <row r="12202">
      <c r="A12202" s="1">
        <v>5.0</v>
      </c>
      <c r="B12202" s="1" t="s">
        <v>11995</v>
      </c>
      <c r="C12202" t="str">
        <f>IFERROR(__xludf.DUMMYFUNCTION("GOOGLETRANSLATE(B12202, ""fr"", ""en"")"),"Quality and long-term high quality cartridge and with a consequent lifetime")</f>
        <v>Quality and long-term high quality cartridge and with a consequent lifetime</v>
      </c>
    </row>
    <row r="12203">
      <c r="A12203" s="1">
        <v>5.0</v>
      </c>
      <c r="B12203" s="1" t="s">
        <v>11996</v>
      </c>
      <c r="C12203" t="str">
        <f>IFERROR(__xludf.DUMMYFUNCTION("GOOGLETRANSLATE(B12203, ""fr"", ""en"")"),"beautiful tea kettle solid; the handy round support water boils quickly pt = the flat electrical wire length qq cms more would be ideal for me")</f>
        <v>beautiful tea kettle solid; the handy round support water boils quickly pt = the flat electrical wire length qq cms more would be ideal for me</v>
      </c>
    </row>
    <row r="12204">
      <c r="A12204" s="1">
        <v>5.0</v>
      </c>
      <c r="B12204" s="1" t="s">
        <v>11997</v>
      </c>
      <c r="C12204" t="str">
        <f>IFERROR(__xludf.DUMMYFUNCTION("GOOGLETRANSLATE(B12204, ""fr"", ""en"")"),"Bracelet Received quickly in a nice shine boîte.IL 1000 fires and the silver color is pretty; it's not too ""poor quality"" .The size is not adjustable, which can cause problems for large wrists (this n is not my case).")</f>
        <v>Bracelet Received quickly in a nice shine boîte.IL 1000 fires and the silver color is pretty; it's not too "poor quality" .The size is not adjustable, which can cause problems for large wrists (this n is not my case).</v>
      </c>
    </row>
    <row r="12205">
      <c r="A12205" s="1">
        <v>5.0</v>
      </c>
      <c r="B12205" s="1" t="s">
        <v>11998</v>
      </c>
      <c r="C12205" t="str">
        <f>IFERROR(__xludf.DUMMYFUNCTION("GOOGLETRANSLATE(B12205, ""fr"", ""en"")"),"Fast delivery very good")</f>
        <v>Fast delivery very good</v>
      </c>
    </row>
    <row r="12206">
      <c r="A12206" s="1">
        <v>2.0</v>
      </c>
      <c r="B12206" s="1" t="s">
        <v>11999</v>
      </c>
      <c r="C12206" t="str">
        <f>IFERROR(__xludf.DUMMYFUNCTION("GOOGLETRANSLATE(B12206, ""fr"", ""en"")"),"No. Do not burn more than 2 seconds. The paper goes out almost immediately. A lousy copy")</f>
        <v>No. Do not burn more than 2 seconds. The paper goes out almost immediately. A lousy copy</v>
      </c>
    </row>
    <row r="12207">
      <c r="A12207" s="1">
        <v>1.0</v>
      </c>
      <c r="B12207" s="1" t="s">
        <v>12000</v>
      </c>
      <c r="C12207" t="str">
        <f>IFERROR(__xludf.DUMMYFUNCTION("GOOGLETRANSLATE(B12207, ""fr"", ""en"")"),"Counterfeiting This bracelet is a counterfeit! I paid the same price that a real Pandora bought on site. I am extremely disappointed. The FTA logo appears nowhere and begins to change color gradually weird for money. ... I decided to declare the infringem"&amp;"ent because he has been sold for a Pandora, then that is a fake. There misrepresentation of the product! !!!!")</f>
        <v>Counterfeiting This bracelet is a counterfeit! I paid the same price that a real Pandora bought on site. I am extremely disappointed. The FTA logo appears nowhere and begins to change color gradually weird for money. ... I decided to declare the infringement because he has been sold for a Pandora, then that is a fake. There misrepresentation of the product! !!!!</v>
      </c>
    </row>
    <row r="12208">
      <c r="A12208" s="1">
        <v>1.0</v>
      </c>
      <c r="B12208" s="1" t="s">
        <v>12001</v>
      </c>
      <c r="C12208" t="str">
        <f>IFERROR(__xludf.DUMMYFUNCTION("GOOGLETRANSLATE(B12208, ""fr"", ""en"")"),"Very disappointed ! At first glance I was thrilled unpacking and then looking more nearly a needle freely walking in the dial, soundness issue I have big doubts, I returned and repaid the same day, for it well done !")</f>
        <v>Very disappointed ! At first glance I was thrilled unpacking and then looking more nearly a needle freely walking in the dial, soundness issue I have big doubts, I returned and repaid the same day, for it well done !</v>
      </c>
    </row>
    <row r="12209">
      <c r="A12209" s="1">
        <v>3.0</v>
      </c>
      <c r="B12209" s="1" t="s">
        <v>12002</v>
      </c>
      <c r="C12209" t="str">
        <f>IFERROR(__xludf.DUMMYFUNCTION("GOOGLETRANSLATE(B12209, ""fr"", ""en"")"),"Done his job loses his hair a little but good product I recommend")</f>
        <v>Done his job loses his hair a little but good product I recommend</v>
      </c>
    </row>
    <row r="12210">
      <c r="A12210" s="1">
        <v>3.0</v>
      </c>
      <c r="B12210" s="1" t="s">
        <v>12003</v>
      </c>
      <c r="C12210" t="str">
        <f>IFERROR(__xludf.DUMMYFUNCTION("GOOGLETRANSLATE(B12210, ""fr"", ""en"")"),"🐏PAPIER TOILET TOO EXPENSIVE: GOOD TOILET PAPER, MAXI SHEETS ?? THEY 1 CM MORE THAN TOILET PAPER BASIC BUT ARE SMALLER ROLLS AND THUS LESS SHEETS 😣 ... IT'S A GOOD TOILET PAPER, BUT THAT DOES NOT WORTH PRICE ARE, THAT I FIND EXTREMELY EXPENSIVE FOR CONT"&amp;"RIBUTION TO OTHER .BOF, WELL NO MORE AND ESPECIALLY TOO EXPENSIVE TO MY TASTE 😉 !!!!")</f>
        <v>🐏PAPIER TOILET TOO EXPENSIVE: GOOD TOILET PAPER, MAXI SHEETS ?? THEY 1 CM MORE THAN TOILET PAPER BASIC BUT ARE SMALLER ROLLS AND THUS LESS SHEETS 😣 ... IT'S A GOOD TOILET PAPER, BUT THAT DOES NOT WORTH PRICE ARE, THAT I FIND EXTREMELY EXPENSIVE FOR CONTRIBUTION TO OTHER .BOF, WELL NO MORE AND ESPECIALLY TOO EXPENSIVE TO MY TASTE 😉 !!!!</v>
      </c>
    </row>
    <row r="12211">
      <c r="A12211" s="1">
        <v>4.0</v>
      </c>
      <c r="B12211" s="1" t="s">
        <v>12004</v>
      </c>
      <c r="C12211" t="str">
        <f>IFERROR(__xludf.DUMMYFUNCTION("GOOGLETRANSLATE(B12211, ""fr"", ""en"")"),"To make tea Okay")</f>
        <v>To make tea Okay</v>
      </c>
    </row>
    <row r="12212">
      <c r="A12212" s="1">
        <v>4.0</v>
      </c>
      <c r="B12212" s="1" t="s">
        <v>12005</v>
      </c>
      <c r="C12212" t="str">
        <f>IFERROR(__xludf.DUMMYFUNCTION("GOOGLETRANSLATE(B12212, ""fr"", ""en"")"),"A copy value. Wear it every day, it does not go unnoticed, however I have not bought it, just for my own pleasure. It is darker than on the demo page, but this damage does not matter, I keep it because it is very still.")</f>
        <v>A copy value. Wear it every day, it does not go unnoticed, however I have not bought it, just for my own pleasure. It is darker than on the demo page, but this damage does not matter, I keep it because it is very still.</v>
      </c>
    </row>
    <row r="12213">
      <c r="A12213" s="1">
        <v>4.0</v>
      </c>
      <c r="B12213" s="1" t="s">
        <v>12006</v>
      </c>
      <c r="C12213" t="str">
        <f>IFERROR(__xludf.DUMMYFUNCTION("GOOGLETRANSLATE(B12213, ""fr"", ""en"")"),"Small kettle works perfectly small kettle (capacity 1 L) which works perfectly (temperature setting works well, water boils quickly). Only downside is that a star less: beep beep beep warns you that you have reached the desired temperature. You can not re"&amp;"move it, it's a shame.")</f>
        <v>Small kettle works perfectly small kettle (capacity 1 L) which works perfectly (temperature setting works well, water boils quickly). Only downside is that a star less: beep beep beep warns you that you have reached the desired temperature. You can not remove it, it's a shame.</v>
      </c>
    </row>
    <row r="12214">
      <c r="A12214" s="1">
        <v>4.0</v>
      </c>
      <c r="B12214" s="1" t="s">
        <v>12007</v>
      </c>
      <c r="C12214" t="str">
        <f>IFERROR(__xludf.DUMMYFUNCTION("GOOGLETRANSLATE(B12214, ""fr"", ""en"")"),"Although well to large array. The magnetic side is handy.")</f>
        <v>Although well to large array. The magnetic side is handy.</v>
      </c>
    </row>
    <row r="12215">
      <c r="A12215" s="1">
        <v>5.0</v>
      </c>
      <c r="B12215" s="1" t="s">
        <v>12008</v>
      </c>
      <c r="C12215" t="str">
        <f>IFERROR(__xludf.DUMMYFUNCTION("GOOGLETRANSLATE(B12215, ""fr"", ""en"")"),"Top Bottle perfect for my daughter")</f>
        <v>Top Bottle perfect for my daughter</v>
      </c>
    </row>
    <row r="12216">
      <c r="A12216" s="1">
        <v>5.0</v>
      </c>
      <c r="B12216" s="1" t="s">
        <v>12009</v>
      </c>
      <c r="C12216" t="str">
        <f>IFERROR(__xludf.DUMMYFUNCTION("GOOGLETRANSLATE(B12216, ""fr"", ""en"")"),"Impecc quality")</f>
        <v>Impecc quality</v>
      </c>
    </row>
    <row r="12217">
      <c r="A12217" s="1">
        <v>5.0</v>
      </c>
      <c r="B12217" s="1" t="s">
        <v>12010</v>
      </c>
      <c r="C12217" t="str">
        <f>IFERROR(__xludf.DUMMYFUNCTION("GOOGLETRANSLATE(B12217, ""fr"", ""en"")"),"nice design this Bluetooth headset is design. It folds easily when not in use, fits easily into a handbag. I bought it to listen to music on the bus. The sound quality is really good considering the price and we hear very little outside noise. Very easy t"&amp;"o connect an iPhone via Bluetooth. A USB charger is included. with a cable jack is included for filiarial plays. I'm happy with this purchase")</f>
        <v>nice design this Bluetooth headset is design. It folds easily when not in use, fits easily into a handbag. I bought it to listen to music on the bus. The sound quality is really good considering the price and we hear very little outside noise. Very easy to connect an iPhone via Bluetooth. A USB charger is included. with a cable jack is included for filiarial plays. I'm happy with this purchase</v>
      </c>
    </row>
    <row r="12218">
      <c r="A12218" s="1">
        <v>5.0</v>
      </c>
      <c r="B12218" s="1" t="s">
        <v>12011</v>
      </c>
      <c r="C12218" t="str">
        <f>IFERROR(__xludf.DUMMYFUNCTION("GOOGLETRANSLATE(B12218, ""fr"", ""en"")"),"Excellent Good quality for a price defying any concurrency.")</f>
        <v>Excellent Good quality for a price defying any concurrency.</v>
      </c>
    </row>
    <row r="12219">
      <c r="A12219" s="1">
        <v>5.0</v>
      </c>
      <c r="B12219" s="1" t="s">
        <v>12012</v>
      </c>
      <c r="C12219" t="str">
        <f>IFERROR(__xludf.DUMMYFUNCTION("GOOGLETRANSLATE(B12219, ""fr"", ""en"")"),"Very good profuit This bottle is very convenient. One can open and close with one hand and does not drip! I highly recommend this product")</f>
        <v>Very good profuit This bottle is very convenient. One can open and close with one hand and does not drip! I highly recommend this product</v>
      </c>
    </row>
    <row r="12220">
      <c r="A12220" s="1">
        <v>5.0</v>
      </c>
      <c r="B12220" s="1" t="s">
        <v>12013</v>
      </c>
      <c r="C12220" t="str">
        <f>IFERROR(__xludf.DUMMYFUNCTION("GOOGLETRANSLATE(B12220, ""fr"", ""en"")"),"Very practical is recommended! Super super practical. Bought on the advice of other young parents had. A little water 2 minutes in the microwave and voila! It does not put as Avent bottles and it works very well. Up to 4 bottles dismantled at once.")</f>
        <v>Very practical is recommended! Super super practical. Bought on the advice of other young parents had. A little water 2 minutes in the microwave and voila! It does not put as Avent bottles and it works very well. Up to 4 bottles dismantled at once.</v>
      </c>
    </row>
    <row r="12221">
      <c r="A12221" s="1">
        <v>5.0</v>
      </c>
      <c r="B12221" s="1" t="s">
        <v>12014</v>
      </c>
      <c r="C12221" t="str">
        <f>IFERROR(__xludf.DUMMYFUNCTION("GOOGLETRANSLATE(B12221, ""fr"", ""en"")"),"Thank you Stylish, lightweight, perfect for leisure and fun outings, I recommend it.")</f>
        <v>Thank you Stylish, lightweight, perfect for leisure and fun outings, I recommend it.</v>
      </c>
    </row>
    <row r="12222">
      <c r="A12222" s="1">
        <v>5.0</v>
      </c>
      <c r="B12222" s="1" t="s">
        <v>12015</v>
      </c>
      <c r="C12222" t="str">
        <f>IFERROR(__xludf.DUMMYFUNCTION("GOOGLETRANSLATE(B12222, ""fr"", ""en"")"),"Perfect Very nice model for my 6 year old daughter who is very tolerant. Small model, more suitable for children")</f>
        <v>Perfect Very nice model for my 6 year old daughter who is very tolerant. Small model, more suitable for children</v>
      </c>
    </row>
    <row r="12223">
      <c r="A12223" s="1">
        <v>5.0</v>
      </c>
      <c r="B12223" s="1" t="s">
        <v>12016</v>
      </c>
      <c r="C12223" t="str">
        <f>IFERROR(__xludf.DUMMYFUNCTION("GOOGLETRANSLATE(B12223, ""fr"", ""en"")"),"Very good slippers! These slippers are very comfortable and elegant! You have to read customer feedback and do not hesitate to ""&amp; nbsp; &amp; nbsp surtailler;""! I put on the 43 and I ordered 45, and it should not have been less !!!")</f>
        <v>Very good slippers! These slippers are very comfortable and elegant! You have to read customer feedback and do not hesitate to "&amp; nbsp; &amp; nbsp surtailler;"! I put on the 43 and I ordered 45, and it should not have been less !!!</v>
      </c>
    </row>
    <row r="12224">
      <c r="A12224" s="1">
        <v>5.0</v>
      </c>
      <c r="B12224" s="1" t="s">
        <v>12017</v>
      </c>
      <c r="C12224" t="str">
        <f>IFERROR(__xludf.DUMMYFUNCTION("GOOGLETRANSLATE(B12224, ""fr"", ""en"")"),"Great shoes I had shoes that hurt my feet for a while, so I decided to buy this one. I am super satisfied, it is very comfortable and the size is perfect.")</f>
        <v>Great shoes I had shoes that hurt my feet for a while, so I decided to buy this one. I am super satisfied, it is very comfortable and the size is perfect.</v>
      </c>
    </row>
    <row r="12225">
      <c r="A12225" s="1">
        <v>5.0</v>
      </c>
      <c r="B12225" s="1" t="s">
        <v>12018</v>
      </c>
      <c r="C12225" t="str">
        <f>IFERROR(__xludf.DUMMYFUNCTION("GOOGLETRANSLATE(B12225, ""fr"", ""en"")"),"although I received two parrures pens, as they were described in annonce.Ne can get away with what you want to say?")</f>
        <v>although I received two parrures pens, as they were described in annonce.Ne can get away with what you want to say?</v>
      </c>
    </row>
    <row r="12226">
      <c r="A12226" s="1">
        <v>5.0</v>
      </c>
      <c r="B12226" s="1" t="s">
        <v>12019</v>
      </c>
      <c r="C12226" t="str">
        <f>IFERROR(__xludf.DUMMYFUNCTION("GOOGLETRANSLATE(B12226, ""fr"", ""en"")"),"Strong, effective and cheap, is LINA I prefer 😋 good and very convenient. Having twins, the product was used a lot and is still used to this day. Unlike others, he resists and looks like new!")</f>
        <v>Strong, effective and cheap, is LINA I prefer 😋 good and very convenient. Having twins, the product was used a lot and is still used to this day. Unlike others, he resists and looks like new!</v>
      </c>
    </row>
    <row r="12227">
      <c r="A12227" s="1">
        <v>5.0</v>
      </c>
      <c r="B12227" s="1" t="s">
        <v>12020</v>
      </c>
      <c r="C12227" t="str">
        <f>IFERROR(__xludf.DUMMYFUNCTION("GOOGLETRANSLATE(B12227, ""fr"", ""en"")"),"Sports on a cloud ... very comfortable shoes thanks to the insoles.")</f>
        <v>Sports on a cloud ... very comfortable shoes thanks to the insoles.</v>
      </c>
    </row>
    <row r="12228">
      <c r="A12228" s="1">
        <v>5.0</v>
      </c>
      <c r="B12228" s="1" t="s">
        <v>12021</v>
      </c>
      <c r="C12228" t="str">
        <f>IFERROR(__xludf.DUMMYFUNCTION("GOOGLETRANSLATE(B12228, ""fr"", ""en"")"),"The comfortable, they hold up! Bluetooth earphone very good with a musical rendering much better than my old Bluetooth headset (much more expensive). Another very positive point is that its use is very simple. I do not like all this new trend to a touch s"&amp;"urface that affects one in two by mistake. Here is a button that makes her perfect job! The case is well made and durable. It also charges the headphones which however have very good battery life. I now test multiple listeners because I often worry that t"&amp;"hey e not sit still in my ears, and though these are the best for now.")</f>
        <v>The comfortable, they hold up! Bluetooth earphone very good with a musical rendering much better than my old Bluetooth headset (much more expensive). Another very positive point is that its use is very simple. I do not like all this new trend to a touch surface that affects one in two by mistake. Here is a button that makes her perfect job! The case is well made and durable. It also charges the headphones which however have very good battery life. I now test multiple listeners because I often worry that they e not sit still in my ears, and though these are the best for now.</v>
      </c>
    </row>
    <row r="12229">
      <c r="A12229" s="1">
        <v>5.0</v>
      </c>
      <c r="B12229" s="1" t="s">
        <v>12022</v>
      </c>
      <c r="C12229" t="str">
        <f>IFERROR(__xludf.DUMMYFUNCTION("GOOGLETRANSLATE(B12229, ""fr"", ""en"")"),"good for running is more comfortable than any other helmet because it adapts perfectly to the shape of the ear, not only to a circular insert. Normally, you must make sure he still exists, because it is light as a feather, no, he never seems to appear alo"&amp;"ne. The sound enough to manage my background noise during the day. Excellent headphones. I tell you that the sound quality is very good and perfect appearance.")</f>
        <v>good for running is more comfortable than any other helmet because it adapts perfectly to the shape of the ear, not only to a circular insert. Normally, you must make sure he still exists, because it is light as a feather, no, he never seems to appear alone. The sound enough to manage my background noise during the day. Excellent headphones. I tell you that the sound quality is very good and perfect appearance.</v>
      </c>
    </row>
    <row r="12230">
      <c r="A12230" s="1">
        <v>2.0</v>
      </c>
      <c r="B12230" s="1" t="s">
        <v>12023</v>
      </c>
      <c r="C12230" t="str">
        <f>IFERROR(__xludf.DUMMYFUNCTION("GOOGLETRANSLATE(B12230, ""fr"", ""en"")"),"Too hot I wanted a shoe that does not warm the feet, missed! The description suggested a vent, I do not see the effects. This for those who do not mind the heat, it's a good shoe.")</f>
        <v>Too hot I wanted a shoe that does not warm the feet, missed! The description suggested a vent, I do not see the effects. This for those who do not mind the heat, it's a good shoe.</v>
      </c>
    </row>
    <row r="12231">
      <c r="A12231" s="1">
        <v>1.0</v>
      </c>
      <c r="B12231" s="1" t="s">
        <v>12024</v>
      </c>
      <c r="C12231" t="str">
        <f>IFERROR(__xludf.DUMMYFUNCTION("GOOGLETRANSLATE(B12231, ""fr"", ""en"")"),"hello disappointed cartridge 350/351 buy 10/24/2016 to have in advance, impossible to operate the 350 black machine does not connect fortunately I had another. I will order more cartridge in amazonne")</f>
        <v>hello disappointed cartridge 350/351 buy 10/24/2016 to have in advance, impossible to operate the 350 black machine does not connect fortunately I had another. I will order more cartridge in amazonne</v>
      </c>
    </row>
    <row r="12232">
      <c r="A12232" s="1">
        <v>1.0</v>
      </c>
      <c r="B12232" s="1" t="s">
        <v>12025</v>
      </c>
      <c r="C12232" t="str">
        <f>IFERROR(__xludf.DUMMYFUNCTION("GOOGLETRANSLATE(B12232, ""fr"", ""en"")"),"Do not buy this product This is not the quality Casio .....")</f>
        <v>Do not buy this product This is not the quality Casio .....</v>
      </c>
    </row>
    <row r="12233">
      <c r="A12233" s="1">
        <v>3.0</v>
      </c>
      <c r="B12233" s="1" t="s">
        <v>12026</v>
      </c>
      <c r="C12233" t="str">
        <f>IFERROR(__xludf.DUMMYFUNCTION("GOOGLETRANSLATE(B12233, ""fr"", ""en"")"),"Do not clean a high temperature I had ordered his fangs, the first coming was just too small for me despite the right size, crossing the Amazon back and that's ok. 2nd delivery and therefore perfect, perfect size and fangs nickel. cleaning in passing one "&amp;"day and then the drama, they have shrunk in the wash. Although forced to lay the shame you find this useful? Click useful")</f>
        <v>Do not clean a high temperature I had ordered his fangs, the first coming was just too small for me despite the right size, crossing the Amazon back and that's ok. 2nd delivery and therefore perfect, perfect size and fangs nickel. cleaning in passing one day and then the drama, they have shrunk in the wash. Although forced to lay the shame you find this useful? Click useful</v>
      </c>
    </row>
    <row r="12234">
      <c r="A12234" s="1">
        <v>4.0</v>
      </c>
      <c r="B12234" s="1" t="s">
        <v>12027</v>
      </c>
      <c r="C12234" t="str">
        <f>IFERROR(__xludf.DUMMYFUNCTION("GOOGLETRANSLATE(B12234, ""fr"", ""en"")"),"Good product Ras")</f>
        <v>Good product Ras</v>
      </c>
    </row>
    <row r="12235">
      <c r="A12235" s="1">
        <v>4.0</v>
      </c>
      <c r="B12235" s="1" t="s">
        <v>12028</v>
      </c>
      <c r="C12235" t="str">
        <f>IFERROR(__xludf.DUMMYFUNCTION("GOOGLETRANSLATE(B12235, ""fr"", ""en"")"),"Dress soft and comfortable to wear")</f>
        <v>Dress soft and comfortable to wear</v>
      </c>
    </row>
    <row r="12236">
      <c r="A12236" s="1">
        <v>4.0</v>
      </c>
      <c r="B12236" s="1" t="s">
        <v>12029</v>
      </c>
      <c r="C12236" t="str">
        <f>IFERROR(__xludf.DUMMYFUNCTION("GOOGLETRANSLATE(B12236, ""fr"", ""en"")"),"SUPERB look great! Awesome Beautiful, efficient it made an impression! Frankly go ahead friends you will not be disappointed!")</f>
        <v>SUPERB look great! Awesome Beautiful, efficient it made an impression! Frankly go ahead friends you will not be disappointed!</v>
      </c>
    </row>
    <row r="12237">
      <c r="A12237" s="1">
        <v>4.0</v>
      </c>
      <c r="B12237" s="1" t="s">
        <v>12030</v>
      </c>
      <c r="C12237" t="str">
        <f>IFERROR(__xludf.DUMMYFUNCTION("GOOGLETRANSLATE(B12237, ""fr"", ""en"")"),"Good product but lacking bass! Headphones bought for our 11 year old son. The overall quality is good. The plastics are of good quality, apparairage is easy. The problem is the low, certainly at this price I did not expect to Bose but the bass is absent ("&amp;"I mean normal low, no boom boom) and it's a shame, through an equalizer on the phone is a little better.")</f>
        <v>Good product but lacking bass! Headphones bought for our 11 year old son. The overall quality is good. The plastics are of good quality, apparairage is easy. The problem is the low, certainly at this price I did not expect to Bose but the bass is absent (I mean normal low, no boom boom) and it's a shame, through an equalizer on the phone is a little better.</v>
      </c>
    </row>
    <row r="12238">
      <c r="A12238" s="1">
        <v>5.0</v>
      </c>
      <c r="B12238" s="1" t="s">
        <v>12031</v>
      </c>
      <c r="C12238" t="str">
        <f>IFERROR(__xludf.DUMMYFUNCTION("GOOGLETRANSLATE(B12238, ""fr"", ""en"")"),"Good catch on the palate Perfect baby opens the mouth well and is super soft and flexible material")</f>
        <v>Good catch on the palate Perfect baby opens the mouth well and is super soft and flexible material</v>
      </c>
    </row>
    <row r="12239">
      <c r="A12239" s="1">
        <v>5.0</v>
      </c>
      <c r="B12239" s="1" t="s">
        <v>12032</v>
      </c>
      <c r="C12239" t="str">
        <f>IFERROR(__xludf.DUMMYFUNCTION("GOOGLETRANSLATE(B12239, ""fr"", ""en"")"),"toilet paper I bought this suite has allergies to other toilet paper I recommend my allergies disappear very good product")</f>
        <v>toilet paper I bought this suite has allergies to other toilet paper I recommend my allergies disappear very good product</v>
      </c>
    </row>
    <row r="12240">
      <c r="A12240" s="1">
        <v>5.0</v>
      </c>
      <c r="B12240" s="1" t="s">
        <v>12033</v>
      </c>
      <c r="C12240" t="str">
        <f>IFERROR(__xludf.DUMMYFUNCTION("GOOGLETRANSLATE(B12240, ""fr"", ""en"")"),"Paji I liked this .Reçu pants as expected")</f>
        <v>Paji I liked this .Reçu pants as expected</v>
      </c>
    </row>
    <row r="12241">
      <c r="A12241" s="1">
        <v>5.0</v>
      </c>
      <c r="B12241" s="1" t="s">
        <v>12034</v>
      </c>
      <c r="C12241" t="str">
        <f>IFERROR(__xludf.DUMMYFUNCTION("GOOGLETRANSLATE(B12241, ""fr"", ""en"")"),"Great, very happy I am a man and it is very fit for the job. I work in the factory and no my flood on the fact that these are working shoes. But as the tip is made of iron they had no other choice. As stated in other comments my colleague is very jealous "&amp;"because of store work boots are not as quiet. Thank you! Jai just one problem but it this is my feet that are not the same size apart from one another xD")</f>
        <v>Great, very happy I am a man and it is very fit for the job. I work in the factory and no my flood on the fact that these are working shoes. But as the tip is made of iron they had no other choice. As stated in other comments my colleague is very jealous because of store work boots are not as quiet. Thank you! Jai just one problem but it this is my feet that are not the same size apart from one another xD</v>
      </c>
    </row>
    <row r="12242">
      <c r="A12242" s="1">
        <v>5.0</v>
      </c>
      <c r="B12242" s="1" t="s">
        <v>12035</v>
      </c>
      <c r="C12242" t="str">
        <f>IFERROR(__xludf.DUMMYFUNCTION("GOOGLETRANSLATE(B12242, ""fr"", ""en"")"),"ecological ecological: a product for the planet that is just as effective as a conventional fabric softener and in addition, it has a SUPER aroma of fruit!")</f>
        <v>ecological ecological: a product for the planet that is just as effective as a conventional fabric softener and in addition, it has a SUPER aroma of fruit!</v>
      </c>
    </row>
    <row r="12243">
      <c r="A12243" s="1">
        <v>5.0</v>
      </c>
      <c r="B12243" s="1" t="s">
        <v>12036</v>
      </c>
      <c r="C12243" t="str">
        <f>IFERROR(__xludf.DUMMYFUNCTION("GOOGLETRANSLATE(B12243, ""fr"", ""en"")"),"Nike! Very nice cap. Visor well rounded and depth impeccable head. The Nike sign is done right, it appears good metal color! The price is not very expensive and more so why this private. Congratulations again to the Amazon Logistics delivery that always a"&amp;"lways always make!")</f>
        <v>Nike! Very nice cap. Visor well rounded and depth impeccable head. The Nike sign is done right, it appears good metal color! The price is not very expensive and more so why this private. Congratulations again to the Amazon Logistics delivery that always always always make!</v>
      </c>
    </row>
    <row r="12244">
      <c r="A12244" s="1">
        <v>5.0</v>
      </c>
      <c r="B12244" s="1" t="s">
        <v>12037</v>
      </c>
      <c r="C12244" t="str">
        <f>IFERROR(__xludf.DUMMYFUNCTION("GOOGLETRANSLATE(B12244, ""fr"", ""en"")"),"Good article Okay to complete a disguise")</f>
        <v>Good article Okay to complete a disguise</v>
      </c>
    </row>
    <row r="12245">
      <c r="A12245" s="1">
        <v>5.0</v>
      </c>
      <c r="B12245" s="1" t="s">
        <v>12038</v>
      </c>
      <c r="C12245" t="str">
        <f>IFERROR(__xludf.DUMMYFUNCTION("GOOGLETRANSLATE(B12245, ""fr"", ""en"")"),"Object corresponding to my expectations. Listen to music during study.")</f>
        <v>Object corresponding to my expectations. Listen to music during study.</v>
      </c>
    </row>
    <row r="12246">
      <c r="A12246" s="1">
        <v>5.0</v>
      </c>
      <c r="B12246" s="1" t="s">
        <v>12039</v>
      </c>
      <c r="C12246" t="str">
        <f>IFERROR(__xludf.DUMMYFUNCTION("GOOGLETRANSLATE(B12246, ""fr"", ""en"")"),"Recommended Great product 👍👍a recommend")</f>
        <v>Recommended Great product 👍👍a recommend</v>
      </c>
    </row>
    <row r="12247">
      <c r="A12247" s="1">
        <v>5.0</v>
      </c>
      <c r="B12247" s="1" t="s">
        <v>12040</v>
      </c>
      <c r="C12247" t="str">
        <f>IFERROR(__xludf.DUMMYFUNCTION("GOOGLETRANSLATE(B12247, ""fr"", ""en"")"),"it is therefore stable hipster spout the top not a drop next to unlike one purchased before former mark m ....... I recommend")</f>
        <v>it is therefore stable hipster spout the top not a drop next to unlike one purchased before former mark m ....... I recommend</v>
      </c>
    </row>
    <row r="12248">
      <c r="A12248" s="1">
        <v>5.0</v>
      </c>
      <c r="B12248" s="1" t="s">
        <v>12041</v>
      </c>
      <c r="C12248" t="str">
        <f>IFERROR(__xludf.DUMMYFUNCTION("GOOGLETRANSLATE(B12248, ""fr"", ""en"")"),"ThermoPro TP55 digital hygrometer for Air Monitoring and moisture Then I let myself tempted by this ThermoPro TP65S thermo-hygrometer from the ground and I frankly I'm really count suddenly I ordered the ThermoPro TP55 hygrometer digital monitoring for ai"&amp;"r and humidity and I thought I could TP65S plugged into the housing of a stroke can be disappointed for that but I hope that will be possible after this or that there is another model I have not seen that this short connects the blow I took another limp T"&amp;"P65S and we'll see in time I will try to leave an additional comment by 1 month or 2")</f>
        <v>ThermoPro TP55 digital hygrometer for Air Monitoring and moisture Then I let myself tempted by this ThermoPro TP65S thermo-hygrometer from the ground and I frankly I'm really count suddenly I ordered the ThermoPro TP55 hygrometer digital monitoring for air and humidity and I thought I could TP65S plugged into the housing of a stroke can be disappointed for that but I hope that will be possible after this or that there is another model I have not seen that this short connects the blow I took another limp TP65S and we'll see in time I will try to leave an additional comment by 1 month or 2</v>
      </c>
    </row>
    <row r="12249">
      <c r="A12249" s="1">
        <v>5.0</v>
      </c>
      <c r="B12249" s="1" t="s">
        <v>12042</v>
      </c>
      <c r="C12249" t="str">
        <f>IFERROR(__xludf.DUMMYFUNCTION("GOOGLETRANSLATE(B12249, ""fr"", ""en"")"),"boulloir elect Hello, First I held 3 years, separated for a leak at the bottom of the handle. Otherwise very happy with the product.")</f>
        <v>boulloir elect Hello, First I held 3 years, separated for a leak at the bottom of the handle. Otherwise very happy with the product.</v>
      </c>
    </row>
    <row r="12250">
      <c r="A12250" s="1">
        <v>5.0</v>
      </c>
      <c r="B12250" s="1" t="s">
        <v>12043</v>
      </c>
      <c r="C12250" t="str">
        <f>IFERROR(__xludf.DUMMYFUNCTION("GOOGLETRANSLATE(B12250, ""fr"", ""en"")"),"Bluetooth Earpiece Super bluetooth earpiece on top !! I do not regret my purchase very convenient simple operation. The sound is top volume mode and break directly on the headphones. The case serves as an external battery so convenient. I recommend ...")</f>
        <v>Bluetooth Earpiece Super bluetooth earpiece on top !! I do not regret my purchase very convenient simple operation. The sound is top volume mode and break directly on the headphones. The case serves as an external battery so convenient. I recommend ...</v>
      </c>
    </row>
    <row r="12251">
      <c r="A12251" s="1">
        <v>5.0</v>
      </c>
      <c r="B12251" s="1" t="s">
        <v>12044</v>
      </c>
      <c r="C12251" t="str">
        <f>IFERROR(__xludf.DUMMYFUNCTION("GOOGLETRANSLATE(B12251, ""fr"", ""en"")"),"Well I bought it for her very correct price but mainly for its looks. See its life, but it is easy to use and it responds perfectly to our expectations.")</f>
        <v>Well I bought it for her very correct price but mainly for its looks. See its life, but it is easy to use and it responds perfectly to our expectations.</v>
      </c>
    </row>
    <row r="12252">
      <c r="A12252" s="1">
        <v>5.0</v>
      </c>
      <c r="B12252" s="1" t="s">
        <v>12045</v>
      </c>
      <c r="C12252" t="str">
        <f>IFERROR(__xludf.DUMMYFUNCTION("GOOGLETRANSLATE(B12252, ""fr"", ""en"")"),"Very good very hot and took a size above my waist instead of a million took L and good value")</f>
        <v>Very good very hot and took a size above my waist instead of a million took L and good value</v>
      </c>
    </row>
    <row r="12253">
      <c r="A12253" s="1">
        <v>2.0</v>
      </c>
      <c r="B12253" s="1" t="s">
        <v>12046</v>
      </c>
      <c r="C12253" t="str">
        <f>IFERROR(__xludf.DUMMYFUNCTION("GOOGLETRANSLATE(B12253, ""fr"", ""en"")"),"The C size is great for 34")</f>
        <v>The C size is great for 34</v>
      </c>
    </row>
    <row r="12254">
      <c r="A12254" s="1">
        <v>1.0</v>
      </c>
      <c r="B12254" s="1" t="s">
        <v>12047</v>
      </c>
      <c r="C12254" t="str">
        <f>IFERROR(__xludf.DUMMYFUNCTION("GOOGLETRANSLATE(B12254, ""fr"", ""en"")"),"Very disappointed I ordered seeing all the good comments but I am really disappointed. It does not clean well at all. The milk spreads and remains in the bottle with a fatty deposit. He will go in the trash.")</f>
        <v>Very disappointed I ordered seeing all the good comments but I am really disappointed. It does not clean well at all. The milk spreads and remains in the bottle with a fatty deposit. He will go in the trash.</v>
      </c>
    </row>
    <row r="12255">
      <c r="A12255" s="1">
        <v>3.0</v>
      </c>
      <c r="B12255" s="1" t="s">
        <v>12048</v>
      </c>
      <c r="C12255" t="str">
        <f>IFERROR(__xludf.DUMMYFUNCTION("GOOGLETRANSLATE(B12255, ""fr"", ""en"")"),"Too bad but quality top They are beautiful and of good quality but does not work on me too bad")</f>
        <v>Too bad but quality top They are beautiful and of good quality but does not work on me too bad</v>
      </c>
    </row>
    <row r="12256">
      <c r="A12256" s="1">
        <v>3.0</v>
      </c>
      <c r="B12256" s="1" t="s">
        <v>12049</v>
      </c>
      <c r="C12256" t="str">
        <f>IFERROR(__xludf.DUMMYFUNCTION("GOOGLETRANSLATE(B12256, ""fr"", ""en"")"),"Although these cartridges are the best price I found on the market they are no surprises because they are original Canon cartridges. After, we will not retry the case the price of ink cartridges for printers")</f>
        <v>Although these cartridges are the best price I found on the market they are no surprises because they are original Canon cartridges. After, we will not retry the case the price of ink cartridges for printers</v>
      </c>
    </row>
    <row r="12257">
      <c r="A12257" s="1">
        <v>4.0</v>
      </c>
      <c r="B12257" s="1" t="s">
        <v>12050</v>
      </c>
      <c r="C12257" t="str">
        <f>IFERROR(__xludf.DUMMYFUNCTION("GOOGLETRANSLATE(B12257, ""fr"", ""en"")"),"Hot but big! Even 37 these boots are massive. Then they fulfill their role does not have cold to walk on horseback, and it really, I buy!")</f>
        <v>Hot but big! Even 37 these boots are massive. Then they fulfill their role does not have cold to walk on horseback, and it really, I buy!</v>
      </c>
    </row>
    <row r="12258">
      <c r="A12258" s="1">
        <v>4.0</v>
      </c>
      <c r="B12258" s="1" t="s">
        <v>12051</v>
      </c>
      <c r="C12258" t="str">
        <f>IFERROR(__xludf.DUMMYFUNCTION("GOOGLETRANSLATE(B12258, ""fr"", ""en"")"),"Simple and comfortable Comfortable. Lightweight. Easy to use despite a slight odor in the beginning that was a bit unpleasant.")</f>
        <v>Simple and comfortable Comfortable. Lightweight. Easy to use despite a slight odor in the beginning that was a bit unpleasant.</v>
      </c>
    </row>
    <row r="12259">
      <c r="A12259" s="1">
        <v>4.0</v>
      </c>
      <c r="B12259" s="1" t="s">
        <v>12052</v>
      </c>
      <c r="C12259" t="str">
        <f>IFERROR(__xludf.DUMMYFUNCTION("GOOGLETRANSLATE(B12259, ""fr"", ""en"")"),"For a smooth awakening This is a light that will delight you at first, because really it is visually very well finished. Round, white, soft, unobtrusive it will fit into any decorating style. The setting is actually quite intuitive and easy and the manual"&amp;" is not ultimately do much, can be to confuse you ... that I am not at all in the morning ... and worse downright photophobic awakening I fear the bright lights which spin like a good headache for the day. I usually have lunch in any closed area, with jus"&amp;"t a little extra light, until my eyes adjust to the light and I eventually wake up completely which takes about 35 minutes. Another positive point is the intensity of the light of the time display and functions can be adjusted as well, which is very signi"&amp;"ficant for not having a spot that will keep you awake all night as all other revivals electronic ... The lamp brightness also rule, between 1 and 10, which is very significant, especially since it will serve small accent lamp. Half an hour before the time"&amp;" set for your alarm, the lamp will light up and light up slowly (within your preset) to thus achieve the maximum lighting, and there also the sound you have chosen begins to sound. I chose to wake the sweet songs of birds, more enjoyable for me as radio, "&amp;"that wake to music lovers will appreciate, although there is only one station ... After a week test, I do not wake up in better shape for sure, by cons I emerge more quickly from sleep. Daylight seems less aggressive, and I really found that I was awake f"&amp;"aster than my classical revival, since I did not need to stay caulked in the dark for a good half time as is my habit. I am less sensitive to light in the morning, because thanks to the lamp and its lighting that increases smoothly the transition is smoot"&amp;"her. To turn off the light (or to turn it on), simply press, to even touch the top of the lamp. By cons to silence the alarm, go press the alarm button that I find unfortunate. I wish they cut the alarm with a simple hand gesture as if to extinguish. Too "&amp;"bad it was not planned backup power with a battery because in case of overnight shutdown, do not count on it to wake you up. In short, a very nice alternative to wake dancing to your mobile phone. A soft light that slowly increases and eventually wake up "&amp;"bonus cheerful twittering of birds, it's really appreciated. The perfect gift to do or get.")</f>
        <v>For a smooth awakening This is a light that will delight you at first, because really it is visually very well finished. Round, white, soft, unobtrusive it will fit into any decorating style. The setting is actually quite intuitive and easy and the manual is not ultimately do much, can be to confuse you ... that I am not at all in the morning ... and worse downright photophobic awakening I fear the bright lights which spin like a good headache for the day. I usually have lunch in any closed area, with just a little extra light, until my eyes adjust to the light and I eventually wake up completely which takes about 35 minutes. Another positive point is the intensity of the light of the time display and functions can be adjusted as well, which is very significant for not having a spot that will keep you awake all night as all other revivals electronic ... The lamp brightness also rule, between 1 and 10, which is very significant, especially since it will serve small accent lamp. Half an hour before the time set for your alarm, the lamp will light up and light up slowly (within your preset) to thus achieve the maximum lighting, and there also the sound you have chosen begins to sound. I chose to wake the sweet songs of birds, more enjoyable for me as radio, that wake to music lovers will appreciate, although there is only one station ... After a week test, I do not wake up in better shape for sure, by cons I emerge more quickly from sleep. Daylight seems less aggressive, and I really found that I was awake faster than my classical revival, since I did not need to stay caulked in the dark for a good half time as is my habit. I am less sensitive to light in the morning, because thanks to the lamp and its lighting that increases smoothly the transition is smoother. To turn off the light (or to turn it on), simply press, to even touch the top of the lamp. By cons to silence the alarm, go press the alarm button that I find unfortunate. I wish they cut the alarm with a simple hand gesture as if to extinguish. Too bad it was not planned backup power with a battery because in case of overnight shutdown, do not count on it to wake you up. In short, a very nice alternative to wake dancing to your mobile phone. A soft light that slowly increases and eventually wake up bonus cheerful twittering of birds, it's really appreciated. The perfect gift to do or get.</v>
      </c>
    </row>
    <row r="12260">
      <c r="A12260" s="1">
        <v>4.0</v>
      </c>
      <c r="B12260" s="1" t="s">
        <v>12053</v>
      </c>
      <c r="C12260" t="str">
        <f>IFERROR(__xludf.DUMMYFUNCTION("GOOGLETRANSLATE(B12260, ""fr"", ""en"")"),"A total immersion headphones excellent sound and total immersion but with autonomy means a pea which can weigh over time.")</f>
        <v>A total immersion headphones excellent sound and total immersion but with autonomy means a pea which can weigh over time.</v>
      </c>
    </row>
    <row r="12261">
      <c r="A12261" s="1">
        <v>5.0</v>
      </c>
      <c r="B12261" s="1" t="s">
        <v>12054</v>
      </c>
      <c r="C12261" t="str">
        <f>IFERROR(__xludf.DUMMYFUNCTION("GOOGLETRANSLATE(B12261, ""fr"", ""en"")"),"I say J PURCHASED Well now, I'm doing you the topo, I have a very large hernia in L4L5 (most common), but that makes me suffer to cry, so infiltration hospital (it's good :-( 2 days. ) Anti pain (ie in gas) and amu to me says you tried the field of flower"&amp;"s carpet (thank you Patrick) and this is j evening tried. Oh mashed the first 5 minutes is a torture especially since I have it made bare back. and after 5 minutes it is a feeling of well-being invaded m sleep limit. I request the assistance piyr get up ("&amp;"fear of pain) and pain oh my miracle was the last 3 weeks ""pfioute ""(onomatopoeia) disappeared, beware it does not cure, but relieves. the hernia is still there but does worse in the short term. Thank you thank you for this carpet for this welfare.")</f>
        <v>I say J PURCHASED Well now, I'm doing you the topo, I have a very large hernia in L4L5 (most common), but that makes me suffer to cry, so infiltration hospital (it's good :-( 2 days. ) Anti pain (ie in gas) and amu to me says you tried the field of flowers carpet (thank you Patrick) and this is j evening tried. Oh mashed the first 5 minutes is a torture especially since I have it made bare back. and after 5 minutes it is a feeling of well-being invaded m sleep limit. I request the assistance piyr get up (fear of pain) and pain oh my miracle was the last 3 weeks "pfioute "(onomatopoeia) disappeared, beware it does not cure, but relieves. the hernia is still there but does worse in the short term. Thank you thank you for this carpet for this welfare.</v>
      </c>
    </row>
    <row r="12262">
      <c r="A12262" s="1">
        <v>5.0</v>
      </c>
      <c r="B12262" s="1" t="s">
        <v>12055</v>
      </c>
      <c r="C12262" t="str">
        <f>IFERROR(__xludf.DUMMYFUNCTION("GOOGLETRANSLATE(B12262, ""fr"", ""en"")"),"Very good product very happy with my purchases I recommend 👍")</f>
        <v>Very good product very happy with my purchases I recommend 👍</v>
      </c>
    </row>
    <row r="12263">
      <c r="A12263" s="1">
        <v>5.0</v>
      </c>
      <c r="B12263" s="1" t="s">
        <v>12056</v>
      </c>
      <c r="C12263" t="str">
        <f>IFERROR(__xludf.DUMMYFUNCTION("GOOGLETRANSLATE(B12263, ""fr"", ""en"")"),"My son adores my son of 15 months, loves to draw and loves these pencils, and mom too, because the tracks are going very well with soap.")</f>
        <v>My son adores my son of 15 months, loves to draw and loves these pencils, and mom too, because the tracks are going very well with soap.</v>
      </c>
    </row>
    <row r="12264">
      <c r="A12264" s="1">
        <v>5.0</v>
      </c>
      <c r="B12264" s="1" t="s">
        <v>12057</v>
      </c>
      <c r="C12264" t="str">
        <f>IFERROR(__xludf.DUMMYFUNCTION("GOOGLETRANSLATE(B12264, ""fr"", ""en"")"),"to Top")</f>
        <v>to Top</v>
      </c>
    </row>
    <row r="12265">
      <c r="A12265" s="1">
        <v>5.0</v>
      </c>
      <c r="B12265" s="1" t="s">
        <v>12058</v>
      </c>
      <c r="C12265" t="str">
        <f>IFERROR(__xludf.DUMMYFUNCTION("GOOGLETRANSLATE(B12265, ""fr"", ""en"")"),"Although Nikel")</f>
        <v>Although Nikel</v>
      </c>
    </row>
    <row r="12266">
      <c r="A12266" s="1">
        <v>5.0</v>
      </c>
      <c r="B12266" s="1" t="s">
        <v>12059</v>
      </c>
      <c r="C12266" t="str">
        <f>IFERROR(__xludf.DUMMYFUNCTION("GOOGLETRANSLATE(B12266, ""fr"", ""en"")"),"Great value The product conforms to its description. Easy to use You can not go wrong on the dimension in print thanks to the rear of brand. I recommend")</f>
        <v>Great value The product conforms to its description. Easy to use You can not go wrong on the dimension in print thanks to the rear of brand. I recommend</v>
      </c>
    </row>
    <row r="12267">
      <c r="A12267" s="1">
        <v>5.0</v>
      </c>
      <c r="B12267" s="1" t="s">
        <v>12060</v>
      </c>
      <c r="C12267" t="str">
        <f>IFERROR(__xludf.DUMMYFUNCTION("GOOGLETRANSLATE(B12267, ""fr"", ""en"")"),"Pretty kettle. Fast. Efficient (sometimes too) Easy to use. Rather pretty. However slowly pour without too lean or it will not drip or slower. Do not put too much water because even with the maximum level it tends to stand out in a jet. By putting less if"&amp;" it is to boil the Max level is ok if it is for intermediate degrees.")</f>
        <v>Pretty kettle. Fast. Efficient (sometimes too) Easy to use. Rather pretty. However slowly pour without too lean or it will not drip or slower. Do not put too much water because even with the maximum level it tends to stand out in a jet. By putting less if it is to boil the Max level is ok if it is for intermediate degrees.</v>
      </c>
    </row>
    <row r="12268">
      <c r="A12268" s="1">
        <v>5.0</v>
      </c>
      <c r="B12268" s="1" t="s">
        <v>12061</v>
      </c>
      <c r="C12268" t="str">
        <f>IFERROR(__xludf.DUMMYFUNCTION("GOOGLETRANSLATE(B12268, ""fr"", ""en"")"),"Good running shoes are very comfortable, size one size smaller. Insoles gel cushioning.")</f>
        <v>Good running shoes are very comfortable, size one size smaller. Insoles gel cushioning.</v>
      </c>
    </row>
    <row r="12269">
      <c r="A12269" s="1">
        <v>5.0</v>
      </c>
      <c r="B12269" s="1" t="s">
        <v>12062</v>
      </c>
      <c r="C12269" t="str">
        <f>IFERROR(__xludf.DUMMYFUNCTION("GOOGLETRANSLATE(B12269, ""fr"", ""en"")"),"Very good Solid")</f>
        <v>Very good Solid</v>
      </c>
    </row>
    <row r="12270">
      <c r="A12270" s="1">
        <v>5.0</v>
      </c>
      <c r="B12270" s="1" t="s">
        <v>12063</v>
      </c>
      <c r="C12270" t="str">
        <f>IFERROR(__xludf.DUMMYFUNCTION("GOOGLETRANSLATE(B12270, ""fr"", ""en"")"),"Awesome This book and the series which it is derived are great!")</f>
        <v>Awesome This book and the series which it is derived are great!</v>
      </c>
    </row>
    <row r="12271">
      <c r="A12271" s="1">
        <v>5.0</v>
      </c>
      <c r="B12271" s="1" t="s">
        <v>12064</v>
      </c>
      <c r="C12271" t="str">
        <f>IFERROR(__xludf.DUMMYFUNCTION("GOOGLETRANSLATE(B12271, ""fr"", ""en"")"),"Compatible cartridges recognizable by the printer. First use of the mark, no problem at the moment. Hint: never wait for the replacement of a cartridge in that the printer application in the clogging of the print nozzle of dried ink (inkjet).")</f>
        <v>Compatible cartridges recognizable by the printer. First use of the mark, no problem at the moment. Hint: never wait for the replacement of a cartridge in that the printer application in the clogging of the print nozzle of dried ink (inkjet).</v>
      </c>
    </row>
    <row r="12272">
      <c r="A12272" s="1">
        <v>5.0</v>
      </c>
      <c r="B12272" s="1" t="s">
        <v>12065</v>
      </c>
      <c r="C12272" t="str">
        <f>IFERROR(__xludf.DUMMYFUNCTION("GOOGLETRANSLATE(B12272, ""fr"", ""en"")"),"Shoe Shoe buy for my husband for our husband she went to him very well they are well adapted to not disappoint prices")</f>
        <v>Shoe Shoe buy for my husband for our husband she went to him very well they are well adapted to not disappoint prices</v>
      </c>
    </row>
    <row r="12273">
      <c r="A12273" s="1">
        <v>5.0</v>
      </c>
      <c r="B12273" s="1" t="s">
        <v>12066</v>
      </c>
      <c r="C12273" t="str">
        <f>IFERROR(__xludf.DUMMYFUNCTION("GOOGLETRANSLATE(B12273, ""fr"", ""en"")"),"That silent, perfect, my wife is ecstatic at a certain age or a certain age .... !!! is the hearing of which is hard !! J stays obliged to mount the TV sound 70 while my wife listening to 15 c ... there is perfect .. a tip if you have a TV that has no hea"&amp;"dphone jack, and you are in HDMI then plug the headphones to the headphone jack of your Box. I recommend this helmet")</f>
        <v>That silent, perfect, my wife is ecstatic at a certain age or a certain age .... !!! is the hearing of which is hard !! J stays obliged to mount the TV sound 70 while my wife listening to 15 c ... there is perfect .. a tip if you have a TV that has no headphone jack, and you are in HDMI then plug the headphones to the headphone jack of your Box. I recommend this helmet</v>
      </c>
    </row>
    <row r="12274">
      <c r="A12274" s="1">
        <v>5.0</v>
      </c>
      <c r="B12274" s="1" t="s">
        <v>12067</v>
      </c>
      <c r="C12274" t="str">
        <f>IFERROR(__xludf.DUMMYFUNCTION("GOOGLETRANSLATE(B12274, ""fr"", ""en"")"),"Top style;)")</f>
        <v>Top style;)</v>
      </c>
    </row>
    <row r="12275">
      <c r="A12275" s="1">
        <v>5.0</v>
      </c>
      <c r="B12275" s="1" t="s">
        <v>12068</v>
      </c>
      <c r="C12275" t="str">
        <f>IFERROR(__xludf.DUMMYFUNCTION("GOOGLETRANSLATE(B12275, ""fr"", ""en"")"),"Impeccable Adidas Sweater")</f>
        <v>Impeccable Adidas Sweater</v>
      </c>
    </row>
    <row r="12276">
      <c r="A12276" s="1">
        <v>2.0</v>
      </c>
      <c r="B12276" s="1" t="s">
        <v>12069</v>
      </c>
      <c r="C12276" t="str">
        <f>IFERROR(__xludf.DUMMYFUNCTION("GOOGLETRANSLATE(B12276, ""fr"", ""en"")"),"Not at all strong for construction !!!! Three months on site, sewing torn, ditto soles and laces not suitable at all tears, good shoes gardener or mechanic .....")</f>
        <v>Not at all strong for construction !!!! Three months on site, sewing torn, ditto soles and laces not suitable at all tears, good shoes gardener or mechanic .....</v>
      </c>
    </row>
    <row r="12277">
      <c r="A12277" s="1">
        <v>1.0</v>
      </c>
      <c r="B12277" s="1" t="s">
        <v>12070</v>
      </c>
      <c r="C12277" t="str">
        <f>IFERROR(__xludf.DUMMYFUNCTION("GOOGLETRANSLATE(B12277, ""fr"", ""en"")"),"No I really do not like neither his nor any better maintains a wired headset for the price ....")</f>
        <v>No I really do not like neither his nor any better maintains a wired headset for the price ....</v>
      </c>
    </row>
    <row r="12278">
      <c r="A12278" s="1">
        <v>1.0</v>
      </c>
      <c r="B12278" s="1" t="s">
        <v>12071</v>
      </c>
      <c r="C12278" t="str">
        <f>IFERROR(__xludf.DUMMYFUNCTION("GOOGLETRANSLATE(B12278, ""fr"", ""en"")"),"Nothing except that it is a gift for scammers")</f>
        <v>Nothing except that it is a gift for scammers</v>
      </c>
    </row>
    <row r="12279">
      <c r="A12279" s="1">
        <v>3.0</v>
      </c>
      <c r="B12279" s="1" t="s">
        <v>12072</v>
      </c>
      <c r="C12279" t="str">
        <f>IFERROR(__xludf.DUMMYFUNCTION("GOOGLETRANSLATE(B12279, ""fr"", ""en"")"),"not so mixed that here they are very nice but they are not so mixed it. I have returned despite a very nice quality")</f>
        <v>not so mixed that here they are very nice but they are not so mixed it. I have returned despite a very nice quality</v>
      </c>
    </row>
    <row r="12280">
      <c r="A12280" s="1">
        <v>3.0</v>
      </c>
      <c r="B12280" s="1" t="s">
        <v>12073</v>
      </c>
      <c r="C12280" t="str">
        <f>IFERROR(__xludf.DUMMYFUNCTION("GOOGLETRANSLATE(B12280, ""fr"", ""en"")"),"Take large size one size smaller .. I usually take the 40 41 by the shoes and the 40 really too ..")</f>
        <v>Take large size one size smaller .. I usually take the 40 41 by the shoes and the 40 really too ..</v>
      </c>
    </row>
    <row r="12281">
      <c r="A12281" s="1">
        <v>4.0</v>
      </c>
      <c r="B12281" s="1" t="s">
        <v>12074</v>
      </c>
      <c r="C12281" t="str">
        <f>IFERROR(__xludf.DUMMYFUNCTION("GOOGLETRANSLATE(B12281, ""fr"", ""en"")"),"Property Price")</f>
        <v>Property Price</v>
      </c>
    </row>
    <row r="12282">
      <c r="A12282" s="1">
        <v>4.0</v>
      </c>
      <c r="B12282" s="1" t="s">
        <v>12075</v>
      </c>
      <c r="C12282" t="str">
        <f>IFERROR(__xludf.DUMMYFUNCTION("GOOGLETRANSLATE(B12282, ""fr"", ""en"")"),"pretty lovely wrist. the closure system is reliable.")</f>
        <v>pretty lovely wrist. the closure system is reliable.</v>
      </c>
    </row>
    <row r="12283">
      <c r="A12283" s="1">
        <v>4.0</v>
      </c>
      <c r="B12283" s="1" t="s">
        <v>12076</v>
      </c>
      <c r="C12283" t="str">
        <f>IFERROR(__xludf.DUMMYFUNCTION("GOOGLETRANSLATE(B12283, ""fr"", ""en"")"),"Comfortable shoes a little big in size but comfortable. The soles are pretty harsh compared to autes models, but the shoes I like very much. Delighted with my purchase.")</f>
        <v>Comfortable shoes a little big in size but comfortable. The soles are pretty harsh compared to autes models, but the shoes I like very much. Delighted with my purchase.</v>
      </c>
    </row>
    <row r="12284">
      <c r="A12284" s="1">
        <v>4.0</v>
      </c>
      <c r="B12284" s="1" t="s">
        <v>12077</v>
      </c>
      <c r="C12284" t="str">
        <f>IFERROR(__xludf.DUMMYFUNCTION("GOOGLETRANSLATE(B12284, ""fr"", ""en"")"),"A beautiful bag cheap I bought this mainly because I found beautiful. On arrival, no disappointment, the product is perfectly packaged and protected. In materials, it is mainly the pvc imitating fine leather. The strips are they leather. It is suddenly ve"&amp;"ry easily washable .. Inside we find several compartments, a computer 13 ""goes smoothly. Four small pockets inside as well as outside with a zipper. The bag is chic and sober. be careful though to the zipper as and measurement of time may become brittle "&amp;".. that's the only negative of this product.")</f>
        <v>A beautiful bag cheap I bought this mainly because I found beautiful. On arrival, no disappointment, the product is perfectly packaged and protected. In materials, it is mainly the pvc imitating fine leather. The strips are they leather. It is suddenly very easily washable .. Inside we find several compartments, a computer 13 "goes smoothly. Four small pockets inside as well as outside with a zipper. The bag is chic and sober. be careful though to the zipper as and measurement of time may become brittle .. that's the only negative of this product.</v>
      </c>
    </row>
    <row r="12285">
      <c r="A12285" s="1">
        <v>5.0</v>
      </c>
      <c r="B12285" s="1" t="s">
        <v>12078</v>
      </c>
      <c r="C12285" t="str">
        <f>IFERROR(__xludf.DUMMYFUNCTION("GOOGLETRANSLATE(B12285, ""fr"", ""en"")"),"Very nice pair of Vans Very nice pair of Vans Suitable for wide feet it is important to mention and very stylish. I highly recommend.")</f>
        <v>Very nice pair of Vans Very nice pair of Vans Suitable for wide feet it is important to mention and very stylish. I highly recommend.</v>
      </c>
    </row>
    <row r="12286">
      <c r="A12286" s="1">
        <v>5.0</v>
      </c>
      <c r="B12286" s="1" t="s">
        <v>12079</v>
      </c>
      <c r="C12286" t="str">
        <f>IFERROR(__xludf.DUMMYFUNCTION("GOOGLETRANSLATE(B12286, ""fr"", ""en"")"),"Super perfect, beautiful red, reliable, that damage is not more isolated because it is hot especially when the children want to take their bread")</f>
        <v>Super perfect, beautiful red, reliable, that damage is not more isolated because it is hot especially when the children want to take their bread</v>
      </c>
    </row>
    <row r="12287">
      <c r="A12287" s="1">
        <v>5.0</v>
      </c>
      <c r="B12287" s="1" t="s">
        <v>12080</v>
      </c>
      <c r="C12287" t="str">
        <f>IFERROR(__xludf.DUMMYFUNCTION("GOOGLETRANSLATE(B12287, ""fr"", ""en"")"),"Quality I deconseille strongly for babies continue to suck next (basic nipple off that emepeche language and lip of the lower position of course) but for babies who are drawn milk or milk exclusive this is perfect Warning powder these bottles are wider th"&amp;"an normal bottles but the glass range is really good qualities and easier to clean than plastic ones I find besides the milk is not ""&amp; nbsp; contaminated &amp; nbsp;"" with plastic product There two dummies flow of bottle 2 (from 3 months) and 3 dummies flow"&amp;" 1 These bottles are made to take several years and I doubt it is easily seen breaking the glass eppaisseur My baby is all accustomed to following no problem Having seen some reviews I signal as to all bottles must not over tighten the nipple bottle to av"&amp;"oid the nipple will spin when baby drinks")</f>
        <v>Quality I deconseille strongly for babies continue to suck next (basic nipple off that emepeche language and lip of the lower position of course) but for babies who are drawn milk or milk exclusive this is perfect Warning powder these bottles are wider than normal bottles but the glass range is really good qualities and easier to clean than plastic ones I find besides the milk is not "&amp; nbsp; contaminated &amp; nbsp;" with plastic product There two dummies flow of bottle 2 (from 3 months) and 3 dummies flow 1 These bottles are made to take several years and I doubt it is easily seen breaking the glass eppaisseur My baby is all accustomed to following no problem Having seen some reviews I signal as to all bottles must not over tighten the nipple bottle to avoid the nipple will spin when baby drinks</v>
      </c>
    </row>
    <row r="12288">
      <c r="A12288" s="1">
        <v>5.0</v>
      </c>
      <c r="B12288" s="1" t="s">
        <v>12081</v>
      </c>
      <c r="C12288" t="str">
        <f>IFERROR(__xludf.DUMMYFUNCTION("GOOGLETRANSLATE(B12288, ""fr"", ""en"")"),"Do not fit my needs. I returned this article because I finally decided to use 2 supports separate my screens.")</f>
        <v>Do not fit my needs. I returned this article because I finally decided to use 2 supports separate my screens.</v>
      </c>
    </row>
    <row r="12289">
      <c r="A12289" s="1">
        <v>5.0</v>
      </c>
      <c r="B12289" s="1" t="s">
        <v>12082</v>
      </c>
      <c r="C12289" t="str">
        <f>IFERROR(__xludf.DUMMYFUNCTION("GOOGLETRANSLATE(B12289, ""fr"", ""en"")"),"Very nice bottle happy my daughter has accepted")</f>
        <v>Very nice bottle happy my daughter has accepted</v>
      </c>
    </row>
    <row r="12290">
      <c r="A12290" s="1">
        <v>5.0</v>
      </c>
      <c r="B12290" s="1" t="s">
        <v>12083</v>
      </c>
      <c r="C12290" t="str">
        <f>IFERROR(__xludf.DUMMYFUNCTION("GOOGLETRANSLATE(B12290, ""fr"", ""en"")"),"Small shoulder bag Buy for my husband to put his agenda, his glasses, his wallet, his keys, basically all the small bazaar. He is very happy. Good size, strong cloth, practical pockets and well adapted. Simple and practical. ...")</f>
        <v>Small shoulder bag Buy for my husband to put his agenda, his glasses, his wallet, his keys, basically all the small bazaar. He is very happy. Good size, strong cloth, practical pockets and well adapted. Simple and practical. ...</v>
      </c>
    </row>
    <row r="12291">
      <c r="A12291" s="1">
        <v>5.0</v>
      </c>
      <c r="B12291" s="1" t="s">
        <v>12084</v>
      </c>
      <c r="C12291" t="str">
        <f>IFERROR(__xludf.DUMMYFUNCTION("GOOGLETRANSLATE(B12291, ""fr"", ""en"")"),"I recommend My parcel was received in the time expected from good feeling of comfort, soft and fluffy, over time winter arrives needed a slipper in the same house there heating in the room as I felt cold air feet. The sole is very thick and the tissue see"&amp;"ms resistant. In short, it is really ideal. I recommend.")</f>
        <v>I recommend My parcel was received in the time expected from good feeling of comfort, soft and fluffy, over time winter arrives needed a slipper in the same house there heating in the room as I felt cold air feet. The sole is very thick and the tissue seems resistant. In short, it is really ideal. I recommend.</v>
      </c>
    </row>
    <row r="12292">
      <c r="A12292" s="1">
        <v>5.0</v>
      </c>
      <c r="B12292" s="1" t="s">
        <v>12085</v>
      </c>
      <c r="C12292" t="str">
        <f>IFERROR(__xludf.DUMMYFUNCTION("GOOGLETRANSLATE(B12292, ""fr"", ""en"")"),"Shoes Perfect size and quality")</f>
        <v>Shoes Perfect size and quality</v>
      </c>
    </row>
    <row r="12293">
      <c r="A12293" s="1">
        <v>5.0</v>
      </c>
      <c r="B12293" s="1" t="s">
        <v>12086</v>
      </c>
      <c r="C12293" t="str">
        <f>IFERROR(__xludf.DUMMYFUNCTION("GOOGLETRANSLATE(B12293, ""fr"", ""en"")"),"Excellent weekly On one page, the week is summarized every quarter of an hour. For professionals, it is amazing. The sending is performed in rigid cardboard and receiving section in excellent condition. For me it was costing 10 euros less than in a specia"&amp;"lized library. Why miss when quality rhymes with a very good price.")</f>
        <v>Excellent weekly On one page, the week is summarized every quarter of an hour. For professionals, it is amazing. The sending is performed in rigid cardboard and receiving section in excellent condition. For me it was costing 10 euros less than in a specialized library. Why miss when quality rhymes with a very good price.</v>
      </c>
    </row>
    <row r="12294">
      <c r="A12294" s="1">
        <v>5.0</v>
      </c>
      <c r="B12294" s="1" t="s">
        <v>12087</v>
      </c>
      <c r="C12294" t="str">
        <f>IFERROR(__xludf.DUMMYFUNCTION("GOOGLETRANSLATE(B12294, ""fr"", ""en"")"),"Good headphones Super happy, I was even running with perfect good performance in the ears. The break system by pressing the headset is really perfect I did not know. No problem to connect Bluethoot all done super quickly. I love the packaging.")</f>
        <v>Good headphones Super happy, I was even running with perfect good performance in the ears. The break system by pressing the headset is really perfect I did not know. No problem to connect Bluethoot all done super quickly. I love the packaging.</v>
      </c>
    </row>
    <row r="12295">
      <c r="A12295" s="1">
        <v>5.0</v>
      </c>
      <c r="B12295" s="1" t="s">
        <v>2457</v>
      </c>
      <c r="C12295" t="str">
        <f>IFERROR(__xludf.DUMMYFUNCTION("GOOGLETRANSLATE(B12295, ""fr"", ""en"")"),"Ok Ok")</f>
        <v>Ok Ok</v>
      </c>
    </row>
    <row r="12296">
      <c r="A12296" s="1">
        <v>5.0</v>
      </c>
      <c r="B12296" s="1" t="s">
        <v>12088</v>
      </c>
      <c r="C12296" t="str">
        <f>IFERROR(__xludf.DUMMYFUNCTION("GOOGLETRANSLATE(B12296, ""fr"", ""en"")"),"Great product I took it for my personal use and I'm not at all disappointed. Very good coffee and especially not noisy which is nice and with a color that lights up when put in charge")</f>
        <v>Great product I took it for my personal use and I'm not at all disappointed. Very good coffee and especially not noisy which is nice and with a color that lights up when put in charge</v>
      </c>
    </row>
    <row r="12297">
      <c r="A12297" s="1">
        <v>5.0</v>
      </c>
      <c r="B12297" s="1" t="s">
        <v>12089</v>
      </c>
      <c r="C12297" t="str">
        <f>IFERROR(__xludf.DUMMYFUNCTION("GOOGLETRANSLATE(B12297, ""fr"", ""en"")"),"Coli quality bag received very quickly and very well packaged Very nice bag Shoulder Although larger than the other bags straps remains light, trend and quality. Lots of storage, material good thick waterproof fabric and many very good view of the bag and"&amp;" solid although I am delighted with my purchase I highly recommend")</f>
        <v>Coli quality bag received very quickly and very well packaged Very nice bag Shoulder Although larger than the other bags straps remains light, trend and quality. Lots of storage, material good thick waterproof fabric and many very good view of the bag and solid although I am delighted with my purchase I highly recommend</v>
      </c>
    </row>
    <row r="12298">
      <c r="A12298" s="1">
        <v>5.0</v>
      </c>
      <c r="B12298" s="1" t="s">
        <v>12090</v>
      </c>
      <c r="C12298" t="str">
        <f>IFERROR(__xludf.DUMMYFUNCTION("GOOGLETRANSLATE(B12298, ""fr"", ""en"")"),"Very good very good headphones, the sound is very good, fast delivery and good packaging satisfait.je I think I would recommend in the future")</f>
        <v>Very good very good headphones, the sound is very good, fast delivery and good packaging satisfait.je I think I would recommend in the future</v>
      </c>
    </row>
    <row r="12299">
      <c r="A12299" s="1">
        <v>5.0</v>
      </c>
      <c r="B12299" s="1" t="s">
        <v>12091</v>
      </c>
      <c r="C12299" t="str">
        <f>IFERROR(__xludf.DUMMYFUNCTION("GOOGLETRANSLATE(B12299, ""fr"", ""en"")"),"Practice really good earphones practice to make good sport for keeping the run and also rather nice haltérophilie.design")</f>
        <v>Practice really good earphones practice to make good sport for keeping the run and also rather nice haltérophilie.design</v>
      </c>
    </row>
    <row r="12300">
      <c r="A12300" s="1">
        <v>2.0</v>
      </c>
      <c r="B12300" s="1" t="s">
        <v>12092</v>
      </c>
      <c r="C12300" t="str">
        <f>IFERROR(__xludf.DUMMYFUNCTION("GOOGLETRANSLATE(B12300, ""fr"", ""en"")"),"I used it twice I received this bour button only works when more down light does not light and plus..Un default heater? What is the solution .?")</f>
        <v>I used it twice I received this bour button only works when more down light does not light and plus..Un default heater? What is the solution .?</v>
      </c>
    </row>
    <row r="12301">
      <c r="A12301" s="1">
        <v>1.0</v>
      </c>
      <c r="B12301" s="1" t="s">
        <v>12093</v>
      </c>
      <c r="C12301" t="str">
        <f>IFERROR(__xludf.DUMMYFUNCTION("GOOGLETRANSLATE(B12301, ""fr"", ""en"")"),"Shoes falche too big size and it is false ...")</f>
        <v>Shoes falche too big size and it is false ...</v>
      </c>
    </row>
    <row r="12302">
      <c r="A12302" s="1">
        <v>3.0</v>
      </c>
      <c r="B12302" s="1" t="s">
        <v>12094</v>
      </c>
      <c r="C12302" t="str">
        <f>IFERROR(__xludf.DUMMYFUNCTION("GOOGLETRANSLATE(B12302, ""fr"", ""en"")"),"I like The chain is very fine, but for the moment looks solid and good quality for the price you can not expect better, I suggest.")</f>
        <v>I like The chain is very fine, but for the moment looks solid and good quality for the price you can not expect better, I suggest.</v>
      </c>
    </row>
    <row r="12303">
      <c r="A12303" s="1">
        <v>4.0</v>
      </c>
      <c r="B12303" s="1" t="s">
        <v>12095</v>
      </c>
      <c r="C12303" t="str">
        <f>IFERROR(__xludf.DUMMYFUNCTION("GOOGLETRANSLATE(B12303, ""fr"", ""en"")"),"Pretty nice RAS")</f>
        <v>Pretty nice RAS</v>
      </c>
    </row>
    <row r="12304">
      <c r="A12304" s="1">
        <v>4.0</v>
      </c>
      <c r="B12304" s="1" t="s">
        <v>12096</v>
      </c>
      <c r="C12304" t="str">
        <f>IFERROR(__xludf.DUMMYFUNCTION("GOOGLETRANSLATE(B12304, ""fr"", ""en"")"),"Diffuser J love since I men I serve tt day. Qd we want to relax or breathe better. You're very beautiful light which changes colors s single head")</f>
        <v>Diffuser J love since I men I serve tt day. Qd we want to relax or breathe better. You're very beautiful light which changes colors s single head</v>
      </c>
    </row>
    <row r="12305">
      <c r="A12305" s="1">
        <v>4.0</v>
      </c>
      <c r="B12305" s="1" t="s">
        <v>12097</v>
      </c>
      <c r="C12305" t="str">
        <f>IFERROR(__xludf.DUMMYFUNCTION("GOOGLETRANSLATE(B12305, ""fr"", ""en"")"),"conforms to the received description in a small velvet pouch. Neither too heavy nor too light perfect even for beginners. I highly recommend")</f>
        <v>conforms to the received description in a small velvet pouch. Neither too heavy nor too light perfect even for beginners. I highly recommend</v>
      </c>
    </row>
    <row r="12306">
      <c r="A12306" s="1">
        <v>4.0</v>
      </c>
      <c r="B12306" s="1" t="s">
        <v>12098</v>
      </c>
      <c r="C12306" t="str">
        <f>IFERROR(__xludf.DUMMYFUNCTION("GOOGLETRANSLATE(B12306, ""fr"", ""en"")"),"Skin remains what is deepest in man ... The only trouble with these headphones really comes from the lining of its speakers, which is uncomfortable because producing sweat in the long term. In fact, a slightly wraparound ear headphones, with a tissue less"&amp;" plastic, could eventually produce a more pleasant listening time. Still, for that price ... We can ask for the moon!")</f>
        <v>Skin remains what is deepest in man ... The only trouble with these headphones really comes from the lining of its speakers, which is uncomfortable because producing sweat in the long term. In fact, a slightly wraparound ear headphones, with a tissue less plastic, could eventually produce a more pleasant listening time. Still, for that price ... We can ask for the moon!</v>
      </c>
    </row>
    <row r="12307">
      <c r="A12307" s="1">
        <v>5.0</v>
      </c>
      <c r="B12307" s="1" t="s">
        <v>12099</v>
      </c>
      <c r="C12307" t="str">
        <f>IFERROR(__xludf.DUMMYFUNCTION("GOOGLETRANSLATE(B12307, ""fr"", ""en"")"),"ok this seems to be almost equivalent to other much more expensive")</f>
        <v>ok this seems to be almost equivalent to other much more expensive</v>
      </c>
    </row>
    <row r="12308">
      <c r="A12308" s="1">
        <v>5.0</v>
      </c>
      <c r="B12308" s="1" t="s">
        <v>12100</v>
      </c>
      <c r="C12308" t="str">
        <f>IFERROR(__xludf.DUMMYFUNCTION("GOOGLETRANSLATE(B12308, ""fr"", ""en"")"),"Essential Oil ... essential Excellent product to have in your pharmacy and travel")</f>
        <v>Essential Oil ... essential Excellent product to have in your pharmacy and travel</v>
      </c>
    </row>
    <row r="12309">
      <c r="A12309" s="1">
        <v>5.0</v>
      </c>
      <c r="B12309" s="1" t="s">
        <v>12101</v>
      </c>
      <c r="C12309" t="str">
        <f>IFERROR(__xludf.DUMMYFUNCTION("GOOGLETRANSLATE(B12309, ""fr"", ""en"")"),"Do not hesitate!! Comfortable toe, heel cushioning, good grip on slippery surfaces (fat), waterproof, short I recommend it !!!")</f>
        <v>Do not hesitate!! Comfortable toe, heel cushioning, good grip on slippery surfaces (fat), waterproof, short I recommend it !!!</v>
      </c>
    </row>
    <row r="12310">
      <c r="A12310" s="1">
        <v>5.0</v>
      </c>
      <c r="B12310" s="1" t="s">
        <v>12102</v>
      </c>
      <c r="C12310" t="str">
        <f>IFERROR(__xludf.DUMMYFUNCTION("GOOGLETRANSLATE(B12310, ""fr"", ""en"")"),"Its very nice and balanced I bought these headphones to replace my beats was not wireless I was pleasantly surprised by the balanced sound and good finish of the helmet I liked: - The design, strong and sleek - the overall quality of the sound (I myself h"&amp;"ave adjusted the equalizer on Spotify) - the noise reducer - the battery life (over 40H) - the storage box and different cables - can connect live via a cable jack, I recommend this product ideal for public transport")</f>
        <v>Its very nice and balanced I bought these headphones to replace my beats was not wireless I was pleasantly surprised by the balanced sound and good finish of the helmet I liked: - The design, strong and sleek - the overall quality of the sound (I myself have adjusted the equalizer on Spotify) - the noise reducer - the battery life (over 40H) - the storage box and different cables - can connect live via a cable jack, I recommend this product ideal for public transport</v>
      </c>
    </row>
    <row r="12311">
      <c r="A12311" s="1">
        <v>5.0</v>
      </c>
      <c r="B12311" s="1" t="s">
        <v>12103</v>
      </c>
      <c r="C12311" t="str">
        <f>IFERROR(__xludf.DUMMYFUNCTION("GOOGLETRANSLATE(B12311, ""fr"", ""en"")"),"I love the perfect soft and light inside the cup size is nickel frankly I buy from you thank you much")</f>
        <v>I love the perfect soft and light inside the cup size is nickel frankly I buy from you thank you much</v>
      </c>
    </row>
    <row r="12312">
      <c r="A12312" s="1">
        <v>5.0</v>
      </c>
      <c r="B12312" s="1" t="s">
        <v>12104</v>
      </c>
      <c r="C12312" t="str">
        <f>IFERROR(__xludf.DUMMYFUNCTION("GOOGLETRANSLATE(B12312, ""fr"", ""en"")"),"ninusun beautiful life 925 aurora I'm really happy with my necklace my chain does not turn yellow and I love the really happy glow of the stone with my purchase !!!!")</f>
        <v>ninusun beautiful life 925 aurora I'm really happy with my necklace my chain does not turn yellow and I love the really happy glow of the stone with my purchase !!!!</v>
      </c>
    </row>
    <row r="12313">
      <c r="A12313" s="1">
        <v>5.0</v>
      </c>
      <c r="B12313" s="1" t="s">
        <v>12105</v>
      </c>
      <c r="C12313" t="str">
        <f>IFERROR(__xludf.DUMMYFUNCTION("GOOGLETRANSLATE(B12313, ""fr"", ""en"")"),"Hoody correct size product consistent with the description, value for money, very warm and soft. I love and recommend")</f>
        <v>Hoody correct size product consistent with the description, value for money, very warm and soft. I love and recommend</v>
      </c>
    </row>
    <row r="12314">
      <c r="A12314" s="1">
        <v>5.0</v>
      </c>
      <c r="B12314" s="1" t="s">
        <v>12106</v>
      </c>
      <c r="C12314" t="str">
        <f>IFERROR(__xludf.DUMMYFUNCTION("GOOGLETRANSLATE(B12314, ""fr"", ""en"")"),"Super bag which are perfectly filled office. The round format is very convenient for baby bottles and baby purees")</f>
        <v>Super bag which are perfectly filled office. The round format is very convenient for baby bottles and baby purees</v>
      </c>
    </row>
    <row r="12315">
      <c r="A12315" s="1">
        <v>5.0</v>
      </c>
      <c r="B12315" s="1" t="s">
        <v>12107</v>
      </c>
      <c r="C12315" t="str">
        <f>IFERROR(__xludf.DUMMYFUNCTION("GOOGLETRANSLATE(B12315, ""fr"", ""en"")"),"Very good product. These pants are great, whether for sports or everyday life. It is light and pleasant. It also has several pockets for to slip my keys, phone and papers. I recommend !")</f>
        <v>Very good product. These pants are great, whether for sports or everyday life. It is light and pleasant. It also has several pockets for to slip my keys, phone and papers. I recommend !</v>
      </c>
    </row>
    <row r="12316">
      <c r="A12316" s="1">
        <v>5.0</v>
      </c>
      <c r="B12316" s="1" t="s">
        <v>12108</v>
      </c>
      <c r="C12316" t="str">
        <f>IFERROR(__xludf.DUMMYFUNCTION("GOOGLETRANSLATE(B12316, ""fr"", ""en"")"),"Very nice watch good shows who really looks solid, quick adjustment, satisfied with this purchase, I recommend without hesitation this model")</f>
        <v>Very nice watch good shows who really looks solid, quick adjustment, satisfied with this purchase, I recommend without hesitation this model</v>
      </c>
    </row>
    <row r="12317">
      <c r="A12317" s="1">
        <v>5.0</v>
      </c>
      <c r="B12317" s="1" t="s">
        <v>12109</v>
      </c>
      <c r="C12317" t="str">
        <f>IFERROR(__xludf.DUMMYFUNCTION("GOOGLETRANSLATE(B12317, ""fr"", ""en"")"),"Effective Very Effective I even had mist on my now nothing more windows. I took three more rooms in the house")</f>
        <v>Effective Very Effective I even had mist on my now nothing more windows. I took three more rooms in the house</v>
      </c>
    </row>
    <row r="12318">
      <c r="A12318" s="1">
        <v>5.0</v>
      </c>
      <c r="B12318" s="1" t="s">
        <v>12110</v>
      </c>
      <c r="C12318" t="str">
        <f>IFERROR(__xludf.DUMMYFUNCTION("GOOGLETRANSLATE(B12318, ""fr"", ""en"")"),"Perfect for the price no complaints. Perfect for the price, delivery ok and is not fake unlike watches that price. Possibility to stop easily, ideal for product life")</f>
        <v>Perfect for the price no complaints. Perfect for the price, delivery ok and is not fake unlike watches that price. Possibility to stop easily, ideal for product life</v>
      </c>
    </row>
    <row r="12319">
      <c r="A12319" s="1">
        <v>5.0</v>
      </c>
      <c r="B12319" s="1" t="s">
        <v>12111</v>
      </c>
      <c r="C12319" t="str">
        <f>IFERROR(__xludf.DUMMYFUNCTION("GOOGLETRANSLATE(B12319, ""fr"", ""en"")"),"Cotton Beautiful solid quality normal size")</f>
        <v>Cotton Beautiful solid quality normal size</v>
      </c>
    </row>
    <row r="12320">
      <c r="A12320" s="1">
        <v>5.0</v>
      </c>
      <c r="B12320" s="1" t="s">
        <v>12112</v>
      </c>
      <c r="C12320" t="str">
        <f>IFERROR(__xludf.DUMMYFUNCTION("GOOGLETRANSLATE(B12320, ""fr"", ""en"")"),"A good buy Very nice sweater as comply with the order")</f>
        <v>A good buy Very nice sweater as comply with the order</v>
      </c>
    </row>
    <row r="12321">
      <c r="A12321" s="1">
        <v>5.0</v>
      </c>
      <c r="B12321" s="1" t="s">
        <v>12113</v>
      </c>
      <c r="C12321" t="str">
        <f>IFERROR(__xludf.DUMMYFUNCTION("GOOGLETRANSLATE(B12321, ""fr"", ""en"")"),"Always on top A solar radio controlled gshock is simply an indestructible watch that never falls battery failure and is always on time. This is my second knowing that the old first ten years is still in perfect working order but I just changed style.")</f>
        <v>Always on top A solar radio controlled gshock is simply an indestructible watch that never falls battery failure and is always on time. This is my second knowing that the old first ten years is still in perfect working order but I just changed style.</v>
      </c>
    </row>
    <row r="12322">
      <c r="A12322" s="1">
        <v>2.0</v>
      </c>
      <c r="B12322" s="1" t="s">
        <v>12114</v>
      </c>
      <c r="C12322" t="str">
        <f>IFERROR(__xludf.DUMMYFUNCTION("GOOGLETRANSLATE(B12322, ""fr"", ""en"")"),"The watercolor painting is easy to remove the machine when the child task. But painting does not fit on the salt dough so the kids was disappointed activity")</f>
        <v>The watercolor painting is easy to remove the machine when the child task. But painting does not fit on the salt dough so the kids was disappointed activity</v>
      </c>
    </row>
    <row r="12323">
      <c r="A12323" s="1">
        <v>1.0</v>
      </c>
      <c r="B12323" s="1" t="s">
        <v>12115</v>
      </c>
      <c r="C12323" t="str">
        <f>IFERROR(__xludf.DUMMYFUNCTION("GOOGLETRANSLATE(B12323, ""fr"", ""en"")"),"Bad I use it for a few weeks and nothing to share this painful side peaks, no interest was red hot back and was Otherwise nada, very disappointed.")</f>
        <v>Bad I use it for a few weeks and nothing to share this painful side peaks, no interest was red hot back and was Otherwise nada, very disappointed.</v>
      </c>
    </row>
    <row r="12324">
      <c r="A12324" s="1">
        <v>3.0</v>
      </c>
      <c r="B12324" s="1" t="s">
        <v>12116</v>
      </c>
      <c r="C12324" t="str">
        <f>IFERROR(__xludf.DUMMYFUNCTION("GOOGLETRANSLATE(B12324, ""fr"", ""en"")"),"Not pleased Very nice but very fragile, breaks after 2 days of use.")</f>
        <v>Not pleased Very nice but very fragile, breaks after 2 days of use.</v>
      </c>
    </row>
    <row r="12325">
      <c r="A12325" s="1">
        <v>3.0</v>
      </c>
      <c r="B12325" s="1" t="s">
        <v>12117</v>
      </c>
      <c r="C12325" t="str">
        <f>IFERROR(__xludf.DUMMYFUNCTION("GOOGLETRANSLATE(B12325, ""fr"", ""en"")"),"Too bad I put this note because we received the broken watch, the barrel was twisted and broken. Thankfully we watch inspected before packaging and offer it to Christmas, we could spot it before otherwise the disappointment hello .. I'm a little disappoin"&amp;"ted, but otherwise the rest was impeccable, well packaged, arrived in time, the record is the same as the pictures. This is a very nice watch. I do not regret my purchase, just the cold sweat that I had by opening and discovering the anomaly. And of cours"&amp;"e the time lost in the watchmaking. Bad luck for me maybe ..")</f>
        <v>Too bad I put this note because we received the broken watch, the barrel was twisted and broken. Thankfully we watch inspected before packaging and offer it to Christmas, we could spot it before otherwise the disappointment hello .. I'm a little disappointed, but otherwise the rest was impeccable, well packaged, arrived in time, the record is the same as the pictures. This is a very nice watch. I do not regret my purchase, just the cold sweat that I had by opening and discovering the anomaly. And of course the time lost in the watchmaking. Bad luck for me maybe ..</v>
      </c>
    </row>
    <row r="12326">
      <c r="A12326" s="1">
        <v>4.0</v>
      </c>
      <c r="B12326" s="1" t="s">
        <v>12118</v>
      </c>
      <c r="C12326" t="str">
        <f>IFERROR(__xludf.DUMMYFUNCTION("GOOGLETRANSLATE(B12326, ""fr"", ""en"")"),"Although the light for the night really is not very strong but otherwise, it's ...")</f>
        <v>Although the light for the night really is not very strong but otherwise, it's ...</v>
      </c>
    </row>
    <row r="12327">
      <c r="A12327" s="1">
        <v>4.0</v>
      </c>
      <c r="B12327" s="1" t="s">
        <v>12119</v>
      </c>
      <c r="C12327" t="str">
        <f>IFERROR(__xludf.DUMMYFUNCTION("GOOGLETRANSLATE(B12327, ""fr"", ""en"")"),"Bracelet gift for my wife, very elegant and heavy weight level, ie cash, gift idea")</f>
        <v>Bracelet gift for my wife, very elegant and heavy weight level, ie cash, gift idea</v>
      </c>
    </row>
    <row r="12328">
      <c r="A12328" s="1">
        <v>4.0</v>
      </c>
      <c r="B12328" s="1" t="s">
        <v>12120</v>
      </c>
      <c r="C12328" t="str">
        <f>IFERROR(__xludf.DUMMYFUNCTION("GOOGLETRANSLATE(B12328, ""fr"", ""en"")"),"38.5 The size is really just.")</f>
        <v>38.5 The size is really just.</v>
      </c>
    </row>
    <row r="12329">
      <c r="A12329" s="1">
        <v>4.0</v>
      </c>
      <c r="B12329" s="1" t="s">
        <v>12121</v>
      </c>
      <c r="C12329" t="str">
        <f>IFERROR(__xludf.DUMMYFUNCTION("GOOGLETRANSLATE(B12329, ""fr"", ""en"")"),"A French translation is essential explanations in English only")</f>
        <v>A French translation is essential explanations in English only</v>
      </c>
    </row>
    <row r="12330">
      <c r="A12330" s="1">
        <v>4.0</v>
      </c>
      <c r="B12330" s="1" t="s">
        <v>12122</v>
      </c>
      <c r="C12330" t="str">
        <f>IFERROR(__xludf.DUMMYFUNCTION("GOOGLETRANSLATE(B12330, ""fr"", ""en"")"),"It's good I return to my comments agree to a baby from two months Use immediately upon arrival that my little 8 Days has vomited all the flow is too fast dangerous What a pity that I throw the box or I the would refer directly very very upset !!!!!")</f>
        <v>It's good I return to my comments agree to a baby from two months Use immediately upon arrival that my little 8 Days has vomited all the flow is too fast dangerous What a pity that I throw the box or I the would refer directly very very upset !!!!!</v>
      </c>
    </row>
    <row r="12331">
      <c r="A12331" s="1">
        <v>5.0</v>
      </c>
      <c r="B12331" s="1" t="s">
        <v>12123</v>
      </c>
      <c r="C12331" t="str">
        <f>IFERROR(__xludf.DUMMYFUNCTION("GOOGLETRANSLATE(B12331, ""fr"", ""en"")"),"Very happy very well think shake the pen to operate very pleasant writes well as a pen on a sheet")</f>
        <v>Very happy very well think shake the pen to operate very pleasant writes well as a pen on a sheet</v>
      </c>
    </row>
    <row r="12332">
      <c r="A12332" s="1">
        <v>5.0</v>
      </c>
      <c r="B12332" s="1" t="s">
        <v>12124</v>
      </c>
      <c r="C12332" t="str">
        <f>IFERROR(__xludf.DUMMYFUNCTION("GOOGLETRANSLATE(B12332, ""fr"", ""en"")"),"super good especially color pink sends the correct &amp; amp; I recommend neat product")</f>
        <v>super good especially color pink sends the correct &amp; amp; I recommend neat product</v>
      </c>
    </row>
    <row r="12333">
      <c r="A12333" s="1">
        <v>5.0</v>
      </c>
      <c r="B12333" s="1" t="s">
        <v>12125</v>
      </c>
      <c r="C12333" t="str">
        <f>IFERROR(__xludf.DUMMYFUNCTION("GOOGLETRANSLATE(B12333, ""fr"", ""en"")"),"To lie pleasantly! Very comfortable, easy to install and use. It hardly feels under the sheet. 3 temperature levels, adjustable for each side, are sufficient to obtain the desired optimum heat. The mattress topper is ideal to sleep in a comfortable bed, a"&amp;"lthough the room is icy.")</f>
        <v>To lie pleasantly! Very comfortable, easy to install and use. It hardly feels under the sheet. 3 temperature levels, adjustable for each side, are sufficient to obtain the desired optimum heat. The mattress topper is ideal to sleep in a comfortable bed, although the room is icy.</v>
      </c>
    </row>
    <row r="12334">
      <c r="A12334" s="1">
        <v>5.0</v>
      </c>
      <c r="B12334" s="1" t="s">
        <v>12126</v>
      </c>
      <c r="C12334" t="str">
        <f>IFERROR(__xludf.DUMMYFUNCTION("GOOGLETRANSLATE(B12334, ""fr"", ""en"")"),"Easy maintenance Easy to clean. We found a practical way to store our bottles without them interfere with each other. Our anti colic bottles are completely dismantled into 6 pieces, so with other drainers bottles, we could not get hold together. And the m"&amp;"ore I found super nice. I recommend.")</f>
        <v>Easy maintenance Easy to clean. We found a practical way to store our bottles without them interfere with each other. Our anti colic bottles are completely dismantled into 6 pieces, so with other drainers bottles, we could not get hold together. And the more I found super nice. I recommend.</v>
      </c>
    </row>
    <row r="12335">
      <c r="A12335" s="1">
        <v>5.0</v>
      </c>
      <c r="B12335" s="1" t="s">
        <v>12127</v>
      </c>
      <c r="C12335" t="str">
        <f>IFERROR(__xludf.DUMMYFUNCTION("GOOGLETRANSLATE(B12335, ""fr"", ""en"")"),"Tiger Balm Balm we ""saved my life!"" when we suffer from migraines, neck pain or back pain ... It's just fabulous!")</f>
        <v>Tiger Balm Balm we "saved my life!" when we suffer from migraines, neck pain or back pain ... It's just fabulous!</v>
      </c>
    </row>
    <row r="12336">
      <c r="A12336" s="1">
        <v>5.0</v>
      </c>
      <c r="B12336" s="1" t="s">
        <v>12128</v>
      </c>
      <c r="C12336" t="str">
        <f>IFERROR(__xludf.DUMMYFUNCTION("GOOGLETRANSLATE(B12336, ""fr"", ""en"")"),"Beautiful as always, fossil is comparable to Festina or other so-called luxury watches! I do not have to change the battery in 3 years and is still intact! The strap held against the sea and the pool water! And she is beautiful")</f>
        <v>Beautiful as always, fossil is comparable to Festina or other so-called luxury watches! I do not have to change the battery in 3 years and is still intact! The strap held against the sea and the pool water! And she is beautiful</v>
      </c>
    </row>
    <row r="12337">
      <c r="A12337" s="1">
        <v>5.0</v>
      </c>
      <c r="B12337" s="1" t="s">
        <v>12129</v>
      </c>
      <c r="C12337" t="str">
        <f>IFERROR(__xludf.DUMMYFUNCTION("GOOGLETRANSLATE(B12337, ""fr"", ""en"")"),"Earphone Headset on top sound quality really is not bad")</f>
        <v>Earphone Headset on top sound quality really is not bad</v>
      </c>
    </row>
    <row r="12338">
      <c r="A12338" s="1">
        <v>5.0</v>
      </c>
      <c r="B12338" s="1" t="s">
        <v>12130</v>
      </c>
      <c r="C12338" t="str">
        <f>IFERROR(__xludf.DUMMYFUNCTION("GOOGLETRANSLATE(B12338, ""fr"", ""en"")"),"Comfort and solid grip Super comfortable and well below.")</f>
        <v>Comfort and solid grip Super comfortable and well below.</v>
      </c>
    </row>
    <row r="12339">
      <c r="A12339" s="1">
        <v>5.0</v>
      </c>
      <c r="B12339" s="1" t="s">
        <v>12131</v>
      </c>
      <c r="C12339" t="str">
        <f>IFERROR(__xludf.DUMMYFUNCTION("GOOGLETRANSLATE(B12339, ""fr"", ""en"")"),"Satisfied Very well, I often wear. However bracelet resents the water and can make small halos.")</f>
        <v>Satisfied Very well, I often wear. However bracelet resents the water and can make small halos.</v>
      </c>
    </row>
    <row r="12340">
      <c r="A12340" s="1">
        <v>5.0</v>
      </c>
      <c r="B12340" s="1" t="s">
        <v>12132</v>
      </c>
      <c r="C12340" t="str">
        <f>IFERROR(__xludf.DUMMYFUNCTION("GOOGLETRANSLATE(B12340, ""fr"", ""en"")"),"excellent article I bought two. they perfectly fulfill their function. they are simple, without unnecessary and costly frills. what more ?")</f>
        <v>excellent article I bought two. they perfectly fulfill their function. they are simple, without unnecessary and costly frills. what more ?</v>
      </c>
    </row>
    <row r="12341">
      <c r="A12341" s="1">
        <v>5.0</v>
      </c>
      <c r="B12341" s="1" t="s">
        <v>12133</v>
      </c>
      <c r="C12341" t="str">
        <f>IFERROR(__xludf.DUMMYFUNCTION("GOOGLETRANSLATE(B12341, ""fr"", ""en"")"),"Although Product meets expectations")</f>
        <v>Although Product meets expectations</v>
      </c>
    </row>
    <row r="12342">
      <c r="A12342" s="1">
        <v>5.0</v>
      </c>
      <c r="B12342" s="1" t="s">
        <v>12134</v>
      </c>
      <c r="C12342" t="str">
        <f>IFERROR(__xludf.DUMMYFUNCTION("GOOGLETRANSLATE(B12342, ""fr"", ""en"")"),"Heated Mattress pad white I bought it for the elderly at home. I will always trust this brand. The fabric is very good. It is not very hard. The temperature is controlled, the temperature is always stable, the switch is easy to use for users. It heats qui"&amp;"ckly and can be automatically disabled, very secure.")</f>
        <v>Heated Mattress pad white I bought it for the elderly at home. I will always trust this brand. The fabric is very good. It is not very hard. The temperature is controlled, the temperature is always stable, the switch is easy to use for users. It heats quickly and can be automatically disabled, very secure.</v>
      </c>
    </row>
    <row r="12343">
      <c r="A12343" s="1">
        <v>5.0</v>
      </c>
      <c r="B12343" s="1" t="s">
        <v>12135</v>
      </c>
      <c r="C12343" t="str">
        <f>IFERROR(__xludf.DUMMYFUNCTION("GOOGLETRANSLATE(B12343, ""fr"", ""en"")"),"Perfect! Earrings good quality! Normally I can not stand the knock, and no reaction. I wear them every day, like them a lot even to people who do not know BTS")</f>
        <v>Perfect! Earrings good quality! Normally I can not stand the knock, and no reaction. I wear them every day, like them a lot even to people who do not know BTS</v>
      </c>
    </row>
    <row r="12344">
      <c r="A12344" s="1">
        <v>5.0</v>
      </c>
      <c r="B12344" s="1" t="s">
        <v>12136</v>
      </c>
      <c r="C12344" t="str">
        <f>IFERROR(__xludf.DUMMYFUNCTION("GOOGLETRANSLATE(B12344, ""fr"", ""en"")"),"Commissioned in large size 38 ... too big but big size brand")</f>
        <v>Commissioned in large size 38 ... too big but big size brand</v>
      </c>
    </row>
    <row r="12345">
      <c r="A12345" s="1">
        <v>5.0</v>
      </c>
      <c r="B12345" s="1" t="s">
        <v>12137</v>
      </c>
      <c r="C12345" t="str">
        <f>IFERROR(__xludf.DUMMYFUNCTION("GOOGLETRANSLATE(B12345, ""fr"", ""en"")"),"nice nice product, lightweight and unobtrusive. correct audio quality and pretty good bluetooth connection. good battery life. ideal for sports.")</f>
        <v>nice nice product, lightweight and unobtrusive. correct audio quality and pretty good bluetooth connection. good battery life. ideal for sports.</v>
      </c>
    </row>
    <row r="12346">
      <c r="A12346" s="1">
        <v>2.0</v>
      </c>
      <c r="B12346" s="1" t="s">
        <v>12138</v>
      </c>
      <c r="C12346" t="str">
        <f>IFERROR(__xludf.DUMMYFUNCTION("GOOGLETRANSLATE(B12346, ""fr"", ""en"")"),"Slipper Slipper Canvas s tears at the seams")</f>
        <v>Slipper Slipper Canvas s tears at the seams</v>
      </c>
    </row>
    <row r="12347">
      <c r="A12347" s="1">
        <v>1.0</v>
      </c>
      <c r="B12347" s="1" t="s">
        <v>12139</v>
      </c>
      <c r="C12347" t="str">
        <f>IFERROR(__xludf.DUMMYFUNCTION("GOOGLETRANSLATE(B12347, ""fr"", ""en"")"),"Quality false Do not answer my expectations far away I have therefore referred the")</f>
        <v>Quality false Do not answer my expectations far away I have therefore referred the</v>
      </c>
    </row>
    <row r="12348">
      <c r="A12348" s="1">
        <v>1.0</v>
      </c>
      <c r="B12348" s="1" t="s">
        <v>12140</v>
      </c>
      <c r="C12348" t="str">
        <f>IFERROR(__xludf.DUMMYFUNCTION("GOOGLETRANSLATE(B12348, ""fr"", ""en"")"),"Too long too long too")</f>
        <v>Too long too long too</v>
      </c>
    </row>
    <row r="12349">
      <c r="A12349" s="1">
        <v>3.0</v>
      </c>
      <c r="B12349" s="1" t="s">
        <v>12141</v>
      </c>
      <c r="C12349" t="str">
        <f>IFERROR(__xludf.DUMMYFUNCTION("GOOGLETRANSLATE(B12349, ""fr"", ""en"")"),"Ras No commateire")</f>
        <v>Ras No commateire</v>
      </c>
    </row>
    <row r="12350">
      <c r="A12350" s="1">
        <v>3.0</v>
      </c>
      <c r="B12350" s="1" t="s">
        <v>12142</v>
      </c>
      <c r="C12350" t="str">
        <f>IFERROR(__xludf.DUMMYFUNCTION("GOOGLETRANSLATE(B12350, ""fr"", ""en"")"),"Disappointed by the appearance Scheduled for a gift, the bracelet is disappointing. The lava stones have irregularities or holes that give them an authentic side which we happen. Other stones seem false or in any case, Tinted. I would not recommend it, mu"&amp;"ch less a gift.")</f>
        <v>Disappointed by the appearance Scheduled for a gift, the bracelet is disappointing. The lava stones have irregularities or holes that give them an authentic side which we happen. Other stones seem false or in any case, Tinted. I would not recommend it, much less a gift.</v>
      </c>
    </row>
    <row r="12351">
      <c r="A12351" s="1">
        <v>4.0</v>
      </c>
      <c r="B12351" s="1" t="s">
        <v>12143</v>
      </c>
      <c r="C12351" t="str">
        <f>IFERROR(__xludf.DUMMYFUNCTION("GOOGLETRANSLATE(B12351, ""fr"", ""en"")"),"Quality product quality product, made of true colors. Volume XL essential. Ink overrated.")</f>
        <v>Quality product quality product, made of true colors. Volume XL essential. Ink overrated.</v>
      </c>
    </row>
    <row r="12352">
      <c r="A12352" s="1">
        <v>4.0</v>
      </c>
      <c r="B12352" s="1" t="s">
        <v>12144</v>
      </c>
      <c r="C12352" t="str">
        <f>IFERROR(__xludf.DUMMYFUNCTION("GOOGLETRANSLATE(B12352, ""fr"", ""en"")"),"Great sound and super it and wearable")</f>
        <v>Great sound and super it and wearable</v>
      </c>
    </row>
    <row r="12353">
      <c r="A12353" s="1">
        <v>4.0</v>
      </c>
      <c r="B12353" s="1" t="s">
        <v>12145</v>
      </c>
      <c r="C12353" t="str">
        <f>IFERROR(__xludf.DUMMYFUNCTION("GOOGLETRANSLATE(B12353, ""fr"", ""en"")"),"Wow! Astonishing this microphone! Quality is at the appointment and no need for an ultra modern sound card. You plug, you speak! To associate with a good recording program and take the time to test because you have to have it in hand, to get used to rende"&amp;"r and find the position and the most optimal way of using the machine. Important also buy an anti-pop is simply ESSENTIAL. Please also register in a quiet location, it is sensitive and easily picks up unwanted sources (eg I had to remove the clock from th"&amp;"e wall, the ticking is heard loudly.) And set the PC for later noise of the fan.")</f>
        <v>Wow! Astonishing this microphone! Quality is at the appointment and no need for an ultra modern sound card. You plug, you speak! To associate with a good recording program and take the time to test because you have to have it in hand, to get used to render and find the position and the most optimal way of using the machine. Important also buy an anti-pop is simply ESSENTIAL. Please also register in a quiet location, it is sensitive and easily picks up unwanted sources (eg I had to remove the clock from the wall, the ticking is heard loudly.) And set the PC for later noise of the fan.</v>
      </c>
    </row>
    <row r="12354">
      <c r="A12354" s="1">
        <v>4.0</v>
      </c>
      <c r="B12354" s="1" t="s">
        <v>12146</v>
      </c>
      <c r="C12354" t="str">
        <f>IFERROR(__xludf.DUMMYFUNCTION("GOOGLETRANSLATE(B12354, ""fr"", ""en"")"),"Good helmet, finished well but the lack of clarity slightly good helmet, well finished, comfortable to wear. Noise reduction is much better than on my taotronics BH22. In sound, I find that by default there is not enough treble, there is a slight lack of "&amp;"clarity. We must adjust with an equalizer.")</f>
        <v>Good helmet, finished well but the lack of clarity slightly good helmet, well finished, comfortable to wear. Noise reduction is much better than on my taotronics BH22. In sound, I find that by default there is not enough treble, there is a slight lack of clarity. We must adjust with an equalizer.</v>
      </c>
    </row>
    <row r="12355">
      <c r="A12355" s="1">
        <v>5.0</v>
      </c>
      <c r="B12355" s="1" t="s">
        <v>12147</v>
      </c>
      <c r="C12355" t="str">
        <f>IFERROR(__xludf.DUMMYFUNCTION("GOOGLETRANSLATE(B12355, ""fr"", ""en"")"),"Really perfect Perfect I thoroughly recommend! I took a million 1m76 - 77 kilos for a sports gabari and is niquel")</f>
        <v>Really perfect Perfect I thoroughly recommend! I took a million 1m76 - 77 kilos for a sports gabari and is niquel</v>
      </c>
    </row>
    <row r="12356">
      <c r="A12356" s="1">
        <v>5.0</v>
      </c>
      <c r="B12356" s="1" t="s">
        <v>12148</v>
      </c>
      <c r="C12356" t="str">
        <f>IFERROR(__xludf.DUMMYFUNCTION("GOOGLETRANSLATE(B12356, ""fr"", ""en"")"),"Super small bag male Very happy with this handy bag, aesthetics and quality. I recommend it as cumbersome and not containing more than the minimum in cleverly fitted pockets")</f>
        <v>Super small bag male Very happy with this handy bag, aesthetics and quality. I recommend it as cumbersome and not containing more than the minimum in cleverly fitted pockets</v>
      </c>
    </row>
    <row r="12357">
      <c r="A12357" s="1">
        <v>5.0</v>
      </c>
      <c r="B12357" s="1" t="s">
        <v>12149</v>
      </c>
      <c r="C12357" t="str">
        <f>IFERROR(__xludf.DUMMYFUNCTION("GOOGLETRANSLATE(B12357, ""fr"", ""en"")"),"Fantasy Product is excellent quality. Thank you")</f>
        <v>Fantasy Product is excellent quality. Thank you</v>
      </c>
    </row>
    <row r="12358">
      <c r="A12358" s="1">
        <v>5.0</v>
      </c>
      <c r="B12358" s="1" t="s">
        <v>12150</v>
      </c>
      <c r="C12358" t="str">
        <f>IFERROR(__xludf.DUMMYFUNCTION("GOOGLETRANSLATE(B12358, ""fr"", ""en"")"),"Bottles effective / almost complete kit We ordered one bottle first (see further comment purchase) and we so appreciated the decrease in colic and ease of cleaning we ordered this complete kit. I'm just a little disappointed that the big bottles are no ni"&amp;"pples, it would have been nice to allow 4 with the flow a little more important (size 2) to have a really complete kit, since there there are only four teat size 1.")</f>
        <v>Bottles effective / almost complete kit We ordered one bottle first (see further comment purchase) and we so appreciated the decrease in colic and ease of cleaning we ordered this complete kit. I'm just a little disappointed that the big bottles are no nipples, it would have been nice to allow 4 with the flow a little more important (size 2) to have a really complete kit, since there there are only four teat size 1.</v>
      </c>
    </row>
    <row r="12359">
      <c r="A12359" s="1">
        <v>5.0</v>
      </c>
      <c r="B12359" s="1" t="s">
        <v>12151</v>
      </c>
      <c r="C12359" t="str">
        <f>IFERROR(__xludf.DUMMYFUNCTION("GOOGLETRANSLATE(B12359, ""fr"", ""en"")"),"and the sound quality is also very good. I like the design of this headset, it's easy to carry and fold, the color is simple and generous, and the sound quality is also very good.")</f>
        <v>and the sound quality is also very good. I like the design of this headset, it's easy to carry and fold, the color is simple and generous, and the sound quality is also very good.</v>
      </c>
    </row>
    <row r="12360">
      <c r="A12360" s="1">
        <v>5.0</v>
      </c>
      <c r="B12360" s="1" t="s">
        <v>12152</v>
      </c>
      <c r="C12360" t="str">
        <f>IFERROR(__xludf.DUMMYFUNCTION("GOOGLETRANSLATE(B12360, ""fr"", ""en"")"),"The product quality corresponds to the description, easy to use, solid and good value for money. I have bought several times.")</f>
        <v>The product quality corresponds to the description, easy to use, solid and good value for money. I have bought several times.</v>
      </c>
    </row>
    <row r="12361">
      <c r="A12361" s="1">
        <v>5.0</v>
      </c>
      <c r="B12361" s="1" t="s">
        <v>12153</v>
      </c>
      <c r="C12361" t="str">
        <f>IFERROR(__xludf.DUMMYFUNCTION("GOOGLETRANSLATE(B12361, ""fr"", ""en"")"),"Good good cut slim fit, good quality thick fabric, good draws. And for the price, I'll recommend another. I size 29/30 in jeans, I have a price S. Nickel.")</f>
        <v>Good good cut slim fit, good quality thick fabric, good draws. And for the price, I'll recommend another. I size 29/30 in jeans, I have a price S. Nickel.</v>
      </c>
    </row>
    <row r="12362">
      <c r="A12362" s="1">
        <v>5.0</v>
      </c>
      <c r="B12362" s="1" t="s">
        <v>12154</v>
      </c>
      <c r="C12362" t="str">
        <f>IFERROR(__xludf.DUMMYFUNCTION("GOOGLETRANSLATE(B12362, ""fr"", ""en"")"),"My opinion Quality price Meeting place")</f>
        <v>My opinion Quality price Meeting place</v>
      </c>
    </row>
    <row r="12363">
      <c r="A12363" s="1">
        <v>5.0</v>
      </c>
      <c r="B12363" s="1" t="s">
        <v>12155</v>
      </c>
      <c r="C12363" t="str">
        <f>IFERROR(__xludf.DUMMYFUNCTION("GOOGLETRANSLATE(B12363, ""fr"", ""en"")"),"Beautiful Beautiful")</f>
        <v>Beautiful Beautiful</v>
      </c>
    </row>
    <row r="12364">
      <c r="A12364" s="1">
        <v>5.0</v>
      </c>
      <c r="B12364" s="1" t="s">
        <v>12156</v>
      </c>
      <c r="C12364" t="str">
        <f>IFERROR(__xludf.DUMMYFUNCTION("GOOGLETRANSLATE(B12364, ""fr"", ""en"")"),"delivery Good")</f>
        <v>delivery Good</v>
      </c>
    </row>
    <row r="12365">
      <c r="A12365" s="1">
        <v>5.0</v>
      </c>
      <c r="B12365" s="1" t="s">
        <v>12157</v>
      </c>
      <c r="C12365" t="str">
        <f>IFERROR(__xludf.DUMMYFUNCTION("GOOGLETRANSLATE(B12365, ""fr"", ""en"")"),"Very good article Exactly what I wanted to top")</f>
        <v>Very good article Exactly what I wanted to top</v>
      </c>
    </row>
    <row r="12366">
      <c r="A12366" s="1">
        <v>5.0</v>
      </c>
      <c r="B12366" s="1" t="s">
        <v>12158</v>
      </c>
      <c r="C12366" t="str">
        <f>IFERROR(__xludf.DUMMYFUNCTION("GOOGLETRANSLATE(B12366, ""fr"", ""en"")"),"Very happy with my purchase. I bought 2 jogging pants and sweatshirt, I have not done washing, but everything matches and looks excellent. Fast delivery and very good quality / prix.Je continue to buy from this seller.")</f>
        <v>Very happy with my purchase. I bought 2 jogging pants and sweatshirt, I have not done washing, but everything matches and looks excellent. Fast delivery and very good quality / prix.Je continue to buy from this seller.</v>
      </c>
    </row>
    <row r="12367">
      <c r="A12367" s="1">
        <v>5.0</v>
      </c>
      <c r="B12367" s="1" t="s">
        <v>12159</v>
      </c>
      <c r="C12367" t="str">
        <f>IFERROR(__xludf.DUMMYFUNCTION("GOOGLETRANSLATE(B12367, ""fr"", ""en"")"),"Although offered to carry ferrets, it is entirely appropriate fait.Ils love sleeping in and playing with pompoms Warning to take good size 1 see 2 sizes bigger because this very small size for small animal Top")</f>
        <v>Although offered to carry ferrets, it is entirely appropriate fait.Ils love sleeping in and playing with pompoms Warning to take good size 1 see 2 sizes bigger because this very small size for small animal Top</v>
      </c>
    </row>
    <row r="12368">
      <c r="A12368" s="1">
        <v>5.0</v>
      </c>
      <c r="B12368" s="1" t="s">
        <v>12160</v>
      </c>
      <c r="C12368" t="str">
        <f>IFERROR(__xludf.DUMMYFUNCTION("GOOGLETRANSLATE(B12368, ""fr"", ""en"")"),"Beautiful Sneakers Superb! Basketball super comfortable. Appropriate size and good quality. Very happy with my purchase!")</f>
        <v>Beautiful Sneakers Superb! Basketball super comfortable. Appropriate size and good quality. Very happy with my purchase!</v>
      </c>
    </row>
    <row r="12369">
      <c r="A12369" s="1">
        <v>5.0</v>
      </c>
      <c r="B12369" s="1" t="s">
        <v>12161</v>
      </c>
      <c r="C12369" t="str">
        <f>IFERROR(__xludf.DUMMYFUNCTION("GOOGLETRANSLATE(B12369, ""fr"", ""en"")"),"Good ! Good ! Mixture of several metals in the house apparently.")</f>
        <v>Good ! Good ! Mixture of several metals in the house apparently.</v>
      </c>
    </row>
    <row r="12370">
      <c r="A12370" s="1">
        <v>5.0</v>
      </c>
      <c r="B12370" s="1" t="s">
        <v>12162</v>
      </c>
      <c r="C12370" t="str">
        <f>IFERROR(__xludf.DUMMYFUNCTION("GOOGLETRANSLATE(B12370, ""fr"", ""en"")"),"Beautiful saccoche Beautiful black bag medium finely finished. It comes with a useful protective cover for the offer or store")</f>
        <v>Beautiful saccoche Beautiful black bag medium finely finished. It comes with a useful protective cover for the offer or store</v>
      </c>
    </row>
    <row r="12371">
      <c r="A12371" s="1">
        <v>2.0</v>
      </c>
      <c r="B12371" s="1" t="s">
        <v>12163</v>
      </c>
      <c r="C12371" t="str">
        <f>IFERROR(__xludf.DUMMYFUNCTION("GOOGLETRANSLATE(B12371, ""fr"", ""en"")"),"quality damage the paper quality is poor, print fades quickly")</f>
        <v>quality damage the paper quality is poor, print fades quickly</v>
      </c>
    </row>
    <row r="12372">
      <c r="A12372" s="1">
        <v>1.0</v>
      </c>
      <c r="B12372" s="1" t="s">
        <v>12164</v>
      </c>
      <c r="C12372" t="str">
        <f>IFERROR(__xludf.DUMMYFUNCTION("GOOGLETRANSLATE(B12372, ""fr"", ""en"")"),"This is a false Under Armor If there is a true copy of Under Armor. The article is not true. Please do not purchase this item.")</f>
        <v>This is a false Under Armor If there is a true copy of Under Armor. The article is not true. Please do not purchase this item.</v>
      </c>
    </row>
    <row r="12373">
      <c r="A12373" s="1">
        <v>1.0</v>
      </c>
      <c r="B12373" s="1" t="s">
        <v>12165</v>
      </c>
      <c r="C12373" t="str">
        <f>IFERROR(__xludf.DUMMYFUNCTION("GOOGLETRANSLATE(B12373, ""fr"", ""en"")"),"It's a horror .... Too big, not long enough, and in addition it has shrunk in the wash! I use it when I work .... Color is an abomination")</f>
        <v>It's a horror .... Too big, not long enough, and in addition it has shrunk in the wash! I use it when I work .... Color is an abomination</v>
      </c>
    </row>
    <row r="12374">
      <c r="A12374" s="1">
        <v>3.0</v>
      </c>
      <c r="B12374" s="1" t="s">
        <v>12166</v>
      </c>
      <c r="C12374" t="str">
        <f>IFERROR(__xludf.DUMMYFUNCTION("GOOGLETRANSLATE(B12374, ""fr"", ""en"")"),"Okay little better but several damaged boxes, shame!")</f>
        <v>Okay little better but several damaged boxes, shame!</v>
      </c>
    </row>
    <row r="12375">
      <c r="A12375" s="1">
        <v>3.0</v>
      </c>
      <c r="B12375" s="1" t="s">
        <v>12167</v>
      </c>
      <c r="C12375" t="str">
        <f>IFERROR(__xludf.DUMMYFUNCTION("GOOGLETRANSLATE(B12375, ""fr"", ""en"")"),"Bad Not so effective it. I expected to find an upscale WATERPROOFER but it does not match for waterproofing materials found in specialty stores.")</f>
        <v>Bad Not so effective it. I expected to find an upscale WATERPROOFER but it does not match for waterproofing materials found in specialty stores.</v>
      </c>
    </row>
    <row r="12376">
      <c r="A12376" s="1">
        <v>4.0</v>
      </c>
      <c r="B12376" s="1" t="s">
        <v>12168</v>
      </c>
      <c r="C12376" t="str">
        <f>IFERROR(__xludf.DUMMYFUNCTION("GOOGLETRANSLATE(B12376, ""fr"", ""en"")"),"nice! The form is correct and the color is consistent with the views of the site. Article bit expensive but worth it!")</f>
        <v>nice! The form is correct and the color is consistent with the views of the site. Article bit expensive but worth it!</v>
      </c>
    </row>
    <row r="12377">
      <c r="A12377" s="1">
        <v>4.0</v>
      </c>
      <c r="B12377" s="1" t="s">
        <v>12169</v>
      </c>
      <c r="C12377" t="str">
        <f>IFERROR(__xludf.DUMMYFUNCTION("GOOGLETRANSLATE(B12377, ""fr"", ""en"")"),"Very nice Very nice, I'm sure it's going to appeal to my companion. Both relaxed, sport and everyday practicality")</f>
        <v>Very nice Very nice, I'm sure it's going to appeal to my companion. Both relaxed, sport and everyday practicality</v>
      </c>
    </row>
    <row r="12378">
      <c r="A12378" s="1">
        <v>4.0</v>
      </c>
      <c r="B12378" s="1" t="s">
        <v>12170</v>
      </c>
      <c r="C12378" t="str">
        <f>IFERROR(__xludf.DUMMYFUNCTION("GOOGLETRANSLATE(B12378, ""fr"", ""en"")"),"Although Good product conforms to the description")</f>
        <v>Although Good product conforms to the description</v>
      </c>
    </row>
    <row r="12379">
      <c r="A12379" s="1">
        <v>4.0</v>
      </c>
      <c r="B12379" s="1" t="s">
        <v>12171</v>
      </c>
      <c r="C12379" t="str">
        <f>IFERROR(__xludf.DUMMYFUNCTION("GOOGLETRANSLATE(B12379, ""fr"", ""en"")"),"Fast Delivery Ras consistent with the description")</f>
        <v>Fast Delivery Ras consistent with the description</v>
      </c>
    </row>
    <row r="12380">
      <c r="A12380" s="1">
        <v>5.0</v>
      </c>
      <c r="B12380" s="1" t="s">
        <v>12172</v>
      </c>
      <c r="C12380" t="str">
        <f>IFERROR(__xludf.DUMMYFUNCTION("GOOGLETRANSLATE(B12380, ""fr"", ""en"")"),"this sweater great size very well I took xl / xx / and I usually do the 46/48. The cut is nice, the difference back to is original, I'll probably order the same for my daughter. sending fast and serious")</f>
        <v>this sweater great size very well I took xl / xx / and I usually do the 46/48. The cut is nice, the difference back to is original, I'll probably order the same for my daughter. sending fast and serious</v>
      </c>
    </row>
    <row r="12381">
      <c r="A12381" s="1">
        <v>5.0</v>
      </c>
      <c r="B12381" s="1" t="s">
        <v>12173</v>
      </c>
      <c r="C12381" t="str">
        <f>IFERROR(__xludf.DUMMYFUNCTION("GOOGLETRANSLATE(B12381, ""fr"", ""en"")"),"Very nice watch This watch deserves 5 stars, easy navigation through the wheel, superb design adequate lighting if set to 3 seconds. A purchase not regretted a G-SHOCK in all its splendor")</f>
        <v>Very nice watch This watch deserves 5 stars, easy navigation through the wheel, superb design adequate lighting if set to 3 seconds. A purchase not regretted a G-SHOCK in all its splendor</v>
      </c>
    </row>
    <row r="12382">
      <c r="A12382" s="1">
        <v>5.0</v>
      </c>
      <c r="B12382" s="1" t="s">
        <v>12174</v>
      </c>
      <c r="C12382" t="str">
        <f>IFERROR(__xludf.DUMMYFUNCTION("GOOGLETRANSLATE(B12382, ""fr"", ""en"")"),"It's safe, it's a shure! Great ! The microphone is great.")</f>
        <v>It's safe, it's a shure! Great ! The microphone is great.</v>
      </c>
    </row>
    <row r="12383">
      <c r="A12383" s="1">
        <v>5.0</v>
      </c>
      <c r="B12383" s="1" t="s">
        <v>12175</v>
      </c>
      <c r="C12383" t="str">
        <f>IFERROR(__xludf.DUMMYFUNCTION("GOOGLETRANSLATE(B12383, ""fr"", ""en"")"),"Tip Top superb quality! Received 3 days in advance, corresponds perfectly to order. The elastic waist may be a bit off little while, but then it's a one size and I (S, 36)")</f>
        <v>Tip Top superb quality! Received 3 days in advance, corresponds perfectly to order. The elastic waist may be a bit off little while, but then it's a one size and I (S, 36)</v>
      </c>
    </row>
    <row r="12384">
      <c r="A12384" s="1">
        <v>5.0</v>
      </c>
      <c r="B12384" s="1" t="s">
        <v>12176</v>
      </c>
      <c r="C12384" t="str">
        <f>IFERROR(__xludf.DUMMYFUNCTION("GOOGLETRANSLATE(B12384, ""fr"", ""en"")"),"photo that matches the product. Hello, I am delighted, product arrived quickly, size 36 perfect, beautiful shoes and very comfortable, perfect heel and photo that matches the product.")</f>
        <v>photo that matches the product. Hello, I am delighted, product arrived quickly, size 36 perfect, beautiful shoes and very comfortable, perfect heel and photo that matches the product.</v>
      </c>
    </row>
    <row r="12385">
      <c r="A12385" s="1">
        <v>5.0</v>
      </c>
      <c r="B12385" s="1" t="s">
        <v>12177</v>
      </c>
      <c r="C12385" t="str">
        <f>IFERROR(__xludf.DUMMYFUNCTION("GOOGLETRANSLATE(B12385, ""fr"", ""en"")"),"This is clearly what I expected The helmet is certainly not the most comfortable and not like the design of the latest headsets on the market. Nevertheless, we made it pretty well when we see how robust it is, the sound is very correct and we can take it "&amp;"everywhere you forget all that. I continue. It is easy to tighten to fit. Yes, there are still on the ears and it is a very positive point as somewhat negative since the helmet a little strength on the ears if the handles are too tight. Finally, I would s"&amp;"ay that the jack adapter (the caliber) built me ​​a little surprised at first. I have just read not be enough but I did not know right away that it was withdrawing by unscrewing. I highly recommend to those who are tired of helmets that do not fit on the "&amp;"ears, which are not resistant to very loud sounds.")</f>
        <v>This is clearly what I expected The helmet is certainly not the most comfortable and not like the design of the latest headsets on the market. Nevertheless, we made it pretty well when we see how robust it is, the sound is very correct and we can take it everywhere you forget all that. I continue. It is easy to tighten to fit. Yes, there are still on the ears and it is a very positive point as somewhat negative since the helmet a little strength on the ears if the handles are too tight. Finally, I would say that the jack adapter (the caliber) built me ​​a little surprised at first. I have just read not be enough but I did not know right away that it was withdrawing by unscrewing. I highly recommend to those who are tired of helmets that do not fit on the ears, which are not resistant to very loud sounds.</v>
      </c>
    </row>
    <row r="12386">
      <c r="A12386" s="1">
        <v>5.0</v>
      </c>
      <c r="B12386" s="1" t="s">
        <v>12178</v>
      </c>
      <c r="C12386" t="str">
        <f>IFERROR(__xludf.DUMMYFUNCTION("GOOGLETRANSLATE(B12386, ""fr"", ""en"")"),"Very good buy! Very nice book! It rained a lot to my daughter who loves to draw ... funny book, entertaining and provided some stickers")</f>
        <v>Very good buy! Very nice book! It rained a lot to my daughter who loves to draw ... funny book, entertaining and provided some stickers</v>
      </c>
    </row>
    <row r="12387">
      <c r="A12387" s="1">
        <v>5.0</v>
      </c>
      <c r="B12387" s="1" t="s">
        <v>12179</v>
      </c>
      <c r="C12387" t="str">
        <f>IFERROR(__xludf.DUMMYFUNCTION("GOOGLETRANSLATE(B12387, ""fr"", ""en"")"),"Perfect Seller serious and good value for money")</f>
        <v>Perfect Seller serious and good value for money</v>
      </c>
    </row>
    <row r="12388">
      <c r="A12388" s="1">
        <v>5.0</v>
      </c>
      <c r="B12388" s="1" t="s">
        <v>12180</v>
      </c>
      <c r="C12388" t="str">
        <f>IFERROR(__xludf.DUMMYFUNCTION("GOOGLETRANSLATE(B12388, ""fr"", ""en"")"),"good watch quite handy for the holidays. which is a little more complex is the watch setting otherwise it's a pleasure")</f>
        <v>good watch quite handy for the holidays. which is a little more complex is the watch setting otherwise it's a pleasure</v>
      </c>
    </row>
    <row r="12389">
      <c r="A12389" s="1">
        <v>5.0</v>
      </c>
      <c r="B12389" s="1" t="s">
        <v>12181</v>
      </c>
      <c r="C12389" t="str">
        <f>IFERROR(__xludf.DUMMYFUNCTION("GOOGLETRANSLATE(B12389, ""fr"", ""en"")"),"Very nice ad I like the picture, looks really good on the wrist.")</f>
        <v>Very nice ad I like the picture, looks really good on the wrist.</v>
      </c>
    </row>
    <row r="12390">
      <c r="A12390" s="1">
        <v>5.0</v>
      </c>
      <c r="B12390" s="1" t="s">
        <v>12182</v>
      </c>
      <c r="C12390" t="str">
        <f>IFERROR(__xludf.DUMMYFUNCTION("GOOGLETRANSLATE(B12390, ""fr"", ""en"")"),"Easy operation; good price ; Use good quality for small pots and bottles Easy to use; Quick But I return to approximately 3 times for the small pots that comes knew fridge either warm temperature .. do not hesitate to put more water than indicated on the "&amp;"box. Good quality good price I really recommend.")</f>
        <v>Easy operation; good price ; Use good quality for small pots and bottles Easy to use; Quick But I return to approximately 3 times for the small pots that comes knew fridge either warm temperature .. do not hesitate to put more water than indicated on the box. Good quality good price I really recommend.</v>
      </c>
    </row>
    <row r="12391">
      <c r="A12391" s="1">
        <v>5.0</v>
      </c>
      <c r="B12391" s="1" t="s">
        <v>12183</v>
      </c>
      <c r="C12391" t="str">
        <f>IFERROR(__xludf.DUMMYFUNCTION("GOOGLETRANSLATE(B12391, ""fr"", ""en"")"),"Not many Earpiece its decline for now but meets my expectations")</f>
        <v>Not many Earpiece its decline for now but meets my expectations</v>
      </c>
    </row>
    <row r="12392">
      <c r="A12392" s="1">
        <v>5.0</v>
      </c>
      <c r="B12392" s="1" t="s">
        <v>12184</v>
      </c>
      <c r="C12392" t="str">
        <f>IFERROR(__xludf.DUMMYFUNCTION("GOOGLETRANSLATE(B12392, ""fr"", ""en"")"),"Excellent product with good sound Every day, good qualities of its original colors and materials, this headset is perfect for sports, headphones provide excellent support in the ears and the sound is very good.")</f>
        <v>Excellent product with good sound Every day, good qualities of its original colors and materials, this headset is perfect for sports, headphones provide excellent support in the ears and the sound is very good.</v>
      </c>
    </row>
    <row r="12393">
      <c r="A12393" s="1">
        <v>5.0</v>
      </c>
      <c r="B12393" s="1" t="s">
        <v>12185</v>
      </c>
      <c r="C12393" t="str">
        <f>IFERROR(__xludf.DUMMYFUNCTION("GOOGLETRANSLATE(B12393, ""fr"", ""en"")"),"Superb Perfect as described entirely happy to recommend")</f>
        <v>Superb Perfect as described entirely happy to recommend</v>
      </c>
    </row>
    <row r="12394">
      <c r="A12394" s="1">
        <v>5.0</v>
      </c>
      <c r="B12394" s="1" t="s">
        <v>12186</v>
      </c>
      <c r="C12394" t="str">
        <f>IFERROR(__xludf.DUMMYFUNCTION("GOOGLETRANSLATE(B12394, ""fr"", ""en"")"),"Good quality and size as expected Bought it for me perfectly and size is good. Quick delivery.")</f>
        <v>Good quality and size as expected Bought it for me perfectly and size is good. Quick delivery.</v>
      </c>
    </row>
    <row r="12395">
      <c r="A12395" s="1">
        <v>2.0</v>
      </c>
      <c r="B12395" s="1" t="s">
        <v>12187</v>
      </c>
      <c r="C12395" t="str">
        <f>IFERROR(__xludf.DUMMYFUNCTION("GOOGLETRANSLATE(B12395, ""fr"", ""en"")"),"Superstar adidas The front part of the shoe separates from the sides, making a space. Failure?")</f>
        <v>Superstar adidas The front part of the shoe separates from the sides, making a space. Failure?</v>
      </c>
    </row>
    <row r="12396">
      <c r="A12396" s="1">
        <v>1.0</v>
      </c>
      <c r="B12396" s="1" t="s">
        <v>12188</v>
      </c>
      <c r="C12396" t="str">
        <f>IFERROR(__xludf.DUMMYFUNCTION("GOOGLETRANSLATE(B12396, ""fr"", ""en"")"),"bad product bad product. laces a grommets jumped after two days. they are not sealed very disappointed in this product")</f>
        <v>bad product bad product. laces a grommets jumped after two days. they are not sealed very disappointed in this product</v>
      </c>
    </row>
    <row r="12397">
      <c r="A12397" s="1">
        <v>1.0</v>
      </c>
      <c r="B12397" s="1" t="s">
        <v>12189</v>
      </c>
      <c r="C12397" t="str">
        <f>IFERROR(__xludf.DUMMYFUNCTION("GOOGLETRANSLATE(B12397, ""fr"", ""en"")"),"Watch defective watch stops working after 1 month of use. Satisafaite not at all. It is not normal and more we do not know where to go in this case to return and have the same watch.")</f>
        <v>Watch defective watch stops working after 1 month of use. Satisafaite not at all. It is not normal and more we do not know where to go in this case to return and have the same watch.</v>
      </c>
    </row>
    <row r="12398">
      <c r="A12398" s="1">
        <v>3.0</v>
      </c>
      <c r="B12398" s="1" t="s">
        <v>12190</v>
      </c>
      <c r="C12398" t="str">
        <f>IFERROR(__xludf.DUMMYFUNCTION("GOOGLETRANSLATE(B12398, ""fr"", ""en"")"),"He arrived a little late but I received very pretty kettle very good it heats very quickly and I heat water for my coffee")</f>
        <v>He arrived a little late but I received very pretty kettle very good it heats very quickly and I heat water for my coffee</v>
      </c>
    </row>
    <row r="12399">
      <c r="A12399" s="1">
        <v>4.0</v>
      </c>
      <c r="B12399" s="1" t="s">
        <v>12191</v>
      </c>
      <c r="C12399" t="str">
        <f>IFERROR(__xludf.DUMMYFUNCTION("GOOGLETRANSLATE(B12399, ""fr"", ""en"")"),"beautiful shoe luckily I followed the advice of STEPHANE 76550, I am satisfied with my order, the size is perfect for me, very beautiful shoe")</f>
        <v>beautiful shoe luckily I followed the advice of STEPHANE 76550, I am satisfied with my order, the size is perfect for me, very beautiful shoe</v>
      </c>
    </row>
    <row r="12400">
      <c r="A12400" s="1">
        <v>4.0</v>
      </c>
      <c r="B12400" s="1" t="s">
        <v>12192</v>
      </c>
      <c r="C12400" t="str">
        <f>IFERROR(__xludf.DUMMYFUNCTION("GOOGLETRANSLATE(B12400, ""fr"", ""en"")"),"Good but ... Bluetooth headset Listening to music on iPhone. The least: Its surrounding too audible. Plus: Battery level Voice + name of the connected device. Excellent quality of the microphone.")</f>
        <v>Good but ... Bluetooth headset Listening to music on iPhone. The least: Its surrounding too audible. Plus: Battery level Voice + name of the connected device. Excellent quality of the microphone.</v>
      </c>
    </row>
    <row r="12401">
      <c r="A12401" s="1">
        <v>4.0</v>
      </c>
      <c r="B12401" s="1" t="s">
        <v>12193</v>
      </c>
      <c r="C12401" t="str">
        <f>IFERROR(__xludf.DUMMYFUNCTION("GOOGLETRANSLATE(B12401, ""fr"", ""en"")"),"Although Very suitable for the price, nice coffee machine that vibrates a little effect, but very suitable for standard use.")</f>
        <v>Although Very suitable for the price, nice coffee machine that vibrates a little effect, but very suitable for standard use.</v>
      </c>
    </row>
    <row r="12402">
      <c r="A12402" s="1">
        <v>4.0</v>
      </c>
      <c r="B12402" s="1" t="s">
        <v>12194</v>
      </c>
      <c r="C12402" t="str">
        <f>IFERROR(__xludf.DUMMYFUNCTION("GOOGLETRANSLATE(B12402, ""fr"", ""en"")"),"Meets Very good quality / price but not easy to achieve scaling at one time, right product for maintenance")</f>
        <v>Meets Very good quality / price but not easy to achieve scaling at one time, right product for maintenance</v>
      </c>
    </row>
    <row r="12403">
      <c r="A12403" s="1">
        <v>5.0</v>
      </c>
      <c r="B12403" s="1" t="s">
        <v>12195</v>
      </c>
      <c r="C12403" t="str">
        <f>IFERROR(__xludf.DUMMYFUNCTION("GOOGLETRANSLATE(B12403, ""fr"", ""en"")"),"Mixed music ok, not terrible call The sound is perfect in music mode to take a call against this horror is obliged to take the phone in hand because the impression of being in a cave on the other side of the world . I contacted customer service, they aske"&amp;"d me my order number for more news ... I re-evaluate my opinion of their response. Update: The customer service is at the top, they sent me a new pair, I still have some concerns on appeal but I do not exclude my phone is not Bluetooth 5.0.")</f>
        <v>Mixed music ok, not terrible call The sound is perfect in music mode to take a call against this horror is obliged to take the phone in hand because the impression of being in a cave on the other side of the world . I contacted customer service, they asked me my order number for more news ... I re-evaluate my opinion of their response. Update: The customer service is at the top, they sent me a new pair, I still have some concerns on appeal but I do not exclude my phone is not Bluetooth 5.0.</v>
      </c>
    </row>
    <row r="12404">
      <c r="A12404" s="1">
        <v>5.0</v>
      </c>
      <c r="B12404" s="1" t="s">
        <v>12196</v>
      </c>
      <c r="C12404" t="str">
        <f>IFERROR(__xludf.DUMMYFUNCTION("GOOGLETRANSLATE(B12404, ""fr"", ""en"")"),"Necklace Pretty necklace value for money without regret! Can wear it on all occasions!")</f>
        <v>Necklace Pretty necklace value for money without regret! Can wear it on all occasions!</v>
      </c>
    </row>
    <row r="12405">
      <c r="A12405" s="1">
        <v>5.0</v>
      </c>
      <c r="B12405" s="1" t="s">
        <v>12197</v>
      </c>
      <c r="C12405" t="str">
        <f>IFERROR(__xludf.DUMMYFUNCTION("GOOGLETRANSLATE(B12405, ""fr"", ""en"")"),"very elegant I have loved")</f>
        <v>very elegant I have loved</v>
      </c>
    </row>
    <row r="12406">
      <c r="A12406" s="1">
        <v>5.0</v>
      </c>
      <c r="B12406" s="1" t="s">
        <v>12198</v>
      </c>
      <c r="C12406" t="str">
        <f>IFERROR(__xludf.DUMMYFUNCTION("GOOGLETRANSLATE(B12406, ""fr"", ""en"")"),"Meets Good padded bra, exactly what I expected")</f>
        <v>Meets Good padded bra, exactly what I expected</v>
      </c>
    </row>
    <row r="12407">
      <c r="A12407" s="1">
        <v>5.0</v>
      </c>
      <c r="B12407" s="1" t="s">
        <v>12199</v>
      </c>
      <c r="C12407" t="str">
        <f>IFERROR(__xludf.DUMMYFUNCTION("GOOGLETRANSLATE(B12407, ""fr"", ""en"")"),"Leather Bracelet Very nice finish, comfortable to wear")</f>
        <v>Leather Bracelet Very nice finish, comfortable to wear</v>
      </c>
    </row>
    <row r="12408">
      <c r="A12408" s="1">
        <v>5.0</v>
      </c>
      <c r="B12408" s="1" t="s">
        <v>12200</v>
      </c>
      <c r="C12408" t="str">
        <f>IFERROR(__xludf.DUMMYFUNCTION("GOOGLETRANSLATE(B12408, ""fr"", ""en"")"),"Comfortable Very comfortable and conforms to the description and the photo size is perfect I am 37 i took a half 38 and I advise these parfais")</f>
        <v>Comfortable Very comfortable and conforms to the description and the photo size is perfect I am 37 i took a half 38 and I advise these parfais</v>
      </c>
    </row>
    <row r="12409">
      <c r="A12409" s="1">
        <v>5.0</v>
      </c>
      <c r="B12409" s="1" t="s">
        <v>12201</v>
      </c>
      <c r="C12409" t="str">
        <f>IFERROR(__xludf.DUMMYFUNCTION("GOOGLETRANSLATE(B12409, ""fr"", ""en"")"),"Beautiful leather great, I love it simply, quality product, a central space enough to hold notebooks, folder, a computer 13 '' with cover, color is superbe.je recommend this product.")</f>
        <v>Beautiful leather great, I love it simply, quality product, a central space enough to hold notebooks, folder, a computer 13 '' with cover, color is superbe.je recommend this product.</v>
      </c>
    </row>
    <row r="12410">
      <c r="A12410" s="1">
        <v>5.0</v>
      </c>
      <c r="B12410" s="1" t="s">
        <v>12202</v>
      </c>
      <c r="C12410" t="str">
        <f>IFERROR(__xludf.DUMMYFUNCTION("GOOGLETRANSLATE(B12410, ""fr"", ""en"")"),"I wanted a beautiful hat cap New York because I find that they are quite classes caps. But I did not want the big NY on the front. My choice fell on this cap that is beautiful and chic, small NY on the side is discrete. This is a man cap but for me it is "&amp;"unisex, it goes both men and women (I'm a woman). I'm happy with my purchase and I advise you strongly, you will not be disappointed!")</f>
        <v>I wanted a beautiful hat cap New York because I find that they are quite classes caps. But I did not want the big NY on the front. My choice fell on this cap that is beautiful and chic, small NY on the side is discrete. This is a man cap but for me it is unisex, it goes both men and women (I'm a woman). I'm happy with my purchase and I advise you strongly, you will not be disappointed!</v>
      </c>
    </row>
    <row r="12411">
      <c r="A12411" s="1">
        <v>5.0</v>
      </c>
      <c r="B12411" s="1" t="s">
        <v>12203</v>
      </c>
      <c r="C12411" t="str">
        <f>IFERROR(__xludf.DUMMYFUNCTION("GOOGLETRANSLATE(B12411, ""fr"", ""en"")"),"The collar short little Very good quality and super nice")</f>
        <v>The collar short little Very good quality and super nice</v>
      </c>
    </row>
    <row r="12412">
      <c r="A12412" s="1">
        <v>5.0</v>
      </c>
      <c r="B12412" s="1" t="s">
        <v>12204</v>
      </c>
      <c r="C12412" t="str">
        <f>IFERROR(__xludf.DUMMYFUNCTION("GOOGLETRANSLATE(B12412, ""fr"", ""en"")"),"the works I'm satisfied I recommend very well and very pretty")</f>
        <v>the works I'm satisfied I recommend very well and very pretty</v>
      </c>
    </row>
    <row r="12413">
      <c r="A12413" s="1">
        <v>5.0</v>
      </c>
      <c r="B12413" s="1" t="s">
        <v>12205</v>
      </c>
      <c r="C12413" t="str">
        <f>IFERROR(__xludf.DUMMYFUNCTION("GOOGLETRANSLATE(B12413, ""fr"", ""en"")"),"Great product Perfect for storing vinyls. Good achievement. Well, by 100 against disk .... Yes they are simple and thin blanket tight. As against strong chemical smell in the opening (glue used for the inner coating?) Leave open a few days for the smell t"&amp;"o go away. The cover is removable.")</f>
        <v>Great product Perfect for storing vinyls. Good achievement. Well, by 100 against disk .... Yes they are simple and thin blanket tight. As against strong chemical smell in the opening (glue used for the inner coating?) Leave open a few days for the smell to go away. The cover is removable.</v>
      </c>
    </row>
    <row r="12414">
      <c r="A12414" s="1">
        <v>5.0</v>
      </c>
      <c r="B12414" s="1" t="s">
        <v>12206</v>
      </c>
      <c r="C12414" t="str">
        <f>IFERROR(__xludf.DUMMYFUNCTION("GOOGLETRANSLATE(B12414, ""fr"", ""en"")"),"Ideal for sports product advisor all people using headphones while biking or running. With this headset you hear your music as well as external noises. I use during my trips by bike and now I hear when a vehicle is approaching me and I can always listen t"&amp;"o my music. The volume buttons + and - is facilementet usb cable with micro-site leisure facilities allows the charge on a computer.")</f>
        <v>Ideal for sports product advisor all people using headphones while biking or running. With this headset you hear your music as well as external noises. I use during my trips by bike and now I hear when a vehicle is approaching me and I can always listen to my music. The volume buttons + and - is facilementet usb cable with micro-site leisure facilities allows the charge on a computer.</v>
      </c>
    </row>
    <row r="12415">
      <c r="A12415" s="1">
        <v>5.0</v>
      </c>
      <c r="B12415" s="1" t="s">
        <v>12207</v>
      </c>
      <c r="C12415" t="str">
        <f>IFERROR(__xludf.DUMMYFUNCTION("GOOGLETRANSLATE(B12415, ""fr"", ""en"")"),"Beautiful Beautiful earrings")</f>
        <v>Beautiful Beautiful earrings</v>
      </c>
    </row>
    <row r="12416">
      <c r="A12416" s="1">
        <v>5.0</v>
      </c>
      <c r="B12416" s="1" t="s">
        <v>12208</v>
      </c>
      <c r="C12416" t="str">
        <f>IFERROR(__xludf.DUMMYFUNCTION("GOOGLETRANSLATE(B12416, ""fr"", ""en"")"),"Ease and lightness After an operation of the spine Swiffer is the lightest and most useful to use instead of a vacuum cleaner too bulky and heavy.")</f>
        <v>Ease and lightness After an operation of the spine Swiffer is the lightest and most useful to use instead of a vacuum cleaner too bulky and heavy.</v>
      </c>
    </row>
    <row r="12417">
      <c r="A12417" s="1">
        <v>5.0</v>
      </c>
      <c r="B12417" s="1" t="s">
        <v>12209</v>
      </c>
      <c r="C12417" t="str">
        <f>IFERROR(__xludf.DUMMYFUNCTION("GOOGLETRANSLATE(B12417, ""fr"", ""en"")"),"super super happy thank you")</f>
        <v>super super happy thank you</v>
      </c>
    </row>
    <row r="12418">
      <c r="A12418" s="1">
        <v>2.0</v>
      </c>
      <c r="B12418" s="1" t="s">
        <v>12210</v>
      </c>
      <c r="C12418" t="str">
        <f>IFERROR(__xludf.DUMMYFUNCTION("GOOGLETRANSLATE(B12418, ""fr"", ""en"")"),"Size Super Size small, the 34/38 is not suitable for the 36")</f>
        <v>Size Super Size small, the 34/38 is not suitable for the 36</v>
      </c>
    </row>
    <row r="12419">
      <c r="A12419" s="1">
        <v>1.0</v>
      </c>
      <c r="B12419" s="1" t="s">
        <v>12211</v>
      </c>
      <c r="C12419" t="str">
        <f>IFERROR(__xludf.DUMMYFUNCTION("GOOGLETRANSLATE(B12419, ""fr"", ""en"")"),"Product quality médiorc I once used this product for a presentation, and since it no longer works, despite the replacement of lager is a product of very poor quality, I do not recommend it.")</f>
        <v>Product quality médiorc I once used this product for a presentation, and since it no longer works, despite the replacement of lager is a product of very poor quality, I do not recommend it.</v>
      </c>
    </row>
    <row r="12420">
      <c r="A12420" s="1">
        <v>3.0</v>
      </c>
      <c r="B12420" s="1" t="s">
        <v>12212</v>
      </c>
      <c r="C12420" t="str">
        <f>IFERROR(__xludf.DUMMYFUNCTION("GOOGLETRANSLATE(B12420, ""fr"", ""en"")"),"Size small I took u a size bigger and it's not enough. I have flat feet so I'm used to but now I go very well in it. It's really a matter of length. Take at least one size bigger. If they are well")</f>
        <v>Size small I took u a size bigger and it's not enough. I have flat feet so I'm used to but now I go very well in it. It's really a matter of length. Take at least one size bigger. If they are well</v>
      </c>
    </row>
    <row r="12421">
      <c r="A12421" s="1">
        <v>3.0</v>
      </c>
      <c r="B12421" s="1" t="s">
        <v>12213</v>
      </c>
      <c r="C12421" t="str">
        <f>IFERROR(__xludf.DUMMYFUNCTION("GOOGLETRANSLATE(B12421, ""fr"", ""en"")"),"Great product but .... The acoustic is exceptional, rendering flawless, design on top (except the miniaturization of orders and delivery without notice, thankfully there internet ...). But at a cost of this order, I do not understand the reason for not be"&amp;"ing able to paired to my PC and its not running in ""Wired"" mode, apparently recurring phenomenon; otherwise it would seem, to use its bluetooth range is not worthy of such a product ... Maybe I'm wrong across a ""number"" ... Has two fingers Return ...")</f>
        <v>Great product but .... The acoustic is exceptional, rendering flawless, design on top (except the miniaturization of orders and delivery without notice, thankfully there internet ...). But at a cost of this order, I do not understand the reason for not being able to paired to my PC and its not running in "Wired" mode, apparently recurring phenomenon; otherwise it would seem, to use its bluetooth range is not worthy of such a product ... Maybe I'm wrong across a "number" ... Has two fingers Return ...</v>
      </c>
    </row>
    <row r="12422">
      <c r="A12422" s="1">
        <v>4.0</v>
      </c>
      <c r="B12422" s="1" t="s">
        <v>12214</v>
      </c>
      <c r="C12422" t="str">
        <f>IFERROR(__xludf.DUMMYFUNCTION("GOOGLETRANSLATE(B12422, ""fr"", ""en"")"),"There pa hear me when I talk to call and hear me very badly when I talk")</f>
        <v>There pa hear me when I talk to call and hear me very badly when I talk</v>
      </c>
    </row>
    <row r="12423">
      <c r="A12423" s="1">
        <v>4.0</v>
      </c>
      <c r="B12423" s="1" t="s">
        <v>12215</v>
      </c>
      <c r="C12423" t="str">
        <f>IFERROR(__xludf.DUMMYFUNCTION("GOOGLETRANSLATE(B12423, ""fr"", ""en"")"),"Small functional bag The color is a little lighter than the picture. Not too big to put a phone and a wallet. Looks strong after a month of using the pocket on the front is small to fit the hand.")</f>
        <v>Small functional bag The color is a little lighter than the picture. Not too big to put a phone and a wallet. Looks strong after a month of using the pocket on the front is small to fit the hand.</v>
      </c>
    </row>
    <row r="12424">
      <c r="A12424" s="1">
        <v>4.0</v>
      </c>
      <c r="B12424" s="1" t="s">
        <v>12216</v>
      </c>
      <c r="C12424" t="str">
        <f>IFERROR(__xludf.DUMMYFUNCTION("GOOGLETRANSLATE(B12424, ""fr"", ""en"")"),"very good coffee; attention to walls that may very warm beings. facil temperature to settle. the all-aluminum design is very beautiful. it cleans very easily. careful though the walls that may beings burning ... not to let young children handle the kettle"&amp;".")</f>
        <v>very good coffee; attention to walls that may very warm beings. facil temperature to settle. the all-aluminum design is very beautiful. it cleans very easily. careful though the walls that may beings burning ... not to let young children handle the kettle.</v>
      </c>
    </row>
    <row r="12425">
      <c r="A12425" s="1">
        <v>4.0</v>
      </c>
      <c r="B12425" s="1" t="s">
        <v>12217</v>
      </c>
      <c r="C12425" t="str">
        <f>IFERROR(__xludf.DUMMYFUNCTION("GOOGLETRANSLATE(B12425, ""fr"", ""en"")"),"Very pretty very good value for money. Although solid impressed by the performance over time. What is good is that the man bracelet is planned longer. The downside, the word is not set, but currently holds well")</f>
        <v>Very pretty very good value for money. Although solid impressed by the performance over time. What is good is that the man bracelet is planned longer. The downside, the word is not set, but currently holds well</v>
      </c>
    </row>
    <row r="12426">
      <c r="A12426" s="1">
        <v>5.0</v>
      </c>
      <c r="B12426" s="1" t="s">
        <v>12218</v>
      </c>
      <c r="C12426" t="str">
        <f>IFERROR(__xludf.DUMMYFUNCTION("GOOGLETRANSLATE(B12426, ""fr"", ""en"")"),"Very good price / quality product complies with pictures of advertisement, perfect size and very decent quality. In short, a good pair of shoes, well ventilated at a very reasonable price. I recommend you!")</f>
        <v>Very good price / quality product complies with pictures of advertisement, perfect size and very decent quality. In short, a good pair of shoes, well ventilated at a very reasonable price. I recommend you!</v>
      </c>
    </row>
    <row r="12427">
      <c r="A12427" s="1">
        <v>5.0</v>
      </c>
      <c r="B12427" s="1" t="s">
        <v>12219</v>
      </c>
      <c r="C12427" t="str">
        <f>IFERROR(__xludf.DUMMYFUNCTION("GOOGLETRANSLATE(B12427, ""fr"", ""en"")"),"Beautiful gift for his wife buy for my wife's birthday, which was filled. Excellent product quality, adjustable according wrist diameter. interesting packaging. Sending fast seller who is conscientious.")</f>
        <v>Beautiful gift for his wife buy for my wife's birthday, which was filled. Excellent product quality, adjustable according wrist diameter. interesting packaging. Sending fast seller who is conscientious.</v>
      </c>
    </row>
    <row r="12428">
      <c r="A12428" s="1">
        <v>5.0</v>
      </c>
      <c r="B12428" s="1" t="s">
        <v>12220</v>
      </c>
      <c r="C12428" t="str">
        <f>IFERROR(__xludf.DUMMYFUNCTION("GOOGLETRANSLATE(B12428, ""fr"", ""en"")"),"Conforms Nothing to say, item complies.")</f>
        <v>Conforms Nothing to say, item complies.</v>
      </c>
    </row>
    <row r="12429">
      <c r="A12429" s="1">
        <v>5.0</v>
      </c>
      <c r="B12429" s="1" t="s">
        <v>12221</v>
      </c>
      <c r="C12429" t="str">
        <f>IFERROR(__xludf.DUMMYFUNCTION("GOOGLETRANSLATE(B12429, ""fr"", ""en"")"),"Shoes slip sole with WHITE WHITE KITCHEN Requested for the workshop of the Technical High School, these shoes are the right color and as a bonus, they are SAFETY (it's a good idea, since in kitchen, there are ... hazardous objects contending that may fall"&amp;" on the feet). I recommend ! they are fairly easy to put on, for a cooking class, it will be fine.")</f>
        <v>Shoes slip sole with WHITE WHITE KITCHEN Requested for the workshop of the Technical High School, these shoes are the right color and as a bonus, they are SAFETY (it's a good idea, since in kitchen, there are ... hazardous objects contending that may fall on the feet). I recommend ! they are fairly easy to put on, for a cooking class, it will be fine.</v>
      </c>
    </row>
    <row r="12430">
      <c r="A12430" s="1">
        <v>5.0</v>
      </c>
      <c r="B12430" s="1" t="s">
        <v>12222</v>
      </c>
      <c r="C12430" t="str">
        <f>IFERROR(__xludf.DUMMYFUNCTION("GOOGLETRANSLATE(B12430, ""fr"", ""en"")"),"Magnificent! Very beautiful necklace. I love her so much. The simple and generous package is not mauvais.de the ocean is beautiful. &amp; Nbsp;")</f>
        <v>Magnificent! Very beautiful necklace. I love her so much. The simple and generous package is not mauvais.de the ocean is beautiful. &amp; Nbsp;</v>
      </c>
    </row>
    <row r="12431">
      <c r="A12431" s="1">
        <v>5.0</v>
      </c>
      <c r="B12431" s="1" t="s">
        <v>12223</v>
      </c>
      <c r="C12431" t="str">
        <f>IFERROR(__xludf.DUMMYFUNCTION("GOOGLETRANSLATE(B12431, ""fr"", ""en"")"),"Oil The smell is a bit small for my taste")</f>
        <v>Oil The smell is a bit small for my taste</v>
      </c>
    </row>
    <row r="12432">
      <c r="A12432" s="1">
        <v>5.0</v>
      </c>
      <c r="B12432" s="1" t="s">
        <v>12224</v>
      </c>
      <c r="C12432" t="str">
        <f>IFERROR(__xludf.DUMMYFUNCTION("GOOGLETRANSLATE(B12432, ""fr"", ""en"")"),"Advent quality service to our babies Our boudechou was excited about this new bib Very ergonomic he looks just like my breast where success can congratulate Advent research teams to this discovery and a bib still solid. Impeccable after falling a meter")</f>
        <v>Advent quality service to our babies Our boudechou was excited about this new bib Very ergonomic he looks just like my breast where success can congratulate Advent research teams to this discovery and a bib still solid. Impeccable after falling a meter</v>
      </c>
    </row>
    <row r="12433">
      <c r="A12433" s="1">
        <v>5.0</v>
      </c>
      <c r="B12433" s="1" t="s">
        <v>12225</v>
      </c>
      <c r="C12433" t="str">
        <f>IFERROR(__xludf.DUMMYFUNCTION("GOOGLETRANSLATE(B12433, ""fr"", ""en"")"),"Nickel as usual with housing all day")</f>
        <v>Nickel as usual with housing all day</v>
      </c>
    </row>
    <row r="12434">
      <c r="A12434" s="1">
        <v>5.0</v>
      </c>
      <c r="B12434" s="1" t="s">
        <v>12226</v>
      </c>
      <c r="C12434" t="str">
        <f>IFERROR(__xludf.DUMMYFUNCTION("GOOGLETRANSLATE(B12434, ""fr"", ""en"")"),"Super Strap")</f>
        <v>Super Strap</v>
      </c>
    </row>
    <row r="12435">
      <c r="A12435" s="1">
        <v>5.0</v>
      </c>
      <c r="B12435" s="1" t="s">
        <v>5746</v>
      </c>
      <c r="C12435" t="str">
        <f>IFERROR(__xludf.DUMMYFUNCTION("GOOGLETRANSLATE(B12435, ""fr"", ""en"")"),"Very classy. But take 2 sizes above. Beautiful! just pay attention to size: I play in French size 39 and ordered EUR 41-42. And it's perfect.")</f>
        <v>Very classy. But take 2 sizes above. Beautiful! just pay attention to size: I play in French size 39 and ordered EUR 41-42. And it's perfect.</v>
      </c>
    </row>
    <row r="12436">
      <c r="A12436" s="1">
        <v>5.0</v>
      </c>
      <c r="B12436" s="1" t="s">
        <v>12227</v>
      </c>
      <c r="C12436" t="str">
        <f>IFERROR(__xludf.DUMMYFUNCTION("GOOGLETRANSLATE(B12436, ""fr"", ""en"")"),"After using the perfect versionsa déboiter follow after, not very hygienic No. easy to do, this version is really ideal for transporting and storing baby milk.")</f>
        <v>After using the perfect versionsa déboiter follow after, not very hygienic No. easy to do, this version is really ideal for transporting and storing baby milk.</v>
      </c>
    </row>
    <row r="12437">
      <c r="A12437" s="1">
        <v>5.0</v>
      </c>
      <c r="B12437" s="1" t="s">
        <v>12228</v>
      </c>
      <c r="C12437" t="str">
        <f>IFERROR(__xludf.DUMMYFUNCTION("GOOGLETRANSLATE(B12437, ""fr"", ""en"")"),"Great !! Shoes for my son, it was the first time for him Dr.Martens! Delighted at the shoes, normal size. I recommend !!")</f>
        <v>Great !! Shoes for my son, it was the first time for him Dr.Martens! Delighted at the shoes, normal size. I recommend !!</v>
      </c>
    </row>
    <row r="12438">
      <c r="A12438" s="1">
        <v>5.0</v>
      </c>
      <c r="B12438" s="1" t="s">
        <v>12229</v>
      </c>
      <c r="C12438" t="str">
        <f>IFERROR(__xludf.DUMMYFUNCTION("GOOGLETRANSLATE(B12438, ""fr"", ""en"")"),"A full immersion. Immersion is just crazy, it can be downright mean we're in a bubble so insulation is present, in terms of sounds already excellent insulation further strengthens the quality audio..c'est a 5/5! In terms of the BT connection, they are dir"&amp;"ectly connected to my device so it's no fault of my ribs. Needless to debate the value that is more than good.")</f>
        <v>A full immersion. Immersion is just crazy, it can be downright mean we're in a bubble so insulation is present, in terms of sounds already excellent insulation further strengthens the quality audio..c'est a 5/5! In terms of the BT connection, they are directly connected to my device so it's no fault of my ribs. Needless to debate the value that is more than good.</v>
      </c>
    </row>
    <row r="12439">
      <c r="A12439" s="1">
        <v>5.0</v>
      </c>
      <c r="B12439" s="1" t="s">
        <v>12230</v>
      </c>
      <c r="C12439" t="str">
        <f>IFERROR(__xludf.DUMMYFUNCTION("GOOGLETRANSLATE(B12439, ""fr"", ""en"")"),"Not surprisingly, the top! Size as expected, very comfortable fit. The reference of the sport sock with Nike.")</f>
        <v>Not surprisingly, the top! Size as expected, very comfortable fit. The reference of the sport sock with Nike.</v>
      </c>
    </row>
    <row r="12440">
      <c r="A12440" s="1">
        <v>5.0</v>
      </c>
      <c r="B12440" s="1" t="s">
        <v>12231</v>
      </c>
      <c r="C12440" t="str">
        <f>IFERROR(__xludf.DUMMYFUNCTION("GOOGLETRANSLATE(B12440, ""fr"", ""en"")"),"A Quality not at the top but some concern over functional watch with the opening of the valve good item to add style to a given")</f>
        <v>A Quality not at the top but some concern over functional watch with the opening of the valve good item to add style to a given</v>
      </c>
    </row>
    <row r="12441">
      <c r="A12441" s="1">
        <v>2.0</v>
      </c>
      <c r="B12441" s="1" t="s">
        <v>12232</v>
      </c>
      <c r="C12441" t="str">
        <f>IFERROR(__xludf.DUMMYFUNCTION("GOOGLETRANSLATE(B12441, ""fr"", ""en"")"),"I do not support these patches stick well, but I have them removed after 5 minutes because I feel burn some and irritation.")</f>
        <v>I do not support these patches stick well, but I have them removed after 5 minutes because I feel burn some and irritation.</v>
      </c>
    </row>
    <row r="12442">
      <c r="A12442" s="1">
        <v>1.0</v>
      </c>
      <c r="B12442" s="1" t="s">
        <v>12233</v>
      </c>
      <c r="C12442" t="str">
        <f>IFERROR(__xludf.DUMMYFUNCTION("GOOGLETRANSLATE(B12442, ""fr"", ""en"")"),"Aesthetics without proven effectiveness aesthetic, but without interest and proven effectiveness")</f>
        <v>Aesthetics without proven effectiveness aesthetic, but without interest and proven effectiveness</v>
      </c>
    </row>
    <row r="12443">
      <c r="A12443" s="1">
        <v>1.0</v>
      </c>
      <c r="B12443" s="1" t="s">
        <v>12234</v>
      </c>
      <c r="C12443" t="str">
        <f>IFERROR(__xludf.DUMMYFUNCTION("GOOGLETRANSLATE(B12443, ""fr"", ""en"")"),"Misdescriptions Disappointed !! no information describing the hole in the middle that does not at all on this type of broom ..10 lost € not anything !! And now it has been opened !!")</f>
        <v>Misdescriptions Disappointed !! no information describing the hole in the middle that does not at all on this type of broom ..10 lost € not anything !! And now it has been opened !!</v>
      </c>
    </row>
    <row r="12444">
      <c r="A12444" s="1">
        <v>3.0</v>
      </c>
      <c r="B12444" s="1" t="s">
        <v>12235</v>
      </c>
      <c r="C12444" t="str">
        <f>IFERROR(__xludf.DUMMYFUNCTION("GOOGLETRANSLATE(B12444, ""fr"", ""en"")"),"It is very precise Pleasantly surprised by its accuracy. aesthetics and grip side is not a wonder, but the price is very good. Eventually you have to buy a 200g weight for calibration.")</f>
        <v>It is very precise Pleasantly surprised by its accuracy. aesthetics and grip side is not a wonder, but the price is very good. Eventually you have to buy a 200g weight for calibration.</v>
      </c>
    </row>
    <row r="12445">
      <c r="A12445" s="1">
        <v>3.0</v>
      </c>
      <c r="B12445" s="1" t="s">
        <v>12236</v>
      </c>
      <c r="C12445" t="str">
        <f>IFERROR(__xludf.DUMMYFUNCTION("GOOGLETRANSLATE(B12445, ""fr"", ""en"")"),"Size small small size Warning")</f>
        <v>Size small small size Warning</v>
      </c>
    </row>
    <row r="12446">
      <c r="A12446" s="1">
        <v>4.0</v>
      </c>
      <c r="B12446" s="1" t="s">
        <v>12237</v>
      </c>
      <c r="C12446" t="str">
        <f>IFERROR(__xludf.DUMMYFUNCTION("GOOGLETRANSLATE(B12446, ""fr"", ""en"")"),"very nice but timberland council to take a size below 38 must take 37 beautiful timberland but council to take a size below 38 must take 37 but very good product I advise you to vendeure")</f>
        <v>very nice but timberland council to take a size below 38 must take 37 beautiful timberland but council to take a size below 38 must take 37 but very good product I advise you to vendeure</v>
      </c>
    </row>
    <row r="12447">
      <c r="A12447" s="1">
        <v>4.0</v>
      </c>
      <c r="B12447" s="1" t="s">
        <v>12238</v>
      </c>
      <c r="C12447" t="str">
        <f>IFERROR(__xludf.DUMMYFUNCTION("GOOGLETRANSLATE(B12447, ""fr"", ""en"")"),"Very good shoe color is top. It's pretty comfortable, although I think I'll take the one size up from what I usually take to be more comfortable.")</f>
        <v>Very good shoe color is top. It's pretty comfortable, although I think I'll take the one size up from what I usually take to be more comfortable.</v>
      </c>
    </row>
    <row r="12448">
      <c r="A12448" s="1">
        <v>4.0</v>
      </c>
      <c r="B12448" s="1" t="s">
        <v>12239</v>
      </c>
      <c r="C12448" t="str">
        <f>IFERROR(__xludf.DUMMYFUNCTION("GOOGLETRANSLATE(B12448, ""fr"", ""en"")"),"Very good product, not disappointed Very nice product, but the levels of the shoulder there is no protection to put on shoulder damage otherwise very bi conrespont my expectations. Very well")</f>
        <v>Very good product, not disappointed Very nice product, but the levels of the shoulder there is no protection to put on shoulder damage otherwise very bi conrespont my expectations. Very well</v>
      </c>
    </row>
    <row r="12449">
      <c r="A12449" s="1">
        <v>4.0</v>
      </c>
      <c r="B12449" s="1" t="s">
        <v>12240</v>
      </c>
      <c r="C12449" t="str">
        <f>IFERROR(__xludf.DUMMYFUNCTION("GOOGLETRANSLATE(B12449, ""fr"", ""en"")"),"Well cut the person to whom I have offered is a man who is not very big, so, he did enjoy this sweatshirt that does not fall disproportionately on the thighs. Simple, it is perfect for mid-season.")</f>
        <v>Well cut the person to whom I have offered is a man who is not very big, so, he did enjoy this sweatshirt that does not fall disproportionately on the thighs. Simple, it is perfect for mid-season.</v>
      </c>
    </row>
    <row r="12450">
      <c r="A12450" s="1">
        <v>5.0</v>
      </c>
      <c r="B12450" s="1" t="s">
        <v>12241</v>
      </c>
      <c r="C12450" t="str">
        <f>IFERROR(__xludf.DUMMYFUNCTION("GOOGLETRANSLATE(B12450, ""fr"", ""en"")"),"Price / quality delivery and perfect. Very good value for money. Good battery life. Delivered in 24 hours instead of three days announced. top customer service.")</f>
        <v>Price / quality delivery and perfect. Very good value for money. Good battery life. Delivered in 24 hours instead of three days announced. top customer service.</v>
      </c>
    </row>
    <row r="12451">
      <c r="A12451" s="1">
        <v>5.0</v>
      </c>
      <c r="B12451" s="1" t="s">
        <v>12242</v>
      </c>
      <c r="C12451" t="str">
        <f>IFERROR(__xludf.DUMMYFUNCTION("GOOGLETRANSLATE(B12451, ""fr"", ""en"")"),"Fast and consistent Ordered and delivered the next day. Compliant product. BRAVO")</f>
        <v>Fast and consistent Ordered and delivered the next day. Compliant product. BRAVO</v>
      </c>
    </row>
    <row r="12452">
      <c r="A12452" s="1">
        <v>5.0</v>
      </c>
      <c r="B12452" s="1" t="s">
        <v>12243</v>
      </c>
      <c r="C12452" t="str">
        <f>IFERROR(__xludf.DUMMYFUNCTION("GOOGLETRANSLATE(B12452, ""fr"", ""en"")"),"Socks good solid quality, corresponds well to the sizes described. but beware, they are thick enough so too warm for the season.")</f>
        <v>Socks good solid quality, corresponds well to the sizes described. but beware, they are thick enough so too warm for the season.</v>
      </c>
    </row>
    <row r="12453">
      <c r="A12453" s="1">
        <v>5.0</v>
      </c>
      <c r="B12453" s="1" t="s">
        <v>12244</v>
      </c>
      <c r="C12453" t="str">
        <f>IFERROR(__xludf.DUMMYFUNCTION("GOOGLETRANSLATE(B12453, ""fr"", ""en"")"),"A beautiful and excellent machine tea Beautiful tea machine, I installed beside the coffee machine, the design is simple, I love. Very easy to use, fully automatic, it will solve alone the water temperature and the amount needed to each capsule. I tasted "&amp;"the casi all caps proposed, the choice is sufficient and the tea is very good. The machine is made for people like me who do not want to bother to boil water, infuse his bag. It is not essential but it is faster and simpler than the usual way of drinking "&amp;"tea.")</f>
        <v>A beautiful and excellent machine tea Beautiful tea machine, I installed beside the coffee machine, the design is simple, I love. Very easy to use, fully automatic, it will solve alone the water temperature and the amount needed to each capsule. I tasted the casi all caps proposed, the choice is sufficient and the tea is very good. The machine is made for people like me who do not want to bother to boil water, infuse his bag. It is not essential but it is faster and simpler than the usual way of drinking tea.</v>
      </c>
    </row>
    <row r="12454">
      <c r="A12454" s="1">
        <v>5.0</v>
      </c>
      <c r="B12454" s="1" t="s">
        <v>12245</v>
      </c>
      <c r="C12454" t="str">
        <f>IFERROR(__xludf.DUMMYFUNCTION("GOOGLETRANSLATE(B12454, ""fr"", ""en"")"),"Great headphones Great product! They very similar to those of Apple but at a bargain.")</f>
        <v>Great headphones Great product! They very similar to those of Apple but at a bargain.</v>
      </c>
    </row>
    <row r="12455">
      <c r="A12455" s="1">
        <v>5.0</v>
      </c>
      <c r="B12455" s="1" t="s">
        <v>12246</v>
      </c>
      <c r="C12455" t="str">
        <f>IFERROR(__xludf.DUMMYFUNCTION("GOOGLETRANSLATE(B12455, ""fr"", ""en"")"),"Beautiful basketball fast delivery very good quality basketball except that I usually size 37.5 Nike in basketball and I took 38.5 unpeu tight but I should take 39")</f>
        <v>Beautiful basketball fast delivery very good quality basketball except that I usually size 37.5 Nike in basketball and I took 38.5 unpeu tight but I should take 39</v>
      </c>
    </row>
    <row r="12456">
      <c r="A12456" s="1">
        <v>5.0</v>
      </c>
      <c r="B12456" s="1" t="s">
        <v>12247</v>
      </c>
      <c r="C12456" t="str">
        <f>IFERROR(__xludf.DUMMYFUNCTION("GOOGLETRANSLATE(B12456, ""fr"", ""en"")"),"Very good Super Article applicable price, just have to stay connected is a bit annoying, very nice for muscle pain, blue light flashes on the remote control after an hour because you have to turn it off, it can be reconnect after 5 minutes .really happy i"&amp;"ndeed I recommended to my cousin, my aunt, and there will be one other command.")</f>
        <v>Very good Super Article applicable price, just have to stay connected is a bit annoying, very nice for muscle pain, blue light flashes on the remote control after an hour because you have to turn it off, it can be reconnect after 5 minutes .really happy indeed I recommended to my cousin, my aunt, and there will be one other command.</v>
      </c>
    </row>
    <row r="12457">
      <c r="A12457" s="1">
        <v>5.0</v>
      </c>
      <c r="B12457" s="1" t="s">
        <v>12248</v>
      </c>
      <c r="C12457" t="str">
        <f>IFERROR(__xludf.DUMMYFUNCTION("GOOGLETRANSLATE(B12457, ""fr"", ""en"")"),"Unbeatable value for money Unbeatable value for money on Amazon")</f>
        <v>Unbeatable value for money Unbeatable value for money on Amazon</v>
      </c>
    </row>
    <row r="12458">
      <c r="A12458" s="1">
        <v>5.0</v>
      </c>
      <c r="B12458" s="1" t="s">
        <v>12249</v>
      </c>
      <c r="C12458" t="str">
        <f>IFERROR(__xludf.DUMMYFUNCTION("GOOGLETRANSLATE(B12458, ""fr"", ""en"")"),"I love it I love it're great in it. They sizes great. Just like the picture! The colors are the same! I recommend")</f>
        <v>I love it I love it're great in it. They sizes great. Just like the picture! The colors are the same! I recommend</v>
      </c>
    </row>
    <row r="12459">
      <c r="A12459" s="1">
        <v>5.0</v>
      </c>
      <c r="B12459" s="1" t="s">
        <v>12250</v>
      </c>
      <c r="C12459" t="str">
        <f>IFERROR(__xludf.DUMMYFUNCTION("GOOGLETRANSLATE(B12459, ""fr"", ""en"")"),"Very design Beautiful toaster, neither too large nor too small. Very nice on the work plan seems to quality, fair price.")</f>
        <v>Very design Beautiful toaster, neither too large nor too small. Very nice on the work plan seems to quality, fair price.</v>
      </c>
    </row>
    <row r="12460">
      <c r="A12460" s="1">
        <v>5.0</v>
      </c>
      <c r="B12460" s="1" t="s">
        <v>12251</v>
      </c>
      <c r="C12460" t="str">
        <f>IFERROR(__xludf.DUMMYFUNCTION("GOOGLETRANSLATE(B12460, ""fr"", ""en"")"),"Perfect Very nice article. I recommand it. After several washings, it does not deform")</f>
        <v>Perfect Very nice article. I recommand it. After several washings, it does not deform</v>
      </c>
    </row>
    <row r="12461">
      <c r="A12461" s="1">
        <v>5.0</v>
      </c>
      <c r="B12461" s="1" t="s">
        <v>12252</v>
      </c>
      <c r="C12461" t="str">
        <f>IFERROR(__xludf.DUMMYFUNCTION("GOOGLETRANSLATE(B12461, ""fr"", ""en"")"),"adapts very easily with the headphone output of television. I use it to watch TV without disturbing my voisinage.Je am completely satisfied with this product that allows me to watch TV without any external interference .very good product.")</f>
        <v>adapts very easily with the headphone output of television. I use it to watch TV without disturbing my voisinage.Je am completely satisfied with this product that allows me to watch TV without any external interference .very good product.</v>
      </c>
    </row>
    <row r="12462">
      <c r="A12462" s="1">
        <v>5.0</v>
      </c>
      <c r="B12462" s="1" t="s">
        <v>12253</v>
      </c>
      <c r="C12462" t="str">
        <f>IFERROR(__xludf.DUMMYFUNCTION("GOOGLETRANSLATE(B12462, ""fr"", ""en"")"),"practice proper size can store the necessary")</f>
        <v>practice proper size can store the necessary</v>
      </c>
    </row>
    <row r="12463">
      <c r="A12463" s="1">
        <v>5.0</v>
      </c>
      <c r="B12463" s="1" t="s">
        <v>12254</v>
      </c>
      <c r="C12463" t="str">
        <f>IFERROR(__xludf.DUMMYFUNCTION("GOOGLETRANSLATE(B12463, ""fr"", ""en"")"),"Connect your SmartLav / SmartLav + everywhere Having acquired the SmartLav More at Rode, I needed this adapter to connect to my camera. Indeed, base, this one is for smartphones, the latter being equipped with TRRS taken, so you have this adapter to conne"&amp;"ct the microphone jacks of cameras or other recording systems (which are themselves equipped with outlets TRS) Done his job perfectly!")</f>
        <v>Connect your SmartLav / SmartLav + everywhere Having acquired the SmartLav More at Rode, I needed this adapter to connect to my camera. Indeed, base, this one is for smartphones, the latter being equipped with TRRS taken, so you have this adapter to connect the microphone jacks of cameras or other recording systems (which are themselves equipped with outlets TRS) Done his job perfectly!</v>
      </c>
    </row>
    <row r="12464">
      <c r="A12464" s="1">
        <v>5.0</v>
      </c>
      <c r="B12464" s="1" t="s">
        <v>12255</v>
      </c>
      <c r="C12464" t="str">
        <f>IFERROR(__xludf.DUMMYFUNCTION("GOOGLETRANSLATE(B12464, ""fr"", ""en"")"),"PACK HP 953 XL HP ORIGINAL We bought this original pack ""genuine"", due to the absence of over-packaging, pricing, and the difficulty to find in France")</f>
        <v>PACK HP 953 XL HP ORIGINAL We bought this original pack "genuine", due to the absence of over-packaging, pricing, and the difficulty to find in France</v>
      </c>
    </row>
    <row r="12465">
      <c r="A12465" s="1">
        <v>2.0</v>
      </c>
      <c r="B12465" s="1" t="s">
        <v>12256</v>
      </c>
      <c r="C12465" t="str">
        <f>IFERROR(__xludf.DUMMYFUNCTION("GOOGLETRANSLATE(B12465, ""fr"", ""en"")"),"Disappointed My wife is really disappointed with this soap, it does not remove tasks (following the instructions and even by standing longer) I regret this purchase.")</f>
        <v>Disappointed My wife is really disappointed with this soap, it does not remove tasks (following the instructions and even by standing longer) I regret this purchase.</v>
      </c>
    </row>
    <row r="12466">
      <c r="A12466" s="1">
        <v>1.0</v>
      </c>
      <c r="B12466" s="1" t="s">
        <v>12257</v>
      </c>
      <c r="C12466" t="str">
        <f>IFERROR(__xludf.DUMMYFUNCTION("GOOGLETRANSLATE(B12466, ""fr"", ""en"")"),"Stink I bought this tea a very competitive price a year ago. It is without saying plastic is safe. But it exudes a foul odor. I tried vinegar, tea, coffee, lemon, baking ... nothing helps, she feels bad, even after many months of use! Me feels that you sh"&amp;"ould go elsewhere!")</f>
        <v>Stink I bought this tea a very competitive price a year ago. It is without saying plastic is safe. But it exudes a foul odor. I tried vinegar, tea, coffee, lemon, baking ... nothing helps, she feels bad, even after many months of use! Me feels that you should go elsewhere!</v>
      </c>
    </row>
    <row r="12467">
      <c r="A12467" s="1">
        <v>1.0</v>
      </c>
      <c r="B12467" s="1" t="s">
        <v>12258</v>
      </c>
      <c r="C12467" t="str">
        <f>IFERROR(__xludf.DUMMYFUNCTION("GOOGLETRANSLATE(B12467, ""fr"", ""en"")"),"defective cartridge or printer problems? Always happy to present my ink cartridge purchases except for this last time. Problem on this cartridge, almost impossible to print, error almost permanent, it's annoying, I hesitate between buy a new cartridge or "&amp;"change the printer!")</f>
        <v>defective cartridge or printer problems? Always happy to present my ink cartridge purchases except for this last time. Problem on this cartridge, almost impossible to print, error almost permanent, it's annoying, I hesitate between buy a new cartridge or change the printer!</v>
      </c>
    </row>
    <row r="12468">
      <c r="A12468" s="1">
        <v>3.0</v>
      </c>
      <c r="B12468" s="1" t="s">
        <v>12259</v>
      </c>
      <c r="C12468" t="str">
        <f>IFERROR(__xludf.DUMMYFUNCTION("GOOGLETRANSLATE(B12468, ""fr"", ""en"")"),"Ideal for walking not running Comfortable")</f>
        <v>Ideal for walking not running Comfortable</v>
      </c>
    </row>
    <row r="12469">
      <c r="A12469" s="1">
        <v>4.0</v>
      </c>
      <c r="B12469" s="1" t="s">
        <v>12260</v>
      </c>
      <c r="C12469" t="str">
        <f>IFERROR(__xludf.DUMMYFUNCTION("GOOGLETRANSLATE(B12469, ""fr"", ""en"")"),"NICE Comfortable to wear - ras")</f>
        <v>NICE Comfortable to wear - ras</v>
      </c>
    </row>
    <row r="12470">
      <c r="A12470" s="1">
        <v>4.0</v>
      </c>
      <c r="B12470" s="1" t="s">
        <v>12261</v>
      </c>
      <c r="C12470" t="str">
        <f>IFERROR(__xludf.DUMMYFUNCTION("GOOGLETRANSLATE(B12470, ""fr"", ""en"")"),"good product good quality product")</f>
        <v>good product good quality product</v>
      </c>
    </row>
    <row r="12471">
      <c r="A12471" s="1">
        <v>4.0</v>
      </c>
      <c r="B12471" s="1" t="s">
        <v>12262</v>
      </c>
      <c r="C12471" t="str">
        <f>IFERROR(__xludf.DUMMYFUNCTION("GOOGLETRANSLATE(B12471, ""fr"", ""en"")"),"Good product Beautiful beautiful color pen pastel")</f>
        <v>Good product Beautiful beautiful color pen pastel</v>
      </c>
    </row>
    <row r="12472">
      <c r="A12472" s="1">
        <v>4.0</v>
      </c>
      <c r="B12472" s="1" t="s">
        <v>12263</v>
      </c>
      <c r="C12472" t="str">
        <f>IFERROR(__xludf.DUMMYFUNCTION("GOOGLETRANSLATE(B12472, ""fr"", ""en"")"),"Article top comfort Super quality and pleasant to wear color respected comfortable thong 2 positions shoes handy to remove rapdement shoes without bending down")</f>
        <v>Article top comfort Super quality and pleasant to wear color respected comfortable thong 2 positions shoes handy to remove rapdement shoes without bending down</v>
      </c>
    </row>
    <row r="12473">
      <c r="A12473" s="1">
        <v>4.0</v>
      </c>
      <c r="B12473" s="1" t="s">
        <v>12264</v>
      </c>
      <c r="C12473" t="str">
        <f>IFERROR(__xludf.DUMMYFUNCTION("GOOGLETRANSLATE(B12473, ""fr"", ""en"")"),"paper Bag Gift")</f>
        <v>paper Bag Gift</v>
      </c>
    </row>
    <row r="12474">
      <c r="A12474" s="1">
        <v>5.0</v>
      </c>
      <c r="B12474" s="1" t="s">
        <v>12265</v>
      </c>
      <c r="C12474" t="str">
        <f>IFERROR(__xludf.DUMMYFUNCTION("GOOGLETRANSLATE(B12474, ""fr"", ""en"")"),"Super Tetines ideal, as the Advent bottles that are perfect after breastfeeding.")</f>
        <v>Super Tetines ideal, as the Advent bottles that are perfect after breastfeeding.</v>
      </c>
    </row>
    <row r="12475">
      <c r="A12475" s="1">
        <v>5.0</v>
      </c>
      <c r="B12475" s="1" t="s">
        <v>12266</v>
      </c>
      <c r="C12475" t="str">
        <f>IFERROR(__xludf.DUMMYFUNCTION("GOOGLETRANSLATE(B12475, ""fr"", ""en"")"),"Super Perfect very sturdy bag farewell the bag too heavy cracks and leaks and hose connections do not hurt the hands")</f>
        <v>Super Perfect very sturdy bag farewell the bag too heavy cracks and leaks and hose connections do not hurt the hands</v>
      </c>
    </row>
    <row r="12476">
      <c r="A12476" s="1">
        <v>5.0</v>
      </c>
      <c r="B12476" s="1" t="s">
        <v>12267</v>
      </c>
      <c r="C12476" t="str">
        <f>IFERROR(__xludf.DUMMYFUNCTION("GOOGLETRANSLATE(B12476, ""fr"", ""en"")"),"great product, clear and powerful sound without active control I had the chance to test the product for free. I have many hats, I use them all day, and I use it a lot. I travel, I phone a lot, and I listen to lots of music. This helmet is *** NOT *** acti"&amp;"ve control helmet. you must know it! The active control is the system that records ambient noise and creates an ""anti-noise"" (it works well for low frequencies, not at all for the treble and not for vibrations you feel throughout the body ). I say this "&amp;"because Bose has shown in recent years with its excellent QC30 (recently replaced by the QC35); then obviously some will say ""it's less""; I confess to having had a QC30 in the past (unfortunately worn, especially the battery), it was really good ... but"&amp;" it's also huge. To have quality active control, it must be an in-ear (helmet that fits in the ear), a large helmet. It works less well on intermediate sizes. This product is a supra-aural (ie it ""rests"" on the ears) and not a circum-aural (which is rig"&amp;"ht round the pinna) and is significantly smaller, lighter, more convenient transporting the QC35. It is shown folded on one of the pictures. It's going to air travel, for me this is the maximum size; I just tested it on a long flight and what is remarkabl"&amp;"e is the maximum sound power, very high. The sound quality is not better than my old-ear Shure, but the comfort is much better! The battery life is excellent, actually. I regret that we can not change the battery (which will probably last 3 or 4 years any"&amp;"way, so not that bad). There is a cable provided in case of failure of the Bluetooth; there as a regret, side diameter helmet is not standard (2.5mm) so not easy to change the cable if lost. The USB cable (without plug) is very short, so it's going if you"&amp;" load on a computer, but on sector or plane, it's too short. Pairing is easy, my android told me the battery level, everything is quick and easy. The volume control is right. sound quality side and micro is very good, but it's still not as good as my Senn"&amp;"heiser Game One, wired, huge and heavy, but still leads to my sedentary use (listen is better, the return also, the microphone is much higher). In mobile, the Bose wins, hands down, and now accompanies me everywhere! It is, of course, on the high end anyw"&amp;"ay: If you use a headset currently provided free by phone dealer, or worse wireless Apple stuff, you completely hallucinating quality of this product. In the end I put the max rating and I recommend this product because of course it is not perfect, but in"&amp;" this size range is at the top, and the price is quite reasonable for this quality.")</f>
        <v>great product, clear and powerful sound without active control I had the chance to test the product for free. I have many hats, I use them all day, and I use it a lot. I travel, I phone a lot, and I listen to lots of music. This helmet is *** NOT *** active control helmet. you must know it! The active control is the system that records ambient noise and creates an "anti-noise" (it works well for low frequencies, not at all for the treble and not for vibrations you feel throughout the body ). I say this because Bose has shown in recent years with its excellent QC30 (recently replaced by the QC35); then obviously some will say "it's less"; I confess to having had a QC30 in the past (unfortunately worn, especially the battery), it was really good ... but it's also huge. To have quality active control, it must be an in-ear (helmet that fits in the ear), a large helmet. It works less well on intermediate sizes. This product is a supra-aural (ie it "rests" on the ears) and not a circum-aural (which is right round the pinna) and is significantly smaller, lighter, more convenient transporting the QC35. It is shown folded on one of the pictures. It's going to air travel, for me this is the maximum size; I just tested it on a long flight and what is remarkable is the maximum sound power, very high. The sound quality is not better than my old-ear Shure, but the comfort is much better! The battery life is excellent, actually. I regret that we can not change the battery (which will probably last 3 or 4 years anyway, so not that bad). There is a cable provided in case of failure of the Bluetooth; there as a regret, side diameter helmet is not standard (2.5mm) so not easy to change the cable if lost. The USB cable (without plug) is very short, so it's going if you load on a computer, but on sector or plane, it's too short. Pairing is easy, my android told me the battery level, everything is quick and easy. The volume control is right. sound quality side and micro is very good, but it's still not as good as my Sennheiser Game One, wired, huge and heavy, but still leads to my sedentary use (listen is better, the return also, the microphone is much higher). In mobile, the Bose wins, hands down, and now accompanies me everywhere! It is, of course, on the high end anyway: If you use a headset currently provided free by phone dealer, or worse wireless Apple stuff, you completely hallucinating quality of this product. In the end I put the max rating and I recommend this product because of course it is not perfect, but in this size range is at the top, and the price is quite reasonable for this quality.</v>
      </c>
    </row>
    <row r="12477">
      <c r="A12477" s="1">
        <v>5.0</v>
      </c>
      <c r="B12477" s="1" t="s">
        <v>12268</v>
      </c>
      <c r="C12477" t="str">
        <f>IFERROR(__xludf.DUMMYFUNCTION("GOOGLETRANSLATE(B12477, ""fr"", ""en"")"),"Basketball flexible Very nice this trainer, arrived ahead of schedule. My daughter was conquered.")</f>
        <v>Basketball flexible Very nice this trainer, arrived ahead of schedule. My daughter was conquered.</v>
      </c>
    </row>
    <row r="12478">
      <c r="A12478" s="1">
        <v>5.0</v>
      </c>
      <c r="B12478" s="1" t="s">
        <v>12269</v>
      </c>
      <c r="C12478" t="str">
        <f>IFERROR(__xludf.DUMMYFUNCTION("GOOGLETRANSLATE(B12478, ""fr"", ""en"")"),"PERFECT PRINTER INK CARTRIDGE CANON MG2550- COMPATIBILITY NO PROBLEM")</f>
        <v>PERFECT PRINTER INK CARTRIDGE CANON MG2550- COMPATIBILITY NO PROBLEM</v>
      </c>
    </row>
    <row r="12479">
      <c r="A12479" s="1">
        <v>5.0</v>
      </c>
      <c r="B12479" s="1" t="s">
        <v>12270</v>
      </c>
      <c r="C12479" t="str">
        <f>IFERROR(__xludf.DUMMYFUNCTION("GOOGLETRANSLATE(B12479, ""fr"", ""en"")"),"speed Thanks")</f>
        <v>speed Thanks</v>
      </c>
    </row>
    <row r="12480">
      <c r="A12480" s="1">
        <v>5.0</v>
      </c>
      <c r="B12480" s="1" t="s">
        <v>12271</v>
      </c>
      <c r="C12480" t="str">
        <f>IFERROR(__xludf.DUMMYFUNCTION("GOOGLETRANSLATE(B12480, ""fr"", ""en"")"),"Perfect !!! I ordered this for my good in basketball, and that's the case with this model especially !!!")</f>
        <v>Perfect !!! I ordered this for my good in basketball, and that's the case with this model especially !!!</v>
      </c>
    </row>
    <row r="12481">
      <c r="A12481" s="1">
        <v>5.0</v>
      </c>
      <c r="B12481" s="1" t="s">
        <v>12272</v>
      </c>
      <c r="C12481" t="str">
        <f>IFERROR(__xludf.DUMMYFUNCTION("GOOGLETRANSLATE(B12481, ""fr"", ""en"")"),"Baking soda and Practice with multiple utilities, it is a product which we can not live without even the laundry.")</f>
        <v>Baking soda and Practice with multiple utilities, it is a product which we can not live without even the laundry.</v>
      </c>
    </row>
    <row r="12482">
      <c r="A12482" s="1">
        <v>5.0</v>
      </c>
      <c r="B12482" s="1" t="s">
        <v>12273</v>
      </c>
      <c r="C12482" t="str">
        <f>IFERROR(__xludf.DUMMYFUNCTION("GOOGLETRANSLATE(B12482, ""fr"", ""en"")"),"Too cute and practical fan dedicated bottles. I find the practical use and formatting magic triangle (possible to lay on the couch without falling is strong right?) I love the patterns of the fox and hedgehog")</f>
        <v>Too cute and practical fan dedicated bottles. I find the practical use and formatting magic triangle (possible to lay on the couch without falling is strong right?) I love the patterns of the fox and hedgehog</v>
      </c>
    </row>
    <row r="12483">
      <c r="A12483" s="1">
        <v>5.0</v>
      </c>
      <c r="B12483" s="1" t="s">
        <v>12274</v>
      </c>
      <c r="C12483" t="str">
        <f>IFERROR(__xludf.DUMMYFUNCTION("GOOGLETRANSLATE(B12483, ""fr"", ""en"")"),"Bracelet Beautiful bracelet stones have a beautiful color and I think the bracelet is solid .I recommend it. Thank you.")</f>
        <v>Bracelet Beautiful bracelet stones have a beautiful color and I think the bracelet is solid .I recommend it. Thank you.</v>
      </c>
    </row>
    <row r="12484">
      <c r="A12484" s="1">
        <v>5.0</v>
      </c>
      <c r="B12484" s="1" t="s">
        <v>12275</v>
      </c>
      <c r="C12484" t="str">
        <f>IFERROR(__xludf.DUMMYFUNCTION("GOOGLETRANSLATE(B12484, ""fr"", ""en"")"),"Very satifaite Super Pack, very complete to recommend ++++")</f>
        <v>Very satifaite Super Pack, very complete to recommend ++++</v>
      </c>
    </row>
    <row r="12485">
      <c r="A12485" s="1">
        <v>5.0</v>
      </c>
      <c r="B12485" s="1" t="s">
        <v>12276</v>
      </c>
      <c r="C12485" t="str">
        <f>IFERROR(__xludf.DUMMYFUNCTION("GOOGLETRANSLATE(B12485, ""fr"", ""en"")"),"I'm not disappointed at all. Bought for essential oil diffuser, they serve their purpose well. I received them quickly and well packed in bubble wrap. I compared the scent of orange oil with oil of the same scent that I bought in pharmacies and power of t"&amp;"he smell was similar. Good quality and therefore the price is really interesting. I recommend without hesitation.")</f>
        <v>I'm not disappointed at all. Bought for essential oil diffuser, they serve their purpose well. I received them quickly and well packed in bubble wrap. I compared the scent of orange oil with oil of the same scent that I bought in pharmacies and power of the smell was similar. Good quality and therefore the price is really interesting. I recommend without hesitation.</v>
      </c>
    </row>
    <row r="12486">
      <c r="A12486" s="1">
        <v>5.0</v>
      </c>
      <c r="B12486" s="1" t="s">
        <v>12277</v>
      </c>
      <c r="C12486" t="str">
        <f>IFERROR(__xludf.DUMMYFUNCTION("GOOGLETRANSLATE(B12486, ""fr"", ""en"")"),"Hoody Good size and very hot I adore and I recommend")</f>
        <v>Hoody Good size and very hot I adore and I recommend</v>
      </c>
    </row>
    <row r="12487">
      <c r="A12487" s="1">
        <v>5.0</v>
      </c>
      <c r="B12487" s="1" t="s">
        <v>12278</v>
      </c>
      <c r="C12487" t="str">
        <f>IFERROR(__xludf.DUMMYFUNCTION("GOOGLETRANSLATE(B12487, ""fr"", ""en"")"),"excelente Excelente")</f>
        <v>excelente Excelente</v>
      </c>
    </row>
    <row r="12488">
      <c r="A12488" s="1">
        <v>5.0</v>
      </c>
      <c r="B12488" s="1" t="s">
        <v>12279</v>
      </c>
      <c r="C12488" t="str">
        <f>IFERROR(__xludf.DUMMYFUNCTION("GOOGLETRANSLATE(B12488, ""fr"", ""en"")"),"Great deal. basic agenda. One week on two pages type column. Perfect for my use and for the week at a glance.")</f>
        <v>Great deal. basic agenda. One week on two pages type column. Perfect for my use and for the week at a glance.</v>
      </c>
    </row>
    <row r="12489">
      <c r="A12489" s="1">
        <v>2.0</v>
      </c>
      <c r="B12489" s="1" t="s">
        <v>12280</v>
      </c>
      <c r="C12489" t="str">
        <f>IFERROR(__xludf.DUMMYFUNCTION("GOOGLETRANSLATE(B12489, ""fr"", ""en"")"),"Poor Bluetooth range These headphones have sound quite good. Unfortunately, as soon as you put the phone in his pocket and that we walk, there is a loss of the connection. If we take his phone in hand but that turns heads, the sound skips. It's a shame th"&amp;"at the Bluetooth range of these headphones is so poor. This is the only real flaw of these headphones, but this is a major flaw in a device that nomadic wants.")</f>
        <v>Poor Bluetooth range These headphones have sound quite good. Unfortunately, as soon as you put the phone in his pocket and that we walk, there is a loss of the connection. If we take his phone in hand but that turns heads, the sound skips. It's a shame that the Bluetooth range of these headphones is so poor. This is the only real flaw of these headphones, but this is a major flaw in a device that nomadic wants.</v>
      </c>
    </row>
    <row r="12490">
      <c r="A12490" s="1">
        <v>1.0</v>
      </c>
      <c r="B12490" s="1" t="s">
        <v>12281</v>
      </c>
      <c r="C12490" t="str">
        <f>IFERROR(__xludf.DUMMYFUNCTION("GOOGLETRANSLATE(B12490, ""fr"", ""en"")"),"Shipping: horror! I am very disappointed with this service. The shoes do not fit me, too bad. They are of good quality. But the big problem is that I have lost 14 euros in shipping and return. Beware of companies selling at Amazon. As much as I am delight"&amp;"ed with the Amazon service, so I am weary of those who serve in fresh ... But I remain client Amazon only.")</f>
        <v>Shipping: horror! I am very disappointed with this service. The shoes do not fit me, too bad. They are of good quality. But the big problem is that I have lost 14 euros in shipping and return. Beware of companies selling at Amazon. As much as I am delighted with the Amazon service, so I am weary of those who serve in fresh ... But I remain client Amazon only.</v>
      </c>
    </row>
    <row r="12491">
      <c r="A12491" s="1">
        <v>3.0</v>
      </c>
      <c r="B12491" s="1" t="s">
        <v>12282</v>
      </c>
      <c r="C12491" t="str">
        <f>IFERROR(__xludf.DUMMYFUNCTION("GOOGLETRANSLATE(B12491, ""fr"", ""en"")"),"The transaction very good quality / price is good, it's obviously not a top product gamme.Par against it size too big; unhesitatingly choose a size smaller than your usual size.")</f>
        <v>The transaction very good quality / price is good, it's obviously not a top product gamme.Par against it size too big; unhesitatingly choose a size smaller than your usual size.</v>
      </c>
    </row>
    <row r="12492">
      <c r="A12492" s="1">
        <v>3.0</v>
      </c>
      <c r="B12492" s="1" t="s">
        <v>12283</v>
      </c>
      <c r="C12492" t="str">
        <f>IFERROR(__xludf.DUMMYFUNCTION("GOOGLETRANSLATE(B12492, ""fr"", ""en"")"),"use descaler recommended for coffee machine with capsule, this product descales as we hope, but a bit expensive but if it can extend the life of our coffeemaker accounts are to do.")</f>
        <v>use descaler recommended for coffee machine with capsule, this product descales as we hope, but a bit expensive but if it can extend the life of our coffeemaker accounts are to do.</v>
      </c>
    </row>
    <row r="12493">
      <c r="A12493" s="1">
        <v>4.0</v>
      </c>
      <c r="B12493" s="1" t="s">
        <v>12284</v>
      </c>
      <c r="C12493" t="str">
        <f>IFERROR(__xludf.DUMMYFUNCTION("GOOGLETRANSLATE(B12493, ""fr"", ""en"")"),"Quality watch for thirty euros, I am surprised to have such a good watch. The quality Casio is felt: not a single shot in more than a year, the resin does not make a moist effect in summer (like plastic), the bracelet does not damage and greenhouse good w"&amp;"rist, ect.")</f>
        <v>Quality watch for thirty euros, I am surprised to have such a good watch. The quality Casio is felt: not a single shot in more than a year, the resin does not make a moist effect in summer (like plastic), the bracelet does not damage and greenhouse good wrist, ect.</v>
      </c>
    </row>
    <row r="12494">
      <c r="A12494" s="1">
        <v>4.0</v>
      </c>
      <c r="B12494" s="1" t="s">
        <v>12285</v>
      </c>
      <c r="C12494" t="str">
        <f>IFERROR(__xludf.DUMMYFUNCTION("GOOGLETRANSLATE(B12494, ""fr"", ""en"")"),"Pentalon training wearable with a good cut Satisfied for the moment remains to be seen over time.")</f>
        <v>Pentalon training wearable with a good cut Satisfied for the moment remains to be seen over time.</v>
      </c>
    </row>
    <row r="12495">
      <c r="A12495" s="1">
        <v>4.0</v>
      </c>
      <c r="B12495" s="1" t="s">
        <v>12286</v>
      </c>
      <c r="C12495" t="str">
        <f>IFERROR(__xludf.DUMMYFUNCTION("GOOGLETRANSLATE(B12495, ""fr"", ""en"")"),"Good Very heavy")</f>
        <v>Good Very heavy</v>
      </c>
    </row>
    <row r="12496">
      <c r="A12496" s="1">
        <v>4.0</v>
      </c>
      <c r="B12496" s="1" t="s">
        <v>12287</v>
      </c>
      <c r="C12496" t="str">
        <f>IFERROR(__xludf.DUMMYFUNCTION("GOOGLETRANSLATE(B12496, ""fr"", ""en"")"),"Good product ! Compliance and happy")</f>
        <v>Good product ! Compliance and happy</v>
      </c>
    </row>
    <row r="12497">
      <c r="A12497" s="1">
        <v>5.0</v>
      </c>
      <c r="B12497" s="1" t="s">
        <v>12288</v>
      </c>
      <c r="C12497" t="str">
        <f>IFERROR(__xludf.DUMMYFUNCTION("GOOGLETRANSLATE(B12497, ""fr"", ""en"")"),"Elegant and practical daily use for tea breakfast")</f>
        <v>Elegant and practical daily use for tea breakfast</v>
      </c>
    </row>
    <row r="12498">
      <c r="A12498" s="1">
        <v>5.0</v>
      </c>
      <c r="B12498" s="1" t="s">
        <v>12289</v>
      </c>
      <c r="C12498" t="str">
        <f>IFERROR(__xludf.DUMMYFUNCTION("GOOGLETRANSLATE(B12498, ""fr"", ""en"")"),"Very satisfied comfortable headphones at attractive prices, they hold up well even during running (received yesterday, I hasten to try them in stride). Received quickly thanks to Amazon Prime, the headphones were already loaded on delivery, which is appre"&amp;"ciable. The charging case is well thought out, and apparairage is easy. The sound quality is interesting for a camera of this price")</f>
        <v>Very satisfied comfortable headphones at attractive prices, they hold up well even during running (received yesterday, I hasten to try them in stride). Received quickly thanks to Amazon Prime, the headphones were already loaded on delivery, which is appreciable. The charging case is well thought out, and apparairage is easy. The sound quality is interesting for a camera of this price</v>
      </c>
    </row>
    <row r="12499">
      <c r="A12499" s="1">
        <v>5.0</v>
      </c>
      <c r="B12499" s="1" t="s">
        <v>12290</v>
      </c>
      <c r="C12499" t="str">
        <f>IFERROR(__xludf.DUMMYFUNCTION("GOOGLETRANSLATE(B12499, ""fr"", ""en"")"),"Cowin SE7 NOTHING SAY GOOD more")</f>
        <v>Cowin SE7 NOTHING SAY GOOD more</v>
      </c>
    </row>
    <row r="12500">
      <c r="A12500" s="1">
        <v>5.0</v>
      </c>
      <c r="B12500" s="1" t="s">
        <v>12291</v>
      </c>
      <c r="C12500" t="str">
        <f>IFERROR(__xludf.DUMMYFUNCTION("GOOGLETRANSLATE(B12500, ""fr"", ""en"")"),"Very nice cloth bag bag, pocket full well to carry a computer .TRES happy with my purchase")</f>
        <v>Very nice cloth bag bag, pocket full well to carry a computer .TRES happy with my purchase</v>
      </c>
    </row>
    <row r="12501">
      <c r="A12501" s="1">
        <v>5.0</v>
      </c>
      <c r="B12501" s="1" t="s">
        <v>12292</v>
      </c>
      <c r="C12501" t="str">
        <f>IFERROR(__xludf.DUMMYFUNCTION("GOOGLETRANSLATE(B12501, ""fr"", ""en"")"),"Super purchase They are perfect and good size. Super shopping")</f>
        <v>Super purchase They are perfect and good size. Super shopping</v>
      </c>
    </row>
    <row r="12502">
      <c r="A12502" s="1">
        <v>5.0</v>
      </c>
      <c r="B12502" s="1" t="s">
        <v>12293</v>
      </c>
      <c r="C12502" t="str">
        <f>IFERROR(__xludf.DUMMYFUNCTION("GOOGLETRANSLATE(B12502, ""fr"", ""en"")"),"Superb! Product of very good quality, very happy with my purchase!")</f>
        <v>Superb! Product of very good quality, very happy with my purchase!</v>
      </c>
    </row>
    <row r="12503">
      <c r="A12503" s="1">
        <v>5.0</v>
      </c>
      <c r="B12503" s="1" t="s">
        <v>12294</v>
      </c>
      <c r="C12503" t="str">
        <f>IFERROR(__xludf.DUMMYFUNCTION("GOOGLETRANSLATE(B12503, ""fr"", ""en"")"),"Article conforms well received with a day late, my level her the perfect easily installs on synthesizer tablet pc smartphone. I recommand it .")</f>
        <v>Article conforms well received with a day late, my level her the perfect easily installs on synthesizer tablet pc smartphone. I recommand it .</v>
      </c>
    </row>
    <row r="12504">
      <c r="A12504" s="1">
        <v>5.0</v>
      </c>
      <c r="B12504" s="1" t="s">
        <v>12295</v>
      </c>
      <c r="C12504" t="str">
        <f>IFERROR(__xludf.DUMMYFUNCTION("GOOGLETRANSLATE(B12504, ""fr"", ""en"")"),"Perfect Nickel Although packed")</f>
        <v>Perfect Nickel Although packed</v>
      </c>
    </row>
    <row r="12505">
      <c r="A12505" s="1">
        <v>5.0</v>
      </c>
      <c r="B12505" s="1" t="s">
        <v>12296</v>
      </c>
      <c r="C12505" t="str">
        <f>IFERROR(__xludf.DUMMYFUNCTION("GOOGLETRANSLATE(B12505, ""fr"", ""en"")"),"Perfect ! I use to clean silver jewelry in my shop and it works wonderfully, I recommend!")</f>
        <v>Perfect ! I use to clean silver jewelry in my shop and it works wonderfully, I recommend!</v>
      </c>
    </row>
    <row r="12506">
      <c r="A12506" s="1">
        <v>5.0</v>
      </c>
      <c r="B12506" s="1" t="s">
        <v>12297</v>
      </c>
      <c r="C12506" t="str">
        <f>IFERROR(__xludf.DUMMYFUNCTION("GOOGLETRANSLATE(B12506, ""fr"", ""en"")"),"everything is ok flush")</f>
        <v>everything is ok flush</v>
      </c>
    </row>
    <row r="12507">
      <c r="A12507" s="1">
        <v>5.0</v>
      </c>
      <c r="B12507" s="1" t="s">
        <v>12298</v>
      </c>
      <c r="C12507" t="str">
        <f>IFERROR(__xludf.DUMMYFUNCTION("GOOGLETRANSLATE(B12507, ""fr"", ""en"")"),"Very functional and lightweight. Very nice watch. A little big but elegant. Easily connects to an iPhone 7 more. Lightweight. For a woman it just go. Only negative, it does not calculate heart rhythm or sleep. But if you receive sms, emails and even his a"&amp;"genda. She also pedometer and many other features. To discover. I recommend . Thank you to Amazon because I could have it cheaper through a flash sale.")</f>
        <v>Very functional and lightweight. Very nice watch. A little big but elegant. Easily connects to an iPhone 7 more. Lightweight. For a woman it just go. Only negative, it does not calculate heart rhythm or sleep. But if you receive sms, emails and even his agenda. She also pedometer and many other features. To discover. I recommend . Thank you to Amazon because I could have it cheaper through a flash sale.</v>
      </c>
    </row>
    <row r="12508">
      <c r="A12508" s="1">
        <v>5.0</v>
      </c>
      <c r="B12508" s="1" t="s">
        <v>12299</v>
      </c>
      <c r="C12508" t="str">
        <f>IFERROR(__xludf.DUMMYFUNCTION("GOOGLETRANSLATE(B12508, ""fr"", ""en"")"),"Efficient - &amp; gt; &amp; gt; Updating the comment &amp; lt; &amp; lt; - Products offered today to over € 12, while it has always been available for less than 5 €. Feel free to go elsewhere - &amp; gt; &amp; gt; Comment original &amp; lt; &amp; lt; - efficient product, we had an early"&amp;" invasion which was not taken because an individual guard identified only sporadically, until one night when we appercu turning on the light in the room eat twenty corny fleeing, including small. We bought a first pack of contaminants, we actually found s"&amp;"ometimes corpses near the contaminants, sometimes well knocked cockroaches and unresponsive, it was renewed there just before leaving on vacation, we just found a specimen, j imagine that was well infected colony and exterminated. Now we always use these "&amp;"contaminants in due to a change by quarter history of never having to worry!")</f>
        <v>Efficient - &amp; gt; &amp; gt; Updating the comment &amp; lt; &amp; lt; - Products offered today to over € 12, while it has always been available for less than 5 €. Feel free to go elsewhere - &amp; gt; &amp; gt; Comment original &amp; lt; &amp; lt; - efficient product, we had an early invasion which was not taken because an individual guard identified only sporadically, until one night when we appercu turning on the light in the room eat twenty corny fleeing, including small. We bought a first pack of contaminants, we actually found sometimes corpses near the contaminants, sometimes well knocked cockroaches and unresponsive, it was renewed there just before leaving on vacation, we just found a specimen, j imagine that was well infected colony and exterminated. Now we always use these contaminants in due to a change by quarter history of never having to worry!</v>
      </c>
    </row>
    <row r="12509">
      <c r="A12509" s="1">
        <v>5.0</v>
      </c>
      <c r="B12509" s="1" t="s">
        <v>12300</v>
      </c>
      <c r="C12509" t="str">
        <f>IFERROR(__xludf.DUMMYFUNCTION("GOOGLETRANSLATE(B12509, ""fr"", ""en"")"),"True quality printing The product is really solid, professional We keep a roll on the inside, which greatly facilitates the use, always ready to jobs! One can easily store it vertically so that it takes up less space. A transparent pot is also provided th"&amp;"at can obviously have used the machine to empty air. A button used to empty and seal, very easy to use! Packaging done in less than a minute! Unpacked by another person, I have not found fashion jobs, only diagrams inside were enough to guess the use. Not"&amp;" easy at first, but you just locate the icon that is used to seal and one that sucks, and it's childish. Very good product, worth the price, I recommend")</f>
        <v>True quality printing The product is really solid, professional We keep a roll on the inside, which greatly facilitates the use, always ready to jobs! One can easily store it vertically so that it takes up less space. A transparent pot is also provided that can obviously have used the machine to empty air. A button used to empty and seal, very easy to use! Packaging done in less than a minute! Unpacked by another person, I have not found fashion jobs, only diagrams inside were enough to guess the use. Not easy at first, but you just locate the icon that is used to seal and one that sucks, and it's childish. Very good product, worth the price, I recommend</v>
      </c>
    </row>
    <row r="12510">
      <c r="A12510" s="1">
        <v>5.0</v>
      </c>
      <c r="B12510" s="1" t="s">
        <v>12301</v>
      </c>
      <c r="C12510" t="str">
        <f>IFERROR(__xludf.DUMMYFUNCTION("GOOGLETRANSLATE(B12510, ""fr"", ""en"")"),"Okay It is used in each wash. There is no comparison or not, but the machine operates for 10 years already. the format is great and economical.")</f>
        <v>Okay It is used in each wash. There is no comparison or not, but the machine operates for 10 years already. the format is great and economical.</v>
      </c>
    </row>
    <row r="12511">
      <c r="A12511" s="1">
        <v>5.0</v>
      </c>
      <c r="B12511" s="1" t="s">
        <v>12302</v>
      </c>
      <c r="C12511" t="str">
        <f>IFERROR(__xludf.DUMMYFUNCTION("GOOGLETRANSLATE(B12511, ""fr"", ""en"")"),"Very good value for money. I bought this camera to make waffles with my little son. It works great and no problem if we observe the required cooking time. I also made some really good croque-monsieur. Very good value for a device used occasionally.")</f>
        <v>Very good value for money. I bought this camera to make waffles with my little son. It works great and no problem if we observe the required cooking time. I also made some really good croque-monsieur. Very good value for a device used occasionally.</v>
      </c>
    </row>
    <row r="12512">
      <c r="A12512" s="1">
        <v>2.0</v>
      </c>
      <c r="B12512" s="1" t="s">
        <v>12303</v>
      </c>
      <c r="C12512" t="str">
        <f>IFERROR(__xludf.DUMMYFUNCTION("GOOGLETRANSLATE(B12512, ""fr"", ""en"")"),"Bola tied arrival Chaine ball n no slot as we can see from the picture, it is smooth and very fine chain disappointed with my purchase")</f>
        <v>Bola tied arrival Chaine ball n no slot as we can see from the picture, it is smooth and very fine chain disappointed with my purchase</v>
      </c>
    </row>
    <row r="12513">
      <c r="A12513" s="1">
        <v>1.0</v>
      </c>
      <c r="B12513" s="1" t="s">
        <v>12304</v>
      </c>
      <c r="C12513" t="str">
        <f>IFERROR(__xludf.DUMMYFUNCTION("GOOGLETRANSLATE(B12513, ""fr"", ""en"")"),"Early damage level very happy time of delivery and verdict Do not hold in the ears, uncomfortable disappointed but after the product quality of sound at the top right headphones are not for me,")</f>
        <v>Early damage level very happy time of delivery and verdict Do not hold in the ears, uncomfortable disappointed but after the product quality of sound at the top right headphones are not for me,</v>
      </c>
    </row>
    <row r="12514">
      <c r="A12514" s="1">
        <v>1.0</v>
      </c>
      <c r="B12514" s="1" t="s">
        <v>12305</v>
      </c>
      <c r="C12514" t="str">
        <f>IFERROR(__xludf.DUMMYFUNCTION("GOOGLETRANSLATE(B12514, ""fr"", ""en"")"),"No dissemination odor smell despite not broadcast any essential oils fragrant, very sad")</f>
        <v>No dissemination odor smell despite not broadcast any essential oils fragrant, very sad</v>
      </c>
    </row>
    <row r="12515">
      <c r="A12515" s="1">
        <v>3.0</v>
      </c>
      <c r="B12515" s="1" t="s">
        <v>12306</v>
      </c>
      <c r="C12515" t="str">
        <f>IFERROR(__xludf.DUMMYFUNCTION("GOOGLETRANSLATE(B12515, ""fr"", ""en"")"),"Socks Product pleasant rather pleasant to wear and well made apparently see in time and after a few washing the side most is the size of socks especially when you have more socks that looks in the family. I think a small discount on the price would be mor"&amp;"e expensive because a little all the same")</f>
        <v>Socks Product pleasant rather pleasant to wear and well made apparently see in time and after a few washing the side most is the size of socks especially when you have more socks that looks in the family. I think a small discount on the price would be more expensive because a little all the same</v>
      </c>
    </row>
    <row r="12516">
      <c r="A12516" s="1">
        <v>3.0</v>
      </c>
      <c r="B12516" s="1" t="s">
        <v>12307</v>
      </c>
      <c r="C12516" t="str">
        <f>IFERROR(__xludf.DUMMYFUNCTION("GOOGLETRANSLATE(B12516, ""fr"", ""en"")"),"The sound is very poor sound compared to Samsung, is of very poor quality")</f>
        <v>The sound is very poor sound compared to Samsung, is of very poor quality</v>
      </c>
    </row>
    <row r="12517">
      <c r="A12517" s="1">
        <v>4.0</v>
      </c>
      <c r="B12517" s="1" t="s">
        <v>787</v>
      </c>
      <c r="C12517" t="str">
        <f>IFERROR(__xludf.DUMMYFUNCTION("GOOGLETRANSLATE(B12517, ""fr"", ""en"")"),"Very good product great product")</f>
        <v>Very good product great product</v>
      </c>
    </row>
    <row r="12518">
      <c r="A12518" s="1">
        <v>4.0</v>
      </c>
      <c r="B12518" s="1" t="s">
        <v>12308</v>
      </c>
      <c r="C12518" t="str">
        <f>IFERROR(__xludf.DUMMYFUNCTION("GOOGLETRANSLATE(B12518, ""fr"", ""en"")"),"Efficiency and simplicity Bose Headphones keep their promise, it is reliable, comfortable, they remain attached to the ear even by intensive sport, all this once we found the right size with ferrules. The sound, well no surprise is the sound bose, love it"&amp;" or hate it, I confess to being quite a fan of the low back that we have with these headphones. Autonomy very correct with the housing for recharging multiple times headphones without using the cable box. Only flat, for it must always find one, the only s"&amp;"ound in a headset when receiving a call, deliberate choice of Bose but I confess I do not understand why? it's a bit embarrassing to find themselves suddenly with the sound in one ear.")</f>
        <v>Efficiency and simplicity Bose Headphones keep their promise, it is reliable, comfortable, they remain attached to the ear even by intensive sport, all this once we found the right size with ferrules. The sound, well no surprise is the sound bose, love it or hate it, I confess to being quite a fan of the low back that we have with these headphones. Autonomy very correct with the housing for recharging multiple times headphones without using the cable box. Only flat, for it must always find one, the only sound in a headset when receiving a call, deliberate choice of Bose but I confess I do not understand why? it's a bit embarrassing to find themselves suddenly with the sound in one ear.</v>
      </c>
    </row>
    <row r="12519">
      <c r="A12519" s="1">
        <v>4.0</v>
      </c>
      <c r="B12519" s="1" t="s">
        <v>12309</v>
      </c>
      <c r="C12519" t="str">
        <f>IFERROR(__xludf.DUMMYFUNCTION("GOOGLETRANSLATE(B12519, ""fr"", ""en"")"),"OKAY !! Ok but a little big size !!!")</f>
        <v>OKAY !! Ok but a little big size !!!</v>
      </c>
    </row>
    <row r="12520">
      <c r="A12520" s="1">
        <v>4.0</v>
      </c>
      <c r="B12520" s="1" t="s">
        <v>12310</v>
      </c>
      <c r="C12520" t="str">
        <f>IFERROR(__xludf.DUMMYFUNCTION("GOOGLETRANSLATE(B12520, ""fr"", ""en"")"),"sneakers They are good, but a little larger. Airais I had to take my exact size. In doubt I took the size bigger, but in fact they just carve. To know for next time.")</f>
        <v>sneakers They are good, but a little larger. Airais I had to take my exact size. In doubt I took the size bigger, but in fact they just carve. To know for next time.</v>
      </c>
    </row>
    <row r="12521">
      <c r="A12521" s="1">
        <v>5.0</v>
      </c>
      <c r="B12521" s="1" t="s">
        <v>12311</v>
      </c>
      <c r="C12521" t="str">
        <f>IFERROR(__xludf.DUMMYFUNCTION("GOOGLETRANSLATE(B12521, ""fr"", ""en"")"),"good product I have not tried to throw the roll in the toilet because I'm not sure it degrades well and it's really good ecological. The paper is soft to the touch and durable.")</f>
        <v>good product I have not tried to throw the roll in the toilet because I'm not sure it degrades well and it's really good ecological. The paper is soft to the touch and durable.</v>
      </c>
    </row>
    <row r="12522">
      <c r="A12522" s="1">
        <v>5.0</v>
      </c>
      <c r="B12522" s="1" t="s">
        <v>12312</v>
      </c>
      <c r="C12522" t="str">
        <f>IFERROR(__xludf.DUMMYFUNCTION("GOOGLETRANSLATE(B12522, ""fr"", ""en"")"),"Perfect ! Protecting perfectly matches the latest version J3 (there are 2 well in the package). Easy to set up, no bubbles, simply clean the screen before the installation with the provided wipes. I recommend.")</f>
        <v>Perfect ! Protecting perfectly matches the latest version J3 (there are 2 well in the package). Easy to set up, no bubbles, simply clean the screen before the installation with the provided wipes. I recommend.</v>
      </c>
    </row>
    <row r="12523">
      <c r="A12523" s="1">
        <v>5.0</v>
      </c>
      <c r="B12523" s="1" t="s">
        <v>12313</v>
      </c>
      <c r="C12523" t="str">
        <f>IFERROR(__xludf.DUMMYFUNCTION("GOOGLETRANSLATE(B12523, ""fr"", ""en"")"),"good buy fabrics very wearable for me inside the house. Cup friendly.")</f>
        <v>good buy fabrics very wearable for me inside the house. Cup friendly.</v>
      </c>
    </row>
    <row r="12524">
      <c r="A12524" s="1">
        <v>5.0</v>
      </c>
      <c r="B12524" s="1" t="s">
        <v>12314</v>
      </c>
      <c r="C12524" t="str">
        <f>IFERROR(__xludf.DUMMYFUNCTION("GOOGLETRANSLATE(B12524, ""fr"", ""en"")"),"Functional I'm walking, comfortable soft good")</f>
        <v>Functional I'm walking, comfortable soft good</v>
      </c>
    </row>
    <row r="12525">
      <c r="A12525" s="1">
        <v>5.0</v>
      </c>
      <c r="B12525" s="1" t="s">
        <v>12315</v>
      </c>
      <c r="C12525" t="str">
        <f>IFERROR(__xludf.DUMMYFUNCTION("GOOGLETRANSLATE(B12525, ""fr"", ""en"")"),"Diffuser ulta his Super product quality unbeatable price ... Very beautiful features with owls know, because I did not know, you have 45 days to return it and receive a new one or refund and 12 months warranty if I 'I understand ... anyway this is the bes"&amp;"t customer service that I have known so far they are very concerned that their customers are satisfied more than 100% Do not hesitate REALLY ...")</f>
        <v>Diffuser ulta his Super product quality unbeatable price ... Very beautiful features with owls know, because I did not know, you have 45 days to return it and receive a new one or refund and 12 months warranty if I 'I understand ... anyway this is the best customer service that I have known so far they are very concerned that their customers are satisfied more than 100% Do not hesitate REALLY ...</v>
      </c>
    </row>
    <row r="12526">
      <c r="A12526" s="1">
        <v>5.0</v>
      </c>
      <c r="B12526" s="1" t="s">
        <v>12316</v>
      </c>
      <c r="C12526" t="str">
        <f>IFERROR(__xludf.DUMMYFUNCTION("GOOGLETRANSLATE(B12526, ""fr"", ""en"")"),"I love Beautiful pair")</f>
        <v>I love Beautiful pair</v>
      </c>
    </row>
    <row r="12527">
      <c r="A12527" s="1">
        <v>5.0</v>
      </c>
      <c r="B12527" s="1" t="s">
        <v>12317</v>
      </c>
      <c r="C12527" t="str">
        <f>IFERROR(__xludf.DUMMYFUNCTION("GOOGLETRANSLATE(B12527, ""fr"", ""en"")"),"Perfect Bottle warmer I recommend! Compact, compatible car heats quickly (90 seconds for a bottle) and quality brand (Badabulle). I said that this is the last model they were all out ... Beware the price moves on Amazon ... I got it for 29.90 Euros")</f>
        <v>Perfect Bottle warmer I recommend! Compact, compatible car heats quickly (90 seconds for a bottle) and quality brand (Badabulle). I said that this is the last model they were all out ... Beware the price moves on Amazon ... I got it for 29.90 Euros</v>
      </c>
    </row>
    <row r="12528">
      <c r="A12528" s="1">
        <v>5.0</v>
      </c>
      <c r="B12528" s="1" t="s">
        <v>12318</v>
      </c>
      <c r="C12528" t="str">
        <f>IFERROR(__xludf.DUMMYFUNCTION("GOOGLETRANSLATE(B12528, ""fr"", ""en"")"),"Okay, I like them a lot! They are comfortable, very pretty, well cut. And the more we do not need to lace them and that's great;)")</f>
        <v>Okay, I like them a lot! They are comfortable, very pretty, well cut. And the more we do not need to lace them and that's great;)</v>
      </c>
    </row>
    <row r="12529">
      <c r="A12529" s="1">
        <v>5.0</v>
      </c>
      <c r="B12529" s="1" t="s">
        <v>12319</v>
      </c>
      <c r="C12529" t="str">
        <f>IFERROR(__xludf.DUMMYFUNCTION("GOOGLETRANSLATE(B12529, ""fr"", ""en"")"),"Perfect ! This headset is perfect, it is a very nice color, nice design, comfortable to wear for everyday, sports, relaxation ... Well maintained his high qualité.Possibilite to change music tracks with buttons the side of the helmet. The artwork for the "&amp;"store is very nice and convenient with system hangs. It can be easily connected to the laptop. It can be used in connection jack. The delivery is fast, thank you! I recommend this helmet is great with 5 stars without hesitation.")</f>
        <v>Perfect ! This headset is perfect, it is a very nice color, nice design, comfortable to wear for everyday, sports, relaxation ... Well maintained his high qualité.Possibilite to change music tracks with buttons the side of the helmet. The artwork for the store is very nice and convenient with system hangs. It can be easily connected to the laptop. It can be used in connection jack. The delivery is fast, thank you! I recommend this helmet is great with 5 stars without hesitation.</v>
      </c>
    </row>
    <row r="12530">
      <c r="A12530" s="1">
        <v>5.0</v>
      </c>
      <c r="B12530" s="1" t="s">
        <v>12320</v>
      </c>
      <c r="C12530" t="str">
        <f>IFERROR(__xludf.DUMMYFUNCTION("GOOGLETRANSLATE(B12530, ""fr"", ""en"")"),"Comfortable For Very comfortable work.")</f>
        <v>Comfortable For Very comfortable work.</v>
      </c>
    </row>
    <row r="12531">
      <c r="A12531" s="1">
        <v>5.0</v>
      </c>
      <c r="B12531" s="1" t="s">
        <v>12321</v>
      </c>
      <c r="C12531" t="str">
        <f>IFERROR(__xludf.DUMMYFUNCTION("GOOGLETRANSLATE(B12531, ""fr"", ""en"")"),"Received very quickly Very good")</f>
        <v>Received very quickly Very good</v>
      </c>
    </row>
    <row r="12532">
      <c r="A12532" s="1">
        <v>5.0</v>
      </c>
      <c r="B12532" s="1" t="s">
        <v>12322</v>
      </c>
      <c r="C12532" t="str">
        <f>IFERROR(__xludf.DUMMYFUNCTION("GOOGLETRANSLATE(B12532, ""fr"", ""en"")"),"received impeccable good thank you thank you own size")</f>
        <v>received impeccable good thank you thank you own size</v>
      </c>
    </row>
    <row r="12533">
      <c r="A12533" s="1">
        <v>5.0</v>
      </c>
      <c r="B12533" s="1" t="s">
        <v>12323</v>
      </c>
      <c r="C12533" t="str">
        <f>IFERROR(__xludf.DUMMYFUNCTION("GOOGLETRANSLATE(B12533, ""fr"", ""en"")"),"efficient electric massager Having tested two days, my family and I think it's fine electric massager to relieve. Especially my father loves too much, I prefer the 4 heads one of them. I recommend.")</f>
        <v>efficient electric massager Having tested two days, my family and I think it's fine electric massager to relieve. Especially my father loves too much, I prefer the 4 heads one of them. I recommend.</v>
      </c>
    </row>
    <row r="12534">
      <c r="A12534" s="1">
        <v>5.0</v>
      </c>
      <c r="B12534" s="1" t="s">
        <v>12324</v>
      </c>
      <c r="C12534" t="str">
        <f>IFERROR(__xludf.DUMMYFUNCTION("GOOGLETRANSLATE(B12534, ""fr"", ""en"")"),"well in line with expectations")</f>
        <v>well in line with expectations</v>
      </c>
    </row>
    <row r="12535">
      <c r="A12535" s="1">
        <v>5.0</v>
      </c>
      <c r="B12535" s="1" t="s">
        <v>12325</v>
      </c>
      <c r="C12535" t="str">
        <f>IFERROR(__xludf.DUMMYFUNCTION("GOOGLETRANSLATE(B12535, ""fr"", ""en"")"),"Great for introductions to lecure Jai took 2 pounds in the same collection for a 6 year old. 1eres readings PC Good method. I will take my children when they are in reading age.")</f>
        <v>Great for introductions to lecure Jai took 2 pounds in the same collection for a 6 year old. 1eres readings PC Good method. I will take my children when they are in reading age.</v>
      </c>
    </row>
    <row r="12536">
      <c r="A12536" s="1">
        <v>2.0</v>
      </c>
      <c r="B12536" s="1" t="s">
        <v>12326</v>
      </c>
      <c r="C12536" t="str">
        <f>IFERROR(__xludf.DUMMYFUNCTION("GOOGLETRANSLATE(B12536, ""fr"", ""en"")"),"rikiki Er, what is a bag schtroumpfs ??? 22X18cm, The opening of the pockets are small. right next to it there are plenty of pockets in my opinion it is for a teenager")</f>
        <v>rikiki Er, what is a bag schtroumpfs ??? 22X18cm, The opening of the pockets are small. right next to it there are plenty of pockets in my opinion it is for a teenager</v>
      </c>
    </row>
    <row r="12537">
      <c r="A12537" s="1">
        <v>1.0</v>
      </c>
      <c r="B12537" s="1" t="s">
        <v>12327</v>
      </c>
      <c r="C12537" t="str">
        <f>IFERROR(__xludf.DUMMYFUNCTION("GOOGLETRANSLATE(B12537, ""fr"", ""en"")"),"headphones silicone sleeves are not supplied with, I do not know if it was an oversight ????")</f>
        <v>headphones silicone sleeves are not supplied with, I do not know if it was an oversight ????</v>
      </c>
    </row>
    <row r="12538">
      <c r="A12538" s="1">
        <v>1.0</v>
      </c>
      <c r="B12538" s="1" t="s">
        <v>12328</v>
      </c>
      <c r="C12538" t="str">
        <f>IFERROR(__xludf.DUMMYFUNCTION("GOOGLETRANSLATE(B12538, ""fr"", ""en"")"),"Horrible. Only a month after purchasing this bottle warmer, it hardly ever works. Adjusting to heat bib made as shown in the instructions and bib heats the dish to boil, the water overflows, then, and not hot bottle. I do not recommend it, can put a littl"&amp;"e more for better quality.")</f>
        <v>Horrible. Only a month after purchasing this bottle warmer, it hardly ever works. Adjusting to heat bib made as shown in the instructions and bib heats the dish to boil, the water overflows, then, and not hot bottle. I do not recommend it, can put a little more for better quality.</v>
      </c>
    </row>
    <row r="12539">
      <c r="A12539" s="1">
        <v>3.0</v>
      </c>
      <c r="B12539" s="1" t="s">
        <v>12329</v>
      </c>
      <c r="C12539" t="str">
        <f>IFERROR(__xludf.DUMMYFUNCTION("GOOGLETRANSLATE(B12539, ""fr"", ""en"")"),"Headphones noise reducer perfect but bluetooth to see I already have headphones noise reducer intra this brand and also wanted to have a headset for long journeys (type plane or train). I'm not disappointed in terms of noise reduction, it works perfectly "&amp;"and autonomy is more than satisfactory. However, regarding the bluetooth is the same as some of the comments that is, it does not work: it jumps every 20 seconds while the phone is 30 cm. It's a shame because it would have been a product unbeatable qualit"&amp;"y / price.")</f>
        <v>Headphones noise reducer perfect but bluetooth to see I already have headphones noise reducer intra this brand and also wanted to have a headset for long journeys (type plane or train). I'm not disappointed in terms of noise reduction, it works perfectly and autonomy is more than satisfactory. However, regarding the bluetooth is the same as some of the comments that is, it does not work: it jumps every 20 seconds while the phone is 30 cm. It's a shame because it would have been a product unbeatable quality / price.</v>
      </c>
    </row>
    <row r="12540">
      <c r="A12540" s="1">
        <v>3.0</v>
      </c>
      <c r="B12540" s="1" t="s">
        <v>12330</v>
      </c>
      <c r="C12540" t="str">
        <f>IFERROR(__xludf.DUMMYFUNCTION("GOOGLETRANSLATE(B12540, ""fr"", ""en"")"),"Super Good Product, they are beautiful, but the tip is slightly abyss with walking harm. The flakes hold well. I recommend all the same.")</f>
        <v>Super Good Product, they are beautiful, but the tip is slightly abyss with walking harm. The flakes hold well. I recommend all the same.</v>
      </c>
    </row>
    <row r="12541">
      <c r="A12541" s="1">
        <v>4.0</v>
      </c>
      <c r="B12541" s="1" t="s">
        <v>12331</v>
      </c>
      <c r="C12541" t="str">
        <f>IFERROR(__xludf.DUMMYFUNCTION("GOOGLETRANSLATE(B12541, ""fr"", ""en"")"),"SUPER NOTHING TO SAY pocket perfectly corresponds to the description very spacious very good quality, good materials for naught price say thank you")</f>
        <v>SUPER NOTHING TO SAY pocket perfectly corresponds to the description very spacious very good quality, good materials for naught price say thank you</v>
      </c>
    </row>
    <row r="12542">
      <c r="A12542" s="1">
        <v>4.0</v>
      </c>
      <c r="B12542" s="1" t="s">
        <v>12332</v>
      </c>
      <c r="C12542" t="str">
        <f>IFERROR(__xludf.DUMMYFUNCTION("GOOGLETRANSLATE(B12542, ""fr"", ""en"")"),"Although a little heavy but well protected")</f>
        <v>Although a little heavy but well protected</v>
      </c>
    </row>
    <row r="12543">
      <c r="A12543" s="1">
        <v>4.0</v>
      </c>
      <c r="B12543" s="1" t="s">
        <v>12333</v>
      </c>
      <c r="C12543" t="str">
        <f>IFERROR(__xludf.DUMMYFUNCTION("GOOGLETRANSLATE(B12543, ""fr"", ""en"")"),"beautiful basketball beautiful basketball but unfortunately the 42 shoes I usually too small.")</f>
        <v>beautiful basketball beautiful basketball but unfortunately the 42 shoes I usually too small.</v>
      </c>
    </row>
    <row r="12544">
      <c r="A12544" s="1">
        <v>4.0</v>
      </c>
      <c r="B12544" s="1" t="s">
        <v>12334</v>
      </c>
      <c r="C12544" t="str">
        <f>IFERROR(__xludf.DUMMYFUNCTION("GOOGLETRANSLATE(B12544, ""fr"", ""en"")"),"good good and slightly less expensive than commercially")</f>
        <v>good good and slightly less expensive than commercially</v>
      </c>
    </row>
    <row r="12545">
      <c r="A12545" s="1">
        <v>5.0</v>
      </c>
      <c r="B12545" s="1" t="s">
        <v>12335</v>
      </c>
      <c r="C12545" t="str">
        <f>IFERROR(__xludf.DUMMYFUNCTION("GOOGLETRANSLATE(B12545, ""fr"", ""en"")"),"Good listener Fast delivery, solid and sound is clear, I recommend it really is ideal when doing sports with this listener. Good value! My friend told me ca recommends, it is convenient.")</f>
        <v>Good listener Fast delivery, solid and sound is clear, I recommend it really is ideal when doing sports with this listener. Good value! My friend told me ca recommends, it is convenient.</v>
      </c>
    </row>
    <row r="12546">
      <c r="A12546" s="1">
        <v>5.0</v>
      </c>
      <c r="B12546" s="1" t="s">
        <v>12336</v>
      </c>
      <c r="C12546" t="str">
        <f>IFERROR(__xludf.DUMMYFUNCTION("GOOGLETRANSLATE(B12546, ""fr"", ""en"")"),"product according to the product description consistent, easy to use, very good results after use quick delivery and careful")</f>
        <v>product according to the product description consistent, easy to use, very good results after use quick delivery and careful</v>
      </c>
    </row>
    <row r="12547">
      <c r="A12547" s="1">
        <v>5.0</v>
      </c>
      <c r="B12547" s="1" t="s">
        <v>12337</v>
      </c>
      <c r="C12547" t="str">
        <f>IFERROR(__xludf.DUMMYFUNCTION("GOOGLETRANSLATE(B12547, ""fr"", ""en"")"),"Good supply of good quality, is not plastic but metal, cables are provided and quality")</f>
        <v>Good supply of good quality, is not plastic but metal, cables are provided and quality</v>
      </c>
    </row>
    <row r="12548">
      <c r="A12548" s="1">
        <v>5.0</v>
      </c>
      <c r="B12548" s="1" t="s">
        <v>12338</v>
      </c>
      <c r="C12548" t="str">
        <f>IFERROR(__xludf.DUMMYFUNCTION("GOOGLETRANSLATE(B12548, ""fr"", ""en"")"),"Never disappointed with Cowin This is my 3rd Cowin headset with noise reduction, and sound quality is still there, viire better, with life as important as ever. The SE7 is foldable which is more convenient for storing the backpack")</f>
        <v>Never disappointed with Cowin This is my 3rd Cowin headset with noise reduction, and sound quality is still there, viire better, with life as important as ever. The SE7 is foldable which is more convenient for storing the backpack</v>
      </c>
    </row>
    <row r="12549">
      <c r="A12549" s="1">
        <v>5.0</v>
      </c>
      <c r="B12549" s="1" t="s">
        <v>12339</v>
      </c>
      <c r="C12549" t="str">
        <f>IFERROR(__xludf.DUMMYFUNCTION("GOOGLETRANSLATE(B12549, ""fr"", ""en"")"),"+++ Top top left and top my son what regale with this bottle and pacifier he does not want other")</f>
        <v>+++ Top top left and top my son what regale with this bottle and pacifier he does not want other</v>
      </c>
    </row>
    <row r="12550">
      <c r="A12550" s="1">
        <v>5.0</v>
      </c>
      <c r="B12550" s="1" t="s">
        <v>12340</v>
      </c>
      <c r="C12550" t="str">
        <f>IFERROR(__xludf.DUMMYFUNCTION("GOOGLETRANSLATE(B12550, ""fr"", ""en"")"),"Small but very nice and very aesthetic. Available for a gift and the person is very satisfied. It works well and its use is easy.")</f>
        <v>Small but very nice and very aesthetic. Available for a gift and the person is very satisfied. It works well and its use is easy.</v>
      </c>
    </row>
    <row r="12551">
      <c r="A12551" s="1">
        <v>5.0</v>
      </c>
      <c r="B12551" s="1" t="s">
        <v>12341</v>
      </c>
      <c r="C12551" t="str">
        <f>IFERROR(__xludf.DUMMYFUNCTION("GOOGLETRANSLATE(B12551, ""fr"", ""en"")"),"Perfect Product bought brand awareness. Purchase made during the bonus day at a good price. Solid Simple product warranty 2 years Delivered ahead of forecast.")</f>
        <v>Perfect Product bought brand awareness. Purchase made during the bonus day at a good price. Solid Simple product warranty 2 years Delivered ahead of forecast.</v>
      </c>
    </row>
    <row r="12552">
      <c r="A12552" s="1">
        <v>5.0</v>
      </c>
      <c r="B12552" s="1" t="s">
        <v>12342</v>
      </c>
      <c r="C12552" t="str">
        <f>IFERROR(__xludf.DUMMYFUNCTION("GOOGLETRANSLATE(B12552, ""fr"", ""en"")"),"Perfect Perfect, simply the purchase price and reasonable shipping top")</f>
        <v>Perfect Perfect, simply the purchase price and reasonable shipping top</v>
      </c>
    </row>
    <row r="12553">
      <c r="A12553" s="1">
        <v>5.0</v>
      </c>
      <c r="B12553" s="1" t="s">
        <v>12343</v>
      </c>
      <c r="C12553" t="str">
        <f>IFERROR(__xludf.DUMMYFUNCTION("GOOGLETRANSLATE(B12553, ""fr"", ""en"")"),"Perfect super fast delivery the next day Conforms to the description")</f>
        <v>Perfect super fast delivery the next day Conforms to the description</v>
      </c>
    </row>
    <row r="12554">
      <c r="A12554" s="1">
        <v>5.0</v>
      </c>
      <c r="B12554" s="1" t="s">
        <v>12344</v>
      </c>
      <c r="C12554" t="str">
        <f>IFERROR(__xludf.DUMMYFUNCTION("GOOGLETRANSLATE(B12554, ""fr"", ""en"")"),"Very comfortable but bare foot stinks Really nice but watch put a pair of bare foot because soquètes you to share your the stench of your feet 😂")</f>
        <v>Very comfortable but bare foot stinks Really nice but watch put a pair of bare foot because soquètes you to share your the stench of your feet 😂</v>
      </c>
    </row>
    <row r="12555">
      <c r="A12555" s="1">
        <v>5.0</v>
      </c>
      <c r="B12555" s="1" t="s">
        <v>12345</v>
      </c>
      <c r="C12555" t="str">
        <f>IFERROR(__xludf.DUMMYFUNCTION("GOOGLETRANSLATE(B12555, ""fr"", ""en"")"),"Comfort Very comfortable and light. Warning avoid stepping on stones because the sole is thin ...")</f>
        <v>Comfort Very comfortable and light. Warning avoid stepping on stones because the sole is thin ...</v>
      </c>
    </row>
    <row r="12556">
      <c r="A12556" s="1">
        <v>5.0</v>
      </c>
      <c r="B12556" s="1" t="s">
        <v>12346</v>
      </c>
      <c r="C12556" t="str">
        <f>IFERROR(__xludf.DUMMYFUNCTION("GOOGLETRANSLATE(B12556, ""fr"", ""en"")"),"Earpiece pleased fast delivery, 2 days before the scheduled date. This Bluetooth headset is comptatible with my phone, it clings well to my ears thanks to the two towers of the ear, the tip soup, can be used to listen to music, take calls, the sound is ve"&amp;"ry good box charge is convenient and good aesthetics")</f>
        <v>Earpiece pleased fast delivery, 2 days before the scheduled date. This Bluetooth headset is comptatible with my phone, it clings well to my ears thanks to the two towers of the ear, the tip soup, can be used to listen to music, take calls, the sound is very good box charge is convenient and good aesthetics</v>
      </c>
    </row>
    <row r="12557">
      <c r="A12557" s="1">
        <v>5.0</v>
      </c>
      <c r="B12557" s="1" t="s">
        <v>12347</v>
      </c>
      <c r="C12557" t="str">
        <f>IFERROR(__xludf.DUMMYFUNCTION("GOOGLETRANSLATE(B12557, ""fr"", ""en"")"),"size very very little attention to saw commaentaires I have ordered 1 size more and c is too small predict 1 size 1: 2 above")</f>
        <v>size very very little attention to saw commaentaires I have ordered 1 size more and c is too small predict 1 size 1: 2 above</v>
      </c>
    </row>
    <row r="12558">
      <c r="A12558" s="1">
        <v>5.0</v>
      </c>
      <c r="B12558" s="1" t="s">
        <v>12348</v>
      </c>
      <c r="C12558" t="str">
        <f>IFERROR(__xludf.DUMMYFUNCTION("GOOGLETRANSLATE(B12558, ""fr"", ""en"")"),"It is perfect on top at waist level for a person, for 3 or 4 mug too. The interior is made of plastic on the sides but the bottom end where the water is in stainless steel. Easy to clean, a bit of white vinegar in a background of hot water and even requir"&amp;"e scrubbing. There is a small filter that can be removed for cleaning the spout level and a valve so that dust does not enter. I use it every day for a year, no problem.")</f>
        <v>It is perfect on top at waist level for a person, for 3 or 4 mug too. The interior is made of plastic on the sides but the bottom end where the water is in stainless steel. Easy to clean, a bit of white vinegar in a background of hot water and even require scrubbing. There is a small filter that can be removed for cleaning the spout level and a valve so that dust does not enter. I use it every day for a year, no problem.</v>
      </c>
    </row>
    <row r="12559">
      <c r="A12559" s="1">
        <v>5.0</v>
      </c>
      <c r="B12559" s="1" t="s">
        <v>12349</v>
      </c>
      <c r="C12559" t="str">
        <f>IFERROR(__xludf.DUMMYFUNCTION("GOOGLETRANSLATE(B12559, ""fr"", ""en"")"),"Shoes of good quality comfortable shoes and good quality. My wife is happy, it leaves the more she is hip and trendy. I recommend !!")</f>
        <v>Shoes of good quality comfortable shoes and good quality. My wife is happy, it leaves the more she is hip and trendy. I recommend !!</v>
      </c>
    </row>
    <row r="12560">
      <c r="A12560" s="1">
        <v>5.0</v>
      </c>
      <c r="B12560" s="1" t="s">
        <v>12350</v>
      </c>
      <c r="C12560" t="str">
        <f>IFERROR(__xludf.DUMMYFUNCTION("GOOGLETRANSLATE(B12560, ""fr"", ""en"")"),"relaxed, elegant and useful solid")</f>
        <v>relaxed, elegant and useful solid</v>
      </c>
    </row>
    <row r="12561">
      <c r="A12561" s="1">
        <v>2.0</v>
      </c>
      <c r="B12561" s="1" t="s">
        <v>12351</v>
      </c>
      <c r="C12561" t="str">
        <f>IFERROR(__xludf.DUMMYFUNCTION("GOOGLETRANSLATE(B12561, ""fr"", ""en"")"),"quality issue price is not expensive, but the quality is not great either, the son tend and pick the clasp")</f>
        <v>quality issue price is not expensive, but the quality is not great either, the son tend and pick the clasp</v>
      </c>
    </row>
    <row r="12562">
      <c r="A12562" s="1">
        <v>1.0</v>
      </c>
      <c r="B12562" s="1" t="s">
        <v>12352</v>
      </c>
      <c r="C12562" t="str">
        <f>IFERROR(__xludf.DUMMYFUNCTION("GOOGLETRANSLATE(B12562, ""fr"", ""en"")"),"""Wooden Rosary"" = plastic! Supposedly a wooden rosary and in the end it is the low quality plastic. Really disappointed with this purchase that will not fit on the distance saw the quality of the plastic used")</f>
        <v>"Wooden Rosary" = plastic! Supposedly a wooden rosary and in the end it is the low quality plastic. Really disappointed with this purchase that will not fit on the distance saw the quality of the plastic used</v>
      </c>
    </row>
    <row r="12563">
      <c r="A12563" s="1">
        <v>1.0</v>
      </c>
      <c r="B12563" s="1" t="s">
        <v>12353</v>
      </c>
      <c r="C12563" t="str">
        <f>IFERROR(__xludf.DUMMYFUNCTION("GOOGLETRANSLATE(B12563, ""fr"", ""en"")"),"Very very poor I put one week separated the sole of the shoe I do not understand how little Amazon meter for sale on their website a shame I can not send you pictures")</f>
        <v>Very very poor I put one week separated the sole of the shoe I do not understand how little Amazon meter for sale on their website a shame I can not send you pictures</v>
      </c>
    </row>
    <row r="12564">
      <c r="A12564" s="1">
        <v>3.0</v>
      </c>
      <c r="B12564" s="1" t="s">
        <v>12354</v>
      </c>
      <c r="C12564" t="str">
        <f>IFERROR(__xludf.DUMMYFUNCTION("GOOGLETRANSLATE(B12564, ""fr"", ""en"")"),"Although a little too big but for the work it will also")</f>
        <v>Although a little too big but for the work it will also</v>
      </c>
    </row>
    <row r="12565">
      <c r="A12565" s="1">
        <v>4.0</v>
      </c>
      <c r="B12565" s="1" t="s">
        <v>12355</v>
      </c>
      <c r="C12565" t="str">
        <f>IFERROR(__xludf.DUMMYFUNCTION("GOOGLETRANSLATE(B12565, ""fr"", ""en"")"),"Easy to set up and install. Good quality / price ratio The product fully corresponds to its description. The only problem I encountered just my PC cabinet and not the arm. Space not big enough to get the whole arm as it should (and too lazy to make the ho"&amp;"le). I preferred to force the leaves cabinet not have the opportunity to screw well. Result: the arm is not properly secured and the screens are not equal height. (This is not the fault of arms ...). This articulated arm does not adjust the height of the "&amp;"independent screens (have up / down both arms at once). A good buy (not perfectly suited to my needs but did well) in totality!")</f>
        <v>Easy to set up and install. Good quality / price ratio The product fully corresponds to its description. The only problem I encountered just my PC cabinet and not the arm. Space not big enough to get the whole arm as it should (and too lazy to make the hole). I preferred to force the leaves cabinet not have the opportunity to screw well. Result: the arm is not properly secured and the screens are not equal height. (This is not the fault of arms ...). This articulated arm does not adjust the height of the independent screens (have up / down both arms at once). A good buy (not perfectly suited to my needs but did well) in totality!</v>
      </c>
    </row>
    <row r="12566">
      <c r="A12566" s="1">
        <v>4.0</v>
      </c>
      <c r="B12566" s="1" t="s">
        <v>12356</v>
      </c>
      <c r="C12566" t="str">
        <f>IFERROR(__xludf.DUMMYFUNCTION("GOOGLETRANSLATE(B12566, ""fr"", ""en"")"),"Black size 39EU / 40CN very comfortable shoes, it was like walking on moss! Unfortunately the pair I received is too large, it is 1.5 cm longer than expected, perhaps a labeling error. Seller courteous and understanding.")</f>
        <v>Black size 39EU / 40CN very comfortable shoes, it was like walking on moss! Unfortunately the pair I received is too large, it is 1.5 cm longer than expected, perhaps a labeling error. Seller courteous and understanding.</v>
      </c>
    </row>
    <row r="12567">
      <c r="A12567" s="1">
        <v>4.0</v>
      </c>
      <c r="B12567" s="1" t="s">
        <v>12357</v>
      </c>
      <c r="C12567" t="str">
        <f>IFERROR(__xludf.DUMMYFUNCTION("GOOGLETRANSLATE(B12567, ""fr"", ""en"")"),"very beautiful leather if you want to book several files, it will not be possible! may contain only a few pounds if not close.")</f>
        <v>very beautiful leather if you want to book several files, it will not be possible! may contain only a few pounds if not close.</v>
      </c>
    </row>
    <row r="12568">
      <c r="A12568" s="1">
        <v>4.0</v>
      </c>
      <c r="B12568" s="1" t="s">
        <v>12358</v>
      </c>
      <c r="C12568" t="str">
        <f>IFERROR(__xludf.DUMMYFUNCTION("GOOGLETRANSLATE(B12568, ""fr"", ""en"")"),"Satisfactory receipt of the package I took out my photos on paper I could distribute my pictures to my guests.")</f>
        <v>Satisfactory receipt of the package I took out my photos on paper I could distribute my pictures to my guests.</v>
      </c>
    </row>
    <row r="12569">
      <c r="A12569" s="1">
        <v>5.0</v>
      </c>
      <c r="B12569" s="1" t="s">
        <v>12359</v>
      </c>
      <c r="C12569" t="str">
        <f>IFERROR(__xludf.DUMMYFUNCTION("GOOGLETRANSLATE(B12569, ""fr"", ""en"")"),"dr martens are very comfortable, beautiful and slender. they adapt to any outfit (skirts, pants, dresses). dr martens brown ideal everyday.")</f>
        <v>dr martens are very comfortable, beautiful and slender. they adapt to any outfit (skirts, pants, dresses). dr martens brown ideal everyday.</v>
      </c>
    </row>
    <row r="12570">
      <c r="A12570" s="1">
        <v>5.0</v>
      </c>
      <c r="B12570" s="1" t="s">
        <v>12360</v>
      </c>
      <c r="C12570" t="str">
        <f>IFERROR(__xludf.DUMMYFUNCTION("GOOGLETRANSLATE(B12570, ""fr"", ""en"")"),"Convenient Very convenient with a large capacity. Rapid dispatch.")</f>
        <v>Convenient Very convenient with a large capacity. Rapid dispatch.</v>
      </c>
    </row>
    <row r="12571">
      <c r="A12571" s="1">
        <v>5.0</v>
      </c>
      <c r="B12571" s="1" t="s">
        <v>12361</v>
      </c>
      <c r="C12571" t="str">
        <f>IFERROR(__xludf.DUMMYFUNCTION("GOOGLETRANSLATE(B12571, ""fr"", ""en"")"),"Super Beautiful good quality fast shipment")</f>
        <v>Super Beautiful good quality fast shipment</v>
      </c>
    </row>
    <row r="12572">
      <c r="A12572" s="1">
        <v>5.0</v>
      </c>
      <c r="B12572" s="1" t="s">
        <v>12362</v>
      </c>
      <c r="C12572" t="str">
        <f>IFERROR(__xludf.DUMMYFUNCTION("GOOGLETRANSLATE(B12572, ""fr"", ""en"")"),"Sony headphones I received him in time, in perfect condition, it works well I recommend this product.")</f>
        <v>Sony headphones I received him in time, in perfect condition, it works well I recommend this product.</v>
      </c>
    </row>
    <row r="12573">
      <c r="A12573" s="1">
        <v>5.0</v>
      </c>
      <c r="B12573" s="1" t="s">
        <v>12363</v>
      </c>
      <c r="C12573" t="str">
        <f>IFERROR(__xludf.DUMMYFUNCTION("GOOGLETRANSLATE(B12573, ""fr"", ""en"")"),"Very good Excellent value! Good length of the wire volume sound Mastery very good for children, adapted to their small head.")</f>
        <v>Very good Excellent value! Good length of the wire volume sound Mastery very good for children, adapted to their small head.</v>
      </c>
    </row>
    <row r="12574">
      <c r="A12574" s="1">
        <v>5.0</v>
      </c>
      <c r="B12574" s="1" t="s">
        <v>12364</v>
      </c>
      <c r="C12574" t="str">
        <f>IFERROR(__xludf.DUMMYFUNCTION("GOOGLETRANSLATE(B12574, ""fr"", ""en"")"),"Safety Shoes - Men - Black ok")</f>
        <v>Safety Shoes - Men - Black ok</v>
      </c>
    </row>
    <row r="12575">
      <c r="A12575" s="1">
        <v>5.0</v>
      </c>
      <c r="B12575" s="1" t="s">
        <v>12365</v>
      </c>
      <c r="C12575" t="str">
        <f>IFERROR(__xludf.DUMMYFUNCTION("GOOGLETRANSLATE(B12575, ""fr"", ""en"")"),"super size S perfectly. And beautiful nickel fabric")</f>
        <v>super size S perfectly. And beautiful nickel fabric</v>
      </c>
    </row>
    <row r="12576">
      <c r="A12576" s="1">
        <v>5.0</v>
      </c>
      <c r="B12576" s="1" t="s">
        <v>12366</v>
      </c>
      <c r="C12576" t="str">
        <f>IFERROR(__xludf.DUMMYFUNCTION("GOOGLETRANSLATE(B12576, ""fr"", ""en"")"),"Comfortable and consistent insoles original sole is removable")</f>
        <v>Comfortable and consistent insoles original sole is removable</v>
      </c>
    </row>
    <row r="12577">
      <c r="A12577" s="1">
        <v>5.0</v>
      </c>
      <c r="B12577" s="1" t="s">
        <v>12367</v>
      </c>
      <c r="C12577" t="str">
        <f>IFERROR(__xludf.DUMMYFUNCTION("GOOGLETRANSLATE(B12577, ""fr"", ""en"")"),"Bijou Nice A small gem that had its effect, discreet and elegant is an ideal gift with a value for money")</f>
        <v>Bijou Nice A small gem that had its effect, discreet and elegant is an ideal gift with a value for money</v>
      </c>
    </row>
    <row r="12578">
      <c r="A12578" s="1">
        <v>5.0</v>
      </c>
      <c r="B12578" s="1" t="s">
        <v>12368</v>
      </c>
      <c r="C12578" t="str">
        <f>IFERROR(__xludf.DUMMYFUNCTION("GOOGLETRANSLATE(B12578, ""fr"", ""en"")"),"The new toy my girlfriend when she received it she was ecstatic and wanted to place labels everywhere. Works very well. By cons, no ampersand. The typo is aesthetic.")</f>
        <v>The new toy my girlfriend when she received it she was ecstatic and wanted to place labels everywhere. Works very well. By cons, no ampersand. The typo is aesthetic.</v>
      </c>
    </row>
    <row r="12579">
      <c r="A12579" s="1">
        <v>5.0</v>
      </c>
      <c r="B12579" s="1" t="s">
        <v>12369</v>
      </c>
      <c r="C12579" t="str">
        <f>IFERROR(__xludf.DUMMYFUNCTION("GOOGLETRANSLATE(B12579, ""fr"", ""en"")"),"Super sweat super material. A little late for delivery, but finally arrived safely and represents my wish.")</f>
        <v>Super sweat super material. A little late for delivery, but finally arrived safely and represents my wish.</v>
      </c>
    </row>
    <row r="12580">
      <c r="A12580" s="1">
        <v>5.0</v>
      </c>
      <c r="B12580" s="1" t="s">
        <v>12370</v>
      </c>
      <c r="C12580" t="str">
        <f>IFERROR(__xludf.DUMMYFUNCTION("GOOGLETRANSLATE(B12580, ""fr"", ""en"")"),"Good J recommend they are very pleasant")</f>
        <v>Good J recommend they are very pleasant</v>
      </c>
    </row>
    <row r="12581">
      <c r="A12581" s="1">
        <v>5.0</v>
      </c>
      <c r="B12581" s="1" t="s">
        <v>12371</v>
      </c>
      <c r="C12581" t="str">
        <f>IFERROR(__xludf.DUMMYFUNCTION("GOOGLETRANSLATE(B12581, ""fr"", ""en"")"),"Soft and warm very soft and very warm. Listed on the duration. Yet no regret even after several washing (and drying in the open air).")</f>
        <v>Soft and warm very soft and very warm. Listed on the duration. Yet no regret even after several washing (and drying in the open air).</v>
      </c>
    </row>
    <row r="12582">
      <c r="A12582" s="1">
        <v>5.0</v>
      </c>
      <c r="B12582" s="1" t="s">
        <v>12372</v>
      </c>
      <c r="C12582" t="str">
        <f>IFERROR(__xludf.DUMMYFUNCTION("GOOGLETRANSLATE(B12582, ""fr"", ""en"")"),"Okay Perfect Aesthetics and light Comfortable I'm happy with my purchase")</f>
        <v>Okay Perfect Aesthetics and light Comfortable I'm happy with my purchase</v>
      </c>
    </row>
    <row r="12583">
      <c r="A12583" s="1">
        <v>5.0</v>
      </c>
      <c r="B12583" s="1" t="s">
        <v>12373</v>
      </c>
      <c r="C12583" t="str">
        <f>IFERROR(__xludf.DUMMYFUNCTION("GOOGLETRANSLATE(B12583, ""fr"", ""en"")"),"Magnificent Received 24. I bought this necklace to offer. And frankly there is the top. There are all the beautiful case, tape, a pocket and even a chifonnette to shine heart. I am delighted with my purchase. The chain and pendant are perfect. The thickne"&amp;"ss of the chain and the size of the heart are very beautiful set. There is a chain extender of about 3cm. This gives the choice of the desired length. The chain measuring 45cm. It is very well There's no ring that holds the heart. The chain goes directly "&amp;"into it. I recommend this jewel which is beautiful")</f>
        <v>Magnificent Received 24. I bought this necklace to offer. And frankly there is the top. There are all the beautiful case, tape, a pocket and even a chifonnette to shine heart. I am delighted with my purchase. The chain and pendant are perfect. The thickness of the chain and the size of the heart are very beautiful set. There is a chain extender of about 3cm. This gives the choice of the desired length. The chain measuring 45cm. It is very well There's no ring that holds the heart. The chain goes directly into it. I recommend this jewel which is beautiful</v>
      </c>
    </row>
    <row r="12584">
      <c r="A12584" s="1">
        <v>2.0</v>
      </c>
      <c r="B12584" s="1" t="s">
        <v>12374</v>
      </c>
      <c r="C12584" t="str">
        <f>IFERROR(__xludf.DUMMYFUNCTION("GOOGLETRANSLATE(B12584, ""fr"", ""en"")"),"beautiful shoes but I normally too small shoe size 41 without worries, and there for the shot is too small ... I should take one size bigger! They are beautiful anyway, but I'll have sore feet hihi")</f>
        <v>beautiful shoes but I normally too small shoe size 41 without worries, and there for the shot is too small ... I should take one size bigger! They are beautiful anyway, but I'll have sore feet hihi</v>
      </c>
    </row>
    <row r="12585">
      <c r="A12585" s="1">
        <v>1.0</v>
      </c>
      <c r="B12585" s="1" t="s">
        <v>12375</v>
      </c>
      <c r="C12585" t="str">
        <f>IFERROR(__xludf.DUMMYFUNCTION("GOOGLETRANSLATE(B12585, ""fr"", ""en"")"),"no device bought for putting names on a mailbox; a letter of the alphabet on two does not print, you can not cut the labels without a pair of scissors; disappointed! I do not recommend it.")</f>
        <v>no device bought for putting names on a mailbox; a letter of the alphabet on two does not print, you can not cut the labels without a pair of scissors; disappointed! I do not recommend it.</v>
      </c>
    </row>
    <row r="12586">
      <c r="A12586" s="1">
        <v>3.0</v>
      </c>
      <c r="B12586" s="1" t="s">
        <v>12376</v>
      </c>
      <c r="C12586" t="str">
        <f>IFERROR(__xludf.DUMMYFUNCTION("GOOGLETRANSLATE(B12586, ""fr"", ""en"")"),"Although Nice product")</f>
        <v>Although Nice product</v>
      </c>
    </row>
    <row r="12587">
      <c r="A12587" s="1">
        <v>3.0</v>
      </c>
      <c r="B12587" s="1" t="s">
        <v>12377</v>
      </c>
      <c r="C12587" t="str">
        <f>IFERROR(__xludf.DUMMYFUNCTION("GOOGLETRANSLATE(B12587, ""fr"", ""en"")"),"Standard My daughter chewed the nipples so much forced to buy often. That said it is a shame because after this purchase she dropped the bottle. It will not matter to the next!")</f>
        <v>Standard My daughter chewed the nipples so much forced to buy often. That said it is a shame because after this purchase she dropped the bottle. It will not matter to the next!</v>
      </c>
    </row>
    <row r="12588">
      <c r="A12588" s="1">
        <v>4.0</v>
      </c>
      <c r="B12588" s="1" t="s">
        <v>12378</v>
      </c>
      <c r="C12588" t="str">
        <f>IFERROR(__xludf.DUMMYFUNCTION("GOOGLETRANSLATE(B12588, ""fr"", ""en"")"),"For Baby Bottle dodie")</f>
        <v>For Baby Bottle dodie</v>
      </c>
    </row>
    <row r="12589">
      <c r="A12589" s="1">
        <v>4.0</v>
      </c>
      <c r="B12589" s="1" t="s">
        <v>12379</v>
      </c>
      <c r="C12589" t="str">
        <f>IFERROR(__xludf.DUMMYFUNCTION("GOOGLETRANSLATE(B12589, ""fr"", ""en"")"),"Good product good product overall for the price. Rapid heating. The only flaws: get dirty quite quickly in and water indicated doses are not always good but once you know the proper amount, everything works.")</f>
        <v>Good product good product overall for the price. Rapid heating. The only flaws: get dirty quite quickly in and water indicated doses are not always good but once you know the proper amount, everything works.</v>
      </c>
    </row>
    <row r="12590">
      <c r="A12590" s="1">
        <v>4.0</v>
      </c>
      <c r="B12590" s="1" t="s">
        <v>12380</v>
      </c>
      <c r="C12590" t="str">
        <f>IFERROR(__xludf.DUMMYFUNCTION("GOOGLETRANSLATE(B12590, ""fr"", ""en"")"),"Meets Fast Delivery J had a doubt about the size and sleeve length Size nikel The sleeves are long enough although I would have preferred a little longer Good quality fabric thick enough to put the jacket mid season or for the evening Otherwise nothing Co"&amp;"ntent is wrong with my purchase")</f>
        <v>Meets Fast Delivery J had a doubt about the size and sleeve length Size nikel The sleeves are long enough although I would have preferred a little longer Good quality fabric thick enough to put the jacket mid season or for the evening Otherwise nothing Content is wrong with my purchase</v>
      </c>
    </row>
    <row r="12591">
      <c r="A12591" s="1">
        <v>4.0</v>
      </c>
      <c r="B12591" s="1" t="s">
        <v>12381</v>
      </c>
      <c r="C12591" t="str">
        <f>IFERROR(__xludf.DUMMYFUNCTION("GOOGLETRANSLATE(B12591, ""fr"", ""en"")"),"Validated, good for everyday Beautiful jewelry, do not oxidize and good return for money. One downside to the larger, the binding system a little light")</f>
        <v>Validated, good for everyday Beautiful jewelry, do not oxidize and good return for money. One downside to the larger, the binding system a little light</v>
      </c>
    </row>
    <row r="12592">
      <c r="A12592" s="1">
        <v>5.0</v>
      </c>
      <c r="B12592" s="1" t="s">
        <v>12382</v>
      </c>
      <c r="C12592" t="str">
        <f>IFERROR(__xludf.DUMMYFUNCTION("GOOGLETRANSLATE(B12592, ""fr"", ""en"")"),"Awesome Really great when you see what it costs two batteries at the tobacconist to change those of small baby book, the saleswoman told us so buy a new book and three batteries cost more than the book So with this pack were able to change 'all in all toy"&amp;"s batteries")</f>
        <v>Awesome Really great when you see what it costs two batteries at the tobacconist to change those of small baby book, the saleswoman told us so buy a new book and three batteries cost more than the book So with this pack were able to change 'all in all toys batteries</v>
      </c>
    </row>
    <row r="12593">
      <c r="A12593" s="1">
        <v>5.0</v>
      </c>
      <c r="B12593" s="1" t="s">
        <v>12383</v>
      </c>
      <c r="C12593" t="str">
        <f>IFERROR(__xludf.DUMMYFUNCTION("GOOGLETRANSLATE(B12593, ""fr"", ""en"")"),"On top Bought for my daughter, she is very happy. It is very hard to put on as it has very narrow foot, is the power to choose the width is a real bonus. The LEDs are nice and work very well.")</f>
        <v>On top Bought for my daughter, she is very happy. It is very hard to put on as it has very narrow foot, is the power to choose the width is a real bonus. The LEDs are nice and work very well.</v>
      </c>
    </row>
    <row r="12594">
      <c r="A12594" s="1">
        <v>5.0</v>
      </c>
      <c r="B12594" s="1" t="s">
        <v>12384</v>
      </c>
      <c r="C12594" t="str">
        <f>IFERROR(__xludf.DUMMYFUNCTION("GOOGLETRANSLATE(B12594, ""fr"", ""en"")"),"Very Good Very Good shoes")</f>
        <v>Very Good Very Good shoes</v>
      </c>
    </row>
    <row r="12595">
      <c r="A12595" s="1">
        <v>5.0</v>
      </c>
      <c r="B12595" s="1" t="s">
        <v>12385</v>
      </c>
      <c r="C12595" t="str">
        <f>IFERROR(__xludf.DUMMYFUNCTION("GOOGLETRANSLATE(B12595, ""fr"", ""en"")"),"Very pretty ! Hello everyone ! The advantages of this product: (1) Very nice watch (2) Quality of appointment (3) suitable price! The - this product: My child does not find ... Conclusion: Nothing to add")</f>
        <v>Very pretty ! Hello everyone ! The advantages of this product: (1) Very nice watch (2) Quality of appointment (3) suitable price! The - this product: My child does not find ... Conclusion: Nothing to add</v>
      </c>
    </row>
    <row r="12596">
      <c r="A12596" s="1">
        <v>5.0</v>
      </c>
      <c r="B12596" s="1" t="s">
        <v>12386</v>
      </c>
      <c r="C12596" t="str">
        <f>IFERROR(__xludf.DUMMYFUNCTION("GOOGLETRANSLATE(B12596, ""fr"", ""en"")"),"it is great it works well")</f>
        <v>it is great it works well</v>
      </c>
    </row>
    <row r="12597">
      <c r="A12597" s="1">
        <v>5.0</v>
      </c>
      <c r="B12597" s="1" t="s">
        <v>12387</v>
      </c>
      <c r="C12597" t="str">
        <f>IFERROR(__xludf.DUMMYFUNCTION("GOOGLETRANSLATE(B12597, ""fr"", ""en"")"),"Excellent product quality")</f>
        <v>Excellent product quality</v>
      </c>
    </row>
    <row r="12598">
      <c r="A12598" s="1">
        <v>5.0</v>
      </c>
      <c r="B12598" s="1" t="s">
        <v>12388</v>
      </c>
      <c r="C12598" t="str">
        <f>IFERROR(__xludf.DUMMYFUNCTION("GOOGLETRANSLATE(B12598, ""fr"", ""en"")"),"Okay Calculator requested in college. For my oldest, she was proposed rouge.Là, it is blue ... Fits perfectly for college student and beyond (in addition to a suitable high school) because very easy to use. Good value for money.")</f>
        <v>Okay Calculator requested in college. For my oldest, she was proposed rouge.Là, it is blue ... Fits perfectly for college student and beyond (in addition to a suitable high school) because very easy to use. Good value for money.</v>
      </c>
    </row>
    <row r="12599">
      <c r="A12599" s="1">
        <v>5.0</v>
      </c>
      <c r="B12599" s="1" t="s">
        <v>12389</v>
      </c>
      <c r="C12599" t="str">
        <f>IFERROR(__xludf.DUMMYFUNCTION("GOOGLETRANSLATE(B12599, ""fr"", ""en"")"),"Paper Excellent Very good product; delivery respected; I recommand it !")</f>
        <v>Paper Excellent Very good product; delivery respected; I recommand it !</v>
      </c>
    </row>
    <row r="12600">
      <c r="A12600" s="1">
        <v>5.0</v>
      </c>
      <c r="B12600" s="1" t="s">
        <v>12390</v>
      </c>
      <c r="C12600" t="str">
        <f>IFERROR(__xludf.DUMMYFUNCTION("GOOGLETRANSLATE(B12600, ""fr"", ""en"")"),"beautiful color, guaranteed Trainers look very comfortable, I appreciate the thick soles as on all converse. The color is really pretty without being too enticing. Exact Size. I RECOMMEND")</f>
        <v>beautiful color, guaranteed Trainers look very comfortable, I appreciate the thick soles as on all converse. The color is really pretty without being too enticing. Exact Size. I RECOMMEND</v>
      </c>
    </row>
    <row r="12601">
      <c r="A12601" s="1">
        <v>5.0</v>
      </c>
      <c r="B12601" s="1" t="s">
        <v>12391</v>
      </c>
      <c r="C12601" t="str">
        <f>IFERROR(__xludf.DUMMYFUNCTION("GOOGLETRANSLATE(B12601, ""fr"", ""en"")"),"Super Convenient")</f>
        <v>Super Convenient</v>
      </c>
    </row>
    <row r="12602">
      <c r="A12602" s="1">
        <v>5.0</v>
      </c>
      <c r="B12602" s="1" t="s">
        <v>12392</v>
      </c>
      <c r="C12602" t="str">
        <f>IFERROR(__xludf.DUMMYFUNCTION("GOOGLETRANSLATE(B12602, ""fr"", ""en"")"),"Super ariver satisfied before the time and unfortunately my size was too big predict a size below my was quickly exchanged and fast apaine asked at the post i already had the next one who delivered the great products used indoors being waitress Nikel apar"&amp;"t on one side can tighten my view this is surment after nine I recommend")</f>
        <v>Super ariver satisfied before the time and unfortunately my size was too big predict a size below my was quickly exchanged and fast apaine asked at the post i already had the next one who delivered the great products used indoors being waitress Nikel apart on one side can tighten my view this is surment after nine I recommend</v>
      </c>
    </row>
    <row r="12603">
      <c r="A12603" s="1">
        <v>5.0</v>
      </c>
      <c r="B12603" s="1" t="s">
        <v>12393</v>
      </c>
      <c r="C12603" t="str">
        <f>IFERROR(__xludf.DUMMYFUNCTION("GOOGLETRANSLATE(B12603, ""fr"", ""en"")"),"well well.")</f>
        <v>well well.</v>
      </c>
    </row>
    <row r="12604">
      <c r="A12604" s="1">
        <v>5.0</v>
      </c>
      <c r="B12604" s="1" t="s">
        <v>12394</v>
      </c>
      <c r="C12604" t="str">
        <f>IFERROR(__xludf.DUMMYFUNCTION("GOOGLETRANSLATE(B12604, ""fr"", ""en"")"),"quality socks and comfortable time delivery. These socks normally hew they are very comfortable and wearable. They really prevent slipping (anti slip very effective system) .I use them for my classes Pilate and aerobox. I recommend this product whose pric"&amp;"e is very reasonable considering the quality of the product.")</f>
        <v>quality socks and comfortable time delivery. These socks normally hew they are very comfortable and wearable. They really prevent slipping (anti slip very effective system) .I use them for my classes Pilate and aerobox. I recommend this product whose price is very reasonable considering the quality of the product.</v>
      </c>
    </row>
    <row r="12605">
      <c r="A12605" s="1">
        <v>5.0</v>
      </c>
      <c r="B12605" s="1" t="s">
        <v>12395</v>
      </c>
      <c r="C12605" t="str">
        <f>IFERROR(__xludf.DUMMYFUNCTION("GOOGLETRANSLATE(B12605, ""fr"", ""en"")"),"Impeccable It is now several months since I use that brush and hair did not shake or crushed (unlike many sprinklers used before). The hairs are white also, I am delighted to have found a brush that does not will replace every two months or so due to defo"&amp;"rmation or that the bristles are crushed and become useless. I highly recommend.")</f>
        <v>Impeccable It is now several months since I use that brush and hair did not shake or crushed (unlike many sprinklers used before). The hairs are white also, I am delighted to have found a brush that does not will replace every two months or so due to deformation or that the bristles are crushed and become useless. I highly recommend.</v>
      </c>
    </row>
    <row r="12606">
      <c r="A12606" s="1">
        <v>5.0</v>
      </c>
      <c r="B12606" s="1" t="s">
        <v>12396</v>
      </c>
      <c r="C12606" t="str">
        <f>IFERROR(__xludf.DUMMYFUNCTION("GOOGLETRANSLATE(B12606, ""fr"", ""en"")"),"TOO GOOD TOO !!! Beautiful! More at the reception! Highly recommend !!! Now to see if the long term always mirror THANKS")</f>
        <v>TOO GOOD TOO !!! Beautiful! More at the reception! Highly recommend !!! Now to see if the long term always mirror THANKS</v>
      </c>
    </row>
    <row r="12607">
      <c r="A12607" s="1">
        <v>2.0</v>
      </c>
      <c r="B12607" s="1" t="s">
        <v>12397</v>
      </c>
      <c r="C12607" t="str">
        <f>IFERROR(__xludf.DUMMYFUNCTION("GOOGLETRANSLATE(B12607, ""fr"", ""en"")"),"Perfume nice pleasant fragrance")</f>
        <v>Perfume nice pleasant fragrance</v>
      </c>
    </row>
    <row r="12608">
      <c r="A12608" s="1">
        <v>1.0</v>
      </c>
      <c r="B12608" s="1" t="s">
        <v>12398</v>
      </c>
      <c r="C12608" t="str">
        <f>IFERROR(__xludf.DUMMYFUNCTION("GOOGLETRANSLATE(B12608, ""fr"", ""en"")"),"not suitable for slow speed !! The teat passes too quickly the milk while it is supposed to be suitable for a slow thick milk flow !!")</f>
        <v>not suitable for slow speed !! The teat passes too quickly the milk while it is supposed to be suitable for a slow thick milk flow !!</v>
      </c>
    </row>
    <row r="12609">
      <c r="A12609" s="1">
        <v>1.0</v>
      </c>
      <c r="B12609" s="1" t="s">
        <v>12399</v>
      </c>
      <c r="C12609" t="str">
        <f>IFERROR(__xludf.DUMMYFUNCTION("GOOGLETRANSLATE(B12609, ""fr"", ""en"")"),"error on the pair I am very disappointed I ordered the all star with the red line and blue and I received one that is all white disappointment is great")</f>
        <v>error on the pair I am very disappointed I ordered the all star with the red line and blue and I received one that is all white disappointment is great</v>
      </c>
    </row>
    <row r="12610">
      <c r="A12610" s="1">
        <v>3.0</v>
      </c>
      <c r="B12610" s="1" t="s">
        <v>12400</v>
      </c>
      <c r="C12610" t="str">
        <f>IFERROR(__xludf.DUMMYFUNCTION("GOOGLETRANSLATE(B12610, ""fr"", ""en"")"),"Good product prices are really mini Like the title says, it's a good value: / but not a gift ""for an event"" especially not you venture to be disappointed no option to send in ""fashion gift"" and more deliver with the bill, while I scored without: /")</f>
        <v>Good product prices are really mini Like the title says, it's a good value: / but not a gift "for an event" especially not you venture to be disappointed no option to send in "fashion gift" and more deliver with the bill, while I scored without: /</v>
      </c>
    </row>
    <row r="12611">
      <c r="A12611" s="1">
        <v>3.0</v>
      </c>
      <c r="B12611" s="1" t="s">
        <v>12401</v>
      </c>
      <c r="C12611" t="str">
        <f>IFERROR(__xludf.DUMMYFUNCTION("GOOGLETRANSLATE(B12611, ""fr"", ""en"")"),"Although these nipples are perfect. Although a bit expensive. They fit perfectly with the brand of baby bottles. I recommend all the same.")</f>
        <v>Although these nipples are perfect. Although a bit expensive. They fit perfectly with the brand of baby bottles. I recommend all the same.</v>
      </c>
    </row>
    <row r="12612">
      <c r="A12612" s="1">
        <v>4.0</v>
      </c>
      <c r="B12612" s="1" t="s">
        <v>12402</v>
      </c>
      <c r="C12612" t="str">
        <f>IFERROR(__xludf.DUMMYFUNCTION("GOOGLETRANSLATE(B12612, ""fr"", ""en"")"),"practice and many pockets I do not regret this purchase rather practical with plenty of pockets. Too bad it happened with a spot (gray model)")</f>
        <v>practice and many pockets I do not regret this purchase rather practical with plenty of pockets. Too bad it happened with a spot (gray model)</v>
      </c>
    </row>
    <row r="12613">
      <c r="A12613" s="1">
        <v>4.0</v>
      </c>
      <c r="B12613" s="1" t="s">
        <v>12403</v>
      </c>
      <c r="C12613" t="str">
        <f>IFERROR(__xludf.DUMMYFUNCTION("GOOGLETRANSLATE(B12613, ""fr"", ""en"")"),"We will never tire Used sneakers on for several days (adult and child), the loops are very practical and very well. A bit expensive compared to conventional laces. To see in time.")</f>
        <v>We will never tire Used sneakers on for several days (adult and child), the loops are very practical and very well. A bit expensive compared to conventional laces. To see in time.</v>
      </c>
    </row>
    <row r="12614">
      <c r="A12614" s="1">
        <v>4.0</v>
      </c>
      <c r="B12614" s="1" t="s">
        <v>12404</v>
      </c>
      <c r="C12614" t="str">
        <f>IFERROR(__xludf.DUMMYFUNCTION("GOOGLETRANSLATE(B12614, ""fr"", ""en"")"),"Exactly what I expected! It is entirely consistent with the picture. Small flat, however, as to its seal because according to the leaflet, even as it is written ""water resist"" it would seem that it can resist that has the ""splash"" ... It's a bit of li"&amp;"ght stroke ! I did not dare to shower with and I had chosen precisely because it had to be waterproof. Disappointed on that then.")</f>
        <v>Exactly what I expected! It is entirely consistent with the picture. Small flat, however, as to its seal because according to the leaflet, even as it is written "water resist" it would seem that it can resist that has the "splash" ... It's a bit of light stroke ! I did not dare to shower with and I had chosen precisely because it had to be waterproof. Disappointed on that then.</v>
      </c>
    </row>
    <row r="12615">
      <c r="A12615" s="1">
        <v>4.0</v>
      </c>
      <c r="B12615" s="1" t="s">
        <v>12405</v>
      </c>
      <c r="C12615" t="str">
        <f>IFERROR(__xludf.DUMMYFUNCTION("GOOGLETRANSLATE(B12615, ""fr"", ""en"")"),"Good Ras Product conformity")</f>
        <v>Good Ras Product conformity</v>
      </c>
    </row>
    <row r="12616">
      <c r="A12616" s="1">
        <v>4.0</v>
      </c>
      <c r="B12616" s="1" t="s">
        <v>12406</v>
      </c>
      <c r="C12616" t="str">
        <f>IFERROR(__xludf.DUMMYFUNCTION("GOOGLETRANSLATE(B12616, ""fr"", ""en"")"),"Heater Quick Use for my travels. Do not take up space in the suitcase. Quick to heat water.")</f>
        <v>Heater Quick Use for my travels. Do not take up space in the suitcase. Quick to heat water.</v>
      </c>
    </row>
    <row r="12617">
      <c r="A12617" s="1">
        <v>5.0</v>
      </c>
      <c r="B12617" s="1" t="s">
        <v>12407</v>
      </c>
      <c r="C12617" t="str">
        <f>IFERROR(__xludf.DUMMYFUNCTION("GOOGLETRANSLATE(B12617, ""fr"", ""en"")"),"It is simply beautiful C was for me girl it leaves more")</f>
        <v>It is simply beautiful C was for me girl it leaves more</v>
      </c>
    </row>
    <row r="12618">
      <c r="A12618" s="1">
        <v>5.0</v>
      </c>
      <c r="B12618" s="1" t="s">
        <v>12408</v>
      </c>
      <c r="C12618" t="str">
        <f>IFERROR(__xludf.DUMMYFUNCTION("GOOGLETRANSLATE(B12618, ""fr"", ""en"")"),"Very satisfied Gift popular")</f>
        <v>Very satisfied Gift popular</v>
      </c>
    </row>
    <row r="12619">
      <c r="A12619" s="1">
        <v>5.0</v>
      </c>
      <c r="B12619" s="1" t="s">
        <v>12409</v>
      </c>
      <c r="C12619" t="str">
        <f>IFERROR(__xludf.DUMMYFUNCTION("GOOGLETRANSLATE(B12619, ""fr"", ""en"")"),"Consistent with the description Too often the photo used to describe the product does not comply. This is not the case here, it is the product photo to know a lot of 100 bags zip closure 60x80 mm 6x8 cm useful size (the whole bag and 60x100) pouches are q"&amp;"uality 50 micron and perforated to be suspended.")</f>
        <v>Consistent with the description Too often the photo used to describe the product does not comply. This is not the case here, it is the product photo to know a lot of 100 bags zip closure 60x80 mm 6x8 cm useful size (the whole bag and 60x100) pouches are quality 50 micron and perforated to be suspended.</v>
      </c>
    </row>
    <row r="12620">
      <c r="A12620" s="1">
        <v>5.0</v>
      </c>
      <c r="B12620" s="1" t="s">
        <v>12410</v>
      </c>
      <c r="C12620" t="str">
        <f>IFERROR(__xludf.DUMMYFUNCTION("GOOGLETRANSLATE(B12620, ""fr"", ""en"")"),"Very good degreaser The product is very degreaser ideal for removing milk residue on the walls of bottles. The cap is good and can precisely meter the dose. Personally I put a few drops of the product in a bottle filled with hot water and leave act for 10"&amp;" minutes then I use a brush to clean the bottle. Very good very effective brand! If you found my review helpful please vote! Thank you and good pampering with baby;)")</f>
        <v>Very good degreaser The product is very degreaser ideal for removing milk residue on the walls of bottles. The cap is good and can precisely meter the dose. Personally I put a few drops of the product in a bottle filled with hot water and leave act for 10 minutes then I use a brush to clean the bottle. Very good very effective brand! If you found my review helpful please vote! Thank you and good pampering with baby;)</v>
      </c>
    </row>
    <row r="12621">
      <c r="A12621" s="1">
        <v>5.0</v>
      </c>
      <c r="B12621" s="1" t="s">
        <v>12411</v>
      </c>
      <c r="C12621" t="str">
        <f>IFERROR(__xludf.DUMMYFUNCTION("GOOGLETRANSLATE(B12621, ""fr"", ""en"")"),"Very satisfied Very satisfied. Went very well ""featured"" on a reeling unlike another brand purchased from Bricolex. I will buy again")</f>
        <v>Very satisfied Very satisfied. Went very well "featured" on a reeling unlike another brand purchased from Bricolex. I will buy again</v>
      </c>
    </row>
    <row r="12622">
      <c r="A12622" s="1">
        <v>5.0</v>
      </c>
      <c r="B12622" s="1" t="s">
        <v>12412</v>
      </c>
      <c r="C12622" t="str">
        <f>IFERROR(__xludf.DUMMYFUNCTION("GOOGLETRANSLATE(B12622, ""fr"", ""en"")"),"Top Very good")</f>
        <v>Top Very good</v>
      </c>
    </row>
    <row r="12623">
      <c r="A12623" s="1">
        <v>5.0</v>
      </c>
      <c r="B12623" s="1" t="s">
        <v>12413</v>
      </c>
      <c r="C12623" t="str">
        <f>IFERROR(__xludf.DUMMYFUNCTION("GOOGLETRANSLATE(B12623, ""fr"", ""en"")"),"compliance compliant, comes well protected.")</f>
        <v>compliance compliant, comes well protected.</v>
      </c>
    </row>
    <row r="12624">
      <c r="A12624" s="1">
        <v>5.0</v>
      </c>
      <c r="B12624" s="1" t="s">
        <v>12414</v>
      </c>
      <c r="C12624" t="str">
        <f>IFERROR(__xludf.DUMMYFUNCTION("GOOGLETRANSLATE(B12624, ""fr"", ""en"")"),"Perfect Very Good product Meets the site description and delivery times were met Received in time I recommend")</f>
        <v>Perfect Very Good product Meets the site description and delivery times were met Received in time I recommend</v>
      </c>
    </row>
    <row r="12625">
      <c r="A12625" s="1">
        <v>5.0</v>
      </c>
      <c r="B12625" s="1" t="s">
        <v>12415</v>
      </c>
      <c r="C12625" t="str">
        <f>IFERROR(__xludf.DUMMYFUNCTION("GOOGLETRANSLATE(B12625, ""fr"", ""en"")"),"Film Food alimenatire")</f>
        <v>Film Food alimenatire</v>
      </c>
    </row>
    <row r="12626">
      <c r="A12626" s="1">
        <v>5.0</v>
      </c>
      <c r="B12626" s="1" t="s">
        <v>12416</v>
      </c>
      <c r="C12626" t="str">
        <f>IFERROR(__xludf.DUMMYFUNCTION("GOOGLETRANSLATE(B12626, ""fr"", ""en"")"),"I love jogging, headphones good fit in the ear, I bought to go running, and I'm really pleased. More son along the body that bothers us when we run. They connect very well with my Garmin Fenix ​​5 more. To see in time.")</f>
        <v>I love jogging, headphones good fit in the ear, I bought to go running, and I'm really pleased. More son along the body that bothers us when we run. They connect very well with my Garmin Fenix ​​5 more. To see in time.</v>
      </c>
    </row>
    <row r="12627">
      <c r="A12627" s="1">
        <v>5.0</v>
      </c>
      <c r="B12627" s="1" t="s">
        <v>12417</v>
      </c>
      <c r="C12627" t="str">
        <f>IFERROR(__xludf.DUMMYFUNCTION("GOOGLETRANSLATE(B12627, ""fr"", ""en"")"),"Basketball LED Very nice pair of shoes my daughter is very happy fits true, good to see over time")</f>
        <v>Basketball LED Very nice pair of shoes my daughter is very happy fits true, good to see over time</v>
      </c>
    </row>
    <row r="12628">
      <c r="A12628" s="1">
        <v>5.0</v>
      </c>
      <c r="B12628" s="1" t="s">
        <v>12418</v>
      </c>
      <c r="C12628" t="str">
        <f>IFERROR(__xludf.DUMMYFUNCTION("GOOGLETRANSLATE(B12628, ""fr"", ""en"")"),"Stylish and well everything works as expected. I had some fears about the solar charging capabilities, but they were unfounded. Warning, the display is in English.")</f>
        <v>Stylish and well everything works as expected. I had some fears about the solar charging capabilities, but they were unfounded. Warning, the display is in English.</v>
      </c>
    </row>
    <row r="12629">
      <c r="A12629" s="1">
        <v>5.0</v>
      </c>
      <c r="B12629" s="1" t="s">
        <v>12419</v>
      </c>
      <c r="C12629" t="str">
        <f>IFERROR(__xludf.DUMMYFUNCTION("GOOGLETRANSLATE(B12629, ""fr"", ""en"")"),"Perfect ! the best value I've experienced. Not only the headphones are nice and compact, but they also have a really top quality, perfect treble and bass this well. Autonomy is more than 5 hours and can recharge them at least 10x with the base. It is very"&amp;" nice to let the headset in the base without they fall because they are aimenté and start their own care. Also no problem to turn on and off and the pair, they do all this alone as long as you take them or enter their base. I definitely recommend this pro"&amp;"duct, I really can not do without me.")</f>
        <v>Perfect ! the best value I've experienced. Not only the headphones are nice and compact, but they also have a really top quality, perfect treble and bass this well. Autonomy is more than 5 hours and can recharge them at least 10x with the base. It is very nice to let the headset in the base without they fall because they are aimenté and start their own care. Also no problem to turn on and off and the pair, they do all this alone as long as you take them or enter their base. I definitely recommend this product, I really can not do without me.</v>
      </c>
    </row>
    <row r="12630">
      <c r="A12630" s="1">
        <v>5.0</v>
      </c>
      <c r="B12630" s="1" t="s">
        <v>12420</v>
      </c>
      <c r="C12630" t="str">
        <f>IFERROR(__xludf.DUMMYFUNCTION("GOOGLETRANSLATE(B12630, ""fr"", ""en"")"),"Vintage Style Offered to my little brother, 24, who has not yet broken, and the door forever. This is a feat :) Vintage style, nice.")</f>
        <v>Vintage Style Offered to my little brother, 24, who has not yet broken, and the door forever. This is a feat :) Vintage style, nice.</v>
      </c>
    </row>
    <row r="12631">
      <c r="A12631" s="1">
        <v>5.0</v>
      </c>
      <c r="B12631" s="1" t="s">
        <v>12421</v>
      </c>
      <c r="C12631" t="str">
        <f>IFERROR(__xludf.DUMMYFUNCTION("GOOGLETRANSLATE(B12631, ""fr"", ""en"")"),"Nickel Good quality / price, as against what is a dynamic microhpone it needs an amp powerful enough: that the lexicon alpha was not enough, so I achette preamp (ART mp tube for ~ 40 eur) and it works impec. With an arm to attach the microphone is perfect"&amp;" for stream / podcast.")</f>
        <v>Nickel Good quality / price, as against what is a dynamic microhpone it needs an amp powerful enough: that the lexicon alpha was not enough, so I achette preamp (ART mp tube for ~ 40 eur) and it works impec. With an arm to attach the microphone is perfect for stream / podcast.</v>
      </c>
    </row>
    <row r="12632">
      <c r="A12632" s="1">
        <v>2.0</v>
      </c>
      <c r="B12632" s="1" t="s">
        <v>12422</v>
      </c>
      <c r="C12632" t="str">
        <f>IFERROR(__xludf.DUMMYFUNCTION("GOOGLETRANSLATE(B12632, ""fr"", ""en"")"),"Headphones JBL T450 wired One thing that is sure is that c we will not break the ears with the headphones, you can not become dull with this one! No volume, no one can even enjoy the sound quality because the volume is much too low. I DO NOT ADVISED OF AL"&amp;"L the people who like good sound at high volume.")</f>
        <v>Headphones JBL T450 wired One thing that is sure is that c we will not break the ears with the headphones, you can not become dull with this one! No volume, no one can even enjoy the sound quality because the volume is much too low. I DO NOT ADVISED OF ALL the people who like good sound at high volume.</v>
      </c>
    </row>
    <row r="12633">
      <c r="A12633" s="1">
        <v>1.0</v>
      </c>
      <c r="B12633" s="1" t="s">
        <v>12423</v>
      </c>
      <c r="C12633" t="str">
        <f>IFERROR(__xludf.DUMMYFUNCTION("GOOGLETRANSLATE(B12633, ""fr"", ""en"")"),"Cap Child crappy cap the cap is not strong enough for this stand she fell down when I but it looks like my head and push in 3 meter")</f>
        <v>Cap Child crappy cap the cap is not strong enough for this stand she fell down when I but it looks like my head and push in 3 meter</v>
      </c>
    </row>
    <row r="12634">
      <c r="A12634" s="1">
        <v>1.0</v>
      </c>
      <c r="B12634" s="1" t="s">
        <v>12424</v>
      </c>
      <c r="C12634" t="str">
        <f>IFERROR(__xludf.DUMMYFUNCTION("GOOGLETRANSLATE(B12634, ""fr"", ""en"")"),"Useless S peeling at the slightest contact with the fabric.")</f>
        <v>Useless S peeling at the slightest contact with the fabric.</v>
      </c>
    </row>
    <row r="12635">
      <c r="A12635" s="1">
        <v>3.0</v>
      </c>
      <c r="B12635" s="1" t="s">
        <v>12425</v>
      </c>
      <c r="C12635" t="str">
        <f>IFERROR(__xludf.DUMMYFUNCTION("GOOGLETRANSLATE(B12635, ""fr"", ""en"")"),"Beautiful and convenient but fragile convincing ergonomics and temperature adjustment. Only drawback, the machine dropped before the term of one year. Back and rapid exchange of Amazon. I hope the news will not let me go that fast.")</f>
        <v>Beautiful and convenient but fragile convincing ergonomics and temperature adjustment. Only drawback, the machine dropped before the term of one year. Back and rapid exchange of Amazon. I hope the news will not let me go that fast.</v>
      </c>
    </row>
    <row r="12636">
      <c r="A12636" s="1">
        <v>3.0</v>
      </c>
      <c r="B12636" s="1" t="s">
        <v>12426</v>
      </c>
      <c r="C12636" t="str">
        <f>IFERROR(__xludf.DUMMYFUNCTION("GOOGLETRANSLATE(B12636, ""fr"", ""en"")"),"Pretty noisy disappointed, having already had gazelles purchased on the site Adidas I did not expect that they squeak.")</f>
        <v>Pretty noisy disappointed, having already had gazelles purchased on the site Adidas I did not expect that they squeak.</v>
      </c>
    </row>
    <row r="12637">
      <c r="A12637" s="1">
        <v>4.0</v>
      </c>
      <c r="B12637" s="1" t="s">
        <v>12427</v>
      </c>
      <c r="C12637" t="str">
        <f>IFERROR(__xludf.DUMMYFUNCTION("GOOGLETRANSLATE(B12637, ""fr"", ""en"")"),"Okay Me was very useful for the mixed weather. To have tested touring, I was very well served following temperature which varied quite often in the day")</f>
        <v>Okay Me was very useful for the mixed weather. To have tested touring, I was very well served following temperature which varied quite often in the day</v>
      </c>
    </row>
    <row r="12638">
      <c r="A12638" s="1">
        <v>4.0</v>
      </c>
      <c r="B12638" s="1" t="s">
        <v>12428</v>
      </c>
      <c r="C12638" t="str">
        <f>IFERROR(__xludf.DUMMYFUNCTION("GOOGLETRANSLATE(B12638, ""fr"", ""en"")"),"Watch every day, nice watch everyday, wearable")</f>
        <v>Watch every day, nice watch everyday, wearable</v>
      </c>
    </row>
    <row r="12639">
      <c r="A12639" s="1">
        <v>4.0</v>
      </c>
      <c r="B12639" s="1" t="s">
        <v>12429</v>
      </c>
      <c r="C12639" t="str">
        <f>IFERROR(__xludf.DUMMYFUNCTION("GOOGLETRANSLATE(B12639, ""fr"", ""en"")"),"While I was going ésaillé pair Advent store to buy so for size no problems! As against the black is a wash out over time can damage I'll see to recolor machine")</f>
        <v>While I was going ésaillé pair Advent store to buy so for size no problems! As against the black is a wash out over time can damage I'll see to recolor machine</v>
      </c>
    </row>
    <row r="12640">
      <c r="A12640" s="1">
        <v>4.0</v>
      </c>
      <c r="B12640" s="1" t="s">
        <v>12430</v>
      </c>
      <c r="C12640" t="str">
        <f>IFERROR(__xludf.DUMMYFUNCTION("GOOGLETRANSLATE(B12640, ""fr"", ""en"")"),"Very soft, to play bocce")</f>
        <v>Very soft, to play bocce</v>
      </c>
    </row>
    <row r="12641">
      <c r="A12641" s="1">
        <v>5.0</v>
      </c>
      <c r="B12641" s="1" t="s">
        <v>12431</v>
      </c>
      <c r="C12641" t="str">
        <f>IFERROR(__xludf.DUMMYFUNCTION("GOOGLETRANSLATE(B12641, ""fr"", ""en"")"),"Perfect Camera very good. Be careful though with the power of the camera, I set between 2 and 3 of 6 beyond I start to produce coal!")</f>
        <v>Perfect Camera very good. Be careful though with the power of the camera, I set between 2 and 3 of 6 beyond I start to produce coal!</v>
      </c>
    </row>
    <row r="12642">
      <c r="A12642" s="1">
        <v>5.0</v>
      </c>
      <c r="B12642" s="1" t="s">
        <v>12432</v>
      </c>
      <c r="C12642" t="str">
        <f>IFERROR(__xludf.DUMMYFUNCTION("GOOGLETRANSLATE(B12642, ""fr"", ""en"")"),"super friendly and easy to use This product was a gift, it works great and is very design. only comment is super lightweight and can need her put out of the reach of children.")</f>
        <v>super friendly and easy to use This product was a gift, it works great and is very design. only comment is super lightweight and can need her put out of the reach of children.</v>
      </c>
    </row>
    <row r="12643">
      <c r="A12643" s="1">
        <v>5.0</v>
      </c>
      <c r="B12643" s="1" t="s">
        <v>12433</v>
      </c>
      <c r="C12643" t="str">
        <f>IFERROR(__xludf.DUMMYFUNCTION("GOOGLETRANSLATE(B12643, ""fr"", ""en"")"),"Kettle This kettle with style, you can choose the temperature, which avoids having to wait for his tea or infusion. Gift that pleases. Only drawback, it beeps when laying on its base.")</f>
        <v>Kettle This kettle with style, you can choose the temperature, which avoids having to wait for his tea or infusion. Gift that pleases. Only drawback, it beeps when laying on its base.</v>
      </c>
    </row>
    <row r="12644">
      <c r="A12644" s="1">
        <v>5.0</v>
      </c>
      <c r="B12644" s="1" t="s">
        <v>12434</v>
      </c>
      <c r="C12644" t="str">
        <f>IFERROR(__xludf.DUMMYFUNCTION("GOOGLETRANSLATE(B12644, ""fr"", ""en"")"),"impeccable great product well made Super product! I was looking for a small bag for my iPad mini and it's just what I need with enough compartment")</f>
        <v>impeccable great product well made Super product! I was looking for a small bag for my iPad mini and it's just what I need with enough compartment</v>
      </c>
    </row>
    <row r="12645">
      <c r="A12645" s="1">
        <v>5.0</v>
      </c>
      <c r="B12645" s="1" t="s">
        <v>12435</v>
      </c>
      <c r="C12645" t="str">
        <f>IFERROR(__xludf.DUMMYFUNCTION("GOOGLETRANSLATE(B12645, ""fr"", ""en"")"),"Excellent product for the price I like. The quality / price is still very good. The headphones insulate well from the outside world but the sound quality does not equal headphones with quality thread. It's been a month since I received these headphones wi"&amp;"th 3 days late: the battery keeps me around 8 hours, which makes me 4 days of use for me. It will charge in 30 minutes.")</f>
        <v>Excellent product for the price I like. The quality / price is still very good. The headphones insulate well from the outside world but the sound quality does not equal headphones with quality thread. It's been a month since I received these headphones with 3 days late: the battery keeps me around 8 hours, which makes me 4 days of use for me. It will charge in 30 minutes.</v>
      </c>
    </row>
    <row r="12646">
      <c r="A12646" s="1">
        <v>5.0</v>
      </c>
      <c r="B12646" s="1" t="s">
        <v>12436</v>
      </c>
      <c r="C12646" t="str">
        <f>IFERROR(__xludf.DUMMYFUNCTION("GOOGLETRANSLATE(B12646, ""fr"", ""en"")"),"Good product to combat cellulite This little massager provides wellness and already having an impact on cellulite.")</f>
        <v>Good product to combat cellulite This little massager provides wellness and already having an impact on cellulite.</v>
      </c>
    </row>
    <row r="12647">
      <c r="A12647" s="1">
        <v>5.0</v>
      </c>
      <c r="B12647" s="1" t="s">
        <v>12437</v>
      </c>
      <c r="C12647" t="str">
        <f>IFERROR(__xludf.DUMMYFUNCTION("GOOGLETRANSLATE(B12647, ""fr"", ""en"")"),"always a good brand since buying my Canon printer I use Canon cartridge I order via Amazon")</f>
        <v>always a good brand since buying my Canon printer I use Canon cartridge I order via Amazon</v>
      </c>
    </row>
    <row r="12648">
      <c r="A12648" s="1">
        <v>5.0</v>
      </c>
      <c r="B12648" s="1" t="s">
        <v>12438</v>
      </c>
      <c r="C12648" t="str">
        <f>IFERROR(__xludf.DUMMYFUNCTION("GOOGLETRANSLATE(B12648, ""fr"", ""en"")"),"My son preference Good value, my son prefers mam baby bottles since birth")</f>
        <v>My son preference Good value, my son prefers mam baby bottles since birth</v>
      </c>
    </row>
    <row r="12649">
      <c r="A12649" s="1">
        <v>5.0</v>
      </c>
      <c r="B12649" s="1" t="s">
        <v>12439</v>
      </c>
      <c r="C12649" t="str">
        <f>IFERROR(__xludf.DUMMYFUNCTION("GOOGLETRANSLATE(B12649, ""fr"", ""en"")"),"Great spot 👍👍👍👍👍 I had already ordered a copy and I was impressed with the quality of these headphones. I just offer this copy to my teen: mega smile! He loved the design. The insertion into the ear is done well (several ambouts) after one week, it i"&amp;"s always so happy and delighted. 👍👍👍👍👍")</f>
        <v>Great spot 👍👍👍👍👍 I had already ordered a copy and I was impressed with the quality of these headphones. I just offer this copy to my teen: mega smile! He loved the design. The insertion into the ear is done well (several ambouts) after one week, it is always so happy and delighted. 👍👍👍👍👍</v>
      </c>
    </row>
    <row r="12650">
      <c r="A12650" s="1">
        <v>5.0</v>
      </c>
      <c r="B12650" s="1" t="s">
        <v>12440</v>
      </c>
      <c r="C12650" t="str">
        <f>IFERROR(__xludf.DUMMYFUNCTION("GOOGLETRANSLATE(B12650, ""fr"", ""en"")"),"Simple and beautiful simple and accurate did what we asked. I put my helmet blutooth every night. So he put away and not messy.")</f>
        <v>Simple and beautiful simple and accurate did what we asked. I put my helmet blutooth every night. So he put away and not messy.</v>
      </c>
    </row>
    <row r="12651">
      <c r="A12651" s="1">
        <v>5.0</v>
      </c>
      <c r="B12651" s="1" t="s">
        <v>12441</v>
      </c>
      <c r="C12651" t="str">
        <f>IFERROR(__xludf.DUMMYFUNCTION("GOOGLETRANSLATE(B12651, ""fr"", ""en"")"),"EXCELLENT Very comfortable, strong, and fit me like a glove. I left with the VN for 1 month, returning they are still solid. So I use them for home.")</f>
        <v>EXCELLENT Very comfortable, strong, and fit me like a glove. I left with the VN for 1 month, returning they are still solid. So I use them for home.</v>
      </c>
    </row>
    <row r="12652">
      <c r="A12652" s="1">
        <v>5.0</v>
      </c>
      <c r="B12652" s="1" t="s">
        <v>12442</v>
      </c>
      <c r="C12652" t="str">
        <f>IFERROR(__xludf.DUMMYFUNCTION("GOOGLETRANSLATE(B12652, ""fr"", ""en"")"),"Top Super cleans well does not scratch the bottles. I use the special liquid bottle of the same brand and no milk residues can resist ;-)")</f>
        <v>Top Super cleans well does not scratch the bottles. I use the special liquid bottle of the same brand and no milk residues can resist ;-)</v>
      </c>
    </row>
    <row r="12653">
      <c r="A12653" s="1">
        <v>5.0</v>
      </c>
      <c r="B12653" s="1" t="s">
        <v>12443</v>
      </c>
      <c r="C12653" t="str">
        <f>IFERROR(__xludf.DUMMYFUNCTION("GOOGLETRANSLATE(B12653, ""fr"", ""en"")"),"Having perfect gift offered this gift to my mother for her birthday, she was thrilled. We never had a problem with. In addition, it has different functionality that are very useful (heating massage as massage without heat).")</f>
        <v>Having perfect gift offered this gift to my mother for her birthday, she was thrilled. We never had a problem with. In addition, it has different functionality that are very useful (heating massage as massage without heat).</v>
      </c>
    </row>
    <row r="12654">
      <c r="A12654" s="1">
        <v>5.0</v>
      </c>
      <c r="B12654" s="1" t="s">
        <v>12444</v>
      </c>
      <c r="C12654" t="str">
        <f>IFERROR(__xludf.DUMMYFUNCTION("GOOGLETRANSLATE(B12654, ""fr"", ""en"")"),"Quality bottles Dodie cabinet. Great quality Dodie, plus they are super nice. Gift to do.")</f>
        <v>Quality bottles Dodie cabinet. Great quality Dodie, plus they are super nice. Gift to do.</v>
      </c>
    </row>
    <row r="12655">
      <c r="A12655" s="1">
        <v>5.0</v>
      </c>
      <c r="B12655" s="1" t="s">
        <v>12445</v>
      </c>
      <c r="C12655" t="str">
        <f>IFERROR(__xludf.DUMMYFUNCTION("GOOGLETRANSLATE(B12655, ""fr"", ""en"")"),"Very good very good very practical every year I bought the same charge and I never decue. This is complete and delivered quickly")</f>
        <v>Very good very good very practical every year I bought the same charge and I never decue. This is complete and delivered quickly</v>
      </c>
    </row>
    <row r="12656">
      <c r="A12656" s="1">
        <v>2.0</v>
      </c>
      <c r="B12656" s="1" t="s">
        <v>12446</v>
      </c>
      <c r="C12656" t="str">
        <f>IFERROR(__xludf.DUMMYFUNCTION("GOOGLETRANSLATE(B12656, ""fr"", ""en"")"),"Very disappointed very disappointed in the size of the stones, very small.")</f>
        <v>Very disappointed very disappointed in the size of the stones, very small.</v>
      </c>
    </row>
    <row r="12657">
      <c r="A12657" s="1">
        <v>1.0</v>
      </c>
      <c r="B12657" s="1" t="s">
        <v>12447</v>
      </c>
      <c r="C12657" t="str">
        <f>IFERROR(__xludf.DUMMYFUNCTION("GOOGLETRANSLATE(B12657, ""fr"", ""en"")"),"device does not work the bubbles function works even not, the device was used only 3 times since 2 months and already lafonction bubbles no longer works at all, plus it makes too much noise and heat function remains the same for each temperature. I asked "&amp;"to be romboursé")</f>
        <v>device does not work the bubbles function works even not, the device was used only 3 times since 2 months and already lafonction bubbles no longer works at all, plus it makes too much noise and heat function remains the same for each temperature. I asked to be romboursé</v>
      </c>
    </row>
    <row r="12658">
      <c r="A12658" s="1">
        <v>1.0</v>
      </c>
      <c r="B12658" s="1" t="s">
        <v>12448</v>
      </c>
      <c r="C12658" t="str">
        <f>IFERROR(__xludf.DUMMYFUNCTION("GOOGLETRANSLATE(B12658, ""fr"", ""en"")"),"Not at all waterproof, hazardous We bought these shoes for a trek of several days, as they were ""waterproof"", however, the first day of drizzle and Meeme with quality gaiters and waterproof pants, water is returned the front of the shoe causing blisters"&amp;" because the shoes were drying very slowly inside. Really dangerous for hiking. Deçue.")</f>
        <v>Not at all waterproof, hazardous We bought these shoes for a trek of several days, as they were "waterproof", however, the first day of drizzle and Meeme with quality gaiters and waterproof pants, water is returned the front of the shoe causing blisters because the shoes were drying very slowly inside. Really dangerous for hiking. Deçue.</v>
      </c>
    </row>
    <row r="12659">
      <c r="A12659" s="1">
        <v>3.0</v>
      </c>
      <c r="B12659" s="1" t="s">
        <v>12449</v>
      </c>
      <c r="C12659" t="str">
        <f>IFERROR(__xludf.DUMMYFUNCTION("GOOGLETRANSLATE(B12659, ""fr"", ""en"")"),"Although The sole matures quickly but for ca secondary shoes will do.")</f>
        <v>Although The sole matures quickly but for ca secondary shoes will do.</v>
      </c>
    </row>
    <row r="12660">
      <c r="A12660" s="1">
        <v>4.0</v>
      </c>
      <c r="B12660" s="1" t="s">
        <v>12450</v>
      </c>
      <c r="C12660" t="str">
        <f>IFERROR(__xludf.DUMMYFUNCTION("GOOGLETRANSLATE(B12660, ""fr"", ""en"")"),"Watch The watch is pretty nice, not too big, it is good, I hope it will age well.")</f>
        <v>Watch The watch is pretty nice, not too big, it is good, I hope it will age well.</v>
      </c>
    </row>
    <row r="12661">
      <c r="A12661" s="1">
        <v>4.0</v>
      </c>
      <c r="B12661" s="1" t="s">
        <v>12451</v>
      </c>
      <c r="C12661" t="str">
        <f>IFERROR(__xludf.DUMMYFUNCTION("GOOGLETRANSLATE(B12661, ""fr"", ""en"")"),"pretty solid and sports socks I buy every year these small sports socks, they are cotton and absorb sweat well. They remain very white after many washes and are strong; they can last a good season, so they match as I expect, but beware, they carve small e"&amp;"nough.")</f>
        <v>pretty solid and sports socks I buy every year these small sports socks, they are cotton and absorb sweat well. They remain very white after many washes and are strong; they can last a good season, so they match as I expect, but beware, they carve small enough.</v>
      </c>
    </row>
    <row r="12662">
      <c r="A12662" s="1">
        <v>4.0</v>
      </c>
      <c r="B12662" s="1" t="s">
        <v>12452</v>
      </c>
      <c r="C12662" t="str">
        <f>IFERROR(__xludf.DUMMYFUNCTION("GOOGLETRANSLATE(B12662, ""fr"", ""en"")"),"NO NOTICE IN FRENCH AIR COFFEE THAT PRACTICE I COME TO RECEIVE ONLY BIG PROBLEM NO NOTICE IN FRENCH")</f>
        <v>NO NOTICE IN FRENCH AIR COFFEE THAT PRACTICE I COME TO RECEIVE ONLY BIG PROBLEM NO NOTICE IN FRENCH</v>
      </c>
    </row>
    <row r="12663">
      <c r="A12663" s="1">
        <v>4.0</v>
      </c>
      <c r="B12663" s="1" t="s">
        <v>12453</v>
      </c>
      <c r="C12663" t="str">
        <f>IFERROR(__xludf.DUMMYFUNCTION("GOOGLETRANSLATE(B12663, ""fr"", ""en"")"),"Glad number matching the description. Glad to order")</f>
        <v>Glad number matching the description. Glad to order</v>
      </c>
    </row>
    <row r="12664">
      <c r="A12664" s="1">
        <v>5.0</v>
      </c>
      <c r="B12664" s="1" t="s">
        <v>12454</v>
      </c>
      <c r="C12664" t="str">
        <f>IFERROR(__xludf.DUMMYFUNCTION("GOOGLETRANSLATE(B12664, ""fr"", ""en"")"),"Perfect. Good shoes, true to the description.")</f>
        <v>Perfect. Good shoes, true to the description.</v>
      </c>
    </row>
    <row r="12665">
      <c r="A12665" s="1">
        <v>5.0</v>
      </c>
      <c r="B12665" s="1" t="s">
        <v>12455</v>
      </c>
      <c r="C12665" t="str">
        <f>IFERROR(__xludf.DUMMYFUNCTION("GOOGLETRANSLATE(B12665, ""fr"", ""en"")"),"Bluffing This tape is simply amazing! It was several months I was trying to block my mailbox without creating additional hole and I tried this tape without really believing it and since it has not moved! Yet the conditions are tough on the outside: cold, "&amp;"rain, sun, etc. Now everything goes: recalcitrant baseboards, furniture to patch up the objects to be attached to a wall, etc. Nothing can resist him! Be careful though: the flip side is that once stuck, unable to back as a simple adhesive.")</f>
        <v>Bluffing This tape is simply amazing! It was several months I was trying to block my mailbox without creating additional hole and I tried this tape without really believing it and since it has not moved! Yet the conditions are tough on the outside: cold, rain, sun, etc. Now everything goes: recalcitrant baseboards, furniture to patch up the objects to be attached to a wall, etc. Nothing can resist him! Be careful though: the flip side is that once stuck, unable to back as a simple adhesive.</v>
      </c>
    </row>
    <row r="12666">
      <c r="A12666" s="1">
        <v>5.0</v>
      </c>
      <c r="B12666" s="1" t="s">
        <v>12456</v>
      </c>
      <c r="C12666" t="str">
        <f>IFERROR(__xludf.DUMMYFUNCTION("GOOGLETRANSLATE(B12666, ""fr"", ""en"")"),"Hilarious! This is one of my best purchases. No need to turn on the TV and sound system for the evenings Karaoke, microphone does the job! The integrated speaker provides sound as good as powerful. Can connect his phone and, with karaoke function, only se"&amp;"nd music to the speaker. Micro proposes to change the voice in 4 different ways, which makes the hilarious thing. I highly recommend this purchase.")</f>
        <v>Hilarious! This is one of my best purchases. No need to turn on the TV and sound system for the evenings Karaoke, microphone does the job! The integrated speaker provides sound as good as powerful. Can connect his phone and, with karaoke function, only send music to the speaker. Micro proposes to change the voice in 4 different ways, which makes the hilarious thing. I highly recommend this purchase.</v>
      </c>
    </row>
    <row r="12667">
      <c r="A12667" s="1">
        <v>5.0</v>
      </c>
      <c r="B12667" s="1" t="s">
        <v>12457</v>
      </c>
      <c r="C12667" t="str">
        <f>IFERROR(__xludf.DUMMYFUNCTION("GOOGLETRANSLATE(B12667, ""fr"", ""en"")"),"consistent consistent with the description, works perfectly. Convenient to travel when no kettle in a hotel room.")</f>
        <v>consistent consistent with the description, works perfectly. Convenient to travel when no kettle in a hotel room.</v>
      </c>
    </row>
    <row r="12668">
      <c r="A12668" s="1">
        <v>5.0</v>
      </c>
      <c r="B12668" s="1" t="s">
        <v>12458</v>
      </c>
      <c r="C12668" t="str">
        <f>IFERROR(__xludf.DUMMYFUNCTION("GOOGLETRANSLATE(B12668, ""fr"", ""en"")"),"light, pleasant, beautiful These sneakers are for my wife. She liked its color gradient. Its light when the door she feels she has nothing to toe. Good value for money.")</f>
        <v>light, pleasant, beautiful These sneakers are for my wife. She liked its color gradient. Its light when the door she feels she has nothing to toe. Good value for money.</v>
      </c>
    </row>
    <row r="12669">
      <c r="A12669" s="1">
        <v>5.0</v>
      </c>
      <c r="B12669" s="1" t="s">
        <v>12459</v>
      </c>
      <c r="C12669" t="str">
        <f>IFERROR(__xludf.DUMMYFUNCTION("GOOGLETRANSLATE(B12669, ""fr"", ""en"")"),"Great product very good product that relieves perfectly avoids me some time to take painkillers. Early practice little massage time otherwise you will have the opposite effect which is a shame !!!! Perfect Packing a small carrying case would have been nic"&amp;"e for storage and transport. I am so happy that I ordered the same but for the neck.")</f>
        <v>Great product very good product that relieves perfectly avoids me some time to take painkillers. Early practice little massage time otherwise you will have the opposite effect which is a shame !!!! Perfect Packing a small carrying case would have been nice for storage and transport. I am so happy that I ordered the same but for the neck.</v>
      </c>
    </row>
    <row r="12670">
      <c r="A12670" s="1">
        <v>5.0</v>
      </c>
      <c r="B12670" s="1" t="s">
        <v>12460</v>
      </c>
      <c r="C12670" t="str">
        <f>IFERROR(__xludf.DUMMYFUNCTION("GOOGLETRANSLATE(B12670, ""fr"", ""en"")"),"Practice When traveling for a few days, she made us service to heat water for tea and coffee! practice, heats up quickly and bonuses with the cups come with !!!!")</f>
        <v>Practice When traveling for a few days, she made us service to heat water for tea and coffee! practice, heats up quickly and bonuses with the cups come with !!!!</v>
      </c>
    </row>
    <row r="12671">
      <c r="A12671" s="1">
        <v>5.0</v>
      </c>
      <c r="B12671" s="1" t="s">
        <v>12461</v>
      </c>
      <c r="C12671" t="str">
        <f>IFERROR(__xludf.DUMMYFUNCTION("GOOGLETRANSLATE(B12671, ""fr"", ""en"")"),"Great, great stylish, elegant the door gently to many storage pockets and even a planned pocket tablet or laptop. Conforms to the announcement, nice finish")</f>
        <v>Great, great stylish, elegant the door gently to many storage pockets and even a planned pocket tablet or laptop. Conforms to the announcement, nice finish</v>
      </c>
    </row>
    <row r="12672">
      <c r="A12672" s="1">
        <v>5.0</v>
      </c>
      <c r="B12672" s="1" t="s">
        <v>12462</v>
      </c>
      <c r="C12672" t="str">
        <f>IFERROR(__xludf.DUMMYFUNCTION("GOOGLETRANSLATE(B12672, ""fr"", ""en"")"),"Excellent This is my first step on the independent microphone. I chose this one for its popularity. My voice is much clearer, it adds a little semi-pro at your desk side. Combined with a microphone on foot (to buy a share) that allows placement as desired"&amp;". So even whispering you will be heard. I am delighted.")</f>
        <v>Excellent This is my first step on the independent microphone. I chose this one for its popularity. My voice is much clearer, it adds a little semi-pro at your desk side. Combined with a microphone on foot (to buy a share) that allows placement as desired. So even whispering you will be heard. I am delighted.</v>
      </c>
    </row>
    <row r="12673">
      <c r="A12673" s="1">
        <v>5.0</v>
      </c>
      <c r="B12673" s="1" t="s">
        <v>12463</v>
      </c>
      <c r="C12673" t="str">
        <f>IFERROR(__xludf.DUMMYFUNCTION("GOOGLETRANSLATE(B12673, ""fr"", ""en"")"),"""Hyper soft and comfortable as in the arm"" C is surprised gift for my girlfriend who has just left the north. She's super touched and happy! She said that is super soft and comfortable heating just as well in my arms haha! Very handy with these 7 Temper"&amp;"ature levels. I am very happy for this order! I recommand it!")</f>
        <v>"Hyper soft and comfortable as in the arm" C is surprised gift for my girlfriend who has just left the north. She's super touched and happy! She said that is super soft and comfortable heating just as well in my arms haha! Very handy with these 7 Temperature levels. I am very happy for this order! I recommand it!</v>
      </c>
    </row>
    <row r="12674">
      <c r="A12674" s="1">
        <v>5.0</v>
      </c>
      <c r="B12674" s="1" t="s">
        <v>12464</v>
      </c>
      <c r="C12674" t="str">
        <f>IFERROR(__xludf.DUMMYFUNCTION("GOOGLETRANSLATE(B12674, ""fr"", ""en"")"),"Close to perfect The ""+"": - Discrete oreillètes once positioned - light: once well established in the ear, it is not end there not too careful - the atria (dis) connect automatically as soon as one puts / takes off - the function to mute music to listen"&amp;" to someone who speaks is really handy - the charging unit is very useful and small enough to be carried in a handbag: it allows to store atria and recharge at the same time (no excuse for losing a headset!) - the noise reduction function is really nice -"&amp;" no complaints level autonomy - no problem synchro left / right - I can away from my phone home, the atria remain connected the ""-"": - no volume control on the ear: I miss ... true gems, these headphones!")</f>
        <v>Close to perfect The "+": - Discrete oreillètes once positioned - light: once well established in the ear, it is not end there not too careful - the atria (dis) connect automatically as soon as one puts / takes off - the function to mute music to listen to someone who speaks is really handy - the charging unit is very useful and small enough to be carried in a handbag: it allows to store atria and recharge at the same time (no excuse for losing a headset!) - the noise reduction function is really nice - no complaints level autonomy - no problem synchro left / right - I can away from my phone home, the atria remain connected the "-": - no volume control on the ear: I miss ... true gems, these headphones!</v>
      </c>
    </row>
    <row r="12675">
      <c r="A12675" s="1">
        <v>5.0</v>
      </c>
      <c r="B12675" s="1" t="s">
        <v>12465</v>
      </c>
      <c r="C12675" t="str">
        <f>IFERROR(__xludf.DUMMYFUNCTION("GOOGLETRANSLATE(B12675, ""fr"", ""en"")"),"A typical recommended I bought this for my first Seiko 5 automatic, relatively affordable compared to other automatic watches of the same company, and I wear it on weekdays as it is boilerplate. - Housing: The housing is adapted to the small wrist. The wa"&amp;"tch is slightly brushed, matte, very simple. In the dark, the Seiko Lumibrite technology is truly effective, you can read the time easily. - Strap: Nato strap is strong enough, even after a year of use, I do not see any traces of wear, and is washable. - "&amp;"Accuracy: The watch is pretty accurate with a lag of about -10sec / day, which is quite correct, knowing that the power reserve is approximately 40 hours, I readjusted every week debut this n is not binding.")</f>
        <v>A typical recommended I bought this for my first Seiko 5 automatic, relatively affordable compared to other automatic watches of the same company, and I wear it on weekdays as it is boilerplate. - Housing: The housing is adapted to the small wrist. The watch is slightly brushed, matte, very simple. In the dark, the Seiko Lumibrite technology is truly effective, you can read the time easily. - Strap: Nato strap is strong enough, even after a year of use, I do not see any traces of wear, and is washable. - Accuracy: The watch is pretty accurate with a lag of about -10sec / day, which is quite correct, knowing that the power reserve is approximately 40 hours, I readjusted every week debut this n is not binding.</v>
      </c>
    </row>
    <row r="12676">
      <c r="A12676" s="1">
        <v>5.0</v>
      </c>
      <c r="B12676" s="1" t="s">
        <v>12466</v>
      </c>
      <c r="C12676" t="str">
        <f>IFERROR(__xludf.DUMMYFUNCTION("GOOGLETRANSLATE(B12676, ""fr"", ""en"")"),"gorgeous shoes I added to my comment on that even after 3 months of use intense no loss of quality is observed, the sole so everything is always perfectly sized top.La going myself, Delivery was fast, The packaging was great bien.La usual size should bien"&amp;".Je very highly recommend this article.Taille perfect conformity of, quality comfortable shoes, wide choice of colors, very fun.C'est a very good quality / prix.Je the recommends that all women who want to be beautiful without pain at late afternoon legs")</f>
        <v>gorgeous shoes I added to my comment on that even after 3 months of use intense no loss of quality is observed, the sole so everything is always perfectly sized top.La going myself, Delivery was fast, The packaging was great bien.La usual size should bien.Je very highly recommend this article.Taille perfect conformity of, quality comfortable shoes, wide choice of colors, very fun.C'est a very good quality / prix.Je the recommends that all women who want to be beautiful without pain at late afternoon legs</v>
      </c>
    </row>
    <row r="12677">
      <c r="A12677" s="1">
        <v>5.0</v>
      </c>
      <c r="B12677" s="1" t="s">
        <v>12467</v>
      </c>
      <c r="C12677" t="str">
        <f>IFERROR(__xludf.DUMMYFUNCTION("GOOGLETRANSLATE(B12677, ""fr"", ""en"")"),"Excellent Excellent quality, as I expected from this brand. The shoes are sturdy and are very comfortable. Only small problem, they keep feet warm. I do not really treated as a negative argument because in winter it can be very happy to have them!")</f>
        <v>Excellent Excellent quality, as I expected from this brand. The shoes are sturdy and are very comfortable. Only small problem, they keep feet warm. I do not really treated as a negative argument because in winter it can be very happy to have them!</v>
      </c>
    </row>
    <row r="12678">
      <c r="A12678" s="1">
        <v>5.0</v>
      </c>
      <c r="B12678" s="1" t="s">
        <v>12468</v>
      </c>
      <c r="C12678" t="str">
        <f>IFERROR(__xludf.DUMMYFUNCTION("GOOGLETRANSLATE(B12678, ""fr"", ""en"")"),"beautiful object beautiful finishes, a good, solid, fixed without problems and disseminates pleasant way without it is heady, comes with a nice velvet pouch is perfect")</f>
        <v>beautiful object beautiful finishes, a good, solid, fixed without problems and disseminates pleasant way without it is heady, comes with a nice velvet pouch is perfect</v>
      </c>
    </row>
    <row r="12679">
      <c r="A12679" s="1">
        <v>2.0</v>
      </c>
      <c r="B12679" s="1" t="s">
        <v>12469</v>
      </c>
      <c r="C12679" t="str">
        <f>IFERROR(__xludf.DUMMYFUNCTION("GOOGLETRANSLATE(B12679, ""fr"", ""en"")"),"🙁 🙂")</f>
        <v>🙁 🙂</v>
      </c>
    </row>
    <row r="12680">
      <c r="A12680" s="1">
        <v>1.0</v>
      </c>
      <c r="B12680" s="1" t="s">
        <v>12470</v>
      </c>
      <c r="C12680" t="str">
        <f>IFERROR(__xludf.DUMMYFUNCTION("GOOGLETRANSLATE(B12680, ""fr"", ""en"")"),"does not stick very disappointed it's simple, scotch double-sided adhesive that does a side. So this is not double-sided. very disappointed, especially for tape ""Extreme Performance""")</f>
        <v>does not stick very disappointed it's simple, scotch double-sided adhesive that does a side. So this is not double-sided. very disappointed, especially for tape "Extreme Performance"</v>
      </c>
    </row>
    <row r="12681">
      <c r="A12681" s="1">
        <v>3.0</v>
      </c>
      <c r="B12681" s="1" t="s">
        <v>12471</v>
      </c>
      <c r="C12681" t="str">
        <f>IFERROR(__xludf.DUMMYFUNCTION("GOOGLETRANSLATE(B12681, ""fr"", ""en"")"),"Mitijer opinion on this purchase Bottle warmer rather difficult to use (especially at 3am) must determine the quantity of water depending on the type of bottle and the amount of milk.")</f>
        <v>Mitijer opinion on this purchase Bottle warmer rather difficult to use (especially at 3am) must determine the quantity of water depending on the type of bottle and the amount of milk.</v>
      </c>
    </row>
    <row r="12682">
      <c r="A12682" s="1">
        <v>3.0</v>
      </c>
      <c r="B12682" s="1" t="s">
        <v>12472</v>
      </c>
      <c r="C12682" t="str">
        <f>IFERROR(__xludf.DUMMYFUNCTION("GOOGLETRANSLATE(B12682, ""fr"", ""en"")"),"helpful but value for money untoward The unit heats water quickly, but contrary to what you said, his bibi can do with one hand ... In addition, after a month and a half of use due to 5 times a day, faucet leaks.")</f>
        <v>helpful but value for money untoward The unit heats water quickly, but contrary to what you said, his bibi can do with one hand ... In addition, after a month and a half of use due to 5 times a day, faucet leaks.</v>
      </c>
    </row>
    <row r="12683">
      <c r="A12683" s="1">
        <v>4.0</v>
      </c>
      <c r="B12683" s="1" t="s">
        <v>12473</v>
      </c>
      <c r="C12683" t="str">
        <f>IFERROR(__xludf.DUMMYFUNCTION("GOOGLETRANSLATE(B12683, ""fr"", ""en"")"),"BEAUTIFUL RAS trèsbon")</f>
        <v>BEAUTIFUL RAS trèsbon</v>
      </c>
    </row>
    <row r="12684">
      <c r="A12684" s="1">
        <v>4.0</v>
      </c>
      <c r="B12684" s="1" t="s">
        <v>12474</v>
      </c>
      <c r="C12684" t="str">
        <f>IFERROR(__xludf.DUMMYFUNCTION("GOOGLETRANSLATE(B12684, ""fr"", ""en"")"),"Conforms perfect size very comfortable good value for money")</f>
        <v>Conforms perfect size very comfortable good value for money</v>
      </c>
    </row>
    <row r="12685">
      <c r="A12685" s="1">
        <v>4.0</v>
      </c>
      <c r="B12685" s="1" t="s">
        <v>12475</v>
      </c>
      <c r="C12685" t="str">
        <f>IFERROR(__xludf.DUMMYFUNCTION("GOOGLETRANSLATE(B12685, ""fr"", ""en"")"),"Convenient very nice helmet given the price. Just the cable behind your head is not adjustable so it is unsightly when it is too broad")</f>
        <v>Convenient very nice helmet given the price. Just the cable behind your head is not adjustable so it is unsightly when it is too broad</v>
      </c>
    </row>
    <row r="12686">
      <c r="A12686" s="1">
        <v>4.0</v>
      </c>
      <c r="B12686" s="1" t="s">
        <v>12476</v>
      </c>
      <c r="C12686" t="str">
        <f>IFERROR(__xludf.DUMMYFUNCTION("GOOGLETRANSLATE(B12686, ""fr"", ""en"")"),"Good product Very good product, the nipple of the bottle is really good, very flexible compared to other brand, so my son 5 months mostly play with. He accepted without worry. The handling is simple for adult hands or baby. Good product overall")</f>
        <v>Good product Very good product, the nipple of the bottle is really good, very flexible compared to other brand, so my son 5 months mostly play with. He accepted without worry. The handling is simple for adult hands or baby. Good product overall</v>
      </c>
    </row>
    <row r="12687">
      <c r="A12687" s="1">
        <v>5.0</v>
      </c>
      <c r="B12687" s="1" t="s">
        <v>12477</v>
      </c>
      <c r="C12687" t="str">
        <f>IFERROR(__xludf.DUMMYFUNCTION("GOOGLETRANSLATE(B12687, ""fr"", ""en"")"),"very very good quality recommended hello to all the oils in the wrong enaissance he discovered, because it is very very good smell is what were expected of an oil, perfume the whole house, not just the room ! Each oil has its particularity and are fragran"&amp;"ce and weather are among those that I ais tried BEST, I confess that I recommended you and I registered for each of these oils thanks")</f>
        <v>very very good quality recommended hello to all the oils in the wrong enaissance he discovered, because it is very very good smell is what were expected of an oil, perfume the whole house, not just the room ! Each oil has its particularity and are fragrance and weather are among those that I ais tried BEST, I confess that I recommended you and I registered for each of these oils thanks</v>
      </c>
    </row>
    <row r="12688">
      <c r="A12688" s="1">
        <v>5.0</v>
      </c>
      <c r="B12688" s="1" t="s">
        <v>12478</v>
      </c>
      <c r="C12688" t="str">
        <f>IFERROR(__xludf.DUMMYFUNCTION("GOOGLETRANSLATE(B12688, ""fr"", ""en"")"),"Quiet and efficient .... Neck Massager .... superb !!! Very satisfied ..")</f>
        <v>Quiet and efficient .... Neck Massager .... superb !!! Very satisfied ..</v>
      </c>
    </row>
    <row r="12689">
      <c r="A12689" s="1">
        <v>5.0</v>
      </c>
      <c r="B12689" s="1" t="s">
        <v>12479</v>
      </c>
      <c r="C12689" t="str">
        <f>IFERROR(__xludf.DUMMYFUNCTION("GOOGLETRANSLATE(B12689, ""fr"", ""en"")"),"Very good product fully complies with the description. C is very convenient to have as many brushes of different size and shape. Very nice for kids activities")</f>
        <v>Very good product fully complies with the description. C is very convenient to have as many brushes of different size and shape. Very nice for kids activities</v>
      </c>
    </row>
    <row r="12690">
      <c r="A12690" s="1">
        <v>5.0</v>
      </c>
      <c r="B12690" s="1" t="s">
        <v>12480</v>
      </c>
      <c r="C12690" t="str">
        <f>IFERROR(__xludf.DUMMYFUNCTION("GOOGLETRANSLATE(B12690, ""fr"", ""en"")"),"Large amount Cartridge 3 color that works perfectly on my HP Envy 7640. The colors are true, the remaining amount is displayed by the software as the printer. The advantage of the brand cartridge compared to some ""compatible"" sometimes disappointing.")</f>
        <v>Large amount Cartridge 3 color that works perfectly on my HP Envy 7640. The colors are true, the remaining amount is displayed by the software as the printer. The advantage of the brand cartridge compared to some "compatible" sometimes disappointing.</v>
      </c>
    </row>
    <row r="12691">
      <c r="A12691" s="1">
        <v>5.0</v>
      </c>
      <c r="B12691" s="1" t="s">
        <v>369</v>
      </c>
      <c r="C12691" t="str">
        <f>IFERROR(__xludf.DUMMYFUNCTION("GOOGLETRANSLATE(B12691, ""fr"", ""en"")"),"Good product Good product")</f>
        <v>Good product Good product</v>
      </c>
    </row>
    <row r="12692">
      <c r="A12692" s="1">
        <v>5.0</v>
      </c>
      <c r="B12692" s="1" t="s">
        <v>12481</v>
      </c>
      <c r="C12692" t="str">
        <f>IFERROR(__xludf.DUMMYFUNCTION("GOOGLETRANSLATE(B12692, ""fr"", ""en"")"),"Perfect !! Very good value for beautifully crafted cable. Go there again !!")</f>
        <v>Perfect !! Very good value for beautifully crafted cable. Go there again !!</v>
      </c>
    </row>
    <row r="12693">
      <c r="A12693" s="1">
        <v>5.0</v>
      </c>
      <c r="B12693" s="1" t="s">
        <v>12482</v>
      </c>
      <c r="C12693" t="str">
        <f>IFERROR(__xludf.DUMMYFUNCTION("GOOGLETRANSLATE(B12693, ""fr"", ""en"")"),"Quality / great prices! While I was not expecting much considering the price, I am pleasantly surprised and very satisfied. I use a Bird UM1 and the arm does not move with the weight of the microphone.")</f>
        <v>Quality / great prices! While I was not expecting much considering the price, I am pleasantly surprised and very satisfied. I use a Bird UM1 and the arm does not move with the weight of the microphone.</v>
      </c>
    </row>
    <row r="12694">
      <c r="A12694" s="1">
        <v>5.0</v>
      </c>
      <c r="B12694" s="1" t="s">
        <v>12483</v>
      </c>
      <c r="C12694" t="str">
        <f>IFERROR(__xludf.DUMMYFUNCTION("GOOGLETRANSLATE(B12694, ""fr"", ""en"")"),"Impeccable Compliance")</f>
        <v>Impeccable Compliance</v>
      </c>
    </row>
    <row r="12695">
      <c r="A12695" s="1">
        <v>5.0</v>
      </c>
      <c r="B12695" s="1" t="s">
        <v>12484</v>
      </c>
      <c r="C12695" t="str">
        <f>IFERROR(__xludf.DUMMYFUNCTION("GOOGLETRANSLATE(B12695, ""fr"", ""en"")"),"quality felt faber cast with several diameter tip is something for every taste, and then the value for money of Faber Castell I love")</f>
        <v>quality felt faber cast with several diameter tip is something for every taste, and then the value for money of Faber Castell I love</v>
      </c>
    </row>
    <row r="12696">
      <c r="A12696" s="1">
        <v>5.0</v>
      </c>
      <c r="B12696" s="1" t="s">
        <v>12485</v>
      </c>
      <c r="C12696" t="str">
        <f>IFERROR(__xludf.DUMMYFUNCTION("GOOGLETRANSLATE(B12696, ""fr"", ""en"")"),"The perfect brush for baby bottles I use to clean bibs of my daughters and my breast pump. The small built-in brush is perfect to reach difficult areas of the breast pump and bottle nipples.")</f>
        <v>The perfect brush for baby bottles I use to clean bibs of my daughters and my breast pump. The small built-in brush is perfect to reach difficult areas of the breast pump and bottle nipples.</v>
      </c>
    </row>
    <row r="12697">
      <c r="A12697" s="1">
        <v>5.0</v>
      </c>
      <c r="B12697" s="1" t="s">
        <v>12486</v>
      </c>
      <c r="C12697" t="str">
        <f>IFERROR(__xludf.DUMMYFUNCTION("GOOGLETRANSLATE(B12697, ""fr"", ""en"")"),"Excellent My daughter swears by Mam was abandoned philipps Advent, the mam its products very well suited for our baby")</f>
        <v>Excellent My daughter swears by Mam was abandoned philipps Advent, the mam its products very well suited for our baby</v>
      </c>
    </row>
    <row r="12698">
      <c r="A12698" s="1">
        <v>5.0</v>
      </c>
      <c r="B12698" s="1" t="s">
        <v>12487</v>
      </c>
      <c r="C12698" t="str">
        <f>IFERROR(__xludf.DUMMYFUNCTION("GOOGLETRANSLATE(B12698, ""fr"", ""en"")"),"The best g shock casio As usual in c is solid, quality and an unbeatable value for money !! I, the inverted display of this model does not bother me absolutely especially when it is almost half price of the classical model ..... buy, you will not find bet"&amp;"ter in this price range ... Thanks Amazon, bought Sunday morning and delivered Monday lunchtime :) :)")</f>
        <v>The best g shock casio As usual in c is solid, quality and an unbeatable value for money !! I, the inverted display of this model does not bother me absolutely especially when it is almost half price of the classical model ..... buy, you will not find better in this price range ... Thanks Amazon, bought Sunday morning and delivered Monday lunchtime :) :)</v>
      </c>
    </row>
    <row r="12699">
      <c r="A12699" s="1">
        <v>5.0</v>
      </c>
      <c r="B12699" s="1" t="s">
        <v>12488</v>
      </c>
      <c r="C12699" t="str">
        <f>IFERROR(__xludf.DUMMYFUNCTION("GOOGLETRANSLATE(B12699, ""fr"", ""en"")"),"Shape and color too well I love these shoes! The colors are well balanced and have a good shape. I'm pretty basic shoe brand but that the suit me perfectly")</f>
        <v>Shape and color too well I love these shoes! The colors are well balanced and have a good shape. I'm pretty basic shoe brand but that the suit me perfectly</v>
      </c>
    </row>
    <row r="12700">
      <c r="A12700" s="1">
        <v>5.0</v>
      </c>
      <c r="B12700" s="1" t="s">
        <v>12489</v>
      </c>
      <c r="C12700" t="str">
        <f>IFERROR(__xludf.DUMMYFUNCTION("GOOGLETRANSLATE(B12700, ""fr"", ""en"")"),"the number of copies for less well for printing photographs, but it can be derived from impromante")</f>
        <v>the number of copies for less well for printing photographs, but it can be derived from impromante</v>
      </c>
    </row>
    <row r="12701">
      <c r="A12701" s="1">
        <v>5.0</v>
      </c>
      <c r="B12701" s="1" t="s">
        <v>12490</v>
      </c>
      <c r="C12701" t="str">
        <f>IFERROR(__xludf.DUMMYFUNCTION("GOOGLETRANSLATE(B12701, ""fr"", ""en"")"),"Super Received quickly pants wearable silky and warm Hestetique nice touch good size for me 1.82m 82kg size L impeccable I'm leaving reccomander another")</f>
        <v>Super Received quickly pants wearable silky and warm Hestetique nice touch good size for me 1.82m 82kg size L impeccable I'm leaving reccomander another</v>
      </c>
    </row>
    <row r="12702">
      <c r="A12702" s="1">
        <v>2.0</v>
      </c>
      <c r="B12702" s="1" t="s">
        <v>12491</v>
      </c>
      <c r="C12702" t="str">
        <f>IFERROR(__xludf.DUMMYFUNCTION("GOOGLETRANSLATE(B12702, ""fr"", ""en"")"),"quality clothing but wrong size it size very small. I ordered a size XL that would fit a size M")</f>
        <v>quality clothing but wrong size it size very small. I ordered a size XL that would fit a size M</v>
      </c>
    </row>
    <row r="12703">
      <c r="A12703" s="1">
        <v>1.0</v>
      </c>
      <c r="B12703" s="1" t="s">
        <v>12492</v>
      </c>
      <c r="C12703" t="str">
        <f>IFERROR(__xludf.DUMMYFUNCTION("GOOGLETRANSLATE(B12703, ""fr"", ""en"")"),"A joyous disaster! Tip: Use on purely decorative frames of low value and ultra light. The risk, in falling, is damaging either your tables or your paints or coatings and minimum make you lose your money. Worse, eventually giving up the product, it can cap"&amp;"ture your frames. Other concerns: Half the tabs are defective and do not adhere to the wall or to your support. To flee ! I do not recommend this product!")</f>
        <v>A joyous disaster! Tip: Use on purely decorative frames of low value and ultra light. The risk, in falling, is damaging either your tables or your paints or coatings and minimum make you lose your money. Worse, eventually giving up the product, it can capture your frames. Other concerns: Half the tabs are defective and do not adhere to the wall or to your support. To flee ! I do not recommend this product!</v>
      </c>
    </row>
    <row r="12704">
      <c r="A12704" s="1">
        <v>1.0</v>
      </c>
      <c r="B12704" s="1" t="s">
        <v>12493</v>
      </c>
      <c r="C12704" t="str">
        <f>IFERROR(__xludf.DUMMYFUNCTION("GOOGLETRANSLATE(B12704, ""fr"", ""en"")"),"Defective C is very fragile. J ca had offered to my mother. She did have carried 2 times. And they have pierced. So the quality is not top")</f>
        <v>Defective C is very fragile. J ca had offered to my mother. She did have carried 2 times. And they have pierced. So the quality is not top</v>
      </c>
    </row>
    <row r="12705">
      <c r="A12705" s="1">
        <v>3.0</v>
      </c>
      <c r="B12705" s="1" t="s">
        <v>12494</v>
      </c>
      <c r="C12705" t="str">
        <f>IFERROR(__xludf.DUMMYFUNCTION("GOOGLETRANSLATE(B12705, ""fr"", ""en"")"),"Sole steep True to the picture but the sole is ultra stiff and thin. I thought that with time it would soften but not at all. The set is not very refined. By cons must recognize that they are ultra-resistant. But personally, to stay at home, I prefer some"&amp;"thing more comfortable")</f>
        <v>Sole steep True to the picture but the sole is ultra stiff and thin. I thought that with time it would soften but not at all. The set is not very refined. By cons must recognize that they are ultra-resistant. But personally, to stay at home, I prefer something more comfortable</v>
      </c>
    </row>
    <row r="12706">
      <c r="A12706" s="1">
        <v>3.0</v>
      </c>
      <c r="B12706" s="1" t="s">
        <v>12495</v>
      </c>
      <c r="C12706" t="str">
        <f>IFERROR(__xludf.DUMMYFUNCTION("GOOGLETRANSLATE(B12706, ""fr"", ""en"")"),"good article Good article for all students that this article is requested by Geo teachers. Small flat in contrast to a price a little expensive for a perforated plastic ruler.")</f>
        <v>good article Good article for all students that this article is requested by Geo teachers. Small flat in contrast to a price a little expensive for a perforated plastic ruler.</v>
      </c>
    </row>
    <row r="12707">
      <c r="A12707" s="1">
        <v>4.0</v>
      </c>
      <c r="B12707" s="1" t="s">
        <v>12496</v>
      </c>
      <c r="C12707" t="str">
        <f>IFERROR(__xludf.DUMMYFUNCTION("GOOGLETRANSLATE(B12707, ""fr"", ""en"")"),"Warning for UM1 IBRD windshield for the IBRD is smallish careful not too shot under penalty to snatch. Note Provisional.")</f>
        <v>Warning for UM1 IBRD windshield for the IBRD is smallish careful not too shot under penalty to snatch. Note Provisional.</v>
      </c>
    </row>
    <row r="12708">
      <c r="A12708" s="1">
        <v>4.0</v>
      </c>
      <c r="B12708" s="1" t="s">
        <v>12497</v>
      </c>
      <c r="C12708" t="str">
        <f>IFERROR(__xludf.DUMMYFUNCTION("GOOGLETRANSLATE(B12708, ""fr"", ""en"")"),"For men. Ideal for a young man. The gray card pockets spend it but not more than that, a little disappointing, a little bigger would be a little better but I recommend because it is convenient.")</f>
        <v>For men. Ideal for a young man. The gray card pockets spend it but not more than that, a little disappointing, a little bigger would be a little better but I recommend because it is convenient.</v>
      </c>
    </row>
    <row r="12709">
      <c r="A12709" s="1">
        <v>4.0</v>
      </c>
      <c r="B12709" s="1" t="s">
        <v>12498</v>
      </c>
      <c r="C12709" t="str">
        <f>IFERROR(__xludf.DUMMYFUNCTION("GOOGLETRANSLATE(B12709, ""fr"", ""en"")"),"Satisfied Satisfied the bag, the storage in the front could be better thought, but very well every day")</f>
        <v>Satisfied Satisfied the bag, the storage in the front could be better thought, but very well every day</v>
      </c>
    </row>
    <row r="12710">
      <c r="A12710" s="1">
        <v>4.0</v>
      </c>
      <c r="B12710" s="1" t="s">
        <v>12499</v>
      </c>
      <c r="C12710" t="str">
        <f>IFERROR(__xludf.DUMMYFUNCTION("GOOGLETRANSLATE(B12710, ""fr"", ""en"")"),"Nice Very nice and comfortable to wear")</f>
        <v>Nice Very nice and comfortable to wear</v>
      </c>
    </row>
    <row r="12711">
      <c r="A12711" s="1">
        <v>5.0</v>
      </c>
      <c r="B12711" s="1" t="s">
        <v>12500</v>
      </c>
      <c r="C12711" t="str">
        <f>IFERROR(__xludf.DUMMYFUNCTION("GOOGLETRANSLATE(B12711, ""fr"", ""en"")"),"Exellent It costs 5 euros produced in super market ....")</f>
        <v>Exellent It costs 5 euros produced in super market ....</v>
      </c>
    </row>
    <row r="12712">
      <c r="A12712" s="1">
        <v>5.0</v>
      </c>
      <c r="B12712" s="1" t="s">
        <v>12501</v>
      </c>
      <c r="C12712" t="str">
        <f>IFERROR(__xludf.DUMMYFUNCTION("GOOGLETRANSLATE(B12712, ""fr"", ""en"")"),"Tongue scraper Arista Okay, I recommend. Indeed the fact that they are in copper is a real plus, it will scare away the bacteria. Good value for money.")</f>
        <v>Tongue scraper Arista Okay, I recommend. Indeed the fact that they are in copper is a real plus, it will scare away the bacteria. Good value for money.</v>
      </c>
    </row>
    <row r="12713">
      <c r="A12713" s="1">
        <v>5.0</v>
      </c>
      <c r="B12713" s="1" t="s">
        <v>12502</v>
      </c>
      <c r="C12713" t="str">
        <f>IFERROR(__xludf.DUMMYFUNCTION("GOOGLETRANSLATE(B12713, ""fr"", ""en"")"),"Bluetooth Headphones These headphones are perfect for making a physical activity while listening to music. The sound quality is very good. I'm happy with this purchase")</f>
        <v>Bluetooth Headphones These headphones are perfect for making a physical activity while listening to music. The sound quality is very good. I'm happy with this purchase</v>
      </c>
    </row>
    <row r="12714">
      <c r="A12714" s="1">
        <v>5.0</v>
      </c>
      <c r="B12714" s="1" t="s">
        <v>12503</v>
      </c>
      <c r="C12714" t="str">
        <f>IFERROR(__xludf.DUMMYFUNCTION("GOOGLETRANSLATE(B12714, ""fr"", ""en"")"),"Top This is a very good product I was sure of myself enough when I bought it I recommend this Canterbury")</f>
        <v>Top This is a very good product I was sure of myself enough when I bought it I recommend this Canterbury</v>
      </c>
    </row>
    <row r="12715">
      <c r="A12715" s="1">
        <v>5.0</v>
      </c>
      <c r="B12715" s="1" t="s">
        <v>12504</v>
      </c>
      <c r="C12715" t="str">
        <f>IFERROR(__xludf.DUMMYFUNCTION("GOOGLETRANSLATE(B12715, ""fr"", ""en"")"),"good seller no complaints. very fast delivery and product according to the description. The cover is a bit ""plastic"" (it is not in the imitation leather for sure) but frankly inside is nickel. Large pages for all to note additional notes areas and large"&amp;" format calendar. I recommend")</f>
        <v>good seller no complaints. very fast delivery and product according to the description. The cover is a bit "plastic" (it is not in the imitation leather for sure) but frankly inside is nickel. Large pages for all to note additional notes areas and large format calendar. I recommend</v>
      </c>
    </row>
    <row r="12716">
      <c r="A12716" s="1">
        <v>5.0</v>
      </c>
      <c r="B12716" s="1" t="s">
        <v>12505</v>
      </c>
      <c r="C12716" t="str">
        <f>IFERROR(__xludf.DUMMYFUNCTION("GOOGLETRANSLATE(B12716, ""fr"", ""en"")"),"Perfect product &lt;div id = ""video-block-R1TBYGDRHDTMXM"" class = ""a-section-spacing-small in-spacing-top mini video-block""&gt; &lt;/ div&gt; &lt;input type = ""hidden"" name = "" ""value ="" https://images-eu.ssl-images-amazon.com/images/I/61ovvagf1qS.mp4 ""class ="&amp;""" video-url ""&gt; &lt;input type ="" hidden ""name ="" ""value ="" https://images-eu.ssl-images-amazon.com/images/I/912mHjwYeyS.png ""class ="" video-slate-img-url ""&gt; &amp; nbsp; Wonderful product; beautiful finish! The LEDs change color; great atmosphere with t"&amp;"hat! The machine smoke directly and has a very pleasant smell (tested with eucalyptus essential oil! I highly recommend this product")</f>
        <v>Perfect product &lt;div id = "video-block-R1TBYGDRHDTMXM" class = "a-section-spacing-small in-spacing-top mini video-block"&gt; &lt;/ div&gt; &lt;input type = "hidden" name = " "value =" https://images-eu.ssl-images-amazon.com/images/I/61ovvagf1qS.mp4 "class =" video-url "&gt; &lt;input type =" hidden "name =" "value =" https://images-eu.ssl-images-amazon.com/images/I/912mHjwYeyS.png "class =" video-slate-img-url "&gt; &amp; nbsp; Wonderful product; beautiful finish! The LEDs change color; great atmosphere with that! The machine smoke directly and has a very pleasant smell (tested with eucalyptus essential oil! I highly recommend this product</v>
      </c>
    </row>
    <row r="12717">
      <c r="A12717" s="1">
        <v>5.0</v>
      </c>
      <c r="B12717" s="1" t="s">
        <v>12506</v>
      </c>
      <c r="C12717" t="str">
        <f>IFERROR(__xludf.DUMMYFUNCTION("GOOGLETRANSLATE(B12717, ""fr"", ""en"")"),"A pleasant surprise Simple and effective. It's really the 1st words that come to mind. I bought them in order to quietly listen to my music and movies without the clutter of my son and they are fine. I tested the connection with an iPhone, iPad, Samsung G"&amp;"alaxy and a MacBook Air. It is stable and sets up quickly. Just turn on Bluetooth and click the headphones into the list of detected devices and voila. You will have a little way that you indicate that pairing went well (shame that it is only in English b"&amp;"ut not really annoying). Noted for fans of Apple devices that these headphones work fine with SIRI. Simply tap 3 times on one of the two atria for him to wake up. Another big plus that I find them is the ability to control the playback volume directly fro"&amp;"m the headphones without using the phone (just do an elongated click the right atrium or left to increase or decrease respectively volume), ingenious. For holding to your ear main block size view, I was a bit skeptical but eventually they hold well. I do "&amp;"not have either played sports with but they hold well enough to stay put. In addition, the silicone tips in different sizes allow adapting well to his ear. The case meanwhile was very nice. The headphones placement is made easy because magnetized so that "&amp;"the box sucks them as soon as the approach. The biggest addition to this case I think it is the USB socket to recharge a phone directly if necessary. Load side, it would like the road, but I'm still not reached the end of the load to tell how long they ta"&amp;"ke to use because every time I put them back in the box they are recharged directly and it is left for a lap. As for the negatives, I found the opening of a housing resistant strand. It takes a can force it to open (ladies, watch out for nails). Neverthel"&amp;"ess, they remain for me a good compromise, no regrets.")</f>
        <v>A pleasant surprise Simple and effective. It's really the 1st words that come to mind. I bought them in order to quietly listen to my music and movies without the clutter of my son and they are fine. I tested the connection with an iPhone, iPad, Samsung Galaxy and a MacBook Air. It is stable and sets up quickly. Just turn on Bluetooth and click the headphones into the list of detected devices and voila. You will have a little way that you indicate that pairing went well (shame that it is only in English but not really annoying). Noted for fans of Apple devices that these headphones work fine with SIRI. Simply tap 3 times on one of the two atria for him to wake up. Another big plus that I find them is the ability to control the playback volume directly from the headphones without using the phone (just do an elongated click the right atrium or left to increase or decrease respectively volume), ingenious. For holding to your ear main block size view, I was a bit skeptical but eventually they hold well. I do not have either played sports with but they hold well enough to stay put. In addition, the silicone tips in different sizes allow adapting well to his ear. The case meanwhile was very nice. The headphones placement is made easy because magnetized so that the box sucks them as soon as the approach. The biggest addition to this case I think it is the USB socket to recharge a phone directly if necessary. Load side, it would like the road, but I'm still not reached the end of the load to tell how long they take to use because every time I put them back in the box they are recharged directly and it is left for a lap. As for the negatives, I found the opening of a housing resistant strand. It takes a can force it to open (ladies, watch out for nails). Nevertheless, they remain for me a good compromise, no regrets.</v>
      </c>
    </row>
    <row r="12718">
      <c r="A12718" s="1">
        <v>5.0</v>
      </c>
      <c r="B12718" s="1" t="s">
        <v>12507</v>
      </c>
      <c r="C12718" t="str">
        <f>IFERROR(__xludf.DUMMYFUNCTION("GOOGLETRANSLATE(B12718, ""fr"", ""en"")"),"Very nice jewelry I offered this jewelry for my wife and she is thrilled! The quality is to go especially for this price. The bracelet is packed in a box of very good quality too. The images speak for themselves. This infinity bracelet has fully taken eff"&amp;"ect. I recommend 100%.")</f>
        <v>Very nice jewelry I offered this jewelry for my wife and she is thrilled! The quality is to go especially for this price. The bracelet is packed in a box of very good quality too. The images speak for themselves. This infinity bracelet has fully taken effect. I recommend 100%.</v>
      </c>
    </row>
    <row r="12719">
      <c r="A12719" s="1">
        <v>5.0</v>
      </c>
      <c r="B12719" s="1" t="s">
        <v>12508</v>
      </c>
      <c r="C12719" t="str">
        <f>IFERROR(__xludf.DUMMYFUNCTION("GOOGLETRANSLATE(B12719, ""fr"", ""en"")"),"Excellent. Excellent.")</f>
        <v>Excellent. Excellent.</v>
      </c>
    </row>
    <row r="12720">
      <c r="A12720" s="1">
        <v>5.0</v>
      </c>
      <c r="B12720" s="1" t="s">
        <v>12509</v>
      </c>
      <c r="C12720" t="str">
        <f>IFERROR(__xludf.DUMMYFUNCTION("GOOGLETRANSLATE(B12720, ""fr"", ""en"")"),"I recommend I have it purchased last year for his return to 6th. She still use the 5th. Very good quality")</f>
        <v>I recommend I have it purchased last year for his return to 6th. She still use the 5th. Very good quality</v>
      </c>
    </row>
    <row r="12721">
      <c r="A12721" s="1">
        <v>5.0</v>
      </c>
      <c r="B12721" s="1" t="s">
        <v>12510</v>
      </c>
      <c r="C12721" t="str">
        <f>IFERROR(__xludf.DUMMYFUNCTION("GOOGLETRANSLATE(B12721, ""fr"", ""en"")"),"hydrating Moisturizer")</f>
        <v>hydrating Moisturizer</v>
      </c>
    </row>
    <row r="12722">
      <c r="A12722" s="1">
        <v>5.0</v>
      </c>
      <c r="B12722" s="1" t="s">
        <v>12511</v>
      </c>
      <c r="C12722" t="str">
        <f>IFERROR(__xludf.DUMMYFUNCTION("GOOGLETRANSLATE(B12722, ""fr"", ""en"")"),"Very good product! Very good headphones! noise reduction at the top, and a very good sound quality!")</f>
        <v>Very good product! Very good headphones! noise reduction at the top, and a very good sound quality!</v>
      </c>
    </row>
    <row r="12723">
      <c r="A12723" s="1">
        <v>5.0</v>
      </c>
      <c r="B12723" s="1" t="s">
        <v>12512</v>
      </c>
      <c r="C12723" t="str">
        <f>IFERROR(__xludf.DUMMYFUNCTION("GOOGLETRANSLATE(B12723, ""fr"", ""en"")"),"Perfect in every way !!! Perfect in every way !!!")</f>
        <v>Perfect in every way !!! Perfect in every way !!!</v>
      </c>
    </row>
    <row r="12724">
      <c r="A12724" s="1">
        <v>5.0</v>
      </c>
      <c r="B12724" s="1" t="s">
        <v>12513</v>
      </c>
      <c r="C12724" t="str">
        <f>IFERROR(__xludf.DUMMYFUNCTION("GOOGLETRANSLATE(B12724, ""fr"", ""en"")"),"Very pretty. Superb cap. Happy beautiful color quality. I recommend")</f>
        <v>Very pretty. Superb cap. Happy beautiful color quality. I recommend</v>
      </c>
    </row>
    <row r="12725">
      <c r="A12725" s="1">
        <v>5.0</v>
      </c>
      <c r="B12725" s="1" t="s">
        <v>12514</v>
      </c>
      <c r="C12725" t="str">
        <f>IFERROR(__xludf.DUMMYFUNCTION("GOOGLETRANSLATE(B12725, ""fr"", ""en"")"),"Perfect ! Fast delivery and products that allowed me to restore my old plates that had not turned for over 30 years. Thanks again")</f>
        <v>Perfect ! Fast delivery and products that allowed me to restore my old plates that had not turned for over 30 years. Thanks again</v>
      </c>
    </row>
    <row r="12726">
      <c r="A12726" s="1">
        <v>5.0</v>
      </c>
      <c r="B12726" s="1" t="s">
        <v>12515</v>
      </c>
      <c r="C12726" t="str">
        <f>IFERROR(__xludf.DUMMYFUNCTION("GOOGLETRANSLATE(B12726, ""fr"", ""en"")"),"Excellent lamp for a child! I bought 'this lamp in 2 copies for my children 4 and 8 years. The items have arrived on time. The package is nikel! The lamp LED has 3 modes of white light intensity and light ambience in different color that can change and tu"&amp;"rn separaement. Too bad there is no rechargeable battery - it must be all the time connectr took power. The lamp is of very high quality and gives a great light! To recommend!")</f>
        <v>Excellent lamp for a child! I bought 'this lamp in 2 copies for my children 4 and 8 years. The items have arrived on time. The package is nikel! The lamp LED has 3 modes of white light intensity and light ambience in different color that can change and turn separaement. Too bad there is no rechargeable battery - it must be all the time connectr took power. The lamp is of very high quality and gives a great light! To recommend!</v>
      </c>
    </row>
    <row r="12727">
      <c r="A12727" s="1">
        <v>2.0</v>
      </c>
      <c r="B12727" s="1" t="s">
        <v>12516</v>
      </c>
      <c r="C12727" t="str">
        <f>IFERROR(__xludf.DUMMYFUNCTION("GOOGLETRANSLATE(B12727, ""fr"", ""en"")"),"Very disappointed Averages and I ordered them to play tennis, kept the foot is very average, they are too soft foot tends to slide in rotation in, the feeling is not very nice tennis you need the foot is taken, I think this is the type of fabric used. for"&amp;" the price faillait not expect super quality, despite the many positive reviews I've read before buying, this is very average I will use in troubleshooting.")</f>
        <v>Very disappointed Averages and I ordered them to play tennis, kept the foot is very average, they are too soft foot tends to slide in rotation in, the feeling is not very nice tennis you need the foot is taken, I think this is the type of fabric used. for the price faillait not expect super quality, despite the many positive reviews I've read before buying, this is very average I will use in troubleshooting.</v>
      </c>
    </row>
    <row r="12728">
      <c r="A12728" s="1">
        <v>1.0</v>
      </c>
      <c r="B12728" s="1" t="s">
        <v>12517</v>
      </c>
      <c r="C12728" t="str">
        <f>IFERROR(__xludf.DUMMYFUNCTION("GOOGLETRANSLATE(B12728, ""fr"", ""en"")"),"Too arrived with two sizes above")</f>
        <v>Too arrived with two sizes above</v>
      </c>
    </row>
    <row r="12729">
      <c r="A12729" s="1">
        <v>1.0</v>
      </c>
      <c r="B12729" s="1" t="s">
        <v>12518</v>
      </c>
      <c r="C12729" t="str">
        <f>IFERROR(__xludf.DUMMYFUNCTION("GOOGLETRANSLATE(B12729, ""fr"", ""en"")"),"not compatible cartridges. Hello I come to you with the purchase of several cartridges for my printer it apparently is not valid with my printer which sends it in repair and after that I am informed that the used cartridges was not compatible with my prin"&amp;"ter despite the same references thank you to consider my claim and refund request Regards")</f>
        <v>not compatible cartridges. Hello I come to you with the purchase of several cartridges for my printer it apparently is not valid with my printer which sends it in repair and after that I am informed that the used cartridges was not compatible with my printer despite the same references thank you to consider my claim and refund request Regards</v>
      </c>
    </row>
    <row r="12730">
      <c r="A12730" s="1">
        <v>3.0</v>
      </c>
      <c r="B12730" s="1" t="s">
        <v>12519</v>
      </c>
      <c r="C12730" t="str">
        <f>IFERROR(__xludf.DUMMYFUNCTION("GOOGLETRANSLATE(B12730, ""fr"", ""en"")"),"Processing tasks on leather tasks have not been eliminated. Preferably use beige color dye and subsequently used a polish to shine. cordially")</f>
        <v>Processing tasks on leather tasks have not been eliminated. Preferably use beige color dye and subsequently used a polish to shine. cordially</v>
      </c>
    </row>
    <row r="12731">
      <c r="A12731" s="1">
        <v>4.0</v>
      </c>
      <c r="B12731" s="1" t="s">
        <v>12520</v>
      </c>
      <c r="C12731" t="str">
        <f>IFERROR(__xludf.DUMMYFUNCTION("GOOGLETRANSLATE(B12731, ""fr"", ""en"")"),"classic, but good quality. A little too sensitive to pulling cables. My son consumes at least one year, of a pulling cable")</f>
        <v>classic, but good quality. A little too sensitive to pulling cables. My son consumes at least one year, of a pulling cable</v>
      </c>
    </row>
    <row r="12732">
      <c r="A12732" s="1">
        <v>4.0</v>
      </c>
      <c r="B12732" s="1" t="s">
        <v>12521</v>
      </c>
      <c r="C12732" t="str">
        <f>IFERROR(__xludf.DUMMYFUNCTION("GOOGLETRANSLATE(B12732, ""fr"", ""en"")"),"Super Beautiful watch. Good idea for sealing: screw the hour refresher wheel to ensure waterproof watch. This is not the case with other brands: the result is that the axis of the winding breaks. But this watch Guess, it certainly will not. Just one detai"&amp;"l: no manual for commissioning: change the date and day of the week. This is why one less star.")</f>
        <v>Super Beautiful watch. Good idea for sealing: screw the hour refresher wheel to ensure waterproof watch. This is not the case with other brands: the result is that the axis of the winding breaks. But this watch Guess, it certainly will not. Just one detail: no manual for commissioning: change the date and day of the week. This is why one less star.</v>
      </c>
    </row>
    <row r="12733">
      <c r="A12733" s="1">
        <v>4.0</v>
      </c>
      <c r="B12733" s="1" t="s">
        <v>12522</v>
      </c>
      <c r="C12733" t="str">
        <f>IFERROR(__xludf.DUMMYFUNCTION("GOOGLETRANSLATE(B12733, ""fr"", ""en"")"),"Efficient and smells good, but expensive! I use this product with the Bissell CrossWave and has a good smell and perfectly clean. But the bottle is emptied quickly enough (about 6 cleaning sessions), and almost 20 € the bottle, it comes much more expensiv"&amp;"e than a vacuum cleaner bag! When you see the price of universal cleaners like green tree &amp; nbsp; &lt;a data-hook = ""product-link-linked"" class = ""a-link-normal"" href = ""/ L-tree-green-Cleaner-Multi-Surface- lemon-1-L-lot-of-4 / dp / B071CZJ17R / ref = "&amp;"ie = UTF8 cm_cr_getr_d_rvw_txt ""&gt; The green tree Cleaner Multi-Surface lemon 1 L - 4 Lot &lt;/a&gt; &amp; nbsp;? that costs 10x less expensive per liter, we say they have to make a sacred margin!")</f>
        <v>Efficient and smells good, but expensive! I use this product with the Bissell CrossWave and has a good smell and perfectly clean. But the bottle is emptied quickly enough (about 6 cleaning sessions), and almost 20 € the bottle, it comes much more expensive than a vacuum cleaner bag! When you see the price of universal cleaners like green tree &amp; nbsp; &lt;a data-hook = "product-link-linked" class = "a-link-normal" href = "/ L-tree-green-Cleaner-Multi-Surface- lemon-1-L-lot-of-4 / dp / B071CZJ17R / ref = ie = UTF8 cm_cr_getr_d_rvw_txt "&gt; The green tree Cleaner Multi-Surface lemon 1 L - 4 Lot &lt;/a&gt; &amp; nbsp;? that costs 10x less expensive per liter, we say they have to make a sacred margin!</v>
      </c>
    </row>
    <row r="12734">
      <c r="A12734" s="1">
        <v>4.0</v>
      </c>
      <c r="B12734" s="1" t="s">
        <v>12523</v>
      </c>
      <c r="C12734" t="str">
        <f>IFERROR(__xludf.DUMMYFUNCTION("GOOGLETRANSLATE(B12734, ""fr"", ""en"")"),"While these fasteners serve me in the manufacture of customized jewelry. Very practical, cheap and quality does not seem bad.")</f>
        <v>While these fasteners serve me in the manufacture of customized jewelry. Very practical, cheap and quality does not seem bad.</v>
      </c>
    </row>
    <row r="12735">
      <c r="A12735" s="1">
        <v>5.0</v>
      </c>
      <c r="B12735" s="1" t="s">
        <v>12524</v>
      </c>
      <c r="C12735" t="str">
        <f>IFERROR(__xludf.DUMMYFUNCTION("GOOGLETRANSLATE(B12735, ""fr"", ""en"")"),"Rather well cut fine. This is not to Siberia but mid season, spring time or autumn. Often these things do not cover the back - back ca - ca there seems okay. Does it will last 10, 20, 50 washes? Whatever, for 14 EUR, delivered, I consider as the ca consom"&amp;"able. I ordered two.")</f>
        <v>Rather well cut fine. This is not to Siberia but mid season, spring time or autumn. Often these things do not cover the back - back ca - ca there seems okay. Does it will last 10, 20, 50 washes? Whatever, for 14 EUR, delivered, I consider as the ca consomable. I ordered two.</v>
      </c>
    </row>
    <row r="12736">
      <c r="A12736" s="1">
        <v>5.0</v>
      </c>
      <c r="B12736" s="1" t="s">
        <v>12525</v>
      </c>
      <c r="C12736" t="str">
        <f>IFERROR(__xludf.DUMMYFUNCTION("GOOGLETRANSLATE(B12736, ""fr"", ""en"")"),"It is still very good. We had trouble seeing the side graduation.")</f>
        <v>It is still very good. We had trouble seeing the side graduation.</v>
      </c>
    </row>
    <row r="12737">
      <c r="A12737" s="1">
        <v>5.0</v>
      </c>
      <c r="B12737" s="1" t="s">
        <v>12526</v>
      </c>
      <c r="C12737" t="str">
        <f>IFERROR(__xludf.DUMMYFUNCTION("GOOGLETRANSLATE(B12737, ""fr"", ""en"")"),"Bel functional object. This essential oil diffuser ultrasound is silent. It produces a mist of essential oils responsible for micro-droplets. A minimum amount of oil, about 20 drops, allows diffusion for one hour. The object is quiet enough to be used at "&amp;"night during sleep. Cleaning is easy.")</f>
        <v>Bel functional object. This essential oil diffuser ultrasound is silent. It produces a mist of essential oils responsible for micro-droplets. A minimum amount of oil, about 20 drops, allows diffusion for one hour. The object is quiet enough to be used at night during sleep. Cleaning is easy.</v>
      </c>
    </row>
    <row r="12738">
      <c r="A12738" s="1">
        <v>5.0</v>
      </c>
      <c r="B12738" s="1" t="s">
        <v>12527</v>
      </c>
      <c r="C12738" t="str">
        <f>IFERROR(__xludf.DUMMYFUNCTION("GOOGLETRANSLATE(B12738, ""fr"", ""en"")"),"Although good product suitable for Tai Chi. Matches my attentes.Bon quality / price ratio.")</f>
        <v>Although good product suitable for Tai Chi. Matches my attentes.Bon quality / price ratio.</v>
      </c>
    </row>
    <row r="12739">
      <c r="A12739" s="1">
        <v>5.0</v>
      </c>
      <c r="B12739" s="1" t="s">
        <v>12528</v>
      </c>
      <c r="C12739" t="str">
        <f>IFERROR(__xludf.DUMMYFUNCTION("GOOGLETRANSLATE(B12739, ""fr"", ""en"")"),"Top Complies description, and especially c is the only place I happen to m n sourcing because many baby stores have not.")</f>
        <v>Top Complies description, and especially c is the only place I happen to m n sourcing because many baby stores have not.</v>
      </c>
    </row>
    <row r="12740">
      <c r="A12740" s="1">
        <v>5.0</v>
      </c>
      <c r="B12740" s="1" t="s">
        <v>12529</v>
      </c>
      <c r="C12740" t="str">
        <f>IFERROR(__xludf.DUMMYFUNCTION("GOOGLETRANSLATE(B12740, ""fr"", ""en"")"),"Very reliable standard staples. Work very well. Make that one can buy as usual eyes closed.")</f>
        <v>Very reliable standard staples. Work very well. Make that one can buy as usual eyes closed.</v>
      </c>
    </row>
    <row r="12741">
      <c r="A12741" s="1">
        <v>5.0</v>
      </c>
      <c r="B12741" s="1" t="s">
        <v>12530</v>
      </c>
      <c r="C12741" t="str">
        <f>IFERROR(__xludf.DUMMYFUNCTION("GOOGLETRANSLATE(B12741, ""fr"", ""en"")"),"Super shoe Great product my 3rd pair that I bought three years .. I have the doors every day .... Slippers and resistance ... more odorless feet ... I recommend not more expensive. .")</f>
        <v>Super shoe Great product my 3rd pair that I bought three years .. I have the doors every day .... Slippers and resistance ... more odorless feet ... I recommend not more expensive. .</v>
      </c>
    </row>
    <row r="12742">
      <c r="A12742" s="1">
        <v>5.0</v>
      </c>
      <c r="B12742" s="1" t="s">
        <v>12531</v>
      </c>
      <c r="C12742" t="str">
        <f>IFERROR(__xludf.DUMMYFUNCTION("GOOGLETRANSLATE(B12742, ""fr"", ""en"")"),"Kettle on top Very nice product and very practical use")</f>
        <v>Kettle on top Very nice product and very practical use</v>
      </c>
    </row>
    <row r="12743">
      <c r="A12743" s="1">
        <v>5.0</v>
      </c>
      <c r="B12743" s="1" t="s">
        <v>12532</v>
      </c>
      <c r="C12743" t="str">
        <f>IFERROR(__xludf.DUMMYFUNCTION("GOOGLETRANSLATE(B12743, ""fr"", ""en"")"),"Casio Very good quality / price ratio. Reading the easy time because of the white lettering on the dial. Sealing 100 m ... to shower or practice water sports with her watch. Watch delivered in its cardboard box with instructions in French.")</f>
        <v>Casio Very good quality / price ratio. Reading the easy time because of the white lettering on the dial. Sealing 100 m ... to shower or practice water sports with her watch. Watch delivered in its cardboard box with instructions in French.</v>
      </c>
    </row>
    <row r="12744">
      <c r="A12744" s="1">
        <v>5.0</v>
      </c>
      <c r="B12744" s="1" t="s">
        <v>12533</v>
      </c>
      <c r="C12744" t="str">
        <f>IFERROR(__xludf.DUMMYFUNCTION("GOOGLETRANSLATE(B12744, ""fr"", ""en"")"),"Size good use everyday ,, I like the style")</f>
        <v>Size good use everyday ,, I like the style</v>
      </c>
    </row>
    <row r="12745">
      <c r="A12745" s="1">
        <v>5.0</v>
      </c>
      <c r="B12745" s="1" t="s">
        <v>12534</v>
      </c>
      <c r="C12745" t="str">
        <f>IFERROR(__xludf.DUMMYFUNCTION("GOOGLETRANSLATE(B12745, ""fr"", ""en"")"),"Practice for girls fan of karaoke &lt;div id = ""video-block-R3MLAUH2YYYL2X"" class = ""a-section-spacing-small in-spacing-top mini video-block""&gt; &lt;/ div&gt; &lt;input type = "" hidden ""name ="" ""value ="" https://images-eu.ssl-images-amazon.com/images/I/A14Ruf5"&amp;"7R6S.mp4 ""class ="" video-url ""&gt; &lt;input type ="" hidden ""name = """" value = ""https://images-eu.ssl-images-amazon.com/images/I/818jQbWlkaS.png"" class = ""video-slate-img-url""&gt; &amp; nbsp; Microphone super nice for birthday my niece. She can play quietly"&amp;" with his smartphone.bonne bluetooth sound quality adjustable.")</f>
        <v>Practice for girls fan of karaoke &lt;div id = "video-block-R3MLAUH2YYYL2X" class = "a-section-spacing-small in-spacing-top mini video-block"&gt; &lt;/ div&gt; &lt;input type = " hidden "name =" "value =" https://images-eu.ssl-images-amazon.com/images/I/A14Ruf57R6S.mp4 "class =" video-url "&gt; &lt;input type =" hidden "name = "" value = "https://images-eu.ssl-images-amazon.com/images/I/818jQbWlkaS.png" class = "video-slate-img-url"&gt; &amp; nbsp; Microphone super nice for birthday my niece. She can play quietly with his smartphone.bonne bluetooth sound quality adjustable.</v>
      </c>
    </row>
    <row r="12746">
      <c r="A12746" s="1">
        <v>5.0</v>
      </c>
      <c r="B12746" s="1" t="s">
        <v>12535</v>
      </c>
      <c r="C12746" t="str">
        <f>IFERROR(__xludf.DUMMYFUNCTION("GOOGLETRANSLATE(B12746, ""fr"", ""en"")"),"Very nice and relieves much I tested this heated mode mask in the microwave. It is fast and efficient to relieve my dry eyes and I think also that it can help to fall asleep. The heat subsides. Do not forget to remove the elastic time heating to not damag"&amp;"e it. Very happy with this purchase and its price. Quick delivery.")</f>
        <v>Very nice and relieves much I tested this heated mode mask in the microwave. It is fast and efficient to relieve my dry eyes and I think also that it can help to fall asleep. The heat subsides. Do not forget to remove the elastic time heating to not damage it. Very happy with this purchase and its price. Quick delivery.</v>
      </c>
    </row>
    <row r="12747">
      <c r="A12747" s="1">
        <v>5.0</v>
      </c>
      <c r="B12747" s="1" t="s">
        <v>12536</v>
      </c>
      <c r="C12747" t="str">
        <f>IFERROR(__xludf.DUMMYFUNCTION("GOOGLETRANSLATE(B12747, ""fr"", ""en"")"),"Bag beautiful and practical This bag is very nice, goes with everything. Lots of storage inside. Very happy")</f>
        <v>Bag beautiful and practical This bag is very nice, goes with everything. Lots of storage inside. Very happy</v>
      </c>
    </row>
    <row r="12748">
      <c r="A12748" s="1">
        <v>5.0</v>
      </c>
      <c r="B12748" s="1" t="s">
        <v>12537</v>
      </c>
      <c r="C12748" t="str">
        <f>IFERROR(__xludf.DUMMYFUNCTION("GOOGLETRANSLATE(B12748, ""fr"", ""en"")"),"nikel Conform to wait")</f>
        <v>nikel Conform to wait</v>
      </c>
    </row>
    <row r="12749">
      <c r="A12749" s="1">
        <v>5.0</v>
      </c>
      <c r="B12749" s="1" t="s">
        <v>12538</v>
      </c>
      <c r="C12749" t="str">
        <f>IFERROR(__xludf.DUMMYFUNCTION("GOOGLETRANSLATE(B12749, ""fr"", ""en"")"),"earpods excellent product, I recommend ++++++++")</f>
        <v>earpods excellent product, I recommend ++++++++</v>
      </c>
    </row>
    <row r="12750">
      <c r="A12750" s="1">
        <v>2.0</v>
      </c>
      <c r="B12750" s="1" t="s">
        <v>12539</v>
      </c>
      <c r="C12750" t="str">
        <f>IFERROR(__xludf.DUMMYFUNCTION("GOOGLETRANSLATE(B12750, ""fr"", ""en"")"),"Disappointed by the display that lights continuously I re-bought the coffee I had ever owned it a few years ago and which I had to separate myself, and I am very disappointed with this new version of the display, which although similar to the previous, sh"&amp;"ows ""---"" to indicate that the water temperature is below 50 ° C, even when the kettle is empty is that it was not used as overnight ... The previous was dying alone after a time when it never extinguishes.")</f>
        <v>Disappointed by the display that lights continuously I re-bought the coffee I had ever owned it a few years ago and which I had to separate myself, and I am very disappointed with this new version of the display, which although similar to the previous, shows "---" to indicate that the water temperature is below 50 ° C, even when the kettle is empty is that it was not used as overnight ... The previous was dying alone after a time when it never extinguishes.</v>
      </c>
    </row>
    <row r="12751">
      <c r="A12751" s="1">
        <v>1.0</v>
      </c>
      <c r="B12751" s="1" t="s">
        <v>12540</v>
      </c>
      <c r="C12751" t="str">
        <f>IFERROR(__xludf.DUMMYFUNCTION("GOOGLETRANSLATE(B12751, ""fr"", ""en"")"),"Fades not used on a blackboard sheet, it does not clear except with rubbing alcohol and rub hard, really hard. A leak emergency. 1 star because I can not put less.")</f>
        <v>Fades not used on a blackboard sheet, it does not clear except with rubbing alcohol and rub hard, really hard. A leak emergency. 1 star because I can not put less.</v>
      </c>
    </row>
    <row r="12752">
      <c r="A12752" s="1">
        <v>3.0</v>
      </c>
      <c r="B12752" s="1" t="s">
        <v>12541</v>
      </c>
      <c r="C12752" t="str">
        <f>IFERROR(__xludf.DUMMYFUNCTION("GOOGLETRANSLATE(B12752, ""fr"", ""en"")"),"lack a brush I get that day the masseur but I find it lacks the brush number 9 ""dry brush"" exfoliating that I intended to use")</f>
        <v>lack a brush I get that day the masseur but I find it lacks the brush number 9 "dry brush" exfoliating that I intended to use</v>
      </c>
    </row>
    <row r="12753">
      <c r="A12753" s="1">
        <v>3.0</v>
      </c>
      <c r="B12753" s="1" t="s">
        <v>12542</v>
      </c>
      <c r="C12753" t="str">
        <f>IFERROR(__xludf.DUMMYFUNCTION("GOOGLETRANSLATE(B12753, ""fr"", ""en"")"),"correct quality +: price, good cut, cotton thick enough, to size -: lower leg too tight")</f>
        <v>correct quality +: price, good cut, cotton thick enough, to size -: lower leg too tight</v>
      </c>
    </row>
    <row r="12754">
      <c r="A12754" s="1">
        <v>4.0</v>
      </c>
      <c r="B12754" s="1" t="s">
        <v>12543</v>
      </c>
      <c r="C12754" t="str">
        <f>IFERROR(__xludf.DUMMYFUNCTION("GOOGLETRANSLATE(B12754, ""fr"", ""en"")"),". Delivery and Article compliant - Although")</f>
        <v>. Delivery and Article compliant - Although</v>
      </c>
    </row>
    <row r="12755">
      <c r="A12755" s="1">
        <v>4.0</v>
      </c>
      <c r="B12755" s="1" t="s">
        <v>12544</v>
      </c>
      <c r="C12755" t="str">
        <f>IFERROR(__xludf.DUMMYFUNCTION("GOOGLETRANSLATE(B12755, ""fr"", ""en"")"),"80 microns, fine ... Product is of very good quality and a good price / quality ratio. It is ideal for protecting printed pages or photos. By cons, it is too light for children's drawings a little relief for intensive use as a restaurant menu or to make a"&amp;" left outside panel ...")</f>
        <v>80 microns, fine ... Product is of very good quality and a good price / quality ratio. It is ideal for protecting printed pages or photos. By cons, it is too light for children's drawings a little relief for intensive use as a restaurant menu or to make a left outside panel ...</v>
      </c>
    </row>
    <row r="12756">
      <c r="A12756" s="1">
        <v>4.0</v>
      </c>
      <c r="B12756" s="1" t="s">
        <v>12545</v>
      </c>
      <c r="C12756" t="str">
        <f>IFERROR(__xludf.DUMMYFUNCTION("GOOGLETRANSLATE(B12756, ""fr"", ""en"")"),"Cable Good quality seems good. Remains to be seen over time after several uses and manipulation. For now, flush")</f>
        <v>Cable Good quality seems good. Remains to be seen over time after several uses and manipulation. For now, flush</v>
      </c>
    </row>
    <row r="12757">
      <c r="A12757" s="1">
        <v>4.0</v>
      </c>
      <c r="B12757" s="1" t="s">
        <v>12546</v>
      </c>
      <c r="C12757" t="str">
        <f>IFERROR(__xludf.DUMMYFUNCTION("GOOGLETRANSLATE(B12757, ""fr"", ""en"")"),"Coffee filter very well because the tea does not become bitter if one takes. Nice design and good capacity of the teapot")</f>
        <v>Coffee filter very well because the tea does not become bitter if one takes. Nice design and good capacity of the teapot</v>
      </c>
    </row>
    <row r="12758">
      <c r="A12758" s="1">
        <v>5.0</v>
      </c>
      <c r="B12758" s="1" t="s">
        <v>12547</v>
      </c>
      <c r="C12758" t="str">
        <f>IFERROR(__xludf.DUMMYFUNCTION("GOOGLETRANSLATE(B12758, ""fr"", ""en"")"),"high quality pens are pens that I have always in my briefcase. The mine is the perfect size and the product is of good quality")</f>
        <v>high quality pens are pens that I have always in my briefcase. The mine is the perfect size and the product is of good quality</v>
      </c>
    </row>
    <row r="12759">
      <c r="A12759" s="1">
        <v>5.0</v>
      </c>
      <c r="B12759" s="1" t="s">
        <v>12548</v>
      </c>
      <c r="C12759" t="str">
        <f>IFERROR(__xludf.DUMMYFUNCTION("GOOGLETRANSLATE(B12759, ""fr"", ""en"")"),"Pairs of Socks Job Lot Cotton Men 39-45 eur pairs Socks Job Lot Cotton Men delighted super solid socks finally his pleasure to finally find good socks")</f>
        <v>Pairs of Socks Job Lot Cotton Men 39-45 eur pairs Socks Job Lot Cotton Men delighted super solid socks finally his pleasure to finally find good socks</v>
      </c>
    </row>
    <row r="12760">
      <c r="A12760" s="1">
        <v>5.0</v>
      </c>
      <c r="B12760" s="1" t="s">
        <v>12549</v>
      </c>
      <c r="C12760" t="str">
        <f>IFERROR(__xludf.DUMMYFUNCTION("GOOGLETRANSLATE(B12760, ""fr"", ""en"")"),"Very good sandals for inside or outside. I just love it !!!")</f>
        <v>Very good sandals for inside or outside. I just love it !!!</v>
      </c>
    </row>
    <row r="12761">
      <c r="A12761" s="1">
        <v>5.0</v>
      </c>
      <c r="B12761" s="1" t="s">
        <v>12550</v>
      </c>
      <c r="C12761" t="str">
        <f>IFERROR(__xludf.DUMMYFUNCTION("GOOGLETRANSLATE(B12761, ""fr"", ""en"")"),"The packaging is cared for Mother's Day")</f>
        <v>The packaging is cared for Mother's Day</v>
      </c>
    </row>
    <row r="12762">
      <c r="A12762" s="1">
        <v>5.0</v>
      </c>
      <c r="B12762" s="1" t="s">
        <v>12551</v>
      </c>
      <c r="C12762" t="str">
        <f>IFERROR(__xludf.DUMMYFUNCTION("GOOGLETRANSLATE(B12762, ""fr"", ""en"")"),"I recommend perfect brush to clean the baby bottle! Only problem is that I got the pink, and that I expected a little man! But that would be nitpicking of bitching Ca 😊😊")</f>
        <v>I recommend perfect brush to clean the baby bottle! Only problem is that I got the pink, and that I expected a little man! But that would be nitpicking of bitching Ca 😊😊</v>
      </c>
    </row>
    <row r="12763">
      <c r="A12763" s="1">
        <v>5.0</v>
      </c>
      <c r="B12763" s="1" t="s">
        <v>12552</v>
      </c>
      <c r="C12763" t="str">
        <f>IFERROR(__xludf.DUMMYFUNCTION("GOOGLETRANSLATE(B12763, ""fr"", ""en"")"),"Beautiful perfect pair of shoes, however, delivered late, put not changing in any way the quality of the product remains to be seen whether they will take time.")</f>
        <v>Beautiful perfect pair of shoes, however, delivered late, put not changing in any way the quality of the product remains to be seen whether they will take time.</v>
      </c>
    </row>
    <row r="12764">
      <c r="A12764" s="1">
        <v>5.0</v>
      </c>
      <c r="B12764" s="1" t="s">
        <v>12553</v>
      </c>
      <c r="C12764" t="str">
        <f>IFERROR(__xludf.DUMMYFUNCTION("GOOGLETRANSLATE(B12764, ""fr"", ""en"")"),"Impec! Received quickly. Good product")</f>
        <v>Impec! Received quickly. Good product</v>
      </c>
    </row>
    <row r="12765">
      <c r="A12765" s="1">
        <v>5.0</v>
      </c>
      <c r="B12765" s="1" t="s">
        <v>12554</v>
      </c>
      <c r="C12765" t="str">
        <f>IFERROR(__xludf.DUMMYFUNCTION("GOOGLETRANSLATE(B12765, ""fr"", ""en"")"),"Great gift Very good")</f>
        <v>Great gift Very good</v>
      </c>
    </row>
    <row r="12766">
      <c r="A12766" s="1">
        <v>5.0</v>
      </c>
      <c r="B12766" s="1" t="s">
        <v>12555</v>
      </c>
      <c r="C12766" t="str">
        <f>IFERROR(__xludf.DUMMYFUNCTION("GOOGLETRANSLATE(B12766, ""fr"", ""en"")"),"Great ! Great !")</f>
        <v>Great ! Great !</v>
      </c>
    </row>
    <row r="12767">
      <c r="A12767" s="1">
        <v>5.0</v>
      </c>
      <c r="B12767" s="1" t="s">
        <v>508</v>
      </c>
      <c r="C12767" t="str">
        <f>IFERROR(__xludf.DUMMYFUNCTION("GOOGLETRANSLATE(B12767, ""fr"", ""en"")"),"Very well very well")</f>
        <v>Very well very well</v>
      </c>
    </row>
    <row r="12768">
      <c r="A12768" s="1">
        <v>5.0</v>
      </c>
      <c r="B12768" s="1" t="s">
        <v>12556</v>
      </c>
      <c r="C12768" t="str">
        <f>IFERROR(__xludf.DUMMYFUNCTION("GOOGLETRANSLATE(B12768, ""fr"", ""en"")"),"Quality and price are waiting for you - Canvas both thick and flexible - height heels, just right, the foot is respected - Very comfortable for walking - Yes, laces for the fashion side - Yes, ZIP for convenience")</f>
        <v>Quality and price are waiting for you - Canvas both thick and flexible - height heels, just right, the foot is respected - Very comfortable for walking - Yes, laces for the fashion side - Yes, ZIP for convenience</v>
      </c>
    </row>
    <row r="12769">
      <c r="A12769" s="1">
        <v>5.0</v>
      </c>
      <c r="B12769" s="1" t="s">
        <v>12557</v>
      </c>
      <c r="C12769" t="str">
        <f>IFERROR(__xludf.DUMMYFUNCTION("GOOGLETRANSLATE(B12769, ""fr"", ""en"")"),"This kettle looks well thought The resistance is not ""in direct contact"" with the water in the kettle. This means that for descaling there will be no risk of ""short circuit""! When the water is boiling it stops automatically: no risk of ""overheating"""&amp;" and wear the thermostat. A good ""investment"". I recommend.")</f>
        <v>This kettle looks well thought The resistance is not "in direct contact" with the water in the kettle. This means that for descaling there will be no risk of "short circuit"! When the water is boiling it stops automatically: no risk of "overheating" and wear the thermostat. A good "investment". I recommend.</v>
      </c>
    </row>
    <row r="12770">
      <c r="A12770" s="1">
        <v>5.0</v>
      </c>
      <c r="B12770" s="1" t="s">
        <v>12558</v>
      </c>
      <c r="C12770" t="str">
        <f>IFERROR(__xludf.DUMMYFUNCTION("GOOGLETRANSLATE(B12770, ""fr"", ""en"")"),"Watch with a lot of features for the price This watch replaced an almost identical Casio (OCW-520Tdont I was very satisfied. Set clock radio controlled very fast in Paris. I have not yet had the opportunity to test in Canada / USA or the UK but it will so"&amp;"on be done. analog Mixed (needles) and digital (Numbers). the digital display Date and time) is greater than the previous and it is appreciable. Solar Rechargeable. This is the function that has dropped on the last after 7 years of operation but, probably"&amp;" for fear of going to the landfill, it works again without that I understood why! The against-bet is that the lighting is low and very short with each press. It is not full auto LED light (Ie automatic lighting when raising the arm to read the time. Water"&amp;" resistance 5 bar. It is limit for swimming or showering (The previous was sealed 10 bars and I have not had a problem but I do not dive more than 3 to 4 meters). Caution for 5 bar means 50m only if it is still in a stable water. as soon as you swim or di"&amp;"ve, pressure on the watch increases and 5 bar must not go down much. Finally, the last was in Titanium and that one steel but perhaps more resistant to scratches.")</f>
        <v>Watch with a lot of features for the price This watch replaced an almost identical Casio (OCW-520Tdont I was very satisfied. Set clock radio controlled very fast in Paris. I have not yet had the opportunity to test in Canada / USA or the UK but it will soon be done. analog Mixed (needles) and digital (Numbers). the digital display Date and time) is greater than the previous and it is appreciable. Solar Rechargeable. This is the function that has dropped on the last after 7 years of operation but, probably for fear of going to the landfill, it works again without that I understood why! The against-bet is that the lighting is low and very short with each press. It is not full auto LED light (Ie automatic lighting when raising the arm to read the time. Water resistance 5 bar. It is limit for swimming or showering (The previous was sealed 10 bars and I have not had a problem but I do not dive more than 3 to 4 meters). Caution for 5 bar means 50m only if it is still in a stable water. as soon as you swim or dive, pressure on the watch increases and 5 bar must not go down much. Finally, the last was in Titanium and that one steel but perhaps more resistant to scratches.</v>
      </c>
    </row>
    <row r="12771">
      <c r="A12771" s="1">
        <v>5.0</v>
      </c>
      <c r="B12771" s="1" t="s">
        <v>12559</v>
      </c>
      <c r="C12771" t="str">
        <f>IFERROR(__xludf.DUMMYFUNCTION("GOOGLETRANSLATE(B12771, ""fr"", ""en"")"),"Great Bought for my daughter who was 8 months old at the time and on the recommendation of her pediatrician, this is just great nibbler. This allows my daughter to eat watermelon, melon or other juicy fruit, without being put everywhere and let the ends. "&amp;"It is very easy to clean and comes with a pacifier spare. I chose this model rather than those I had seen in trade, because of its shape. Indeed, the handle allows a good grip, and baby can hold its own nibbler. I recommend this product.")</f>
        <v>Great Bought for my daughter who was 8 months old at the time and on the recommendation of her pediatrician, this is just great nibbler. This allows my daughter to eat watermelon, melon or other juicy fruit, without being put everywhere and let the ends. It is very easy to clean and comes with a pacifier spare. I chose this model rather than those I had seen in trade, because of its shape. Indeed, the handle allows a good grip, and baby can hold its own nibbler. I recommend this product.</v>
      </c>
    </row>
    <row r="12772">
      <c r="A12772" s="1">
        <v>5.0</v>
      </c>
      <c r="B12772" s="1" t="s">
        <v>12560</v>
      </c>
      <c r="C12772" t="str">
        <f>IFERROR(__xludf.DUMMYFUNCTION("GOOGLETRANSLATE(B12772, ""fr"", ""en"")"),"Fan !! Superb article that perfectly meets my expectations. Elegant design and goes everywhere, robust and finally a watch that is eye catching. Ultra Fast shipping")</f>
        <v>Fan !! Superb article that perfectly meets my expectations. Elegant design and goes everywhere, robust and finally a watch that is eye catching. Ultra Fast shipping</v>
      </c>
    </row>
    <row r="12773">
      <c r="A12773" s="1">
        <v>2.0</v>
      </c>
      <c r="B12773" s="1" t="s">
        <v>12561</v>
      </c>
      <c r="C12773" t="str">
        <f>IFERROR(__xludf.DUMMYFUNCTION("GOOGLETRANSLATE(B12773, ""fr"", ""en"")"),"Bad nice color quality but a bit blah. Despite the size above one is a little tight. I expected better. Jaundice a little sun.")</f>
        <v>Bad nice color quality but a bit blah. Despite the size above one is a little tight. I expected better. Jaundice a little sun.</v>
      </c>
    </row>
    <row r="12774">
      <c r="A12774" s="1">
        <v>1.0</v>
      </c>
      <c r="B12774" s="1" t="s">
        <v>12562</v>
      </c>
      <c r="C12774" t="str">
        <f>IFERROR(__xludf.DUMMYFUNCTION("GOOGLETRANSLATE(B12774, ""fr"", ""en"")"),"Horrible Very bad sound that gives a headache Poor crapped in like a toy")</f>
        <v>Horrible Very bad sound that gives a headache Poor crapped in like a toy</v>
      </c>
    </row>
    <row r="12775">
      <c r="A12775" s="1">
        <v>1.0</v>
      </c>
      <c r="B12775" s="1" t="s">
        <v>12563</v>
      </c>
      <c r="C12775" t="str">
        <f>IFERROR(__xludf.DUMMYFUNCTION("GOOGLETRANSLATE(B12775, ""fr"", ""en"")"),"His problem its different between the atria")</f>
        <v>His problem its different between the atria</v>
      </c>
    </row>
    <row r="12776">
      <c r="A12776" s="1">
        <v>3.0</v>
      </c>
      <c r="B12776" s="1" t="s">
        <v>12564</v>
      </c>
      <c r="C12776" t="str">
        <f>IFERROR(__xludf.DUMMYFUNCTION("GOOGLETRANSLATE(B12776, ""fr"", ""en"")"),"communications there is no information in French rather difficult to use in good condition even documents are not françaisi")</f>
        <v>communications there is no information in French rather difficult to use in good condition even documents are not françaisi</v>
      </c>
    </row>
    <row r="12777">
      <c r="A12777" s="1">
        <v>3.0</v>
      </c>
      <c r="B12777" s="1" t="s">
        <v>12565</v>
      </c>
      <c r="C12777" t="str">
        <f>IFERROR(__xludf.DUMMYFUNCTION("GOOGLETRANSLATE(B12777, ""fr"", ""en"")"),"Good pacifier but not flexible enough for a young baby My daughter is accustomed to natural Advent. I wanted to try the classic because it can not drink with bottles universal pacifier. The shape of the nipple is as wide enough to prevent baby sticks it c"&amp;"ompletely in the mouth, however the silicone used is super hard and my 4 month it hard to drink despite that I put the flow on 3. I will continue with the natural Advent currently.")</f>
        <v>Good pacifier but not flexible enough for a young baby My daughter is accustomed to natural Advent. I wanted to try the classic because it can not drink with bottles universal pacifier. The shape of the nipple is as wide enough to prevent baby sticks it completely in the mouth, however the silicone used is super hard and my 4 month it hard to drink despite that I put the flow on 3. I will continue with the natural Advent currently.</v>
      </c>
    </row>
    <row r="12778">
      <c r="A12778" s="1">
        <v>4.0</v>
      </c>
      <c r="B12778" s="1" t="s">
        <v>12566</v>
      </c>
      <c r="C12778" t="str">
        <f>IFERROR(__xludf.DUMMYFUNCTION("GOOGLETRANSLATE(B12778, ""fr"", ""en"")"),"Bad Bad but for the price it will")</f>
        <v>Bad Bad but for the price it will</v>
      </c>
    </row>
    <row r="12779">
      <c r="A12779" s="1">
        <v>4.0</v>
      </c>
      <c r="B12779" s="1" t="s">
        <v>12567</v>
      </c>
      <c r="C12779" t="str">
        <f>IFERROR(__xludf.DUMMYFUNCTION("GOOGLETRANSLATE(B12779, ""fr"", ""en"")"),"Sock has his foot good quality socks that do not slip. Good value for money")</f>
        <v>Sock has his foot good quality socks that do not slip. Good value for money</v>
      </c>
    </row>
    <row r="12780">
      <c r="A12780" s="1">
        <v>4.0</v>
      </c>
      <c r="B12780" s="1" t="s">
        <v>12568</v>
      </c>
      <c r="C12780" t="str">
        <f>IFERROR(__xludf.DUMMYFUNCTION("GOOGLETRANSLATE(B12780, ""fr"", ""en"")"),"easy to use coffee hot coffee, a little too loud, fast")</f>
        <v>easy to use coffee hot coffee, a little too loud, fast</v>
      </c>
    </row>
    <row r="12781">
      <c r="A12781" s="1">
        <v>4.0</v>
      </c>
      <c r="B12781" s="1" t="s">
        <v>12569</v>
      </c>
      <c r="C12781" t="str">
        <f>IFERROR(__xludf.DUMMYFUNCTION("GOOGLETRANSLATE(B12781, ""fr"", ""en"")"),"Stoked A very good finish, good battery life, but the implementation Fossil plant often ... If not satisfied with the product. I recommand it.")</f>
        <v>Stoked A very good finish, good battery life, but the implementation Fossil plant often ... If not satisfied with the product. I recommand it.</v>
      </c>
    </row>
    <row r="12782">
      <c r="A12782" s="1">
        <v>4.0</v>
      </c>
      <c r="B12782" s="1" t="s">
        <v>12570</v>
      </c>
      <c r="C12782" t="str">
        <f>IFERROR(__xludf.DUMMYFUNCTION("GOOGLETRANSLATE(B12782, ""fr"", ""en"")"),"Good quality Good quality, mounts easily. Unlike the responses it is possible to remove the loop (ca personally allowed me to regain my hook my old band). I recommend this product.")</f>
        <v>Good quality Good quality, mounts easily. Unlike the responses it is possible to remove the loop (ca personally allowed me to regain my hook my old band). I recommend this product.</v>
      </c>
    </row>
    <row r="12783">
      <c r="A12783" s="1">
        <v>5.0</v>
      </c>
      <c r="B12783" s="1" t="s">
        <v>12571</v>
      </c>
      <c r="C12783" t="str">
        <f>IFERROR(__xludf.DUMMYFUNCTION("GOOGLETRANSLATE(B12783, ""fr"", ""en"")"),"Christmas Gift appreciated sooner unpacked, immediately tried. Beautiful water bottle that works very well. My sister is delighted with her gift. Loads fast, long lasting heat ... That's what she wanted!")</f>
        <v>Christmas Gift appreciated sooner unpacked, immediately tried. Beautiful water bottle that works very well. My sister is delighted with her gift. Loads fast, long lasting heat ... That's what she wanted!</v>
      </c>
    </row>
    <row r="12784">
      <c r="A12784" s="1">
        <v>5.0</v>
      </c>
      <c r="B12784" s="1" t="s">
        <v>12572</v>
      </c>
      <c r="C12784" t="str">
        <f>IFERROR(__xludf.DUMMYFUNCTION("GOOGLETRANSLATE(B12784, ""fr"", ""en"")"),"Very good I knew what to expect are the usual teats bottles of my son I bought in because the old was lively. If it was not appropriate I would not have bought the")</f>
        <v>Very good I knew what to expect are the usual teats bottles of my son I bought in because the old was lively. If it was not appropriate I would not have bought the</v>
      </c>
    </row>
    <row r="12785">
      <c r="A12785" s="1">
        <v>5.0</v>
      </c>
      <c r="B12785" s="1" t="s">
        <v>12573</v>
      </c>
      <c r="C12785" t="str">
        <f>IFERROR(__xludf.DUMMYFUNCTION("GOOGLETRANSLATE(B12785, ""fr"", ""en"")"),"Everything Meets description nickel package. Product compliant but not tested. The wire rigid and air quality. BLA BLA BLA")</f>
        <v>Everything Meets description nickel package. Product compliant but not tested. The wire rigid and air quality. BLA BLA BLA</v>
      </c>
    </row>
    <row r="12786">
      <c r="A12786" s="1">
        <v>5.0</v>
      </c>
      <c r="B12786" s="1" t="s">
        <v>12574</v>
      </c>
      <c r="C12786" t="str">
        <f>IFERROR(__xludf.DUMMYFUNCTION("GOOGLETRANSLATE(B12786, ""fr"", ""en"")"),"Very nice My daughter is delighted with this purchase. Quality / price (including delivery charges) unbeatable. Very comfortable and very original motive to go with a little gothic hoodies. It measures about 1m72 for approximately 62 kilograms and took an"&amp;" XL size that suits him perfectly. We do not yet washed leggings. I will put an update in case of problems after washing. Otherwise, frankly, we highly recommend this leggings.")</f>
        <v>Very nice My daughter is delighted with this purchase. Quality / price (including delivery charges) unbeatable. Very comfortable and very original motive to go with a little gothic hoodies. It measures about 1m72 for approximately 62 kilograms and took an XL size that suits him perfectly. We do not yet washed leggings. I will put an update in case of problems after washing. Otherwise, frankly, we highly recommend this leggings.</v>
      </c>
    </row>
    <row r="12787">
      <c r="A12787" s="1">
        <v>5.0</v>
      </c>
      <c r="B12787" s="1" t="s">
        <v>12575</v>
      </c>
      <c r="C12787" t="str">
        <f>IFERROR(__xludf.DUMMYFUNCTION("GOOGLETRANSLATE(B12787, ""fr"", ""en"")"),"nickel felt good brand, not dry, as long as you close the caps :: recommended product - however not to use for coloring = too late")</f>
        <v>nickel felt good brand, not dry, as long as you close the caps :: recommended product - however not to use for coloring = too late</v>
      </c>
    </row>
    <row r="12788">
      <c r="A12788" s="1">
        <v>5.0</v>
      </c>
      <c r="B12788" s="1" t="s">
        <v>12576</v>
      </c>
      <c r="C12788" t="str">
        <f>IFERROR(__xludf.DUMMYFUNCTION("GOOGLETRANSLATE(B12788, ""fr"", ""en"")"),"color pencil art supplies castle colorist confirmed I can tell you that his pencil are so amazing for me I compare to prismacolors .tres beautiful pencil with a beautiful color palette.")</f>
        <v>color pencil art supplies castle colorist confirmed I can tell you that his pencil are so amazing for me I compare to prismacolors .tres beautiful pencil with a beautiful color palette.</v>
      </c>
    </row>
    <row r="12789">
      <c r="A12789" s="1">
        <v>5.0</v>
      </c>
      <c r="B12789" s="1" t="s">
        <v>12577</v>
      </c>
      <c r="C12789" t="str">
        <f>IFERROR(__xludf.DUMMYFUNCTION("GOOGLETRANSLATE(B12789, ""fr"", ""en"")"),"I recommend my friend Magnificent Product was great just donated effect")</f>
        <v>I recommend my friend Magnificent Product was great just donated effect</v>
      </c>
    </row>
    <row r="12790">
      <c r="A12790" s="1">
        <v>5.0</v>
      </c>
      <c r="B12790" s="1" t="s">
        <v>12578</v>
      </c>
      <c r="C12790" t="str">
        <f>IFERROR(__xludf.DUMMYFUNCTION("GOOGLETRANSLATE(B12790, ""fr"", ""en"")"),"product conformity Electronic box placed outside.")</f>
        <v>product conformity Electronic box placed outside.</v>
      </c>
    </row>
    <row r="12791">
      <c r="A12791" s="1">
        <v>5.0</v>
      </c>
      <c r="B12791" s="1" t="s">
        <v>12579</v>
      </c>
      <c r="C12791" t="str">
        <f>IFERROR(__xludf.DUMMYFUNCTION("GOOGLETRANSLATE(B12791, ""fr"", ""en"")"),"Excellent value for money I used paper towel. I'm happy with this product, excellent value for money. Good absorption. I recommend.")</f>
        <v>Excellent value for money I used paper towel. I'm happy with this product, excellent value for money. Good absorption. I recommend.</v>
      </c>
    </row>
    <row r="12792">
      <c r="A12792" s="1">
        <v>5.0</v>
      </c>
      <c r="B12792" s="1" t="s">
        <v>204</v>
      </c>
      <c r="C12792" t="str">
        <f>IFERROR(__xludf.DUMMYFUNCTION("GOOGLETRANSLATE(B12792, ""fr"", ""en"")"),"Top Top")</f>
        <v>Top Top</v>
      </c>
    </row>
    <row r="12793">
      <c r="A12793" s="1">
        <v>5.0</v>
      </c>
      <c r="B12793" s="1" t="s">
        <v>12580</v>
      </c>
      <c r="C12793" t="str">
        <f>IFERROR(__xludf.DUMMYFUNCTION("GOOGLETRANSLATE(B12793, ""fr"", ""en"")"),"Beautiful, colorful What I liked the speed c of the shipment The color pencils box that is transparent blister protects ,, box not damaged, new rods not damaged, beautiful colors, the 120 pencils pr only 34 € 99 while in store pr 24 pencils you the same p"&amp;"rice quality is fine, pencil quality, beautiful colors, nice design, choice, I am very happy !! thank you ^ - ^")</f>
        <v>Beautiful, colorful What I liked the speed c of the shipment The color pencils box that is transparent blister protects ,, box not damaged, new rods not damaged, beautiful colors, the 120 pencils pr only 34 € 99 while in store pr 24 pencils you the same price quality is fine, pencil quality, beautiful colors, nice design, choice, I am very happy !! thank you ^ - ^</v>
      </c>
    </row>
    <row r="12794">
      <c r="A12794" s="1">
        <v>5.0</v>
      </c>
      <c r="B12794" s="1" t="s">
        <v>12581</v>
      </c>
      <c r="C12794" t="str">
        <f>IFERROR(__xludf.DUMMYFUNCTION("GOOGLETRANSLATE(B12794, ""fr"", ""en"")"),"Great Value / Price Perfect for my printer canon and with a beautiful economy. I recommend")</f>
        <v>Great Value / Price Perfect for my printer canon and with a beautiful economy. I recommend</v>
      </c>
    </row>
    <row r="12795">
      <c r="A12795" s="1">
        <v>5.0</v>
      </c>
      <c r="B12795" s="1" t="s">
        <v>8308</v>
      </c>
      <c r="C12795" t="str">
        <f>IFERROR(__xludf.DUMMYFUNCTION("GOOGLETRANSLATE(B12795, ""fr"", ""en"")"),"At the top Okay")</f>
        <v>At the top Okay</v>
      </c>
    </row>
    <row r="12796">
      <c r="A12796" s="1">
        <v>5.0</v>
      </c>
      <c r="B12796" s="1" t="s">
        <v>12582</v>
      </c>
      <c r="C12796" t="str">
        <f>IFERROR(__xludf.DUMMYFUNCTION("GOOGLETRANSLATE(B12796, ""fr"", ""en"")"),"Nickel Very well right size")</f>
        <v>Nickel Very well right size</v>
      </c>
    </row>
    <row r="12797">
      <c r="A12797" s="1">
        <v>5.0</v>
      </c>
      <c r="B12797" s="1" t="s">
        <v>12583</v>
      </c>
      <c r="C12797" t="str">
        <f>IFERROR(__xludf.DUMMYFUNCTION("GOOGLETRANSLATE(B12797, ""fr"", ""en"")"),"Ideal to offer when one is uncle or auntie We offered this book to our niece for her to handle her lol parents. And she include it to tell him some things")</f>
        <v>Ideal to offer when one is uncle or auntie We offered this book to our niece for her to handle her lol parents. And she include it to tell him some things</v>
      </c>
    </row>
    <row r="12798">
      <c r="A12798" s="1">
        <v>2.0</v>
      </c>
      <c r="B12798" s="1" t="s">
        <v>12584</v>
      </c>
      <c r="C12798" t="str">
        <f>IFERROR(__xludf.DUMMYFUNCTION("GOOGLETRANSLATE(B12798, ""fr"", ""en"")"),"No top I bought for my wife, she loves not, it hurts him back, I'm not talking about cervical. He served 3 times, we'll sell it")</f>
        <v>No top I bought for my wife, she loves not, it hurts him back, I'm not talking about cervical. He served 3 times, we'll sell it</v>
      </c>
    </row>
    <row r="12799">
      <c r="A12799" s="1">
        <v>1.0</v>
      </c>
      <c r="B12799" s="1" t="s">
        <v>12585</v>
      </c>
      <c r="C12799" t="str">
        <f>IFERROR(__xludf.DUMMYFUNCTION("GOOGLETRANSLATE(B12799, ""fr"", ""en"")"),"Not good Missing packet plus another empty, very disappointed with its not worth the most expensive purchase blow")</f>
        <v>Not good Missing packet plus another empty, very disappointed with its not worth the most expensive purchase blow</v>
      </c>
    </row>
    <row r="12800">
      <c r="A12800" s="1">
        <v>1.0</v>
      </c>
      <c r="B12800" s="1" t="s">
        <v>12586</v>
      </c>
      <c r="C12800" t="str">
        <f>IFERROR(__xludf.DUMMYFUNCTION("GOOGLETRANSLATE(B12800, ""fr"", ""en"")"),"INFRINGEMENT OF BASKETBALL Hello, I am writing this review while being disappointed. I received a pair of Nike and now I see myself that it's a scam. I will explain, first box I received was damaged. The label on the box is not original it is a copy. The "&amp;"serial number of the basketball does not match any nike basketball. Then, when I open the box on the paper inside the Nike logo is not representing and within 2 sneakers he has paper of the Levis brand, go 🤔 understand and to finish the basketball is too"&amp;" much varnish . I am disappointed because I have to pay to receive a counterfeit home. I expect my refund. I hope my review will serve for other customers. Goodbye")</f>
        <v>INFRINGEMENT OF BASKETBALL Hello, I am writing this review while being disappointed. I received a pair of Nike and now I see myself that it's a scam. I will explain, first box I received was damaged. The label on the box is not original it is a copy. The serial number of the basketball does not match any nike basketball. Then, when I open the box on the paper inside the Nike logo is not representing and within 2 sneakers he has paper of the Levis brand, go 🤔 understand and to finish the basketball is too much varnish . I am disappointed because I have to pay to receive a counterfeit home. I expect my refund. I hope my review will serve for other customers. Goodbye</v>
      </c>
    </row>
    <row r="12801">
      <c r="A12801" s="1">
        <v>3.0</v>
      </c>
      <c r="B12801" s="1" t="s">
        <v>12587</v>
      </c>
      <c r="C12801" t="str">
        <f>IFERROR(__xludf.DUMMYFUNCTION("GOOGLETRANSLATE(B12801, ""fr"", ""en"")"),"Well to start It's a fairly functional arm, just good enough to start the recordings when you do not want to invest too much money. It served me well for several months, and even made illusion when its quality during use. The mounting foot properly mainta"&amp;"ined overall, but this is where it gets more complicated it is on the other intersections of the arm. The wheels are quite fragile and contrary to what was indicated, use this arm to attach microphones as heavy a Blue Yeti Pro is a very bad idea. Finally,"&amp;" having invested in an arm at Rode, I see immediately the difference in quality. Where Eastshining squeaks and recovers a portion of vibration, Rode handles this much better. Again not bad and always recommend if you have a micro-budget, but you'll get yo"&amp;"ur money.")</f>
        <v>Well to start It's a fairly functional arm, just good enough to start the recordings when you do not want to invest too much money. It served me well for several months, and even made illusion when its quality during use. The mounting foot properly maintained overall, but this is where it gets more complicated it is on the other intersections of the arm. The wheels are quite fragile and contrary to what was indicated, use this arm to attach microphones as heavy a Blue Yeti Pro is a very bad idea. Finally, having invested in an arm at Rode, I see immediately the difference in quality. Where Eastshining squeaks and recovers a portion of vibration, Rode handles this much better. Again not bad and always recommend if you have a micro-budget, but you'll get your money.</v>
      </c>
    </row>
    <row r="12802">
      <c r="A12802" s="1">
        <v>3.0</v>
      </c>
      <c r="B12802" s="1" t="s">
        <v>12588</v>
      </c>
      <c r="C12802" t="str">
        <f>IFERROR(__xludf.DUMMYFUNCTION("GOOGLETRANSLATE(B12802, ""fr"", ""en"")"),"White powder You should know that the product is in powder form and have to be prepared to make a gesso.")</f>
        <v>White powder You should know that the product is in powder form and have to be prepared to make a gesso.</v>
      </c>
    </row>
    <row r="12803">
      <c r="A12803" s="1">
        <v>4.0</v>
      </c>
      <c r="B12803" s="1" t="s">
        <v>12589</v>
      </c>
      <c r="C12803" t="str">
        <f>IFERROR(__xludf.DUMMYFUNCTION("GOOGLETRANSLATE(B12803, ""fr"", ""en"")"),"More beautiful than the picture of the site, a pity that this brand is too expensive and rarely resulted !!!! I have several pairs of Converse high and basic canvas that I wear in the summer with jeans or Bermuda shorts, ""timeless"" this is my first pair"&amp;" of leather and I love lès I regret not being able to control the same rust color ""size 43 Sold"" now I can also wore Converse winter.")</f>
        <v>More beautiful than the picture of the site, a pity that this brand is too expensive and rarely resulted !!!! I have several pairs of Converse high and basic canvas that I wear in the summer with jeans or Bermuda shorts, "timeless" this is my first pair of leather and I love lès I regret not being able to control the same rust color "size 43 Sold" now I can also wore Converse winter.</v>
      </c>
    </row>
    <row r="12804">
      <c r="A12804" s="1">
        <v>4.0</v>
      </c>
      <c r="B12804" s="1" t="s">
        <v>12590</v>
      </c>
      <c r="C12804" t="str">
        <f>IFERROR(__xludf.DUMMYFUNCTION("GOOGLETRANSLATE(B12804, ""fr"", ""en"")"),"Lightweight and comfortable Lightweight and comfortable, pleasant to wear .a see the quality in time, otherwise very happy to read purchase")</f>
        <v>Lightweight and comfortable Lightweight and comfortable, pleasant to wear .a see the quality in time, otherwise very happy to read purchase</v>
      </c>
    </row>
    <row r="12805">
      <c r="A12805" s="1">
        <v>4.0</v>
      </c>
      <c r="B12805" s="1" t="s">
        <v>12591</v>
      </c>
      <c r="C12805" t="str">
        <f>IFERROR(__xludf.DUMMYFUNCTION("GOOGLETRANSLATE(B12805, ""fr"", ""en"")"),"A good alternative to the hinged arms tripod purchased to accompany my newly ordered Bird UM1 and since my desktop configuration does not allow me to place a microphone support with articulated arm. * The packaging is more than simple: the tripod is place"&amp;"d directly in a neutral bubble envelope. Personally I ask no more. * In terms of build quality, I have not noticed defects and all looks pretty solid. The only point I will watch will probably screw that makes me a little scared, but it's a detail in my o"&amp;"pinion. * Once all installed, the foot is not wobbly and tolerates weight. Nevertheless, it would not take much for the micro switches, but other more by ballasting one side of the foot, I do not see how manufacturers could have avoided this. In normal us"&amp;"e and making a minimum care is not a problem at all. In the worst case, if it becomes a problem, you can still load balance more (playing with the filter if you have one, for example). To conclude, I would say that this product is as described and what I "&amp;"expected from him. It will be a 4/5 because I'm a bit of a perfectionist, but you can order it with no problem, it's the job;) If my review was helpful, thank you in advance for kindly indicate so by clicking the button provided for this purpose =)")</f>
        <v>A good alternative to the hinged arms tripod purchased to accompany my newly ordered Bird UM1 and since my desktop configuration does not allow me to place a microphone support with articulated arm. * The packaging is more than simple: the tripod is placed directly in a neutral bubble envelope. Personally I ask no more. * In terms of build quality, I have not noticed defects and all looks pretty solid. The only point I will watch will probably screw that makes me a little scared, but it's a detail in my opinion. * Once all installed, the foot is not wobbly and tolerates weight. Nevertheless, it would not take much for the micro switches, but other more by ballasting one side of the foot, I do not see how manufacturers could have avoided this. In normal use and making a minimum care is not a problem at all. In the worst case, if it becomes a problem, you can still load balance more (playing with the filter if you have one, for example). To conclude, I would say that this product is as described and what I expected from him. It will be a 4/5 because I'm a bit of a perfectionist, but you can order it with no problem, it's the job;) If my review was helpful, thank you in advance for kindly indicate so by clicking the button provided for this purpose =)</v>
      </c>
    </row>
    <row r="12806">
      <c r="A12806" s="1">
        <v>4.0</v>
      </c>
      <c r="B12806" s="1" t="s">
        <v>12592</v>
      </c>
      <c r="C12806" t="str">
        <f>IFERROR(__xludf.DUMMYFUNCTION("GOOGLETRANSLATE(B12806, ""fr"", ""en"")"),"Nice Hello I find them very well can a big foot but after some time it passes And the material is top")</f>
        <v>Nice Hello I find them very well can a big foot but after some time it passes And the material is top</v>
      </c>
    </row>
    <row r="12807">
      <c r="A12807" s="1">
        <v>5.0</v>
      </c>
      <c r="B12807" s="1" t="s">
        <v>12593</v>
      </c>
      <c r="C12807" t="str">
        <f>IFERROR(__xludf.DUMMYFUNCTION("GOOGLETRANSLATE(B12807, ""fr"", ""en"")"),"speed and quality Send fast, the parcel arrived quickly at home. The fabric is pleasant to the touch and comfortable to wear my wife is very happy with this purchase.")</f>
        <v>speed and quality Send fast, the parcel arrived quickly at home. The fabric is pleasant to the touch and comfortable to wear my wife is very happy with this purchase.</v>
      </c>
    </row>
    <row r="12808">
      <c r="A12808" s="1">
        <v>5.0</v>
      </c>
      <c r="B12808" s="1" t="s">
        <v>12594</v>
      </c>
      <c r="C12808" t="str">
        <f>IFERROR(__xludf.DUMMYFUNCTION("GOOGLETRANSLATE(B12808, ""fr"", ""en"")"),"Perfectly fulfills its objectives I used to speak of Team or discord. These modes are very well done. The carotid recording mode is effective. No special driver so he works on both Windows and Linux. It is a bit big but all metal which is quite surprising"&amp;" I expected plastic. I took the black version is more aesthetic and fairly neutral. The headphone jack is very useful to know how to determine the position of the microphone relative to mode because in advertisements are not realize which side must necess"&amp;"arily well to the microphone. All necessary buttons on the mic there's nothing not much to do on Windows.")</f>
        <v>Perfectly fulfills its objectives I used to speak of Team or discord. These modes are very well done. The carotid recording mode is effective. No special driver so he works on both Windows and Linux. It is a bit big but all metal which is quite surprising I expected plastic. I took the black version is more aesthetic and fairly neutral. The headphone jack is very useful to know how to determine the position of the microphone relative to mode because in advertisements are not realize which side must necessarily well to the microphone. All necessary buttons on the mic there's nothing not much to do on Windows.</v>
      </c>
    </row>
    <row r="12809">
      <c r="A12809" s="1">
        <v>5.0</v>
      </c>
      <c r="B12809" s="1" t="s">
        <v>12595</v>
      </c>
      <c r="C12809" t="str">
        <f>IFERROR(__xludf.DUMMYFUNCTION("GOOGLETRANSLATE(B12809, ""fr"", ""en"")"),"Good brush This product is perfect for cleaning machines of Avent bottles of my son. Very useful every day! I never used to brush another brand so I can not compare.")</f>
        <v>Good brush This product is perfect for cleaning machines of Avent bottles of my son. Very useful every day! I never used to brush another brand so I can not compare.</v>
      </c>
    </row>
    <row r="12810">
      <c r="A12810" s="1">
        <v>5.0</v>
      </c>
      <c r="B12810" s="1" t="s">
        <v>12596</v>
      </c>
      <c r="C12810" t="str">
        <f>IFERROR(__xludf.DUMMYFUNCTION("GOOGLETRANSLATE(B12810, ""fr"", ""en"")"),"Palladuim Us True comfort, this pair of shoes and ideal for any type of mountain activity easy city campaign to clean a single model.")</f>
        <v>Palladuim Us True comfort, this pair of shoes and ideal for any type of mountain activity easy city campaign to clean a single model.</v>
      </c>
    </row>
    <row r="12811">
      <c r="A12811" s="1">
        <v>5.0</v>
      </c>
      <c r="B12811" s="1" t="s">
        <v>12597</v>
      </c>
      <c r="C12811" t="str">
        <f>IFERROR(__xludf.DUMMYFUNCTION("GOOGLETRANSLATE(B12811, ""fr"", ""en"")"),"Like a glove ! I received yesterday the pair today and I try and I'm not disappointed, the size is right, the fabric looks good and comfortable. I recommend")</f>
        <v>Like a glove ! I received yesterday the pair today and I try and I'm not disappointed, the size is right, the fabric looks good and comfortable. I recommend</v>
      </c>
    </row>
    <row r="12812">
      <c r="A12812" s="1">
        <v>5.0</v>
      </c>
      <c r="B12812" s="1" t="s">
        <v>12598</v>
      </c>
      <c r="C12812" t="str">
        <f>IFERROR(__xludf.DUMMYFUNCTION("GOOGLETRANSLATE(B12812, ""fr"", ""en"")"),"Perfect Perfect match my expectations, top value for money, paid about 11.00 euros, took my usual size, I recommend.")</f>
        <v>Perfect Perfect match my expectations, top value for money, paid about 11.00 euros, took my usual size, I recommend.</v>
      </c>
    </row>
    <row r="12813">
      <c r="A12813" s="1">
        <v>5.0</v>
      </c>
      <c r="B12813" s="1" t="s">
        <v>12599</v>
      </c>
      <c r="C12813" t="str">
        <f>IFERROR(__xludf.DUMMYFUNCTION("GOOGLETRANSLATE(B12813, ""fr"", ""en"")"),"Good product this kettle works great (I've had several months). Its color is always nice when lit. Good product, good price / quality ratio.")</f>
        <v>Good product this kettle works great (I've had several months). Its color is always nice when lit. Good product, good price / quality ratio.</v>
      </c>
    </row>
    <row r="12814">
      <c r="A12814" s="1">
        <v>5.0</v>
      </c>
      <c r="B12814" s="1" t="s">
        <v>12600</v>
      </c>
      <c r="C12814" t="str">
        <f>IFERROR(__xludf.DUMMYFUNCTION("GOOGLETRANSLATE(B12814, ""fr"", ""en"")"),"Bra for sports A bra that holds good for very comfortable elastic waist sports can adapt to the sport and is not breathable support throat to prevent too much sweating inside")</f>
        <v>Bra for sports A bra that holds good for very comfortable elastic waist sports can adapt to the sport and is not breathable support throat to prevent too much sweating inside</v>
      </c>
    </row>
    <row r="12815">
      <c r="A12815" s="1">
        <v>5.0</v>
      </c>
      <c r="B12815" s="1" t="s">
        <v>12601</v>
      </c>
      <c r="C12815" t="str">
        <f>IFERROR(__xludf.DUMMYFUNCTION("GOOGLETRANSLATE(B12815, ""fr"", ""en"")"),"Good product corresponding to product description, very good value!")</f>
        <v>Good product corresponding to product description, very good value!</v>
      </c>
    </row>
    <row r="12816">
      <c r="A12816" s="1">
        <v>5.0</v>
      </c>
      <c r="B12816" s="1" t="s">
        <v>12602</v>
      </c>
      <c r="C12816" t="str">
        <f>IFERROR(__xludf.DUMMYFUNCTION("GOOGLETRANSLATE(B12816, ""fr"", ""en"")"),"Comfort. I ordered this jogging pants to wear it in the moments and when I walk near my home. Good quality it provides the best comfort. Regarding the sizes, I opted compared to the sizes of pants I own the same make and I did not have bad surprises. I re"&amp;"commend this article without restrictions.")</f>
        <v>Comfort. I ordered this jogging pants to wear it in the moments and when I walk near my home. Good quality it provides the best comfort. Regarding the sizes, I opted compared to the sizes of pants I own the same make and I did not have bad surprises. I recommend this article without restrictions.</v>
      </c>
    </row>
    <row r="12817">
      <c r="A12817" s="1">
        <v>5.0</v>
      </c>
      <c r="B12817" s="1" t="s">
        <v>12603</v>
      </c>
      <c r="C12817" t="str">
        <f>IFERROR(__xludf.DUMMYFUNCTION("GOOGLETRANSLATE(B12817, ""fr"", ""en"")"),"perfect match to the announcement, well packaged shaped donuts, arrived quickly, long enough for two arièrre speaker 125 watt and thick enough not to lose quality.")</f>
        <v>perfect match to the announcement, well packaged shaped donuts, arrived quickly, long enough for two arièrre speaker 125 watt and thick enough not to lose quality.</v>
      </c>
    </row>
    <row r="12818">
      <c r="A12818" s="1">
        <v>5.0</v>
      </c>
      <c r="B12818" s="1" t="s">
        <v>12604</v>
      </c>
      <c r="C12818" t="str">
        <f>IFERROR(__xludf.DUMMYFUNCTION("GOOGLETRANSLATE(B12818, ""fr"", ""en"")"),"Super fine, it works really, I put in my car and humidity really diminish, plus it is odorless, and color inconspicuous, I recommend")</f>
        <v>Super fine, it works really, I put in my car and humidity really diminish, plus it is odorless, and color inconspicuous, I recommend</v>
      </c>
    </row>
    <row r="12819">
      <c r="A12819" s="1">
        <v>5.0</v>
      </c>
      <c r="B12819" s="1" t="s">
        <v>12605</v>
      </c>
      <c r="C12819" t="str">
        <f>IFERROR(__xludf.DUMMYFUNCTION("GOOGLETRANSLATE(B12819, ""fr"", ""en"")"),"A must for me is the mark of anti wipes color overflowing. This large package is advantageous. It's hard to do without when we started using them. Especially since it avoids making three different detergents so that in the end it is quite environmentally "&amp;"friendly.")</f>
        <v>A must for me is the mark of anti wipes color overflowing. This large package is advantageous. It's hard to do without when we started using them. Especially since it avoids making three different detergents so that in the end it is quite environmentally friendly.</v>
      </c>
    </row>
    <row r="12820">
      <c r="A12820" s="1">
        <v>5.0</v>
      </c>
      <c r="B12820" s="1" t="s">
        <v>12606</v>
      </c>
      <c r="C12820" t="str">
        <f>IFERROR(__xludf.DUMMYFUNCTION("GOOGLETRANSLATE(B12820, ""fr"", ""en"")"),"super fine")</f>
        <v>super fine</v>
      </c>
    </row>
    <row r="12821">
      <c r="A12821" s="1">
        <v>5.0</v>
      </c>
      <c r="B12821" s="1" t="s">
        <v>12607</v>
      </c>
      <c r="C12821" t="str">
        <f>IFERROR(__xludf.DUMMYFUNCTION("GOOGLETRANSLATE(B12821, ""fr"", ""en"")"),"Excellent quality product. The assortment is well arranged, the quality is there. I recommend this product for classification, perfect. I will be ordering again.")</f>
        <v>Excellent quality product. The assortment is well arranged, the quality is there. I recommend this product for classification, perfect. I will be ordering again.</v>
      </c>
    </row>
    <row r="12822">
      <c r="A12822" s="1">
        <v>2.0</v>
      </c>
      <c r="B12822" s="1" t="s">
        <v>12608</v>
      </c>
      <c r="C12822" t="str">
        <f>IFERROR(__xludf.DUMMYFUNCTION("GOOGLETRANSLATE(B12822, ""fr"", ""en"")"),"Ouch my ears I wanted to spend the entire wireless for its practicality. I have a Grado PS1000e for home and one for Grado GR10e nomadic (ITE) wired. At no time did I imagine finding the sound quality of these headphones to wireless and even less Sennheis"&amp;"er TW tariff, they are not boxing in the same category. My goal was to have something practical that the sound quality is still correct to enjoy some music in certain conditions or son are painful. I expected to have to make concessions but not to that po"&amp;"int. I started thinking that I had a level of requirement too high and that's when I took out my old Yamaha EPH-100 (wired ITE 100 €) to compare. Yamaha that cost 1/3 the price its top performing well in all areas ... Certainly they do not have wireless f"&amp;"unctionality but it does not justify such a price difference. To speak of her ... The bass is too present and cover the entire medium low, I like listening to music with a huge cold. As could be too present they are not precise and soft. Yamaha also have "&amp;"the drawback of having too low but they do not cover the rest and are accurate. Mediums hardly exist ... it can be nice signature V but we must not exaggerate either. The highs are too aggressive and worse they saturate a large part of the spectrum. I spe"&amp;"ak here of an audible saturation. For example, half of the guitar sounds on the album Stadium Arcadium Red Hot sizzle sharply. Very disagreeable ! I favor the perfect bit (listen to the live sound to the headset without any equalizer). Unfortunately, with"&amp;" this headset I have to go through some changes (USB Audio Player Pro Thanks for precise EQ). This not bad fixes it on the bass and midrange but gives something artificial. treble remains: can not have something correct, it saturates too. So for her, it's"&amp;" just at a pair of wire 30-40 € ... No musicality. Still the good side of the thing ... wireless ... oh well no, actually it's not great either. signal loss, pariage laborious and so on ... I have to make a reset headphones every time I change the source "&amp;"device (smartphone - Mobile PC - other smartphone). Ergonomics is also bad. The control system is very accurate. It is often found to press ""buttons"" once removed the headphones and we just cut them. Suddenly the music again ... frustrating. A good poin"&amp;"t, they hold well in the ears, I could ride a bike with no worries. By cons, after an hour of listening, they do harm in the earlobe. In summary, if you like electro ""tatapoum"" it will perhaps. For the rest ... nothing happens on my side, I only use the"&amp;"m to listen to podcasts. This pair of headphones is not worth its € 300.")</f>
        <v>Ouch my ears I wanted to spend the entire wireless for its practicality. I have a Grado PS1000e for home and one for Grado GR10e nomadic (ITE) wired. At no time did I imagine finding the sound quality of these headphones to wireless and even less Sennheiser TW tariff, they are not boxing in the same category. My goal was to have something practical that the sound quality is still correct to enjoy some music in certain conditions or son are painful. I expected to have to make concessions but not to that point. I started thinking that I had a level of requirement too high and that's when I took out my old Yamaha EPH-100 (wired ITE 100 €) to compare. Yamaha that cost 1/3 the price its top performing well in all areas ... Certainly they do not have wireless functionality but it does not justify such a price difference. To speak of her ... The bass is too present and cover the entire medium low, I like listening to music with a huge cold. As could be too present they are not precise and soft. Yamaha also have the drawback of having too low but they do not cover the rest and are accurate. Mediums hardly exist ... it can be nice signature V but we must not exaggerate either. The highs are too aggressive and worse they saturate a large part of the spectrum. I speak here of an audible saturation. For example, half of the guitar sounds on the album Stadium Arcadium Red Hot sizzle sharply. Very disagreeable ! I favor the perfect bit (listen to the live sound to the headset without any equalizer). Unfortunately, with this headset I have to go through some changes (USB Audio Player Pro Thanks for precise EQ). This not bad fixes it on the bass and midrange but gives something artificial. treble remains: can not have something correct, it saturates too. So for her, it's just at a pair of wire 30-40 € ... No musicality. Still the good side of the thing ... wireless ... oh well no, actually it's not great either. signal loss, pariage laborious and so on ... I have to make a reset headphones every time I change the source device (smartphone - Mobile PC - other smartphone). Ergonomics is also bad. The control system is very accurate. It is often found to press "buttons" once removed the headphones and we just cut them. Suddenly the music again ... frustrating. A good point, they hold well in the ears, I could ride a bike with no worries. By cons, after an hour of listening, they do harm in the earlobe. In summary, if you like electro "tatapoum" it will perhaps. For the rest ... nothing happens on my side, I only use them to listen to podcasts. This pair of headphones is not worth its € 300.</v>
      </c>
    </row>
    <row r="12823">
      <c r="A12823" s="1">
        <v>1.0</v>
      </c>
      <c r="B12823" s="1" t="s">
        <v>12609</v>
      </c>
      <c r="C12823" t="str">
        <f>IFERROR(__xludf.DUMMYFUNCTION("GOOGLETRANSLATE(B12823, ""fr"", ""en"")"),"Dissatisfied After 15 days, she takes off it already. ... really disappointed. J'll listen to the previous comment. Pity")</f>
        <v>Dissatisfied After 15 days, she takes off it already. ... really disappointed. J'll listen to the previous comment. Pity</v>
      </c>
    </row>
    <row r="12824">
      <c r="A12824" s="1">
        <v>1.0</v>
      </c>
      <c r="B12824" s="1" t="s">
        <v>12610</v>
      </c>
      <c r="C12824" t="str">
        <f>IFERROR(__xludf.DUMMYFUNCTION("GOOGLETRANSLATE(B12824, ""fr"", ""en"")"),"Problem of seams At first when I tried it seemed good, but in fact it has a big flaw at the seams along the leg, she does not stay straight, she finds herself in front of half the pants instead of being in the house all along the side of the leg ... well "&amp;"it turns when walking. After several wash the color changed and pilling. In sum well to hang at home.")</f>
        <v>Problem of seams At first when I tried it seemed good, but in fact it has a big flaw at the seams along the leg, she does not stay straight, she finds herself in front of half the pants instead of being in the house all along the side of the leg ... well it turns when walking. After several wash the color changed and pilling. In sum well to hang at home.</v>
      </c>
    </row>
    <row r="12825">
      <c r="A12825" s="1">
        <v>3.0</v>
      </c>
      <c r="B12825" s="1" t="s">
        <v>12611</v>
      </c>
      <c r="C12825" t="str">
        <f>IFERROR(__xludf.DUMMYFUNCTION("GOOGLETRANSLATE(B12825, ""fr"", ""en"")"),"very good value shows a very functional, ideal for working outdoors, only one drawback, the design a bit dépassé.Mais what more for that price.")</f>
        <v>very good value shows a very functional, ideal for working outdoors, only one drawback, the design a bit dépassé.Mais what more for that price.</v>
      </c>
    </row>
    <row r="12826">
      <c r="A12826" s="1">
        <v>4.0</v>
      </c>
      <c r="B12826" s="1" t="s">
        <v>12612</v>
      </c>
      <c r="C12826" t="str">
        <f>IFERROR(__xludf.DUMMYFUNCTION("GOOGLETRANSLATE(B12826, ""fr"", ""en"")"),"too small i took a 43 but it was too small, but thank you to the vendor who've repaid me all")</f>
        <v>too small i took a 43 but it was too small, but thank you to the vendor who've repaid me all</v>
      </c>
    </row>
    <row r="12827">
      <c r="A12827" s="1">
        <v>4.0</v>
      </c>
      <c r="B12827" s="1" t="s">
        <v>12613</v>
      </c>
      <c r="C12827" t="str">
        <f>IFERROR(__xludf.DUMMYFUNCTION("GOOGLETRANSLATE(B12827, ""fr"", ""en"")"),"It seems too fragile to use every day, authentic, and goes very well with a well-dressed fashion style.")</f>
        <v>It seems too fragile to use every day, authentic, and goes very well with a well-dressed fashion style.</v>
      </c>
    </row>
    <row r="12828">
      <c r="A12828" s="1">
        <v>4.0</v>
      </c>
      <c r="B12828" s="1" t="s">
        <v>12614</v>
      </c>
      <c r="C12828" t="str">
        <f>IFERROR(__xludf.DUMMYFUNCTION("GOOGLETRANSLATE(B12828, ""fr"", ""en"")"),"Not bad Bought for my partner, who is not disappointed rendering. As against the front pocket is much smaller than I thought. And a pocket is already pierced, which is a shame! For the rest, nothing to say. See over time if the bag holding up where it is "&amp;"as solid as the pockets ...")</f>
        <v>Not bad Bought for my partner, who is not disappointed rendering. As against the front pocket is much smaller than I thought. And a pocket is already pierced, which is a shame! For the rest, nothing to say. See over time if the bag holding up where it is as solid as the pockets ...</v>
      </c>
    </row>
    <row r="12829">
      <c r="A12829" s="1">
        <v>4.0</v>
      </c>
      <c r="B12829" s="1" t="s">
        <v>12615</v>
      </c>
      <c r="C12829" t="str">
        <f>IFERROR(__xludf.DUMMYFUNCTION("GOOGLETRANSLATE(B12829, ""fr"", ""en"")"),"Recommend Not convinced on the resistance to do with time.")</f>
        <v>Recommend Not convinced on the resistance to do with time.</v>
      </c>
    </row>
    <row r="12830">
      <c r="A12830" s="1">
        <v>5.0</v>
      </c>
      <c r="B12830" s="1" t="s">
        <v>12616</v>
      </c>
      <c r="C12830" t="str">
        <f>IFERROR(__xludf.DUMMYFUNCTION("GOOGLETRANSLATE(B12830, ""fr"", ""en"")"),"Large slippers I have received as a gift for my guy and he loves them! Perfect for the cold autumn weather. More strong enough to carry outside for a quick trip to get the paper or mail.")</f>
        <v>Large slippers I have received as a gift for my guy and he loves them! Perfect for the cold autumn weather. More strong enough to carry outside for a quick trip to get the paper or mail.</v>
      </c>
    </row>
    <row r="12831">
      <c r="A12831" s="1">
        <v>5.0</v>
      </c>
      <c r="B12831" s="1" t="s">
        <v>12617</v>
      </c>
      <c r="C12831" t="str">
        <f>IFERROR(__xludf.DUMMYFUNCTION("GOOGLETRANSLATE(B12831, ""fr"", ""en"")"),"A satisfied jpli rendered in real like the picture. I really appreciate. Very fast delivery. I am satisfied.")</f>
        <v>A satisfied jpli rendered in real like the picture. I really appreciate. Very fast delivery. I am satisfied.</v>
      </c>
    </row>
    <row r="12832">
      <c r="A12832" s="1">
        <v>5.0</v>
      </c>
      <c r="B12832" s="1" t="s">
        <v>12618</v>
      </c>
      <c r="C12832" t="str">
        <f>IFERROR(__xludf.DUMMYFUNCTION("GOOGLETRANSLATE(B12832, ""fr"", ""en"")"),"a4 sheets adhesive stickers Product received quickly. I use it to make stickers to children")</f>
        <v>a4 sheets adhesive stickers Product received quickly. I use it to make stickers to children</v>
      </c>
    </row>
    <row r="12833">
      <c r="A12833" s="1">
        <v>5.0</v>
      </c>
      <c r="B12833" s="1" t="s">
        <v>12619</v>
      </c>
      <c r="C12833" t="str">
        <f>IFERROR(__xludf.DUMMYFUNCTION("GOOGLETRANSLATE(B12833, ""fr"", ""en"")"),"Perfect Perfect. Just what wanted")</f>
        <v>Perfect Perfect. Just what wanted</v>
      </c>
    </row>
    <row r="12834">
      <c r="A12834" s="1">
        <v>5.0</v>
      </c>
      <c r="B12834" s="1" t="s">
        <v>12620</v>
      </c>
      <c r="C12834" t="str">
        <f>IFERROR(__xludf.DUMMYFUNCTION("GOOGLETRANSLATE(B12834, ""fr"", ""en"")"),"Oh top Super produced nothing to say!")</f>
        <v>Oh top Super produced nothing to say!</v>
      </c>
    </row>
    <row r="12835">
      <c r="A12835" s="1">
        <v>5.0</v>
      </c>
      <c r="B12835" s="1" t="s">
        <v>12621</v>
      </c>
      <c r="C12835" t="str">
        <f>IFERROR(__xludf.DUMMYFUNCTION("GOOGLETRANSLATE(B12835, ""fr"", ""en"")"),"ideal price-quality ratio We use it almost every day to make our coffee in a French press. She is pretty and the capacity of 1.2 l is largememnt sufficient. It heats rapidemement")</f>
        <v>ideal price-quality ratio We use it almost every day to make our coffee in a French press. She is pretty and the capacity of 1.2 l is largememnt sufficient. It heats rapidemement</v>
      </c>
    </row>
    <row r="12836">
      <c r="A12836" s="1">
        <v>5.0</v>
      </c>
      <c r="B12836" s="1" t="s">
        <v>12622</v>
      </c>
      <c r="C12836" t="str">
        <f>IFERROR(__xludf.DUMMYFUNCTION("GOOGLETRANSLATE(B12836, ""fr"", ""en"")"),"Super Perfect for breast milk I put my impeccable conservation 150ml pots for transport between home and home nanny I do not put bread ice because I have that 10-minute drive and it keeps fresh")</f>
        <v>Super Perfect for breast milk I put my impeccable conservation 150ml pots for transport between home and home nanny I do not put bread ice because I have that 10-minute drive and it keeps fresh</v>
      </c>
    </row>
    <row r="12837">
      <c r="A12837" s="1">
        <v>5.0</v>
      </c>
      <c r="B12837" s="1" t="s">
        <v>12623</v>
      </c>
      <c r="C12837" t="str">
        <f>IFERROR(__xludf.DUMMYFUNCTION("GOOGLETRANSLATE(B12837, ""fr"", ""en"")"),"Very good for a secondary installation for not seeking an audiophile cabling for installation, this will fit the bill. The cladding is sufficiently flexible and unobtrusive. The price is affordable. A good product that matches perfectly to its description"&amp;".")</f>
        <v>Very good for a secondary installation for not seeking an audiophile cabling for installation, this will fit the bill. The cladding is sufficiently flexible and unobtrusive. The price is affordable. A good product that matches perfectly to its description.</v>
      </c>
    </row>
    <row r="12838">
      <c r="A12838" s="1">
        <v>5.0</v>
      </c>
      <c r="B12838" s="1" t="s">
        <v>7418</v>
      </c>
      <c r="C12838" t="str">
        <f>IFERROR(__xludf.DUMMYFUNCTION("GOOGLETRANSLATE(B12838, ""fr"", ""en"")"),"perfect Nickel")</f>
        <v>perfect Nickel</v>
      </c>
    </row>
    <row r="12839">
      <c r="A12839" s="1">
        <v>5.0</v>
      </c>
      <c r="B12839" s="1" t="s">
        <v>12624</v>
      </c>
      <c r="C12839" t="str">
        <f>IFERROR(__xludf.DUMMYFUNCTION("GOOGLETRANSLATE(B12839, ""fr"", ""en"")"),"Beautiful bag, good face, retro style. I was looking for a bag to give to a friend who is a fan of retro style / vintage, ç he was more than happy when I offered! He exudes an aroma of leather without being too thankfully because it was one of the importa"&amp;"nt criteria in my purchase. For the size, it's perfect for a shoulder bag, it features internal zipper pockets as you can see from the photos that I put. I recommend for fans of retro style cowboy / wild west this is a must have! I hope I've helped you !")</f>
        <v>Beautiful bag, good face, retro style. I was looking for a bag to give to a friend who is a fan of retro style / vintage, ç he was more than happy when I offered! He exudes an aroma of leather without being too thankfully because it was one of the important criteria in my purchase. For the size, it's perfect for a shoulder bag, it features internal zipper pockets as you can see from the photos that I put. I recommend for fans of retro style cowboy / wild west this is a must have! I hope I've helped you !</v>
      </c>
    </row>
    <row r="12840">
      <c r="A12840" s="1">
        <v>5.0</v>
      </c>
      <c r="B12840" s="1" t="s">
        <v>12625</v>
      </c>
      <c r="C12840" t="str">
        <f>IFERROR(__xludf.DUMMYFUNCTION("GOOGLETRANSLATE(B12840, ""fr"", ""en"")"),"Super Bag The bag is very good. The size is perfect to put a little more than a traditional paper bag.")</f>
        <v>Super Bag The bag is very good. The size is perfect to put a little more than a traditional paper bag.</v>
      </c>
    </row>
    <row r="12841">
      <c r="A12841" s="1">
        <v>5.0</v>
      </c>
      <c r="B12841" s="1" t="s">
        <v>12626</v>
      </c>
      <c r="C12841" t="str">
        <f>IFERROR(__xludf.DUMMYFUNCTION("GOOGLETRANSLATE(B12841, ""fr"", ""en"")"),"Magical ! Waaawww !!!!!! It is great product!")</f>
        <v>Magical ! Waaawww !!!!!! It is great product!</v>
      </c>
    </row>
    <row r="12842">
      <c r="A12842" s="1">
        <v>5.0</v>
      </c>
      <c r="B12842" s="1" t="s">
        <v>12627</v>
      </c>
      <c r="C12842" t="str">
        <f>IFERROR(__xludf.DUMMYFUNCTION("GOOGLETRANSLATE(B12842, ""fr"", ""en"")"),"Product compliant Perfect for a birth list")</f>
        <v>Product compliant Perfect for a birth list</v>
      </c>
    </row>
    <row r="12843">
      <c r="A12843" s="1">
        <v>5.0</v>
      </c>
      <c r="B12843" s="1" t="s">
        <v>12628</v>
      </c>
      <c r="C12843" t="str">
        <f>IFERROR(__xludf.DUMMYFUNCTION("GOOGLETRANSLATE(B12843, ""fr"", ""en"")"),"DOES NOT SEEM A LITTLE XXL GREENHOUSE")</f>
        <v>DOES NOT SEEM A LITTLE XXL GREENHOUSE</v>
      </c>
    </row>
    <row r="12844">
      <c r="A12844" s="1">
        <v>5.0</v>
      </c>
      <c r="B12844" s="1" t="s">
        <v>12629</v>
      </c>
      <c r="C12844" t="str">
        <f>IFERROR(__xludf.DUMMYFUNCTION("GOOGLETRANSLATE(B12844, ""fr"", ""en"")"),"This small handy scale is great: small, precise and tray included is very convenient to use it avoids an additional container for weighing and helps protect while storing. Personally I use to weigh my tea. For the price we must not deprive ourselves")</f>
        <v>This small handy scale is great: small, precise and tray included is very convenient to use it avoids an additional container for weighing and helps protect while storing. Personally I use to weigh my tea. For the price we must not deprive ourselves</v>
      </c>
    </row>
    <row r="12845">
      <c r="A12845" s="1">
        <v>2.0</v>
      </c>
      <c r="B12845" s="1" t="s">
        <v>12630</v>
      </c>
      <c r="C12845" t="str">
        <f>IFERROR(__xludf.DUMMYFUNCTION("GOOGLETRANSLATE(B12845, ""fr"", ""en"")"),"BEAUTIFUL DESIGN BUT IF YOU DO NOT BAG added HEATED CA WARNING DO NOT GOOD DESIGN HEAT BEAUTIFUL BUT IF YOU DO NOT BAG added HEATED CA WARNING DO NOT GOOD HEAT I DO NOT RECOMMEND")</f>
        <v>BEAUTIFUL DESIGN BUT IF YOU DO NOT BAG added HEATED CA WARNING DO NOT GOOD DESIGN HEAT BEAUTIFUL BUT IF YOU DO NOT BAG added HEATED CA WARNING DO NOT GOOD HEAT I DO NOT RECOMMEND</v>
      </c>
    </row>
    <row r="12846">
      <c r="A12846" s="1">
        <v>1.0</v>
      </c>
      <c r="B12846" s="1" t="s">
        <v>12631</v>
      </c>
      <c r="C12846" t="str">
        <f>IFERROR(__xludf.DUMMYFUNCTION("GOOGLETRANSLATE(B12846, ""fr"", ""en"")"),"Not worth the price paid Bought for recording podcasts, sound quality very average. The same quality can be obtained with a basic conventional microwave (at 10-15 € max). Maybe it brings better for Omni or Bidirectionnal use, however, cardiod, it does not"&amp;" bring anything. Extremely disappointed to pay 10 times more for such a product and especially the time spent watching tutorial to see how it is configured to realize that this is really the product that is not good. On the internet many do post processin"&amp;"g. Whether to make the post processing what good pay 130 €?")</f>
        <v>Not worth the price paid Bought for recording podcasts, sound quality very average. The same quality can be obtained with a basic conventional microwave (at 10-15 € max). Maybe it brings better for Omni or Bidirectionnal use, however, cardiod, it does not bring anything. Extremely disappointed to pay 10 times more for such a product and especially the time spent watching tutorial to see how it is configured to realize that this is really the product that is not good. On the internet many do post processing. Whether to make the post processing what good pay 130 €?</v>
      </c>
    </row>
    <row r="12847">
      <c r="A12847" s="1">
        <v>3.0</v>
      </c>
      <c r="B12847" s="1" t="s">
        <v>12632</v>
      </c>
      <c r="C12847" t="str">
        <f>IFERROR(__xludf.DUMMYFUNCTION("GOOGLETRANSLATE(B12847, ""fr"", ""en"")"),"Poor quality fabric to do with the quality of a Levis store bought")</f>
        <v>Poor quality fabric to do with the quality of a Levis store bought</v>
      </c>
    </row>
    <row r="12848">
      <c r="A12848" s="1">
        <v>3.0</v>
      </c>
      <c r="B12848" s="1" t="s">
        <v>12633</v>
      </c>
      <c r="C12848" t="str">
        <f>IFERROR(__xludf.DUMMYFUNCTION("GOOGLETRANSLATE(B12848, ""fr"", ""en"")"),"A little too heavy for me the water bottle as it seems good. However it is too heavy for me, used to have on my stomach or well though against my body the night but the weight that it goes down every time. If she had a square shape would have been differe"&amp;"nt, the weight of the water inside is very strong smell better would go back too. I am afraid of me sit on it by mistake because I do not see a bit tricky Besides all this water bottle works well, 8 minutes load and 5 hours of heat more or less. It become"&amp;"s very hot, it must put its white case absolutely if brought into contact with the skin. Nevertheless, one can pull the plug loading earlier")</f>
        <v>A little too heavy for me the water bottle as it seems good. However it is too heavy for me, used to have on my stomach or well though against my body the night but the weight that it goes down every time. If she had a square shape would have been different, the weight of the water inside is very strong smell better would go back too. I am afraid of me sit on it by mistake because I do not see a bit tricky Besides all this water bottle works well, 8 minutes load and 5 hours of heat more or less. It becomes very hot, it must put its white case absolutely if brought into contact with the skin. Nevertheless, one can pull the plug loading earlier</v>
      </c>
    </row>
    <row r="12849">
      <c r="A12849" s="1">
        <v>4.0</v>
      </c>
      <c r="B12849" s="1" t="s">
        <v>12634</v>
      </c>
      <c r="C12849" t="str">
        <f>IFERROR(__xludf.DUMMYFUNCTION("GOOGLETRANSLATE(B12849, ""fr"", ""en"")"),"Quality NewBalance Delivered quickly, the shoe size matches the quality NewBalance on Amazon is top! I recommend this product !")</f>
        <v>Quality NewBalance Delivered quickly, the shoe size matches the quality NewBalance on Amazon is top! I recommend this product !</v>
      </c>
    </row>
    <row r="12850">
      <c r="A12850" s="1">
        <v>4.0</v>
      </c>
      <c r="B12850" s="1" t="s">
        <v>12635</v>
      </c>
      <c r="C12850" t="str">
        <f>IFERROR(__xludf.DUMMYFUNCTION("GOOGLETRANSLATE(B12850, ""fr"", ""en"")"),"broadcaster and essential oils safely arrived diffuser and shame works that explanations are not in French. BUT as to the essential oils on the lot, 3 BROKEN arrived and the product is dropped.")</f>
        <v>broadcaster and essential oils safely arrived diffuser and shame works that explanations are not in French. BUT as to the essential oils on the lot, 3 BROKEN arrived and the product is dropped.</v>
      </c>
    </row>
    <row r="12851">
      <c r="A12851" s="1">
        <v>4.0</v>
      </c>
      <c r="B12851" s="1" t="s">
        <v>12636</v>
      </c>
      <c r="C12851" t="str">
        <f>IFERROR(__xludf.DUMMYFUNCTION("GOOGLETRANSLATE(B12851, ""fr"", ""en"")"),"Although this time it is the right model perfect, just what I needed to use it again for my wok")</f>
        <v>Although this time it is the right model perfect, just what I needed to use it again for my wok</v>
      </c>
    </row>
    <row r="12852">
      <c r="A12852" s="1">
        <v>4.0</v>
      </c>
      <c r="B12852" s="1" t="s">
        <v>12637</v>
      </c>
      <c r="C12852" t="str">
        <f>IFERROR(__xludf.DUMMYFUNCTION("GOOGLETRANSLATE(B12852, ""fr"", ""en"")"),"Very good value for money This is my 3iem helmets over 10 years. The cheapest but one who brings me the most satisfaction. In the event of removal too important to base the sound is abruptly cut but attenuates warning that the signal diminishes. Its auton"&amp;"omy is perfect and the correct sound. My previous helmets was a Phillips and a Sennheiser RS120 II bcp more expensive, Phillips being the décevant.avec little autonomy and a very rapid wear.")</f>
        <v>Very good value for money This is my 3iem helmets over 10 years. The cheapest but one who brings me the most satisfaction. In the event of removal too important to base the sound is abruptly cut but attenuates warning that the signal diminishes. Its autonomy is perfect and the correct sound. My previous helmets was a Phillips and a Sennheiser RS120 II bcp more expensive, Phillips being the décevant.avec little autonomy and a very rapid wear.</v>
      </c>
    </row>
    <row r="12853">
      <c r="A12853" s="1">
        <v>5.0</v>
      </c>
      <c r="B12853" s="1" t="s">
        <v>12638</v>
      </c>
      <c r="C12853" t="str">
        <f>IFERROR(__xludf.DUMMYFUNCTION("GOOGLETRANSLATE(B12853, ""fr"", ""en"")"),"Perfect price and quality !! Bought for a PC screen transfer to a camera screen and Nickel image is perfect. The cable is the desired size and quality for price is correct recommend")</f>
        <v>Perfect price and quality !! Bought for a PC screen transfer to a camera screen and Nickel image is perfect. The cable is the desired size and quality for price is correct recommend</v>
      </c>
    </row>
    <row r="12854">
      <c r="A12854" s="1">
        <v>5.0</v>
      </c>
      <c r="B12854" s="1" t="s">
        <v>12639</v>
      </c>
      <c r="C12854" t="str">
        <f>IFERROR(__xludf.DUMMYFUNCTION("GOOGLETRANSLATE(B12854, ""fr"", ""en"")"),"Utility and discretion This mouse pad is perfect: it plays its role with discretion; it is beautiful despite its simplicity and moreover it is cheap. Bravo")</f>
        <v>Utility and discretion This mouse pad is perfect: it plays its role with discretion; it is beautiful despite its simplicity and moreover it is cheap. Bravo</v>
      </c>
    </row>
    <row r="12855">
      <c r="A12855" s="1">
        <v>5.0</v>
      </c>
      <c r="B12855" s="1" t="s">
        <v>12640</v>
      </c>
      <c r="C12855" t="str">
        <f>IFERROR(__xludf.DUMMYFUNCTION("GOOGLETRANSLATE(B12855, ""fr"", ""en"")"),"Quality appointment Very nice product, good quality")</f>
        <v>Quality appointment Very nice product, good quality</v>
      </c>
    </row>
    <row r="12856">
      <c r="A12856" s="1">
        <v>5.0</v>
      </c>
      <c r="B12856" s="1" t="s">
        <v>12641</v>
      </c>
      <c r="C12856" t="str">
        <f>IFERROR(__xludf.DUMMYFUNCTION("GOOGLETRANSLATE(B12856, ""fr"", ""en"")"),"Gel to adopt Reaching neuropathy, fibromyalgia and back osteoarthritis mainly, this gel is effective by its composition and especially its heating effect that relaxes, heating even burning according to the amount applied (accustomed to hot water bottles, "&amp;"this very heating side is a plus, mainly column) I recommend this course gel that your pain will appreciate.")</f>
        <v>Gel to adopt Reaching neuropathy, fibromyalgia and back osteoarthritis mainly, this gel is effective by its composition and especially its heating effect that relaxes, heating even burning according to the amount applied (accustomed to hot water bottles, this very heating side is a plus, mainly column) I recommend this course gel that your pain will appreciate.</v>
      </c>
    </row>
    <row r="12857">
      <c r="A12857" s="1">
        <v>5.0</v>
      </c>
      <c r="B12857" s="1" t="s">
        <v>12642</v>
      </c>
      <c r="C12857" t="str">
        <f>IFERROR(__xludf.DUMMYFUNCTION("GOOGLETRANSLATE(B12857, ""fr"", ""en"")"),"Perfect for writing on jars We use these chalk markers to identify our different foods that we keep in jars. If we want to change the registration, it goes back very easily (perhaps too). We are satisfied with the quality of the product.")</f>
        <v>Perfect for writing on jars We use these chalk markers to identify our different foods that we keep in jars. If we want to change the registration, it goes back very easily (perhaps too). We are satisfied with the quality of the product.</v>
      </c>
    </row>
    <row r="12858">
      <c r="A12858" s="1">
        <v>5.0</v>
      </c>
      <c r="B12858" s="1" t="s">
        <v>12643</v>
      </c>
      <c r="C12858" t="str">
        <f>IFERROR(__xludf.DUMMYFUNCTION("GOOGLETRANSLATE(B12858, ""fr"", ""en"")"),"Perfect photo paper nice and good quality for the HP printer sproket")</f>
        <v>Perfect photo paper nice and good quality for the HP printer sproket</v>
      </c>
    </row>
    <row r="12859">
      <c r="A12859" s="1">
        <v>5.0</v>
      </c>
      <c r="B12859" s="1" t="s">
        <v>12644</v>
      </c>
      <c r="C12859" t="str">
        <f>IFERROR(__xludf.DUMMYFUNCTION("GOOGLETRANSLATE(B12859, ""fr"", ""en"")"),"Trè well Corresponds to the description, very light, pleasant to focused, I did not see fault in particular, now have to see over time that hard. At that price I expected that she not hard 2 years, but moin year.")</f>
        <v>Trè well Corresponds to the description, very light, pleasant to focused, I did not see fault in particular, now have to see over time that hard. At that price I expected that she not hard 2 years, but moin year.</v>
      </c>
    </row>
    <row r="12860">
      <c r="A12860" s="1">
        <v>5.0</v>
      </c>
      <c r="B12860" s="1" t="s">
        <v>12645</v>
      </c>
      <c r="C12860" t="str">
        <f>IFERROR(__xludf.DUMMYFUNCTION("GOOGLETRANSLATE(B12860, ""fr"", ""en"")"),"Perfect Pen Bic brand well received in a large packaging.")</f>
        <v>Perfect Pen Bic brand well received in a large packaging.</v>
      </c>
    </row>
    <row r="12861">
      <c r="A12861" s="1">
        <v>5.0</v>
      </c>
      <c r="B12861" s="1" t="s">
        <v>12646</v>
      </c>
      <c r="C12861" t="str">
        <f>IFERROR(__xludf.DUMMYFUNCTION("GOOGLETRANSLATE(B12861, ""fr"", ""en"")"),"Well, did the job works well.")</f>
        <v>Well, did the job works well.</v>
      </c>
    </row>
    <row r="12862">
      <c r="A12862" s="1">
        <v>5.0</v>
      </c>
      <c r="B12862" s="1" t="s">
        <v>6621</v>
      </c>
      <c r="C12862" t="str">
        <f>IFERROR(__xludf.DUMMYFUNCTION("GOOGLETRANSLATE(B12862, ""fr"", ""en"")"),"laundry super happy with my purchase")</f>
        <v>laundry super happy with my purchase</v>
      </c>
    </row>
    <row r="12863">
      <c r="A12863" s="1">
        <v>5.0</v>
      </c>
      <c r="B12863" s="1" t="s">
        <v>12647</v>
      </c>
      <c r="C12863" t="str">
        <f>IFERROR(__xludf.DUMMYFUNCTION("GOOGLETRANSLATE(B12863, ""fr"", ""en"")"),"Very comfortable but a little tad size. Delighted with the pair of sneakers as predictable. It's a small tad size, made a typically 39.5 38/39 on other brands. Makes a nice little walk!")</f>
        <v>Very comfortable but a little tad size. Delighted with the pair of sneakers as predictable. It's a small tad size, made a typically 39.5 38/39 on other brands. Makes a nice little walk!</v>
      </c>
    </row>
    <row r="12864">
      <c r="A12864" s="1">
        <v>5.0</v>
      </c>
      <c r="B12864" s="1" t="s">
        <v>12648</v>
      </c>
      <c r="C12864" t="str">
        <f>IFERROR(__xludf.DUMMYFUNCTION("GOOGLETRANSLATE(B12864, ""fr"", ""en"")"),"beautiful chair black and gray very handy with very flexible wheels, armrests that easily fall in one motion, seated wide comfortable. easily raises with a zipper below by cons for mounting some dexterity to put the screws and install the armrests that ar"&amp;"e heavy. (2 pers. Recommended). I bought it for my husband who had difficulty moving and working on office ... he is delighted.")</f>
        <v>beautiful chair black and gray very handy with very flexible wheels, armrests that easily fall in one motion, seated wide comfortable. easily raises with a zipper below by cons for mounting some dexterity to put the screws and install the armrests that are heavy. (2 pers. Recommended). I bought it for my husband who had difficulty moving and working on office ... he is delighted.</v>
      </c>
    </row>
    <row r="12865">
      <c r="A12865" s="1">
        <v>5.0</v>
      </c>
      <c r="B12865" s="1" t="s">
        <v>12649</v>
      </c>
      <c r="C12865" t="str">
        <f>IFERROR(__xludf.DUMMYFUNCTION("GOOGLETRANSLATE(B12865, ""fr"", ""en"")"),"Nothing to say Perfect")</f>
        <v>Nothing to say Perfect</v>
      </c>
    </row>
    <row r="12866">
      <c r="A12866" s="1">
        <v>5.0</v>
      </c>
      <c r="B12866" s="1" t="s">
        <v>12650</v>
      </c>
      <c r="C12866" t="str">
        <f>IFERROR(__xludf.DUMMYFUNCTION("GOOGLETRANSLATE(B12866, ""fr"", ""en"")"),"Headphones perfect for listening to music via Bluetooth with a very good sound. &lt;Div id = ""video-block-R1C0S6L1DO3B2M"" class = ""a-section-spacing-small in-spacing-top mini video-block""&gt; &lt;/ div&gt; &lt;input type = ""hidden"" name = """" value = ""https://im"&amp;"ages-eu.ssl-images-amazon.com/images/I/71M-UTEugmS.mp4"" class = ""video-url""&gt; &lt;input type = ""hidden"" name = """" value = "" https://images-eu.ssl-images-amazon.com/images/I/91R+5pAnU1S.png ""class ="" video-slate-img-url ""&gt; &amp; nbsp; I ordered these he"&amp;"adphones because I was looking for wireless headphones for my commute. These headphones are great, the sound is very good, no sizzle even at maximum volume and then the battery of these headphones is amazing.")</f>
        <v>Headphones perfect for listening to music via Bluetooth with a very good sound. &lt;Div id = "video-block-R1C0S6L1DO3B2M" class = "a-section-spacing-small in-spacing-top mini video-block"&gt; &lt;/ div&gt; &lt;input type = "hidden" name = "" value = "https://images-eu.ssl-images-amazon.com/images/I/71M-UTEugmS.mp4" class = "video-url"&gt; &lt;input type = "hidden" name = "" value = " https://images-eu.ssl-images-amazon.com/images/I/91R+5pAnU1S.png "class =" video-slate-img-url "&gt; &amp; nbsp; I ordered these headphones because I was looking for wireless headphones for my commute. These headphones are great, the sound is very good, no sizzle even at maximum volume and then the battery of these headphones is amazing.</v>
      </c>
    </row>
    <row r="12867">
      <c r="A12867" s="1">
        <v>5.0</v>
      </c>
      <c r="B12867" s="1" t="s">
        <v>12651</v>
      </c>
      <c r="C12867" t="str">
        <f>IFERROR(__xludf.DUMMYFUNCTION("GOOGLETRANSLATE(B12867, ""fr"", ""en"")"),"Great products great products I took my daughter she is very satisfied 👍")</f>
        <v>Great products great products I took my daughter she is very satisfied 👍</v>
      </c>
    </row>
    <row r="12868">
      <c r="A12868" s="1">
        <v>2.0</v>
      </c>
      <c r="B12868" s="1" t="s">
        <v>12652</v>
      </c>
      <c r="C12868" t="str">
        <f>IFERROR(__xludf.DUMMYFUNCTION("GOOGLETRANSLATE(B12868, ""fr"", ""en"")"),"Its not hard enough, integrated volume useless .... Helmet good, just really disappointed its not strong enough for a brand like Philips is regrettable ....")</f>
        <v>Its not hard enough, integrated volume useless .... Helmet good, just really disappointed its not strong enough for a brand like Philips is regrettable ....</v>
      </c>
    </row>
    <row r="12869">
      <c r="A12869" s="1">
        <v>1.0</v>
      </c>
      <c r="B12869" s="1" t="s">
        <v>12653</v>
      </c>
      <c r="C12869" t="str">
        <f>IFERROR(__xludf.DUMMYFUNCTION("GOOGLETRANSLATE(B12869, ""fr"", ""en"")"),"No customer service The produced purchased in May worked perfectly up took seven Since it is down. I tried to contact the seller to 2 times through Amazon. No answer !! Yet it was reported a 24-month warranty. I am disappointed monitoring, certainly the k"&amp;"ettle was cheap to operate but four months it becomes.")</f>
        <v>No customer service The produced purchased in May worked perfectly up took seven Since it is down. I tried to contact the seller to 2 times through Amazon. No answer !! Yet it was reported a 24-month warranty. I am disappointed monitoring, certainly the kettle was cheap to operate but four months it becomes.</v>
      </c>
    </row>
    <row r="12870">
      <c r="A12870" s="1">
        <v>1.0</v>
      </c>
      <c r="B12870" s="1" t="s">
        <v>12654</v>
      </c>
      <c r="C12870" t="str">
        <f>IFERROR(__xludf.DUMMYFUNCTION("GOOGLETRANSLATE(B12870, ""fr"", ""en"")"),"Effectiveness not at the appointment Poor returned as dry")</f>
        <v>Effectiveness not at the appointment Poor returned as dry</v>
      </c>
    </row>
    <row r="12871">
      <c r="A12871" s="1">
        <v>3.0</v>
      </c>
      <c r="B12871" s="1" t="s">
        <v>12655</v>
      </c>
      <c r="C12871" t="str">
        <f>IFERROR(__xludf.DUMMYFUNCTION("GOOGLETRANSLATE(B12871, ""fr"", ""en"")"),"Brick!!! My product arrived with advance ... Owl! By cons we finished we granny editing tool and as a bonus a twisted grip! But hey, easy to use")</f>
        <v>Brick!!! My product arrived with advance ... Owl! By cons we finished we granny editing tool and as a bonus a twisted grip! But hey, easy to use</v>
      </c>
    </row>
    <row r="12872">
      <c r="A12872" s="1">
        <v>3.0</v>
      </c>
      <c r="B12872" s="1" t="s">
        <v>12656</v>
      </c>
      <c r="C12872" t="str">
        <f>IFERROR(__xludf.DUMMYFUNCTION("GOOGLETRANSLATE(B12872, ""fr"", ""en"")"),"Earphone headset intra intra standard quality. Beautiful rendered in black.")</f>
        <v>Earphone headset intra intra standard quality. Beautiful rendered in black.</v>
      </c>
    </row>
    <row r="12873">
      <c r="A12873" s="1">
        <v>4.0</v>
      </c>
      <c r="B12873" s="1" t="s">
        <v>12657</v>
      </c>
      <c r="C12873" t="str">
        <f>IFERROR(__xludf.DUMMYFUNCTION("GOOGLETRANSLATE(B12873, ""fr"", ""en"")"),"Good little watch! I wanted a little cheap watch and fearing nothing to go to work in the vineyards. daily use for many months by all the time, it performs its function ideally with a good price / quality ratio. I'm happy with my purchase.")</f>
        <v>Good little watch! I wanted a little cheap watch and fearing nothing to go to work in the vineyards. daily use for many months by all the time, it performs its function ideally with a good price / quality ratio. I'm happy with my purchase.</v>
      </c>
    </row>
    <row r="12874">
      <c r="A12874" s="1">
        <v>4.0</v>
      </c>
      <c r="B12874" s="1" t="s">
        <v>12658</v>
      </c>
      <c r="C12874" t="str">
        <f>IFERROR(__xludf.DUMMYFUNCTION("GOOGLETRANSLATE(B12874, ""fr"", ""en"")"),"Hello good product, I bought this pair of shoes is very pretty and like the pictures. A slight drawback, I usually do the 36 or 36.5, I board taken them 36 and they are slightly larger, a 35.5 would have been perfect.")</f>
        <v>Hello good product, I bought this pair of shoes is very pretty and like the pictures. A slight drawback, I usually do the 36 or 36.5, I board taken them 36 and they are slightly larger, a 35.5 would have been perfect.</v>
      </c>
    </row>
    <row r="12875">
      <c r="A12875" s="1">
        <v>4.0</v>
      </c>
      <c r="B12875" s="1" t="s">
        <v>12659</v>
      </c>
      <c r="C12875" t="str">
        <f>IFERROR(__xludf.DUMMYFUNCTION("GOOGLETRANSLATE(B12875, ""fr"", ""en"")"),"The coli received in advance The order was scheduled for tomorrow and I had before, I took size L but I find just a little it's a shame but otherwise I love")</f>
        <v>The coli received in advance The order was scheduled for tomorrow and I had before, I took size L but I find just a little it's a shame but otherwise I love</v>
      </c>
    </row>
    <row r="12876">
      <c r="A12876" s="1">
        <v>4.0</v>
      </c>
      <c r="B12876" s="1" t="s">
        <v>12660</v>
      </c>
      <c r="C12876" t="str">
        <f>IFERROR(__xludf.DUMMYFUNCTION("GOOGLETRANSLATE(B12876, ""fr"", ""en"")"),"although I expected a muted somewhat more flexible than that, except to do with time")</f>
        <v>although I expected a muted somewhat more flexible than that, except to do with time</v>
      </c>
    </row>
    <row r="12877">
      <c r="A12877" s="1">
        <v>5.0</v>
      </c>
      <c r="B12877" s="1" t="s">
        <v>12661</v>
      </c>
      <c r="C12877" t="str">
        <f>IFERROR(__xludf.DUMMYFUNCTION("GOOGLETRANSLATE(B12877, ""fr"", ""en"")"),"Very nice pendant Beautiful pendant that has had its effect on near my beautiful mother for Mother's Day! This tree of life to a powerful symbol! Arriving timely !!")</f>
        <v>Very nice pendant Beautiful pendant that has had its effect on near my beautiful mother for Mother's Day! This tree of life to a powerful symbol! Arriving timely !!</v>
      </c>
    </row>
    <row r="12878">
      <c r="A12878" s="1">
        <v>5.0</v>
      </c>
      <c r="B12878" s="1" t="s">
        <v>12662</v>
      </c>
      <c r="C12878" t="str">
        <f>IFERROR(__xludf.DUMMYFUNCTION("GOOGLETRANSLATE(B12878, ""fr"", ""en"")"),"Tested and APROVED avid user of the brand Tommee Tippee since the birth of my first daughter, my only regret is that this glass baby bottle had not happened earlier on the market. My three children have adopted easily this brand (my first daughter started"&amp;" with sulking former Advent and Mam). The shape of the teat recalling the shape of the breast. I was able to return to work calmly and continue breastfeeding. I am delighted that glass baby bottle, safer than plastic.")</f>
        <v>Tested and APROVED avid user of the brand Tommee Tippee since the birth of my first daughter, my only regret is that this glass baby bottle had not happened earlier on the market. My three children have adopted easily this brand (my first daughter started with sulking former Advent and Mam). The shape of the teat recalling the shape of the breast. I was able to return to work calmly and continue breastfeeding. I am delighted that glass baby bottle, safer than plastic.</v>
      </c>
    </row>
    <row r="12879">
      <c r="A12879" s="1">
        <v>5.0</v>
      </c>
      <c r="B12879" s="1" t="s">
        <v>12663</v>
      </c>
      <c r="C12879" t="str">
        <f>IFERROR(__xludf.DUMMYFUNCTION("GOOGLETRANSLATE(B12879, ""fr"", ""en"")"),"BLACK INK HP 304XL Perfect for everyday use.")</f>
        <v>BLACK INK HP 304XL Perfect for everyday use.</v>
      </c>
    </row>
    <row r="12880">
      <c r="A12880" s="1">
        <v>5.0</v>
      </c>
      <c r="B12880" s="1" t="s">
        <v>12664</v>
      </c>
      <c r="C12880" t="str">
        <f>IFERROR(__xludf.DUMMYFUNCTION("GOOGLETRANSLATE(B12880, ""fr"", ""en"")"),"Conforming Ordered by 43, it turns out that they carve a little big. Apart from this small detail, they are consistent with the picture and description. I recommend")</f>
        <v>Conforming Ordered by 43, it turns out that they carve a little big. Apart from this small detail, they are consistent with the picture and description. I recommend</v>
      </c>
    </row>
    <row r="12881">
      <c r="A12881" s="1">
        <v>5.0</v>
      </c>
      <c r="B12881" s="1" t="s">
        <v>12665</v>
      </c>
      <c r="C12881" t="str">
        <f>IFERROR(__xludf.DUMMYFUNCTION("GOOGLETRANSLATE(B12881, ""fr"", ""en"")"),"Excellent headphones, quality / price top nice to wear helmet with very good insulation. The sound is not Bose but it's still deep, detail and quality. There is a ""physical"" button to mute the headphones current - I think this helps a lot to have such a"&amp;" good autonomy. I use it mainly with my Android - ca works well bluetooth level and calls also passes without worries. There is a function ""active"" noise isolation which cuts noise around you and it works well. At isolation level ca 100% cut all the noi"&amp;"se around me at work (offices with a lot of bruahaha and air conditioning) as well as in transit, so for my need is great. It folds well in his little box that protects the well so that ca will easily fit in my backpack (and these small cable not bad not "&amp;"to lose them). I am very happy with my purchase and I highly recommend.")</f>
        <v>Excellent headphones, quality / price top nice to wear helmet with very good insulation. The sound is not Bose but it's still deep, detail and quality. There is a "physical" button to mute the headphones current - I think this helps a lot to have such a good autonomy. I use it mainly with my Android - ca works well bluetooth level and calls also passes without worries. There is a function "active" noise isolation which cuts noise around you and it works well. At isolation level ca 100% cut all the noise around me at work (offices with a lot of bruahaha and air conditioning) as well as in transit, so for my need is great. It folds well in his little box that protects the well so that ca will easily fit in my backpack (and these small cable not bad not to lose them). I am very happy with my purchase and I highly recommend.</v>
      </c>
    </row>
    <row r="12882">
      <c r="A12882" s="1">
        <v>5.0</v>
      </c>
      <c r="B12882" s="1" t="s">
        <v>12666</v>
      </c>
      <c r="C12882" t="str">
        <f>IFERROR(__xludf.DUMMYFUNCTION("GOOGLETRANSLATE(B12882, ""fr"", ""en"")"),"perfect coffee like new with the new valve")</f>
        <v>perfect coffee like new with the new valve</v>
      </c>
    </row>
    <row r="12883">
      <c r="A12883" s="1">
        <v>5.0</v>
      </c>
      <c r="B12883" s="1" t="s">
        <v>12667</v>
      </c>
      <c r="C12883" t="str">
        <f>IFERROR(__xludf.DUMMYFUNCTION("GOOGLETRANSLATE(B12883, ""fr"", ""en"")"),"fast and effective a good basic")</f>
        <v>fast and effective a good basic</v>
      </c>
    </row>
    <row r="12884">
      <c r="A12884" s="1">
        <v>5.0</v>
      </c>
      <c r="B12884" s="1" t="s">
        <v>8792</v>
      </c>
      <c r="C12884" t="str">
        <f>IFERROR(__xludf.DUMMYFUNCTION("GOOGLETRANSLATE(B12884, ""fr"", ""en"")"),"perfect Super")</f>
        <v>perfect Super</v>
      </c>
    </row>
    <row r="12885">
      <c r="A12885" s="1">
        <v>5.0</v>
      </c>
      <c r="B12885" s="1" t="s">
        <v>12668</v>
      </c>
      <c r="C12885" t="str">
        <f>IFERROR(__xludf.DUMMYFUNCTION("GOOGLETRANSLATE(B12885, ""fr"", ""en"")"),"Super is super beautiful, I just got it, I have felt ps yet the benefits of stone but it is beautiful .It is elastic thus goes well the wrist, beautiful package.")</f>
        <v>Super is super beautiful, I just got it, I have felt ps yet the benefits of stone but it is beautiful .It is elastic thus goes well the wrist, beautiful package.</v>
      </c>
    </row>
    <row r="12886">
      <c r="A12886" s="1">
        <v>5.0</v>
      </c>
      <c r="B12886" s="1" t="s">
        <v>12669</v>
      </c>
      <c r="C12886" t="str">
        <f>IFERROR(__xludf.DUMMYFUNCTION("GOOGLETRANSLATE(B12886, ""fr"", ""en"")"),"The only reference bottle my baby adopted immediately, nipples do not seem pleasant at first but the baby love. The aeration system from the bottom is better than nipples pierced other brands, and to remove the bottom of the bottle for cleaning it is perf"&amp;"ect !!!")</f>
        <v>The only reference bottle my baby adopted immediately, nipples do not seem pleasant at first but the baby love. The aeration system from the bottom is better than nipples pierced other brands, and to remove the bottom of the bottle for cleaning it is perfect !!!</v>
      </c>
    </row>
    <row r="12887">
      <c r="A12887" s="1">
        <v>5.0</v>
      </c>
      <c r="B12887" s="1" t="s">
        <v>12670</v>
      </c>
      <c r="C12887" t="str">
        <f>IFERROR(__xludf.DUMMYFUNCTION("GOOGLETRANSLATE(B12887, ""fr"", ""en"")"),"Although I ordered this product on Amazon since the product was well placed price issues")</f>
        <v>Although I ordered this product on Amazon since the product was well placed price issues</v>
      </c>
    </row>
    <row r="12888">
      <c r="A12888" s="1">
        <v>5.0</v>
      </c>
      <c r="B12888" s="1" t="s">
        <v>12671</v>
      </c>
      <c r="C12888" t="str">
        <f>IFERROR(__xludf.DUMMYFUNCTION("GOOGLETRANSLATE(B12888, ""fr"", ""en"")"),"good hearing protection Very good noise canceling headphones that really reduces noise and the price is very interesting. I recommend this product which in addition does not take up much space.")</f>
        <v>good hearing protection Very good noise canceling headphones that really reduces noise and the price is very interesting. I recommend this product which in addition does not take up much space.</v>
      </c>
    </row>
    <row r="12889">
      <c r="A12889" s="1">
        <v>5.0</v>
      </c>
      <c r="B12889" s="1" t="s">
        <v>12672</v>
      </c>
      <c r="C12889" t="str">
        <f>IFERROR(__xludf.DUMMYFUNCTION("GOOGLETRANSLATE(B12889, ""fr"", ""en"")"),"Working bag work bag inside Construction tablet and more notebooks, notepad and kit. Good marriage tissues and cook. To see in the use")</f>
        <v>Working bag work bag inside Construction tablet and more notebooks, notepad and kit. Good marriage tissues and cook. To see in the use</v>
      </c>
    </row>
    <row r="12890">
      <c r="A12890" s="1">
        <v>5.0</v>
      </c>
      <c r="B12890" s="1" t="s">
        <v>12673</v>
      </c>
      <c r="C12890" t="str">
        <f>IFERROR(__xludf.DUMMYFUNCTION("GOOGLETRANSLATE(B12890, ""fr"", ""en"")"),"SUPER GOOD QUALITY RECOMMENDED")</f>
        <v>SUPER GOOD QUALITY RECOMMENDED</v>
      </c>
    </row>
    <row r="12891">
      <c r="A12891" s="1">
        <v>5.0</v>
      </c>
      <c r="B12891" s="1" t="s">
        <v>12674</v>
      </c>
      <c r="C12891" t="str">
        <f>IFERROR(__xludf.DUMMYFUNCTION("GOOGLETRANSLATE(B12891, ""fr"", ""en"")"),"Limited edition 1500 ex. Amateur numbered watches and motorsport, I liked this M-SPORT shows World Racing Team Ford. Solar Pulsar clock, quality and competitive price.")</f>
        <v>Limited edition 1500 ex. Amateur numbered watches and motorsport, I liked this M-SPORT shows World Racing Team Ford. Solar Pulsar clock, quality and competitive price.</v>
      </c>
    </row>
    <row r="12892">
      <c r="A12892" s="1">
        <v>2.0</v>
      </c>
      <c r="B12892" s="1" t="s">
        <v>12675</v>
      </c>
      <c r="C12892" t="str">
        <f>IFERROR(__xludf.DUMMYFUNCTION("GOOGLETRANSLATE(B12892, ""fr"", ""en"")"),": Thank you")</f>
        <v>: Thank you</v>
      </c>
    </row>
    <row r="12893">
      <c r="A12893" s="1">
        <v>1.0</v>
      </c>
      <c r="B12893" s="1" t="s">
        <v>12676</v>
      </c>
      <c r="C12893" t="str">
        <f>IFERROR(__xludf.DUMMYFUNCTION("GOOGLETRANSLATE(B12893, ""fr"", ""en"")"),"Cheated on merchandise article does not conform to the presentation")</f>
        <v>Cheated on merchandise article does not conform to the presentation</v>
      </c>
    </row>
    <row r="12894">
      <c r="A12894" s="1">
        <v>1.0</v>
      </c>
      <c r="B12894" s="1" t="s">
        <v>12677</v>
      </c>
      <c r="C12894" t="str">
        <f>IFERROR(__xludf.DUMMYFUNCTION("GOOGLETRANSLATE(B12894, ""fr"", ""en"")"),"Unfortunately very disappointed smell lasts not the lack of quality plus it is not natural basis I am disappointed I will never redeem at e birth!")</f>
        <v>Unfortunately very disappointed smell lasts not the lack of quality plus it is not natural basis I am disappointed I will never redeem at e birth!</v>
      </c>
    </row>
    <row r="12895">
      <c r="A12895" s="1">
        <v>3.0</v>
      </c>
      <c r="B12895" s="1" t="s">
        <v>12678</v>
      </c>
      <c r="C12895" t="str">
        <f>IFERROR(__xludf.DUMMYFUNCTION("GOOGLETRANSLATE(B12895, ""fr"", ""en"")"),"Comfortable, but ... The helmet is not bad because it has a very long cable which sometimes can make the practical life (we can include watching a large flat screen being remotely without bothering anyone, or you can move into a room without losing the so"&amp;"und etc. in addition it is comfortable, it completely covers the ears so that we can not have hurt only under these headphones is volume.. it is too low is forced to listen to the volume to max often, almost. me it bothers me personally, otherwise I'm hap"&amp;"py.")</f>
        <v>Comfortable, but ... The helmet is not bad because it has a very long cable which sometimes can make the practical life (we can include watching a large flat screen being remotely without bothering anyone, or you can move into a room without losing the sound etc. in addition it is comfortable, it completely covers the ears so that we can not have hurt only under these headphones is volume.. it is too low is forced to listen to the volume to max often, almost. me it bothers me personally, otherwise I'm happy.</v>
      </c>
    </row>
    <row r="12896">
      <c r="A12896" s="1">
        <v>4.0</v>
      </c>
      <c r="B12896" s="1" t="s">
        <v>12679</v>
      </c>
      <c r="C12896" t="str">
        <f>IFERROR(__xludf.DUMMYFUNCTION("GOOGLETRANSLATE(B12896, ""fr"", ""en"")"),"READ ABSOLUTELY quality and super May I ignored the other commantaire who spoke of the too small and the M size fits me like a I s of the return so take a size up if you order the very tips 😊 Sinom good quality of the product itself Tell me if you çe com"&amp;"ment was helpful :)")</f>
        <v>READ ABSOLUTELY quality and super May I ignored the other commantaire who spoke of the too small and the M size fits me like a I s of the return so take a size up if you order the very tips 😊 Sinom good quality of the product itself Tell me if you çe comment was helpful :)</v>
      </c>
    </row>
    <row r="12897">
      <c r="A12897" s="1">
        <v>4.0</v>
      </c>
      <c r="B12897" s="1" t="s">
        <v>12680</v>
      </c>
      <c r="C12897" t="str">
        <f>IFERROR(__xludf.DUMMYFUNCTION("GOOGLETRANSLATE(B12897, ""fr"", ""en"")"),"Every day the date! I like to have a calendar on my desktop e")</f>
        <v>Every day the date! I like to have a calendar on my desktop e</v>
      </c>
    </row>
    <row r="12898">
      <c r="A12898" s="1">
        <v>4.0</v>
      </c>
      <c r="B12898" s="1" t="s">
        <v>12681</v>
      </c>
      <c r="C12898" t="str">
        <f>IFERROR(__xludf.DUMMYFUNCTION("GOOGLETRANSLATE(B12898, ""fr"", ""en"")"),"Very good product The dull colors that look good quality. The pots are closing well. Do not feel too hard and clean as well as on the table on the fingers. I recommend")</f>
        <v>Very good product The dull colors that look good quality. The pots are closing well. Do not feel too hard and clean as well as on the table on the fingers. I recommend</v>
      </c>
    </row>
    <row r="12899">
      <c r="A12899" s="1">
        <v>4.0</v>
      </c>
      <c r="B12899" s="1" t="s">
        <v>12682</v>
      </c>
      <c r="C12899" t="str">
        <f>IFERROR(__xludf.DUMMYFUNCTION("GOOGLETRANSLATE(B12899, ""fr"", ""en"")"),"Satisfactory for the price The so-called original price, strikethrough, is completely fanciful. Never this watch could cost as much as a Casio Edifice! € 30 seem more realistic. A little less for Sale Flash and it gets interesting. The pictures are very f"&amp;"lattering. In truth this watch is quite correct and deluded. But never will as premium on the clichés of the site. It is reliable, gives the correct time drift free and works perfectly dater without figures visual shift (common at this price level). The l"&amp;"eather strap is satisfactory; for a typical morphology. But beware, it will be too short for large wrists. It all depends what you search. A watch that has the look (if we do not look too closely) for a small fee, even change in 2 years: check. A beautifu"&amp;"l watch farts class and takes time ... I think not. But less than 30 € there is no deceit.")</f>
        <v>Satisfactory for the price The so-called original price, strikethrough, is completely fanciful. Never this watch could cost as much as a Casio Edifice! € 30 seem more realistic. A little less for Sale Flash and it gets interesting. The pictures are very flattering. In truth this watch is quite correct and deluded. But never will as premium on the clichés of the site. It is reliable, gives the correct time drift free and works perfectly dater without figures visual shift (common at this price level). The leather strap is satisfactory; for a typical morphology. But beware, it will be too short for large wrists. It all depends what you search. A watch that has the look (if we do not look too closely) for a small fee, even change in 2 years: check. A beautiful watch farts class and takes time ... I think not. But less than 30 € there is no deceit.</v>
      </c>
    </row>
    <row r="12900">
      <c r="A12900" s="1">
        <v>5.0</v>
      </c>
      <c r="B12900" s="1" t="s">
        <v>12683</v>
      </c>
      <c r="C12900" t="str">
        <f>IFERROR(__xludf.DUMMYFUNCTION("GOOGLETRANSLATE(B12900, ""fr"", ""en"")"),"... A good watch! ... Multiple functions, a clear display, waterproof to 200 meters, a reasonable price, consistency Casio: a good price / quality!")</f>
        <v>... A good watch! ... Multiple functions, a clear display, waterproof to 200 meters, a reasonable price, consistency Casio: a good price / quality!</v>
      </c>
    </row>
    <row r="12901">
      <c r="A12901" s="1">
        <v>5.0</v>
      </c>
      <c r="B12901" s="1" t="s">
        <v>12649</v>
      </c>
      <c r="C12901" t="str">
        <f>IFERROR(__xludf.DUMMYFUNCTION("GOOGLETRANSLATE(B12901, ""fr"", ""en"")"),"Nothing to say Perfect")</f>
        <v>Nothing to say Perfect</v>
      </c>
    </row>
    <row r="12902">
      <c r="A12902" s="1">
        <v>5.0</v>
      </c>
      <c r="B12902" s="1" t="s">
        <v>12684</v>
      </c>
      <c r="C12902" t="str">
        <f>IFERROR(__xludf.DUMMYFUNCTION("GOOGLETRANSLATE(B12902, ""fr"", ""en"")"),"Mr Perfect very satisfied !!! Article Perfect, he was afraid that it evening too frank, but ultimately no, he is delighted frankly!")</f>
        <v>Mr Perfect very satisfied !!! Article Perfect, he was afraid that it evening too frank, but ultimately no, he is delighted frankly!</v>
      </c>
    </row>
    <row r="12903">
      <c r="A12903" s="1">
        <v>5.0</v>
      </c>
      <c r="B12903" s="1" t="s">
        <v>12685</v>
      </c>
      <c r="C12903" t="str">
        <f>IFERROR(__xludf.DUMMYFUNCTION("GOOGLETRANSLATE(B12903, ""fr"", ""en"")"),"Rosary wooden Excellent, I recommend")</f>
        <v>Rosary wooden Excellent, I recommend</v>
      </c>
    </row>
    <row r="12904">
      <c r="A12904" s="1">
        <v>5.0</v>
      </c>
      <c r="B12904" s="1" t="s">
        <v>12686</v>
      </c>
      <c r="C12904" t="str">
        <f>IFERROR(__xludf.DUMMYFUNCTION("GOOGLETRANSLATE(B12904, ""fr"", ""en"")"),"Daily Dish well")</f>
        <v>Daily Dish well</v>
      </c>
    </row>
    <row r="12905">
      <c r="A12905" s="1">
        <v>5.0</v>
      </c>
      <c r="B12905" s="1" t="s">
        <v>12687</v>
      </c>
      <c r="C12905" t="str">
        <f>IFERROR(__xludf.DUMMYFUNCTION("GOOGLETRANSLATE(B12905, ""fr"", ""en"")"),"Krups coffee Great product I know because I already had one - Anthracite and Black ok but the only complaint is the red cord (on my old it was black) and this too contrasts with the color of the machine")</f>
        <v>Krups coffee Great product I know because I already had one - Anthracite and Black ok but the only complaint is the red cord (on my old it was black) and this too contrasts with the color of the machine</v>
      </c>
    </row>
    <row r="12906">
      <c r="A12906" s="1">
        <v>5.0</v>
      </c>
      <c r="B12906" s="1" t="s">
        <v>12688</v>
      </c>
      <c r="C12906" t="str">
        <f>IFERROR(__xludf.DUMMYFUNCTION("GOOGLETRANSLATE(B12906, ""fr"", ""en"")"),"Used for washing Bought walls to get some white on my walls after 6 years of grime accumulated on white paint, I am very happy with the result. The walls are again more white than yellow, with patience and elbow grease of course, but my apartment looks mu"&amp;"ch healthier way!")</f>
        <v>Used for washing Bought walls to get some white on my walls after 6 years of grime accumulated on white paint, I am very happy with the result. The walls are again more white than yellow, with patience and elbow grease of course, but my apartment looks much healthier way!</v>
      </c>
    </row>
    <row r="12907">
      <c r="A12907" s="1">
        <v>5.0</v>
      </c>
      <c r="B12907" s="1" t="s">
        <v>12689</v>
      </c>
      <c r="C12907" t="str">
        <f>IFERROR(__xludf.DUMMYFUNCTION("GOOGLETRANSLATE(B12907, ""fr"", ""en"")"),"Nothing to print documents only")</f>
        <v>Nothing to print documents only</v>
      </c>
    </row>
    <row r="12908">
      <c r="A12908" s="1">
        <v>5.0</v>
      </c>
      <c r="B12908" s="1" t="s">
        <v>12690</v>
      </c>
      <c r="C12908" t="str">
        <f>IFERROR(__xludf.DUMMYFUNCTION("GOOGLETRANSLATE(B12908, ""fr"", ""en"")"),"Perfect well cut and consistent")</f>
        <v>Perfect well cut and consistent</v>
      </c>
    </row>
    <row r="12909">
      <c r="A12909" s="1">
        <v>5.0</v>
      </c>
      <c r="B12909" s="1" t="s">
        <v>12691</v>
      </c>
      <c r="C12909" t="str">
        <f>IFERROR(__xludf.DUMMYFUNCTION("GOOGLETRANSLATE(B12909, ""fr"", ""en"")"),"Convenient Very convenient. top style.")</f>
        <v>Convenient Very convenient. top style.</v>
      </c>
    </row>
    <row r="12910">
      <c r="A12910" s="1">
        <v>5.0</v>
      </c>
      <c r="B12910" s="1" t="s">
        <v>12692</v>
      </c>
      <c r="C12910" t="str">
        <f>IFERROR(__xludf.DUMMYFUNCTION("GOOGLETRANSLATE(B12910, ""fr"", ""en"")"),"Tip top We love 😁")</f>
        <v>Tip top We love 😁</v>
      </c>
    </row>
    <row r="12911">
      <c r="A12911" s="1">
        <v>5.0</v>
      </c>
      <c r="B12911" s="1" t="s">
        <v>12693</v>
      </c>
      <c r="C12911" t="str">
        <f>IFERROR(__xludf.DUMMYFUNCTION("GOOGLETRANSLATE(B12911, ""fr"", ""en"")"),"high quality manufacturing excellent product providing good results for its stereo, has wholeheartedly advise, and especially the quality of the result")</f>
        <v>high quality manufacturing excellent product providing good results for its stereo, has wholeheartedly advise, and especially the quality of the result</v>
      </c>
    </row>
    <row r="12912">
      <c r="A12912" s="1">
        <v>5.0</v>
      </c>
      <c r="B12912" s="1" t="s">
        <v>12694</v>
      </c>
      <c r="C12912" t="str">
        <f>IFERROR(__xludf.DUMMYFUNCTION("GOOGLETRANSLATE(B12912, ""fr"", ""en"")"),"Top Finally ergonomic glass bibs")</f>
        <v>Top Finally ergonomic glass bibs</v>
      </c>
    </row>
    <row r="12913">
      <c r="A12913" s="1">
        <v>5.0</v>
      </c>
      <c r="B12913" s="1" t="s">
        <v>12695</v>
      </c>
      <c r="C12913" t="str">
        <f>IFERROR(__xludf.DUMMYFUNCTION("GOOGLETRANSLATE(B12913, ""fr"", ""en"")"),"Not disappointed I am moving in motorcycle and speed selector mark my left shoe systematically. Already a month and not a scratch. Very satisfied")</f>
        <v>Not disappointed I am moving in motorcycle and speed selector mark my left shoe systematically. Already a month and not a scratch. Very satisfied</v>
      </c>
    </row>
    <row r="12914">
      <c r="A12914" s="1">
        <v>5.0</v>
      </c>
      <c r="B12914" s="1" t="s">
        <v>5168</v>
      </c>
      <c r="C12914" t="str">
        <f>IFERROR(__xludf.DUMMYFUNCTION("GOOGLETRANSLATE(B12914, ""fr"", ""en"")"),"Flip flop'top Font job")</f>
        <v>Flip flop'top Font job</v>
      </c>
    </row>
    <row r="12915">
      <c r="A12915" s="1">
        <v>5.0</v>
      </c>
      <c r="B12915" s="1" t="s">
        <v>12696</v>
      </c>
      <c r="C12915" t="str">
        <f>IFERROR(__xludf.DUMMYFUNCTION("GOOGLETRANSLATE(B12915, ""fr"", ""en"")"),"super perfect")</f>
        <v>super perfect</v>
      </c>
    </row>
    <row r="12916">
      <c r="A12916" s="1">
        <v>2.0</v>
      </c>
      <c r="B12916" s="1" t="s">
        <v>12697</v>
      </c>
      <c r="C12916" t="str">
        <f>IFERROR(__xludf.DUMMYFUNCTION("GOOGLETRANSLATE(B12916, ""fr"", ""en"")"),"Pot received félé full height I bought the clay pot for personal care, and not for application and in its cardboard packaging .On the photo under the red arrow you can see the imprint of the vertical crack and clay spread ds cardboard .I belted the crack "&amp;"with transparent tape")</f>
        <v>Pot received félé full height I bought the clay pot for personal care, and not for application and in its cardboard packaging .On the photo under the red arrow you can see the imprint of the vertical crack and clay spread ds cardboard .I belted the crack with transparent tape</v>
      </c>
    </row>
    <row r="12917">
      <c r="A12917" s="1">
        <v>1.0</v>
      </c>
      <c r="B12917" s="1" t="s">
        <v>12698</v>
      </c>
      <c r="C12917" t="str">
        <f>IFERROR(__xludf.DUMMYFUNCTION("GOOGLETRANSLATE(B12917, ""fr"", ""en"")"),"Gracosy Winter Boots Filled Men I could not use them as too small.")</f>
        <v>Gracosy Winter Boots Filled Men I could not use them as too small.</v>
      </c>
    </row>
    <row r="12918">
      <c r="A12918" s="1">
        <v>3.0</v>
      </c>
      <c r="B12918" s="1" t="s">
        <v>12699</v>
      </c>
      <c r="C12918" t="str">
        <f>IFERROR(__xludf.DUMMYFUNCTION("GOOGLETRANSLATE(B12918, ""fr"", ""en"")"),"Others bought too big for my three year old daughter too big for her")</f>
        <v>Others bought too big for my three year old daughter too big for her</v>
      </c>
    </row>
    <row r="12919">
      <c r="A12919" s="1">
        <v>3.0</v>
      </c>
      <c r="B12919" s="1" t="s">
        <v>12700</v>
      </c>
      <c r="C12919" t="str">
        <f>IFERROR(__xludf.DUMMYFUNCTION("GOOGLETRANSLATE(B12919, ""fr"", ""en"")"),"good kettle for quite loud price when the water starts to heat. seems fragile enough, especially the cover (see in use); quite fast but be careful hot outer walls. no small window to see the water level. Good value for money.")</f>
        <v>good kettle for quite loud price when the water starts to heat. seems fragile enough, especially the cover (see in use); quite fast but be careful hot outer walls. no small window to see the water level. Good value for money.</v>
      </c>
    </row>
    <row r="12920">
      <c r="A12920" s="1">
        <v>4.0</v>
      </c>
      <c r="B12920" s="1" t="s">
        <v>12701</v>
      </c>
      <c r="C12920" t="str">
        <f>IFERROR(__xludf.DUMMYFUNCTION("GOOGLETRANSLATE(B12920, ""fr"", ""en"")"),"Lovely cat necklace pendant I offered and much. It is like the picture.")</f>
        <v>Lovely cat necklace pendant I offered and much. It is like the picture.</v>
      </c>
    </row>
    <row r="12921">
      <c r="A12921" s="1">
        <v>4.0</v>
      </c>
      <c r="B12921" s="1" t="s">
        <v>12702</v>
      </c>
      <c r="C12921" t="str">
        <f>IFERROR(__xludf.DUMMYFUNCTION("GOOGLETRANSLATE(B12921, ""fr"", ""en"")"),"Perfect for beginning These nipples are perfect for early (not too hard, not too moles) are strong and it washes easily. unfortunately you have to buy the size up quickly because the flow is too low quickly. Not suitable milk thickened")</f>
        <v>Perfect for beginning These nipples are perfect for early (not too hard, not too moles) are strong and it washes easily. unfortunately you have to buy the size up quickly because the flow is too low quickly. Not suitable milk thickened</v>
      </c>
    </row>
    <row r="12922">
      <c r="A12922" s="1">
        <v>4.0</v>
      </c>
      <c r="B12922" s="1" t="s">
        <v>12703</v>
      </c>
      <c r="C12922" t="str">
        <f>IFERROR(__xludf.DUMMYFUNCTION("GOOGLETRANSLATE(B12922, ""fr"", ""en"")"),"Very very disappointed by delivery but not by the product")</f>
        <v>Very very disappointed by delivery but not by the product</v>
      </c>
    </row>
    <row r="12923">
      <c r="A12923" s="1">
        <v>4.0</v>
      </c>
      <c r="B12923" s="1" t="s">
        <v>12704</v>
      </c>
      <c r="C12923" t="str">
        <f>IFERROR(__xludf.DUMMYFUNCTION("GOOGLETRANSLATE(B12923, ""fr"", ""en"")"),"Perfect but cumbersome Tough delivery, the first package was lost, the second arrived but one of the two LED lamp was broken, the third was good. Contact with the service were up to my expectations, even if it was ultimately a bit long before FINALLY this"&amp;" lamp. It is perfect for winter and did a crazy good. She's great though bulky but super effective. More winter blues, it remains boosted. Frankly it's amazing how it changes life.")</f>
        <v>Perfect but cumbersome Tough delivery, the first package was lost, the second arrived but one of the two LED lamp was broken, the third was good. Contact with the service were up to my expectations, even if it was ultimately a bit long before FINALLY this lamp. It is perfect for winter and did a crazy good. She's great though bulky but super effective. More winter blues, it remains boosted. Frankly it's amazing how it changes life.</v>
      </c>
    </row>
    <row r="12924">
      <c r="A12924" s="1">
        <v>4.0</v>
      </c>
      <c r="B12924" s="1" t="s">
        <v>12705</v>
      </c>
      <c r="C12924" t="str">
        <f>IFERROR(__xludf.DUMMYFUNCTION("GOOGLETRANSLATE(B12924, ""fr"", ""en"")"),"Beautiful line and are pretty confotable by against the smell is strong and put time from. The pointure39 corresponds to 39")</f>
        <v>Beautiful line and are pretty confotable by against the smell is strong and put time from. The pointure39 corresponds to 39</v>
      </c>
    </row>
    <row r="12925">
      <c r="A12925" s="1">
        <v>5.0</v>
      </c>
      <c r="B12925" s="1" t="s">
        <v>12706</v>
      </c>
      <c r="C12925" t="str">
        <f>IFERROR(__xludf.DUMMYFUNCTION("GOOGLETRANSLATE(B12925, ""fr"", ""en"")"),"Markers luminaissant C is great, we loved it!")</f>
        <v>Markers luminaissant C is great, we loved it!</v>
      </c>
    </row>
    <row r="12926">
      <c r="A12926" s="1">
        <v>5.0</v>
      </c>
      <c r="B12926" s="1" t="s">
        <v>12707</v>
      </c>
      <c r="C12926" t="str">
        <f>IFERROR(__xludf.DUMMYFUNCTION("GOOGLETRANSLATE(B12926, ""fr"", ""en"")"),"The quality comfort in taking relaxation I am very satisfied")</f>
        <v>The quality comfort in taking relaxation I am very satisfied</v>
      </c>
    </row>
    <row r="12927">
      <c r="A12927" s="1">
        <v>5.0</v>
      </c>
      <c r="B12927" s="1" t="s">
        <v>12708</v>
      </c>
      <c r="C12927" t="str">
        <f>IFERROR(__xludf.DUMMYFUNCTION("GOOGLETRANSLATE(B12927, ""fr"", ""en"")"),"Sound quality on top, the sound quality is top notch. Very convenient charging, charging level, magnetic box for headphones. Hold tight to ears, discreet.")</f>
        <v>Sound quality on top, the sound quality is top notch. Very convenient charging, charging level, magnetic box for headphones. Hold tight to ears, discreet.</v>
      </c>
    </row>
    <row r="12928">
      <c r="A12928" s="1">
        <v>5.0</v>
      </c>
      <c r="B12928" s="1" t="s">
        <v>12709</v>
      </c>
      <c r="C12928" t="str">
        <f>IFERROR(__xludf.DUMMYFUNCTION("GOOGLETRANSLATE(B12928, ""fr"", ""en"")"),"very comfortable very comfortable")</f>
        <v>very comfortable very comfortable</v>
      </c>
    </row>
    <row r="12929">
      <c r="A12929" s="1">
        <v>5.0</v>
      </c>
      <c r="B12929" s="1" t="s">
        <v>12710</v>
      </c>
      <c r="C12929" t="str">
        <f>IFERROR(__xludf.DUMMYFUNCTION("GOOGLETRANSLATE(B12929, ""fr"", ""en"")"),"Good product performance matches the description. Suitable for running and fitness")</f>
        <v>Good product performance matches the description. Suitable for running and fitness</v>
      </c>
    </row>
    <row r="12930">
      <c r="A12930" s="1">
        <v>5.0</v>
      </c>
      <c r="B12930" s="1" t="s">
        <v>12711</v>
      </c>
      <c r="C12930" t="str">
        <f>IFERROR(__xludf.DUMMYFUNCTION("GOOGLETRANSLATE(B12930, ""fr"", ""en"")"),"Crocs Baya These Crocs Baya 46/47 size are well finished and good size. The thickness of the sole protects well enough black spines, which is not the case of all clogs ""plastic"".")</f>
        <v>Crocs Baya These Crocs Baya 46/47 size are well finished and good size. The thickness of the sole protects well enough black spines, which is not the case of all clogs "plastic".</v>
      </c>
    </row>
    <row r="12931">
      <c r="A12931" s="1">
        <v>5.0</v>
      </c>
      <c r="B12931" s="1" t="s">
        <v>12712</v>
      </c>
      <c r="C12931" t="str">
        <f>IFERROR(__xludf.DUMMYFUNCTION("GOOGLETRANSLATE(B12931, ""fr"", ""en"")"),"Kettle Beautiful purchase, not too expensive, I am very satisfied")</f>
        <v>Kettle Beautiful purchase, not too expensive, I am very satisfied</v>
      </c>
    </row>
    <row r="12932">
      <c r="A12932" s="1">
        <v>5.0</v>
      </c>
      <c r="B12932" s="1" t="s">
        <v>12713</v>
      </c>
      <c r="C12932" t="str">
        <f>IFERROR(__xludf.DUMMYFUNCTION("GOOGLETRANSLATE(B12932, ""fr"", ""en"")"),"Excellent I bought these headphones for the practice of foot race. I says I make between 50 and 60 km per week and especially road trail. Keeping the ears is perfect (it was my fear). The sound of pure Bose, very low current and contrary to some opinion, "&amp;"even with the wind the sound is very good. So if you buy this helmet for the foot race you can darken it is great. For me it is by far the best I've had. I use an Android phone and only for sport, for the rest I have my Bose qc35II")</f>
        <v>Excellent I bought these headphones for the practice of foot race. I says I make between 50 and 60 km per week and especially road trail. Keeping the ears is perfect (it was my fear). The sound of pure Bose, very low current and contrary to some opinion, even with the wind the sound is very good. So if you buy this helmet for the foot race you can darken it is great. For me it is by far the best I've had. I use an Android phone and only for sport, for the rest I have my Bose qc35II</v>
      </c>
    </row>
    <row r="12933">
      <c r="A12933" s="1">
        <v>5.0</v>
      </c>
      <c r="B12933" s="1" t="s">
        <v>12714</v>
      </c>
      <c r="C12933" t="str">
        <f>IFERROR(__xludf.DUMMYFUNCTION("GOOGLETRANSLATE(B12933, ""fr"", ""en"")"),"Aaaaaah !!!!! SINCE WE THE WAITING TIME, THE VOILÀ !!! THE PASTEL HIGHLIGHTERS !!! They are not very useful. But they are beautiful and work well. So they are buying.")</f>
        <v>Aaaaaah !!!!! SINCE WE THE WAITING TIME, THE VOILÀ !!! THE PASTEL HIGHLIGHTERS !!! They are not very useful. But they are beautiful and work well. So they are buying.</v>
      </c>
    </row>
    <row r="12934">
      <c r="A12934" s="1">
        <v>5.0</v>
      </c>
      <c r="B12934" s="1" t="s">
        <v>12715</v>
      </c>
      <c r="C12934" t="str">
        <f>IFERROR(__xludf.DUMMYFUNCTION("GOOGLETRANSLATE(B12934, ""fr"", ""en"")"),"Vans Do not regret my purchase is awesome basketball are also less expensive store when I recommend to take that shoe size")</f>
        <v>Vans Do not regret my purchase is awesome basketball are also less expensive store when I recommend to take that shoe size</v>
      </c>
    </row>
    <row r="12935">
      <c r="A12935" s="1">
        <v>5.0</v>
      </c>
      <c r="B12935" s="1" t="s">
        <v>12716</v>
      </c>
      <c r="C12935" t="str">
        <f>IFERROR(__xludf.DUMMYFUNCTION("GOOGLETRANSLATE(B12935, ""fr"", ""en"")"),"IN THE TOP ! Watch the top, still relevant in 2017 despite its retro look. After it is a watch casio 20 €, it gives the time and that's it. Practice by the smoothness, it goes everywhere. Too bad it scratches easily.")</f>
        <v>IN THE TOP ! Watch the top, still relevant in 2017 despite its retro look. After it is a watch casio 20 €, it gives the time and that's it. Practice by the smoothness, it goes everywhere. Too bad it scratches easily.</v>
      </c>
    </row>
    <row r="12936">
      <c r="A12936" s="1">
        <v>5.0</v>
      </c>
      <c r="B12936" s="1" t="s">
        <v>12717</v>
      </c>
      <c r="C12936" t="str">
        <f>IFERROR(__xludf.DUMMYFUNCTION("GOOGLETRANSLATE(B12936, ""fr"", ""en"")"),"Timberland Shoes Very good product and great value for money. Size perfectly and are very comfortable. The color is beautiful and matches the photo")</f>
        <v>Timberland Shoes Very good product and great value for money. Size perfectly and are very comfortable. The color is beautiful and matches the photo</v>
      </c>
    </row>
    <row r="12937">
      <c r="A12937" s="1">
        <v>5.0</v>
      </c>
      <c r="B12937" s="1" t="s">
        <v>12718</v>
      </c>
      <c r="C12937" t="str">
        <f>IFERROR(__xludf.DUMMYFUNCTION("GOOGLETRANSLATE(B12937, ""fr"", ""en"")"),"Nickel Socks conform to the description. Very very good, they are neither too thin nor too thick and are the right size :)")</f>
        <v>Nickel Socks conform to the description. Very very good, they are neither too thin nor too thick and are the right size :)</v>
      </c>
    </row>
    <row r="12938">
      <c r="A12938" s="1">
        <v>5.0</v>
      </c>
      <c r="B12938" s="1" t="s">
        <v>12719</v>
      </c>
      <c r="C12938" t="str">
        <f>IFERROR(__xludf.DUMMYFUNCTION("GOOGLETRANSLATE(B12938, ""fr"", ""en"")"),"Top notch softener softener on top I highly recommend it feel good")</f>
        <v>Top notch softener softener on top I highly recommend it feel good</v>
      </c>
    </row>
    <row r="12939">
      <c r="A12939" s="1">
        <v>5.0</v>
      </c>
      <c r="B12939" s="1" t="s">
        <v>12720</v>
      </c>
      <c r="C12939" t="str">
        <f>IFERROR(__xludf.DUMMYFUNCTION("GOOGLETRANSLATE(B12939, ""fr"", ""en"")"),"Top! casual shoes, beautiful, basic, discreet! It is well comfortable! It is strong enough, not bad! Vans Old Skool U :)")</f>
        <v>Top! casual shoes, beautiful, basic, discreet! It is well comfortable! It is strong enough, not bad! Vans Old Skool U :)</v>
      </c>
    </row>
    <row r="12940">
      <c r="A12940" s="1">
        <v>2.0</v>
      </c>
      <c r="B12940" s="1" t="s">
        <v>12721</v>
      </c>
      <c r="C12940" t="str">
        <f>IFERROR(__xludf.DUMMYFUNCTION("GOOGLETRANSLATE(B12940, ""fr"", ""en"")"),"XLR Power Requirements Caution Contrary to some reviews, the microphone does not work with a USB adapter. The microphone itself is clearly low end: the sound is noisy, is unclear and lacks depth. The design is nice.")</f>
        <v>XLR Power Requirements Caution Contrary to some reviews, the microphone does not work with a USB adapter. The microphone itself is clearly low end: the sound is noisy, is unclear and lacks depth. The design is nice.</v>
      </c>
    </row>
    <row r="12941">
      <c r="A12941" s="1">
        <v>1.0</v>
      </c>
      <c r="B12941" s="1" t="s">
        <v>12722</v>
      </c>
      <c r="C12941" t="str">
        <f>IFERROR(__xludf.DUMMYFUNCTION("GOOGLETRANSLATE(B12941, ""fr"", ""en"")"),"size error I ordered these shoes 28 but got a 27. On the box, it is however noted 28 but inside the shoes are 27. I'm disappointed because my son wanted to wear them for a festival this weekend but the time to place a new order and receive it would have b"&amp;"een too late! I send them tomorrow.")</f>
        <v>size error I ordered these shoes 28 but got a 27. On the box, it is however noted 28 but inside the shoes are 27. I'm disappointed because my son wanted to wear them for a festival this weekend but the time to place a new order and receive it would have been too late! I send them tomorrow.</v>
      </c>
    </row>
    <row r="12942">
      <c r="A12942" s="1">
        <v>1.0</v>
      </c>
      <c r="B12942" s="1" t="s">
        <v>12723</v>
      </c>
      <c r="C12942" t="str">
        <f>IFERROR(__xludf.DUMMYFUNCTION("GOOGLETRANSLATE(B12942, ""fr"", ""en"")"),"To avoid horrible Drawings. The politically correct stories. The propaganda of the ""marriage for all"" and more (story of a little guy in degisait girl!). It starts growing earlier, the brainwashing.")</f>
        <v>To avoid horrible Drawings. The politically correct stories. The propaganda of the "marriage for all" and more (story of a little guy in degisait girl!). It starts growing earlier, the brainwashing.</v>
      </c>
    </row>
    <row r="12943">
      <c r="A12943" s="1">
        <v>3.0</v>
      </c>
      <c r="B12943" s="1" t="s">
        <v>12724</v>
      </c>
      <c r="C12943" t="str">
        <f>IFERROR(__xludf.DUMMYFUNCTION("GOOGLETRANSLATE(B12943, ""fr"", ""en"")"),"Ok for the price I did not spend a fortune saw my very light use, namely the game on laptop when my partner listens to the TV. As such, it fulfills its role. The sound is okay, not great, saturate the treble, but here at this price I will content myself. "&amp;"At first, the headset is comfortable, but after a while I found that greenhouse strong enough anyway. Finally, pay attention to the cable, very short, which reserves the smartphone / tablet or like me a laptop.")</f>
        <v>Ok for the price I did not spend a fortune saw my very light use, namely the game on laptop when my partner listens to the TV. As such, it fulfills its role. The sound is okay, not great, saturate the treble, but here at this price I will content myself. At first, the headset is comfortable, but after a while I found that greenhouse strong enough anyway. Finally, pay attention to the cable, very short, which reserves the smartphone / tablet or like me a laptop.</v>
      </c>
    </row>
    <row r="12944">
      <c r="A12944" s="1">
        <v>3.0</v>
      </c>
      <c r="B12944" s="1" t="s">
        <v>12725</v>
      </c>
      <c r="C12944" t="str">
        <f>IFERROR(__xludf.DUMMYFUNCTION("GOOGLETRANSLATE(B12944, ""fr"", ""en"")"),"For dance lessons exclusively product for dance on parquet: outsole suede")</f>
        <v>For dance lessons exclusively product for dance on parquet: outsole suede</v>
      </c>
    </row>
    <row r="12945">
      <c r="A12945" s="1">
        <v>4.0</v>
      </c>
      <c r="B12945" s="1" t="s">
        <v>12726</v>
      </c>
      <c r="C12945" t="str">
        <f>IFERROR(__xludf.DUMMYFUNCTION("GOOGLETRANSLATE(B12945, ""fr"", ""en"")"),"Getting better I was already using a teapot like this for ten years, so I am a convinced. I unfortunately broken by mistake, which led me to buy this model below. I am pleasantly surprised by the addition of a silicone seal to prevent direct contact of th"&amp;"e metal infuser with the glass teapot. I got two liters of tea this weekend; I am very happy with my purchase.")</f>
        <v>Getting better I was already using a teapot like this for ten years, so I am a convinced. I unfortunately broken by mistake, which led me to buy this model below. I am pleasantly surprised by the addition of a silicone seal to prevent direct contact of the metal infuser with the glass teapot. I got two liters of tea this weekend; I am very happy with my purchase.</v>
      </c>
    </row>
    <row r="12946">
      <c r="A12946" s="1">
        <v>4.0</v>
      </c>
      <c r="B12946" s="1" t="s">
        <v>12727</v>
      </c>
      <c r="C12946" t="str">
        <f>IFERROR(__xludf.DUMMYFUNCTION("GOOGLETRANSLATE(B12946, ""fr"", ""en"")"),"Convenient bag bag practical and not bulky")</f>
        <v>Convenient bag bag practical and not bulky</v>
      </c>
    </row>
    <row r="12947">
      <c r="A12947" s="1">
        <v>4.0</v>
      </c>
      <c r="B12947" s="1" t="s">
        <v>12728</v>
      </c>
      <c r="C12947" t="str">
        <f>IFERROR(__xludf.DUMMYFUNCTION("GOOGLETRANSLATE(B12947, ""fr"", ""en"")"),"A little small The board is compact and DJUCED software reacts quickly to the scratches. It's a little less great on the pads but it's still tolerable. Unlike the more upscale, you will here the USB output to control the software. No output direct to HP. "&amp;"We must also use the mode key to switch between Loops / FX / Sample / Cue. If it is not inconvenient for assembly or house mix, it will be much more embarrassing for the live. The software DJUCED 18 is not necessarily intuitive for the novice. I have a li"&amp;"ttle too much hassle to find where to set the loops and I admit that I still groping a little. The documentation is not supplied or easily accessible, it adds the challenge. The sound output example: On 2 Installation (my laptop and my desktop PC) and alt"&amp;"hough he took 2x bad. You have to go in hidden menus in a corner for the change. The rest is not bad. Especially finishing the plate. The app is to learn, but there is plenty to do pretty things. In summary: a little minimalist but there is something fun "&amp;"/ start anyway.")</f>
        <v>A little small The board is compact and DJUCED software reacts quickly to the scratches. It's a little less great on the pads but it's still tolerable. Unlike the more upscale, you will here the USB output to control the software. No output direct to HP. We must also use the mode key to switch between Loops / FX / Sample / Cue. If it is not inconvenient for assembly or house mix, it will be much more embarrassing for the live. The software DJUCED 18 is not necessarily intuitive for the novice. I have a little too much hassle to find where to set the loops and I admit that I still groping a little. The documentation is not supplied or easily accessible, it adds the challenge. The sound output example: On 2 Installation (my laptop and my desktop PC) and although he took 2x bad. You have to go in hidden menus in a corner for the change. The rest is not bad. Especially finishing the plate. The app is to learn, but there is plenty to do pretty things. In summary: a little minimalist but there is something fun / start anyway.</v>
      </c>
    </row>
    <row r="12948">
      <c r="A12948" s="1">
        <v>4.0</v>
      </c>
      <c r="B12948" s="1" t="s">
        <v>12729</v>
      </c>
      <c r="C12948" t="str">
        <f>IFERROR(__xludf.DUMMYFUNCTION("GOOGLETRANSLATE(B12948, ""fr"", ""en"")"),"super pretty and comfortable Boots lovely and very pleasant to wear Boots of good quality. Product according to the description. I recommend this product without problem")</f>
        <v>super pretty and comfortable Boots lovely and very pleasant to wear Boots of good quality. Product according to the description. I recommend this product without problem</v>
      </c>
    </row>
    <row r="12949">
      <c r="A12949" s="1">
        <v>5.0</v>
      </c>
      <c r="B12949" s="1" t="s">
        <v>12730</v>
      </c>
      <c r="C12949" t="str">
        <f>IFERROR(__xludf.DUMMYFUNCTION("GOOGLETRANSLATE(B12949, ""fr"", ""en"")"),"Ras Perfect")</f>
        <v>Ras Perfect</v>
      </c>
    </row>
    <row r="12950">
      <c r="A12950" s="1">
        <v>5.0</v>
      </c>
      <c r="B12950" s="1" t="s">
        <v>12731</v>
      </c>
      <c r="C12950" t="str">
        <f>IFERROR(__xludf.DUMMYFUNCTION("GOOGLETRANSLATE(B12950, ""fr"", ""en"")"),"surprs pleasantly surprised by the sound quality. Easy to use, no feedback. Maybe reverberation a tad too much. Well do not know. We will not quibble. I dreaded the integrated speaker at the microphone. But no it works very well. So, I'm using it as a Blu"&amp;"etooth speaker. I recommend this great product, but happiness.")</f>
        <v>surprs pleasantly surprised by the sound quality. Easy to use, no feedback. Maybe reverberation a tad too much. Well do not know. We will not quibble. I dreaded the integrated speaker at the microphone. But no it works very well. So, I'm using it as a Bluetooth speaker. I recommend this great product, but happiness.</v>
      </c>
    </row>
    <row r="12951">
      <c r="A12951" s="1">
        <v>5.0</v>
      </c>
      <c r="B12951" s="1" t="s">
        <v>12732</v>
      </c>
      <c r="C12951" t="str">
        <f>IFERROR(__xludf.DUMMYFUNCTION("GOOGLETRANSLATE(B12951, ""fr"", ""en"")"),"powerful sound for bass lovers I bought after I lost my old helmet (even black model), to date, and as a fan of the best bass Earphones I've ever had. I also have hoop version the extrabass Sony is clearly for several years my reference material for my mu"&amp;"sic.")</f>
        <v>powerful sound for bass lovers I bought after I lost my old helmet (even black model), to date, and as a fan of the best bass Earphones I've ever had. I also have hoop version the extrabass Sony is clearly for several years my reference material for my music.</v>
      </c>
    </row>
    <row r="12952">
      <c r="A12952" s="1">
        <v>5.0</v>
      </c>
      <c r="B12952" s="1" t="s">
        <v>12733</v>
      </c>
      <c r="C12952" t="str">
        <f>IFERROR(__xludf.DUMMYFUNCTION("GOOGLETRANSLATE(B12952, ""fr"", ""en"")"),"BEAUTIFUL WATCH FOR THE PRICE I took this fancy watch for the holidays, hoping that it is waterproof .... (to see) For € 33, it's a nice article. You have to stay grounded. Some would like the quality of a high end watch for a minimum price ...")</f>
        <v>BEAUTIFUL WATCH FOR THE PRICE I took this fancy watch for the holidays, hoping that it is waterproof .... (to see) For € 33, it's a nice article. You have to stay grounded. Some would like the quality of a high end watch for a minimum price ...</v>
      </c>
    </row>
    <row r="12953">
      <c r="A12953" s="1">
        <v>5.0</v>
      </c>
      <c r="B12953" s="1" t="s">
        <v>12734</v>
      </c>
      <c r="C12953" t="str">
        <f>IFERROR(__xludf.DUMMYFUNCTION("GOOGLETRANSLATE(B12953, ""fr"", ""en"")"),"Perfect Very useful for every shot or even operating convalescent wisdom teeth. Different sizes that find the one that works! Tried only in cold")</f>
        <v>Perfect Very useful for every shot or even operating convalescent wisdom teeth. Different sizes that find the one that works! Tried only in cold</v>
      </c>
    </row>
    <row r="12954">
      <c r="A12954" s="1">
        <v>5.0</v>
      </c>
      <c r="B12954" s="1" t="s">
        <v>12735</v>
      </c>
      <c r="C12954" t="str">
        <f>IFERROR(__xludf.DUMMYFUNCTION("GOOGLETRANSLATE(B12954, ""fr"", ""en"")"),"Sports headphones Pretty disappointed airpods for sport I decided to try these: - Its high quality, low very deep, no voice distortion. - Hold VERY well to the ears! this is for me the big plus of these headphones, regardless of the harm you give they wil"&amp;"l not fall - waterproof, load and satisfactory autonomy case with percentage indication and automatic connection with the phone. I advise these headphones if you seek to make your workout music without taking your head!")</f>
        <v>Sports headphones Pretty disappointed airpods for sport I decided to try these: - Its high quality, low very deep, no voice distortion. - Hold VERY well to the ears! this is for me the big plus of these headphones, regardless of the harm you give they will not fall - waterproof, load and satisfactory autonomy case with percentage indication and automatic connection with the phone. I advise these headphones if you seek to make your workout music without taking your head!</v>
      </c>
    </row>
    <row r="12955">
      <c r="A12955" s="1">
        <v>5.0</v>
      </c>
      <c r="B12955" s="1" t="s">
        <v>12736</v>
      </c>
      <c r="C12955" t="str">
        <f>IFERROR(__xludf.DUMMYFUNCTION("GOOGLETRANSLATE(B12955, ""fr"", ""en"")"),"Excellent product A gift for my husband who is absolutely delighted, her shoes are shiny gently effortlessly. I do not regret my purchase.")</f>
        <v>Excellent product A gift for my husband who is absolutely delighted, her shoes are shiny gently effortlessly. I do not regret my purchase.</v>
      </c>
    </row>
    <row r="12956">
      <c r="A12956" s="1">
        <v>5.0</v>
      </c>
      <c r="B12956" s="1" t="s">
        <v>12737</v>
      </c>
      <c r="C12956" t="str">
        <f>IFERROR(__xludf.DUMMYFUNCTION("GOOGLETRANSLATE(B12956, ""fr"", ""en"")"),"Probe Mounted in a camper. Magnetic mounting. Probe in an outer cover. One regret, not being able to stop the outdoor sensor scrolling, if only one probe used.")</f>
        <v>Probe Mounted in a camper. Magnetic mounting. Probe in an outer cover. One regret, not being able to stop the outdoor sensor scrolling, if only one probe used.</v>
      </c>
    </row>
    <row r="12957">
      <c r="A12957" s="1">
        <v>5.0</v>
      </c>
      <c r="B12957" s="1" t="s">
        <v>12738</v>
      </c>
      <c r="C12957" t="str">
        <f>IFERROR(__xludf.DUMMYFUNCTION("GOOGLETRANSLATE(B12957, ""fr"", ""en"")"),"Purchase meet my expectations Very happy with this purchase! Nothing to say good buy and order receipt delivered nickel D + 1 great !!! I recommend this pair of Converse")</f>
        <v>Purchase meet my expectations Very happy with this purchase! Nothing to say good buy and order receipt delivered nickel D + 1 great !!! I recommend this pair of Converse</v>
      </c>
    </row>
    <row r="12958">
      <c r="A12958" s="1">
        <v>5.0</v>
      </c>
      <c r="B12958" s="1" t="s">
        <v>12739</v>
      </c>
      <c r="C12958" t="str">
        <f>IFERROR(__xludf.DUMMYFUNCTION("GOOGLETRANSLATE(B12958, ""fr"", ""en"")"),"Comfortable, warm and comfortable sock convenient, enjoyable and after several washing her are still sweet. Plus: The gray side is less messy when walking without boot.")</f>
        <v>Comfortable, warm and comfortable sock convenient, enjoyable and after several washing her are still sweet. Plus: The gray side is less messy when walking without boot.</v>
      </c>
    </row>
    <row r="12959">
      <c r="A12959" s="1">
        <v>5.0</v>
      </c>
      <c r="B12959" s="1" t="s">
        <v>12740</v>
      </c>
      <c r="C12959" t="str">
        <f>IFERROR(__xludf.DUMMYFUNCTION("GOOGLETRANSLATE(B12959, ""fr"", ""en"")"),"Small lovely beautiful silver buckles. They are easy to full effect. Discreet they are perfect. I, who had trouble sypp7 money, they do not hurt me. I recommend")</f>
        <v>Small lovely beautiful silver buckles. They are easy to full effect. Discreet they are perfect. I, who had trouble sypp7 money, they do not hurt me. I recommend</v>
      </c>
    </row>
    <row r="12960">
      <c r="A12960" s="1">
        <v>5.0</v>
      </c>
      <c r="B12960" s="1" t="s">
        <v>12741</v>
      </c>
      <c r="C12960" t="str">
        <f>IFERROR(__xludf.DUMMYFUNCTION("GOOGLETRANSLATE(B12960, ""fr"", ""en"")"),"Good shoes ... shoes sports very comfortable, with a sufficiently civilized look to be worn at work or in town by all that casual does not reject. Good overall quality.")</f>
        <v>Good shoes ... shoes sports very comfortable, with a sufficiently civilized look to be worn at work or in town by all that casual does not reject. Good overall quality.</v>
      </c>
    </row>
    <row r="12961">
      <c r="A12961" s="1">
        <v>5.0</v>
      </c>
      <c r="B12961" s="1" t="s">
        <v>12742</v>
      </c>
      <c r="C12961" t="str">
        <f>IFERROR(__xludf.DUMMYFUNCTION("GOOGLETRANSLATE(B12961, ""fr"", ""en"")"),"comply with my order package Reception on time, and product line with my expectations. Very good value for money. I advise.")</f>
        <v>comply with my order package Reception on time, and product line with my expectations. Very good value for money. I advise.</v>
      </c>
    </row>
    <row r="12962">
      <c r="A12962" s="1">
        <v>5.0</v>
      </c>
      <c r="B12962" s="1" t="s">
        <v>12743</v>
      </c>
      <c r="C12962" t="str">
        <f>IFERROR(__xludf.DUMMYFUNCTION("GOOGLETRANSLATE(B12962, ""fr"", ""en"")"),"Karaoke microphone super &lt;div id = ""video-block-R219GXABEGN7GH"" class = ""a-section-spacing-small-spacing has-top video mini-block""&gt; &lt;div tabindex = ""0"" class = ""airy airy- svg vmin-supported airy-skin-beacon ""style ="" background-color: rgb (0, 0,"&amp;" 0); position: relative; width: 100%; height: 100%; font-size: 0px; overflow: hidden; outline: none; ""&gt; &lt;div class ="" airy-renderer-container ""style ="" position: relative; height: 100%; width: 100%; ""&gt; &lt;video id ="" 15 ""preload ="" auto ""src = ""ht"&amp;"tps://images-eu.ssl-images-amazon.com/images/I/B1CRgt87KqS.mp4"" style = ""position: absolute; left: 0px; top: 0px; overflow: hidden; height: 1px; width: 1px; ""&gt; &lt;/ video&gt; &lt;/ div&gt; &lt;div id ="" airy-slate-preload ""style ="" background-color: rgb (0, 0, 0)"&amp;"; background-image: url (&amp; quot; https: / /images-eu.ssl-images-amazon.com/images/I/919mf527ayS.png&amp;quot;); background-size: contain; background-position: center center; background-repeat: no-repeat; position: absolute; top: 0px; left: 0px; visibility: vi"&amp;"sible; width: 100%; height: 100% ""&gt; &lt;/ div&gt; &lt;iframe scrol ling = ""no"" frameborder = ""0"" src = ""about: blank"" style = ""display: none;""&gt; &lt;/ iframe&gt; &lt;div tabindex = ""- 1"" class = ""airy-controls-container"" style = "" opacity: 0; visibility: hidde"&amp;"n; ""&gt; &lt;div tabindex ="" - 1 ""class ="" airy-screen-size-toggle airy-fullscreen ""&gt; &lt;/ div&gt; &lt;div tabindex ="" - 1 ""class ="" airy-container-bottom "" &gt; &lt;div tabindex = ""- 1"" class = ""airy-track-bar spacer-left"" style = ""width: 11px;""&gt; &lt;/ div&gt; &lt;div"&amp;" tabindex = ""- 1"" class = ""airy-play- toggle airy-play ""style ="" width: 12px; margin-right: 12px; ""&gt; &lt;/ div&gt; &lt;div tabindex ="" - 1 ""class ="" airy-audio-elements ""style ="" float: right; width: 34px; ""&gt; &lt;div tabindex ="" - 1 ""class ="" airy-audi"&amp;"o-toggle airy-on ""&gt; &lt;/ div&gt; &lt;div tabindex ="" - 1 ""class ="" airy-audio-container ""style = ""opacity: 0; visibility: hidden; ""&gt; &lt;div tabindex ="" - 1 ""class ="" airy-audio-track-bar ""style ="" height: 80%; ""&gt; &lt;div tabindex ="" - 1 ""class ="" airy-"&amp;"audio- scrubber bar ""style ="" height: 85% ""&gt; &lt;/ div&gt; &lt;div tabindex ="" - 1 ""class ="" airy-audio-scrubber ""style ="" height: 12px; bottom: 85% ""&gt; &lt;/ div&gt; &lt;/ div&gt; &lt;/ div&gt; &lt;/ div&gt; &lt;div tabindex ="" - 1 ""class ="" airy-duration-label ""style ="" float"&amp;": right; width: 26px; margin-right: 4px; text-align: center; ""&gt; 0:46 &lt;/ div&gt; &lt;div tabindex ="" - 1 ""class ="" airy-track-bar spacer-right ""style ="" float: right; width: 11px; ""&gt; &lt;/ div&gt; &lt;div tabindex ="" - 1 ""class ="" airy-track-bar-container ""sty"&amp;"le ="" margin-left: 35px; margin-right: 75px; ""&gt; &lt;div tabindex ="" - 1 ""class ="" airy-airy-track-bar vertical-centering-table ""&gt; &lt;div tabindex ="" - 1 ""class ="" airy-vertical-centering- table-cell ""&gt; &lt;div tabindex ="" - 1 ""class ="" airy-track-bar"&amp;" elements ""&gt; &lt;div tabindex ="" - 1 ""class ="" airy-progress-bar ""style ="" width: 17.3428%; ""&gt; &lt;/ div&gt; &lt;div tabindex ="" - 1 ""class ="" airy-scrubber bar ""&gt; &lt;/ div&gt; &lt;div tabindex ="" - 1 ""class ="" airy-scrubber ""&gt; &lt;div tabindex ="" - 1 ""class ="&amp;""" airy-scrubber-icon ""&gt; &lt;/ div&gt; &lt;div tabindex ="" - 1 ""class ="" airy-adjusted-aui-tooltip ""style ="" opacity: 0; visibility: hidden; ""&gt; &lt;div tabindex ="" - 1 ""class ="" airy-adjusted-aui-tooltip-inner ""&gt; &lt;div tabindex ="" - 1 ""class ="" airy-curr"&amp;"ent-time-label ""&gt; 0 00 &lt;/ div&gt; &lt;/ div&gt; &lt;div tabindex = ""- 1"" class = ""airy-adjusted-aui-arrow-border""&gt; &lt;div tabindex = ""- 1"" class = ""airy-adjusted-aui-arrow"" &gt; &lt;/ div&gt; &lt;/ div&gt; &lt;/ div&gt; &lt;/ div&gt; &lt;/ div&gt; &lt;/ div&gt; &lt;/ div&gt; &lt;/ div&gt; &lt;/ div&gt; &lt;/ div&gt; &lt;div "&amp;"tabindex = ""- 1"" class = ""airy-airy-age-gate course airy-vertical-centering table-airy-dialog"" style = ""opacity: 0; visibility: hidden; ""&gt; &lt;div tabindex ="" - 1 ""class ="" airy-age-gate-vertical-centering-table-cell airy-vertical-centering-table-ce"&amp;"ll ""&gt; &lt;div tabindex ="" - 1 ""class = ""airy-vertical-centering-wrapper airy-age-gate-elements-wrapper""&gt; &lt;div tabindex = ""- 1"" class = ""airy-age-gate-elements airy-dialog-elements""&gt; &lt;div tabindex = "" -1 ""class ="" airy-age-gate-prompt ""&gt; This vid"&amp;"eo is not Intended for all audiences What time were you born &lt;/ div&gt; &lt;div tabindex =.?"" - 1 ""class ="" airy-age-gate -inputs airy-dialog-inner-elements ""&gt; &lt;select tabindex ="" - 1 ""class ="" airy-age-gate-month ""&gt; &lt;option value ="" 1 ""&gt; January &lt;/ o"&amp;"ption&gt; &lt;option value ="" 2 ""&gt; February &lt;/ option&gt; &lt;option value ="" 3 ""&gt; March &lt;/ option&gt; &lt;option value ="" 4 ""&gt; April &lt;/ option&gt; &lt;option value ="" 5 ""&gt; May &lt;/ option&gt; &lt;option value = ""6""&gt; June &lt;/ option&gt; &lt;option value = ""7""&gt; July &lt;/ option&gt; &lt;opti"&amp;"on value = ""8""&gt; August &lt;/ option&gt; &lt;option value = ""9""&gt; September &lt;/ option&gt; &lt;option value = ""10""&gt; October &lt;/ option&gt; &lt;option value = ""11""&gt; November &lt;/ option&gt; &lt;option value = ""12""&gt; December &lt;/ option&gt; &lt;/ select&gt; &lt;select tabindex = ""- 1"" class "&amp;"= ""airy-age-gate-day""&gt; &lt;opti = One value ""1""&gt; 1 &lt;/ option&gt; &lt;option value = ""2""&gt; 2 &lt;/ option&gt; &lt;option value = ""3""&gt; 3 &lt;/ option&gt; &lt;option value = ""4""&gt; 4 &lt;/ option &gt; &lt;option value = ""5""&gt; 5 &lt;/ option&gt; &lt;option value = ""6""&gt; 6 &lt;/ option&gt; &lt;option val"&amp;"ue = ""7""&gt; 7 &lt;/ option&gt; &lt;option value = ""8""&gt; 8 &lt; / option&gt; &lt;option value = ""9""&gt; 9 &lt;/ option&gt; &lt;option value = ""10""&gt; 10 &lt;/ option&gt; &lt;option value = ""11""&gt; 11 &lt;/ option&gt; &lt;option value = ""12""&gt; 12 &lt;/ option&gt; &lt;option value = ""13""&gt; 13 &lt;/ option&gt; &lt;opti"&amp;"on value = ""14""&gt; 14 &lt;/ option&gt; &lt;option value = ""15""&gt; 15 &lt;/ option&gt; &lt;option value = ""16 ""&gt; 16 &lt;/ option&gt; &lt;option value ="" 17 ""&gt; 17 &lt;/ option&gt; &lt;option value ="" 18 ""&gt; 18 &lt;/ option&gt; &lt;option value ="" 19 ""&gt; 19 &lt;/ option&gt; &lt;option value = ""20""&gt; 20 &lt;"&amp;"/ option&gt; &lt;option value = ""21""&gt; 21 &lt;/ option&gt; &lt;option value = ""22""&gt; 22 &lt;/ option&gt; &lt;option value = ""23""&gt; 23 &lt;/ option&gt; &lt;option value = ""24""&gt; 24 &lt;/ option&gt; &lt;option value = ""25""&gt; 25 &lt;/ option&gt; &lt;option value = ""26""&gt; 26 &lt;/ option&gt; &lt;option value = "&amp;"""27""&gt; 27 &lt;/ option&gt; &lt;option value = ""28""&gt; 28 &lt;/ option&gt; &lt;option value = ""29""&gt; 29 &lt;/ option&gt; &lt;option value = ""30""&gt; 30 &lt;/ option&gt; &lt;option value = ""31""&gt; 31 &lt;/ option&gt; &lt;/ select&gt; &lt;select tabindex = ""- 1"" class = ""airy-age-gate-year""&gt; &lt;option val"&amp;"ue = ""2019""&gt; 2019 &lt;/ option&gt; &lt; option value = ""2018""&gt; 2018 &lt;/ option&gt; &lt;option value = ""2017""&gt; 2017 &lt;/ option&gt; &lt;option value = ""2016""&gt; ​​2016 &lt;/ option&gt; &lt;option value = ""2015""&gt; 2015 &lt;/ option &gt; &lt;option value = ""2014""&gt; 2014 &lt;/ option&gt; &lt;option va"&amp;"lue = ""2013""&gt; 2013 &lt;/ option&gt; &lt;option value = ""2012""&gt; 2012 &lt;/ option&gt; &lt;option value = ""2011""&gt; 2011 &lt; / option&gt; &lt;option value = ""2010""&gt; 2010 &lt;/ option&gt; &lt;option value = ""2009""&gt; 2009 &lt;/ option&gt; &lt;option value = ""2008""&gt; 2008 &lt;/ option&gt; &lt;option valu"&amp;"e = ""2007""&gt; 2007 &lt;/ option&gt; &lt;option value = ""2006""&gt; 2006 &lt;/ option&gt; &lt;option value = ""2005""&gt; 2005 &lt;/ option&gt; &lt;option value = ""2004""&gt; 2004 &lt;/ option&gt; &lt;option value = ""2003 ""&gt; 2003 &lt;/ option&gt; &lt;option value ="" 2002 ""&gt; 2002 &lt;/ option&gt; &lt;option value"&amp;" ="" 2001 ""&gt; 2001 &lt;/ option&gt; &lt;option value ="" 2000 ""&gt; 2000 &lt;/ option&gt; &lt;option value = ""1999""&gt; 1999 &lt;/ option&gt; &lt;option value = ""1998""&gt; 1998 &lt;/ option&gt; &lt;option value = ""1997""&gt; 1997 &lt;/ option&gt; &lt;option value = ""1996""&gt; 1996 &lt;/ option&gt; &lt;option value "&amp;"= ""1995""&gt; 1995 &lt;/ option&gt; &lt;option value = ""1994""&gt; 1994 &lt;/ option&gt; &lt;option value = ""1993""&gt; 1993 &lt;/ option&gt; &lt;option value = ""1992""&gt; 1992 &lt;/ option&gt; &lt;option value = ""1991""&gt; 1991 &lt;/ option&gt; &lt;option value = ""1990""&gt; 1990 &lt;/ option&gt; &lt;option value = "&amp;""" 1989 ""&gt; 1989 &lt;/ option&gt; &lt;option value ="" 1988 ""&gt; 1988 &lt;/ option&gt; &lt;option value ="" 1987 ""&gt; 1987 &lt;/ option&gt; &lt;option value ="" 1986 ""&gt; 1986 &lt;/ option&gt; &lt;option value = ""1985""&gt; 1985 &lt;/ option&gt; &lt;option value = ""1984""&gt; 1984 &lt;/ option&gt; &lt;option value "&amp;"= ""1983""&gt; 1983 &lt;/ option&gt; &lt;option value = ""1982""&gt; 1982 &lt;/ option&gt; &lt; option value = ""1981""&gt; 1981 &lt;/ option&gt; &lt;option value = ""1980""&gt; 1980 &lt;/ option&gt; &lt;option value = ""1979""&gt; 1979 &lt;/ option&gt; &lt;option value = ""1978""&gt; 1978 &lt;/ option &gt; &lt;option value ="&amp;" ""1977""&gt; 1977 &lt;/ option&gt; &lt;option value = ""1976""&gt; 1976 &lt;/ option&gt; &lt;option value = ""1975""&gt; 1975 &lt;/ option&gt; &lt;option value = ""1974""&gt; 1974 &lt; / option&gt; &lt;option value = ""1973""&gt; 1973 &lt;/ option&gt; &lt;option value = ""1972""&gt; 1972 &lt;/ option&gt; &lt;option value = "&amp;"""1971""&gt; 1971 &lt;/ option&gt; &lt;option value = ""1970""&gt; 1970 &lt;/ option&gt; &lt;option value = ""1969""&gt; 1969 &lt;/ option&gt; &lt;option value = ""1968""&gt; 1968 &lt;/ option&gt; &lt;option value = ""1967""&gt; 1967 &lt;/ option&gt; &lt;option value = ""1966 ""&gt; 1966 &lt;/ option&gt; &lt;option value ="" "&amp;"1965 ""&gt; 1965 &lt;/ option&gt; &lt;option value ="" 1964 ""&gt; 1964 &lt;/ option&gt; &lt;option value ="" 1963 ""&gt; 1963 &lt;/ option&gt; &lt;option value = ""1962""&gt; 1962 &lt;/ option&gt; &lt;option value = ""1961""&gt; 1961 &lt;/ option&gt; &lt;option value = ""1960""&gt; 1960 &lt;/ op tion&gt; &lt;option value = "&amp;"""1959""&gt; 1959 &lt;/ option&gt; &lt;option value = ""1958""&gt; 1958 &lt;/ option&gt; &lt;option value = ""1957""&gt; 1957 &lt;/ option&gt; &lt;option value = ""1956""&gt; 1956 &lt;/ option&gt; &lt;option value = ""1955""&gt; 1955 &lt;/ option&gt; &lt;option value = ""1954""&gt; 1954 &lt;/ option&gt; &lt;option value = ""1"&amp;"953""&gt; 1953 &lt;/ option&gt; &lt;option value = ""1952"" &gt; 1952 &lt;/ option&gt; &lt;option value = ""1951""&gt; 1951 &lt;/ option&gt; &lt;option value = ""1950""&gt; 1950 &lt;/ option&gt; &lt;option value = ""1949""&gt; 1949 &lt;/ option&gt; &lt;option value = "" 1948 ""&gt; 1948 &lt;/ option&gt; &lt;option value ="" 1"&amp;"947 ""&gt; 1947 &lt;/ option&gt; &lt;option value ="" 1946 ""&gt; 1946 &lt;/ option&gt; &lt;option value ="" 1945 ""&gt; 1945 &lt;/ option&gt; &lt;option value = ""1944""&gt; 1944 &lt;/ option&gt; &lt;option value = ""1943""&gt; 1943 &lt;/ option&gt; &lt;option value = ""1942""&gt; 1942 &lt;/ option&gt; &lt;option value = ""1"&amp;"941""&gt; 1941 &lt;/ option&gt; &lt; option value = ""1940""&gt; 1940 &lt;/ option&gt; &lt;option value = ""1939""&gt; 1939 &lt;/ option&gt; &lt;option value = ""1938""&gt; 1938 &lt;/ option&gt; &lt;option value = ""1937""&gt; 1937 &lt;/ option &gt; &lt;option value = ""1936""&gt; 1936 &lt;/ option&gt; &lt;option value = ""19"&amp;"35""&gt; 1935 &lt;/ option&gt; &lt;option value = ""1934""&gt; 1934 &lt;/ option&gt; &lt;option value = ""1933""&gt; 1933 &lt; / option&gt; &lt;option value = ""1932""&gt; 1932 &lt;/ option&gt; &lt;option value = ""1931""&gt; 1931 &lt;/ option&gt; &lt;option v alue = ""1930""&gt; 1930 &lt;/ option&gt; &lt;option value = ""192"&amp;"9""&gt; 1929 &lt;/ option&gt; &lt;option value = ""1928""&gt; 1928 &lt;/ option&gt; &lt;option value = ""1927""&gt; 1927 &lt;/ option&gt; &lt;option value = ""1926""&gt; 1926 &lt;/ option&gt; &lt;option value = ""1925""&gt; 1925 &lt;/ option&gt; &lt;option value = ""1924""&gt; 1924 &lt;/ option&gt; &lt;option value = ""1923"""&amp;"&gt; 1923 &lt;/ option&gt; &lt;option value = ""1922""&gt; 1922 &lt;/ option&gt; &lt;option value = ""1921""&gt; 1921 &lt;/ option&gt; &lt;option value = ""1920""&gt; 1920 &lt;/ option&gt; &lt;option value = ""1919""&gt; 1919 &lt;/ option&gt; &lt;option value = ""1918""&gt; 1918 &lt;/ option&gt; &lt;option value = ""1917""&gt; 1"&amp;"917 &lt;/ option&gt; &lt;option value = ""1916""&gt; 1916 &lt;/ option&gt; &lt;option value = ""1915"" &gt; 1915 &lt;/ option&gt; &lt;option value = ""1914""&gt; 1914 &lt;/ option&gt; &lt;option value = ""1913""&gt; 1913 &lt;/ option&gt; &lt;option value = ""1912""&gt; 1912 &lt;/ option&gt; &lt;option value = "" 1911 ""&gt; 1"&amp;"911 &lt;/ option&gt; &lt;option value ="" 1910 ""&gt; 1910 &lt;/ option&gt; &lt;option value ="" 1909 ""&gt; 1909 &lt;/ option&gt; &lt;option value ="" 1908 ""&gt; 1908 &lt;/ option&gt; &lt;option value = ""1907""&gt; 1907 &lt;/ option&gt; &lt;option value = ""1906""&gt; 1906 &lt;/ option&gt; &lt;option value = ""1905""&gt; 1"&amp;"905 &lt;/ option&gt; &lt;option value = ""1904""&gt; 1904 &lt;/ option&gt; &lt; option value = ""1903""&gt; 1903 &lt;/ option&gt; &lt;option value = ""1902""&gt; 1902 &lt;/ option&gt; &lt;option value = ""1901""&gt; 19 01 &lt;/ option&gt; &lt;option value = ""1900""&gt; 1900 &lt;/ option&gt; &lt;/ select&gt; &lt;div tabindex = "&amp;"""- 1"" class = ""airy-age-gate-submit airy-submit-button airy airy-submit- disabled ""&gt; Submit &lt;/ div&gt; &lt;/ div&gt; &lt;/ div&gt; &lt;/ div&gt; &lt;/ div&gt; &lt;/ div&gt; &lt;div tabindex ="" - 1 ""class ="" airy-install-flash-dialog airy-course airy -Vertical-centering-table dialog a"&amp;"iry-airy-denied ""style ="" opacity: 0; visibility: hidden; ""&gt; &lt;div tabindex ="" - 1 ""class ="" airy-install-flash-vertical-centering-table-cell airy-vertical-centering-table-cell ""&gt; &lt;div tabindex ="" - 1 ""class = ""airy-vertical-centering-wrapper air"&amp;"y-install-flash-elements-wrapper""&gt; &lt;div tabindex = ""- 1"" class = ""airy-install-flash-elements airy-dialog-elements""&gt; &lt;div tabindex = "" -1 ""class ="" airy-install-flash-prompt ""&gt; Adobe Flash Player is required to watch this video &lt;/ div&gt; &lt;div = tab"&amp;"index."" - 1 ""class ="" airy-install-flash-button-wrapper airy -dialog-inner-elements ""&gt; &lt;div tabindex ="" - 1 ""class ="" airy-install-flash-button airy-button ""&gt; install Flash Player &lt;/ div&gt; &lt;/ div&gt; &lt;/ div&gt; &lt;/ div&gt; &lt;/ div&gt; &lt;/ div&gt; &lt;div tabindex = ""-"&amp;" 1"" class = ""airy-video-unsupported-dialog airy-course airy-vertical-centering table-airy-dialog airy-denied"" style = ""opacity: 0; visibility: hidden; ""&gt; &lt;div tabindex ="" - 1 ""class ="" airy-video-unsupported-vertical-centering-table-cell airy-vert"&amp;"ical-centering-table-cell ""&gt; &lt;div tabindex ="" - 1 ""class = ""airy-vertical-centering-wrapper airy-video-unsupported-elements-wrapper""&gt; &lt;div tabindex = ""- 1"" class = ""airy-video-unsupported-elements airy-dialog-elements""&gt; &lt;div tabindex = "" -1 ""cl"&amp;"ass ="" airy-video-unsupported-prompt ""&gt; &lt;/ div&gt; &lt;/ div&gt; &lt;/ div&gt; &lt;/ div&gt; &lt;/ div&gt; &lt;div tabindex ="" - 1 ""class ="" airy-loading- spinner-stage airy-stage ""&gt; &lt;div tabindex ="" - 1 ""class ="" airy-loading-spinner-vertical-centering-table-cell airy-vertic"&amp;"al-centering-table-cell ""&gt; &lt;div tabindex ="" - 1 ""class ="" airy-loading-spinner container airy-scalable-hint-container ""&gt; &lt;div tabindex ="" - 1 ""class ="" airy-loading-spinner-dummy airy-scalable-dummy ""&gt; &lt;/ div&gt; &lt; div tabindex = ""- 1"" class = ""a"&amp;"iry-loading-spinner airy-hint"" style = ""visibility: hidden;""&gt; &lt;/ div&gt; &lt;/ div&gt; &lt;/ div&gt; &lt;/ div&gt; &lt;div tabindex = ""- 1 ""class ="" airy-ads-screen-size-toggle airy-screen-size-toggle airy-fullscreen ""style ="" visibility: hidden; ""&gt; &lt;/ div&gt; &lt;div tabinde"&amp;"x = ""-1"" class = ""airy-ad-prompt-container"" style = ""visibility: hidden;""&gt; &lt;div tabindex = ""- 1"" class = ""airy-ad-prompt-vertical-centering table-airy-vertical- centering-table ""&gt; &lt;div tabindex ="" - 1 ""class ="" airy-ad-prompt-vertical-centeri"&amp;"ng-table-cell airy-vertical-centering-table-cell ""&gt; &lt;div tabindex ="" - 1 ""class = ""airy-ad-prompt-label""&gt; &lt;/ div&gt; &lt;/ div&gt; &lt;/ div&gt; &lt;/ div&gt; &lt;div tabindex = ""- 1"" class = ""airy-ads-controls-container"" style = ""visibility: hidden; ""&gt; &lt;div tabindex "&amp;"="" - 1 ""class ="" airy-ads-audio-toggle airy-audio-toggle airy-on ""style ="" visibility: hidden; ""&gt; &lt;/ div&gt; &lt;div tabindex ="" - 1 ""class ="" airy-time-remaining-label-container ""&gt; &lt;div tabindex ="" - 1 ""class ="" airy-time-remaining-vertical-center"&amp;"ing table-airy-vertical-centering-table ""&gt; &lt;div tabindex = ""- 1"" class = ""airy-time-remaining-vertical-centering-table-cell airy-vertical-centering-table-cell""&gt; &lt;div tabindex = ""- 1"" class = ""airy-vertical-centering-wrapper airy-time-remaining-lab"&amp;"el-wrapper ""&gt; &lt;div tabindex ="" - 1 ""class ="" airy-time-remaining-label ""style ="" visibility: hidden; ""&gt; &lt;/ div&gt; &lt;div tabi ndex = ""- 1"" class = ""airy-ad-skip"" style = ""visibility: hidden;""&gt; &lt;/ div&gt; &lt;div tabindex = ""- 1"" class = ""airy-ad-end"&amp;""" style = ""visibility: hidden; ""&gt; &lt;/ div&gt; &lt;/ div&gt; &lt;/ div&gt; &lt;/ div&gt; &lt;/ div&gt; &lt;div tabindex ="" - 1 ""class ="" airy-learn-more ""style ="" visibility: hidden; ""&gt; &lt;/ div&gt; &lt;/ div&gt; &lt;div tabindex = ""- 1"" class = ""airy-play-toggle-hint-stage airy-course ai"&amp;"ry-cursor""&gt; &lt;div tabindex = ""- 1"" class = ""airy-play -toggle-hint-vertical-centering-table-cell airy-vertical-centering-table-cell airy-cursor ""&gt; &lt;div tabindex ="" - 1 ""class ="" airy-play-toggle-hint-container airy-scalable- hint-container ""&gt; &lt;div"&amp;" tabindex ="" - 1 ""class ="" airy-play-toggle-hint-dummy airy-scalable-dummy ""&gt; &lt;/ div&gt; &lt;div tabindex ="" - 1 ""class ="" airy-play -toggle airy-hint-hint-hint airy-play ""style ="" opacity: 1; visibility: visible; ""&gt; &lt;/ div&gt; &lt;/ div&gt; &lt;/ div&gt; &lt;/ div&gt; &lt;d"&amp;"iv tabindex ="" - 1 ""class ="" airy-replay-hint-stage airy-stage ""style ="" visibility: hidden ; ""&gt; &lt;div tabindex ="" - 1 ""class ="" airy-replay-hint-vertical-centering-table-cell airy-vertical-centering-table-cell airy-cursor ""&gt; &lt;div tabindex ="" - "&amp;"1 ""class = ""airy-replay-hint-container airy-scalable-hint-container""&gt; &lt;div tabindex = ""- 1"" class = ""airy-replay-hint-dummy airy-scalable-dummy""&gt; &lt;/ div&gt; &lt;div tabindex = ""- 1"" class = ""airy-replay-hint airy-hint""&gt; &lt;/ div&gt; &lt;/ div&gt; &lt;/ div&gt; &lt;/ div"&amp;"&gt; &lt;div tabindex = ""- 1"" class = ""airy-autoplay-hint -stage airy-stage ""style ="" visibility: hidden; ""&gt; &lt;div tabindex ="" - 1 ""class ="" airy-autoplay-hint-vertical-centering-table-cell airy-vertical-centering-table-cell airy- cursor ""&gt; &lt;div tabind"&amp;"ex ="" - 1 ""class ="" autoplay airy-airy-hint-container-scalable-hint-container ""&gt; &lt;div tabindex ="" - 1 ""class ="" airy-autoplay-hint-dummy airy- scalable-dummy ""&gt; &lt;/ div&gt; &lt;/ div&gt; &lt;/ div&gt; &lt;/ div&gt; &lt;/ div&gt; &lt;/ div&gt; &lt;input type ="" hidden ""name ="" ""va"&amp;"lue ="" https: // pictures-eu .ssl-image amazon.com / images / I / B1CRgt87KqS.mp4 ""Class ="" video-url ""&gt; &lt;input type ="" hidden ""name ="" ""value ="" https://images-eu.ssl-images-amazon.com/images/I/919mf527ayS.png ""class ="" video-slate-img-url ""&gt;"&amp;" &amp; nbsp; I ordered this karaoke microphone for the birthday of my daughter who loves singing and in the end I love it too. I believe myself to thevoice voice less but take it to the game. I like the side all in one. No son with integrated Bluetooth. For e"&amp;"venings with family is top. I recommand it.")</f>
        <v>Karaoke microphone super &lt;div id = "video-block-R219GXABEGN7GH" class = "a-section-spacing-small-spacing has-top video mini-block"&gt;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15 "preload =" auto "src = "https://images-eu.ssl-images-amazon.com/images/I/B1CRgt87KqS.mp4" style = "position: absolute; left: 0px; top: 0px; overflow: hidden; height: 1px; width: 1px; "&gt; &lt;/ video&gt; &lt;/ div&gt; &lt;div id =" airy-slate-preload "style =" background-color: rgb (0, 0, 0); background-image: url (&amp; quot; https: / /images-eu.ssl-images-amazon.com/images/I/919mf527ayS.png&amp;quot;); background-size: contain; background-position: center center; background-repeat: no-repeat; position: absolute; top: 0px; left: 0px; visibility: visible; width: 100%; height: 100% "&gt; &lt;/ div&gt; &lt;iframe scrol 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0:46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airy-progress-bar "style =" width: 17.3428%; "&gt; &lt;/ div&gt; &lt;div tabindex =" - 1 "class =" airy-scrubber 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B1CRgt87KqS.mp4 "Class =" video-url "&gt; &lt;input type =" hidden "name =" "value =" https://images-eu.ssl-images-amazon.com/images/I/919mf527ayS.png "class =" video-slate-img-url "&gt; &amp; nbsp; I ordered this karaoke microphone for the birthday of my daughter who loves singing and in the end I love it too. I believe myself to thevoice voice less but take it to the game. I like the side all in one. No son with integrated Bluetooth. For evenings with family is top. I recommand it.</v>
      </c>
    </row>
    <row r="12963">
      <c r="A12963" s="1">
        <v>5.0</v>
      </c>
      <c r="B12963" s="1" t="s">
        <v>12744</v>
      </c>
      <c r="C12963" t="str">
        <f>IFERROR(__xludf.DUMMYFUNCTION("GOOGLETRANSLATE(B12963, ""fr"", ""en"")"),"Product extra Having got the info from a client that was fine polish; I bought it . For a soft leather jacket, the result is perfect. Requires a lot of work: waxing is a bit hard but heated in a water bath no problem. for an old jacket that consumes but w"&amp;"e go for 20 years!")</f>
        <v>Product extra Having got the info from a client that was fine polish; I bought it . For a soft leather jacket, the result is perfect. Requires a lot of work: waxing is a bit hard but heated in a water bath no problem. for an old jacket that consumes but we go for 20 years!</v>
      </c>
    </row>
    <row r="12964">
      <c r="A12964" s="1">
        <v>2.0</v>
      </c>
      <c r="B12964" s="1" t="s">
        <v>12745</v>
      </c>
      <c r="C12964" t="str">
        <f>IFERROR(__xludf.DUMMYFUNCTION("GOOGLETRANSLATE(B12964, ""fr"", ""en"")"),"Boolavard ® TM Bra sport comfortable ... I'm a little wary of the material, thick indeterminate mixture, otherwise the form is good and the prices really low, but I will be more challenging next time even if paying more.")</f>
        <v>Boolavard ® TM Bra sport comfortable ... I'm a little wary of the material, thick indeterminate mixture, otherwise the form is good and the prices really low, but I will be more challenging next time even if paying more.</v>
      </c>
    </row>
    <row r="12965">
      <c r="A12965" s="1">
        <v>1.0</v>
      </c>
      <c r="B12965" s="1" t="s">
        <v>12746</v>
      </c>
      <c r="C12965" t="str">
        <f>IFERROR(__xludf.DUMMYFUNCTION("GOOGLETRANSLATE(B12965, ""fr"", ""en"")"),"Ok ridiculous size, very small !!")</f>
        <v>Ok ridiculous size, very small !!</v>
      </c>
    </row>
    <row r="12966">
      <c r="A12966" s="1">
        <v>1.0</v>
      </c>
      <c r="B12966" s="1" t="s">
        <v>12747</v>
      </c>
      <c r="C12966" t="str">
        <f>IFERROR(__xludf.DUMMYFUNCTION("GOOGLETRANSLATE(B12966, ""fr"", ""en"")"),"Disappointed disappointed foam inside curls up in the first wash")</f>
        <v>Disappointed disappointed foam inside curls up in the first wash</v>
      </c>
    </row>
    <row r="12967">
      <c r="A12967" s="1">
        <v>3.0</v>
      </c>
      <c r="B12967" s="1" t="s">
        <v>12748</v>
      </c>
      <c r="C12967" t="str">
        <f>IFERROR(__xludf.DUMMYFUNCTION("GOOGLETRANSLATE(B12967, ""fr"", ""en"")"),"Although compliant with what is described, a hair cheaper than I could find in stores")</f>
        <v>Although compliant with what is described, a hair cheaper than I could find in stores</v>
      </c>
    </row>
    <row r="12968">
      <c r="A12968" s="1">
        <v>3.0</v>
      </c>
      <c r="B12968" s="1" t="s">
        <v>12749</v>
      </c>
      <c r="C12968" t="str">
        <f>IFERROR(__xludf.DUMMYFUNCTION("GOOGLETRANSLATE(B12968, ""fr"", ""en"")"),"Medium Buy long. But I no longer need. So I gave my girlfriend. But she says it does not stick very well. It falls disappoint. And it's big enough. Pity")</f>
        <v>Medium Buy long. But I no longer need. So I gave my girlfriend. But she says it does not stick very well. It falls disappoint. And it's big enough. Pity</v>
      </c>
    </row>
    <row r="12969">
      <c r="A12969" s="1">
        <v>4.0</v>
      </c>
      <c r="B12969" s="1" t="s">
        <v>12750</v>
      </c>
      <c r="C12969" t="str">
        <f>IFERROR(__xludf.DUMMYFUNCTION("GOOGLETRANSLATE(B12969, ""fr"", ""en"")"),"good article Kettle used daily, large capacity, fast heating but will calcify rapidly .The disassembly and reassembly of the anti limestone filter are quite complicated.")</f>
        <v>good article Kettle used daily, large capacity, fast heating but will calcify rapidly .The disassembly and reassembly of the anti limestone filter are quite complicated.</v>
      </c>
    </row>
    <row r="12970">
      <c r="A12970" s="1">
        <v>4.0</v>
      </c>
      <c r="B12970" s="1" t="s">
        <v>12751</v>
      </c>
      <c r="C12970" t="str">
        <f>IFERROR(__xludf.DUMMYFUNCTION("GOOGLETRANSLATE(B12970, ""fr"", ""en"")"),"Aesthetic I have not bought them as a painkiller, also can not I express myself on this point. It's a pretty object, I also present and it rained a lot.")</f>
        <v>Aesthetic I have not bought them as a painkiller, also can not I express myself on this point. It's a pretty object, I also present and it rained a lot.</v>
      </c>
    </row>
    <row r="12971">
      <c r="A12971" s="1">
        <v>4.0</v>
      </c>
      <c r="B12971" s="1" t="s">
        <v>12752</v>
      </c>
      <c r="C12971" t="str">
        <f>IFERROR(__xludf.DUMMYFUNCTION("GOOGLETRANSLATE(B12971, ""fr"", ""en"")"),"Compliant and comfortable to conform the order. I felt good inside from the fitting which is RARE for me. With ""factor"" feet (so wide and flat) was not won. But here I must admit being surprised for comfort.")</f>
        <v>Compliant and comfortable to conform the order. I felt good inside from the fitting which is RARE for me. With "factor" feet (so wide and flat) was not won. But here I must admit being surprised for comfort.</v>
      </c>
    </row>
    <row r="12972">
      <c r="A12972" s="1">
        <v>4.0</v>
      </c>
      <c r="B12972" s="1" t="s">
        <v>12753</v>
      </c>
      <c r="C12972" t="str">
        <f>IFERROR(__xludf.DUMMYFUNCTION("GOOGLETRANSLATE(B12972, ""fr"", ""en"")"),"Very good light, perfect")</f>
        <v>Very good light, perfect</v>
      </c>
    </row>
    <row r="12973">
      <c r="A12973" s="1">
        <v>5.0</v>
      </c>
      <c r="B12973" s="1" t="s">
        <v>12754</v>
      </c>
      <c r="C12973" t="str">
        <f>IFERROR(__xludf.DUMMYFUNCTION("GOOGLETRANSLATE(B12973, ""fr"", ""en"")"),"Very good choice when seeking quality and variety For that price, not necessarily the luxury but the style is perfect. Moreover, the choice of 6 sizes is ideal. Either a single nail in one ear or in duplicate. Butterflies are maintaining very good quality"&amp;".")</f>
        <v>Very good choice when seeking quality and variety For that price, not necessarily the luxury but the style is perfect. Moreover, the choice of 6 sizes is ideal. Either a single nail in one ear or in duplicate. Butterflies are maintaining very good quality.</v>
      </c>
    </row>
    <row r="12974">
      <c r="A12974" s="1">
        <v>5.0</v>
      </c>
      <c r="B12974" s="1" t="s">
        <v>12755</v>
      </c>
      <c r="C12974" t="str">
        <f>IFERROR(__xludf.DUMMYFUNCTION("GOOGLETRANSLATE(B12974, ""fr"", ""en"")"),"Good for relieving fatigue &lt;div id = ""video-block-R32WI9ZEVFYCM2"" class = ""a-section-spacing-small in-spacing-top mini video-block""&gt; &lt;div tabindex = ""0"" class = "" airy airy-svg vmin-unsupported airy-skin-beacon ""style ="" background-color: rgb (0,"&amp;" 0, 0); position: relative; width: 100%; height: 100%; font-size: 0px; overflow : hidden; outline: none; ""&gt; &lt;div class ="" airy-renderer-container ""style ="" position: relative; height: 100%; width: 100%; ""&gt; &lt;video id ="" 109 ""preload ="" auto ""src ="&amp;""" https://images-eu.ssl-images-amazon.com/images/I/C1J1TDQFDzS.mp4 ""style ="" position: absolute; left: 0px; top: 0px; overflow: hidden; height: 1px ; width: 1px; ""&gt; &lt;/ video&gt; &lt;/ div&gt; &lt;div id ="" airy-slate-preload ""style ="" background-color: rgb (0,"&amp;" 0, 0); background-image: url (&amp; quot; https://images-eu.ssl-images-amazon.com/images/I/919sZ215RXS.png&amp;quot;); background-size: contain; background-position: center center; background-repeat: no-repeat; position: absolute ; top: 0px; left: 0px; visibilit"&amp;"y: visible; width: 100%; height: 100% ""&gt; &lt;/ Div&gt; &lt;iframe scrolling = ""no"" frameborder = ""0"" src = ""about: blank"" style = ""display: none;""&gt; &lt;/ iframe&gt; &lt;div tabindex = ""- 1"" class = ""airy-controls -container ""style ="" opacity: 0; visibility: h"&amp;"idden; ""&gt; &lt;div tabindex ="" - 1 ""class ="" airy-screen-size-toggle airy-fullscreen ""&gt; &lt;/ div&gt; &lt;div tabindex ="" - 1 ""class ="" airy-container-bottom "" &gt; &lt;div tabindex = ""- 1"" class = ""airy-track-bar spacer-left"" style = ""width: 11px;""&gt; &lt;/ div&gt; "&amp;"&lt;div tabindex = ""- 1"" class = ""airy-play- toggle airy-play ""style ="" width: 12px; margin-right: 12px; ""&gt; &lt;/ div&gt; &lt;div tabindex ="" - 1 ""class ="" airy-audio-elements ""style ="" float: right; width: 34px; ""&gt; &lt;div tabindex ="" - 1 ""class ="" airy-"&amp;"audio-toggle airy-on ""&gt; &lt;/ div&gt; &lt;div tabindex ="" - 1 ""class ="" airy-audio-container ""style = ""opacity: 0; visibility: hidden; ""&gt; &lt;div tabindex ="" - 1 ""class ="" airy-audio-track-bar ""style ="" height: 80%; ""&gt; &lt;div tabindex ="" - 1 ""class ="" a"&amp;"iry-audio- scrubber bar ""style ="" height: 85% ""&gt; &lt;/ div&gt; &lt;div tabindex ="" - 1 ""class ="" airy-audio-scrubber ""style ="" height: 12px; bottom: 85% ""&gt; &lt;/ div&gt; &lt;/ div&gt; &lt;/ div&gt; &lt;/ div&gt; &lt;div tabindex ="" - 1 ""class ="" airy-duration-label ""style ="" f"&amp;"loat: right; width: 26px; margin-right: 4px; text-align: center; ""&gt; 0:00 &lt;/ div&gt; &lt;div tabindex ="" - 1 ""class ="" airy-track-bar spacer-right ""style ="" float: right; width: 11px; ""&gt; &lt;/ div&gt; &lt;div tabindex ="" - 1 ""class ="" airy-track-bar-container "&amp;"""style ="" margin-left: 35px; margin-right: 75px; ""&gt; &lt;div tabindex ="" - 1 ""class ="" airy-airy-track-bar vertical-centering-table ""&gt; &lt;div tabindex ="" - 1 ""class ="" airy-vertical-centering- table-cell ""&gt; &lt;div tabindex ="" - 1 ""class ="" airy-trac"&amp;"k-bar elements ""&gt; &lt;div tabindex ="" - 1 ""class ="" airy-progress bar ""&gt; &lt;/ div&gt; &lt;div tabindex = ""- 1"" class = ""airy-scrubber bar""&gt; &lt;/ div&gt; &lt;div tabindex = ""- 1"" class = ""airy-scrubber""&gt; &lt;div tabindex = ""- 1"" class = ""airy-scrubber- icon ""&gt; "&amp;"&lt;/ div&gt; &lt;div tabindex ="" - 1 ""class ="" airy-adjusted-aui-tooltip ""style ="" opacity: 0; visibility: hidden; ""&gt; &lt;div tabindex ="" - 1 ""class ="" airy-adjusted-aui-tooltip-inner ""&gt; &lt;div tabindex ="" - 1 ""class ="" airy-current-time-label ""&gt; 0 00 &lt;/"&amp;" div&gt; &lt;/ div&gt; &lt;div tabindex = ""- 1"" class = ""airy-adjusted-aui-arrow-border""&gt; &lt;div tabindex = ""- 1"" class = ""airy-adjusted-aui-arrow"" &gt; &lt;/ div&gt; &lt;/ div&gt; &lt;/ div&gt; &lt;/ div&gt; &lt;/ div&gt; &lt;/ div&gt; &lt;/ div&gt; &lt;/ div&gt; &lt;/ div&gt; &lt;/ div&gt; &lt;div tabindex = ""- 1"" class ="&amp;" ""airy-airy-age-gate course airy-vertical-centering table-airy-dialog"" style = ""opacity: 0; visibility: hidden; ""&gt; &lt;div tabindex ="" - 1 ""class ="" airy-age-gate-vertical-centering-table-cell airy-vertical-centering-table-cell ""&gt; &lt;div tabindex ="" -"&amp;" 1 ""class = ""airy-vertical-centering-wrapper airy-age-gate-elements-wrapper""&gt; &lt;div tabindex = ""- 1"" class = ""airy-age-gate-elements airy-dialog-elements""&gt; &lt;div tabindex = "" -1 ""class ="" airy-age-gate-prompt ""&gt; This video is not Intended for all"&amp;" audiences What time were you born &lt;/ div&gt; &lt;div tabindex =.?"" - 1 ""class ="" airy-age-gate -inputs airy-dialog-inner-elements ""&gt; &lt;select tabindex ="" - 1 ""class ="" airy-age-gate-month ""&gt; &lt;option value ="" 1 ""&gt; January &lt;/ option&gt; &lt;option value ="" 2"&amp;" ""&gt; February &lt;/ option&gt; &lt;option value ="" 3 ""&gt; March &lt;/ option&gt; &lt;option value ="" 4 ""&gt; April &lt;/ option&gt; &lt;option value ="" 5 ""&gt; May &lt;/ option&gt; &lt;option value = ""6""&gt; June &lt;/ option&gt; &lt;option value = ""7""&gt; July &lt;/ option&gt; &lt;option value = ""8""&gt; August &lt;"&amp;"/ option&gt; &lt;option value = ""9""&gt; September &lt;/ option&gt; &lt;option value = ""10""&gt; October &lt;/ option&gt; &lt;option value = ""11""&gt; November &lt;/ option&gt; &lt;option value = ""12""&gt; December &lt;/ option&gt; &lt;/ select&gt; &lt;select tabindex = ""- 1"" class = ""airy-age-gate-day""&gt; &lt;"&amp;"opti = One value ""1""&gt; 1 &lt;/ option&gt; &lt;option value = ""2""&gt; 2 &lt;/ option&gt; &lt;option value = ""3""&gt; 3 &lt;/ option&gt; &lt;option value = ""4""&gt; 4 &lt;/ option &gt; &lt;option value = ""5""&gt; 5 &lt;/ option&gt; &lt;option value = ""6""&gt; 6 &lt;/ option&gt; &lt;option value = ""7""&gt; 7 &lt;/ option&gt; &lt;"&amp;"option value = ""8""&gt; 8 &lt; / option&gt; &lt;option value = ""9""&gt; 9 &lt;/ option&gt; &lt;option value = ""10""&gt; 10 &lt;/ option&gt; &lt;option value = ""11""&gt; 11 &lt;/ option&gt; &lt;option value = ""12""&gt; 12 &lt;/ option&gt; &lt;option value = ""13""&gt; 13 &lt;/ option&gt; &lt;option value = ""14""&gt; 14 &lt;/ o"&amp;"ption&gt; &lt;option value = ""15""&gt; 15 &lt;/ option&gt; &lt;option value = ""16 ""&gt; 16 &lt;/ option&gt; &lt;option value ="" 17 ""&gt; 17 &lt;/ option&gt; &lt;option value ="" 18 ""&gt; 18 &lt;/ option&gt; &lt;option value ="" 19 ""&gt; 19 &lt;/ option&gt; &lt;option value = ""20""&gt; 20 &lt;/ option&gt; &lt;option value = "&amp;"""21""&gt; 21 &lt;/ option&gt; &lt;option value = ""22""&gt; 22 &lt;/ option&gt; &lt;option value = ""23""&gt; 23 &lt;/ option&gt; &lt;option value = ""24""&gt; 24 &lt;/ option&gt; &lt;option value = ""25""&gt; 25 &lt;/ option&gt; &lt;option value = ""26""&gt; 26 &lt;/ option&gt; &lt;option value = ""27""&gt; 27 &lt;/ option&gt; &lt;opti"&amp;"on value = ""28""&gt; 28 &lt;/ option&gt; &lt;option value = ""29""&gt; 29 &lt;/ option&gt; &lt;option value = ""30""&gt; 30 &lt;/ option&gt; &lt;option value = ""31""&gt; 31 &lt;/ option&gt; &lt;/ select&gt; &lt;select tabindex = ""- 1"" class = ""airy-age-gate-year""&gt; &lt;option value = ""2019""&gt; 2019 &lt;/ opti"&amp;"on&gt; &lt; option value = ""2018""&gt; 2018 &lt;/ option&gt; &lt;option value = ""2017""&gt; 2017 &lt;/ option&gt; &lt;option value = ""2016""&gt; ​​2016 &lt;/ option&gt; &lt;option value = ""2015""&gt; 2015 &lt;/ option &gt; &lt;option value = ""2014""&gt; 2014 &lt;/ option&gt; &lt;option value = ""2013""&gt; 2013 &lt;/ opt"&amp;"ion&gt; &lt;option value = ""2012""&gt; 2012 &lt;/ option&gt; &lt;option value = ""2011""&gt; 2011 &lt; / option&gt; &lt;option value = ""2010""&gt; 2010 &lt;/ option&gt; &lt;option value = ""2009""&gt; 2009 &lt;/ option&gt; &lt;option value = ""2008""&gt; 2008 &lt;/ option&gt; &lt;option value = ""2007""&gt; 2007 &lt;/ optio"&amp;"n&gt; &lt;option value = ""2006""&gt; 2006 &lt;/ option&gt; &lt;option value = ""2005""&gt; 2005 &lt;/ option&gt; &lt;option value = ""2004""&gt; 2004 &lt;/ option&gt; &lt;option value = ""2003 ""&gt; 2003 &lt;/ option&gt; &lt;option value ="" 2002 ""&gt; 2002 &lt;/ option&gt; &lt;option value ="" 2001 ""&gt; 2001 &lt;/ optio"&amp;"n&gt; &lt;option value ="" 2000 ""&gt; 2000 &lt;/ option&gt; &lt;option value = ""1999""&gt; 1999 &lt;/ option&gt; &lt;option value = ""1998""&gt; 1998 &lt;/ option&gt; &lt;option value = ""1997""&gt; 1997 &lt;/ option&gt; &lt;option value = ""1996""&gt; 1996 &lt;/ option&gt; &lt;option value = ""1995""&gt; 1995 &lt;/ option&gt;"&amp;" &lt;option value = ""1994""&gt; 1994 &lt;/ option&gt; &lt;option value = ""1993""&gt; 1993 &lt;/ option&gt; &lt;option value = ""1992""&gt; 1992 &lt;/ option&gt; &lt;option value = ""1991""&gt; 1991 &lt;/ option&gt; &lt;option value = ""1990""&gt; 1990 &lt;/ option&gt; &lt;option value = "" 1989 ""&gt; 1989 &lt;/ option&gt; "&amp;"&lt;option value ="" 1988 ""&gt; 1988 &lt;/ option&gt; &lt;option value ="" 1987 ""&gt; 1987 &lt;/ option&gt; &lt;option value ="" 1986 ""&gt; 1986 &lt;/ option&gt; &lt;option value = ""1985""&gt; 1985 &lt;/ option&gt; &lt;option value = ""1984""&gt; 1984 &lt;/ option&gt; &lt;option value = ""1983""&gt; 1983 &lt;/ option&gt; "&amp;"&lt;option value = ""1982""&gt; 1982 &lt;/ option&gt; &lt; option value = ""1981""&gt; 1981 &lt;/ option&gt; &lt;option value = ""1980""&gt; 1980 &lt;/ option&gt; &lt;option value = ""1979""&gt; 1979 &lt;/ option&gt; &lt;option value = ""1978""&gt; 1978 &lt;/ option &gt; &lt;option value = ""1977""&gt; 1977 &lt;/ option&gt; &lt;"&amp;"option value = ""1976""&gt; 1976 &lt;/ option&gt; &lt;option value = ""1975""&gt; 1975 &lt;/ option&gt; &lt;option value = ""1974""&gt; 1974 &lt; / option&gt; &lt;option value = ""1973""&gt; 1973 &lt;/ option&gt; &lt;option value = ""1972""&gt; 1972 &lt;/ option&gt; &lt;option value = ""1971""&gt; 1971 &lt;/ option&gt; &lt;op"&amp;"tion value = ""1970""&gt; 1970 &lt;/ option&gt; &lt;option value = ""1969""&gt; 1969 &lt;/ option&gt; &lt;option value = ""1968""&gt; 1968 &lt;/ option&gt; &lt;option value = ""1967""&gt; 1967 &lt;/ option&gt; &lt;option value = ""1966 ""&gt; 1966 &lt;/ option&gt; &lt;option value ="" 1965 ""&gt; 1965 &lt;/ option&gt; &lt;opt"&amp;"ion value ="" 1964 ""&gt; 1964 &lt;/ option&gt; &lt;option value ="" 1963 ""&gt; 1963 &lt;/ option&gt; &lt;option value = ""1962""&gt; 1962 &lt;/ option&gt; &lt;option value = ""1961""&gt; 1961 &lt;/ option&gt; &lt;option value = ""1960""&gt; 1960 &lt;/ op tion&gt; &lt;option value = ""1959""&gt; 1959 &lt;/ option&gt; &lt;opt"&amp;"ion value = ""1958""&gt; 1958 &lt;/ option&gt; &lt;option value = ""1957""&gt; 1957 &lt;/ option&gt; &lt;option value = ""1956""&gt; 1956 &lt;/ option&gt; &lt;option value = ""1955""&gt; 1955 &lt;/ option&gt; &lt;option value = ""1954""&gt; 1954 &lt;/ option&gt; &lt;option value = ""1953""&gt; 1953 &lt;/ option&gt; &lt;option"&amp;" value = ""1952"" &gt; 1952 &lt;/ option&gt; &lt;option value = ""1951""&gt; 1951 &lt;/ option&gt; &lt;option value = ""1950""&gt; 1950 &lt;/ option&gt; &lt;option value = ""1949""&gt; 1949 &lt;/ option&gt; &lt;option value = "" 1948 ""&gt; 1948 &lt;/ option&gt; &lt;option value ="" 1947 ""&gt; 1947 &lt;/ option&gt; &lt;optio"&amp;"n value ="" 1946 ""&gt; 1946 &lt;/ option&gt; &lt;option value ="" 1945 ""&gt; 1945 &lt;/ option&gt; &lt;option value = ""1944""&gt; 1944 &lt;/ option&gt; &lt;option value = ""1943""&gt; 1943 &lt;/ option&gt; &lt;option value = ""1942""&gt; 1942 &lt;/ option&gt; &lt;option value = ""1941""&gt; 1941 &lt;/ option&gt; &lt; optio"&amp;"n value = ""1940""&gt; 1940 &lt;/ option&gt; &lt;option value = ""1939""&gt; 1939 &lt;/ option&gt; &lt;option value = ""1938""&gt; 1938 &lt;/ option&gt; &lt;option value = ""1937""&gt; 1937 &lt;/ option &gt; &lt;option value = ""1936""&gt; 1936 &lt;/ option&gt; &lt;option value = ""1935""&gt; 1935 &lt;/ option&gt; &lt;option "&amp;"value = ""1934""&gt; 1934 &lt;/ option&gt; &lt;option value = ""1933""&gt; 1933 &lt; / option&gt; &lt;option value = ""1932""&gt; 1932 &lt;/ option&gt; &lt;option value = ""1931""&gt; 1931 &lt;/ option&gt; &lt;option v alue = ""1930""&gt; 1930 &lt;/ option&gt; &lt;option value = ""1929""&gt; 1929 &lt;/ option&gt; &lt;option v"&amp;"alue = ""1928""&gt; 1928 &lt;/ option&gt; &lt;option value = ""1927""&gt; 1927 &lt;/ option&gt; &lt;option value = ""1926""&gt; 1926 &lt;/ option&gt; &lt;option value = ""1925""&gt; 1925 &lt;/ option&gt; &lt;option value = ""1924""&gt; 1924 &lt;/ option&gt; &lt;option value = ""1923""&gt; 1923 &lt;/ option&gt; &lt;option valu"&amp;"e = ""1922""&gt; 1922 &lt;/ option&gt; &lt;option value = ""1921""&gt; 1921 &lt;/ option&gt; &lt;option value = ""1920""&gt; 1920 &lt;/ option&gt; &lt;option value = ""1919""&gt; 1919 &lt;/ option&gt; &lt;option value = ""1918""&gt; 1918 &lt;/ option&gt; &lt;option value = ""1917""&gt; 1917 &lt;/ option&gt; &lt;option value ="&amp;" ""1916""&gt; 1916 &lt;/ option&gt; &lt;option value = ""1915"" &gt; 1915 &lt;/ option&gt; &lt;option value = ""1914""&gt; 1914 &lt;/ option&gt; &lt;option value = ""1913""&gt; 1913 &lt;/ option&gt; &lt;option value = ""1912""&gt; 1912 &lt;/ option&gt; &lt;option value = "" 1911 ""&gt; 1911 &lt;/ option&gt; &lt;option value ="&amp;""" 1910 ""&gt; 1910 &lt;/ option&gt; &lt;option value ="" 1909 ""&gt; 1909 &lt;/ option&gt; &lt;option value ="" 1908 ""&gt; 1908 &lt;/ option&gt; &lt;option value = ""1907""&gt; 1907 &lt;/ option&gt; &lt;option value = ""1906""&gt; 1906 &lt;/ option&gt; &lt;option value = ""1905""&gt; 1905 &lt;/ option&gt; &lt;option value ="&amp;" ""1904""&gt; 1904 &lt;/ option&gt; &lt; option value = ""1903""&gt; 1903 &lt;/ option&gt; &lt;option value = ""1902""&gt; 1902 &lt;/ option&gt; &lt;option value = ""1901""&gt; 19 01 &lt;/ option&gt; &lt;option value = ""1900""&gt; 1900 &lt;/ option&gt; &lt;/ select&gt; &lt;div tabindex = ""- 1"" class = ""airy-age-gate"&amp;"-submit airy-submit-button airy airy-submit- disabled ""&gt; Submit &lt;/ div&gt; &lt;/ div&gt; &lt;/ div&gt; &lt;/ div&gt; &lt;/ div&gt; &lt;/ div&gt; &lt;div tabindex ="" - 1 ""class ="" airy-install-flash-dialog airy-course airy -Vertical-centering-table dialog airy-airy-denied ""style ="" opa"&amp;"city: 0; visibility: hidden; ""&gt; &lt;div tabindex ="" - 1 ""class ="" airy-install-flash-vertical-centering-table-cell airy-vertical-centering-table-cell ""&gt; &lt;div tabindex ="" - 1 ""class = ""airy-vertical-centering-wrapper airy-install-flash-elements-wrappe"&amp;"r""&gt; &lt;div tabindex = ""- 1"" class = ""airy-install-flash-elements airy-dialog-elements""&gt; &lt;div tabindex = "" -1 ""class ="" airy-install-flash-prompt ""&gt; Adobe Flash Player is required to watch this video &lt;/ div&gt; &lt;div = tabindex."" - 1 ""class ="" airy-i"&amp;"nstall-flash-button-wrapper airy -dialog-inner-elements ""&gt; &lt;div tabindex ="" - 1 ""class ="" airy-install-flash-button airy-button ""&gt; install Flash Player &lt;/ div&gt; &lt;/ div&gt; &lt;/ div&gt; &lt;/ div&gt; &lt;/ div&gt; &lt;/ div&gt; &lt;div tabindex = ""- 1"" class = ""airy-video-unsup"&amp;"ported-dialog airy-course airy-vertical-centering table-airy-dialog airy-denied"" style = ""opacity: 0; visibility: hidden; ""&gt; &lt;div tabindex ="" - 1 ""class ="" airy-video-unsupported-vertical-centering-table-cell airy-vertical-centering-table-cell ""&gt; &lt;"&amp;"div tabindex ="" - 1 ""class = ""airy-vertical-centering-wrapper airy-video-unsupported-elements-wrapper""&gt; &lt;div tabindex = ""- 1"" class = ""airy-video-unsupported-elements airy-dialog-elements""&gt; &lt;div tabindex = "" -1 ""class ="" airy-video-unsupported-"&amp;"prompt ""&gt; &lt;/ div&gt; &lt;/ div&gt; &lt;/ div&gt; &lt;/ div&gt; &lt;/ div&gt; &lt;div tabindex ="" - 1 ""class ="" airy-loading- spinner-stage airy-stage ""&gt; &lt;div tabindex ="" - 1 ""class ="" airy-loading-spinner-vertical-centering-table-cell airy-vertical-centering-table-cell ""&gt; &lt;di"&amp;"v tabindex ="" - 1 ""class ="" airy-loading-spinner container airy-scalable-hint-container ""&gt; &lt;div tabindex ="" - 1 ""class ="" airy-loading-spinner-dummy airy-scalable-dummy ""&gt; &lt;/ div&gt; &lt; div tabindex = ""- 1"" class = ""airy-loading-spinner airy-hint"""&amp;" style = ""visibility: hidden;""&gt; &lt;/ div&gt; &lt;/ div&gt; &lt;/ div&gt; &lt;/ div&gt; &lt;div tabindex = ""- 1 ""class ="" airy-ads-screen-size-toggle airy-screen-size-toggle airy-fullscreen ""style ="" visibility: hidden; ""&gt; &lt;/ div&gt; &lt;div tabindex = ""-1"" class = ""airy-ad-pr"&amp;"ompt-container"" style = ""visibility: hidden;""&gt; &lt;div tabindex = ""- 1"" class = ""airy-ad-prompt-vertical-centering table-airy-vertical- centering-table ""&gt; &lt;div tabindex ="" - 1 ""class ="" airy-ad-prompt-vertical-centering-table-cell airy-vertical-cen"&amp;"tering-table-cell ""&gt; &lt;div tabindex ="" - 1 ""class = ""airy-ad-prompt-label""&gt; &lt;/ div&gt; &lt;/ div&gt; &lt;/ div&gt; &lt;/ div&gt; &lt;div tabindex = ""- 1"" class = ""airy-ads-controls-container"" style = ""visibility: hidden; ""&gt; &lt;div tabindex ="" - 1 ""class ="" airy-ads-au"&amp;"dio-toggle airy-audio-toggle airy-on ""style ="" visibility: hidden; ""&gt; &lt;/ div&gt; &lt;div tabindex ="" - 1 ""class ="" airy-time-remaining-label-container ""&gt; &lt;div tabindex ="" - 1 ""class ="" airy-time-remaining-vertical-centering table-airy-vertical-centeri"&amp;"ng-table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hidde"&amp;"n; ""&gt; &lt;/ div&gt; &lt;/ div&gt; &lt;/ div&gt; &lt;/ div&gt; &lt;/ div&gt; &lt;div tabindex ="" - 1 ""class ="" airy-learn-more ""style ="" visibility: hidden; ""&gt; &lt;/ div&gt; &lt;/ div&gt; &lt;div tabindex = ""- 1"" class = ""airy-play-toggle-hint-stage airy-course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 airy-hint-hint-hint airy-play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pictures-eu"&amp;" .ssl-image amazon.com / images / I / C1J1TDQFDzS.mp4 ""Class ="" video-url ""&gt; &lt;input type ="" hidden ""name ="" ""value ="" https://images-eu.ssl-images-amazon.com/images/I/919sZ215RXS.png ""class ="" video-slate-img-url ""&gt; &amp; nbsp; After a day of work,"&amp;" the legs are really tired and foot bath at night has become a required course. Thanks to the bathroom more convenient feet very sensitive thermostat, very comfortable massage and its automatic heating constant temperature, it is also possible to adjust t"&amp;"he temperature. This functionality is comprehensive, easy to use and very thick. The foot bath is very convenient to use, massage is very comfortable, the function is very practical, very satisfied! It is definitely worth buying. It is worth recommending!")</f>
        <v>Good for relieving fatigue &lt;div id = "video-block-R32WI9ZEVFYCM2" class = "a-section-spacing-small in-spacing-top mini video-block"&gt; &lt;div tabindex = "0" class = " airy airy-svg vmin-unsupported airy-skin-beacon "style =" background-color: rgb (0, 0, 0); position: relative; width: 100%; height: 100%; font-size: 0px; overflow : hidden; outline: none; "&gt; &lt;div class =" airy-renderer-container "style =" position: relative; height: 100%; width: 100%; "&gt; &lt;video id =" 109 "preload =" auto "src =" https://images-eu.ssl-images-amazon.com/images/I/C1J1TDQFDzS.mp4 "style =" position: absolute; left: 0px; top: 0px; overflow: hidden; height: 1px ; width: 1px; "&gt; &lt;/ video&gt; &lt;/ div&gt; &lt;div id =" airy-slate-preload "style =" background-color: rgb (0, 0, 0); background-image: url (&amp; quot; https://images-eu.ssl-images-amazon.com/images/I/919sZ215RXS.png&amp;quot;); background-size: contain; background-position: center center; background-repeat: no-repeat; position: absolute ; top: 0px; left: 0px; visibility: visible; width: 100%; height: 100% "&gt; &lt;/ Div&gt; &lt;iframe scrolling = "no" frameborder = "0" src = "about: blank" style = "display: none;"&gt; &lt;/ iframe&gt; &lt;div tabindex = "- 1" class = "airy-controls -container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C1J1TDQFDzS.mp4 "Class =" video-url "&gt; &lt;input type =" hidden "name =" "value =" https://images-eu.ssl-images-amazon.com/images/I/919sZ215RXS.png "class =" video-slate-img-url "&gt; &amp; nbsp; After a day of work, the legs are really tired and foot bath at night has become a required course. Thanks to the bathroom more convenient feet very sensitive thermostat, very comfortable massage and its automatic heating constant temperature, it is also possible to adjust the temperature. This functionality is comprehensive, easy to use and very thick. The foot bath is very convenient to use, massage is very comfortable, the function is very practical, very satisfied! It is definitely worth buying. It is worth recommending!</v>
      </c>
    </row>
    <row r="12975">
      <c r="A12975" s="1">
        <v>5.0</v>
      </c>
      <c r="B12975" s="1" t="s">
        <v>12756</v>
      </c>
      <c r="C12975" t="str">
        <f>IFERROR(__xludf.DUMMYFUNCTION("GOOGLETRANSLATE(B12975, ""fr"", ""en"")"),"Top Perfect, we should just be able to choose the size of nipples to buy")</f>
        <v>Top Perfect, we should just be able to choose the size of nipples to buy</v>
      </c>
    </row>
    <row r="12976">
      <c r="A12976" s="1">
        <v>5.0</v>
      </c>
      <c r="B12976" s="1" t="s">
        <v>12757</v>
      </c>
      <c r="C12976" t="str">
        <f>IFERROR(__xludf.DUMMYFUNCTION("GOOGLETRANSLATE(B12976, ""fr"", ""en"")"),"Great product I recommend this Bluetooth headset is top")</f>
        <v>Great product I recommend this Bluetooth headset is top</v>
      </c>
    </row>
    <row r="12977">
      <c r="A12977" s="1">
        <v>5.0</v>
      </c>
      <c r="B12977" s="1" t="s">
        <v>12758</v>
      </c>
      <c r="C12977" t="str">
        <f>IFERROR(__xludf.DUMMYFUNCTION("GOOGLETRANSLATE(B12977, ""fr"", ""en"")"),"Clairalfa A4 reams of A4 paper 80g I use for my printer. The paper looks good to me, thinner than the one I used, but it suits me.")</f>
        <v>Clairalfa A4 reams of A4 paper 80g I use for my printer. The paper looks good to me, thinner than the one I used, but it suits me.</v>
      </c>
    </row>
    <row r="12978">
      <c r="A12978" s="1">
        <v>5.0</v>
      </c>
      <c r="B12978" s="1" t="s">
        <v>12759</v>
      </c>
      <c r="C12978" t="str">
        <f>IFERROR(__xludf.DUMMYFUNCTION("GOOGLETRANSLATE(B12978, ""fr"", ""en"")"),"Super nothing to report, my darling is happy and this is the main for me. I recommend is by no hesitation Pandora.")</f>
        <v>Super nothing to report, my darling is happy and this is the main for me. I recommend is by no hesitation Pandora.</v>
      </c>
    </row>
    <row r="12979">
      <c r="A12979" s="1">
        <v>5.0</v>
      </c>
      <c r="B12979" s="1" t="s">
        <v>12760</v>
      </c>
      <c r="C12979" t="str">
        <f>IFERROR(__xludf.DUMMYFUNCTION("GOOGLETRANSLATE(B12979, ""fr"", ""en"")"),"Great product perfect Bottles! I only use the ones for my daughter!")</f>
        <v>Great product perfect Bottles! I only use the ones for my daughter!</v>
      </c>
    </row>
    <row r="12980">
      <c r="A12980" s="1">
        <v>5.0</v>
      </c>
      <c r="B12980" s="1" t="s">
        <v>12761</v>
      </c>
      <c r="C12980" t="str">
        <f>IFERROR(__xludf.DUMMYFUNCTION("GOOGLETRANSLATE(B12980, ""fr"", ""en"")"),"Lacoste tracksuit very nice tracksuit")</f>
        <v>Lacoste tracksuit very nice tracksuit</v>
      </c>
    </row>
    <row r="12981">
      <c r="A12981" s="1">
        <v>5.0</v>
      </c>
      <c r="B12981" s="1" t="s">
        <v>12762</v>
      </c>
      <c r="C12981" t="str">
        <f>IFERROR(__xludf.DUMMYFUNCTION("GOOGLETRANSLATE(B12981, ""fr"", ""en"")"),"Very good product The delivery was very quick. I wanted to try a different brand than that prescribed for my printer overrated. The color pictures made with these cartridges are very beautiful .the quality / price is there. I expect to see longevity. I re"&amp;"commend.")</f>
        <v>Very good product The delivery was very quick. I wanted to try a different brand than that prescribed for my printer overrated. The color pictures made with these cartridges are very beautiful .the quality / price is there. I expect to see longevity. I recommend.</v>
      </c>
    </row>
    <row r="12982">
      <c r="A12982" s="1">
        <v>5.0</v>
      </c>
      <c r="B12982" s="1" t="s">
        <v>12763</v>
      </c>
      <c r="C12982" t="str">
        <f>IFERROR(__xludf.DUMMYFUNCTION("GOOGLETRANSLATE(B12982, ""fr"", ""en"")"),"Good quality / price Very good small scratches that we used for a Christmas tree shop. We cut a Christmas tree and decorations in felt, my son can now decorate his Christmas tree at his convenience. The size is perfect for this kind of activity. The quali"&amp;"ty of the scratches is rather good for the same price if they do ""scratch"" not always very well together, takes ca. At the adhesive part on the felt in any case, if it is intended to be ""scratch"" and ""descratche"" often it is better to put a glue dot"&amp;" ca it tends to be off from time to time. But really for kids they are more than enough activities.")</f>
        <v>Good quality / price Very good small scratches that we used for a Christmas tree shop. We cut a Christmas tree and decorations in felt, my son can now decorate his Christmas tree at his convenience. The size is perfect for this kind of activity. The quality of the scratches is rather good for the same price if they do "scratch" not always very well together, takes ca. At the adhesive part on the felt in any case, if it is intended to be "scratch" and "descratche" often it is better to put a glue dot ca it tends to be off from time to time. But really for kids they are more than enough activities.</v>
      </c>
    </row>
    <row r="12983">
      <c r="A12983" s="1">
        <v>5.0</v>
      </c>
      <c r="B12983" s="1" t="s">
        <v>12764</v>
      </c>
      <c r="C12983" t="str">
        <f>IFERROR(__xludf.DUMMYFUNCTION("GOOGLETRANSLATE(B12983, ""fr"", ""en"")"),"Super Small Ideal when you need a little bit of glue and not a big pipe to repair toys ...")</f>
        <v>Super Small Ideal when you need a little bit of glue and not a big pipe to repair toys ...</v>
      </c>
    </row>
    <row r="12984">
      <c r="A12984" s="1">
        <v>5.0</v>
      </c>
      <c r="B12984" s="1" t="s">
        <v>12765</v>
      </c>
      <c r="C12984" t="str">
        <f>IFERROR(__xludf.DUMMYFUNCTION("GOOGLETRANSLATE(B12984, ""fr"", ""en"")"),"Super Good quality comfortable size well")</f>
        <v>Super Good quality comfortable size well</v>
      </c>
    </row>
    <row r="12985">
      <c r="A12985" s="1">
        <v>5.0</v>
      </c>
      <c r="B12985" s="1" t="s">
        <v>12766</v>
      </c>
      <c r="C12985" t="str">
        <f>IFERROR(__xludf.DUMMYFUNCTION("GOOGLETRANSLATE(B12985, ""fr"", ""en"")"),"Table very comfortable table and get a first nickel just air. I was a bit scared when I lai unfolded and I thought that my feet were not strong. But once the table impeccable raised. Very comfortable, really at the top the table. To see in the time but I "&amp;"love it.")</f>
        <v>Table very comfortable table and get a first nickel just air. I was a bit scared when I lai unfolded and I thought that my feet were not strong. But once the table impeccable raised. Very comfortable, really at the top the table. To see in the time but I love it.</v>
      </c>
    </row>
    <row r="12986">
      <c r="A12986" s="1">
        <v>5.0</v>
      </c>
      <c r="B12986" s="1" t="s">
        <v>12767</v>
      </c>
      <c r="C12986" t="str">
        <f>IFERROR(__xludf.DUMMYFUNCTION("GOOGLETRANSLATE(B12986, ""fr"", ""en"")"),"Perfect Perfectly compatible. But it's expensive for the duration")</f>
        <v>Perfect Perfectly compatible. But it's expensive for the duration</v>
      </c>
    </row>
    <row r="12987">
      <c r="A12987" s="1">
        <v>5.0</v>
      </c>
      <c r="B12987" s="1" t="s">
        <v>12768</v>
      </c>
      <c r="C12987" t="str">
        <f>IFERROR(__xludf.DUMMYFUNCTION("GOOGLETRANSLATE(B12987, ""fr"", ""en"")"),"Small and practical C is soon the birthday of my second one who takes the bus to go to work he was tired of the wait headphones offer him for his brother to the test and he also wants 🤪")</f>
        <v>Small and practical C is soon the birthday of my second one who takes the bus to go to work he was tired of the wait headphones offer him for his brother to the test and he also wants 🤪</v>
      </c>
    </row>
    <row r="12988">
      <c r="A12988" s="1">
        <v>2.0</v>
      </c>
      <c r="B12988" s="1" t="s">
        <v>12769</v>
      </c>
      <c r="C12988" t="str">
        <f>IFERROR(__xludf.DUMMYFUNCTION("GOOGLETRANSLATE(B12988, ""fr"", ""en"")"),"Too small and not great quality and very thick pad. Too small and not great quality and very thick pad.")</f>
        <v>Too small and not great quality and very thick pad. Too small and not great quality and very thick pad.</v>
      </c>
    </row>
    <row r="12989">
      <c r="A12989" s="1">
        <v>1.0</v>
      </c>
      <c r="B12989" s="1" t="s">
        <v>12770</v>
      </c>
      <c r="C12989" t="str">
        <f>IFERROR(__xludf.DUMMYFUNCTION("GOOGLETRANSLATE(B12989, ""fr"", ""en"")"),"Without Zero interest dotted go your way")</f>
        <v>Without Zero interest dotted go your way</v>
      </c>
    </row>
    <row r="12990">
      <c r="A12990" s="1">
        <v>1.0</v>
      </c>
      <c r="B12990" s="1" t="s">
        <v>12771</v>
      </c>
      <c r="C12990" t="str">
        <f>IFERROR(__xludf.DUMMYFUNCTION("GOOGLETRANSLATE(B12990, ""fr"", ""en"")"),"Everything I`ve always so in Tchoupi I'm not a big fan of Tchoupi at the base ... like my two year old son love ""&amp; nbsp; Tchoupi and transport &amp; nbsp;"" I started I bought me more books .... honestly, this book is zero. I do not know her Thierry Courtin,"&amp;" the author, has children ... if he has, he has never occupied child skin that needs to go on the potty! It's simple, Tchoupi going on the potty and on the toilet. This is the book. No tears, no fears, no regression in. It's nice stuff but it's not realis"&amp;"tic.")</f>
        <v>Everything I`ve always so in Tchoupi I'm not a big fan of Tchoupi at the base ... like my two year old son love "&amp; nbsp; Tchoupi and transport &amp; nbsp;" I started I bought me more books .... honestly, this book is zero. I do not know her Thierry Courtin, the author, has children ... if he has, he has never occupied child skin that needs to go on the potty! It's simple, Tchoupi going on the potty and on the toilet. This is the book. No tears, no fears, no regression in. It's nice stuff but it's not realistic.</v>
      </c>
    </row>
    <row r="12991">
      <c r="A12991" s="1">
        <v>3.0</v>
      </c>
      <c r="B12991" s="1" t="s">
        <v>12772</v>
      </c>
      <c r="C12991" t="str">
        <f>IFERROR(__xludf.DUMMYFUNCTION("GOOGLETRANSLATE(B12991, ""fr"", ""en"")"),"Although use but for almost 1 year and signs of weakness starting to arrive, however rubber which splits at the metal edge. So the press has to hurt fit. It is also regrettable that the basket is not drilled down to let the hot water when you get small do"&amp;"ses (1 cup).")</f>
        <v>Although use but for almost 1 year and signs of weakness starting to arrive, however rubber which splits at the metal edge. So the press has to hurt fit. It is also regrettable that the basket is not drilled down to let the hot water when you get small doses (1 cup).</v>
      </c>
    </row>
    <row r="12992">
      <c r="A12992" s="1">
        <v>4.0</v>
      </c>
      <c r="B12992" s="1" t="s">
        <v>12773</v>
      </c>
      <c r="C12992" t="str">
        <f>IFERROR(__xludf.DUMMYFUNCTION("GOOGLETRANSLATE(B12992, ""fr"", ""en"")"),"Simplicity I liked its daily use")</f>
        <v>Simplicity I liked its daily use</v>
      </c>
    </row>
    <row r="12993">
      <c r="A12993" s="1">
        <v>4.0</v>
      </c>
      <c r="B12993" s="1" t="s">
        <v>12774</v>
      </c>
      <c r="C12993" t="str">
        <f>IFERROR(__xludf.DUMMYFUNCTION("GOOGLETRANSLATE(B12993, ""fr"", ""en"")"),"GOOD PRODUCT PACKAGING TO PROTECT ALL OBJECTS DELICATE I bought this product to pack dishes, glasses, all delicate and fragile things and wrap my most delicate furniture, so it suits me very well, good product.")</f>
        <v>GOOD PRODUCT PACKAGING TO PROTECT ALL OBJECTS DELICATE I bought this product to pack dishes, glasses, all delicate and fragile things and wrap my most delicate furniture, so it suits me very well, good product.</v>
      </c>
    </row>
    <row r="12994">
      <c r="A12994" s="1">
        <v>4.0</v>
      </c>
      <c r="B12994" s="1" t="s">
        <v>12775</v>
      </c>
      <c r="C12994" t="str">
        <f>IFERROR(__xludf.DUMMYFUNCTION("GOOGLETRANSLATE(B12994, ""fr"", ""en"")"),"6m wire and Philips for a good wired headset. Good cheap basic headset that I use to listen to my stereo without bothering the neighbors. Philips quality with prompt delivery and discreet packaging.")</f>
        <v>6m wire and Philips for a good wired headset. Good cheap basic headset that I use to listen to my stereo without bothering the neighbors. Philips quality with prompt delivery and discreet packaging.</v>
      </c>
    </row>
    <row r="12995">
      <c r="A12995" s="1">
        <v>4.0</v>
      </c>
      <c r="B12995" s="1" t="s">
        <v>12776</v>
      </c>
      <c r="C12995" t="str">
        <f>IFERROR(__xludf.DUMMYFUNCTION("GOOGLETRANSLATE(B12995, ""fr"", ""en"")"),"Sheet Review 2nd time I order is satisfied tjrs.")</f>
        <v>Sheet Review 2nd time I order is satisfied tjrs.</v>
      </c>
    </row>
    <row r="12996">
      <c r="A12996" s="1">
        <v>5.0</v>
      </c>
      <c r="B12996" s="1" t="s">
        <v>12777</v>
      </c>
      <c r="C12996" t="str">
        <f>IFERROR(__xludf.DUMMYFUNCTION("GOOGLETRANSLATE(B12996, ""fr"", ""en"")"),"great for wipes Occasionally a small refreshment it's good or when there is leakage of urine or bowel affected by gastroenteritis it avoids burning, and irritation. With aloe vera is the best welfare and hygiene. I did not know and there I tried and I hav"&amp;"e passed on. I recommend this article ++++")</f>
        <v>great for wipes Occasionally a small refreshment it's good or when there is leakage of urine or bowel affected by gastroenteritis it avoids burning, and irritation. With aloe vera is the best welfare and hygiene. I did not know and there I tried and I have passed on. I recommend this article ++++</v>
      </c>
    </row>
    <row r="12997">
      <c r="A12997" s="1">
        <v>5.0</v>
      </c>
      <c r="B12997" s="1" t="s">
        <v>12778</v>
      </c>
      <c r="C12997" t="str">
        <f>IFERROR(__xludf.DUMMYFUNCTION("GOOGLETRANSLATE(B12997, ""fr"", ""en"")"),"A great product recommended earphone perfect nothing to say")</f>
        <v>A great product recommended earphone perfect nothing to say</v>
      </c>
    </row>
    <row r="12998">
      <c r="A12998" s="1">
        <v>5.0</v>
      </c>
      <c r="B12998" s="1" t="s">
        <v>12779</v>
      </c>
      <c r="C12998" t="str">
        <f>IFERROR(__xludf.DUMMYFUNCTION("GOOGLETRANSLATE(B12998, ""fr"", ""en"")"),"very good good quality paper collage value impeccable impeccable whiteness unbeatable price I recommend without concern despite the large amount cordially")</f>
        <v>very good good quality paper collage value impeccable impeccable whiteness unbeatable price I recommend without concern despite the large amount cordially</v>
      </c>
    </row>
    <row r="12999">
      <c r="A12999" s="1">
        <v>5.0</v>
      </c>
      <c r="B12999" s="1" t="s">
        <v>12780</v>
      </c>
      <c r="C12999" t="str">
        <f>IFERROR(__xludf.DUMMYFUNCTION("GOOGLETRANSLATE(B12999, ""fr"", ""en"")"),"Genuine Canon ink cartridges for printer MG 5752, they work very well Packaging is actually surprising, with a flyer inside that says (in German) that the purchase of these cartridges is done by very large packaging and these cartridges are sold and shipp"&amp;"ed in suitable packaging to customers. I tested two cartridges to date (yellow and black), and my Canon MG 5752 Printer accepts them without problems, the colors are correct. I remember FYI, the compatibility of these cartridges / Canon printers: MG 5700 "&amp;"5750 5751 5752 5753 6800 Series 6850 6851 6852 6853 7700 7750 7751 7752 7753 Pixma MG5700 MG5750 MG5751 MG5752 MG5753 MG6800 MG6850 MG6851 MG6852 MG6853 MG7700 MG7750 MG7751 MG7752 MG7753 TS5050 TS6050 TS8050 TS9050 TS 5050 TS 6050 TS 8050 TS 9050 Good ev"&amp;"ening")</f>
        <v>Genuine Canon ink cartridges for printer MG 5752, they work very well Packaging is actually surprising, with a flyer inside that says (in German) that the purchase of these cartridges is done by very large packaging and these cartridges are sold and shipped in suitable packaging to customers. I tested two cartridges to date (yellow and black), and my Canon MG 5752 Printer accepts them without problems, the colors are correct. I remember FYI, the compatibility of these cartridges / Canon printers: MG 5700 5750 5751 5752 5753 6800 Series 6850 6851 6852 6853 7700 7750 7751 7752 7753 Pixma MG5700 MG5750 MG5751 MG5752 MG5753 MG6800 MG6850 MG6851 MG6852 MG6853 MG7700 MG7750 MG7751 MG7752 MG7753 TS5050 TS6050 TS8050 TS9050 TS 5050 TS 6050 TS 8050 TS 9050 Good evening</v>
      </c>
    </row>
    <row r="13000">
      <c r="A13000" s="1">
        <v>5.0</v>
      </c>
      <c r="B13000" s="1" t="s">
        <v>12781</v>
      </c>
      <c r="C13000" t="str">
        <f>IFERROR(__xludf.DUMMYFUNCTION("GOOGLETRANSLATE(B13000, ""fr"", ""en"")"),"Krups coffee maker Product ordered and delivered in 5 days congratulations Received in its original box and perfectly conditioned Works perfectly This is my second, I'm happy for the casual I actually use one or two cups a day laché first was after 3 year"&amp;"s, but nothing very unusual about here the price is competitive seller")</f>
        <v>Krups coffee maker Product ordered and delivered in 5 days congratulations Received in its original box and perfectly conditioned Works perfectly This is my second, I'm happy for the casual I actually use one or two cups a day laché first was after 3 years, but nothing very unusual about here the price is competitive seller</v>
      </c>
    </row>
    <row r="13001">
      <c r="A13001" s="1">
        <v>5.0</v>
      </c>
      <c r="B13001" s="1" t="s">
        <v>12782</v>
      </c>
      <c r="C13001" t="str">
        <f>IFERROR(__xludf.DUMMYFUNCTION("GOOGLETRANSLATE(B13001, ""fr"", ""en"")"),"Response to the product purchased Hi, To answer your question, Yes we did receive the parcel. The product suits us. Best regards.")</f>
        <v>Response to the product purchased Hi, To answer your question, Yes we did receive the parcel. The product suits us. Best regards.</v>
      </c>
    </row>
    <row r="13002">
      <c r="A13002" s="1">
        <v>5.0</v>
      </c>
      <c r="B13002" s="1" t="s">
        <v>12783</v>
      </c>
      <c r="C13002" t="str">
        <f>IFERROR(__xludf.DUMMYFUNCTION("GOOGLETRANSLATE(B13002, ""fr"", ""en"")"),"Very useful purchase Super very satisfied with this bottle warmer Very convenient and fast Always at the right temperature I recommend")</f>
        <v>Very useful purchase Super very satisfied with this bottle warmer Very convenient and fast Always at the right temperature I recommend</v>
      </c>
    </row>
    <row r="13003">
      <c r="A13003" s="1">
        <v>5.0</v>
      </c>
      <c r="B13003" s="1" t="s">
        <v>12784</v>
      </c>
      <c r="C13003" t="str">
        <f>IFERROR(__xludf.DUMMYFUNCTION("GOOGLETRANSLATE(B13003, ""fr"", ""en"")"),"Top That changes my old plastic kettle of a known brand! This is really going to design and proudly enthroned in my kitchen with its vintage look. In addition to being more attractive, it is also more convenient because of its thermometer that allows for "&amp;"the best temperature to these infusions. The capacity is 1.7 liter max so than enough when it gets busy. The power is about 2000w so it heats up quickly. For that price, I love.")</f>
        <v>Top That changes my old plastic kettle of a known brand! This is really going to design and proudly enthroned in my kitchen with its vintage look. In addition to being more attractive, it is also more convenient because of its thermometer that allows for the best temperature to these infusions. The capacity is 1.7 liter max so than enough when it gets busy. The power is about 2000w so it heats up quickly. For that price, I love.</v>
      </c>
    </row>
    <row r="13004">
      <c r="A13004" s="1">
        <v>5.0</v>
      </c>
      <c r="B13004" s="1" t="s">
        <v>12785</v>
      </c>
      <c r="C13004" t="str">
        <f>IFERROR(__xludf.DUMMYFUNCTION("GOOGLETRANSLATE(B13004, ""fr"", ""en"")"),"Perfect perfect, they are too good and the size is nickel")</f>
        <v>Perfect perfect, they are too good and the size is nickel</v>
      </c>
    </row>
    <row r="13005">
      <c r="A13005" s="1">
        <v>5.0</v>
      </c>
      <c r="B13005" s="1" t="s">
        <v>12786</v>
      </c>
      <c r="C13005" t="str">
        <f>IFERROR(__xludf.DUMMYFUNCTION("GOOGLETRANSLATE(B13005, ""fr"", ""en"")"),"Price very interesting very nice watch, same as the description, for a great price. It is a 10 atm, I will test the pool. very good quality aspect. effective night lighting (see picture)")</f>
        <v>Price very interesting very nice watch, same as the description, for a great price. It is a 10 atm, I will test the pool. very good quality aspect. effective night lighting (see picture)</v>
      </c>
    </row>
    <row r="13006">
      <c r="A13006" s="1">
        <v>5.0</v>
      </c>
      <c r="B13006" s="1" t="s">
        <v>12787</v>
      </c>
      <c r="C13006" t="str">
        <f>IFERROR(__xludf.DUMMYFUNCTION("GOOGLETRANSLATE(B13006, ""fr"", ""en"")"),"From powerful powerful vibration is all that is asked and pleasantly filled this function. Easy to use and maintenance, rechargeable via USB, and a pleasant material to touch. The noise level is a reflection of the power, but that does not matter because "&amp;"the sound will be covered by other anyway.")</f>
        <v>From powerful powerful vibration is all that is asked and pleasantly filled this function. Easy to use and maintenance, rechargeable via USB, and a pleasant material to touch. The noise level is a reflection of the power, but that does not matter because the sound will be covered by other anyway.</v>
      </c>
    </row>
    <row r="13007">
      <c r="A13007" s="1">
        <v>5.0</v>
      </c>
      <c r="B13007" s="1" t="s">
        <v>12788</v>
      </c>
      <c r="C13007" t="str">
        <f>IFERROR(__xludf.DUMMYFUNCTION("GOOGLETRANSLATE(B13007, ""fr"", ""en"")"),"Great tool !!! Excellent to put a ring on lollipops that do not !!! So we can hang to avoid falling and getting dirty ... also removed for nettoyer..super.")</f>
        <v>Great tool !!! Excellent to put a ring on lollipops that do not !!! So we can hang to avoid falling and getting dirty ... also removed for nettoyer..super.</v>
      </c>
    </row>
    <row r="13008">
      <c r="A13008" s="1">
        <v>5.0</v>
      </c>
      <c r="B13008" s="1" t="s">
        <v>12789</v>
      </c>
      <c r="C13008" t="str">
        <f>IFERROR(__xludf.DUMMYFUNCTION("GOOGLETRANSLATE(B13008, ""fr"", ""en"")"),"To clear skin fine and homogeneous Great, I recommend for oily or combination skin. Use with honey, lemon and a few drops of essential oil of tea tree for a skin without blemishes")</f>
        <v>To clear skin fine and homogeneous Great, I recommend for oily or combination skin. Use with honey, lemon and a few drops of essential oil of tea tree for a skin without blemishes</v>
      </c>
    </row>
    <row r="13009">
      <c r="A13009" s="1">
        <v>5.0</v>
      </c>
      <c r="B13009" s="1" t="s">
        <v>12790</v>
      </c>
      <c r="C13009" t="str">
        <f>IFERROR(__xludf.DUMMYFUNCTION("GOOGLETRANSLATE(B13009, ""fr"", ""en"")"),"It is just too much, I play bmx pro, and I take that Vans and when I saw the ones I took live, and frankly not over, we draw sheet in this direction and the material and style and really good, but good apart from that, even to walk and wear them every day"&amp;" it is nickel,")</f>
        <v>It is just too much, I play bmx pro, and I take that Vans and when I saw the ones I took live, and frankly not over, we draw sheet in this direction and the material and style and really good, but good apart from that, even to walk and wear them every day it is nickel,</v>
      </c>
    </row>
    <row r="13010">
      <c r="A13010" s="1">
        <v>5.0</v>
      </c>
      <c r="B13010" s="1" t="s">
        <v>12791</v>
      </c>
      <c r="C13010" t="str">
        <f>IFERROR(__xludf.DUMMYFUNCTION("GOOGLETRANSLATE(B13010, ""fr"", ""en"")"),"Do not buy Super impeccable service I recommend +++")</f>
        <v>Do not buy Super impeccable service I recommend +++</v>
      </c>
    </row>
    <row r="13011">
      <c r="A13011" s="1">
        <v>2.0</v>
      </c>
      <c r="B13011" s="1" t="s">
        <v>12792</v>
      </c>
      <c r="C13011" t="str">
        <f>IFERROR(__xludf.DUMMYFUNCTION("GOOGLETRANSLATE(B13011, ""fr"", ""en"")"),"Size very small size")</f>
        <v>Size very small size</v>
      </c>
    </row>
    <row r="13012">
      <c r="A13012" s="1">
        <v>1.0</v>
      </c>
      <c r="B13012" s="1" t="s">
        <v>12793</v>
      </c>
      <c r="C13012" t="str">
        <f>IFERROR(__xludf.DUMMYFUNCTION("GOOGLETRANSLATE(B13012, ""fr"", ""en"")"),"Out of order!!! Down even after 4 months of use. 🤔🙄☹️")</f>
        <v>Out of order!!! Down even after 4 months of use. 🤔🙄☹️</v>
      </c>
    </row>
    <row r="13013">
      <c r="A13013" s="1">
        <v>3.0</v>
      </c>
      <c r="B13013" s="1" t="s">
        <v>12794</v>
      </c>
      <c r="C13013" t="str">
        <f>IFERROR(__xludf.DUMMYFUNCTION("GOOGLETRANSLATE(B13013, ""fr"", ""en"")"),"headband arrive.il corresponds well with the nuncio cite.tissu-fine and gentle on the skin, like a seam deuxième.sens not see under clothes")</f>
        <v>headband arrive.il corresponds well with the nuncio cite.tissu-fine and gentle on the skin, like a seam deuxième.sens not see under clothes</v>
      </c>
    </row>
    <row r="13014">
      <c r="A13014" s="1">
        <v>3.0</v>
      </c>
      <c r="B13014" s="1" t="s">
        <v>12795</v>
      </c>
      <c r="C13014" t="str">
        <f>IFERROR(__xludf.DUMMYFUNCTION("GOOGLETRANSLATE(B13014, ""fr"", ""en"")"),"a little too late as nice quality, but a little too late as quality, so for mid-season,")</f>
        <v>a little too late as nice quality, but a little too late as quality, so for mid-season,</v>
      </c>
    </row>
    <row r="13015">
      <c r="A13015" s="1">
        <v>4.0</v>
      </c>
      <c r="B13015" s="1" t="s">
        <v>12796</v>
      </c>
      <c r="C13015" t="str">
        <f>IFERROR(__xludf.DUMMYFUNCTION("GOOGLETRANSLATE(B13015, ""fr"", ""en"")"),"BEAUTIFUL TEE SHIRT MEET THE DESCRIPTION")</f>
        <v>BEAUTIFUL TEE SHIRT MEET THE DESCRIPTION</v>
      </c>
    </row>
    <row r="13016">
      <c r="A13016" s="1">
        <v>4.0</v>
      </c>
      <c r="B13016" s="1" t="s">
        <v>12797</v>
      </c>
      <c r="C13016" t="str">
        <f>IFERROR(__xludf.DUMMYFUNCTION("GOOGLETRANSLATE(B13016, ""fr"", ""en"")"),"Practice ... Really handy. Runs smoothly and seems very durable. I only regret the size too large in my view even for a large cup but I would perhaps check the dimensions before. :)")</f>
        <v>Practice ... Really handy. Runs smoothly and seems very durable. I only regret the size too large in my view even for a large cup but I would perhaps check the dimensions before. :)</v>
      </c>
    </row>
    <row r="13017">
      <c r="A13017" s="1">
        <v>4.0</v>
      </c>
      <c r="B13017" s="1" t="s">
        <v>12798</v>
      </c>
      <c r="C13017" t="str">
        <f>IFERROR(__xludf.DUMMYFUNCTION("GOOGLETRANSLATE(B13017, ""fr"", ""en"")"),"bra Zbra I have many difficulties to close the zip I think it is not practical")</f>
        <v>bra Zbra I have many difficulties to close the zip I think it is not practical</v>
      </c>
    </row>
    <row r="13018">
      <c r="A13018" s="1">
        <v>4.0</v>
      </c>
      <c r="B13018" s="1" t="s">
        <v>12799</v>
      </c>
      <c r="C13018" t="str">
        <f>IFERROR(__xludf.DUMMYFUNCTION("GOOGLETRANSLATE(B13018, ""fr"", ""en"")"),"Good quality Good quality product, which has many solid seduces her owner. A good gift idea that seems to last")</f>
        <v>Good quality Good quality product, which has many solid seduces her owner. A good gift idea that seems to last</v>
      </c>
    </row>
    <row r="13019">
      <c r="A13019" s="1">
        <v>5.0</v>
      </c>
      <c r="B13019" s="1" t="s">
        <v>12800</v>
      </c>
      <c r="C13019" t="str">
        <f>IFERROR(__xludf.DUMMYFUNCTION("GOOGLETRANSLATE(B13019, ""fr"", ""en"")"),"very nice easy to use, its cover is very soft to the touch, it retains heat very long. quick delivery. I do not regret my purchase")</f>
        <v>very nice easy to use, its cover is very soft to the touch, it retains heat very long. quick delivery. I do not regret my purchase</v>
      </c>
    </row>
    <row r="13020">
      <c r="A13020" s="1">
        <v>5.0</v>
      </c>
      <c r="B13020" s="1" t="s">
        <v>12801</v>
      </c>
      <c r="C13020" t="str">
        <f>IFERROR(__xludf.DUMMYFUNCTION("GOOGLETRANSLATE(B13020, ""fr"", ""en"")"),"superb superb")</f>
        <v>superb superb</v>
      </c>
    </row>
    <row r="13021">
      <c r="A13021" s="1">
        <v>5.0</v>
      </c>
      <c r="B13021" s="1" t="s">
        <v>12802</v>
      </c>
      <c r="C13021" t="str">
        <f>IFERROR(__xludf.DUMMYFUNCTION("GOOGLETRANSLATE(B13021, ""fr"", ""en"")"),"Good product same as the picture, like hot, 1m73 68 kg S is niquel, although size is not a size that's small. Thank you to the seller!")</f>
        <v>Good product same as the picture, like hot, 1m73 68 kg S is niquel, although size is not a size that's small. Thank you to the seller!</v>
      </c>
    </row>
    <row r="13022">
      <c r="A13022" s="1">
        <v>5.0</v>
      </c>
      <c r="B13022" s="1" t="s">
        <v>12803</v>
      </c>
      <c r="C13022" t="str">
        <f>IFERROR(__xludf.DUMMYFUNCTION("GOOGLETRANSLATE(B13022, ""fr"", ""en"")"),"Very nice Perfect")</f>
        <v>Very nice Perfect</v>
      </c>
    </row>
    <row r="13023">
      <c r="A13023" s="1">
        <v>5.0</v>
      </c>
      <c r="B13023" s="1" t="s">
        <v>12804</v>
      </c>
      <c r="C13023" t="str">
        <f>IFERROR(__xludf.DUMMYFUNCTION("GOOGLETRANSLATE(B13023, ""fr"", ""en"")"),"Good lot good price J likes the white tennis socks with white tennis that the latter often have white inner sole and thus is not color lint autres..inconvénient sees color socks ... then summer I prefer to short socks that absorb less and it gives a style"&amp;" even if for some it can be cheesy j assumes")</f>
        <v>Good lot good price J likes the white tennis socks with white tennis that the latter often have white inner sole and thus is not color lint autres..inconvénient sees color socks ... then summer I prefer to short socks that absorb less and it gives a style even if for some it can be cheesy j assumes</v>
      </c>
    </row>
    <row r="13024">
      <c r="A13024" s="1">
        <v>5.0</v>
      </c>
      <c r="B13024" s="1" t="s">
        <v>12805</v>
      </c>
      <c r="C13024" t="str">
        <f>IFERROR(__xludf.DUMMYFUNCTION("GOOGLETRANSLATE(B13024, ""fr"", ""en"")"),"Beautiful earring loop, as in the photo")</f>
        <v>Beautiful earring loop, as in the photo</v>
      </c>
    </row>
    <row r="13025">
      <c r="A13025" s="1">
        <v>5.0</v>
      </c>
      <c r="B13025" s="1" t="s">
        <v>12806</v>
      </c>
      <c r="C13025" t="str">
        <f>IFERROR(__xludf.DUMMYFUNCTION("GOOGLETRANSLATE(B13025, ""fr"", ""en"")"),"Very good brand Too bad they do not give us recipes!")</f>
        <v>Very good brand Too bad they do not give us recipes!</v>
      </c>
    </row>
    <row r="13026">
      <c r="A13026" s="1">
        <v>5.0</v>
      </c>
      <c r="B13026" s="1" t="s">
        <v>12807</v>
      </c>
      <c r="C13026" t="str">
        <f>IFERROR(__xludf.DUMMYFUNCTION("GOOGLETRANSLATE(B13026, ""fr"", ""en"")"),"perfect comfortable, warm and beautiful")</f>
        <v>perfect comfortable, warm and beautiful</v>
      </c>
    </row>
    <row r="13027">
      <c r="A13027" s="1">
        <v>5.0</v>
      </c>
      <c r="B13027" s="1" t="s">
        <v>12808</v>
      </c>
      <c r="C13027" t="str">
        <f>IFERROR(__xludf.DUMMYFUNCTION("GOOGLETRANSLATE(B13027, ""fr"", ""en"")"),"👍 This carpet is compliant. Unlike other reviews I did not find it stings so much but it seems to help support relaxation.")</f>
        <v>👍 This carpet is compliant. Unlike other reviews I did not find it stings so much but it seems to help support relaxation.</v>
      </c>
    </row>
    <row r="13028">
      <c r="A13028" s="1">
        <v>5.0</v>
      </c>
      <c r="B13028" s="1" t="s">
        <v>12809</v>
      </c>
      <c r="C13028" t="str">
        <f>IFERROR(__xludf.DUMMYFUNCTION("GOOGLETRANSLATE(B13028, ""fr"", ""en"")"),"Very good Practicing walking I appreciate the quality of this product, allow me to advise you, careful packaging")</f>
        <v>Very good Practicing walking I appreciate the quality of this product, allow me to advise you, careful packaging</v>
      </c>
    </row>
    <row r="13029">
      <c r="A13029" s="1">
        <v>5.0</v>
      </c>
      <c r="B13029" s="1" t="s">
        <v>12810</v>
      </c>
      <c r="C13029" t="str">
        <f>IFERROR(__xludf.DUMMYFUNCTION("GOOGLETRANSLATE(B13029, ""fr"", ""en"")"),"Quality and conford &lt;div id = ""video-block-R1NOA9JUNDQQZL"" class = ""a-section-spacing-small-spacing has-top video mini-block""&gt; &lt;div tabindex = ""0"" class = ""airy airy- svg vmin-supported airy-skin-beacon ""style ="" background-color: rgb (0, 0, 0); "&amp;"position: relative; width: 100%; height: 100%; font-size: 0px; overflow: hidden; outline: none; ""&gt; &lt;div class ="" airy-renderer-container ""style ="" position: relative; height: 100%; width: 100%; ""&gt; &lt;video id ="" 7 ""preload ="" auto ""src = ""https://"&amp;"images-eu.ssl-images-amazon.com/images/I/A1Po7nJzg-S.mp4"" style = ""position: absolute; left: 0px; top: 0px; overflow: hidden; height: 1px; width: 1px; ""&gt; &lt;/ video&gt; &lt;/ div&gt; &lt;div id ="" airy-slate-preload ""style ="" background-color: rgb (0, 0, 0); back"&amp;"ground-image: url (&amp; quot; https : //images-eu.ssl-images-amazon.com/images/I/91alGIbu04S.png&amp;quot;); background-size: contain; background-position: center center; background-repeat: no-repeat; position: absolute; top: 0px; left: 0px; visibility: visible;"&amp;" width: 100%; height: 100% ""&gt; &lt;/ div&gt; &lt;iframe scrolli ng = ""no"" frameborder = ""0"" src = ""about: blank"" style = ""display: none;""&gt; &lt;/ iframe&gt; &lt;div tabindex = ""- 1"" class = ""airy-controls-container"" style = "" opacity: 0; visibility: hidden; ""&gt;"&amp;" &lt;div tabindex ="" - 1 ""class ="" airy-screen-size-toggle airy-fullscreen ""&gt; &lt;/ div&gt; &lt;div tabindex ="" - 1 ""class ="" airy-container-bottom "" &gt; &lt;div tabindex = ""- 1"" class = ""airy-track-bar spacer-left"" style = ""width: 11px;""&gt; &lt;/ div&gt; &lt;div tabin"&amp;"dex = ""- 1"" class = ""airy-play- toggle airy-play ""style ="" width: 12px; margin-right: 12px; ""&gt; &lt;/ div&gt; &lt;div tabindex ="" - 1 ""class ="" airy-audio-elements ""style ="" float: right; width: 34px; ""&gt; &lt;div tabindex ="" - 1 ""class ="" airy-audio-togg"&amp;"le airy-on ""&gt; &lt;/ div&gt; &lt;div tabindex ="" - 1 ""class ="" airy-audio-container ""style = ""opacity: 0; visibility: hidden; ""&gt; &lt;div tabindex ="" - 1 ""class ="" airy-audio-track-bar ""style ="" height: 80%; ""&gt; &lt;div tabindex ="" - 1 ""class ="" airy-audio-"&amp;" scrubber bar ""style ="" height: 85% ""&gt; &lt;/ div&gt; &lt;div tabindex ="" - 1 ""class ="" airy-audio-scrubber ""style ="" height: 12px; bottom: 85% ""&gt; &lt;/ div&gt; &lt;/ div&gt; &lt;/ div&gt; &lt;/ div&gt; &lt;div tabindex ="" - 1 ""class ="" airy-duration-label ""style ="" float: righ"&amp;"t; width: 26px; margin-right: 4px; text-align: center; ""&gt; 0:00 &lt;/ div&gt; &lt;div tabindex ="" - 1 ""class ="" airy-track-bar spacer-right ""style ="" float: right; width: 11px; ""&gt; &lt;/ div&gt; &lt;div tabindex ="" - 1 ""class ="" airy-track-bar-container ""style ="""&amp;" margin-left: 35px; margin-right: 75px; ""&gt; &lt;div tabindex ="" - 1 ""class ="" airy-airy-track-bar vertical-centering-table ""&gt; &lt;div tabindex ="" - 1 ""class ="" airy-vertical-centering- table-cell ""&gt; &lt;div tabindex ="" - 1 ""class ="" airy-track-bar eleme"&amp;"nts ""&gt; &lt;div tabindex ="" - 1 ""class ="" airy-progress bar ""&gt; &lt;/ div&gt; &lt;div tabindex = ""- 1"" class = ""airy-scrubber bar""&gt; &lt;/ div&gt; &lt;div tabindex = ""- 1"" class = ""airy-scrubber""&gt; &lt;div tabindex = ""- 1"" class = ""airy-scrubber- icon ""&gt; &lt;/ div&gt; &lt;di"&amp;"v tabindex ="" - 1 ""class ="" airy-adjusted-aui-tooltip ""style ="" opacity: 0; visibility: hidden; ""&gt; &lt;div tabindex ="" - 1 ""class ="" airy-adjusted-aui-tooltip-inner ""&gt; &lt;div tabindex ="" - 1 ""class ="" airy-current-time-label ""&gt; 0 00 &lt;/ div&gt; &lt;/ di"&amp;"v&gt; &lt;div tabindex = ""- 1"" class = ""airy-adjusted-aui-arrow-border""&gt; &lt;div tabindex = ""- 1"" class = ""airy-adjusted-aui-arrow"" &gt; &lt;/ div&gt; &lt;/ div&gt; &lt;/ div&gt; &lt;/ div&gt; &lt;/ div&gt; &lt;/ div&gt; &lt;/ div&gt; &lt;/ div&gt; &lt;/ div&gt; &lt;/ div&gt; &lt;div tabindex = ""- 1"" class = ""airy-air"&amp;"y-age-gate course airy-vertical-centering table-airy-dialog"" style = ""opacity: 0; visibility: hidden; ""&gt; &lt;div tabindex ="" - 1 ""class ="" airy-age-gate-vertical-centering-table-cell airy-vertical-centering-table-cell ""&gt; &lt;div tabindex ="" - 1 ""class "&amp;"= ""airy-vertical-centering-wrapper airy-age-gate-elements-wrapper""&gt; &lt;div tabindex = ""- 1"" class = ""airy-age-gate-elements airy-dialog-elements""&gt; &lt;div tabindex = "" -1 ""class ="" airy-age-gate-prompt ""&gt; This video is not Intended for all audiences "&amp;"What time were you born &lt;/ div&gt; &lt;div tabindex =.?"" - 1 ""class ="" airy-age-gate -inputs airy-dialog-inner-elements ""&gt; &lt;select tabindex ="" - 1 ""class ="" airy-age-gate-month ""&gt; &lt;option value ="" 1 ""&gt; January &lt;/ option&gt; &lt;option value ="" 2 ""&gt; Februa"&amp;"ry &lt;/ option&gt; &lt;option value ="" 3 ""&gt; March &lt;/ option&gt; &lt;option value ="" 4 ""&gt; April &lt;/ option&gt; &lt;option value ="" 5 ""&gt; May &lt;/ option&gt; &lt;option value = ""6""&gt; June &lt;/ option&gt; &lt;option value = ""7""&gt; July &lt;/ option&gt; &lt;option value = ""8""&gt; August &lt;/ option&gt; &lt;"&amp;"option value = ""9""&gt; September &lt;/ option&gt; &lt;option value = ""10""&gt; October &lt;/ option&gt; &lt;option value = ""11""&gt; November &lt;/ option&gt; &lt;option value = ""12""&gt; December &lt;/ option&gt; &lt;/ select&gt; &lt;select tabindex = ""- 1"" class = ""airy-age-gate-day""&gt; &lt;opti = One "&amp;"value ""1""&gt; 1 &lt;/ option&gt; &lt;option value = ""2""&gt; 2 &lt;/ option&gt; &lt;option value = ""3""&gt; 3 &lt;/ option&gt; &lt;option value = ""4""&gt; 4 &lt;/ option &gt; &lt;option value = ""5""&gt; 5 &lt;/ option&gt; &lt;option value = ""6""&gt; 6 &lt;/ option&gt; &lt;option value = ""7""&gt; 7 &lt;/ option&gt; &lt;option valu"&amp;"e = ""8""&gt; 8 &lt; / option&gt; &lt;option value = ""9""&gt; 9 &lt;/ option&gt; &lt;option value = ""10""&gt; 10 &lt;/ option&gt; &lt;option value = ""11""&gt; 11 &lt;/ option&gt; &lt;option value = ""12""&gt; 12 &lt;/ option&gt; &lt;option value = ""13""&gt; 13 &lt;/ option&gt; &lt;option value = ""14""&gt; 14 &lt;/ option&gt; &lt;opt"&amp;"ion value = ""15""&gt; 15 &lt;/ option&gt; &lt;option value = ""16 ""&gt; 16 &lt;/ option&gt; &lt;option value ="" 17 ""&gt; 17 &lt;/ option&gt; &lt;option value ="" 18 ""&gt; 18 &lt;/ option&gt; &lt;option value ="" 19 ""&gt; 19 &lt;/ option&gt; &lt;option value = ""20""&gt; 20 &lt;/ option&gt; &lt;option value = ""21""&gt; 21 "&amp;"&lt;/ option&gt; &lt;option value = ""22""&gt; 22 &lt;/ option&gt; &lt;option value = ""23""&gt; 23 &lt;/ option&gt; &lt;option value = ""24""&gt; 24 &lt;/ option&gt; &lt;option value = ""25""&gt; 25 &lt;/ option&gt; &lt;option value = ""26""&gt; 26 &lt;/ option&gt; &lt;option value = ""27""&gt; 27 &lt;/ option&gt; &lt;option value = "&amp;"""28""&gt; 28 &lt;/ option&gt; &lt;option value = ""29""&gt; 29 &lt;/ option&gt; &lt;option value = ""30""&gt; 30 &lt;/ option&gt; &lt;option value = ""31""&gt; 31 &lt;/ option&gt; &lt;/ select&gt; &lt;select tabindex = ""- 1"" class = ""airy-age-gate-year""&gt; &lt;option value = ""2019""&gt; 2019 &lt;/ option&gt; &lt; optio"&amp;"n value = ""2018""&gt; 2018 &lt;/ option&gt; &lt;option value = ""2017""&gt; 2017 &lt;/ option&gt; &lt;option value = ""2016""&gt; ​​2016 &lt;/ option&gt; &lt;option value = ""2015""&gt; 2015 &lt;/ option &gt; &lt;option value = ""2014""&gt; 2014 &lt;/ option&gt; &lt;option value = ""2013""&gt; 2013 &lt;/ option&gt; &lt;optio"&amp;"n value = ""2012""&gt; 2012 &lt;/ option&gt; &lt;option value = ""2011""&gt; 2011 &lt; / option&gt; &lt;option value = ""2010""&gt; 2010 &lt;/ option&gt; &lt;option value = ""2009""&gt; 2009 &lt;/ option&gt; &lt;option value = ""2008""&gt; 2008 &lt;/ option&gt; &lt;option value = ""2007""&gt; 2007 &lt;/ option&gt; &lt;option "&amp;"value = ""2006""&gt; 2006 &lt;/ option&gt; &lt;option value = ""2005""&gt; 2005 &lt;/ option&gt; &lt;option value = ""2004""&gt; 2004 &lt;/ option&gt; &lt;option value = ""2003 ""&gt; 2003 &lt;/ option&gt; &lt;option value ="" 2002 ""&gt; 2002 &lt;/ option&gt; &lt;option value ="" 2001 ""&gt; 2001 &lt;/ option&gt; &lt;option "&amp;"value ="" 2000 ""&gt; 2000 &lt;/ option&gt; &lt;option value = ""1999""&gt; 1999 &lt;/ option&gt; &lt;option value = ""1998""&gt; 1998 &lt;/ option&gt; &lt;option value = ""1997""&gt; 1997 &lt;/ option&gt; &lt;option value = ""1996""&gt; 1996 &lt;/ option&gt; &lt;option value = ""1995""&gt; 1995 &lt;/ option&gt; &lt;option va"&amp;"lue = ""1994""&gt; 1994 &lt;/ option&gt; &lt;option value = ""1993""&gt; 1993 &lt;/ option&gt; &lt;option value = ""1992""&gt; 1992 &lt;/ option&gt; &lt;option value = ""1991""&gt; 1991 &lt;/ option&gt; &lt;option value = ""1990""&gt; 1990 &lt;/ option&gt; &lt;option value = "" 1989 ""&gt; 1989 &lt;/ option&gt; &lt;option val"&amp;"ue ="" 1988 ""&gt; 1988 &lt;/ option&gt; &lt;option value ="" 1987 ""&gt; 1987 &lt;/ option&gt; &lt;option value ="" 1986 ""&gt; 1986 &lt;/ option&gt; &lt;option value = ""1985""&gt; 1985 &lt;/ option&gt; &lt;option value = ""1984""&gt; 1984 &lt;/ option&gt; &lt;option value = ""1983""&gt; 1983 &lt;/ option&gt; &lt;option val"&amp;"ue = ""1982""&gt; 1982 &lt;/ option&gt; &lt; option value = ""1981""&gt; 1981 &lt;/ option&gt; &lt;option value = ""1980""&gt; 1980 &lt;/ option&gt; &lt;option value = ""1979""&gt; 1979 &lt;/ option&gt; &lt;option value = ""1978""&gt; 1978 &lt;/ option &gt; &lt;option value = ""1977""&gt; 1977 &lt;/ option&gt; &lt;option valu"&amp;"e = ""1976""&gt; 1976 &lt;/ option&gt; &lt;option value = ""1975""&gt; 1975 &lt;/ option&gt; &lt;option value = ""1974""&gt; 1974 &lt; / option&gt; &lt;option value = ""1973""&gt; 1973 &lt;/ option&gt; &lt;option value = ""1972""&gt; 1972 &lt;/ option&gt; &lt;option value = ""1971""&gt; 1971 &lt;/ option&gt; &lt;option value "&amp;"= ""1970""&gt; 1970 &lt;/ option&gt; &lt;option value = ""1969""&gt; 1969 &lt;/ option&gt; &lt;option value = ""1968""&gt; 1968 &lt;/ option&gt; &lt;option value = ""1967""&gt; 1967 &lt;/ option&gt; &lt;option value = ""1966 ""&gt; 1966 &lt;/ option&gt; &lt;option value ="" 1965 ""&gt; 1965 &lt;/ option&gt; &lt;option value ="&amp;""" 1964 ""&gt; 1964 &lt;/ option&gt; &lt;option value ="" 1963 ""&gt; 1963 &lt;/ option&gt; &lt;option value = ""1962""&gt; 1962 &lt;/ option&gt; &lt;option value = ""1961""&gt; 1961 &lt;/ option&gt; &lt;option value = ""1960""&gt; 1960 &lt;/ op tion&gt; &lt;option value = ""1959""&gt; 1959 &lt;/ option&gt; &lt;option value ="&amp;" ""1958""&gt; 1958 &lt;/ option&gt; &lt;option value = ""1957""&gt; 1957 &lt;/ option&gt; &lt;option value = ""1956""&gt; 1956 &lt;/ option&gt; &lt;option value = ""1955""&gt; 1955 &lt;/ option&gt; &lt;option value = ""1954""&gt; 1954 &lt;/ option&gt; &lt;option value = ""1953""&gt; 1953 &lt;/ option&gt; &lt;option value = """&amp;"1952""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&lt;option value = ""1944""&gt; 1944 &lt;/ option&gt; &lt;option value = ""1943""&gt; 1943 &lt;/ option&gt; &lt;option value = ""1942""&gt; 1942 &lt;/ option&gt; &lt;option value = ""1941""&gt; 1941 &lt;/ option&gt; &lt; option value = "&amp;"""1940""&gt;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""1"&amp;"928""&gt; 1928 &lt;/ option&gt; &lt;option value = ""1927""&gt; 1927 &lt;/ option&gt; &lt;option value = ""1926""&gt; 1926 &lt;/ option&gt; &lt;option value = ""1925""&gt; 1925 &lt;/ option&gt; &lt;option value = ""1924""&gt; 1924 &lt;/ option&gt; &lt;option value = ""1923""&gt; 1923 &lt;/ option&gt; &lt;option value = ""1922"&amp;"""&gt; 1922 &lt;/ option&gt; &lt;option value = ""1921""&gt; 1921 &lt;/ option&gt; &lt;option value = ""1920""&gt; 1920 &lt;/ option&gt; &lt;option value = ""1919""&gt; 1919 &lt;/ option&gt; &lt;option value = ""1918""&gt; 1918 &lt;/ option&gt; &lt;option value = ""1917""&gt; 1917 &lt;/ option&gt; &lt;option value = ""1916""&gt;"&amp;" 1916 &lt;/ option&gt; &lt;option value = ""1915"" &gt; 1915 &lt;/ option&gt; &lt;option value = ""1914""&gt; 1914 &lt;/ option&gt; &lt;option value = ""1913""&gt; 1913 &lt;/ option&gt; &lt;option value = ""1912""&gt; 1912 &lt;/ option&gt; &lt;option value = "" 1911 ""&gt; 1911 &lt;/ option&gt; &lt;option value ="" 1910 """&amp;"&gt; 1910 &lt;/ option&gt; &lt;option value ="" 1909 ""&gt; 1909 &lt;/ option&gt; &lt;option value ="" 1908 ""&gt; 1908 &lt;/ option&gt; &lt;option value = ""1907""&gt; 1907 &lt;/ option&gt; &lt;option value = ""1906""&gt; 1906 &lt;/ option&gt; &lt;option value = ""1905""&gt; 1905 &lt;/ option&gt; &lt;option value = ""1904""&gt;"&amp;" 1904 &lt;/ option&gt; &lt; option value = ""1903""&gt; 1903 &lt;/ option&gt; &lt;option value = ""1902""&gt; 1902 &lt;/ option&gt; &lt;option value = ""1901""&gt; 19 01 &lt;/ option&gt; &lt;option value = ""1900""&gt; 1900 &lt;/ option&gt; &lt;/ select&gt; &lt;div tabindex = ""- 1"" class = ""airy-age-gate-submit ai"&amp;"ry-submit-button airy airy-submit- disabled ""&gt; Submit &lt;/ div&gt; &lt;/ div&gt; &lt;/ div&gt; &lt;/ div&gt; &lt;/ div&gt; &lt;/ div&gt; &lt;div tabindex ="" - 1 ""class ="" airy-install-flash-dialog airy-course airy -Vertical-centering-table dialog airy-airy-denied ""style ="" opacity: 0; v"&amp;"isibility: hidden; ""&gt; &lt;div tabindex ="" - 1 ""class ="" airy-install-flash-vertical-centering-table-cell airy-vertical-centering-table-cell ""&gt; &lt;div tabindex ="" - 1 ""class = ""airy-vertical-centering-wrapper airy-install-flash-elements-wrapper""&gt; &lt;div "&amp;"tabindex = ""- 1"" class = ""airy-install-flash-elements airy-dialog-elements""&gt; &lt;div tabindex = "" -1 ""class ="" airy-install-flash-prompt ""&gt; Adobe Flash Player is required to watch this video &lt;/ div&gt; &lt;div = tabindex."" - 1 ""class ="" airy-install-fla"&amp;"sh-button-wrapper airy -dialog-inner-elements ""&gt; &lt;div tabindex ="" - 1 ""class ="" airy-install-flash-button airy-button ""&gt; install Flash Player &lt;/ div&gt; &lt;/ div&gt; &lt;/ div&gt; &lt;/ div&gt; &lt;/ div&gt; &lt;/ div&gt; &lt;div tabindex = ""- 1"" class = ""airy-video-unsupported-dia"&amp;"log airy-course airy-vertical-centering table-airy-dialog airy-denied"" style = ""opacity: 0; visibility: hidden; ""&gt; &lt;div tabindex ="" - 1 ""class ="" airy-video-unsupported-vertical-centering-table-cell airy-vertical-centering-table-cell ""&gt; &lt;div tabind"&amp;"ex ="" - 1 ""class = ""airy-vertical-centering-wrapper airy-video-unsupported-elements-wrapper""&gt; &lt;div tabindex = ""- 1"" class = ""airy-video-unsupported-elements airy-dialog-elements""&gt; &lt;div tabindex = "" -1 ""class ="" airy-video-unsupported-prompt ""&gt;"&amp;" &lt;/ div&gt; &lt;/ div&gt; &lt;/ div&gt; &lt;/ div&gt; &lt;/ div&gt; &lt;div tabindex ="" - 1 ""class ="" airy-loading- spinner-stage airy-stage ""&gt; &lt;div tabindex ="" - 1 ""class ="" airy-loading-spinner-vertical-centering-table-cell airy-vertical-centering-table-cell ""&gt; &lt;div tabindex"&amp;" ="" - 1 ""class ="" airy-loading-spinner container airy-scalable-hint-container ""&gt; &lt;div tabindex ="" - 1 ""class ="" airy-loading-spinner-dummy airy-scalable-dummy ""&gt; &lt;/ div&gt; &lt; div tabindex = ""- 1"" class = ""airy-loading-spinner airy-hint"" style = "&amp;"""visibility: hidden;""&gt; &lt;/ div&gt; &lt;/ div&gt; &lt;/ div&gt; &lt;/ div&gt; &lt;div tabindex = ""- 1 ""class ="" airy-ads-screen-size-toggle airy-screen-size-toggle airy-fullscreen ""style ="" visibility: hidden; ""&gt; &lt;/ div&gt; &lt;div tabindex = ""-1"" class = ""airy-ad-prompt-cont"&amp;"ainer"" style = ""visibility: hidden;""&gt; &lt;div tabindex = ""- 1"" class = ""airy-ad-prompt-vertical-centering table-airy-vertical- centering-table ""&gt; &lt;div tabindex ="" - 1 ""class ="" airy-ad-prompt-vertical-centering-table-cell airy-vertical-centering-ta"&amp;"ble-cell ""&gt; &lt;div tabindex ="" - 1 ""class = ""airy-ad-prompt-label""&gt; &lt;/ div&gt; &lt;/ div&gt; &lt;/ div&gt; &lt;/ div&gt; &lt;div tabindex = ""- 1"" class = ""airy-ads-controls-container"" style = ""visibility: hidden; ""&gt; &lt;div tabindex ="" - 1 ""class ="" airy-ads-audio-toggl"&amp;"e airy-audio-toggle airy-on ""style ="" visibility: hidden; ""&gt; &lt;/ div&gt; &lt;div tabindex ="" - 1 ""class ="" airy-time-remaining-label-container ""&gt; &lt;div tabindex ="" - 1 ""class ="" airy-time-remaining-vertical-centering table-airy-vertical-centering-table "&amp;"""&gt; &lt;div tabindex = ""- 1"" class = ""airy-time-remaining-vertical-centering-table-cell airy-vertical-centering-table-cell""&gt; &lt;div tabindex = ""- 1"" class = ""airy-vertical-centering-wrapper airy-time-remaining-label-wrapper ""&gt; &lt;div tabindex ="" - 1 ""c"&amp;"lass ="" airy-time-remaining-label ""style ="" visibility: hidden; ""&gt; &lt;/ div&gt; &lt;div tabi ndex = ""- 1"" class = ""airy-ad-skip"" style = ""visibility: hidden;""&gt; &lt;/ div&gt; &lt;div tabindex = ""- 1"" class = ""airy-ad-end"" style = ""visibility: hidden; ""&gt; &lt;/ "&amp;"div&gt; &lt;/ div&gt; &lt;/ div&gt; &lt;/ div&gt; &lt;/ div&gt; &lt;div tabindex ="" - 1 ""class ="" airy-learn-more ""style ="" visibility: hidden; ""&gt; &lt;/ div&gt; &lt;/ div&gt; &lt;div tabindex = ""- 1"" class = ""airy-play-toggle-hint-stage airy-course airy-cursor""&gt; &lt;div tabindex = ""- 1"" cla"&amp;"ss = ""airy-play -toggle-hint-vertical-centering-table-cell airy-vertical-centering-table-cell airy-cursor ""&gt; &lt;div tabindex ="" - 1 ""class ="" airy-play-toggle-hint-container airy-scalable- hint-container ""&gt; &lt;div tabindex ="" - 1 ""class ="" airy-play-"&amp;"toggle-hint-dummy airy-scalable-dummy ""&gt; &lt;/ div&gt; &lt;div tabindex ="" - 1 ""class ="" airy-play -toggle airy-hint-hint-hint airy-play ""style ="" opacity: 1; visibility: visible; ""&gt; &lt;/ div&gt; &lt;/ div&gt; &lt;/ div&gt; &lt;/ div&gt; &lt;div tabindex ="" - 1 ""class ="" airy-rep"&amp;"lay-hint-stage airy-stage ""style ="" visibility: hidden ; ""&gt; &lt;div tabindex ="" - 1 ""class ="" airy-replay-hint-vertical-centering-table-cell airy-vertical-centering-table-cell airy-cursor ""&gt; &lt;div tabindex ="" - 1 ""class = ""airy-replay-hint-container"&amp;" airy-scalable-hint-container""&gt; &lt;div tabindex = ""- 1"" class = ""airy-replay-hint-dummy airy-scalable-dummy""&gt; &lt;/ div&gt; &lt;div tabindex = ""- 1"" class = ""airy-replay-hint airy-hint""&gt; &lt;/ div&gt; &lt;/ div&gt; &lt;/ div&gt; &lt;/ div&gt; &lt;div tabindex = ""- 1"" class = ""airy"&amp;"-autoplay-hint -stage airy-stage ""style ="" visibility: hidden; ""&gt; &lt;div tabindex ="" - 1 ""class ="" airy-autoplay-hint-vertical-centering-table-cell airy-vertical-centering-table-cell airy- cursor ""&gt; &lt;div tabindex ="" - 1 ""class ="" autoplay airy-air"&amp;"y-hint-container-scalable-hint-container ""&gt; &lt;div tabindex ="" - 1 ""class ="" airy-autoplay-hint-dummy airy- scalable-dummy ""&gt; &lt;/ div&gt; &lt;/ div&gt; &lt;/ div&gt; &lt;/ div&gt; &lt;/ div&gt; &lt;/ div&gt; &lt;input type ="" hidden ""name ="" ""value ="" https: // pictures-eu .ssl-image"&amp;" amazon.com / images / I / A1Po7nJzg-S.mp4 ""Class ="" video-url ""&gt; &lt;input type ="" hidden ""name ="" ""value ="" https://images-eu.ssl-images-amazon.com/images/I/91alGIbu04S.png ""class ="" video-slate-img-url ""&gt; &amp; nbsp; Hello c is the 2nd helmet that "&amp;"I bought this brand I had taken one for my spouse to watch tv quiet and quality m had conquered. My son wants for his birthday playing online video games ..so I left for this brand ... the conford well. The helmet is adjustable and you can adjust volume a"&amp;"nd microphone me ... as it is a kdo I have tested to have no surprises and it is best I have even been able to make a phone wire with. You can go there with eyes closed. I recommend 100%")</f>
        <v>Quality and conford &lt;div id = "video-block-R1NOA9JUNDQQZL" class = "a-section-spacing-small-spacing has-top video mini-block"&gt;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7 "preload =" auto "src = "https://images-eu.ssl-images-amazon.com/images/I/A1Po7nJzg-S.mp4" style = "position: absolute; left: 0px; top: 0px; overflow: hidden; height: 1px; width: 1px; "&gt; &lt;/ video&gt; &lt;/ div&gt; &lt;div id =" airy-slate-preload "style =" background-color: rgb (0, 0, 0); background-image: url (&amp; quot; https : //images-eu.ssl-images-amazon.com/images/I/91alGIbu04S.png&amp;quot;); background-size: contain; background-position: center center; background-repeat: no-repeat; position: absolute; top: 0px; left: 0px; visibility: visible; width: 100%; height: 100% "&gt; &lt;/ div&gt; &lt;iframe scrolli 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A1Po7nJzg-S.mp4 "Class =" video-url "&gt; &lt;input type =" hidden "name =" "value =" https://images-eu.ssl-images-amazon.com/images/I/91alGIbu04S.png "class =" video-slate-img-url "&gt; &amp; nbsp; Hello c is the 2nd helmet that I bought this brand I had taken one for my spouse to watch tv quiet and quality m had conquered. My son wants for his birthday playing online video games ..so I left for this brand ... the conford well. The helmet is adjustable and you can adjust volume and microphone me ... as it is a kdo I have tested to have no surprises and it is best I have even been able to make a phone wire with. You can go there with eyes closed. I recommend 100%</v>
      </c>
    </row>
    <row r="13030">
      <c r="A13030" s="1">
        <v>5.0</v>
      </c>
      <c r="B13030" s="1" t="s">
        <v>12811</v>
      </c>
      <c r="C13030" t="str">
        <f>IFERROR(__xludf.DUMMYFUNCTION("GOOGLETRANSLATE(B13030, ""fr"", ""en"")"),"Yes Okay")</f>
        <v>Yes Okay</v>
      </c>
    </row>
    <row r="13031">
      <c r="A13031" s="1">
        <v>5.0</v>
      </c>
      <c r="B13031" s="1" t="s">
        <v>12812</v>
      </c>
      <c r="C13031" t="str">
        <f>IFERROR(__xludf.DUMMYFUNCTION("GOOGLETRANSLATE(B13031, ""fr"", ""en"")"),"Perfect ! St. Mark's is a brand that has more to prove. It's a little quality guarantee. I did not expect to have bad surprises and I have not had in me Wipes feel good even if the fragrance is synthetic hair. Citrus Sun Corsicans ... Well if you want but"&amp;" it feels especially good old artificial fragrance. Do not lie. But it does not feel bad. This is especially effective. Ideal for cleaning a surface in seconds. The hitch its wipes, it is mainly that we end up in use for everything and anything. So it del"&amp;"ivers. The purchase prize (here 200) is so interesting ... From an economic and practical standpoint. I give 5 stars! Liked: -The mark St Marc - Efficient - Economic and convenient lot I did not like: - Nothing")</f>
        <v>Perfect ! St. Mark's is a brand that has more to prove. It's a little quality guarantee. I did not expect to have bad surprises and I have not had in me Wipes feel good even if the fragrance is synthetic hair. Citrus Sun Corsicans ... Well if you want but it feels especially good old artificial fragrance. Do not lie. But it does not feel bad. This is especially effective. Ideal for cleaning a surface in seconds. The hitch its wipes, it is mainly that we end up in use for everything and anything. So it delivers. The purchase prize (here 200) is so interesting ... From an economic and practical standpoint. I give 5 stars! Liked: -The mark St Marc - Efficient - Economic and convenient lot I did not like: - Nothing</v>
      </c>
    </row>
    <row r="13032">
      <c r="A13032" s="1">
        <v>5.0</v>
      </c>
      <c r="B13032" s="1" t="s">
        <v>12813</v>
      </c>
      <c r="C13032" t="str">
        <f>IFERROR(__xludf.DUMMYFUNCTION("GOOGLETRANSLATE(B13032, ""fr"", ""en"")"),"Perfect for the price but confusing at first, as already said in other reviews the highs are quite strange and I was upset at first, is not well seen to know R and L sides at once at the beginning I had upside then call of I realized that the noise was co"&amp;"ming from the opposite (le.bon direction is the right buttons) Simple pairing, I recharge every two days even playing much, reduction of sound works well for voice but I have not tested just outside with friend / family next to me, if this is your first h"&amp;"eadset with a noise reduction like that, you might be printing having ears in the air.")</f>
        <v>Perfect for the price but confusing at first, as already said in other reviews the highs are quite strange and I was upset at first, is not well seen to know R and L sides at once at the beginning I had upside then call of I realized that the noise was coming from the opposite (le.bon direction is the right buttons) Simple pairing, I recharge every two days even playing much, reduction of sound works well for voice but I have not tested just outside with friend / family next to me, if this is your first headset with a noise reduction like that, you might be printing having ears in the air.</v>
      </c>
    </row>
    <row r="13033">
      <c r="A13033" s="1">
        <v>5.0</v>
      </c>
      <c r="B13033" s="1" t="s">
        <v>12814</v>
      </c>
      <c r="C13033" t="str">
        <f>IFERROR(__xludf.DUMMYFUNCTION("GOOGLETRANSLATE(B13033, ""fr"", ""en"")"),"jogging very well this article is very good, cutting the fabric great thank you")</f>
        <v>jogging very well this article is very good, cutting the fabric great thank you</v>
      </c>
    </row>
    <row r="13034">
      <c r="A13034" s="1">
        <v>2.0</v>
      </c>
      <c r="B13034" s="1" t="s">
        <v>12815</v>
      </c>
      <c r="C13034" t="str">
        <f>IFERROR(__xludf.DUMMYFUNCTION("GOOGLETRANSLATE(B13034, ""fr"", ""en"")"),"very short life span, so artouches very expensive for the report. Ttut printing occasionally cartridge red / yellow / black lasted me only 1 week !!! This is the 1st time I suspect the amount advertised on them !!!!")</f>
        <v>very short life span, so artouches very expensive for the report. Ttut printing occasionally cartridge red / yellow / black lasted me only 1 week !!! This is the 1st time I suspect the amount advertised on them !!!!</v>
      </c>
    </row>
    <row r="13035">
      <c r="A13035" s="1">
        <v>1.0</v>
      </c>
      <c r="B13035" s="1" t="s">
        <v>12816</v>
      </c>
      <c r="C13035" t="str">
        <f>IFERROR(__xludf.DUMMYFUNCTION("GOOGLETRANSLATE(B13035, ""fr"", ""en"")"),"Hooded sweatshirts not happy, bad quality fabric")</f>
        <v>Hooded sweatshirts not happy, bad quality fabric</v>
      </c>
    </row>
    <row r="13036">
      <c r="A13036" s="1">
        <v>1.0</v>
      </c>
      <c r="B13036" s="1" t="s">
        <v>12817</v>
      </c>
      <c r="C13036" t="str">
        <f>IFERROR(__xludf.DUMMYFUNCTION("GOOGLETRANSLATE(B13036, ""fr"", ""en"")"),"Not satisfied That's the 2nd time I recommended. The 1st time I ordered the M size, but it was too big I returned and I have recommended a 2 nd time the S size is too large I am not satisfied by the excessive jogging down and it's not like his picture!")</f>
        <v>Not satisfied That's the 2nd time I recommended. The 1st time I ordered the M size, but it was too big I returned and I have recommended a 2 nd time the S size is too large I am not satisfied by the excessive jogging down and it's not like his picture!</v>
      </c>
    </row>
    <row r="13037">
      <c r="A13037" s="1">
        <v>3.0</v>
      </c>
      <c r="B13037" s="1" t="s">
        <v>12818</v>
      </c>
      <c r="C13037" t="str">
        <f>IFERROR(__xludf.DUMMYFUNCTION("GOOGLETRANSLATE(B13037, ""fr"", ""en"")"),"Works pretty well but I recommend anyway Indeed, despite the intrinsic qualities of the product, I am disappointed in two aspects: - the detection of changes in direction or stops is rather poor and give you traveled facilemement wrong distance - and espe"&amp;"cially misadventure of the moment: gradually I lost the waterproof earbuds, which happens to use force when the helmet rubs your towels, bags, cables, of course your pocket, etc ... this happens much more easily that we do believe, and gradually it become"&amp;"s necessary to use the remaining atria of various sizes. Until one day you will have to buy and there is drama. Sony discards tiere a company to manage its spare parts. For one (1) unfortunate headset, you will be paid 6 to 10 € 20 € MORE postage !! This "&amp;"is simply outrageous. So for me it's over Sony. I prefer to buy a much cheaper model Decathlon example and does not feel to me bleed during product life.")</f>
        <v>Works pretty well but I recommend anyway Indeed, despite the intrinsic qualities of the product, I am disappointed in two aspects: - the detection of changes in direction or stops is rather poor and give you traveled facilemement wrong distance - and especially misadventure of the moment: gradually I lost the waterproof earbuds, which happens to use force when the helmet rubs your towels, bags, cables, of course your pocket, etc ... this happens much more easily that we do believe, and gradually it becomes necessary to use the remaining atria of various sizes. Until one day you will have to buy and there is drama. Sony discards tiere a company to manage its spare parts. For one (1) unfortunate headset, you will be paid 6 to 10 € 20 € MORE postage !! This is simply outrageous. So for me it's over Sony. I prefer to buy a much cheaper model Decathlon example and does not feel to me bleed during product life.</v>
      </c>
    </row>
    <row r="13038">
      <c r="A13038" s="1">
        <v>3.0</v>
      </c>
      <c r="B13038" s="1" t="s">
        <v>12819</v>
      </c>
      <c r="C13038" t="str">
        <f>IFERROR(__xludf.DUMMYFUNCTION("GOOGLETRANSLATE(B13038, ""fr"", ""en"")"),"Big extension for small microphone Hi all! When unpacking the product the first thing that is the length of the extension, you will tell me what is done to it, indeed you are right, but considering the compactness of the original microphone, it's weird. T"&amp;"he -: - In use, it does not stop it from tangling, the fault of a very thin wire (too late), the fineness of the cable makes me doubt its sustainability. - The cable is expensive and for the price we could have had a storage case ... Pros: - It works (and"&amp;" yes it is still important :) - the microphone does not look degraded, good point on that side - the cable is very long you will gain freedom of movement if you like to walk away from your camera / smartphone. Finally I did not necessarily need to 6m exte"&amp;"nsion, and finally it is a mere extension jack, so I advice ensuring competition, for example I find the next extension more qualitative and much cheaper : &lt;a data-hook = ""product-link-linked"" class = ""a-link-normal"" href = ""/ Kinps-3M-Cable Audio-ex"&amp;"tension-Stereo In-nylon-braided-Jack Stereo-3 -5mm-Male-To-Female-To-Phone-Headphone-Speakers-Tablet-PC-Players-MP3-and-more-3M-Black / dp / B01N4WZBZK / ref = cm_cr_arp_d_rvw_txt? ie = UTF8 ""&gt; Kinps 3M Stereo Audio extension cable Nylon Braided - Jack S"&amp;"tereo 3.5mm Male To Female For Phones, Headphones, Speakers, Tablets, PCs, MP3 players and more (3M, Black) &lt;/a&gt; If you found my review helpful n 'Please tell me;)")</f>
        <v>Big extension for small microphone Hi all! When unpacking the product the first thing that is the length of the extension, you will tell me what is done to it, indeed you are right, but considering the compactness of the original microphone, it's weird. The -: - In use, it does not stop it from tangling, the fault of a very thin wire (too late), the fineness of the cable makes me doubt its sustainability. - The cable is expensive and for the price we could have had a storage case ... Pros: - It works (and yes it is still important :) - the microphone does not look degraded, good point on that side - the cable is very long you will gain freedom of movement if you like to walk away from your camera / smartphone. Finally I did not necessarily need to 6m extension, and finally it is a mere extension jack, so I advice ensuring competition, for example I find the next extension more qualitative and much cheaper : &lt;a data-hook = "product-link-linked" class = "a-link-normal" href = "/ Kinps-3M-Cable Audio-extension-Stereo In-nylon-braided-Jack Stereo-3 -5mm-Male-To-Female-To-Phone-Headphone-Speakers-Tablet-PC-Players-MP3-and-more-3M-Black / dp / B01N4WZBZK / ref = cm_cr_arp_d_rvw_txt? ie = UTF8 "&gt; Kinps 3M Stereo Audio extension cable Nylon Braided - Jack Stereo 3.5mm Male To Female For Phones, Headphones, Speakers, Tablets, PCs, MP3 players and more (3M, Black) &lt;/a&gt; If you found my review helpful n 'Please tell me;)</v>
      </c>
    </row>
    <row r="13039">
      <c r="A13039" s="1">
        <v>4.0</v>
      </c>
      <c r="B13039" s="1" t="s">
        <v>12820</v>
      </c>
      <c r="C13039" t="str">
        <f>IFERROR(__xludf.DUMMYFUNCTION("GOOGLETRANSLATE(B13039, ""fr"", ""en"")"),"well fits well but hard to use, small and not always easy to detach")</f>
        <v>well fits well but hard to use, small and not always easy to detach</v>
      </c>
    </row>
    <row r="13040">
      <c r="A13040" s="1">
        <v>4.0</v>
      </c>
      <c r="B13040" s="1" t="s">
        <v>12821</v>
      </c>
      <c r="C13040" t="str">
        <f>IFERROR(__xludf.DUMMYFUNCTION("GOOGLETRANSLATE(B13040, ""fr"", ""en"")"),"Watch pretty but CR2430 battery HS at the reception The watch is really nice for the price. As against the battery was dead so I had to replace to fill using the watch, the startup procedure does not work, yet it is simple. After the battery change everyt"&amp;"hing is back in order. Must go on YouTube or the Fossil site for explanations because the instructions are concise.")</f>
        <v>Watch pretty but CR2430 battery HS at the reception The watch is really nice for the price. As against the battery was dead so I had to replace to fill using the watch, the startup procedure does not work, yet it is simple. After the battery change everything is back in order. Must go on YouTube or the Fossil site for explanations because the instructions are concise.</v>
      </c>
    </row>
    <row r="13041">
      <c r="A13041" s="1">
        <v>4.0</v>
      </c>
      <c r="B13041" s="1" t="s">
        <v>12822</v>
      </c>
      <c r="C13041" t="str">
        <f>IFERROR(__xludf.DUMMYFUNCTION("GOOGLETRANSLATE(B13041, ""fr"", ""en"")"),"Good product good product for the price, simple to use. Transmission with manual in several languages. I recommend it for someone looking for a cheap watch and quality.")</f>
        <v>Good product good product for the price, simple to use. Transmission with manual in several languages. I recommend it for someone looking for a cheap watch and quality.</v>
      </c>
    </row>
    <row r="13042">
      <c r="A13042" s="1">
        <v>4.0</v>
      </c>
      <c r="B13042" s="1" t="s">
        <v>12823</v>
      </c>
      <c r="C13042" t="str">
        <f>IFERROR(__xludf.DUMMYFUNCTION("GOOGLETRANSLATE(B13042, ""fr"", ""en"")"),"Comment A little too small if nickel, no surprises and good brand")</f>
        <v>Comment A little too small if nickel, no surprises and good brand</v>
      </c>
    </row>
    <row r="13043">
      <c r="A13043" s="1">
        <v>5.0</v>
      </c>
      <c r="B13043" s="1" t="s">
        <v>12824</v>
      </c>
      <c r="C13043" t="str">
        <f>IFERROR(__xludf.DUMMYFUNCTION("GOOGLETRANSLATE(B13043, ""fr"", ""en"")"),"Great product Excellent value for money")</f>
        <v>Great product Excellent value for money</v>
      </c>
    </row>
    <row r="13044">
      <c r="A13044" s="1">
        <v>5.0</v>
      </c>
      <c r="B13044" s="1" t="s">
        <v>12825</v>
      </c>
      <c r="C13044" t="str">
        <f>IFERROR(__xludf.DUMMYFUNCTION("GOOGLETRANSLATE(B13044, ""fr"", ""en"")"),"Delivery very hot in the good times and very much in line with expectations: boot very light and very warm")</f>
        <v>Delivery very hot in the good times and very much in line with expectations: boot very light and very warm</v>
      </c>
    </row>
    <row r="13045">
      <c r="A13045" s="1">
        <v>5.0</v>
      </c>
      <c r="B13045" s="1" t="s">
        <v>12826</v>
      </c>
      <c r="C13045" t="str">
        <f>IFERROR(__xludf.DUMMYFUNCTION("GOOGLETRANSLATE(B13045, ""fr"", ""en"")"),"perfect for home comfort")</f>
        <v>perfect for home comfort</v>
      </c>
    </row>
    <row r="13046">
      <c r="A13046" s="1">
        <v>5.0</v>
      </c>
      <c r="B13046" s="1" t="s">
        <v>12827</v>
      </c>
      <c r="C13046" t="str">
        <f>IFERROR(__xludf.DUMMYFUNCTION("GOOGLETRANSLATE(B13046, ""fr"", ""en"")"),"Ok Good product")</f>
        <v>Ok Good product</v>
      </c>
    </row>
    <row r="13047">
      <c r="A13047" s="1">
        <v>5.0</v>
      </c>
      <c r="B13047" s="1" t="s">
        <v>12828</v>
      </c>
      <c r="C13047" t="str">
        <f>IFERROR(__xludf.DUMMYFUNCTION("GOOGLETRANSLATE(B13047, ""fr"", ""en"")"),"Original Very original as a sweater and synthetic quality but good quality")</f>
        <v>Original Very original as a sweater and synthetic quality but good quality</v>
      </c>
    </row>
    <row r="13048">
      <c r="A13048" s="1">
        <v>5.0</v>
      </c>
      <c r="B13048" s="1" t="s">
        <v>12829</v>
      </c>
      <c r="C13048" t="str">
        <f>IFERROR(__xludf.DUMMYFUNCTION("GOOGLETRANSLATE(B13048, ""fr"", ""en"")"),"Like on the photo! For fine person and loves romance")</f>
        <v>Like on the photo! For fine person and loves romance</v>
      </c>
    </row>
    <row r="13049">
      <c r="A13049" s="1">
        <v>5.0</v>
      </c>
      <c r="B13049" s="1" t="s">
        <v>12830</v>
      </c>
      <c r="C13049" t="str">
        <f>IFERROR(__xludf.DUMMYFUNCTION("GOOGLETRANSLATE(B13049, ""fr"", ""en"")"),"Very cute The earrings are beautiful and glow with small '' diamonds ''. What I thought were larger, but too bad, they are really great! I recommended")</f>
        <v>Very cute The earrings are beautiful and glow with small '' diamonds ''. What I thought were larger, but too bad, they are really great! I recommended</v>
      </c>
    </row>
    <row r="13050">
      <c r="A13050" s="1">
        <v>5.0</v>
      </c>
      <c r="B13050" s="1" t="s">
        <v>12831</v>
      </c>
      <c r="C13050" t="str">
        <f>IFERROR(__xludf.DUMMYFUNCTION("GOOGLETRANSLATE(B13050, ""fr"", ""en"")"),"Very good lamp very good product! I recommend it for the winter. Ideally to use the morning for 15 or 20 minutes.")</f>
        <v>Very good lamp very good product! I recommend it for the winter. Ideally to use the morning for 15 or 20 minutes.</v>
      </c>
    </row>
    <row r="13051">
      <c r="A13051" s="1">
        <v>5.0</v>
      </c>
      <c r="B13051" s="1" t="s">
        <v>12832</v>
      </c>
      <c r="C13051" t="str">
        <f>IFERROR(__xludf.DUMMYFUNCTION("GOOGLETRANSLATE(B13051, ""fr"", ""en"")"),"Very nice quality real stone")</f>
        <v>Very nice quality real stone</v>
      </c>
    </row>
    <row r="13052">
      <c r="A13052" s="1">
        <v>5.0</v>
      </c>
      <c r="B13052" s="1" t="s">
        <v>12833</v>
      </c>
      <c r="C13052" t="str">
        <f>IFERROR(__xludf.DUMMYFUNCTION("GOOGLETRANSLATE(B13052, ""fr"", ""en"")"),"Top quality fan of these pairs of socks, comfortable for sport as for everyday, true product descriptions, top.")</f>
        <v>Top quality fan of these pairs of socks, comfortable for sport as for everyday, true product descriptions, top.</v>
      </c>
    </row>
    <row r="13053">
      <c r="A13053" s="1">
        <v>5.0</v>
      </c>
      <c r="B13053" s="1" t="s">
        <v>12834</v>
      </c>
      <c r="C13053" t="str">
        <f>IFERROR(__xludf.DUMMYFUNCTION("GOOGLETRANSLATE(B13053, ""fr"", ""en"")"),"A great sound incredible sound (for non-professional users I am). Noise reduction is quite impressive, even without music and headphone out (activation is independent of diet, careful not to forget the cut). Coupling with different devices is no problem, "&amp;"the phone even indicating an estimate of the remaining battery (by range of 20%, more precision would have been better, but it's better than no indication). In warm weather, remove the helmet can see we have a little sweat, but in use it's not embarrassin"&amp;"g at all. And it might keep ears warm during the winter! : D all for a really low price!")</f>
        <v>A great sound incredible sound (for non-professional users I am). Noise reduction is quite impressive, even without music and headphone out (activation is independent of diet, careful not to forget the cut). Coupling with different devices is no problem, the phone even indicating an estimate of the remaining battery (by range of 20%, more precision would have been better, but it's better than no indication). In warm weather, remove the helmet can see we have a little sweat, but in use it's not embarrassing at all. And it might keep ears warm during the winter! : D all for a really low price!</v>
      </c>
    </row>
    <row r="13054">
      <c r="A13054" s="1">
        <v>5.0</v>
      </c>
      <c r="B13054" s="1" t="s">
        <v>12835</v>
      </c>
      <c r="C13054" t="str">
        <f>IFERROR(__xludf.DUMMYFUNCTION("GOOGLETRANSLATE(B13054, ""fr"", ""en"")"),"PC Support handy Excellent quality this support! My laptop does not heat up, there are several possible positions to tilt the tablet with the buttons on the sides, the materials seem strong! Very pleased with this purchase!")</f>
        <v>PC Support handy Excellent quality this support! My laptop does not heat up, there are several possible positions to tilt the tablet with the buttons on the sides, the materials seem strong! Very pleased with this purchase!</v>
      </c>
    </row>
    <row r="13055">
      <c r="A13055" s="1">
        <v>5.0</v>
      </c>
      <c r="B13055" s="1" t="s">
        <v>12836</v>
      </c>
      <c r="C13055" t="str">
        <f>IFERROR(__xludf.DUMMYFUNCTION("GOOGLETRANSLATE(B13055, ""fr"", ""en"")"),"Magnificent !! Packaging: excellent product: 1 silver necklace pendant 925 th string + 1 nice case Product description: I am very satisfied with my purchase !! It's is my 3rd purchase in this store that I have an absolute confidence for never disappointed"&amp;"! I received my necklace very quickly and in a clean and neat packaging as always! The collar is in 925 th and Cubic zirconia, DIAMENTE for the pendant, it is about 45 cm, which is a good size neither too long nor too short! It is a fine jewelry chain is "&amp;"very strong I try pulling stronger or weaker over she did not give in! Everything comes in a nice case is can be offered for a special occasion without problems. Conclusion: No not hesitate for purchasing're the favorite insured !!")</f>
        <v>Magnificent !! Packaging: excellent product: 1 silver necklace pendant 925 th string + 1 nice case Product description: I am very satisfied with my purchase !! It's is my 3rd purchase in this store that I have an absolute confidence for never disappointed! I received my necklace very quickly and in a clean and neat packaging as always! The collar is in 925 th and Cubic zirconia, DIAMENTE for the pendant, it is about 45 cm, which is a good size neither too long nor too short! It is a fine jewelry chain is very strong I try pulling stronger or weaker over she did not give in! Everything comes in a nice case is can be offered for a special occasion without problems. Conclusion: No not hesitate for purchasing're the favorite insured !!</v>
      </c>
    </row>
    <row r="13056">
      <c r="A13056" s="1">
        <v>5.0</v>
      </c>
      <c r="B13056" s="1" t="s">
        <v>12837</v>
      </c>
      <c r="C13056" t="str">
        <f>IFERROR(__xludf.DUMMYFUNCTION("GOOGLETRANSLATE(B13056, ""fr"", ""en"")"),"The well cap release system is nice, the transparency of glass and LEDs on the interior, a design effect. easy to clean, just a bit of vinegar and water and the kettle is like new!")</f>
        <v>The well cap release system is nice, the transparency of glass and LEDs on the interior, a design effect. easy to clean, just a bit of vinegar and water and the kettle is like new!</v>
      </c>
    </row>
    <row r="13057">
      <c r="A13057" s="1">
        <v>5.0</v>
      </c>
      <c r="B13057" s="1" t="s">
        <v>12838</v>
      </c>
      <c r="C13057" t="str">
        <f>IFERROR(__xludf.DUMMYFUNCTION("GOOGLETRANSLATE(B13057, ""fr"", ""en"")"),"Cartridges ink cartridges very good price / quality ratio compared to larger surfaces!")</f>
        <v>Cartridges ink cartridges very good price / quality ratio compared to larger surfaces!</v>
      </c>
    </row>
    <row r="13058">
      <c r="A13058" s="1">
        <v>2.0</v>
      </c>
      <c r="B13058" s="1" t="s">
        <v>12839</v>
      </c>
      <c r="C13058" t="str">
        <f>IFERROR(__xludf.DUMMYFUNCTION("GOOGLETRANSLATE(B13058, ""fr"", ""en"")"),"Stop running after 8 months of occasional use I was very satisfied from this for my muscle contractures back. I used it occasionally. Just 8 months after my purchase, the on / off button is not working! The device is broken and no guarantees. If he walked"&amp;" again I would have put 5 stars ... because it is lightweight and easy to use.")</f>
        <v>Stop running after 8 months of occasional use I was very satisfied from this for my muscle contractures back. I used it occasionally. Just 8 months after my purchase, the on / off button is not working! The device is broken and no guarantees. If he walked again I would have put 5 stars ... because it is lightweight and easy to use.</v>
      </c>
    </row>
    <row r="13059">
      <c r="A13059" s="1">
        <v>1.0</v>
      </c>
      <c r="B13059" s="1" t="s">
        <v>12840</v>
      </c>
      <c r="C13059" t="str">
        <f>IFERROR(__xludf.DUMMYFUNCTION("GOOGLETRANSLATE(B13059, ""fr"", ""en"")"),"Very disappointed by this Caterpillar In an almost urban use my pair of Caterpillar started to to show serious signs of fatigue 2 months after purchase: The sole crumbles into small end, the yellow band of it completely disappeared. Large deep cracks form"&amp;"ed on the leather. Leather brand is deeply through a scratch or shock. The 4th month of daily wear is sewing the leather started to let go. In the 9th month of use of the metal parts are out I do not know where the shoe. Note that I wax my Caterpillar mai"&amp;"ntains a weekly brushing and polish passage. After 11 months, I have to consider changing the shoes I was hoping to keep it longer. My first reaction was to think of an unfortunate infringement of this famous Holton, but not after several forums readings "&amp;"and other notices the conclusion is clear: Caterpillar by economic choices without doubt significantly revised down its production. This is unfortunate because at the time to buy a new pair of shoes I finally turn away from this brand that offers more qua"&amp;"lity products. My choice today is to TIMBERLAND, which is certainly two times more expensive than Caterpillar on the same product segment. When will you understand that we too will push prices to the detriment of necessary quality you get lost and lose cu"&amp;"stomers. I highly recommend buying a pair of Caterpillar.")</f>
        <v>Very disappointed by this Caterpillar In an almost urban use my pair of Caterpillar started to to show serious signs of fatigue 2 months after purchase: The sole crumbles into small end, the yellow band of it completely disappeared. Large deep cracks formed on the leather. Leather brand is deeply through a scratch or shock. The 4th month of daily wear is sewing the leather started to let go. In the 9th month of use of the metal parts are out I do not know where the shoe. Note that I wax my Caterpillar maintains a weekly brushing and polish passage. After 11 months, I have to consider changing the shoes I was hoping to keep it longer. My first reaction was to think of an unfortunate infringement of this famous Holton, but not after several forums readings and other notices the conclusion is clear: Caterpillar by economic choices without doubt significantly revised down its production. This is unfortunate because at the time to buy a new pair of shoes I finally turn away from this brand that offers more quality products. My choice today is to TIMBERLAND, which is certainly two times more expensive than Caterpillar on the same product segment. When will you understand that we too will push prices to the detriment of necessary quality you get lost and lose customers. I highly recommend buying a pair of Caterpillar.</v>
      </c>
    </row>
    <row r="13060">
      <c r="A13060" s="1">
        <v>1.0</v>
      </c>
      <c r="B13060" s="1" t="s">
        <v>12841</v>
      </c>
      <c r="C13060" t="str">
        <f>IFERROR(__xludf.DUMMYFUNCTION("GOOGLETRANSLATE(B13060, ""fr"", ""en"")"),"we do not want the same pay me too small and white stripes bleed")</f>
        <v>we do not want the same pay me too small and white stripes bleed</v>
      </c>
    </row>
    <row r="13061">
      <c r="A13061" s="1">
        <v>3.0</v>
      </c>
      <c r="B13061" s="1" t="s">
        <v>12842</v>
      </c>
      <c r="C13061" t="str">
        <f>IFERROR(__xludf.DUMMYFUNCTION("GOOGLETRANSLATE(B13061, ""fr"", ""en"")"),"good product is a good product that is delivered quickly, check out the compatibility of maped 26/6 staples with your stapler before making your purchase")</f>
        <v>good product is a good product that is delivered quickly, check out the compatibility of maped 26/6 staples with your stapler before making your purchase</v>
      </c>
    </row>
    <row r="13062">
      <c r="A13062" s="1">
        <v>4.0</v>
      </c>
      <c r="B13062" s="1" t="s">
        <v>12843</v>
      </c>
      <c r="C13062" t="str">
        <f>IFERROR(__xludf.DUMMYFUNCTION("GOOGLETRANSLATE(B13062, ""fr"", ""en"")"),"draie must lengthen a little more tissue to lengthen each leg over each leg tissues")</f>
        <v>draie must lengthen a little more tissue to lengthen each leg over each leg tissues</v>
      </c>
    </row>
    <row r="13063">
      <c r="A13063" s="1">
        <v>4.0</v>
      </c>
      <c r="B13063" s="1" t="s">
        <v>3242</v>
      </c>
      <c r="C13063" t="str">
        <f>IFERROR(__xludf.DUMMYFUNCTION("GOOGLETRANSLATE(B13063, ""fr"", ""en"")"),"Super Very good")</f>
        <v>Super Very good</v>
      </c>
    </row>
    <row r="13064">
      <c r="A13064" s="1">
        <v>4.0</v>
      </c>
      <c r="B13064" s="1" t="s">
        <v>12844</v>
      </c>
      <c r="C13064" t="str">
        <f>IFERROR(__xludf.DUMMYFUNCTION("GOOGLETRANSLATE(B13064, ""fr"", ""en"")"),"Compliant but attention to packaging the item is in line with my expectations, but be careful if vs wish to make a gift for the box was in a sorry state. If the shoes are pretty, I recommend.")</f>
        <v>Compliant but attention to packaging the item is in line with my expectations, but be careful if vs wish to make a gift for the box was in a sorry state. If the shoes are pretty, I recommend.</v>
      </c>
    </row>
    <row r="13065">
      <c r="A13065" s="1">
        <v>4.0</v>
      </c>
      <c r="B13065" s="1" t="s">
        <v>12845</v>
      </c>
      <c r="C13065" t="str">
        <f>IFERROR(__xludf.DUMMYFUNCTION("GOOGLETRANSLATE(B13065, ""fr"", ""en"")"),"Quality ... top Good quality but small size")</f>
        <v>Quality ... top Good quality but small size</v>
      </c>
    </row>
    <row r="13066">
      <c r="A13066" s="1">
        <v>5.0</v>
      </c>
      <c r="B13066" s="1" t="s">
        <v>12846</v>
      </c>
      <c r="C13066" t="str">
        <f>IFERROR(__xludf.DUMMYFUNCTION("GOOGLETRANSLATE(B13066, ""fr"", ""en"")"),"Perfect Very nice kettle, easy to use, instructions in French light LED had its effect")</f>
        <v>Perfect Very nice kettle, easy to use, instructions in French light LED had its effect</v>
      </c>
    </row>
    <row r="13067">
      <c r="A13067" s="1">
        <v>5.0</v>
      </c>
      <c r="B13067" s="1" t="s">
        <v>12847</v>
      </c>
      <c r="C13067" t="str">
        <f>IFERROR(__xludf.DUMMYFUNCTION("GOOGLETRANSLATE(B13067, ""fr"", ""en"")"),"Very well very well")</f>
        <v>Very well very well</v>
      </c>
    </row>
    <row r="13068">
      <c r="A13068" s="1">
        <v>5.0</v>
      </c>
      <c r="B13068" s="1" t="s">
        <v>12848</v>
      </c>
      <c r="C13068" t="str">
        <f>IFERROR(__xludf.DUMMYFUNCTION("GOOGLETRANSLATE(B13068, ""fr"", ""en"")"),"Meets Great product")</f>
        <v>Meets Great product</v>
      </c>
    </row>
    <row r="13069">
      <c r="A13069" s="1">
        <v>5.0</v>
      </c>
      <c r="B13069" s="1" t="s">
        <v>12849</v>
      </c>
      <c r="C13069" t="str">
        <f>IFERROR(__xludf.DUMMYFUNCTION("GOOGLETRANSLATE(B13069, ""fr"", ""en"")"),"Practice makes the job. For now we use the n Bib'expresso that to warm up breast milk that was put in the fridge. N is used as part bath.")</f>
        <v>Practice makes the job. For now we use the n Bib'expresso that to warm up breast milk that was put in the fridge. N is used as part bath.</v>
      </c>
    </row>
    <row r="13070">
      <c r="A13070" s="1">
        <v>5.0</v>
      </c>
      <c r="B13070" s="1" t="s">
        <v>12850</v>
      </c>
      <c r="C13070" t="str">
        <f>IFERROR(__xludf.DUMMYFUNCTION("GOOGLETRANSLATE(B13070, ""fr"", ""en"")"),"Very satisfied My father was very happy to receive this bag for Christmas")</f>
        <v>Very satisfied My father was very happy to receive this bag for Christmas</v>
      </c>
    </row>
    <row r="13071">
      <c r="A13071" s="1">
        <v>5.0</v>
      </c>
      <c r="B13071" s="1" t="s">
        <v>12851</v>
      </c>
      <c r="C13071" t="str">
        <f>IFERROR(__xludf.DUMMYFUNCTION("GOOGLETRANSLATE(B13071, ""fr"", ""en"")"),"Super I wrote this after more than 3 years of use! This mic works well and is always super good quality comes with a small storage bag faux leather and a spider all metal frankly the best day or the microphone unleash me I will take the same :)")</f>
        <v>Super I wrote this after more than 3 years of use! This mic works well and is always super good quality comes with a small storage bag faux leather and a spider all metal frankly the best day or the microphone unleash me I will take the same :)</v>
      </c>
    </row>
    <row r="13072">
      <c r="A13072" s="1">
        <v>5.0</v>
      </c>
      <c r="B13072" s="1" t="s">
        <v>12852</v>
      </c>
      <c r="C13072" t="str">
        <f>IFERROR(__xludf.DUMMYFUNCTION("GOOGLETRANSLATE(B13072, ""fr"", ""en"")"),"Activity Many stickers of different sizes and shapes! Easy To catch the child! Many colors to let a child what s fun")</f>
        <v>Activity Many stickers of different sizes and shapes! Easy To catch the child! Many colors to let a child what s fun</v>
      </c>
    </row>
    <row r="13073">
      <c r="A13073" s="1">
        <v>5.0</v>
      </c>
      <c r="B13073" s="1" t="s">
        <v>12853</v>
      </c>
      <c r="C13073" t="str">
        <f>IFERROR(__xludf.DUMMYFUNCTION("GOOGLETRANSLATE(B13073, ""fr"", ""en"")"),"Its design Hello The temperature rise is very fast Use for tea and herbal teas")</f>
        <v>Its design Hello The temperature rise is very fast Use for tea and herbal teas</v>
      </c>
    </row>
    <row r="13074">
      <c r="A13074" s="1">
        <v>5.0</v>
      </c>
      <c r="B13074" s="1" t="s">
        <v>12854</v>
      </c>
      <c r="C13074" t="str">
        <f>IFERROR(__xludf.DUMMYFUNCTION("GOOGLETRANSLATE(B13074, ""fr"", ""en"")"),"MORE THAN PERFECT !! I love this product makes the skin very soft and smells good I highly recommend!")</f>
        <v>MORE THAN PERFECT !! I love this product makes the skin very soft and smells good I highly recommend!</v>
      </c>
    </row>
    <row r="13075">
      <c r="A13075" s="1">
        <v>5.0</v>
      </c>
      <c r="B13075" s="1" t="s">
        <v>12855</v>
      </c>
      <c r="C13075" t="str">
        <f>IFERROR(__xludf.DUMMYFUNCTION("GOOGLETRANSLATE(B13075, ""fr"", ""en"")"),"Canon model, but large size Warning this model, size large or very large. The 38 suitable for 39 or 38 thick socks. They seem more resistant than Superstar despite being canvas. I recommend ! (Well not too avoid finishing it all with the feet as with the "&amp;"superstar and stan smith!)")</f>
        <v>Canon model, but large size Warning this model, size large or very large. The 38 suitable for 39 or 38 thick socks. They seem more resistant than Superstar despite being canvas. I recommend ! (Well not too avoid finishing it all with the feet as with the superstar and stan smith!)</v>
      </c>
    </row>
    <row r="13076">
      <c r="A13076" s="1">
        <v>5.0</v>
      </c>
      <c r="B13076" s="1" t="s">
        <v>12856</v>
      </c>
      <c r="C13076" t="str">
        <f>IFERROR(__xludf.DUMMYFUNCTION("GOOGLETRANSLATE(B13076, ""fr"", ""en"")"),"Good back support. Bag purchased for the start of my great in high school. The bag is a good size, the straps are comfortable and there is a rigid back protector well for better support The various pockets are pretty well arranged and large enough. A supe"&amp;"r flyweight.")</f>
        <v>Good back support. Bag purchased for the start of my great in high school. The bag is a good size, the straps are comfortable and there is a rigid back protector well for better support The various pockets are pretty well arranged and large enough. A super flyweight.</v>
      </c>
    </row>
    <row r="13077">
      <c r="A13077" s="1">
        <v>5.0</v>
      </c>
      <c r="B13077" s="1" t="s">
        <v>12857</v>
      </c>
      <c r="C13077" t="str">
        <f>IFERROR(__xludf.DUMMYFUNCTION("GOOGLETRANSLATE(B13077, ""fr"", ""en"")"),"simplicity and price report validated Wood crude that can customize the product. Price very affordable.")</f>
        <v>simplicity and price report validated Wood crude that can customize the product. Price very affordable.</v>
      </c>
    </row>
    <row r="13078">
      <c r="A13078" s="1">
        <v>5.0</v>
      </c>
      <c r="B13078" s="1" t="s">
        <v>12858</v>
      </c>
      <c r="C13078" t="str">
        <f>IFERROR(__xludf.DUMMYFUNCTION("GOOGLETRANSLATE(B13078, ""fr"", ""en"")"),"incomplete instructions incomplete instructions really and only in English")</f>
        <v>incomplete instructions incomplete instructions really and only in English</v>
      </c>
    </row>
    <row r="13079">
      <c r="A13079" s="1">
        <v>5.0</v>
      </c>
      <c r="B13079" s="1" t="s">
        <v>12859</v>
      </c>
      <c r="C13079" t="str">
        <f>IFERROR(__xludf.DUMMYFUNCTION("GOOGLETRANSLATE(B13079, ""fr"", ""en"")"),"Watch made the job makes the job perfectly. I was looking for a simple watch with a time and a time nothing more. It is large without being imposing, comfortable wrist is very convenient for sports.")</f>
        <v>Watch made the job makes the job perfectly. I was looking for a simple watch with a time and a time nothing more. It is large without being imposing, comfortable wrist is very convenient for sports.</v>
      </c>
    </row>
    <row r="13080">
      <c r="A13080" s="1">
        <v>5.0</v>
      </c>
      <c r="B13080" s="1" t="s">
        <v>12860</v>
      </c>
      <c r="C13080" t="str">
        <f>IFERROR(__xludf.DUMMYFUNCTION("GOOGLETRANSLATE(B13080, ""fr"", ""en"")"),"Effective! A little surprise on the scope of use, accustomed to a brown paper, one is white, the smell also parru me different, I did try, certainly the smell is not entirely is the same that I knew, but it is nice and deodorizes perfectly, so it does the"&amp;" job, nothing to say on that, so I recommend this product that was delivered more quickly and ahead of schedule, pERFECT!")</f>
        <v>Effective! A little surprise on the scope of use, accustomed to a brown paper, one is white, the smell also parru me different, I did try, certainly the smell is not entirely is the same that I knew, but it is nice and deodorizes perfectly, so it does the job, nothing to say on that, so I recommend this product that was delivered more quickly and ahead of schedule, pERFECT!</v>
      </c>
    </row>
    <row r="13081">
      <c r="A13081" s="1">
        <v>2.0</v>
      </c>
      <c r="B13081" s="1" t="s">
        <v>12861</v>
      </c>
      <c r="C13081" t="str">
        <f>IFERROR(__xludf.DUMMYFUNCTION("GOOGLETRANSLATE(B13081, ""fr"", ""en"")"),"Far too expensive Recognized instantly by the printer (which congratulates you on your purchase), these cartridges sold at worst a Dom Perignon Grand cru gives good results ... but no better than a kit sold 15 €.")</f>
        <v>Far too expensive Recognized instantly by the printer (which congratulates you on your purchase), these cartridges sold at worst a Dom Perignon Grand cru gives good results ... but no better than a kit sold 15 €.</v>
      </c>
    </row>
    <row r="13082">
      <c r="A13082" s="1">
        <v>1.0</v>
      </c>
      <c r="B13082" s="1" t="s">
        <v>12862</v>
      </c>
      <c r="C13082" t="str">
        <f>IFERROR(__xludf.DUMMYFUNCTION("GOOGLETRANSLATE(B13082, ""fr"", ""en"")"),"Shock on the glass + stopwatch problem Nickel Wrapping, but opening I discovered that the glass of the watch had been struck before packaging. When I stop counting and then I want the reset, it does not reset back but only a few seconds. This is unfortuna"&amp;"te because the watch is lightweight and not too big.")</f>
        <v>Shock on the glass + stopwatch problem Nickel Wrapping, but opening I discovered that the glass of the watch had been struck before packaging. When I stop counting and then I want the reset, it does not reset back but only a few seconds. This is unfortunate because the watch is lightweight and not too big.</v>
      </c>
    </row>
    <row r="13083">
      <c r="A13083" s="1">
        <v>3.0</v>
      </c>
      <c r="B13083" s="1" t="s">
        <v>12863</v>
      </c>
      <c r="C13083" t="str">
        <f>IFERROR(__xludf.DUMMYFUNCTION("GOOGLETRANSLATE(B13083, ""fr"", ""en"")"),"Perfect fit for sport I am happy holding but after 30 minutes the guitar material c is the only disadvantages if he keeps it promise.")</f>
        <v>Perfect fit for sport I am happy holding but after 30 minutes the guitar material c is the only disadvantages if he keeps it promise.</v>
      </c>
    </row>
    <row r="13084">
      <c r="A13084" s="1">
        <v>3.0</v>
      </c>
      <c r="B13084" s="1" t="s">
        <v>12864</v>
      </c>
      <c r="C13084" t="str">
        <f>IFERROR(__xludf.DUMMYFUNCTION("GOOGLETRANSLATE(B13084, ""fr"", ""en"")"),"No surprise for the price I ordered several pairs of shoes on this site, in general very satisfied, they are not the best")</f>
        <v>No surprise for the price I ordered several pairs of shoes on this site, in general very satisfied, they are not the best</v>
      </c>
    </row>
    <row r="13085">
      <c r="A13085" s="1">
        <v>4.0</v>
      </c>
      <c r="B13085" s="1" t="s">
        <v>12865</v>
      </c>
      <c r="C13085" t="str">
        <f>IFERROR(__xludf.DUMMYFUNCTION("GOOGLETRANSLATE(B13085, ""fr"", ""en"")"),"Fast delivery and good comfort for the moment I received the chair the next day as often with Prime. Installation is quite easy outside the last two screws folder. Nothing is impossible, but block the foot not the chair rolls pulling the file back to alig"&amp;"n the screw holes, only it's not simple. Very comfortable for the moment, to be confirmed after a few hours of use.")</f>
        <v>Fast delivery and good comfort for the moment I received the chair the next day as often with Prime. Installation is quite easy outside the last two screws folder. Nothing is impossible, but block the foot not the chair rolls pulling the file back to align the screw holes, only it's not simple. Very comfortable for the moment, to be confirmed after a few hours of use.</v>
      </c>
    </row>
    <row r="13086">
      <c r="A13086" s="1">
        <v>4.0</v>
      </c>
      <c r="B13086" s="1" t="s">
        <v>12866</v>
      </c>
      <c r="C13086" t="str">
        <f>IFERROR(__xludf.DUMMYFUNCTION("GOOGLETRANSLATE(B13086, ""fr"", ""en"")"),"many items consistent with the description, however, a few hooks were poorly finished or damaged. But these représentenNT a small figure given the number of hooks. I recommend this seller.")</f>
        <v>many items consistent with the description, however, a few hooks were poorly finished or damaged. But these représentenNT a small figure given the number of hooks. I recommend this seller.</v>
      </c>
    </row>
    <row r="13087">
      <c r="A13087" s="1">
        <v>4.0</v>
      </c>
      <c r="B13087" s="1" t="s">
        <v>12867</v>
      </c>
      <c r="C13087" t="str">
        <f>IFERROR(__xludf.DUMMYFUNCTION("GOOGLETRANSLATE(B13087, ""fr"", ""en"")"),"Very good product for the price ... A multi-purpose microphone, because the receiver allows to connect 3 different ways to an audio system. Or via standard 6.5mm jack microphone, which can pass standard 3.5mm headphones via the adapter provides. Or a conv"&amp;"erter jack to cinchs (RCA). Either via the FM, as it can also transmit on different frequencies 3, or with Bluetooth. The receiver has 10 bands, thereby add 10 microphones simultaneously, which is still consistent. As for food, the microphone requires 2 A"&amp;"A batteries, while the receiver needs a 18650 batteries, easily findable. Note that the receiver can also power and charge the battery via the micro USB port. Little trouble at the receiver for one, the positive part is not clear enough about my batteries"&amp;" (Eneloop different brands, Samsung ...), so it is no contact, I have to add a piece of metal ... the quality itself is good, the microphone and the receiver are plastic, but does not at all cheap, and gives a solid feel in your hands. The sound quality i"&amp;"s important since it is excellent for the price, and frankly I was not expecting it at all. However, planning an anti pop filter, because it is quite sensitive to that. It also tends to saturate if you place it too close to your mouth. But I do not put it"&amp;" 5 stars because the fact that the battery does not fit 18650 and those on several brands, is quite annoying. I could also point out that the amplification was pretty weak, but it goes without worries of a home theater or a mixer made for. Aside from its "&amp;"small minor flaws, I recommend without worries for the price.")</f>
        <v>Very good product for the price ... A multi-purpose microphone, because the receiver allows to connect 3 different ways to an audio system. Or via standard 6.5mm jack microphone, which can pass standard 3.5mm headphones via the adapter provides. Or a converter jack to cinchs (RCA). Either via the FM, as it can also transmit on different frequencies 3, or with Bluetooth. The receiver has 10 bands, thereby add 10 microphones simultaneously, which is still consistent. As for food, the microphone requires 2 AA batteries, while the receiver needs a 18650 batteries, easily findable. Note that the receiver can also power and charge the battery via the micro USB port. Little trouble at the receiver for one, the positive part is not clear enough about my batteries (Eneloop different brands, Samsung ...), so it is no contact, I have to add a piece of metal ... the quality itself is good, the microphone and the receiver are plastic, but does not at all cheap, and gives a solid feel in your hands. The sound quality is important since it is excellent for the price, and frankly I was not expecting it at all. However, planning an anti pop filter, because it is quite sensitive to that. It also tends to saturate if you place it too close to your mouth. But I do not put it 5 stars because the fact that the battery does not fit 18650 and those on several brands, is quite annoying. I could also point out that the amplification was pretty weak, but it goes without worries of a home theater or a mixer made for. Aside from its small minor flaws, I recommend without worries for the price.</v>
      </c>
    </row>
    <row r="13088">
      <c r="A13088" s="1">
        <v>4.0</v>
      </c>
      <c r="B13088" s="1" t="s">
        <v>12868</v>
      </c>
      <c r="C13088" t="str">
        <f>IFERROR(__xludf.DUMMYFUNCTION("GOOGLETRANSLATE(B13088, ""fr"", ""en"")"),"Very good quality / price Very nice watch, certe it appears from imposing on her wrist that I had a pretty fine and having a small wrist but with time, have got used to and it's fashion expressive watches. For features, nothing to say, quite simple with t"&amp;"he software ""Fossil Smartwatch"" to install on a smartphone. Finally a good enough quality material, not ""fragile"" for my part, had less it is only for the weekend end.aucun regret.")</f>
        <v>Very good quality / price Very nice watch, certe it appears from imposing on her wrist that I had a pretty fine and having a small wrist but with time, have got used to and it's fashion expressive watches. For features, nothing to say, quite simple with the software "Fossil Smartwatch" to install on a smartphone. Finally a good enough quality material, not "fragile" for my part, had less it is only for the weekend end.aucun regret.</v>
      </c>
    </row>
    <row r="13089">
      <c r="A13089" s="1">
        <v>5.0</v>
      </c>
      <c r="B13089" s="1" t="s">
        <v>12869</v>
      </c>
      <c r="C13089" t="str">
        <f>IFERROR(__xludf.DUMMYFUNCTION("GOOGLETRANSLATE(B13089, ""fr"", ""en"")"),"bottle magic! The product is well packaged and delivered on time ... conforms to the photo even more beautiful ... I would say this is magic bottle tt just weaned baby ... wonderful ... nothing to say, I'm not disappointed with my purchase, I highly recom"&amp;"mend ....")</f>
        <v>bottle magic! The product is well packaged and delivered on time ... conforms to the photo even more beautiful ... I would say this is magic bottle tt just weaned baby ... wonderful ... nothing to say, I'm not disappointed with my purchase, I highly recommend ....</v>
      </c>
    </row>
    <row r="13090">
      <c r="A13090" s="1">
        <v>5.0</v>
      </c>
      <c r="B13090" s="1" t="s">
        <v>12870</v>
      </c>
      <c r="C13090" t="str">
        <f>IFERROR(__xludf.DUMMYFUNCTION("GOOGLETRANSLATE(B13090, ""fr"", ""en"")"),"A renewed every 6/12 months Perfect flow for my daughter")</f>
        <v>A renewed every 6/12 months Perfect flow for my daughter</v>
      </c>
    </row>
    <row r="13091">
      <c r="A13091" s="1">
        <v>5.0</v>
      </c>
      <c r="B13091" s="1" t="s">
        <v>12871</v>
      </c>
      <c r="C13091" t="str">
        <f>IFERROR(__xludf.DUMMYFUNCTION("GOOGLETRANSLATE(B13091, ""fr"", ""en"")"),"File ideal length What I like is the queue length which allows you to make really top stories The length is about 5 meters Really good I can install the microphone anywhere The sound created is good Warning friction Like all lavalier it should be placed s"&amp;"o that there was no friction. Good value for money")</f>
        <v>File ideal length What I like is the queue length which allows you to make really top stories The length is about 5 meters Really good I can install the microphone anywhere The sound created is good Warning friction Like all lavalier it should be placed so that there was no friction. Good value for money</v>
      </c>
    </row>
    <row r="13092">
      <c r="A13092" s="1">
        <v>5.0</v>
      </c>
      <c r="B13092" s="1" t="s">
        <v>12872</v>
      </c>
      <c r="C13092" t="str">
        <f>IFERROR(__xludf.DUMMYFUNCTION("GOOGLETRANSLATE(B13092, ""fr"", ""en"")"),"My daughter is just very good for children")</f>
        <v>My daughter is just very good for children</v>
      </c>
    </row>
    <row r="13093">
      <c r="A13093" s="1">
        <v>5.0</v>
      </c>
      <c r="B13093" s="1" t="s">
        <v>12873</v>
      </c>
      <c r="C13093" t="str">
        <f>IFERROR(__xludf.DUMMYFUNCTION("GOOGLETRANSLATE(B13093, ""fr"", ""en"")"),"Wand massager. extraordinary. I also set on the side of a hair clip for ladies ponytail with a strong rubber ring. You can ask questions.")</f>
        <v>Wand massager. extraordinary. I also set on the side of a hair clip for ladies ponytail with a strong rubber ring. You can ask questions.</v>
      </c>
    </row>
    <row r="13094">
      <c r="A13094" s="1">
        <v>5.0</v>
      </c>
      <c r="B13094" s="1" t="s">
        <v>12874</v>
      </c>
      <c r="C13094" t="str">
        <f>IFERROR(__xludf.DUMMYFUNCTION("GOOGLETRANSLATE(B13094, ""fr"", ""en"")"),"u van sneakers authentic sneakers fashion and my daughter is very happy with his vans are very comfortable in it and burgundy.")</f>
        <v>u van sneakers authentic sneakers fashion and my daughter is very happy with his vans are very comfortable in it and burgundy.</v>
      </c>
    </row>
    <row r="13095">
      <c r="A13095" s="1">
        <v>5.0</v>
      </c>
      <c r="B13095" s="1" t="s">
        <v>12875</v>
      </c>
      <c r="C13095" t="str">
        <f>IFERROR(__xludf.DUMMYFUNCTION("GOOGLETRANSLATE(B13095, ""fr"", ""en"")"),"The beautiful shoes are very beautiful and well made, but I suggest you take one size bigger than your size. Otherwise comply with pictures and arrived in time! Ravi these kittens :)")</f>
        <v>The beautiful shoes are very beautiful and well made, but I suggest you take one size bigger than your size. Otherwise comply with pictures and arrived in time! Ravi these kittens :)</v>
      </c>
    </row>
    <row r="13096">
      <c r="A13096" s="1">
        <v>5.0</v>
      </c>
      <c r="B13096" s="1" t="s">
        <v>12876</v>
      </c>
      <c r="C13096" t="str">
        <f>IFERROR(__xludf.DUMMYFUNCTION("GOOGLETRANSLATE(B13096, ""fr"", ""en"")"),"Product top Very good product, conforms to the photo. Very Fast shipping")</f>
        <v>Product top Very good product, conforms to the photo. Very Fast shipping</v>
      </c>
    </row>
    <row r="13097">
      <c r="A13097" s="1">
        <v>5.0</v>
      </c>
      <c r="B13097" s="1" t="s">
        <v>12877</v>
      </c>
      <c r="C13097" t="str">
        <f>IFERROR(__xludf.DUMMYFUNCTION("GOOGLETRANSLATE(B13097, ""fr"", ""en"")"),"Kettle Super nice when lit")</f>
        <v>Kettle Super nice when lit</v>
      </c>
    </row>
    <row r="13098">
      <c r="A13098" s="1">
        <v>5.0</v>
      </c>
      <c r="B13098" s="1" t="s">
        <v>12878</v>
      </c>
      <c r="C13098" t="str">
        <f>IFERROR(__xludf.DUMMYFUNCTION("GOOGLETRANSLATE(B13098, ""fr"", ""en"")"),"Excellent maintained. Used to classical dance. Well maintained. The removable pads handy for laundry.")</f>
        <v>Excellent maintained. Used to classical dance. Well maintained. The removable pads handy for laundry.</v>
      </c>
    </row>
    <row r="13099">
      <c r="A13099" s="1">
        <v>5.0</v>
      </c>
      <c r="B13099" s="1" t="s">
        <v>12879</v>
      </c>
      <c r="C13099" t="str">
        <f>IFERROR(__xludf.DUMMYFUNCTION("GOOGLETRANSLATE(B13099, ""fr"", ""en"")"),"Top Buys 11 € I love it! Total comfort and it makes a beautiful silhouette")</f>
        <v>Top Buys 11 € I love it! Total comfort and it makes a beautiful silhouette</v>
      </c>
    </row>
    <row r="13100">
      <c r="A13100" s="1">
        <v>5.0</v>
      </c>
      <c r="B13100" s="1" t="s">
        <v>12880</v>
      </c>
      <c r="C13100" t="str">
        <f>IFERROR(__xludf.DUMMYFUNCTION("GOOGLETRANSLATE(B13100, ""fr"", ""en"")"),"OK considering the price My daughter wanted this for her and her girlfriend chains long metal medals well finished she is thrilled!")</f>
        <v>OK considering the price My daughter wanted this for her and her girlfriend chains long metal medals well finished she is thrilled!</v>
      </c>
    </row>
    <row r="13101">
      <c r="A13101" s="1">
        <v>5.0</v>
      </c>
      <c r="B13101" s="1" t="s">
        <v>12881</v>
      </c>
      <c r="C13101" t="str">
        <f>IFERROR(__xludf.DUMMYFUNCTION("GOOGLETRANSLATE(B13101, ""fr"", ""en"")"),"good price / quality design")</f>
        <v>good price / quality design</v>
      </c>
    </row>
    <row r="13102">
      <c r="A13102" s="1">
        <v>5.0</v>
      </c>
      <c r="B13102" s="1" t="s">
        <v>12882</v>
      </c>
      <c r="C13102" t="str">
        <f>IFERROR(__xludf.DUMMYFUNCTION("GOOGLETRANSLATE(B13102, ""fr"", ""en"")"),"quality earphones Already everything is really well protected, too much perhaps. For me it's a plus. The cable seems resistant and the size is perfect for me. The tips in memory foam is quite disturbing at first but after you get tired more. And thank you"&amp;" for putting many sizes, because the means were too big for me. The sound quality is correct. I have tested for a elliptical session, they hold well. Not tested the microphone but the volume controller is simple and functional. I recommend.")</f>
        <v>quality earphones Already everything is really well protected, too much perhaps. For me it's a plus. The cable seems resistant and the size is perfect for me. The tips in memory foam is quite disturbing at first but after you get tired more. And thank you for putting many sizes, because the means were too big for me. The sound quality is correct. I have tested for a elliptical session, they hold well. Not tested the microphone but the volume controller is simple and functional. I recommend.</v>
      </c>
    </row>
    <row r="13103">
      <c r="A13103" s="1">
        <v>5.0</v>
      </c>
      <c r="B13103" s="1" t="s">
        <v>12883</v>
      </c>
      <c r="C13103" t="str">
        <f>IFERROR(__xludf.DUMMYFUNCTION("GOOGLETRANSLATE(B13103, ""fr"", ""en"")"),"Great sound. nomadic use. The sound is very good. Pretty design.")</f>
        <v>Great sound. nomadic use. The sound is very good. Pretty design.</v>
      </c>
    </row>
    <row r="13104">
      <c r="A13104" s="1">
        <v>5.0</v>
      </c>
      <c r="B13104" s="1" t="s">
        <v>12884</v>
      </c>
      <c r="C13104" t="str">
        <f>IFERROR(__xludf.DUMMYFUNCTION("GOOGLETRANSLATE(B13104, ""fr"", ""en"")"),"On Good Very Good")</f>
        <v>On Good Very Good</v>
      </c>
    </row>
    <row r="13105">
      <c r="A13105" s="1">
        <v>2.0</v>
      </c>
      <c r="B13105" s="1" t="s">
        <v>12885</v>
      </c>
      <c r="C13105" t="str">
        <f>IFERROR(__xludf.DUMMYFUNCTION("GOOGLETRANSLATE(B13105, ""fr"", ""en"")"),"size Shoe size too large for a 38, me who is used to buy this brand is the first time that the shoes are too big")</f>
        <v>size Shoe size too large for a 38, me who is used to buy this brand is the first time that the shoes are too big</v>
      </c>
    </row>
    <row r="13106">
      <c r="A13106" s="1">
        <v>1.0</v>
      </c>
      <c r="B13106" s="1" t="s">
        <v>12886</v>
      </c>
      <c r="C13106" t="str">
        <f>IFERROR(__xludf.DUMMYFUNCTION("GOOGLETRANSLATE(B13106, ""fr"", ""en"")"),"150 € with connection problems ??? I put 2 stars, because the sound is quite nice (am not a connoisseur), but what is really unacceptable, it is the Bluetooth connection between the atria and 2 with the device which is very erratic. Just for example I tur"&amp;"n the head for the connection stops half a second. It is not acceptable for such a price. EDIT: after more intensive use, I put 1 star instead of 2. Connectivity is indeed CATASTROPHIC, both the connection via bluetooth initially only use (loss of between"&amp;" 2 headsets, lots of cuts ...).")</f>
        <v>150 € with connection problems ??? I put 2 stars, because the sound is quite nice (am not a connoisseur), but what is really unacceptable, it is the Bluetooth connection between the atria and 2 with the device which is very erratic. Just for example I turn the head for the connection stops half a second. It is not acceptable for such a price. EDIT: after more intensive use, I put 1 star instead of 2. Connectivity is indeed CATASTROPHIC, both the connection via bluetooth initially only use (loss of between 2 headsets, lots of cuts ...).</v>
      </c>
    </row>
    <row r="13107">
      <c r="A13107" s="1">
        <v>1.0</v>
      </c>
      <c r="B13107" s="1" t="s">
        <v>12887</v>
      </c>
      <c r="C13107" t="str">
        <f>IFERROR(__xludf.DUMMYFUNCTION("GOOGLETRANSLATE(B13107, ""fr"", ""en"")"),"No too and very large, size does matter how ... Horrible ... Returned")</f>
        <v>No too and very large, size does matter how ... Horrible ... Returned</v>
      </c>
    </row>
    <row r="13108">
      <c r="A13108" s="1">
        <v>3.0</v>
      </c>
      <c r="B13108" s="1" t="s">
        <v>12888</v>
      </c>
      <c r="C13108" t="str">
        <f>IFERROR(__xludf.DUMMYFUNCTION("GOOGLETRANSLATE(B13108, ""fr"", ""en"")"),"Not sweet at all Good size but tears easily, and I find them too reches")</f>
        <v>Not sweet at all Good size but tears easily, and I find them too reches</v>
      </c>
    </row>
    <row r="13109">
      <c r="A13109" s="1">
        <v>3.0</v>
      </c>
      <c r="B13109" s="1" t="s">
        <v>12889</v>
      </c>
      <c r="C13109" t="str">
        <f>IFERROR(__xludf.DUMMYFUNCTION("GOOGLETRANSLATE(B13109, ""fr"", ""en"")"),"I recommend his socks for work I use these socks work for nothing to say except that they tend to wear out a little faster but given the number of socks in there alone it does not pose problem")</f>
        <v>I recommend his socks for work I use these socks work for nothing to say except that they tend to wear out a little faster but given the number of socks in there alone it does not pose problem</v>
      </c>
    </row>
    <row r="13110">
      <c r="A13110" s="1">
        <v>4.0</v>
      </c>
      <c r="B13110" s="1" t="s">
        <v>12890</v>
      </c>
      <c r="C13110" t="str">
        <f>IFERROR(__xludf.DUMMYFUNCTION("GOOGLETRANSLATE(B13110, ""fr"", ""en"")"),"Impeccable size well, limit very big, but otherwise no complaints. Sending faster announced.")</f>
        <v>Impeccable size well, limit very big, but otherwise no complaints. Sending faster announced.</v>
      </c>
    </row>
    <row r="13111">
      <c r="A13111" s="1">
        <v>4.0</v>
      </c>
      <c r="B13111" s="1" t="s">
        <v>12891</v>
      </c>
      <c r="C13111" t="str">
        <f>IFERROR(__xludf.DUMMYFUNCTION("GOOGLETRANSLATE(B13111, ""fr"", ""en"")"),"What happiness! My wife is very timid, I offered it on mattress heating for his birthday. The installation is very simple, and on the mattress under the fitted sheet, and the result is excellent. Very quickly the bed is warm, with adjustable temperature a"&amp;"nd prudence we stop the warming bed to sleep. The switch (one on each side) is easy to solve, but in my opinion (demanding) it lacks a remote control and an adjustable timer for this great product becomes perfect!")</f>
        <v>What happiness! My wife is very timid, I offered it on mattress heating for his birthday. The installation is very simple, and on the mattress under the fitted sheet, and the result is excellent. Very quickly the bed is warm, with adjustable temperature and prudence we stop the warming bed to sleep. The switch (one on each side) is easy to solve, but in my opinion (demanding) it lacks a remote control and an adjustable timer for this great product becomes perfect!</v>
      </c>
    </row>
    <row r="13112">
      <c r="A13112" s="1">
        <v>4.0</v>
      </c>
      <c r="B13112" s="1" t="s">
        <v>12892</v>
      </c>
      <c r="C13112" t="str">
        <f>IFERROR(__xludf.DUMMYFUNCTION("GOOGLETRANSLATE(B13112, ""fr"", ""en"")"),"Synapse Software, to when the real release? Good quality product. I criticized his price, which, despite a nice finish, is expensive to me. Synapse software to set the headset is a real sh * t ... The software that plant (I saw that many people had this p"&amp;"roblem). I find the relatively heavy helmet. I do not really regret my choice because beyond reproach I just do it, the sound quality is good, the mic for the moment still going strong. The Wireless + is a true nowadays (if you want to go to the toilet in"&amp;" continunant tt talk to your collèguez mm long, dark; I personally hearts: D). And the LED works fine despite criticism at the light instensité, which I think is rather weak (even by having up to max out the software)")</f>
        <v>Synapse Software, to when the real release? Good quality product. I criticized his price, which, despite a nice finish, is expensive to me. Synapse software to set the headset is a real sh * t ... The software that plant (I saw that many people had this problem). I find the relatively heavy helmet. I do not really regret my choice because beyond reproach I just do it, the sound quality is good, the mic for the moment still going strong. The Wireless + is a true nowadays (if you want to go to the toilet in continunant tt talk to your collèguez mm long, dark; I personally hearts: D). And the LED works fine despite criticism at the light instensité, which I think is rather weak (even by having up to max out the software)</v>
      </c>
    </row>
    <row r="13113">
      <c r="A13113" s="1">
        <v>4.0</v>
      </c>
      <c r="B13113" s="1" t="s">
        <v>12893</v>
      </c>
      <c r="C13113" t="str">
        <f>IFERROR(__xludf.DUMMYFUNCTION("GOOGLETRANSLATE(B13113, ""fr"", ""en"")"),"Effective and cheap! Size a little big ....")</f>
        <v>Effective and cheap! Size a little big ....</v>
      </c>
    </row>
    <row r="13114">
      <c r="A13114" s="1">
        <v>4.0</v>
      </c>
      <c r="B13114" s="1" t="s">
        <v>12894</v>
      </c>
      <c r="C13114" t="str">
        <f>IFERROR(__xludf.DUMMYFUNCTION("GOOGLETRANSLATE(B13114, ""fr"", ""en"")"),"Efficient, pleasant cost Surprising resistant brambles and briars. Not verify tightness but given the thickness of the leather it is probably sufficient to lubricate all.")</f>
        <v>Efficient, pleasant cost Surprising resistant brambles and briars. Not verify tightness but given the thickness of the leather it is probably sufficient to lubricate all.</v>
      </c>
    </row>
    <row r="13115">
      <c r="A13115" s="1">
        <v>5.0</v>
      </c>
      <c r="B13115" s="1" t="s">
        <v>12895</v>
      </c>
      <c r="C13115" t="str">
        <f>IFERROR(__xludf.DUMMYFUNCTION("GOOGLETRANSLATE(B13115, ""fr"", ""en"")"),"basketball compensated recreational basketball perfectly cutting a 36 for my case, very very light, airy, perfect for spring and summer, we walk with super, and the offset is made. they are well or Bermuda shorts for summer. received a little ahead, aweso"&amp;"me .... I recommend")</f>
        <v>basketball compensated recreational basketball perfectly cutting a 36 for my case, very very light, airy, perfect for spring and summer, we walk with super, and the offset is made. they are well or Bermuda shorts for summer. received a little ahead, awesome .... I recommend</v>
      </c>
    </row>
    <row r="13116">
      <c r="A13116" s="1">
        <v>5.0</v>
      </c>
      <c r="B13116" s="1" t="s">
        <v>12896</v>
      </c>
      <c r="C13116" t="str">
        <f>IFERROR(__xludf.DUMMYFUNCTION("GOOGLETRANSLATE(B13116, ""fr"", ""en"")"),"At the top on top .. very hot, well-trimmed tight .. family of 5 riders, however, that damage sizes start at 31. The youngest must be content to ski socks in his boots.")</f>
        <v>At the top on top .. very hot, well-trimmed tight .. family of 5 riders, however, that damage sizes start at 31. The youngest must be content to ski socks in his boots.</v>
      </c>
    </row>
    <row r="13117">
      <c r="A13117" s="1">
        <v>5.0</v>
      </c>
      <c r="B13117" s="1" t="s">
        <v>12897</v>
      </c>
      <c r="C13117" t="str">
        <f>IFERROR(__xludf.DUMMYFUNCTION("GOOGLETRANSLATE(B13117, ""fr"", ""en"")"),"Superb Very good value for money. The wire diameter is correct .. I plugged in a home theater 5.1, the sound is correct, distortion .I highly recommend this product.")</f>
        <v>Superb Very good value for money. The wire diameter is correct .. I plugged in a home theater 5.1, the sound is correct, distortion .I highly recommend this product.</v>
      </c>
    </row>
    <row r="13118">
      <c r="A13118" s="1">
        <v>5.0</v>
      </c>
      <c r="B13118" s="1" t="s">
        <v>12898</v>
      </c>
      <c r="C13118" t="str">
        <f>IFERROR(__xludf.DUMMYFUNCTION("GOOGLETRANSLATE(B13118, ""fr"", ""en"")"),"Perfect for the Express system broom + This is a microfiber refill perfectly suited to mop Spontex Express System +. Customers were unhappy to see a hole in the middle of the mop. So be careful to read the description because it is mentioned that it is fo"&amp;"r this model and not another. If an error occurs, it is best to return the product and be reimbursed by appealing to Amazon customer service. For my part, no surprises, the mop is completely consistent with what I wanted so I put 5 stars well deserved.")</f>
        <v>Perfect for the Express system broom + This is a microfiber refill perfectly suited to mop Spontex Express System +. Customers were unhappy to see a hole in the middle of the mop. So be careful to read the description because it is mentioned that it is for this model and not another. If an error occurs, it is best to return the product and be reimbursed by appealing to Amazon customer service. For my part, no surprises, the mop is completely consistent with what I wanted so I put 5 stars well deserved.</v>
      </c>
    </row>
    <row r="13119">
      <c r="A13119" s="1">
        <v>5.0</v>
      </c>
      <c r="B13119" s="1" t="s">
        <v>12899</v>
      </c>
      <c r="C13119" t="str">
        <f>IFERROR(__xludf.DUMMYFUNCTION("GOOGLETRANSLATE(B13119, ""fr"", ""en"")"),"Charm's Die-cut heart I complete my bracelet, I have a weakness for this charm's style is very fine silver and Pandora !!!")</f>
        <v>Charm's Die-cut heart I complete my bracelet, I have a weakness for this charm's style is very fine silver and Pandora !!!</v>
      </c>
    </row>
    <row r="13120">
      <c r="A13120" s="1">
        <v>5.0</v>
      </c>
      <c r="B13120" s="1" t="s">
        <v>12900</v>
      </c>
      <c r="C13120" t="str">
        <f>IFERROR(__xludf.DUMMYFUNCTION("GOOGLETRANSLATE(B13120, ""fr"", ""en"")"),"Good shoes but it takes time to adapt At the start, the shoes were a little sore feet and then over time they are a little wider and since I feel great inside. The size is correct. They are beautiful. Gilding is not moving. The zippers are very practical.")</f>
        <v>Good shoes but it takes time to adapt At the start, the shoes were a little sore feet and then over time they are a little wider and since I feel great inside. The size is correct. They are beautiful. Gilding is not moving. The zippers are very practical.</v>
      </c>
    </row>
    <row r="13121">
      <c r="A13121" s="1">
        <v>5.0</v>
      </c>
      <c r="B13121" s="1" t="s">
        <v>12901</v>
      </c>
      <c r="C13121" t="str">
        <f>IFERROR(__xludf.DUMMYFUNCTION("GOOGLETRANSLATE(B13121, ""fr"", ""en"")"),"No plastic in contact with water The advantage is indicated in the description: no plastic water contact! For the rest it works superbly. I think the best buy kettle of time.")</f>
        <v>No plastic in contact with water The advantage is indicated in the description: no plastic water contact! For the rest it works superbly. I think the best buy kettle of time.</v>
      </c>
    </row>
    <row r="13122">
      <c r="A13122" s="1">
        <v>5.0</v>
      </c>
      <c r="B13122" s="1" t="s">
        <v>12902</v>
      </c>
      <c r="C13122" t="str">
        <f>IFERROR(__xludf.DUMMYFUNCTION("GOOGLETRANSLATE(B13122, ""fr"", ""en"")"),"Good product. I have a cold house and heated mattress is perfect, it works well and the price is very good too.")</f>
        <v>Good product. I have a cold house and heated mattress is perfect, it works well and the price is very good too.</v>
      </c>
    </row>
    <row r="13123">
      <c r="A13123" s="1">
        <v>5.0</v>
      </c>
      <c r="B13123" s="1" t="s">
        <v>12903</v>
      </c>
      <c r="C13123" t="str">
        <f>IFERROR(__xludf.DUMMYFUNCTION("GOOGLETRANSLATE(B13123, ""fr"", ""en"")"),"Bra quality products and very comfortable size is the standard well")</f>
        <v>Bra quality products and very comfortable size is the standard well</v>
      </c>
    </row>
    <row r="13124">
      <c r="A13124" s="1">
        <v>5.0</v>
      </c>
      <c r="B13124" s="1" t="s">
        <v>12904</v>
      </c>
      <c r="C13124" t="str">
        <f>IFERROR(__xludf.DUMMYFUNCTION("GOOGLETRANSLATE(B13124, ""fr"", ""en"")"),"Beautiful Beautiful egoutoire bottle that has filled very well its function. friendly color. It goes very well in our kitchen.")</f>
        <v>Beautiful Beautiful egoutoire bottle that has filled very well its function. friendly color. It goes very well in our kitchen.</v>
      </c>
    </row>
    <row r="13125">
      <c r="A13125" s="1">
        <v>5.0</v>
      </c>
      <c r="B13125" s="1" t="s">
        <v>12905</v>
      </c>
      <c r="C13125" t="str">
        <f>IFERROR(__xludf.DUMMYFUNCTION("GOOGLETRANSLATE(B13125, ""fr"", ""en"")"),"I recommend Super Super nice I recommend")</f>
        <v>I recommend Super Super nice I recommend</v>
      </c>
    </row>
    <row r="13126">
      <c r="A13126" s="1">
        <v>5.0</v>
      </c>
      <c r="B13126" s="1" t="s">
        <v>12906</v>
      </c>
      <c r="C13126" t="str">
        <f>IFERROR(__xludf.DUMMYFUNCTION("GOOGLETRANSLATE(B13126, ""fr"", ""en"")"),"Great but take a size above My mother does her sneakers !! Great for the back! By cons take sizes above.")</f>
        <v>Great but take a size above My mother does her sneakers !! Great for the back! By cons take sizes above.</v>
      </c>
    </row>
    <row r="13127">
      <c r="A13127" s="1">
        <v>5.0</v>
      </c>
      <c r="B13127" s="1" t="s">
        <v>12907</v>
      </c>
      <c r="C13127" t="str">
        <f>IFERROR(__xludf.DUMMYFUNCTION("GOOGLETRANSLATE(B13127, ""fr"", ""en"")"),"Great Product line with expectations.")</f>
        <v>Great Product line with expectations.</v>
      </c>
    </row>
    <row r="13128">
      <c r="A13128" s="1">
        <v>5.0</v>
      </c>
      <c r="B13128" s="1" t="s">
        <v>12908</v>
      </c>
      <c r="C13128" t="str">
        <f>IFERROR(__xludf.DUMMYFUNCTION("GOOGLETRANSLATE(B13128, ""fr"", ""en"")"),"Beautiful pair of earrings correct price quality report, delivered on time and identical to the description")</f>
        <v>Beautiful pair of earrings correct price quality report, delivered on time and identical to the description</v>
      </c>
    </row>
    <row r="13129">
      <c r="A13129" s="1">
        <v>5.0</v>
      </c>
      <c r="B13129" s="1" t="s">
        <v>12909</v>
      </c>
      <c r="C13129" t="str">
        <f>IFERROR(__xludf.DUMMYFUNCTION("GOOGLETRANSLATE(B13129, ""fr"", ""en"")"),"Beautiful Leather Top")</f>
        <v>Beautiful Leather Top</v>
      </c>
    </row>
    <row r="13130">
      <c r="A13130" s="1">
        <v>2.0</v>
      </c>
      <c r="B13130" s="1" t="s">
        <v>12910</v>
      </c>
      <c r="C13130" t="str">
        <f>IFERROR(__xludf.DUMMYFUNCTION("GOOGLETRANSLATE(B13130, ""fr"", ""en"")"),"Disappointed When I bought this product I am very careful to descriptive because I do not like buying online because you can not just try and see the product photo. So we trust what we read and it was put the need to take a half size larger but it turns o"&amp;"ut that receiving the care package is too large it's been huge feet not very nice so I put them very rarely. Price correct for those to whom they are appropriate in my case too expensive. I had doubts about buying online this confirms. That said I would r"&amp;"ecommend this product to my surroundings for those who are accustomed to shopping online on this kind of product.")</f>
        <v>Disappointed When I bought this product I am very careful to descriptive because I do not like buying online because you can not just try and see the product photo. So we trust what we read and it was put the need to take a half size larger but it turns out that receiving the care package is too large it's been huge feet not very nice so I put them very rarely. Price correct for those to whom they are appropriate in my case too expensive. I had doubts about buying online this confirms. That said I would recommend this product to my surroundings for those who are accustomed to shopping online on this kind of product.</v>
      </c>
    </row>
    <row r="13131">
      <c r="A13131" s="1">
        <v>1.0</v>
      </c>
      <c r="B13131" s="1" t="s">
        <v>12911</v>
      </c>
      <c r="C13131" t="str">
        <f>IFERROR(__xludf.DUMMYFUNCTION("GOOGLETRANSLATE(B13131, ""fr"", ""en"")"),"Send the right items like the pictures It is not like the picture is a different bag I received")</f>
        <v>Send the right items like the pictures It is not like the picture is a different bag I received</v>
      </c>
    </row>
    <row r="13132">
      <c r="A13132" s="1">
        <v>1.0</v>
      </c>
      <c r="B13132" s="1" t="s">
        <v>12912</v>
      </c>
      <c r="C13132" t="str">
        <f>IFERROR(__xludf.DUMMYFUNCTION("GOOGLETRANSLATE(B13132, ""fr"", ""en"")"),"A bit small size made a moin The shoe is a size so moin take one size bigger.")</f>
        <v>A bit small size made a moin The shoe is a size so moin take one size bigger.</v>
      </c>
    </row>
    <row r="13133">
      <c r="A13133" s="1">
        <v>3.0</v>
      </c>
      <c r="B13133" s="1" t="s">
        <v>12913</v>
      </c>
      <c r="C13133" t="str">
        <f>IFERROR(__xludf.DUMMYFUNCTION("GOOGLETRANSLATE(B13133, ""fr"", ""en"")"),"Fair Good product in all but cutting Some product labels that reveals the son")</f>
        <v>Fair Good product in all but cutting Some product labels that reveals the son</v>
      </c>
    </row>
    <row r="13134">
      <c r="A13134" s="1">
        <v>3.0</v>
      </c>
      <c r="B13134" s="1" t="s">
        <v>12914</v>
      </c>
      <c r="C13134" t="str">
        <f>IFERROR(__xludf.DUMMYFUNCTION("GOOGLETRANSLATE(B13134, ""fr"", ""en"")"),"Bad brush a little OCD. Do not clean as well as a true goupilllon kind AVENT. Dépanne much time traveling.")</f>
        <v>Bad brush a little OCD. Do not clean as well as a true goupilllon kind AVENT. Dépanne much time traveling.</v>
      </c>
    </row>
    <row r="13135">
      <c r="A13135" s="1">
        <v>4.0</v>
      </c>
      <c r="B13135" s="1" t="s">
        <v>12915</v>
      </c>
      <c r="C13135" t="str">
        <f>IFERROR(__xludf.DUMMYFUNCTION("GOOGLETRANSLATE(B13135, ""fr"", ""en"")"),"Produced almost matching my expectations (efficiency) filter very correct price for good product hot ash vacuum cleaner to clean often. (Practically after each use)")</f>
        <v>Produced almost matching my expectations (efficiency) filter very correct price for good product hot ash vacuum cleaner to clean often. (Practically after each use)</v>
      </c>
    </row>
    <row r="13136">
      <c r="A13136" s="1">
        <v>4.0</v>
      </c>
      <c r="B13136" s="1" t="s">
        <v>12916</v>
      </c>
      <c r="C13136" t="str">
        <f>IFERROR(__xludf.DUMMYFUNCTION("GOOGLETRANSLATE(B13136, ""fr"", ""en"")"),"Friendly Headphones are cool and practical. Not a great outfit for the sport. To call the Contact means double. If it is to listen to music they do their job.")</f>
        <v>Friendly Headphones are cool and practical. Not a great outfit for the sport. To call the Contact means double. If it is to listen to music they do their job.</v>
      </c>
    </row>
    <row r="13137">
      <c r="A13137" s="1">
        <v>4.0</v>
      </c>
      <c r="B13137" s="1" t="s">
        <v>12917</v>
      </c>
      <c r="C13137" t="str">
        <f>IFERROR(__xludf.DUMMYFUNCTION("GOOGLETRANSLATE(B13137, ""fr"", ""en"")"),"Almost perfect in appearance strong, the wheels are very good and quiet even on floors and tiles. Screwdriver needed for assembly. When you return to hide the wheels deserved perfection")</f>
        <v>Almost perfect in appearance strong, the wheels are very good and quiet even on floors and tiles. Screwdriver needed for assembly. When you return to hide the wheels deserved perfection</v>
      </c>
    </row>
    <row r="13138">
      <c r="A13138" s="1">
        <v>4.0</v>
      </c>
      <c r="B13138" s="1" t="s">
        <v>12918</v>
      </c>
      <c r="C13138" t="str">
        <f>IFERROR(__xludf.DUMMYFUNCTION("GOOGLETRANSLATE(B13138, ""fr"", ""en"")"),"Bottle Mickey !! I took it to my little son and he agreed right away, he holds no problems and his sister who is 4 years old wanted because there was Mickey despite it takes of course more a bottle !!!")</f>
        <v>Bottle Mickey !! I took it to my little son and he agreed right away, he holds no problems and his sister who is 4 years old wanted because there was Mickey despite it takes of course more a bottle !!!</v>
      </c>
    </row>
    <row r="13139">
      <c r="A13139" s="1">
        <v>5.0</v>
      </c>
      <c r="B13139" s="1" t="s">
        <v>12919</v>
      </c>
      <c r="C13139" t="str">
        <f>IFERROR(__xludf.DUMMYFUNCTION("GOOGLETRANSLATE(B13139, ""fr"", ""en"")"),"Lot interesting socks! Socks pleasant to wear. The quality is very good. To see over time. Value for money at the top")</f>
        <v>Lot interesting socks! Socks pleasant to wear. The quality is very good. To see over time. Value for money at the top</v>
      </c>
    </row>
    <row r="13140">
      <c r="A13140" s="1">
        <v>5.0</v>
      </c>
      <c r="B13140" s="1" t="s">
        <v>12920</v>
      </c>
      <c r="C13140" t="str">
        <f>IFERROR(__xludf.DUMMYFUNCTION("GOOGLETRANSLATE(B13140, ""fr"", ""en"")"),"Good quality cartridges are ideal for a small number of good quality prints. These larger capacity may dry in the long run so little used and, consequently, loss of money. Quite suitable for my use.")</f>
        <v>Good quality cartridges are ideal for a small number of good quality prints. These larger capacity may dry in the long run so little used and, consequently, loss of money. Quite suitable for my use.</v>
      </c>
    </row>
    <row r="13141">
      <c r="A13141" s="1">
        <v>5.0</v>
      </c>
      <c r="B13141" s="1" t="s">
        <v>12921</v>
      </c>
      <c r="C13141" t="str">
        <f>IFERROR(__xludf.DUMMYFUNCTION("GOOGLETRANSLATE(B13141, ""fr"", ""en"")"),"Great product Perfect")</f>
        <v>Great product Perfect</v>
      </c>
    </row>
    <row r="13142">
      <c r="A13142" s="1">
        <v>5.0</v>
      </c>
      <c r="B13142" s="1" t="s">
        <v>12922</v>
      </c>
      <c r="C13142" t="str">
        <f>IFERROR(__xludf.DUMMYFUNCTION("GOOGLETRANSLATE(B13142, ""fr"", ""en"")"),"What a beautiful gem! I love this necklace. For the price it is really beautiful, original and durable. I wear it every day since receiving. And I get compliments. I'm really thrilled.")</f>
        <v>What a beautiful gem! I love this necklace. For the price it is really beautiful, original and durable. I wear it every day since receiving. And I get compliments. I'm really thrilled.</v>
      </c>
    </row>
    <row r="13143">
      <c r="A13143" s="1">
        <v>5.0</v>
      </c>
      <c r="B13143" s="1" t="s">
        <v>12923</v>
      </c>
      <c r="C13143" t="str">
        <f>IFERROR(__xludf.DUMMYFUNCTION("GOOGLETRANSLATE(B13143, ""fr"", ""en"")"),"perfect for a sporting activity for mountain biking tried yesterday despite the cold effective and well managed sweating size Ok")</f>
        <v>perfect for a sporting activity for mountain biking tried yesterday despite the cold effective and well managed sweating size Ok</v>
      </c>
    </row>
    <row r="13144">
      <c r="A13144" s="1">
        <v>5.0</v>
      </c>
      <c r="B13144" s="1" t="s">
        <v>12924</v>
      </c>
      <c r="C13144" t="str">
        <f>IFERROR(__xludf.DUMMYFUNCTION("GOOGLETRANSLATE(B13144, ""fr"", ""en"")"),"Meets Good size")</f>
        <v>Meets Good size</v>
      </c>
    </row>
    <row r="13145">
      <c r="A13145" s="1">
        <v>5.0</v>
      </c>
      <c r="B13145" s="1" t="s">
        <v>12925</v>
      </c>
      <c r="C13145" t="str">
        <f>IFERROR(__xludf.DUMMYFUNCTION("GOOGLETRANSLATE(B13145, ""fr"", ""en"")"),"Yes yes Holds without dropping the products coming out of the machine sterilized")</f>
        <v>Yes yes Holds without dropping the products coming out of the machine sterilized</v>
      </c>
    </row>
    <row r="13146">
      <c r="A13146" s="1">
        <v>5.0</v>
      </c>
      <c r="B13146" s="1" t="s">
        <v>12926</v>
      </c>
      <c r="C13146" t="str">
        <f>IFERROR(__xludf.DUMMYFUNCTION("GOOGLETRANSLATE(B13146, ""fr"", ""en"")"),"Pretty Command object to make a Christmas gift; Not disappointed at all: it is a beautiful object that both diffuser and interior design object with lights, it creates a small atmosphere. There is no fake. I hope that the gift recipient will be as happy a"&amp;"s me and of course I checked it worked fine before offering it would be bale to offer something broken but again no worries. Not impossible that I also order it for me !!!")</f>
        <v>Pretty Command object to make a Christmas gift; Not disappointed at all: it is a beautiful object that both diffuser and interior design object with lights, it creates a small atmosphere. There is no fake. I hope that the gift recipient will be as happy as me and of course I checked it worked fine before offering it would be bale to offer something broken but again no worries. Not impossible that I also order it for me !!!</v>
      </c>
    </row>
    <row r="13147">
      <c r="A13147" s="1">
        <v>5.0</v>
      </c>
      <c r="B13147" s="1" t="s">
        <v>12927</v>
      </c>
      <c r="C13147" t="str">
        <f>IFERROR(__xludf.DUMMYFUNCTION("GOOGLETRANSLATE(B13147, ""fr"", ""en"")"),"Practical and robust in everyday use bag. Very robust.")</f>
        <v>Practical and robust in everyday use bag. Very robust.</v>
      </c>
    </row>
    <row r="13148">
      <c r="A13148" s="1">
        <v>5.0</v>
      </c>
      <c r="B13148" s="1" t="s">
        <v>12928</v>
      </c>
      <c r="C13148" t="str">
        <f>IFERROR(__xludf.DUMMYFUNCTION("GOOGLETRANSLATE(B13148, ""fr"", ""en"")"),"More than happy Super slippers. Very cozy and very comfortable. Size very well. No complaints. I am glad. I highly recommended.")</f>
        <v>More than happy Super slippers. Very cozy and very comfortable. Size very well. No complaints. I am glad. I highly recommended.</v>
      </c>
    </row>
    <row r="13149">
      <c r="A13149" s="1">
        <v>5.0</v>
      </c>
      <c r="B13149" s="1" t="s">
        <v>12929</v>
      </c>
      <c r="C13149" t="str">
        <f>IFERROR(__xludf.DUMMYFUNCTION("GOOGLETRANSLATE(B13149, ""fr"", ""en"")"),"Good product I admit I often hesitate to purchased outside the store my ink cartridges. I tried and I do not regret any problems great and the price !!!!! This will be the second time I order")</f>
        <v>Good product I admit I often hesitate to purchased outside the store my ink cartridges. I tried and I do not regret any problems great and the price !!!!! This will be the second time I order</v>
      </c>
    </row>
    <row r="13150">
      <c r="A13150" s="1">
        <v>5.0</v>
      </c>
      <c r="B13150" s="1" t="s">
        <v>12930</v>
      </c>
      <c r="C13150" t="str">
        <f>IFERROR(__xludf.DUMMYFUNCTION("GOOGLETRANSLATE(B13150, ""fr"", ""en"")"),"Great ! I love this watch, beautiful color, very smooth operation and easy to use. No complaints. I highly recommend this product !")</f>
        <v>Great ! I love this watch, beautiful color, very smooth operation and easy to use. No complaints. I highly recommend this product !</v>
      </c>
    </row>
    <row r="13151">
      <c r="A13151" s="1">
        <v>5.0</v>
      </c>
      <c r="B13151" s="1" t="s">
        <v>12931</v>
      </c>
      <c r="C13151" t="str">
        <f>IFERROR(__xludf.DUMMYFUNCTION("GOOGLETRANSLATE(B13151, ""fr"", ""en"")"),"Perfect for my own house Bissell Crossware. Washing my ground perfectly without foam. Delighted and leaves a pleasant smell clean.")</f>
        <v>Perfect for my own house Bissell Crossware. Washing my ground perfectly without foam. Delighted and leaves a pleasant smell clean.</v>
      </c>
    </row>
    <row r="13152">
      <c r="A13152" s="1">
        <v>5.0</v>
      </c>
      <c r="B13152" s="1" t="s">
        <v>12932</v>
      </c>
      <c r="C13152" t="str">
        <f>IFERROR(__xludf.DUMMYFUNCTION("GOOGLETRANSLATE(B13152, ""fr"", ""en"")"),"Magnificent Bought for my daughter who love shoes. beautiful color and comfortable for walking or sport (if not as relaxing shoe daily) Quick Delivery Size I recommend if you made the 41 take the 42")</f>
        <v>Magnificent Bought for my daughter who love shoes. beautiful color and comfortable for walking or sport (if not as relaxing shoe daily) Quick Delivery Size I recommend if you made the 41 take the 42</v>
      </c>
    </row>
    <row r="13153">
      <c r="A13153" s="1">
        <v>5.0</v>
      </c>
      <c r="B13153" s="1" t="s">
        <v>12933</v>
      </c>
      <c r="C13153" t="str">
        <f>IFERROR(__xludf.DUMMYFUNCTION("GOOGLETRANSLATE(B13153, ""fr"", ""en"")"),"Very practical &lt;div id = ""video-block-RDWBDT1TQF9AR"" class = ""a-section-spacing-small in-spacing-top mini video-block""&gt; &lt;/ div&gt; &lt;input type = ""hidden"" name = "" ""value ="" https://images-eu.ssl-images-amazon.com/images/I/A1Z-ztARqzS.mp4 ""class ="""&amp;" video-url ""&gt; &lt;input type ="" hidden ""name ="" ""value = ""https://images-eu.ssl-images-amazon.com/images/I/91JhhVUSErS.png"" class = ""video-slate-img-url""&gt; &amp; nbsp; very pretty kettle of stainless steel, very light to wear , its convenient temperature"&amp;" control which allows a tea or infusion ideally fragrant. Very handy for tea lovers. It really is a great product. I recommend it")</f>
        <v>Very practical &lt;div id = "video-block-RDWBDT1TQF9AR" class = "a-section-spacing-small in-spacing-top mini video-block"&gt; &lt;/ div&gt; &lt;input type = "hidden" name = " "value =" https://images-eu.ssl-images-amazon.com/images/I/A1Z-ztARqzS.mp4 "class =" video-url "&gt; &lt;input type =" hidden "name =" "value = "https://images-eu.ssl-images-amazon.com/images/I/91JhhVUSErS.png" class = "video-slate-img-url"&gt; &amp; nbsp; very pretty kettle of stainless steel, very light to wear , its convenient temperature control which allows a tea or infusion ideally fragrant. Very handy for tea lovers. It really is a great product. I recommend it</v>
      </c>
    </row>
    <row r="13154">
      <c r="A13154" s="1">
        <v>2.0</v>
      </c>
      <c r="B13154" s="1" t="s">
        <v>12934</v>
      </c>
      <c r="C13154" t="str">
        <f>IFERROR(__xludf.DUMMYFUNCTION("GOOGLETRANSLATE(B13154, ""fr"", ""en"")"),"The bracelet too fragile wire broke after 5 months (necessary to remove and replace because can not go under the water) damage ...")</f>
        <v>The bracelet too fragile wire broke after 5 months (necessary to remove and replace because can not go under the water) damage ...</v>
      </c>
    </row>
    <row r="13155">
      <c r="A13155" s="1">
        <v>1.0</v>
      </c>
      <c r="B13155" s="1" t="s">
        <v>12935</v>
      </c>
      <c r="C13155" t="str">
        <f>IFERROR(__xludf.DUMMYFUNCTION("GOOGLETRANSLATE(B13155, ""fr"", ""en"")"),"Wrong item When receiving the battery was flat, I had to have it replaced and clasp leaves much to be desired. This purchase disappoints me.")</f>
        <v>Wrong item When receiving the battery was flat, I had to have it replaced and clasp leaves much to be desired. This purchase disappoints me.</v>
      </c>
    </row>
    <row r="13156">
      <c r="A13156" s="1">
        <v>1.0</v>
      </c>
      <c r="B13156" s="1" t="s">
        <v>12936</v>
      </c>
      <c r="C13156" t="str">
        <f>IFERROR(__xludf.DUMMYFUNCTION("GOOGLETRANSLATE(B13156, ""fr"", ""en"")"),"No no interest powder spills everywhere outside of the bottle because of the side opening that is not very developed. I much prefer conventional dosing with upsetting beak ... Not at all practical. Will be shelved and I'll buy another one ...")</f>
        <v>No no interest powder spills everywhere outside of the bottle because of the side opening that is not very developed. I much prefer conventional dosing with upsetting beak ... Not at all practical. Will be shelved and I'll buy another one ...</v>
      </c>
    </row>
    <row r="13157">
      <c r="A13157" s="1">
        <v>3.0</v>
      </c>
      <c r="B13157" s="1" t="s">
        <v>12937</v>
      </c>
      <c r="C13157" t="str">
        <f>IFERROR(__xludf.DUMMYFUNCTION("GOOGLETRANSLATE(B13157, ""fr"", ""en"")"),"Bad Adapted to the cleaners but matter lemon scent, it is looking for ...")</f>
        <v>Bad Adapted to the cleaners but matter lemon scent, it is looking for ...</v>
      </c>
    </row>
    <row r="13158">
      <c r="A13158" s="1">
        <v>4.0</v>
      </c>
      <c r="B13158" s="1" t="s">
        <v>12938</v>
      </c>
      <c r="C13158" t="str">
        <f>IFERROR(__xludf.DUMMYFUNCTION("GOOGLETRANSLATE(B13158, ""fr"", ""en"")"),"Great I'm physiotherapist and I think it's perfect for the day's work. Simple, comfortable, lightweight, practical, breathable, perfect.")</f>
        <v>Great I'm physiotherapist and I think it's perfect for the day's work. Simple, comfortable, lightweight, practical, breathable, perfect.</v>
      </c>
    </row>
    <row r="13159">
      <c r="A13159" s="1">
        <v>4.0</v>
      </c>
      <c r="B13159" s="1" t="s">
        <v>12939</v>
      </c>
      <c r="C13159" t="str">
        <f>IFERROR(__xludf.DUMMYFUNCTION("GOOGLETRANSLATE(B13159, ""fr"", ""en"")"),"Is never on time but very nice Very nice but too complicated and moreover it advances always self adjusting")</f>
        <v>Is never on time but very nice Very nice but too complicated and moreover it advances always self adjusting</v>
      </c>
    </row>
    <row r="13160">
      <c r="A13160" s="1">
        <v>4.0</v>
      </c>
      <c r="B13160" s="1" t="s">
        <v>12940</v>
      </c>
      <c r="C13160" t="str">
        <f>IFERROR(__xludf.DUMMYFUNCTION("GOOGLETRANSLATE(B13160, ""fr"", ""en"")"),"Very good value product at a price + than correct. It's like slippers. Very comfortable to wear.")</f>
        <v>Very good value product at a price + than correct. It's like slippers. Very comfortable to wear.</v>
      </c>
    </row>
    <row r="13161">
      <c r="A13161" s="1">
        <v>4.0</v>
      </c>
      <c r="B13161" s="1" t="s">
        <v>12941</v>
      </c>
      <c r="C13161" t="str">
        <f>IFERROR(__xludf.DUMMYFUNCTION("GOOGLETRANSLATE(B13161, ""fr"", ""en"")"),"Empty Cave Water Pump Manager 1100 W Used in a crawl space or the water drainage home arrives. Very good power. This is MAKITA, never disappointed with this brand.")</f>
        <v>Empty Cave Water Pump Manager 1100 W Used in a crawl space or the water drainage home arrives. Very good power. This is MAKITA, never disappointed with this brand.</v>
      </c>
    </row>
    <row r="13162">
      <c r="A13162" s="1">
        <v>5.0</v>
      </c>
      <c r="B13162" s="1" t="s">
        <v>12942</v>
      </c>
      <c r="C13162" t="str">
        <f>IFERROR(__xludf.DUMMYFUNCTION("GOOGLETRANSLATE(B13162, ""fr"", ""en"")"),"Impeccable A true slippers! The studs are ABIM Quickly but very good shoe")</f>
        <v>Impeccable A true slippers! The studs are ABIM Quickly but very good shoe</v>
      </c>
    </row>
    <row r="13163">
      <c r="A13163" s="1">
        <v>5.0</v>
      </c>
      <c r="B13163" s="1" t="s">
        <v>12943</v>
      </c>
      <c r="C13163" t="str">
        <f>IFERROR(__xludf.DUMMYFUNCTION("GOOGLETRANSLATE(B13163, ""fr"", ""en"")"),"Great product Kettle aesthetic and practical: it is nice to be filled choose the water temperature according to their needs. After about two weeks of use, not limestone.")</f>
        <v>Great product Kettle aesthetic and practical: it is nice to be filled choose the water temperature according to their needs. After about two weeks of use, not limestone.</v>
      </c>
    </row>
    <row r="13164">
      <c r="A13164" s="1">
        <v>5.0</v>
      </c>
      <c r="B13164" s="1" t="s">
        <v>12944</v>
      </c>
      <c r="C13164" t="str">
        <f>IFERROR(__xludf.DUMMYFUNCTION("GOOGLETRANSLATE(B13164, ""fr"", ""en"")"),"Very good product very good product, it carries helmet yours perfectly right, it does not fall, it is well balanced. The end and makes it unobtrusive on the desktop. Very good product I recommend")</f>
        <v>Very good product very good product, it carries helmet yours perfectly right, it does not fall, it is well balanced. The end and makes it unobtrusive on the desktop. Very good product I recommend</v>
      </c>
    </row>
    <row r="13165">
      <c r="A13165" s="1">
        <v>5.0</v>
      </c>
      <c r="B13165" s="1" t="s">
        <v>12945</v>
      </c>
      <c r="C13165" t="str">
        <f>IFERROR(__xludf.DUMMYFUNCTION("GOOGLETRANSLATE(B13165, ""fr"", ""en"")"),"Excellent product Since the birth of my son I use baby bottles and teats Philips Avent, and I'm not disappointed. I do not know if there is a link, but it has actually never had colic, and I learned later that a friend whose son had also never had colic u"&amp;"sed the same bottle / teats.")</f>
        <v>Excellent product Since the birth of my son I use baby bottles and teats Philips Avent, and I'm not disappointed. I do not know if there is a link, but it has actually never had colic, and I learned later that a friend whose son had also never had colic used the same bottle / teats.</v>
      </c>
    </row>
    <row r="13166">
      <c r="A13166" s="1">
        <v>5.0</v>
      </c>
      <c r="B13166" s="1" t="s">
        <v>12946</v>
      </c>
      <c r="C13166" t="str">
        <f>IFERROR(__xludf.DUMMYFUNCTION("GOOGLETRANSLATE(B13166, ""fr"", ""en"")"),"Excellent I will detail my opinion in two parts: a first, brief, for those too lazy to read and a second, longer, I'll detail more I think about this helmet. In short qualities: - excellent sound reproduction - remarkably comfortable - very good self - re"&amp;"active application, easy to use and ample. - L and R recorded within the atria. Faults: - its price - the adjustment of the arch, a bit confusing at first FYI, I am an individual, I have bought and paid for this helmet with my own money. I am absolutely n"&amp;"ot subsidized by Bose. I first purchased the Sony headphones XM3. I was influenced by all tests and reviews I read here and there. My ear is no longer young, I'm 60, but I can easily compare two sound sources. I love music, I am a musician amateur and I h"&amp;"ave the chance to own high quality equipment. I sent the Sony after 10 days so acute seem muffled: I feel like cotton in the ears. The bass is extremely overcrowded to the point of hurting ears on some tracks ... and yet I'm bassist! So I ordered this hea"&amp;"dset Bose 700. I was afraid of the result, given that I have two small speakers Bluetooth Bose and I have long had Bose 901 that were not known for their loyalty to the sound spectrum - It was uncomfortable to listen to a sonata on the piano with his preg"&amp;"nant by cons, rock and all music that ask me serious had made extremely &amp; nbsp; ""&amp; nbsp; flattering &amp; nbsp;"" But here I must say that the sound quality blew me away. The highs are there, but not specific sibilant, friendly and very pleasant mediums to h"&amp;"ear a human voice or saxophone and curiously low might be a little bit off but I think it's just a comparison with the headset Sony. We tried several, including my son who has a very sharp ear (excellent musician) and only 30 years old! So I made him comp"&amp;"are the two headsets with the same music, two comparable sound sources (iPad and iPhone X) The result is clear, the US helmet prevails widely in Japan. I wonder if the journalists who have tried their helmets are not just bought by Sony where they receive"&amp;"d brilliant highs? Or headphones I received was a defect in its transducers ...! but even by adjusting the treble up on the implementation and the level of iPhone / iPad, we found absolutely no sound comfort Bose. The battery life of 20 hours was more tha"&amp;"n enough, I do not see the point of having a lot more. The application is simple and clear, it is quite sufficient for the use of the helmet, and we do not totally useless clutter settings like that of Sony equalizer which has not even managed to compensa"&amp;"te for the shortcomings of the XM3. It is especially fast at the opening, it allows almost instant connection with the headset (or with other products of the same brand) as the default need an inscription to make it work this seems all relative ... If you"&amp;" want total anonymity, take your smartphone connecting to anything at all! I love the jingle ignition and extinction. Similarly the ability to simultaneously connect to two sources is simply indispensable. I pass regularly from the iPhone to the iPad with"&amp;"out having to reconnect. The Sony is much less practical in this regard. By cons I do not see any interest Bose AR, even if rendering was perfect, but have are 360 ​​or piano is paramount when looking at him is nonexistent when he is behind seems quite un"&amp;"realistic. Reducing active noise: and if we had the note I put him 19/20: perfection is not of this world. It is adjustable to 10 levels which is almost too much for me, but I must admit that its effectiveness is absolutely bluffing - the same level as th"&amp;"at of Sony. It is completely isolated from the outside world, it's totally antisocial! I have not yet tested by plane or by train, but by putting me in a room with just another sound source (radio, TV ...) I feel alone. Fabulous. I wish I could go mow the"&amp;" lawn with this thing, but I really too afraid to spoil ... What is most striking is when we called for the phone in a noisy place, certainly our voice is an bit distorted but the conversation is quite intelligible and that's fabulous. That evolution from"&amp;" Sennheiser PCX 450 has more than 9 years. Regarding the physical comfort, I did not have Bose headphones before this one, but I sometimes wear 2 to 3 hours in a row with glasses, I forget completely! For me is the most important. The pads are made of sha"&amp;"pe memory foam (as on most other headsets of this price) and the coating and plastic pure: what will cause a temperature rise when you walk, which makes sport for one is the sun. Ditto for the Sony. For this reason I ordered gray leaves that reflects much"&amp;" light, and hopefully limit the temperature rise outside. I find elegant even less when the Sony I ordered champagne color. The touch controls are very responsive, but I find the command ""next / previous"" programmed upside of what I would have done. But"&amp;" I think with a little practice it will not pose a problem for me. Its storage box, all black, and far less beautiful than the Sony champagne color that had a little look ceruse. However it offers a small magnetic box where you can put different cables wi"&amp;"thout this fall lawn when you open the box upside down. Its price of 400 €, high, seems nevertheless justified in the light of services offered. What then about high fidelity headphones that sell 5000 10000 € see ...! ? Remember that in high-fidelity, as "&amp;"in everything else, the price grows exponentially in relation to quality. This is why high-end companies earn a lot of money (premium German car brands, Apple, Bose etc.) Warning, this headset is not high fidelity, is a nomadic headphones, Bluetooth, whic"&amp;"h delivers brilliant sound, surely one of the best in its class, at least that outperforms clearly Sony.")</f>
        <v>Excellent I will detail my opinion in two parts: a first, brief, for those too lazy to read and a second, longer, I'll detail more I think about this helmet. In short qualities: - excellent sound reproduction - remarkably comfortable - very good self - reactive application, easy to use and ample. - L and R recorded within the atria. Faults: - its price - the adjustment of the arch, a bit confusing at first FYI, I am an individual, I have bought and paid for this helmet with my own money. I am absolutely not subsidized by Bose. I first purchased the Sony headphones XM3. I was influenced by all tests and reviews I read here and there. My ear is no longer young, I'm 60, but I can easily compare two sound sources. I love music, I am a musician amateur and I have the chance to own high quality equipment. I sent the Sony after 10 days so acute seem muffled: I feel like cotton in the ears. The bass is extremely overcrowded to the point of hurting ears on some tracks ... and yet I'm bassist! So I ordered this headset Bose 700. I was afraid of the result, given that I have two small speakers Bluetooth Bose and I have long had Bose 901 that were not known for their loyalty to the sound spectrum - It was uncomfortable to listen to a sonata on the piano with his pregnant by cons, rock and all music that ask me serious had made extremely &amp; nbsp; "&amp; nbsp; flattering &amp; nbsp;" But here I must say that the sound quality blew me away. The highs are there, but not specific sibilant, friendly and very pleasant mediums to hear a human voice or saxophone and curiously low might be a little bit off but I think it's just a comparison with the headset Sony. We tried several, including my son who has a very sharp ear (excellent musician) and only 30 years old! So I made him compare the two headsets with the same music, two comparable sound sources (iPad and iPhone X) The result is clear, the US helmet prevails widely in Japan. I wonder if the journalists who have tried their helmets are not just bought by Sony where they received brilliant highs? Or headphones I received was a defect in its transducers ...! but even by adjusting the treble up on the implementation and the level of iPhone / iPad, we found absolutely no sound comfort Bose. The battery life of 20 hours was more than enough, I do not see the point of having a lot more. The application is simple and clear, it is quite sufficient for the use of the helmet, and we do not totally useless clutter settings like that of Sony equalizer which has not even managed to compensate for the shortcomings of the XM3. It is especially fast at the opening, it allows almost instant connection with the headset (or with other products of the same brand) as the default need an inscription to make it work this seems all relative ... If you want total anonymity, take your smartphone connecting to anything at all! I love the jingle ignition and extinction. Similarly the ability to simultaneously connect to two sources is simply indispensable. I pass regularly from the iPhone to the iPad without having to reconnect. The Sony is much less practical in this regard. By cons I do not see any interest Bose AR, even if rendering was perfect, but have are 360 ​​or piano is paramount when looking at him is nonexistent when he is behind seems quite unrealistic. Reducing active noise: and if we had the note I put him 19/20: perfection is not of this world. It is adjustable to 10 levels which is almost too much for me, but I must admit that its effectiveness is absolutely bluffing - the same level as that of Sony. It is completely isolated from the outside world, it's totally antisocial! I have not yet tested by plane or by train, but by putting me in a room with just another sound source (radio, TV ...) I feel alone. Fabulous. I wish I could go mow the lawn with this thing, but I really too afraid to spoil ... What is most striking is when we called for the phone in a noisy place, certainly our voice is an bit distorted but the conversation is quite intelligible and that's fabulous. That evolution from Sennheiser PCX 450 has more than 9 years. Regarding the physical comfort, I did not have Bose headphones before this one, but I sometimes wear 2 to 3 hours in a row with glasses, I forget completely! For me is the most important. The pads are made of shape memory foam (as on most other headsets of this price) and the coating and plastic pure: what will cause a temperature rise when you walk, which makes sport for one is the sun. Ditto for the Sony. For this reason I ordered gray leaves that reflects much light, and hopefully limit the temperature rise outside. I find elegant even less when the Sony I ordered champagne color. The touch controls are very responsive, but I find the command "next / previous" programmed upside of what I would have done. But I think with a little practice it will not pose a problem for me. Its storage box, all black, and far less beautiful than the Sony champagne color that had a little look ceruse. However it offers a small magnetic box where you can put different cables without this fall lawn when you open the box upside down. Its price of 400 €, high, seems nevertheless justified in the light of services offered. What then about high fidelity headphones that sell 5000 10000 € see ...! ? Remember that in high-fidelity, as in everything else, the price grows exponentially in relation to quality. This is why high-end companies earn a lot of money (premium German car brands, Apple, Bose etc.) Warning, this headset is not high fidelity, is a nomadic headphones, Bluetooth, which delivers brilliant sound, surely one of the best in its class, at least that outperforms clearly Sony.</v>
      </c>
    </row>
    <row r="13167">
      <c r="A13167" s="1">
        <v>5.0</v>
      </c>
      <c r="B13167" s="1" t="s">
        <v>12947</v>
      </c>
      <c r="C13167" t="str">
        <f>IFERROR(__xludf.DUMMYFUNCTION("GOOGLETRANSLATE(B13167, ""fr"", ""en"")"),"is the Lotus! What's more, everyone knows !!!!!!!! But the price on site is much more advantageous than big box! So, no hesitation!")</f>
        <v>is the Lotus! What's more, everyone knows !!!!!!!! But the price on site is much more advantageous than big box! So, no hesitation!</v>
      </c>
    </row>
    <row r="13168">
      <c r="A13168" s="1">
        <v>5.0</v>
      </c>
      <c r="B13168" s="1" t="s">
        <v>12948</v>
      </c>
      <c r="C13168" t="str">
        <f>IFERROR(__xludf.DUMMYFUNCTION("GOOGLETRANSLATE(B13168, ""fr"", ""en"")"),"That's great! She has it all, beauty, but it is subjective and personal, all the assets have been described in other reviews and I could check them and they are right. It remains to see its strength, but from Germany, this should do it.")</f>
        <v>That's great! She has it all, beauty, but it is subjective and personal, all the assets have been described in other reviews and I could check them and they are right. It remains to see its strength, but from Germany, this should do it.</v>
      </c>
    </row>
    <row r="13169">
      <c r="A13169" s="1">
        <v>5.0</v>
      </c>
      <c r="B13169" s="1" t="s">
        <v>12949</v>
      </c>
      <c r="C13169" t="str">
        <f>IFERROR(__xludf.DUMMYFUNCTION("GOOGLETRANSLATE(B13169, ""fr"", ""en"")"),"Perfect top")</f>
        <v>Perfect top</v>
      </c>
    </row>
    <row r="13170">
      <c r="A13170" s="1">
        <v>5.0</v>
      </c>
      <c r="B13170" s="1" t="s">
        <v>12950</v>
      </c>
      <c r="C13170" t="str">
        <f>IFERROR(__xludf.DUMMYFUNCTION("GOOGLETRANSLATE(B13170, ""fr"", ""en"")"),"Excellent perfect pair of sneakers, the same as the photo size it right, very nice to wear I recommend especially what are ""little"" Dear")</f>
        <v>Excellent perfect pair of sneakers, the same as the photo size it right, very nice to wear I recommend especially what are "little" Dear</v>
      </c>
    </row>
    <row r="13171">
      <c r="A13171" s="1">
        <v>5.0</v>
      </c>
      <c r="B13171" s="1" t="s">
        <v>12951</v>
      </c>
      <c r="C13171" t="str">
        <f>IFERROR(__xludf.DUMMYFUNCTION("GOOGLETRANSLATE(B13171, ""fr"", ""en"")"),"Beautiful original and functional tea kettle I use this for 3 weeks and I appreciate it more. It is big (1.7L) but class in every detail. The handle, the mold board, the ball shape are inspired by ancient Chinese Communist kettles and beautifully redesign"&amp;"ed with visible metering and wireless. It heats up quickly and is warm whistle. Its volume made for a carefree sponge to clean the inside. It is elegant in the kitchen, when the shine from the outside with white vinegar. It changes other kettle models, wi"&amp;"th good value for money.")</f>
        <v>Beautiful original and functional tea kettle I use this for 3 weeks and I appreciate it more. It is big (1.7L) but class in every detail. The handle, the mold board, the ball shape are inspired by ancient Chinese Communist kettles and beautifully redesigned with visible metering and wireless. It heats up quickly and is warm whistle. Its volume made for a carefree sponge to clean the inside. It is elegant in the kitchen, when the shine from the outside with white vinegar. It changes other kettle models, with good value for money.</v>
      </c>
    </row>
    <row r="13172">
      <c r="A13172" s="1">
        <v>5.0</v>
      </c>
      <c r="B13172" s="1" t="s">
        <v>12952</v>
      </c>
      <c r="C13172" t="str">
        <f>IFERROR(__xludf.DUMMYFUNCTION("GOOGLETRANSLATE(B13172, ""fr"", ""en"")"),"Very comfortable and light Pretty comfortable but beware take a size more that I did")</f>
        <v>Very comfortable and light Pretty comfortable but beware take a size more that I did</v>
      </c>
    </row>
    <row r="13173">
      <c r="A13173" s="1">
        <v>5.0</v>
      </c>
      <c r="B13173" s="1" t="s">
        <v>12953</v>
      </c>
      <c r="C13173" t="str">
        <f>IFERROR(__xludf.DUMMYFUNCTION("GOOGLETRANSLATE(B13173, ""fr"", ""en"")"),"Van Belle's shoes match my expectations")</f>
        <v>Van Belle's shoes match my expectations</v>
      </c>
    </row>
    <row r="13174">
      <c r="A13174" s="1">
        <v>5.0</v>
      </c>
      <c r="B13174" s="1" t="s">
        <v>12954</v>
      </c>
      <c r="C13174" t="str">
        <f>IFERROR(__xludf.DUMMYFUNCTION("GOOGLETRANSLATE(B13174, ""fr"", ""en"")"),"fangs fangs great, very comfortable, good shoe, with small spikes in the house but hardly feel !!! and contrary to some comments I find the perfect size (I'm doing 41 and I took 41/42? Nickel !!) one little thing bothers me, as I doors every day as my sli"&amp;"ppers, I find it unfortunate the tab that folds do not hold well on top and it would tend to géner me when I strung, otherwise good buy I really recommend! easy to maintain, a ride in washing machine at 30 ° basta !!")</f>
        <v>fangs fangs great, very comfortable, good shoe, with small spikes in the house but hardly feel !!! and contrary to some comments I find the perfect size (I'm doing 41 and I took 41/42? Nickel !!) one little thing bothers me, as I doors every day as my slippers, I find it unfortunate the tab that folds do not hold well on top and it would tend to géner me when I strung, otherwise good buy I really recommend! easy to maintain, a ride in washing machine at 30 ° basta !!</v>
      </c>
    </row>
    <row r="13175">
      <c r="A13175" s="1">
        <v>5.0</v>
      </c>
      <c r="B13175" s="1" t="s">
        <v>12955</v>
      </c>
      <c r="C13175" t="str">
        <f>IFERROR(__xludf.DUMMYFUNCTION("GOOGLETRANSLATE(B13175, ""fr"", ""en"")"),"Pretty kettle with temperature control. Good product. Done the job. Emits beep every manipulation which can be annoying. This is a notice to hot and prevails no sustainability functioning over time.")</f>
        <v>Pretty kettle with temperature control. Good product. Done the job. Emits beep every manipulation which can be annoying. This is a notice to hot and prevails no sustainability functioning over time.</v>
      </c>
    </row>
    <row r="13176">
      <c r="A13176" s="1">
        <v>5.0</v>
      </c>
      <c r="B13176" s="1" t="s">
        <v>12956</v>
      </c>
      <c r="C13176" t="str">
        <f>IFERROR(__xludf.DUMMYFUNCTION("GOOGLETRANSLATE(B13176, ""fr"", ""en"")"),"top I already had a box made me many years she had been vdonnée me a very good seller shoes, it is best for leather.")</f>
        <v>top I already had a box made me many years she had been vdonnée me a very good seller shoes, it is best for leather.</v>
      </c>
    </row>
    <row r="13177">
      <c r="A13177" s="1">
        <v>2.0</v>
      </c>
      <c r="B13177" s="1" t="s">
        <v>12957</v>
      </c>
      <c r="C13177" t="str">
        <f>IFERROR(__xludf.DUMMYFUNCTION("GOOGLETRANSLATE(B13177, ""fr"", ""en"")"),"No top I took advantage of a coupon and I had these headphones for 16euros .. I have still returned as large scale problem in volume between the left and right (everything was harder right) and I tried running, they move into the ear canal and is meant fr"&amp;"iction too, either with small or larger tips .. the wind was also too noisy in these movements ..")</f>
        <v>No top I took advantage of a coupon and I had these headphones for 16euros .. I have still returned as large scale problem in volume between the left and right (everything was harder right) and I tried running, they move into the ear canal and is meant friction too, either with small or larger tips .. the wind was also too noisy in these movements ..</v>
      </c>
    </row>
    <row r="13178">
      <c r="A13178" s="1">
        <v>1.0</v>
      </c>
      <c r="B13178" s="1" t="s">
        <v>12958</v>
      </c>
      <c r="C13178" t="str">
        <f>IFERROR(__xludf.DUMMYFUNCTION("GOOGLETRANSLATE(B13178, ""fr"", ""en"")"),"To avoid . Product cheap but cheap. Leather poor and zippers do not work properly.")</f>
        <v>To avoid . Product cheap but cheap. Leather poor and zippers do not work properly.</v>
      </c>
    </row>
    <row r="13179">
      <c r="A13179" s="1">
        <v>3.0</v>
      </c>
      <c r="B13179" s="1" t="s">
        <v>12959</v>
      </c>
      <c r="C13179" t="str">
        <f>IFERROR(__xludf.DUMMYFUNCTION("GOOGLETRANSLATE(B13179, ""fr"", ""en"")"),"very fine hairline pullover sweater is not suitable for a harsh winter a little tight but hey that's how punto bingo")</f>
        <v>very fine hairline pullover sweater is not suitable for a harsh winter a little tight but hey that's how punto bingo</v>
      </c>
    </row>
    <row r="13180">
      <c r="A13180" s="1">
        <v>3.0</v>
      </c>
      <c r="B13180" s="1" t="s">
        <v>12960</v>
      </c>
      <c r="C13180" t="str">
        <f>IFERROR(__xludf.DUMMYFUNCTION("GOOGLETRANSLATE(B13180, ""fr"", ""en"")"),"Very nice product Unfortunately too wide for foot purposes. Also too. By cons, very good quality. I recommend without worry for fans of Levis")</f>
        <v>Very nice product Unfortunately too wide for foot purposes. Also too. By cons, very good quality. I recommend without worry for fans of Levis</v>
      </c>
    </row>
    <row r="13181">
      <c r="A13181" s="1">
        <v>4.0</v>
      </c>
      <c r="B13181" s="1" t="s">
        <v>12961</v>
      </c>
      <c r="C13181" t="str">
        <f>IFERROR(__xludf.DUMMYFUNCTION("GOOGLETRANSLATE(B13181, ""fr"", ""en"")"),"Simple and efficient. Perfect with refills.")</f>
        <v>Simple and efficient. Perfect with refills.</v>
      </c>
    </row>
    <row r="13182">
      <c r="A13182" s="1">
        <v>4.0</v>
      </c>
      <c r="B13182" s="1" t="s">
        <v>12962</v>
      </c>
      <c r="C13182" t="str">
        <f>IFERROR(__xludf.DUMMYFUNCTION("GOOGLETRANSLATE(B13182, ""fr"", ""en"")"),"Purchase Christmas gift for Christmas, happy with my purchase. Arrived in good condition, consistent with the picture. I recommend this product.")</f>
        <v>Purchase Christmas gift for Christmas, happy with my purchase. Arrived in good condition, consistent with the picture. I recommend this product.</v>
      </c>
    </row>
    <row r="13183">
      <c r="A13183" s="1">
        <v>4.0</v>
      </c>
      <c r="B13183" s="1" t="s">
        <v>12963</v>
      </c>
      <c r="C13183" t="str">
        <f>IFERROR(__xludf.DUMMYFUNCTION("GOOGLETRANSLATE(B13183, ""fr"", ""en"")"),"Beautiful chausssure Belle shoe by against I had to put a pair of footwear soles because the volume is very large and my little moved in height but with a good no problem .The sole shoes are of good quality")</f>
        <v>Beautiful chausssure Belle shoe by against I had to put a pair of footwear soles because the volume is very large and my little moved in height but with a good no problem .The sole shoes are of good quality</v>
      </c>
    </row>
    <row r="13184">
      <c r="A13184" s="1">
        <v>4.0</v>
      </c>
      <c r="B13184" s="1" t="s">
        <v>12964</v>
      </c>
      <c r="C13184" t="str">
        <f>IFERROR(__xludf.DUMMYFUNCTION("GOOGLETRANSLATE(B13184, ""fr"", ""en"")"),"Good but use with the application to simplify Most: - the sound quality is just magical! And it's still for me the most important criterion, despite some flaws also - good battery life and fast recharge via the loading dock - good performance and good com"&amp;"fort on the ear -: - active noise reduction not enough effective; but with the right tips passive noise reduction is not bad so I am satisfied with - the installation and use of the application for everything and anything. It is quite painful and heavy; n"&amp;"ot plug and play as expected of a pair of conventional headphones.")</f>
        <v>Good but use with the application to simplify Most: - the sound quality is just magical! And it's still for me the most important criterion, despite some flaws also - good battery life and fast recharge via the loading dock - good performance and good comfort on the ear -: - active noise reduction not enough effective; but with the right tips passive noise reduction is not bad so I am satisfied with - the installation and use of the application for everything and anything. It is quite painful and heavy; not plug and play as expected of a pair of conventional headphones.</v>
      </c>
    </row>
    <row r="13185">
      <c r="A13185" s="1">
        <v>5.0</v>
      </c>
      <c r="B13185" s="1" t="s">
        <v>12965</v>
      </c>
      <c r="C13185" t="str">
        <f>IFERROR(__xludf.DUMMYFUNCTION("GOOGLETRANSLATE(B13185, ""fr"", ""en"")"),"ITSHINY Backpack bag ideal back")</f>
        <v>ITSHINY Backpack bag ideal back</v>
      </c>
    </row>
    <row r="13186">
      <c r="A13186" s="1">
        <v>5.0</v>
      </c>
      <c r="B13186" s="1" t="s">
        <v>12966</v>
      </c>
      <c r="C13186" t="str">
        <f>IFERROR(__xludf.DUMMYFUNCTION("GOOGLETRANSLATE(B13186, ""fr"", ""en"")"),"This watch is great accurate watch, durable and functional with all its applications. There is nothing I hate this show. I recommend it to all.")</f>
        <v>This watch is great accurate watch, durable and functional with all its applications. There is nothing I hate this show. I recommend it to all.</v>
      </c>
    </row>
    <row r="13187">
      <c r="A13187" s="1">
        <v>5.0</v>
      </c>
      <c r="B13187" s="1" t="s">
        <v>12967</v>
      </c>
      <c r="C13187" t="str">
        <f>IFERROR(__xludf.DUMMYFUNCTION("GOOGLETRANSLATE(B13187, ""fr"", ""en"")"),"It's great A good value for money. Excellent product, easy to use. I recommend it.")</f>
        <v>It's great A good value for money. Excellent product, easy to use. I recommend it.</v>
      </c>
    </row>
    <row r="13188">
      <c r="A13188" s="1">
        <v>5.0</v>
      </c>
      <c r="B13188" s="1" t="s">
        <v>12968</v>
      </c>
      <c r="C13188" t="str">
        <f>IFERROR(__xludf.DUMMYFUNCTION("GOOGLETRANSLATE(B13188, ""fr"", ""en"")"),"Good product Good product, corresponds to my expectations and description.")</f>
        <v>Good product Good product, corresponds to my expectations and description.</v>
      </c>
    </row>
    <row r="13189">
      <c r="A13189" s="1">
        <v>5.0</v>
      </c>
      <c r="B13189" s="1" t="s">
        <v>12969</v>
      </c>
      <c r="C13189" t="str">
        <f>IFERROR(__xludf.DUMMYFUNCTION("GOOGLETRANSLATE(B13189, ""fr"", ""en"")"),"I love C too well I like")</f>
        <v>I love C too well I like</v>
      </c>
    </row>
    <row r="13190">
      <c r="A13190" s="1">
        <v>5.0</v>
      </c>
      <c r="B13190" s="1" t="s">
        <v>12970</v>
      </c>
      <c r="C13190" t="str">
        <f>IFERROR(__xludf.DUMMYFUNCTION("GOOGLETRANSLATE(B13190, ""fr"", ""en"")"),"Nice and comfortable. I'm a fan of the brand and TBS is not my first pair of canvas tennis. The color of those nice vraimznr is not common. A lovely brown. As for the size it is the right battery.")</f>
        <v>Nice and comfortable. I'm a fan of the brand and TBS is not my first pair of canvas tennis. The color of those nice vraimznr is not common. A lovely brown. As for the size it is the right battery.</v>
      </c>
    </row>
    <row r="13191">
      <c r="A13191" s="1">
        <v>5.0</v>
      </c>
      <c r="B13191" s="1" t="s">
        <v>12971</v>
      </c>
      <c r="C13191" t="str">
        <f>IFERROR(__xludf.DUMMYFUNCTION("GOOGLETRANSLATE(B13191, ""fr"", ""en"")"),"well for this small price Very nice watch for the price. The dial is large without too much as it is the fashion for some time. The material of the bracelet is very nice and the color exactly the descriptive and photo. The time is clearly visible. I highl"&amp;"y recommend this if the seller produit.mais propose a swap bracelet, it'll be even better, of rubber strap preference.")</f>
        <v>well for this small price Very nice watch for the price. The dial is large without too much as it is the fashion for some time. The material of the bracelet is very nice and the color exactly the descriptive and photo. The time is clearly visible. I highly recommend this if the seller produit.mais propose a swap bracelet, it'll be even better, of rubber strap preference.</v>
      </c>
    </row>
    <row r="13192">
      <c r="A13192" s="1">
        <v>5.0</v>
      </c>
      <c r="B13192" s="1" t="s">
        <v>12972</v>
      </c>
      <c r="C13192" t="str">
        <f>IFERROR(__xludf.DUMMYFUNCTION("GOOGLETRANSLATE(B13192, ""fr"", ""en"")"),"Super Super brush I use it for my shoes décrotter but it can also be used to shine does not lose his hair I especially urge for the price")</f>
        <v>Super Super brush I use it for my shoes décrotter but it can also be used to shine does not lose his hair I especially urge for the price</v>
      </c>
    </row>
    <row r="13193">
      <c r="A13193" s="1">
        <v>5.0</v>
      </c>
      <c r="B13193" s="1" t="s">
        <v>12973</v>
      </c>
      <c r="C13193" t="str">
        <f>IFERROR(__xludf.DUMMYFUNCTION("GOOGLETRANSLATE(B13193, ""fr"", ""en"")"),"Good product Met my expectations. Nice finish and easy to use. The bracelet is comfortable to wear and stays close (clasp). I recommend it.")</f>
        <v>Good product Met my expectations. Nice finish and easy to use. The bracelet is comfortable to wear and stays close (clasp). I recommend it.</v>
      </c>
    </row>
    <row r="13194">
      <c r="A13194" s="1">
        <v>5.0</v>
      </c>
      <c r="B13194" s="1" t="s">
        <v>12974</v>
      </c>
      <c r="C13194" t="str">
        <f>IFERROR(__xludf.DUMMYFUNCTION("GOOGLETRANSLATE(B13194, ""fr"", ""en"")"),"Very good jacket very good jacket! The jacket is neither too tight nor too big. I measure 175 and weighs 75kg. It suits me very well. Livration is fast.")</f>
        <v>Very good jacket very good jacket! The jacket is neither too tight nor too big. I measure 175 and weighs 75kg. It suits me very well. Livration is fast.</v>
      </c>
    </row>
    <row r="13195">
      <c r="A13195" s="1">
        <v>5.0</v>
      </c>
      <c r="B13195" s="1" t="s">
        <v>12975</v>
      </c>
      <c r="C13195" t="str">
        <f>IFERROR(__xludf.DUMMYFUNCTION("GOOGLETRANSLATE(B13195, ""fr"", ""en"")"),"Headphones very good quality! It receives the product in a beautiful packaging with a welcome letter, a user manual and securely attached headphones. Excellent sound, deep bass. They are really convenient and comfortable, especially when I play sports, th"&amp;"ey do not fall. Bluetooth connection stable prices cheap, nothing displeased!")</f>
        <v>Headphones very good quality! It receives the product in a beautiful packaging with a welcome letter, a user manual and securely attached headphones. Excellent sound, deep bass. They are really convenient and comfortable, especially when I play sports, they do not fall. Bluetooth connection stable prices cheap, nothing displeased!</v>
      </c>
    </row>
    <row r="13196">
      <c r="A13196" s="1">
        <v>5.0</v>
      </c>
      <c r="B13196" s="1" t="s">
        <v>12976</v>
      </c>
      <c r="C13196" t="str">
        <f>IFERROR(__xludf.DUMMYFUNCTION("GOOGLETRANSLATE(B13196, ""fr"", ""en"")"),"well I take them everywhere I go, I have no problem. The microphone works great and the volume controls are precise. I suppose that more work could be done on the noise cancellation; but if not, that's all I could ask for and it's pretty close to the orig"&amp;"inal that comes with most phones. I placed an order for a second pair because I am addicted to my headphones and I need a backup solution at work and at home in case I lost it. Excellent value in my opinion !!!")</f>
        <v>well I take them everywhere I go, I have no problem. The microphone works great and the volume controls are precise. I suppose that more work could be done on the noise cancellation; but if not, that's all I could ask for and it's pretty close to the original that comes with most phones. I placed an order for a second pair because I am addicted to my headphones and I need a backup solution at work and at home in case I lost it. Excellent value in my opinion !!!</v>
      </c>
    </row>
    <row r="13197">
      <c r="A13197" s="1">
        <v>5.0</v>
      </c>
      <c r="B13197" s="1" t="s">
        <v>12977</v>
      </c>
      <c r="C13197" t="str">
        <f>IFERROR(__xludf.DUMMYFUNCTION("GOOGLETRANSLATE(B13197, ""fr"", ""en"")"),"SUPERB AND RESISTANT Comfortable shoes, pretty, resisting for now a teen not careful and walk a lot. I hope they are still in good condition when they will become too small to son. I dream of the sting him!")</f>
        <v>SUPERB AND RESISTANT Comfortable shoes, pretty, resisting for now a teen not careful and walk a lot. I hope they are still in good condition when they will become too small to son. I dream of the sting him!</v>
      </c>
    </row>
    <row r="13198">
      <c r="A13198" s="1">
        <v>5.0</v>
      </c>
      <c r="B13198" s="1" t="s">
        <v>12978</v>
      </c>
      <c r="C13198" t="str">
        <f>IFERROR(__xludf.DUMMYFUNCTION("GOOGLETRANSLATE(B13198, ""fr"", ""en"")"),"Powerful I am delighted that bottle warmer, I bought not to heat bottles because my daughter did not take, but for other functions: in fact, it makes it easy to heat food and even thaw. Its steam sterilizer function is also very practical, and appreciable"&amp;" size. In short, a complete product and performance.")</f>
        <v>Powerful I am delighted that bottle warmer, I bought not to heat bottles because my daughter did not take, but for other functions: in fact, it makes it easy to heat food and even thaw. Its steam sterilizer function is also very practical, and appreciable size. In short, a complete product and performance.</v>
      </c>
    </row>
    <row r="13199">
      <c r="A13199" s="1">
        <v>5.0</v>
      </c>
      <c r="B13199" s="1" t="s">
        <v>12979</v>
      </c>
      <c r="C13199" t="str">
        <f>IFERROR(__xludf.DUMMYFUNCTION("GOOGLETRANSLATE(B13199, ""fr"", ""en"")"),"ream white paper very satisfied with my purchase ... alas product delivery ""BONUS"" becomes catastrophic, deliveries constantly delayed for several days without explanation .. unable to reach them .... thank you very much")</f>
        <v>ream white paper very satisfied with my purchase ... alas product delivery "BONUS" becomes catastrophic, deliveries constantly delayed for several days without explanation .. unable to reach them .... thank you very much</v>
      </c>
    </row>
    <row r="13200">
      <c r="A13200" s="1">
        <v>2.0</v>
      </c>
      <c r="B13200" s="1" t="s">
        <v>12980</v>
      </c>
      <c r="C13200" t="str">
        <f>IFERROR(__xludf.DUMMYFUNCTION("GOOGLETRANSLATE(B13200, ""fr"", ""en"")"),"Use good quality textiles. However, difficulty in ""trigger"" the zipper. Lack a top hook to facilitate closure.")</f>
        <v>Use good quality textiles. However, difficulty in "trigger" the zipper. Lack a top hook to facilitate closure.</v>
      </c>
    </row>
    <row r="13201">
      <c r="A13201" s="1">
        <v>1.0</v>
      </c>
      <c r="B13201" s="1" t="s">
        <v>12981</v>
      </c>
      <c r="C13201" t="str">
        <f>IFERROR(__xludf.DUMMYFUNCTION("GOOGLETRANSLATE(B13201, ""fr"", ""en"")"),"Very pretty but disappointing ... Very nice pendant in reception but it is not quality. I gave it to a friend and rosy appearance of the little heart is gone after 2-3 showers ... So now, more pink on the pendant ... But the most annoying is that Finally,"&amp;" after two weeks the weld at the base of the tree broke ... So in the end she ended with a round pendant with nothing in it and it is clear that it lacks something in SINCE there remains a lean down. I do not recommend the shot!")</f>
        <v>Very pretty but disappointing ... Very nice pendant in reception but it is not quality. I gave it to a friend and rosy appearance of the little heart is gone after 2-3 showers ... So now, more pink on the pendant ... But the most annoying is that Finally, after two weeks the weld at the base of the tree broke ... So in the end she ended with a round pendant with nothing in it and it is clear that it lacks something in SINCE there remains a lean down. I do not recommend the shot!</v>
      </c>
    </row>
    <row r="13202">
      <c r="A13202" s="1">
        <v>1.0</v>
      </c>
      <c r="B13202" s="1" t="s">
        <v>12982</v>
      </c>
      <c r="C13202" t="str">
        <f>IFERROR(__xludf.DUMMYFUNCTION("GOOGLETRANSLATE(B13202, ""fr"", ""en"")"),"purchase Hello I want to buy two sets minnie differen how because he watches foto starts when added cart o c me mm")</f>
        <v>purchase Hello I want to buy two sets minnie differen how because he watches foto starts when added cart o c me mm</v>
      </c>
    </row>
    <row r="13203">
      <c r="A13203" s="1">
        <v>3.0</v>
      </c>
      <c r="B13203" s="1" t="s">
        <v>12983</v>
      </c>
      <c r="C13203" t="str">
        <f>IFERROR(__xludf.DUMMYFUNCTION("GOOGLETRANSLATE(B13203, ""fr"", ""en"")"),"safety footwear model matches my expectations for my work every day, the shoe is built for size, thickness of the above suitable leather after to see how long I retained, so far not disappointed my purchase price is reasonable")</f>
        <v>safety footwear model matches my expectations for my work every day, the shoe is built for size, thickness of the above suitable leather after to see how long I retained, so far not disappointed my purchase price is reasonable</v>
      </c>
    </row>
    <row r="13204">
      <c r="A13204" s="1">
        <v>3.0</v>
      </c>
      <c r="B13204" s="1" t="s">
        <v>12984</v>
      </c>
      <c r="C13204" t="str">
        <f>IFERROR(__xludf.DUMMYFUNCTION("GOOGLETRANSLATE(B13204, ""fr"", ""en"")"),"Size too small There were comments that the said. Effectively the Crocband size smaller. It's been a long time since I size 44, but now 43-44, touch my toes and my heel is really at the rear edge. To use donned a slipper is too tight. Yann")</f>
        <v>Size too small There were comments that the said. Effectively the Crocband size smaller. It's been a long time since I size 44, but now 43-44, touch my toes and my heel is really at the rear edge. To use donned a slipper is too tight. Yann</v>
      </c>
    </row>
    <row r="13205">
      <c r="A13205" s="1">
        <v>4.0</v>
      </c>
      <c r="B13205" s="1" t="s">
        <v>12985</v>
      </c>
      <c r="C13205" t="str">
        <f>IFERROR(__xludf.DUMMYFUNCTION("GOOGLETRANSLATE(B13205, ""fr"", ""en"")"),"It'll Okay, value")</f>
        <v>It'll Okay, value</v>
      </c>
    </row>
    <row r="13206">
      <c r="A13206" s="1">
        <v>4.0</v>
      </c>
      <c r="B13206" s="1" t="s">
        <v>12986</v>
      </c>
      <c r="C13206" t="str">
        <f>IFERROR(__xludf.DUMMYFUNCTION("GOOGLETRANSLATE(B13206, ""fr"", ""en"")"),"virtuous composition but too sweet smell If the virtuous composition is to make sure and relaxing effect also is the smell too greedy displeases me. No star lost as such because it is personal taste.")</f>
        <v>virtuous composition but too sweet smell If the virtuous composition is to make sure and relaxing effect also is the smell too greedy displeases me. No star lost as such because it is personal taste.</v>
      </c>
    </row>
    <row r="13207">
      <c r="A13207" s="1">
        <v>4.0</v>
      </c>
      <c r="B13207" s="1" t="s">
        <v>12987</v>
      </c>
      <c r="C13207" t="str">
        <f>IFERROR(__xludf.DUMMYFUNCTION("GOOGLETRANSLATE(B13207, ""fr"", ""en"")"),"What we expect. correct socks, what is waiting. Get dirty like socks, deteriorate like socks. Carefully check the size before ordering, I had to return when I was certain to have ordered the wrong size, it's quick. Strong, efficient, PUMA socks.")</f>
        <v>What we expect. correct socks, what is waiting. Get dirty like socks, deteriorate like socks. Carefully check the size before ordering, I had to return when I was certain to have ordered the wrong size, it's quick. Strong, efficient, PUMA socks.</v>
      </c>
    </row>
    <row r="13208">
      <c r="A13208" s="1">
        <v>4.0</v>
      </c>
      <c r="B13208" s="1" t="s">
        <v>12988</v>
      </c>
      <c r="C13208" t="str">
        <f>IFERROR(__xludf.DUMMYFUNCTION("GOOGLETRANSLATE(B13208, ""fr"", ""en"")"),"Look sport and nonconformist This watch is really unconventional and extremely original. First, the black background and red bracelet gives it a totally high-tech look. diesel quality is really to go, perfect finishes. high profile figures and sobriety. T"&amp;"his watch exudes solidity. and the red bracelet will attract attention, especially during a period of holidays in the sun. a beautiful purchase.")</f>
        <v>Look sport and nonconformist This watch is really unconventional and extremely original. First, the black background and red bracelet gives it a totally high-tech look. diesel quality is really to go, perfect finishes. high profile figures and sobriety. This watch exudes solidity. and the red bracelet will attract attention, especially during a period of holidays in the sun. a beautiful purchase.</v>
      </c>
    </row>
    <row r="13209">
      <c r="A13209" s="1">
        <v>5.0</v>
      </c>
      <c r="B13209" s="1" t="s">
        <v>12989</v>
      </c>
      <c r="C13209" t="str">
        <f>IFERROR(__xludf.DUMMYFUNCTION("GOOGLETRANSLATE(B13209, ""fr"", ""en"")"),"Featured cheap model, and very reliable ... Batons, leisure, vacation, swimming pool ... Pile indestructible ... I recommend this model ... Quality / Price ... There is no better .. . 👍🏻😉 ... Tested again this year ... 10 days pool, not infiltration .."&amp;". this watch is a jewel ... She follows me everywhere, work, crafts, recreation ... totally satisfied with this product ...")</f>
        <v>Featured cheap model, and very reliable ... Batons, leisure, vacation, swimming pool ... Pile indestructible ... I recommend this model ... Quality / Price ... There is no better .. . 👍🏻😉 ... Tested again this year ... 10 days pool, not infiltration ... this watch is a jewel ... She follows me everywhere, work, crafts, recreation ... totally satisfied with this product ...</v>
      </c>
    </row>
    <row r="13210">
      <c r="A13210" s="1">
        <v>5.0</v>
      </c>
      <c r="B13210" s="1" t="s">
        <v>12990</v>
      </c>
      <c r="C13210" t="str">
        <f>IFERROR(__xludf.DUMMYFUNCTION("GOOGLETRANSLATE(B13210, ""fr"", ""en"")"),"Banana Banana beautiful and practical perfect, my son dreamed. It seems that it is the current fashion. He is delighted, that's the main thing. There are two zippered pockets very practical.")</f>
        <v>Banana Banana beautiful and practical perfect, my son dreamed. It seems that it is the current fashion. He is delighted, that's the main thing. There are two zippered pockets very practical.</v>
      </c>
    </row>
    <row r="13211">
      <c r="A13211" s="1">
        <v>5.0</v>
      </c>
      <c r="B13211" s="1" t="s">
        <v>12991</v>
      </c>
      <c r="C13211" t="str">
        <f>IFERROR(__xludf.DUMMYFUNCTION("GOOGLETRANSLATE(B13211, ""fr"", ""en"")"),"Nickel! Quick delivery. Consistent with the description. Good digital watch that does not cost much, very light and comfortable to wear. A classic that still has a small effect due to the spirit ""vintage"".")</f>
        <v>Nickel! Quick delivery. Consistent with the description. Good digital watch that does not cost much, very light and comfortable to wear. A classic that still has a small effect due to the spirit "vintage".</v>
      </c>
    </row>
    <row r="13212">
      <c r="A13212" s="1">
        <v>5.0</v>
      </c>
      <c r="B13212" s="1" t="s">
        <v>12992</v>
      </c>
      <c r="C13212" t="str">
        <f>IFERROR(__xludf.DUMMYFUNCTION("GOOGLETRANSLATE(B13212, ""fr"", ""en"")"),"Easy to use This is a gift for my friend, she has a baby for the first time. And she loves this. It's easy to use, it can control the temperature by itself. It is not large, easy to take.")</f>
        <v>Easy to use This is a gift for my friend, she has a baby for the first time. And she loves this. It's easy to use, it can control the temperature by itself. It is not large, easy to take.</v>
      </c>
    </row>
    <row r="13213">
      <c r="A13213" s="1">
        <v>5.0</v>
      </c>
      <c r="B13213" s="1" t="s">
        <v>12993</v>
      </c>
      <c r="C13213" t="str">
        <f>IFERROR(__xludf.DUMMYFUNCTION("GOOGLETRANSLATE(B13213, ""fr"", ""en"")"),"great product I am very satisfied with this purchase, I use it every day this kettle is perfect, it can heat water quickly with a choice of temperature which saves energy, it has other options I liked them as to keep the water warm for 12 hours and also i"&amp;"ts design with its blue lED, plus it is easy to use, I recommend this product")</f>
        <v>great product I am very satisfied with this purchase, I use it every day this kettle is perfect, it can heat water quickly with a choice of temperature which saves energy, it has other options I liked them as to keep the water warm for 12 hours and also its design with its blue lED, plus it is easy to use, I recommend this product</v>
      </c>
    </row>
    <row r="13214">
      <c r="A13214" s="1">
        <v>5.0</v>
      </c>
      <c r="B13214" s="1" t="s">
        <v>12994</v>
      </c>
      <c r="C13214" t="str">
        <f>IFERROR(__xludf.DUMMYFUNCTION("GOOGLETRANSLATE(B13214, ""fr"", ""en"")"),"Nothing to say Not disappointed, I recommend and I do not hesitate to go through this seller")</f>
        <v>Nothing to say Not disappointed, I recommend and I do not hesitate to go through this seller</v>
      </c>
    </row>
    <row r="13215">
      <c r="A13215" s="1">
        <v>5.0</v>
      </c>
      <c r="B13215" s="1" t="s">
        <v>12995</v>
      </c>
      <c r="C13215" t="str">
        <f>IFERROR(__xludf.DUMMYFUNCTION("GOOGLETRANSLATE(B13215, ""fr"", ""en"")"),"Beautiful Very good value for money. The drawings are beautiful")</f>
        <v>Beautiful Very good value for money. The drawings are beautiful</v>
      </c>
    </row>
    <row r="13216">
      <c r="A13216" s="1">
        <v>5.0</v>
      </c>
      <c r="B13216" s="1" t="s">
        <v>12996</v>
      </c>
      <c r="C13216" t="str">
        <f>IFERROR(__xludf.DUMMYFUNCTION("GOOGLETRANSLATE(B13216, ""fr"", ""en"")"),"Ok everything is in order")</f>
        <v>Ok everything is in order</v>
      </c>
    </row>
    <row r="13217">
      <c r="A13217" s="1">
        <v>5.0</v>
      </c>
      <c r="B13217" s="1" t="s">
        <v>12997</v>
      </c>
      <c r="C13217" t="str">
        <f>IFERROR(__xludf.DUMMYFUNCTION("GOOGLETRANSLATE(B13217, ""fr"", ""en"")"),"Super nice I'm really super happy with this sportswear. Size M for 164cm, perfect fit. The texture is super nice, rather warm for the winter. The two side pockets are perfect for putting refueling outings in Running. value for money top!")</f>
        <v>Super nice I'm really super happy with this sportswear. Size M for 164cm, perfect fit. The texture is super nice, rather warm for the winter. The two side pockets are perfect for putting refueling outings in Running. value for money top!</v>
      </c>
    </row>
    <row r="13218">
      <c r="A13218" s="1">
        <v>5.0</v>
      </c>
      <c r="B13218" s="1" t="s">
        <v>12998</v>
      </c>
      <c r="C13218" t="str">
        <f>IFERROR(__xludf.DUMMYFUNCTION("GOOGLETRANSLATE(B13218, ""fr"", ""en"")"),"Crocs ! Comfortable fangs with very good soles through which one does not feel like pebbles in these shoes who want their look.")</f>
        <v>Crocs ! Comfortable fangs with very good soles through which one does not feel like pebbles in these shoes who want their look.</v>
      </c>
    </row>
    <row r="13219">
      <c r="A13219" s="1">
        <v>5.0</v>
      </c>
      <c r="B13219" s="1" t="s">
        <v>12999</v>
      </c>
      <c r="C13219" t="str">
        <f>IFERROR(__xludf.DUMMYFUNCTION("GOOGLETRANSLATE(B13219, ""fr"", ""en"")"),"good quality cable I bought this cable to link it to my dynamic microphone connected to a voice recorder. The recording quality is very good. A cable 1.4m, a perfect size for my use (micro more or less close to the recorder).")</f>
        <v>good quality cable I bought this cable to link it to my dynamic microphone connected to a voice recorder. The recording quality is very good. A cable 1.4m, a perfect size for my use (micro more or less close to the recorder).</v>
      </c>
    </row>
    <row r="13220">
      <c r="A13220" s="1">
        <v>5.0</v>
      </c>
      <c r="B13220" s="1" t="s">
        <v>13000</v>
      </c>
      <c r="C13220" t="str">
        <f>IFERROR(__xludf.DUMMYFUNCTION("GOOGLETRANSLATE(B13220, ""fr"", ""en"")"),"Very pretty ear-rings with a small very nice price to get a gift without breaking the bank!")</f>
        <v>Very pretty ear-rings with a small very nice price to get a gift without breaking the bank!</v>
      </c>
    </row>
    <row r="13221">
      <c r="A13221" s="1">
        <v>5.0</v>
      </c>
      <c r="B13221" s="1" t="s">
        <v>13001</v>
      </c>
      <c r="C13221" t="str">
        <f>IFERROR(__xludf.DUMMYFUNCTION("GOOGLETRANSLATE(B13221, ""fr"", ""en"")"),"Good kit for motherhood maternity kit handy set perfectly for the days in the hospital (in my case 2 days I feel a bit tight for more) always helps me and is still in very good condition")</f>
        <v>Good kit for motherhood maternity kit handy set perfectly for the days in the hospital (in my case 2 days I feel a bit tight for more) always helps me and is still in very good condition</v>
      </c>
    </row>
    <row r="13222">
      <c r="A13222" s="1">
        <v>5.0</v>
      </c>
      <c r="B13222" s="1" t="s">
        <v>13002</v>
      </c>
      <c r="C13222" t="str">
        <f>IFERROR(__xludf.DUMMYFUNCTION("GOOGLETRANSLATE(B13222, ""fr"", ""en"")"),"Although I took a size above my usual size, it's great we see quick results")</f>
        <v>Although I took a size above my usual size, it's great we see quick results</v>
      </c>
    </row>
    <row r="13223">
      <c r="A13223" s="1">
        <v>5.0</v>
      </c>
      <c r="B13223" s="1" t="s">
        <v>13003</v>
      </c>
      <c r="C13223" t="str">
        <f>IFERROR(__xludf.DUMMYFUNCTION("GOOGLETRANSLATE(B13223, ""fr"", ""en"")"),"Good quality, size and consistent Joli lot of black socks, good quality. After the arrival of the package, move to the machine before wearing. After a day in his socks, I find them very comfortable and the size is well suited Batch six is ​​a very good va"&amp;"lue for money")</f>
        <v>Good quality, size and consistent Joli lot of black socks, good quality. After the arrival of the package, move to the machine before wearing. After a day in his socks, I find them very comfortable and the size is well suited Batch six is ​​a very good value for money</v>
      </c>
    </row>
    <row r="13224">
      <c r="A13224" s="1">
        <v>2.0</v>
      </c>
      <c r="B13224" s="1" t="s">
        <v>13004</v>
      </c>
      <c r="C13224" t="str">
        <f>IFERROR(__xludf.DUMMYFUNCTION("GOOGLETRANSLATE(B13224, ""fr"", ""en"")"),"magic sponge I bought for my lino floor, it has some spots that I know neither the nature nor the origin but it did not work at all. If the packaging is good and includes 3 packs of 2 sponges each.")</f>
        <v>magic sponge I bought for my lino floor, it has some spots that I know neither the nature nor the origin but it did not work at all. If the packaging is good and includes 3 packs of 2 sponges each.</v>
      </c>
    </row>
    <row r="13225">
      <c r="A13225" s="1">
        <v>1.0</v>
      </c>
      <c r="B13225" s="1" t="s">
        <v>13005</v>
      </c>
      <c r="C13225" t="str">
        <f>IFERROR(__xludf.DUMMYFUNCTION("GOOGLETRANSLATE(B13225, ""fr"", ""en"")"),"To avoid !!!!!! You can not even put the foot in and also the tab you have in hand. Anyway ... Disappointed and this will be my last purchase shoes.")</f>
        <v>To avoid !!!!!! You can not even put the foot in and also the tab you have in hand. Anyway ... Disappointed and this will be my last purchase shoes.</v>
      </c>
    </row>
    <row r="13226">
      <c r="A13226" s="1">
        <v>1.0</v>
      </c>
      <c r="B13226" s="1" t="s">
        <v>13006</v>
      </c>
      <c r="C13226" t="str">
        <f>IFERROR(__xludf.DUMMYFUNCTION("GOOGLETRANSLATE(B13226, ""fr"", ""en"")"),"Fabric and disjointed end inseam Product pleasant to wear, but thin fabric. I got ripped at the crotch.")</f>
        <v>Fabric and disjointed end inseam Product pleasant to wear, but thin fabric. I got ripped at the crotch.</v>
      </c>
    </row>
    <row r="13227">
      <c r="A13227" s="1">
        <v>3.0</v>
      </c>
      <c r="B13227" s="1" t="s">
        <v>13007</v>
      </c>
      <c r="C13227" t="str">
        <f>IFERROR(__xludf.DUMMYFUNCTION("GOOGLETRANSLATE(B13227, ""fr"", ""en"")"),"Fragile! Very fragile ... First received machine (with a manufacturing defect?): The joystick to ""engage"" the power vacuum broke after the second use. It ""forced"" already out of the packaging. Quick exchange by amazon (good point!). The second machine"&amp;" received seems to me (slightly) different: the handle is more ergonomic and ""crack"" no. However, all seems a bit fragile and must be handled gently. For example, the adapter for the evacuation of Foodsaver boxes wide tip (those with green edges) has hi"&amp;"mself also split when I introduced the small connector supplied with the machine. Yet I have not forced! In short, at efficiency but it looks good solidity perspective, FS can do better! At that price you could expect a bit more ""pro"".")</f>
        <v>Fragile! Very fragile ... First received machine (with a manufacturing defect?): The joystick to "engage" the power vacuum broke after the second use. It "forced" already out of the packaging. Quick exchange by amazon (good point!). The second machine received seems to me (slightly) different: the handle is more ergonomic and "crack" no. However, all seems a bit fragile and must be handled gently. For example, the adapter for the evacuation of Foodsaver boxes wide tip (those with green edges) has himself also split when I introduced the small connector supplied with the machine. Yet I have not forced! In short, at efficiency but it looks good solidity perspective, FS can do better! At that price you could expect a bit more "pro".</v>
      </c>
    </row>
    <row r="13228">
      <c r="A13228" s="1">
        <v>4.0</v>
      </c>
      <c r="B13228" s="1" t="s">
        <v>13008</v>
      </c>
      <c r="C13228" t="str">
        <f>IFERROR(__xludf.DUMMYFUNCTION("GOOGLETRANSLATE(B13228, ""fr"", ""en"")"),"Content of the product. Comfortable and good size. Due to the washing machine 30")</f>
        <v>Content of the product. Comfortable and good size. Due to the washing machine 30</v>
      </c>
    </row>
    <row r="13229">
      <c r="A13229" s="1">
        <v>4.0</v>
      </c>
      <c r="B13229" s="1" t="s">
        <v>13009</v>
      </c>
      <c r="C13229" t="str">
        <f>IFERROR(__xludf.DUMMYFUNCTION("GOOGLETRANSLATE(B13229, ""fr"", ""en"")"),"Mixed Unlike a competitor, we are not left with large pieces that come suddenly. By cons, they arrive regularly at the glued paper drying off and especially when it is a bit cold. I continue to use it because despite all the lasts long tube and as said be"&amp;"fore the glue is spread regularly.")</f>
        <v>Mixed Unlike a competitor, we are not left with large pieces that come suddenly. By cons, they arrive regularly at the glued paper drying off and especially when it is a bit cold. I continue to use it because despite all the lasts long tube and as said before the glue is spread regularly.</v>
      </c>
    </row>
    <row r="13230">
      <c r="A13230" s="1">
        <v>4.0</v>
      </c>
      <c r="B13230" s="1" t="s">
        <v>13010</v>
      </c>
      <c r="C13230" t="str">
        <f>IFERROR(__xludf.DUMMYFUNCTION("GOOGLETRANSLATE(B13230, ""fr"", ""en"")"),"Effective, the helmet does what you ask him I bought this helmet in order to watch TV without having to disturb my neighbors, the headset is easy to use and is connected easily to my box android. Only flat, although the comfort for the ears either, it's n"&amp;"ot really the case for the head, due to the headband headphone little stuff. In short I recommend.")</f>
        <v>Effective, the helmet does what you ask him I bought this helmet in order to watch TV without having to disturb my neighbors, the headset is easy to use and is connected easily to my box android. Only flat, although the comfort for the ears either, it's not really the case for the head, due to the headband headphone little stuff. In short I recommend.</v>
      </c>
    </row>
    <row r="13231">
      <c r="A13231" s="1">
        <v>4.0</v>
      </c>
      <c r="B13231" s="1" t="s">
        <v>13011</v>
      </c>
      <c r="C13231" t="str">
        <f>IFERROR(__xludf.DUMMYFUNCTION("GOOGLETRANSLATE(B13231, ""fr"", ""en"")"),"LACE TOO SHORT The shoe is fine - nothing to say - small downside - when lacing, I found that I could not make a ""rosette"" with my right shoe like the left - after verification, yaw was shorter than the other 10cm! so I resorted to buying a pair of shoe"&amp;"laces!")</f>
        <v>LACE TOO SHORT The shoe is fine - nothing to say - small downside - when lacing, I found that I could not make a "rosette" with my right shoe like the left - after verification, yaw was shorter than the other 10cm! so I resorted to buying a pair of shoelaces!</v>
      </c>
    </row>
    <row r="13232">
      <c r="A13232" s="1">
        <v>5.0</v>
      </c>
      <c r="B13232" s="1" t="s">
        <v>13012</v>
      </c>
      <c r="C13232" t="str">
        <f>IFERROR(__xludf.DUMMYFUNCTION("GOOGLETRANSLATE(B13232, ""fr"", ""en"")"),"wow I had no helmet, first on console and pc, a sacred number but then it's wow, nothing to say everything is perfect the his qualiter, microwave everything is spotless! I use spring of loan 2years headphones pro series e-sports and for anything I would h"&amp;"and in place of really hyperX I recommend it! sound 3d and great, in a game like H1Z1 or cs go there my save the life of multiple recovery, just the headset itself increases your gaming levels just by its its qualiter, after not dream the rest c 'st you h"&amp;"ave to do;)")</f>
        <v>wow I had no helmet, first on console and pc, a sacred number but then it's wow, nothing to say everything is perfect the his qualiter, microwave everything is spotless! I use spring of loan 2years headphones pro series e-sports and for anything I would hand in place of really hyperX I recommend it! sound 3d and great, in a game like H1Z1 or cs go there my save the life of multiple recovery, just the headset itself increases your gaming levels just by its its qualiter, after not dream the rest c 'st you have to do;)</v>
      </c>
    </row>
    <row r="13233">
      <c r="A13233" s="1">
        <v>5.0</v>
      </c>
      <c r="B13233" s="1" t="s">
        <v>13013</v>
      </c>
      <c r="C13233" t="str">
        <f>IFERROR(__xludf.DUMMYFUNCTION("GOOGLETRANSLATE(B13233, ""fr"", ""en"")"),"Super rename this brand is no longer to do its job done.")</f>
        <v>Super rename this brand is no longer to do its job done.</v>
      </c>
    </row>
    <row r="13234">
      <c r="A13234" s="1">
        <v>5.0</v>
      </c>
      <c r="B13234" s="1" t="s">
        <v>13014</v>
      </c>
      <c r="C13234" t="str">
        <f>IFERROR(__xludf.DUMMYFUNCTION("GOOGLETRANSLATE(B13234, ""fr"", ""en"")"),"Comfortable! To stay comfortable at home, what size pants a little large (before the first washing). It is very comfortable to wear, very soft.")</f>
        <v>Comfortable! To stay comfortable at home, what size pants a little large (before the first washing). It is very comfortable to wear, very soft.</v>
      </c>
    </row>
    <row r="13235">
      <c r="A13235" s="1">
        <v>5.0</v>
      </c>
      <c r="B13235" s="1" t="s">
        <v>13015</v>
      </c>
      <c r="C13235" t="str">
        <f>IFERROR(__xludf.DUMMYFUNCTION("GOOGLETRANSLATE(B13235, ""fr"", ""en"")"),"The volume and color Very practical and elegant product, volume perfect to put an S3 Samsung tablet")</f>
        <v>The volume and color Very practical and elegant product, volume perfect to put an S3 Samsung tablet</v>
      </c>
    </row>
    <row r="13236">
      <c r="A13236" s="1">
        <v>5.0</v>
      </c>
      <c r="B13236" s="1" t="s">
        <v>13016</v>
      </c>
      <c r="C13236" t="str">
        <f>IFERROR(__xludf.DUMMYFUNCTION("GOOGLETRANSLATE(B13236, ""fr"", ""en"")"),"All great product made Conform, very good quality, size impeccable, super beautiful .. Van what! I recommeded this article without any hesitation .. by cons no monitoring by Chronopost dare ... with mail")</f>
        <v>All great product made Conform, very good quality, size impeccable, super beautiful .. Van what! I recommeded this article without any hesitation .. by cons no monitoring by Chronopost dare ... with mail</v>
      </c>
    </row>
    <row r="13237">
      <c r="A13237" s="1">
        <v>5.0</v>
      </c>
      <c r="B13237" s="1" t="s">
        <v>13017</v>
      </c>
      <c r="C13237" t="str">
        <f>IFERROR(__xludf.DUMMYFUNCTION("GOOGLETRANSLATE(B13237, ""fr"", ""en"")"),"CARTRIDGE DEFECTIVE defective cartridge, was never detected by the printer! 30 euros lost !!!!!")</f>
        <v>CARTRIDGE DEFECTIVE defective cartridge, was never detected by the printer! 30 euros lost !!!!!</v>
      </c>
    </row>
    <row r="13238">
      <c r="A13238" s="1">
        <v>5.0</v>
      </c>
      <c r="B13238" s="1" t="s">
        <v>13018</v>
      </c>
      <c r="C13238" t="str">
        <f>IFERROR(__xludf.DUMMYFUNCTION("GOOGLETRANSLATE(B13238, ""fr"", ""en"")"),"Next time I will take the container with integrated brush I brushed my legs hens to treat scabies, very good result.")</f>
        <v>Next time I will take the container with integrated brush I brushed my legs hens to treat scabies, very good result.</v>
      </c>
    </row>
    <row r="13239">
      <c r="A13239" s="1">
        <v>5.0</v>
      </c>
      <c r="B13239" s="1" t="s">
        <v>13019</v>
      </c>
      <c r="C13239" t="str">
        <f>IFERROR(__xludf.DUMMYFUNCTION("GOOGLETRANSLATE(B13239, ""fr"", ""en"")"),"Creative and original A complete kit for DIY surprise gift box. There is everything you need to make cm, scissors, tape, stickers, paper hearts, ribbon, pencil boxes ... For a nice personalized gift c is nice and original")</f>
        <v>Creative and original A complete kit for DIY surprise gift box. There is everything you need to make cm, scissors, tape, stickers, paper hearts, ribbon, pencil boxes ... For a nice personalized gift c is nice and original</v>
      </c>
    </row>
    <row r="13240">
      <c r="A13240" s="1">
        <v>5.0</v>
      </c>
      <c r="B13240" s="1" t="s">
        <v>13020</v>
      </c>
      <c r="C13240" t="str">
        <f>IFERROR(__xludf.DUMMYFUNCTION("GOOGLETRANSLATE(B13240, ""fr"", ""en"")"),"Cute necklace is very cute, good quality. Sending fast, like it to feel that it is larger but it really is very chic and classy.")</f>
        <v>Cute necklace is very cute, good quality. Sending fast, like it to feel that it is larger but it really is very chic and classy.</v>
      </c>
    </row>
    <row r="13241">
      <c r="A13241" s="1">
        <v>5.0</v>
      </c>
      <c r="B13241" s="1" t="s">
        <v>13021</v>
      </c>
      <c r="C13241" t="str">
        <f>IFERROR(__xludf.DUMMYFUNCTION("GOOGLETRANSLATE(B13241, ""fr"", ""en"")"),"At the top I am very satisfied with this product. I am a teacher and I use it in my class for all my displays. Adhesion to top. Thank you")</f>
        <v>At the top I am very satisfied with this product. I am a teacher and I use it in my class for all my displays. Adhesion to top. Thank you</v>
      </c>
    </row>
    <row r="13242">
      <c r="A13242" s="1">
        <v>5.0</v>
      </c>
      <c r="B13242" s="1" t="s">
        <v>13022</v>
      </c>
      <c r="C13242" t="str">
        <f>IFERROR(__xludf.DUMMYFUNCTION("GOOGLETRANSLATE(B13242, ""fr"", ""en"")"),"Splendid Super Puma")</f>
        <v>Splendid Super Puma</v>
      </c>
    </row>
    <row r="13243">
      <c r="A13243" s="1">
        <v>5.0</v>
      </c>
      <c r="B13243" s="1" t="s">
        <v>13023</v>
      </c>
      <c r="C13243" t="str">
        <f>IFERROR(__xludf.DUMMYFUNCTION("GOOGLETRANSLATE(B13243, ""fr"", ""en"")"),"pretty disigne very well, util")</f>
        <v>pretty disigne very well, util</v>
      </c>
    </row>
    <row r="13244">
      <c r="A13244" s="1">
        <v>5.0</v>
      </c>
      <c r="B13244" s="1" t="s">
        <v>13024</v>
      </c>
      <c r="C13244" t="str">
        <f>IFERROR(__xludf.DUMMYFUNCTION("GOOGLETRANSLATE(B13244, ""fr"", ""en"")"),"Super cable I am delighted, very good purchase!")</f>
        <v>Super cable I am delighted, very good purchase!</v>
      </c>
    </row>
    <row r="13245">
      <c r="A13245" s="1">
        <v>5.0</v>
      </c>
      <c r="B13245" s="1" t="s">
        <v>13025</v>
      </c>
      <c r="C13245" t="str">
        <f>IFERROR(__xludf.DUMMYFUNCTION("GOOGLETRANSLATE(B13245, ""fr"", ""en"")"),"palladium baggy gray us Impeccable, more cheaper than in stores. In addition, it reminds me of my adolescence when I wore simultaneously Kickers and patogas except that the form has changed with the small tab on the top giving it look good .. I'm pretty h"&amp;"appy. Thank you")</f>
        <v>palladium baggy gray us Impeccable, more cheaper than in stores. In addition, it reminds me of my adolescence when I wore simultaneously Kickers and patogas except that the form has changed with the small tab on the top giving it look good .. I'm pretty happy. Thank you</v>
      </c>
    </row>
    <row r="13246">
      <c r="A13246" s="1">
        <v>5.0</v>
      </c>
      <c r="B13246" s="1" t="s">
        <v>13026</v>
      </c>
      <c r="C13246" t="str">
        <f>IFERROR(__xludf.DUMMYFUNCTION("GOOGLETRANSLATE(B13246, ""fr"", ""en"")"),"Perfect Complies description")</f>
        <v>Perfect Complies description</v>
      </c>
    </row>
    <row r="13247">
      <c r="A13247" s="1">
        <v>2.0</v>
      </c>
      <c r="B13247" s="1" t="s">
        <v>13027</v>
      </c>
      <c r="C13247" t="str">
        <f>IFERROR(__xludf.DUMMYFUNCTION("GOOGLETRANSLATE(B13247, ""fr"", ""en"")"),"Very good Good product but pricey")</f>
        <v>Very good Good product but pricey</v>
      </c>
    </row>
    <row r="13248">
      <c r="A13248" s="1">
        <v>1.0</v>
      </c>
      <c r="B13248" s="1" t="s">
        <v>4492</v>
      </c>
      <c r="C13248" t="str">
        <f>IFERROR(__xludf.DUMMYFUNCTION("GOOGLETRANSLATE(B13248, ""fr"", ""en"")"),"nil nil")</f>
        <v>nil nil</v>
      </c>
    </row>
    <row r="13249">
      <c r="A13249" s="1">
        <v>3.0</v>
      </c>
      <c r="B13249" s="1" t="s">
        <v>13028</v>
      </c>
      <c r="C13249" t="str">
        <f>IFERROR(__xludf.DUMMYFUNCTION("GOOGLETRANSLATE(B13249, ""fr"", ""en"")"),"R A S too expensive")</f>
        <v>R A S too expensive</v>
      </c>
    </row>
    <row r="13250">
      <c r="A13250" s="1">
        <v>3.0</v>
      </c>
      <c r="B13250" s="1" t="s">
        <v>13029</v>
      </c>
      <c r="C13250" t="str">
        <f>IFERROR(__xludf.DUMMYFUNCTION("GOOGLETRANSLATE(B13250, ""fr"", ""en"")"),"Almost Perfect Very nice quality and finish. Leather is a little steep and should be eased by regular walking, but at no time does no harm. The ankle is very good. Missing just a good insole, there is a big zero points. I had to buy a new pair of shoe a l"&amp;"ittle thicker and comfortable!")</f>
        <v>Almost Perfect Very nice quality and finish. Leather is a little steep and should be eased by regular walking, but at no time does no harm. The ankle is very good. Missing just a good insole, there is a big zero points. I had to buy a new pair of shoe a little thicker and comfortable!</v>
      </c>
    </row>
    <row r="13251">
      <c r="A13251" s="1">
        <v>4.0</v>
      </c>
      <c r="B13251" s="1" t="s">
        <v>3701</v>
      </c>
      <c r="C13251" t="str">
        <f>IFERROR(__xludf.DUMMYFUNCTION("GOOGLETRANSLATE(B13251, ""fr"", ""en"")"),"Pleasant satisfied")</f>
        <v>Pleasant satisfied</v>
      </c>
    </row>
    <row r="13252">
      <c r="A13252" s="1">
        <v>4.0</v>
      </c>
      <c r="B13252" s="1" t="s">
        <v>13030</v>
      </c>
      <c r="C13252" t="str">
        <f>IFERROR(__xludf.DUMMYFUNCTION("GOOGLETRANSLATE(B13252, ""fr"", ""en"")"),"practices I do not know if it's thanks to them that baby buttocks dry, but when in doubt I always put a! No need to put 2 as I have done, there will be no difference. Baby has never had irritated buttocks, or red, or anything! But they are used only in ca"&amp;"se of large commission, collects everything and hop, trash! Just the right size adapted to the layers, maybe the price is a bit excessive.")</f>
        <v>practices I do not know if it's thanks to them that baby buttocks dry, but when in doubt I always put a! No need to put 2 as I have done, there will be no difference. Baby has never had irritated buttocks, or red, or anything! But they are used only in case of large commission, collects everything and hop, trash! Just the right size adapted to the layers, maybe the price is a bit excessive.</v>
      </c>
    </row>
    <row r="13253">
      <c r="A13253" s="1">
        <v>4.0</v>
      </c>
      <c r="B13253" s="1" t="s">
        <v>13031</v>
      </c>
      <c r="C13253" t="str">
        <f>IFERROR(__xludf.DUMMYFUNCTION("GOOGLETRANSLATE(B13253, ""fr"", ""en"")"),"Watch disiel Good product but rather fragile glass already broken 2mois🤔😫")</f>
        <v>Watch disiel Good product but rather fragile glass already broken 2mois🤔😫</v>
      </c>
    </row>
    <row r="13254">
      <c r="A13254" s="1">
        <v>4.0</v>
      </c>
      <c r="B13254" s="1" t="s">
        <v>13032</v>
      </c>
      <c r="C13254" t="str">
        <f>IFERROR(__xludf.DUMMYFUNCTION("GOOGLETRANSLATE(B13254, ""fr"", ""en"")"),"Pleasant but elastic waist bad Very nice, good size and comfortable to wear. Only downside, the elas At the height under the lining is very thin and as and effort it interferes with the size and want not necessarily well. We have to go back occasionally t"&amp;"o be've Size Although it well.")</f>
        <v>Pleasant but elastic waist bad Very nice, good size and comfortable to wear. Only downside, the elas At the height under the lining is very thin and as and effort it interferes with the size and want not necessarily well. We have to go back occasionally to be've Size Although it well.</v>
      </c>
    </row>
    <row r="13255">
      <c r="A13255" s="1">
        <v>4.0</v>
      </c>
      <c r="B13255" s="1" t="s">
        <v>13033</v>
      </c>
      <c r="C13255" t="str">
        <f>IFERROR(__xludf.DUMMYFUNCTION("GOOGLETRANSLATE(B13255, ""fr"", ""en"")"),"Effective Machine Works well, closed / open button seems a little fragile, the future will tell me if it holds or not")</f>
        <v>Effective Machine Works well, closed / open button seems a little fragile, the future will tell me if it holds or not</v>
      </c>
    </row>
    <row r="13256">
      <c r="A13256" s="1">
        <v>5.0</v>
      </c>
      <c r="B13256" s="1" t="s">
        <v>13034</v>
      </c>
      <c r="C13256" t="str">
        <f>IFERROR(__xludf.DUMMYFUNCTION("GOOGLETRANSLATE(B13256, ""fr"", ""en"")"),"Mixed feeding Perfect for a mixed feeding (my baby 4 months) No confusion within / nipple Best compromise reached for my part")</f>
        <v>Mixed feeding Perfect for a mixed feeding (my baby 4 months) No confusion within / nipple Best compromise reached for my part</v>
      </c>
    </row>
    <row r="13257">
      <c r="A13257" s="1">
        <v>5.0</v>
      </c>
      <c r="B13257" s="1" t="s">
        <v>13035</v>
      </c>
      <c r="C13257" t="str">
        <f>IFERROR(__xludf.DUMMYFUNCTION("GOOGLETRANSLATE(B13257, ""fr"", ""en"")"),"very good value for money ... ... we in for a while with these 100 sheets, it's perfect! Item arrived quickly, and it was quite in line with what was announced.")</f>
        <v>very good value for money ... ... we in for a while with these 100 sheets, it's perfect! Item arrived quickly, and it was quite in line with what was announced.</v>
      </c>
    </row>
    <row r="13258">
      <c r="A13258" s="1">
        <v>5.0</v>
      </c>
      <c r="B13258" s="1" t="s">
        <v>13036</v>
      </c>
      <c r="C13258" t="str">
        <f>IFERROR(__xludf.DUMMYFUNCTION("GOOGLETRANSLATE(B13258, ""fr"", ""en"")"),"Kettle Just make sure the base makes noise")</f>
        <v>Kettle Just make sure the base makes noise</v>
      </c>
    </row>
    <row r="13259">
      <c r="A13259" s="1">
        <v>5.0</v>
      </c>
      <c r="B13259" s="1" t="s">
        <v>13037</v>
      </c>
      <c r="C13259" t="str">
        <f>IFERROR(__xludf.DUMMYFUNCTION("GOOGLETRANSLATE(B13259, ""fr"", ""en"")"),"slightly elevates the heel mzis well in Very good behavior nice and light")</f>
        <v>slightly elevates the heel mzis well in Very good behavior nice and light</v>
      </c>
    </row>
    <row r="13260">
      <c r="A13260" s="1">
        <v>5.0</v>
      </c>
      <c r="B13260" s="1" t="s">
        <v>13038</v>
      </c>
      <c r="C13260" t="str">
        <f>IFERROR(__xludf.DUMMYFUNCTION("GOOGLETRANSLATE(B13260, ""fr"", ""en"")"),"Great ! strong odor but pleasant product to the top!")</f>
        <v>Great ! strong odor but pleasant product to the top!</v>
      </c>
    </row>
    <row r="13261">
      <c r="A13261" s="1">
        <v>5.0</v>
      </c>
      <c r="B13261" s="1" t="s">
        <v>13039</v>
      </c>
      <c r="C13261" t="str">
        <f>IFERROR(__xludf.DUMMYFUNCTION("GOOGLETRANSLATE(B13261, ""fr"", ""en"")"),"Satisfied Product in accordance with the description and as usual delivered within the time, but I have not had time to test it. thank you amazon")</f>
        <v>Satisfied Product in accordance with the description and as usual delivered within the time, but I have not had time to test it. thank you amazon</v>
      </c>
    </row>
    <row r="13262">
      <c r="A13262" s="1">
        <v>5.0</v>
      </c>
      <c r="B13262" s="1" t="s">
        <v>13040</v>
      </c>
      <c r="C13262" t="str">
        <f>IFERROR(__xludf.DUMMYFUNCTION("GOOGLETRANSLATE(B13262, ""fr"", ""en"")"),"Top Too much nothing to say my son delights")</f>
        <v>Top Too much nothing to say my son delights</v>
      </c>
    </row>
    <row r="13263">
      <c r="A13263" s="1">
        <v>5.0</v>
      </c>
      <c r="B13263" s="1" t="s">
        <v>13041</v>
      </c>
      <c r="C13263" t="str">
        <f>IFERROR(__xludf.DUMMYFUNCTION("GOOGLETRANSLATE(B13263, ""fr"", ""en"")"),"On top Met my expectations just too convenient for servicing a hand to take lol")</f>
        <v>On top Met my expectations just too convenient for servicing a hand to take lol</v>
      </c>
    </row>
    <row r="13264">
      <c r="A13264" s="1">
        <v>5.0</v>
      </c>
      <c r="B13264" s="1" t="s">
        <v>13042</v>
      </c>
      <c r="C13264" t="str">
        <f>IFERROR(__xludf.DUMMYFUNCTION("GOOGLETRANSLATE(B13264, ""fr"", ""en"")"),"Perfect for sports Practicing many sports I was in search of son without headphones to be comfortable and I wanted them to remain well in the ears during my movements so I am fully satisfied with the product that responds to my I expected small case that "&amp;"doubles as a charger is convenient Good battery and bluetooth product scope is excellent")</f>
        <v>Perfect for sports Practicing many sports I was in search of son without headphones to be comfortable and I wanted them to remain well in the ears during my movements so I am fully satisfied with the product that responds to my I expected small case that doubles as a charger is convenient Good battery and bluetooth product scope is excellent</v>
      </c>
    </row>
    <row r="13265">
      <c r="A13265" s="1">
        <v>5.0</v>
      </c>
      <c r="B13265" s="1" t="s">
        <v>13043</v>
      </c>
      <c r="C13265" t="str">
        <f>IFERROR(__xludf.DUMMYFUNCTION("GOOGLETRANSLATE(B13265, ""fr"", ""en"")"),"I love I find it beautiful hot happiness for chilly like me to recommend eyes closed")</f>
        <v>I love I find it beautiful hot happiness for chilly like me to recommend eyes closed</v>
      </c>
    </row>
    <row r="13266">
      <c r="A13266" s="1">
        <v>5.0</v>
      </c>
      <c r="B13266" s="1" t="s">
        <v>13044</v>
      </c>
      <c r="C13266" t="str">
        <f>IFERROR(__xludf.DUMMYFUNCTION("GOOGLETRANSLATE(B13266, ""fr"", ""en"")"),"I recommend Good quality fit perfectly to the foot")</f>
        <v>I recommend Good quality fit perfectly to the foot</v>
      </c>
    </row>
    <row r="13267">
      <c r="A13267" s="1">
        <v>5.0</v>
      </c>
      <c r="B13267" s="1" t="s">
        <v>13045</v>
      </c>
      <c r="C13267" t="str">
        <f>IFERROR(__xludf.DUMMYFUNCTION("GOOGLETRANSLATE(B13267, ""fr"", ""en"")"),"Sweethome Nickel")</f>
        <v>Sweethome Nickel</v>
      </c>
    </row>
    <row r="13268">
      <c r="A13268" s="1">
        <v>5.0</v>
      </c>
      <c r="B13268" s="1" t="s">
        <v>13046</v>
      </c>
      <c r="C13268" t="str">
        <f>IFERROR(__xludf.DUMMYFUNCTION("GOOGLETRANSLATE(B13268, ""fr"", ""en"")"),"perfect boot Excellent product I am delighted I wear every day. They are warm and soft ... I will leave for more ... I recommend this product")</f>
        <v>perfect boot Excellent product I am delighted I wear every day. They are warm and soft ... I will leave for more ... I recommend this product</v>
      </c>
    </row>
    <row r="13269">
      <c r="A13269" s="1">
        <v>5.0</v>
      </c>
      <c r="B13269" s="1" t="s">
        <v>13047</v>
      </c>
      <c r="C13269" t="str">
        <f>IFERROR(__xludf.DUMMYFUNCTION("GOOGLETRANSLATE(B13269, ""fr"", ""en"")"),"A very nice watch and consistent with the description! I offered this watch for my father's birthday but we noticed when unpacking that the product contained a defect. We contacted the seller via Amazon, the exchange has been taken into account very quick"&amp;"ly, not even a week later, we received another watch fully compliant! I highly recommend this product, nothing to say despite this little incident.")</f>
        <v>A very nice watch and consistent with the description! I offered this watch for my father's birthday but we noticed when unpacking that the product contained a defect. We contacted the seller via Amazon, the exchange has been taken into account very quickly, not even a week later, we received another watch fully compliant! I highly recommend this product, nothing to say despite this little incident.</v>
      </c>
    </row>
    <row r="13270">
      <c r="A13270" s="1">
        <v>5.0</v>
      </c>
      <c r="B13270" s="1" t="s">
        <v>13048</v>
      </c>
      <c r="C13270" t="str">
        <f>IFERROR(__xludf.DUMMYFUNCTION("GOOGLETRANSLATE(B13270, ""fr"", ""en"")"),"Best Book on top that is perfect for beginners lecreurs")</f>
        <v>Best Book on top that is perfect for beginners lecreurs</v>
      </c>
    </row>
    <row r="13271">
      <c r="A13271" s="1">
        <v>5.0</v>
      </c>
      <c r="B13271" s="1" t="s">
        <v>13049</v>
      </c>
      <c r="C13271" t="str">
        <f>IFERROR(__xludf.DUMMYFUNCTION("GOOGLETRANSLATE(B13271, ""fr"", ""en"")"),"Although impeccable")</f>
        <v>Although impeccable</v>
      </c>
    </row>
    <row r="13272">
      <c r="A13272" s="1">
        <v>2.0</v>
      </c>
      <c r="B13272" s="1" t="s">
        <v>13050</v>
      </c>
      <c r="C13272" t="str">
        <f>IFERROR(__xludf.DUMMYFUNCTION("GOOGLETRANSLATE(B13272, ""fr"", ""en"")"),"Manufacturing defect The kettle leaking at the bottom of the cove after 10 months of use ...")</f>
        <v>Manufacturing defect The kettle leaking at the bottom of the cove after 10 months of use ...</v>
      </c>
    </row>
    <row r="13273">
      <c r="A13273" s="1">
        <v>1.0</v>
      </c>
      <c r="B13273" s="1" t="s">
        <v>13051</v>
      </c>
      <c r="C13273" t="str">
        <f>IFERROR(__xludf.DUMMYFUNCTION("GOOGLETRANSLATE(B13273, ""fr"", ""en"")"),"Poor color shoes I am disappointed with my purchase. I ordered the shoes in black and they arrived in gray. So I return the shoes.")</f>
        <v>Poor color shoes I am disappointed with my purchase. I ordered the shoes in black and they arrived in gray. So I return the shoes.</v>
      </c>
    </row>
    <row r="13274">
      <c r="A13274" s="1">
        <v>1.0</v>
      </c>
      <c r="B13274" s="1" t="s">
        <v>13052</v>
      </c>
      <c r="C13274" t="str">
        <f>IFERROR(__xludf.DUMMYFUNCTION("GOOGLETRANSLATE(B13274, ""fr"", ""en"")"),"Headphones that do not work is thought a bargain and finally not at all. One does not work at all, as to the second microphone is not functional. In the end the good deal is when you put the price.")</f>
        <v>Headphones that do not work is thought a bargain and finally not at all. One does not work at all, as to the second microphone is not functional. In the end the good deal is when you put the price.</v>
      </c>
    </row>
    <row r="13275">
      <c r="A13275" s="1">
        <v>3.0</v>
      </c>
      <c r="B13275" s="1" t="s">
        <v>13053</v>
      </c>
      <c r="C13275" t="str">
        <f>IFERROR(__xludf.DUMMYFUNCTION("GOOGLETRANSLATE(B13275, ""fr"", ""en"")"),"It'll still good length, but the width and height are too grandes.Car these mules are for a youth who has big feet but very late.")</f>
        <v>It'll still good length, but the width and height are too grandes.Car these mules are for a youth who has big feet but very late.</v>
      </c>
    </row>
    <row r="13276">
      <c r="A13276" s="1">
        <v>3.0</v>
      </c>
      <c r="B13276" s="1" t="s">
        <v>13054</v>
      </c>
      <c r="C13276" t="str">
        <f>IFERROR(__xludf.DUMMYFUNCTION("GOOGLETRANSLATE(B13276, ""fr"", ""en"")"),"Crocs Classic This is very useful for the garden or outdoor work. Can wash easily. This is not my first pair.")</f>
        <v>Crocs Classic This is very useful for the garden or outdoor work. Can wash easily. This is not my first pair.</v>
      </c>
    </row>
    <row r="13277">
      <c r="A13277" s="1">
        <v>4.0</v>
      </c>
      <c r="B13277" s="1" t="s">
        <v>13055</v>
      </c>
      <c r="C13277" t="str">
        <f>IFERROR(__xludf.DUMMYFUNCTION("GOOGLETRANSLATE(B13277, ""fr"", ""en"")"),"Good solid basketball but decorative")</f>
        <v>Good solid basketball but decorative</v>
      </c>
    </row>
    <row r="13278">
      <c r="A13278" s="1">
        <v>4.0</v>
      </c>
      <c r="B13278" s="1" t="s">
        <v>13056</v>
      </c>
      <c r="C13278" t="str">
        <f>IFERROR(__xludf.DUMMYFUNCTION("GOOGLETRANSLATE(B13278, ""fr"", ""en"")"),"Very good I use these shoes every day and comfort is the rendezvous. In rainy weather it marks quickly. Maybe there should bring a waterproof ?? Despite this little problem I am very happy.")</f>
        <v>Very good I use these shoes every day and comfort is the rendezvous. In rainy weather it marks quickly. Maybe there should bring a waterproof ?? Despite this little problem I am very happy.</v>
      </c>
    </row>
    <row r="13279">
      <c r="A13279" s="1">
        <v>4.0</v>
      </c>
      <c r="B13279" s="1" t="s">
        <v>13057</v>
      </c>
      <c r="C13279" t="str">
        <f>IFERROR(__xludf.DUMMYFUNCTION("GOOGLETRANSLATE(B13279, ""fr"", ""en"")"),"Pretty small but the bag is half the size of those seen in stores! I did not know that there were several size!")</f>
        <v>Pretty small but the bag is half the size of those seen in stores! I did not know that there were several size!</v>
      </c>
    </row>
    <row r="13280">
      <c r="A13280" s="1">
        <v>4.0</v>
      </c>
      <c r="B13280" s="1" t="s">
        <v>13058</v>
      </c>
      <c r="C13280" t="str">
        <f>IFERROR(__xludf.DUMMYFUNCTION("GOOGLETRANSLATE(B13280, ""fr"", ""en"")"),"Disappointed a little disappointed in the picture is bi color bracelet while I just received it's all golden")</f>
        <v>Disappointed a little disappointed in the picture is bi color bracelet while I just received it's all golden</v>
      </c>
    </row>
    <row r="13281">
      <c r="A13281" s="1">
        <v>5.0</v>
      </c>
      <c r="B13281" s="1" t="s">
        <v>13059</v>
      </c>
      <c r="C13281" t="str">
        <f>IFERROR(__xludf.DUMMYFUNCTION("GOOGLETRANSLATE(B13281, ""fr"", ""en"")"),"Useful and practical Useful and practical. Removable and easily glue together all surfaces not damaged. Perfect")</f>
        <v>Useful and practical Useful and practical. Removable and easily glue together all surfaces not damaged. Perfect</v>
      </c>
    </row>
    <row r="13282">
      <c r="A13282" s="1">
        <v>5.0</v>
      </c>
      <c r="B13282" s="1" t="s">
        <v>13060</v>
      </c>
      <c r="C13282" t="str">
        <f>IFERROR(__xludf.DUMMYFUNCTION("GOOGLETRANSLATE(B13282, ""fr"", ""en"")"),"Jacket I love swaddle me in this very soft jacket and enjoyable. I recommend.")</f>
        <v>Jacket I love swaddle me in this very soft jacket and enjoyable. I recommend.</v>
      </c>
    </row>
    <row r="13283">
      <c r="A13283" s="1">
        <v>5.0</v>
      </c>
      <c r="B13283" s="1" t="s">
        <v>13061</v>
      </c>
      <c r="C13283" t="str">
        <f>IFERROR(__xludf.DUMMYFUNCTION("GOOGLETRANSLATE(B13283, ""fr"", ""en"")"),"good quality product we use regularly and have opted for the quarterly order, the product is effective")</f>
        <v>good quality product we use regularly and have opted for the quarterly order, the product is effective</v>
      </c>
    </row>
    <row r="13284">
      <c r="A13284" s="1">
        <v>5.0</v>
      </c>
      <c r="B13284" s="1" t="s">
        <v>13062</v>
      </c>
      <c r="C13284" t="str">
        <f>IFERROR(__xludf.DUMMYFUNCTION("GOOGLETRANSLATE(B13284, ""fr"", ""en"")"),"Good shows, solid wrist Always faithful to the post, this result shows me around all conditions! Water, heat, cold, it does not move. Look simple and enjoyable. A true companion for people who need to rely on quality equipment. Good product, very satisfyi"&amp;"ng.")</f>
        <v>Good shows, solid wrist Always faithful to the post, this result shows me around all conditions! Water, heat, cold, it does not move. Look simple and enjoyable. A true companion for people who need to rely on quality equipment. Good product, very satisfying.</v>
      </c>
    </row>
    <row r="13285">
      <c r="A13285" s="1">
        <v>5.0</v>
      </c>
      <c r="B13285" s="1" t="s">
        <v>13063</v>
      </c>
      <c r="C13285" t="str">
        <f>IFERROR(__xludf.DUMMYFUNCTION("GOOGLETRANSLATE(B13285, ""fr"", ""en"")"),"consistent with the photo and the description received on time, nice sweater to see if over time the impression is not off,")</f>
        <v>consistent with the photo and the description received on time, nice sweater to see if over time the impression is not off,</v>
      </c>
    </row>
    <row r="13286">
      <c r="A13286" s="1">
        <v>5.0</v>
      </c>
      <c r="B13286" s="1" t="s">
        <v>13064</v>
      </c>
      <c r="C13286" t="str">
        <f>IFERROR(__xludf.DUMMYFUNCTION("GOOGLETRANSLATE(B13286, ""fr"", ""en"")"),"I love it thank you I love it not obvious at first to the (open after easy I'll buy charms now I love it! a long time ago that I wanted")</f>
        <v>I love it thank you I love it not obvious at first to the (open after easy I'll buy charms now I love it! a long time ago that I wanted</v>
      </c>
    </row>
    <row r="13287">
      <c r="A13287" s="1">
        <v>5.0</v>
      </c>
      <c r="B13287" s="1" t="s">
        <v>13065</v>
      </c>
      <c r="C13287" t="str">
        <f>IFERROR(__xludf.DUMMYFUNCTION("GOOGLETRANSLATE(B13287, ""fr"", ""en"")"),"Shoulder Bag Shoulder Bag fun initially it seemed a bit much, but in fact it fits my needs and s harmony with my cloak. I recommend .")</f>
        <v>Shoulder Bag Shoulder Bag fun initially it seemed a bit much, but in fact it fits my needs and s harmony with my cloak. I recommend .</v>
      </c>
    </row>
    <row r="13288">
      <c r="A13288" s="1">
        <v>5.0</v>
      </c>
      <c r="B13288" s="1" t="s">
        <v>13066</v>
      </c>
      <c r="C13288" t="str">
        <f>IFERROR(__xludf.DUMMYFUNCTION("GOOGLETRANSLATE(B13288, ""fr"", ""en"")"),"THE BOOT FOR WALKING, JOGGING VERY COMFORTABLE AND ELEGANT.")</f>
        <v>THE BOOT FOR WALKING, JOGGING VERY COMFORTABLE AND ELEGANT.</v>
      </c>
    </row>
    <row r="13289">
      <c r="A13289" s="1">
        <v>5.0</v>
      </c>
      <c r="B13289" s="1" t="s">
        <v>13067</v>
      </c>
      <c r="C13289" t="str">
        <f>IFERROR(__xludf.DUMMYFUNCTION("GOOGLETRANSLATE(B13289, ""fr"", ""en"")"),"Good value for money. Compare Version 2018 Very comfortable (even more), improved insulation, improved sound, enhanced noise reduction, improved connection (it's over multiple connection problems between windows and android). No sizzle without / with ANC."&amp;" Bass deep, even better quality sound with activated ANC (I do not why). Ultimately, a bone purchase.")</f>
        <v>Good value for money. Compare Version 2018 Very comfortable (even more), improved insulation, improved sound, enhanced noise reduction, improved connection (it's over multiple connection problems between windows and android). No sizzle without / with ANC. Bass deep, even better quality sound with activated ANC (I do not why). Ultimately, a bone purchase.</v>
      </c>
    </row>
    <row r="13290">
      <c r="A13290" s="1">
        <v>5.0</v>
      </c>
      <c r="B13290" s="1" t="s">
        <v>13068</v>
      </c>
      <c r="C13290" t="str">
        <f>IFERROR(__xludf.DUMMYFUNCTION("GOOGLETRANSLATE(B13290, ""fr"", ""en"")"),"Satisfied! That qqes day you use it every day, even several times a day because it's so easy to have a clean surface;) At the moment no complaints, we have a big dog and a cat and have emptied the tray after 3 days. Just to get one at its base it is not v"&amp;"ery good find!")</f>
        <v>Satisfied! That qqes day you use it every day, even several times a day because it's so easy to have a clean surface;) At the moment no complaints, we have a big dog and a cat and have emptied the tray after 3 days. Just to get one at its base it is not very good find!</v>
      </c>
    </row>
    <row r="13291">
      <c r="A13291" s="1">
        <v>5.0</v>
      </c>
      <c r="B13291" s="1" t="s">
        <v>13069</v>
      </c>
      <c r="C13291" t="str">
        <f>IFERROR(__xludf.DUMMYFUNCTION("GOOGLETRANSLATE(B13291, ""fr"", ""en"")"),"Great product (nothing to do with the double face found in stores) Very happy with this product. I did not expect to glue it as well and strong, top. I was skeptical when the water wash and reuse but it works very well.")</f>
        <v>Great product (nothing to do with the double face found in stores) Very happy with this product. I did not expect to glue it as well and strong, top. I was skeptical when the water wash and reuse but it works very well.</v>
      </c>
    </row>
    <row r="13292">
      <c r="A13292" s="1">
        <v>5.0</v>
      </c>
      <c r="B13292" s="1" t="s">
        <v>13070</v>
      </c>
      <c r="C13292" t="str">
        <f>IFERROR(__xludf.DUMMYFUNCTION("GOOGLETRANSLATE(B13292, ""fr"", ""en"")"),"Excellent service rendered, value, and customer service After an unfortunate problem of Bluetooth connection with a first device, it has been effectively replaced by the manufacturer, and I am now perfectly satisfied with these headphones. They are light "&amp;"and discrete non-oppressive for sporting use in comfort without cutting the world because the interlocutors notice that your ears are ""available"" and come to you naturally. Outside your listening is done safely because you hear the cars around you is pa"&amp;"rticularly important cycling. It is also forbidden to have occlusive bike headphones. I use it every day by bike to town, and on weekends in sports mode. These headphones definitely not hinder helmet with or without cap (it's winter!) Or wearing glasses. "&amp;"The sound is very good for those practices, that it it music or pod-casts of radio. The battery takes at least 5 hours and has no problem with winter temperatures. You can even make and receive calls while driving and handsfree without any problem of unde"&amp;"rstanding to your partner!")</f>
        <v>Excellent service rendered, value, and customer service After an unfortunate problem of Bluetooth connection with a first device, it has been effectively replaced by the manufacturer, and I am now perfectly satisfied with these headphones. They are light and discrete non-oppressive for sporting use in comfort without cutting the world because the interlocutors notice that your ears are "available" and come to you naturally. Outside your listening is done safely because you hear the cars around you is particularly important cycling. It is also forbidden to have occlusive bike headphones. I use it every day by bike to town, and on weekends in sports mode. These headphones definitely not hinder helmet with or without cap (it's winter!) Or wearing glasses. The sound is very good for those practices, that it it music or pod-casts of radio. The battery takes at least 5 hours and has no problem with winter temperatures. You can even make and receive calls while driving and handsfree without any problem of understanding to your partner!</v>
      </c>
    </row>
    <row r="13293">
      <c r="A13293" s="1">
        <v>5.0</v>
      </c>
      <c r="B13293" s="1" t="s">
        <v>13071</v>
      </c>
      <c r="C13293" t="str">
        <f>IFERROR(__xludf.DUMMYFUNCTION("GOOGLETRANSLATE(B13293, ""fr"", ""en"")"),"Aparcyl is advertised to add a yogurt expired in the toilet is more environmentally friendly and just as effective as the product Eparcyl. Unfortunately, this method yogurt is unsatisfactory nearby. Since then, I put again Eparcyl I have no problem of con"&amp;"gestion. highly effective product.")</f>
        <v>Aparcyl is advertised to add a yogurt expired in the toilet is more environmentally friendly and just as effective as the product Eparcyl. Unfortunately, this method yogurt is unsatisfactory nearby. Since then, I put again Eparcyl I have no problem of congestion. highly effective product.</v>
      </c>
    </row>
    <row r="13294">
      <c r="A13294" s="1">
        <v>5.0</v>
      </c>
      <c r="B13294" s="1" t="s">
        <v>13072</v>
      </c>
      <c r="C13294" t="str">
        <f>IFERROR(__xludf.DUMMYFUNCTION("GOOGLETRANSLATE(B13294, ""fr"", ""en"")"),"Excellent quality At first I was not sure you want to buy it because the price was very cheap. I fear that the quality is not very good, but for now I think it's worth, the quality is very good and the sound quality is very clear.")</f>
        <v>Excellent quality At first I was not sure you want to buy it because the price was very cheap. I fear that the quality is not very good, but for now I think it's worth, the quality is very good and the sound quality is very clear.</v>
      </c>
    </row>
    <row r="13295">
      <c r="A13295" s="1">
        <v>5.0</v>
      </c>
      <c r="B13295" s="1" t="s">
        <v>13073</v>
      </c>
      <c r="C13295" t="str">
        <f>IFERROR(__xludf.DUMMYFUNCTION("GOOGLETRANSLATE(B13295, ""fr"", ""en"")"),"IT IS REALLY SUPER !!!!!!!!! I recommend this article, it is really great !!! I stick all the frames curtain hooks and it really holds up well ;; fast delivery, nothing to say. I do not regret my purchase thank you")</f>
        <v>IT IS REALLY SUPER !!!!!!!!! I recommend this article, it is really great !!! I stick all the frames curtain hooks and it really holds up well ;; fast delivery, nothing to say. I do not regret my purchase thank you</v>
      </c>
    </row>
    <row r="13296">
      <c r="A13296" s="1">
        <v>2.0</v>
      </c>
      <c r="B13296" s="1" t="s">
        <v>13074</v>
      </c>
      <c r="C13296" t="str">
        <f>IFERROR(__xludf.DUMMYFUNCTION("GOOGLETRANSLATE(B13296, ""fr"", ""en"")"),"decorative product but not deodorant pellets came completely dry so the product is completely odorless. It just serves to cosmetically enhance the grid ...")</f>
        <v>decorative product but not deodorant pellets came completely dry so the product is completely odorless. It just serves to cosmetically enhance the grid ...</v>
      </c>
    </row>
    <row r="13297">
      <c r="A13297" s="1">
        <v>1.0</v>
      </c>
      <c r="B13297" s="1" t="s">
        <v>13075</v>
      </c>
      <c r="C13297" t="str">
        <f>IFERROR(__xludf.DUMMYFUNCTION("GOOGLETRANSLATE(B13297, ""fr"", ""en"")"),"""Really Stones"" false announcement said 3 bracelets, I have received only one. For rhinestones, onyx, Tiger Eye, Persian Jade Jéssper, Turquoise, Lapis lazuli, Amethyst. This bracelet is only 3 € no more.")</f>
        <v>"Really Stones" false announcement said 3 bracelets, I have received only one. For rhinestones, onyx, Tiger Eye, Persian Jade Jéssper, Turquoise, Lapis lazuli, Amethyst. This bracelet is only 3 € no more.</v>
      </c>
    </row>
    <row r="13298">
      <c r="A13298" s="1">
        <v>1.0</v>
      </c>
      <c r="B13298" s="1" t="s">
        <v>13076</v>
      </c>
      <c r="C13298" t="str">
        <f>IFERROR(__xludf.DUMMYFUNCTION("GOOGLETRANSLATE(B13298, ""fr"", ""en"")"),"I tried too fragrant lotus flower, but the smell does not please me at all. They say it's a man's scent ..... everyone's tastes but not for me! The smell is really too much I am disappointed by this purchase")</f>
        <v>I tried too fragrant lotus flower, but the smell does not please me at all. They say it's a man's scent ..... everyone's tastes but not for me! The smell is really too much I am disappointed by this purchase</v>
      </c>
    </row>
    <row r="13299">
      <c r="A13299" s="1">
        <v>3.0</v>
      </c>
      <c r="B13299" s="1" t="s">
        <v>13077</v>
      </c>
      <c r="C13299" t="str">
        <f>IFERROR(__xludf.DUMMYFUNCTION("GOOGLETRANSLATE(B13299, ""fr"", ""en"")"),"it goes .... but I ordered 39, gold is too small. As I put on the 37, they fit me, I keep it for the garden because my taste is not a female model. In short I have to buy something for my son. Also note that you should not have one foot too large.Donc tak"&amp;"e at least one size bigger")</f>
        <v>it goes .... but I ordered 39, gold is too small. As I put on the 37, they fit me, I keep it for the garden because my taste is not a female model. In short I have to buy something for my son. Also note that you should not have one foot too large.Donc take at least one size bigger</v>
      </c>
    </row>
    <row r="13300">
      <c r="A13300" s="1">
        <v>3.0</v>
      </c>
      <c r="B13300" s="1" t="s">
        <v>13078</v>
      </c>
      <c r="C13300" t="str">
        <f>IFERROR(__xludf.DUMMYFUNCTION("GOOGLETRANSLATE(B13300, ""fr"", ""en"")"),"Not very qualitative The shoe is correct, everything matches but the quality seems a little smaller, a false impression as they are true")</f>
        <v>Not very qualitative The shoe is correct, everything matches but the quality seems a little smaller, a false impression as they are true</v>
      </c>
    </row>
    <row r="13301">
      <c r="A13301" s="1">
        <v>4.0</v>
      </c>
      <c r="B13301" s="1" t="s">
        <v>13079</v>
      </c>
      <c r="C13301" t="str">
        <f>IFERROR(__xludf.DUMMYFUNCTION("GOOGLETRANSLATE(B13301, ""fr"", ""en"")"),"Silent Kettle actually much quieter than our previous. This is what we wanted. We are satisfied!")</f>
        <v>Silent Kettle actually much quieter than our previous. This is what we wanted. We are satisfied!</v>
      </c>
    </row>
    <row r="13302">
      <c r="A13302" s="1">
        <v>4.0</v>
      </c>
      <c r="B13302" s="1" t="s">
        <v>13080</v>
      </c>
      <c r="C13302" t="str">
        <f>IFERROR(__xludf.DUMMYFUNCTION("GOOGLETRANSLATE(B13302, ""fr"", ""en"")"),"Very good product despite some caveats It offers many interesting features (analysis of sleep, automatic calculation of VO2max with an update with each new training, fractionated management ...) but is limited by a significant reaction time of increased h"&amp;"eart rate under hard efforts and does not distinguish between deep sleep REM sleep or confuses disposals rest with sleep stages. On the side of GPS and the force gauge product is extra.")</f>
        <v>Very good product despite some caveats It offers many interesting features (analysis of sleep, automatic calculation of VO2max with an update with each new training, fractionated management ...) but is limited by a significant reaction time of increased heart rate under hard efforts and does not distinguish between deep sleep REM sleep or confuses disposals rest with sleep stages. On the side of GPS and the force gauge product is extra.</v>
      </c>
    </row>
    <row r="13303">
      <c r="A13303" s="1">
        <v>4.0</v>
      </c>
      <c r="B13303" s="1" t="s">
        <v>13081</v>
      </c>
      <c r="C13303" t="str">
        <f>IFERROR(__xludf.DUMMYFUNCTION("GOOGLETRANSLATE(B13303, ""fr"", ""en"")"),"Very good for the price ! Very good for the price !")</f>
        <v>Very good for the price ! Very good for the price !</v>
      </c>
    </row>
    <row r="13304">
      <c r="A13304" s="1">
        <v>4.0</v>
      </c>
      <c r="B13304" s="1" t="s">
        <v>13082</v>
      </c>
      <c r="C13304" t="str">
        <f>IFERROR(__xludf.DUMMYFUNCTION("GOOGLETRANSLATE(B13304, ""fr"", ""en"")"),"Good product Good quality but size a size larger.")</f>
        <v>Good product Good quality but size a size larger.</v>
      </c>
    </row>
    <row r="13305">
      <c r="A13305" s="1">
        <v>5.0</v>
      </c>
      <c r="B13305" s="1" t="s">
        <v>13083</v>
      </c>
      <c r="C13305" t="str">
        <f>IFERROR(__xludf.DUMMYFUNCTION("GOOGLETRANSLATE(B13305, ""fr"", ""en"")"),"Exceptional comfort This tennis shoe may fit very wide. I play 41 it's the only brand and model I am not forced to take a greater size. For over 10 years I buy this product without any particular problems. The sole wears too easily when playing tennis.")</f>
        <v>Exceptional comfort This tennis shoe may fit very wide. I play 41 it's the only brand and model I am not forced to take a greater size. For over 10 years I buy this product without any particular problems. The sole wears too easily when playing tennis.</v>
      </c>
    </row>
    <row r="13306">
      <c r="A13306" s="1">
        <v>5.0</v>
      </c>
      <c r="B13306" s="1" t="s">
        <v>13084</v>
      </c>
      <c r="C13306" t="str">
        <f>IFERROR(__xludf.DUMMYFUNCTION("GOOGLETRANSLATE(B13306, ""fr"", ""en"")"),"Good product Product according to the description")</f>
        <v>Good product Product according to the description</v>
      </c>
    </row>
    <row r="13307">
      <c r="A13307" s="1">
        <v>5.0</v>
      </c>
      <c r="B13307" s="1" t="s">
        <v>13085</v>
      </c>
      <c r="C13307" t="str">
        <f>IFERROR(__xludf.DUMMYFUNCTION("GOOGLETRANSLATE(B13307, ""fr"", ""en"")"),"Nickel Hello, Carpet as I wanted. The mouse is accurate, defects, dimensions are well suited, it is easy to clean. Here should be about a year since I use it every day and it has not budged.")</f>
        <v>Nickel Hello, Carpet as I wanted. The mouse is accurate, defects, dimensions are well suited, it is easy to clean. Here should be about a year since I use it every day and it has not budged.</v>
      </c>
    </row>
    <row r="13308">
      <c r="A13308" s="1">
        <v>5.0</v>
      </c>
      <c r="B13308" s="1" t="s">
        <v>13086</v>
      </c>
      <c r="C13308" t="str">
        <f>IFERROR(__xludf.DUMMYFUNCTION("GOOGLETRANSLATE(B13308, ""fr"", ""en"")"),"HRM watch Used in gym cardio this watch gives me satisfaction. It is not too complicated to use.")</f>
        <v>HRM watch Used in gym cardio this watch gives me satisfaction. It is not too complicated to use.</v>
      </c>
    </row>
    <row r="13309">
      <c r="A13309" s="1">
        <v>5.0</v>
      </c>
      <c r="B13309" s="1" t="s">
        <v>13087</v>
      </c>
      <c r="C13309" t="str">
        <f>IFERROR(__xludf.DUMMYFUNCTION("GOOGLETRANSLATE(B13309, ""fr"", ""en"")"),"Very nice Very nice necklace amber bought to offer ... It is beautiful secured by node between pearl clasp screw Received with a small pouch and a certificate of authenticity .... Not disappointed!")</f>
        <v>Very nice Very nice necklace amber bought to offer ... It is beautiful secured by node between pearl clasp screw Received with a small pouch and a certificate of authenticity .... Not disappointed!</v>
      </c>
    </row>
    <row r="13310">
      <c r="A13310" s="1">
        <v>5.0</v>
      </c>
      <c r="B13310" s="1" t="s">
        <v>13088</v>
      </c>
      <c r="C13310" t="str">
        <f>IFERROR(__xludf.DUMMYFUNCTION("GOOGLETRANSLATE(B13310, ""fr"", ""en"")"),"Very nice and comfortable Perfect and very gracious! Can bring in the life of everyday or sports (can not be run for large breasts). I really like ! I took the L to a 95C breast and suitable.")</f>
        <v>Very nice and comfortable Perfect and very gracious! Can bring in the life of everyday or sports (can not be run for large breasts). I really like ! I took the L to a 95C breast and suitable.</v>
      </c>
    </row>
    <row r="13311">
      <c r="A13311" s="1">
        <v>5.0</v>
      </c>
      <c r="B13311" s="1" t="s">
        <v>13089</v>
      </c>
      <c r="C13311" t="str">
        <f>IFERROR(__xludf.DUMMYFUNCTION("GOOGLETRANSLATE(B13311, ""fr"", ""en"")"),"Shoes matching my expectations quickly received shoes with laces extra pairs Length fits even with the liner. The shoes are comfortable. Very nice design and finishes are very clean")</f>
        <v>Shoes matching my expectations quickly received shoes with laces extra pairs Length fits even with the liner. The shoes are comfortable. Very nice design and finishes are very clean</v>
      </c>
    </row>
    <row r="13312">
      <c r="A13312" s="1">
        <v>5.0</v>
      </c>
      <c r="B13312" s="1" t="s">
        <v>13090</v>
      </c>
      <c r="C13312" t="str">
        <f>IFERROR(__xludf.DUMMYFUNCTION("GOOGLETRANSLATE(B13312, ""fr"", ""en"")"),"Large full table Beautiful finish without problems. I do not regret my purchase")</f>
        <v>Large full table Beautiful finish without problems. I do not regret my purchase</v>
      </c>
    </row>
    <row r="13313">
      <c r="A13313" s="1">
        <v>5.0</v>
      </c>
      <c r="B13313" s="1" t="s">
        <v>13091</v>
      </c>
      <c r="C13313" t="str">
        <f>IFERROR(__xludf.DUMMYFUNCTION("GOOGLETRANSLATE(B13313, ""fr"", ""en"")"),"Top Bluetooth Headset received with charging case, the housing provided with the headphones can recharge the headset even without access to a prise.La sound quality is very good, noise reduction is effective, and they do not move for exercise real good su"&amp;"rprise physique.Une and quality / price ratio!")</f>
        <v>Top Bluetooth Headset received with charging case, the housing provided with the headphones can recharge the headset even without access to a prise.La sound quality is very good, noise reduction is effective, and they do not move for exercise real good surprise physique.Une and quality / price ratio!</v>
      </c>
    </row>
    <row r="13314">
      <c r="A13314" s="1">
        <v>5.0</v>
      </c>
      <c r="B13314" s="1" t="s">
        <v>13092</v>
      </c>
      <c r="C13314" t="str">
        <f>IFERROR(__xludf.DUMMYFUNCTION("GOOGLETRANSLATE(B13314, ""fr"", ""en"")"),"Safety shoes Scrubbs Very good shoes there is really good as dress shoes c I was looking really caught my size 42 G and niquel not need to take 41 or 43 as other safety shoes")</f>
        <v>Safety shoes Scrubbs Very good shoes there is really good as dress shoes c I was looking really caught my size 42 G and niquel not need to take 41 or 43 as other safety shoes</v>
      </c>
    </row>
    <row r="13315">
      <c r="A13315" s="1">
        <v>5.0</v>
      </c>
      <c r="B13315" s="1" t="s">
        <v>13093</v>
      </c>
      <c r="C13315" t="str">
        <f>IFERROR(__xludf.DUMMYFUNCTION("GOOGLETRANSLATE(B13315, ""fr"", ""en"")"),"Great product great product! The colors are clear enough to bring out what is important without which the ink is pasty or pierces the paper. Ideal to put some color in your writings.")</f>
        <v>Great product great product! The colors are clear enough to bring out what is important without which the ink is pasty or pierces the paper. Ideal to put some color in your writings.</v>
      </c>
    </row>
    <row r="13316">
      <c r="A13316" s="1">
        <v>5.0</v>
      </c>
      <c r="B13316" s="1" t="s">
        <v>13094</v>
      </c>
      <c r="C13316" t="str">
        <f>IFERROR(__xludf.DUMMYFUNCTION("GOOGLETRANSLATE(B13316, ""fr"", ""en"")"),"Beautiful little boots beautiful little boots that I look for a while can one size larger, well ventilated can messy")</f>
        <v>Beautiful little boots beautiful little boots that I look for a while can one size larger, well ventilated can messy</v>
      </c>
    </row>
    <row r="13317">
      <c r="A13317" s="1">
        <v>5.0</v>
      </c>
      <c r="B13317" s="1" t="s">
        <v>13095</v>
      </c>
      <c r="C13317" t="str">
        <f>IFERROR(__xludf.DUMMYFUNCTION("GOOGLETRANSLATE(B13317, ""fr"", ""en"")"),"Simple and modern design Alarm very simple to use, great design, my son the love")</f>
        <v>Simple and modern design Alarm very simple to use, great design, my son the love</v>
      </c>
    </row>
    <row r="13318">
      <c r="A13318" s="1">
        <v>5.0</v>
      </c>
      <c r="B13318" s="1" t="s">
        <v>13096</v>
      </c>
      <c r="C13318" t="str">
        <f>IFERROR(__xludf.DUMMYFUNCTION("GOOGLETRANSLATE(B13318, ""fr"", ""en"")"),"Doc quality at a good price Very nice Doc I used all winter without they suffer no damage; of course we must maintain them and put the forms for them to last longer. Always so comfortable and enjoyable.")</f>
        <v>Doc quality at a good price Very nice Doc I used all winter without they suffer no damage; of course we must maintain them and put the forms for them to last longer. Always so comfortable and enjoyable.</v>
      </c>
    </row>
    <row r="13319">
      <c r="A13319" s="1">
        <v>5.0</v>
      </c>
      <c r="B13319" s="1" t="s">
        <v>13097</v>
      </c>
      <c r="C13319" t="str">
        <f>IFERROR(__xludf.DUMMYFUNCTION("GOOGLETRANSLATE(B13319, ""fr"", ""en"")"),"Although A bracelet that I love. Good quality, well done")</f>
        <v>Although A bracelet that I love. Good quality, well done</v>
      </c>
    </row>
    <row r="13320">
      <c r="A13320" s="1">
        <v>2.0</v>
      </c>
      <c r="B13320" s="1" t="s">
        <v>13098</v>
      </c>
      <c r="C13320" t="str">
        <f>IFERROR(__xludf.DUMMYFUNCTION("GOOGLETRANSLATE(B13320, ""fr"", ""en"")"),"This product sold for 30m does not even 25m Product quality is good but when you ad 30m, it is marked on the product but the coil only 24.80m at best, it's just the flight !!")</f>
        <v>This product sold for 30m does not even 25m Product quality is good but when you ad 30m, it is marked on the product but the coil only 24.80m at best, it's just the flight !!</v>
      </c>
    </row>
    <row r="13321">
      <c r="A13321" s="1">
        <v>1.0</v>
      </c>
      <c r="B13321" s="1" t="s">
        <v>13099</v>
      </c>
      <c r="C13321" t="str">
        <f>IFERROR(__xludf.DUMMYFUNCTION("GOOGLETRANSLATE(B13321, ""fr"", ""en"")"),"Disappointed Seeing all the positive reviews of this oil I pressed me to buy .. Result it's been over a month since I use and no change for me :-( I still have my redness and some buttons coming out from time to time or all at the same time is .. So what "&amp;"to wait longer for a real result?")</f>
        <v>Disappointed Seeing all the positive reviews of this oil I pressed me to buy .. Result it's been over a month since I use and no change for me :-( I still have my redness and some buttons coming out from time to time or all at the same time is .. So what to wait longer for a real result?</v>
      </c>
    </row>
    <row r="13322">
      <c r="A13322" s="1">
        <v>1.0</v>
      </c>
      <c r="B13322" s="1" t="s">
        <v>13100</v>
      </c>
      <c r="C13322" t="str">
        <f>IFERROR(__xludf.DUMMYFUNCTION("GOOGLETRANSLATE(B13322, ""fr"", ""en"")"),"Very poor quality very disappointed with this article, very very poor quality product for a 'brand'. I canceled my subscription, the toilet paper dispenser brand is much better.")</f>
        <v>Very poor quality very disappointed with this article, very very poor quality product for a 'brand'. I canceled my subscription, the toilet paper dispenser brand is much better.</v>
      </c>
    </row>
    <row r="13323">
      <c r="A13323" s="1">
        <v>3.0</v>
      </c>
      <c r="B13323" s="1" t="s">
        <v>13101</v>
      </c>
      <c r="C13323" t="str">
        <f>IFERROR(__xludf.DUMMYFUNCTION("GOOGLETRANSLATE(B13323, ""fr"", ""en"")"),"Corresponds to the description I removed 2 stars because I found are much cheaper elsewhere")</f>
        <v>Corresponds to the description I removed 2 stars because I found are much cheaper elsewhere</v>
      </c>
    </row>
    <row r="13324">
      <c r="A13324" s="1">
        <v>4.0</v>
      </c>
      <c r="B13324" s="1" t="s">
        <v>13102</v>
      </c>
      <c r="C13324" t="str">
        <f>IFERROR(__xludf.DUMMYFUNCTION("GOOGLETRANSLATE(B13324, ""fr"", ""en"")"),"ah ... the laces !!!! great retro shoes, well hold the ankle with the only problem children namely threading and lacing.")</f>
        <v>ah ... the laces !!!! great retro shoes, well hold the ankle with the only problem children namely threading and lacing.</v>
      </c>
    </row>
    <row r="13325">
      <c r="A13325" s="1">
        <v>4.0</v>
      </c>
      <c r="B13325" s="1" t="s">
        <v>13103</v>
      </c>
      <c r="C13325" t="str">
        <f>IFERROR(__xludf.DUMMYFUNCTION("GOOGLETRANSLATE(B13325, ""fr"", ""en"")"),"Like but not for rain or snow shoes to run well and comfortable, breathable or ventilated because the fabric comfortable to enter the area except for the rain and snow that could pass through the fabric.")</f>
        <v>Like but not for rain or snow shoes to run well and comfortable, breathable or ventilated because the fabric comfortable to enter the area except for the rain and snow that could pass through the fabric.</v>
      </c>
    </row>
    <row r="13326">
      <c r="A13326" s="1">
        <v>4.0</v>
      </c>
      <c r="B13326" s="1" t="s">
        <v>13104</v>
      </c>
      <c r="C13326" t="str">
        <f>IFERROR(__xludf.DUMMYFUNCTION("GOOGLETRANSLATE(B13326, ""fr"", ""en"")"),"Middle Received quickly. Like all other dry easily. No worse than other sellers.")</f>
        <v>Middle Received quickly. Like all other dry easily. No worse than other sellers.</v>
      </c>
    </row>
    <row r="13327">
      <c r="A13327" s="1">
        <v>4.0</v>
      </c>
      <c r="B13327" s="1" t="s">
        <v>13105</v>
      </c>
      <c r="C13327" t="str">
        <f>IFERROR(__xludf.DUMMYFUNCTION("GOOGLETRANSLATE(B13327, ""fr"", ""en"")"),"Done his job ;-) Super nice .... I who often badly in the neck, neck turn it relieves .... Not a fan of the smell of lavender, but it is not disturbing light. Small problem: the material of the bag .... so polar ... not really nice. Cotton would have been"&amp;" top")</f>
        <v>Done his job ;-) Super nice .... I who often badly in the neck, neck turn it relieves .... Not a fan of the smell of lavender, but it is not disturbing light. Small problem: the material of the bag .... so polar ... not really nice. Cotton would have been top</v>
      </c>
    </row>
    <row r="13328">
      <c r="A13328" s="1">
        <v>5.0</v>
      </c>
      <c r="B13328" s="1" t="s">
        <v>13106</v>
      </c>
      <c r="C13328" t="str">
        <f>IFERROR(__xludf.DUMMYFUNCTION("GOOGLETRANSLATE(B13328, ""fr"", ""en"")"),"Article Good quality and very cute love the My Little 🥰")</f>
        <v>Article Good quality and very cute love the My Little 🥰</v>
      </c>
    </row>
    <row r="13329">
      <c r="A13329" s="1">
        <v>5.0</v>
      </c>
      <c r="B13329" s="1" t="s">
        <v>13107</v>
      </c>
      <c r="C13329" t="str">
        <f>IFERROR(__xludf.DUMMYFUNCTION("GOOGLETRANSLATE(B13329, ""fr"", ""en"")"),"Good for the school. The calculator is ideal to the ferry, it is simple enough not to discourage the student (the previously purchased TI89 was horrible to handle) and contains all functions to control all the keys of the program.")</f>
        <v>Good for the school. The calculator is ideal to the ferry, it is simple enough not to discourage the student (the previously purchased TI89 was horrible to handle) and contains all functions to control all the keys of the program.</v>
      </c>
    </row>
    <row r="13330">
      <c r="A13330" s="1">
        <v>5.0</v>
      </c>
      <c r="B13330" s="1" t="s">
        <v>13108</v>
      </c>
      <c r="C13330" t="str">
        <f>IFERROR(__xludf.DUMMYFUNCTION("GOOGLETRANSLATE(B13330, ""fr"", ""en"")"),"Comfortable They are very comfortable for the price .They large size and high quality. I'm happy with my purchase")</f>
        <v>Comfortable They are very comfortable for the price .They large size and high quality. I'm happy with my purchase</v>
      </c>
    </row>
    <row r="13331">
      <c r="A13331" s="1">
        <v>5.0</v>
      </c>
      <c r="B13331" s="1" t="s">
        <v>13109</v>
      </c>
      <c r="C13331" t="str">
        <f>IFERROR(__xludf.DUMMYFUNCTION("GOOGLETRANSLATE(B13331, ""fr"", ""en"")"),"Hyper comfortable As usual, excellent comfort. Personally I served slippers (3 pairs of Skechers for this use, lifetime: 2-3 years in general). I took a 37 (my usual size is a 38).")</f>
        <v>Hyper comfortable As usual, excellent comfort. Personally I served slippers (3 pairs of Skechers for this use, lifetime: 2-3 years in general). I took a 37 (my usual size is a 38).</v>
      </c>
    </row>
    <row r="13332">
      <c r="A13332" s="1">
        <v>5.0</v>
      </c>
      <c r="B13332" s="1" t="s">
        <v>13110</v>
      </c>
      <c r="C13332" t="str">
        <f>IFERROR(__xludf.DUMMYFUNCTION("GOOGLETRANSLATE(B13332, ""fr"", ""en"")"),"Perfect for AWG-M100 1AER Product done exactly. Perfectly visually and technically compliant with Casio AWG-M100-1AER. original brand Bracelet ""Casio"" but made in Thailand (china to the original) and very slightly shorter than the original. Really not a"&amp;" problem given the many adjustment holes")</f>
        <v>Perfect for AWG-M100 1AER Product done exactly. Perfectly visually and technically compliant with Casio AWG-M100-1AER. original brand Bracelet "Casio" but made in Thailand (china to the original) and very slightly shorter than the original. Really not a problem given the many adjustment holes</v>
      </c>
    </row>
    <row r="13333">
      <c r="A13333" s="1">
        <v>5.0</v>
      </c>
      <c r="B13333" s="1" t="s">
        <v>13111</v>
      </c>
      <c r="C13333" t="str">
        <f>IFERROR(__xludf.DUMMYFUNCTION("GOOGLETRANSLATE(B13333, ""fr"", ""en"")"),"Comfortable White is worn in all seasons. I recommend.")</f>
        <v>Comfortable White is worn in all seasons. I recommend.</v>
      </c>
    </row>
    <row r="13334">
      <c r="A13334" s="1">
        <v>5.0</v>
      </c>
      <c r="B13334" s="1" t="s">
        <v>13112</v>
      </c>
      <c r="C13334" t="str">
        <f>IFERROR(__xludf.DUMMYFUNCTION("GOOGLETRANSLATE(B13334, ""fr"", ""en"")"),"Very elegant An excellent quality / price since this elegant watch is much cheaper than what you can find in stores, but is also qualitative. I recommend and I am satisfied with my purchase that was delivered quickly.")</f>
        <v>Very elegant An excellent quality / price since this elegant watch is much cheaper than what you can find in stores, but is also qualitative. I recommend and I am satisfied with my purchase that was delivered quickly.</v>
      </c>
    </row>
    <row r="13335">
      <c r="A13335" s="1">
        <v>5.0</v>
      </c>
      <c r="B13335" s="1" t="s">
        <v>13113</v>
      </c>
      <c r="C13335" t="str">
        <f>IFERROR(__xludf.DUMMYFUNCTION("GOOGLETRANSLATE(B13335, ""fr"", ""en"")"),"Very good quality, superb presentation Relaxing in the room")</f>
        <v>Very good quality, superb presentation Relaxing in the room</v>
      </c>
    </row>
    <row r="13336">
      <c r="A13336" s="1">
        <v>5.0</v>
      </c>
      <c r="B13336" s="1" t="s">
        <v>13114</v>
      </c>
      <c r="C13336" t="str">
        <f>IFERROR(__xludf.DUMMYFUNCTION("GOOGLETRANSLATE(B13336, ""fr"", ""en"")"),"Beautiful soccer Chausseur adapted as planned. Strong, flexible, with good color")</f>
        <v>Beautiful soccer Chausseur adapted as planned. Strong, flexible, with good color</v>
      </c>
    </row>
    <row r="13337">
      <c r="A13337" s="1">
        <v>5.0</v>
      </c>
      <c r="B13337" s="1" t="s">
        <v>13115</v>
      </c>
      <c r="C13337" t="str">
        <f>IFERROR(__xludf.DUMMYFUNCTION("GOOGLETRANSLATE(B13337, ""fr"", ""en"")"),"Very good quality Very good product level value for money soundlink is the best forever")</f>
        <v>Very good quality Very good product level value for money soundlink is the best forever</v>
      </c>
    </row>
    <row r="13338">
      <c r="A13338" s="1">
        <v>5.0</v>
      </c>
      <c r="B13338" s="1" t="s">
        <v>13116</v>
      </c>
      <c r="C13338" t="str">
        <f>IFERROR(__xludf.DUMMYFUNCTION("GOOGLETRANSLATE(B13338, ""fr"", ""en"")"),"Ink perfect! Needless to say more things about these ink cartridges are perfect !!! implementation / price / quality 5/5 stars!")</f>
        <v>Ink perfect! Needless to say more things about these ink cartridges are perfect !!! implementation / price / quality 5/5 stars!</v>
      </c>
    </row>
    <row r="13339">
      <c r="A13339" s="1">
        <v>5.0</v>
      </c>
      <c r="B13339" s="1" t="s">
        <v>13117</v>
      </c>
      <c r="C13339" t="str">
        <f>IFERROR(__xludf.DUMMYFUNCTION("GOOGLETRANSLATE(B13339, ""fr"", ""en"")"),"very original both highly functional and pretty by its originality, the back side of this tea is just perfect! I highly recommend you")</f>
        <v>very original both highly functional and pretty by its originality, the back side of this tea is just perfect! I highly recommend you</v>
      </c>
    </row>
    <row r="13340">
      <c r="A13340" s="1">
        <v>5.0</v>
      </c>
      <c r="B13340" s="1" t="s">
        <v>13118</v>
      </c>
      <c r="C13340" t="str">
        <f>IFERROR(__xludf.DUMMYFUNCTION("GOOGLETRANSLATE(B13340, ""fr"", ""en"")"),"Superga Perfect")</f>
        <v>Superga Perfect</v>
      </c>
    </row>
    <row r="13341">
      <c r="A13341" s="1">
        <v>5.0</v>
      </c>
      <c r="B13341" s="1" t="s">
        <v>13119</v>
      </c>
      <c r="C13341" t="str">
        <f>IFERROR(__xludf.DUMMYFUNCTION("GOOGLETRANSLATE(B13341, ""fr"", ""en"")"),"Birkenstock Stiff at first but excellent comfort after a few days")</f>
        <v>Birkenstock Stiff at first but excellent comfort after a few days</v>
      </c>
    </row>
    <row r="13342">
      <c r="A13342" s="1">
        <v>5.0</v>
      </c>
      <c r="B13342" s="1" t="s">
        <v>13120</v>
      </c>
      <c r="C13342" t="str">
        <f>IFERROR(__xludf.DUMMYFUNCTION("GOOGLETRANSLATE(B13342, ""fr"", ""en"")"),"Great shows military style military Watch Parcel arrived super fast after ordering. Comes in a great setting with small square of cotton for cleaning and instructions in several languages ​​including French significant. Time display: excellent for a watch"&amp;"! Displaying the day and date window. Ability to set an alarm. Retro cool lighting. The glass of this watch is resistant to scratches. Is sealed unnecessary to remove for washing hands. Adjustable Bracelet much green for a military look. My teenager is de"&amp;"lighted and proud to have this watch on his wrist: great design. 12 month warranty from the seller, I love it! Purchase without risk.")</f>
        <v>Great shows military style military Watch Parcel arrived super fast after ordering. Comes in a great setting with small square of cotton for cleaning and instructions in several languages ​​including French significant. Time display: excellent for a watch! Displaying the day and date window. Ability to set an alarm. Retro cool lighting. The glass of this watch is resistant to scratches. Is sealed unnecessary to remove for washing hands. Adjustable Bracelet much green for a military look. My teenager is delighted and proud to have this watch on his wrist: great design. 12 month warranty from the seller, I love it! Purchase without risk.</v>
      </c>
    </row>
    <row r="13343">
      <c r="A13343" s="1">
        <v>2.0</v>
      </c>
      <c r="B13343" s="1" t="s">
        <v>13121</v>
      </c>
      <c r="C13343" t="str">
        <f>IFERROR(__xludf.DUMMYFUNCTION("GOOGLETRANSLATE(B13343, ""fr"", ""en"")"),"Maintenance and load disappointing The sound is good but the headphones really hold no good! A pain in sports session despite the various tested tips. The charge is not satisfactory at all. To load virtually all uses 2 ... I do not recommend.")</f>
        <v>Maintenance and load disappointing The sound is good but the headphones really hold no good! A pain in sports session despite the various tested tips. The charge is not satisfactory at all. To load virtually all uses 2 ... I do not recommend.</v>
      </c>
    </row>
    <row r="13344">
      <c r="A13344" s="1">
        <v>1.0</v>
      </c>
      <c r="B13344" s="1" t="s">
        <v>13122</v>
      </c>
      <c r="C13344" t="str">
        <f>IFERROR(__xludf.DUMMYFUNCTION("GOOGLETRANSLATE(B13344, ""fr"", ""en"")"),"Sole very fragile for the job simply walk the perforated sole road after one month")</f>
        <v>Sole very fragile for the job simply walk the perforated sole road after one month</v>
      </c>
    </row>
    <row r="13345">
      <c r="A13345" s="1">
        <v>3.0</v>
      </c>
      <c r="B13345" s="1" t="s">
        <v>13123</v>
      </c>
      <c r="C13345" t="str">
        <f>IFERROR(__xludf.DUMMYFUNCTION("GOOGLETRANSLATE(B13345, ""fr"", ""en"")"),"Do not grill lot Beautiful design, not very bulky. Lack of power. Test with the bread, the thin slice rod at least 4 passes to maximum power for crisp and slightly browning. Too bad because big waste of time.")</f>
        <v>Do not grill lot Beautiful design, not very bulky. Lack of power. Test with the bread, the thin slice rod at least 4 passes to maximum power for crisp and slightly browning. Too bad because big waste of time.</v>
      </c>
    </row>
    <row r="13346">
      <c r="A13346" s="1">
        <v>3.0</v>
      </c>
      <c r="B13346" s="1" t="s">
        <v>13124</v>
      </c>
      <c r="C13346" t="str">
        <f>IFERROR(__xludf.DUMMYFUNCTION("GOOGLETRANSLATE(B13346, ""fr"", ""en"")"),"Attention hot to the touch kettle good but very hot to touch. Be careful not to put your hands on stainless steel when it is hot because you can burn. Better to hold the object away from children. Otherwise, pretty good article but a bit noisy heating.")</f>
        <v>Attention hot to the touch kettle good but very hot to touch. Be careful not to put your hands on stainless steel when it is hot because you can burn. Better to hold the object away from children. Otherwise, pretty good article but a bit noisy heating.</v>
      </c>
    </row>
    <row r="13347">
      <c r="A13347" s="1">
        <v>4.0</v>
      </c>
      <c r="B13347" s="1" t="s">
        <v>13125</v>
      </c>
      <c r="C13347" t="str">
        <f>IFERROR(__xludf.DUMMYFUNCTION("GOOGLETRANSLATE(B13347, ""fr"", ""en"")"),"BLOCKERS PERFECT This set of 2 blockers is perfect compatible with SO CHARM bracelet. Diameter a little small but good quality / price ratio. I recommend the product.")</f>
        <v>BLOCKERS PERFECT This set of 2 blockers is perfect compatible with SO CHARM bracelet. Diameter a little small but good quality / price ratio. I recommend the product.</v>
      </c>
    </row>
    <row r="13348">
      <c r="A13348" s="1">
        <v>4.0</v>
      </c>
      <c r="B13348" s="1" t="s">
        <v>13126</v>
      </c>
      <c r="C13348" t="str">
        <f>IFERROR(__xludf.DUMMYFUNCTION("GOOGLETRANSLATE(B13348, ""fr"", ""en"")"),"Conforms conforms Product, sending fast 👍")</f>
        <v>Conforms conforms Product, sending fast 👍</v>
      </c>
    </row>
    <row r="13349">
      <c r="A13349" s="1">
        <v>4.0</v>
      </c>
      <c r="B13349" s="1" t="s">
        <v>13127</v>
      </c>
      <c r="C13349" t="str">
        <f>IFERROR(__xludf.DUMMYFUNCTION("GOOGLETRANSLATE(B13349, ""fr"", ""en"")"),"Soft and comfortable My son loves! Comfortable, soft and warm. Two months ago he uses them with satisfaction. Only downside: I think these shoes will age rapidly.")</f>
        <v>Soft and comfortable My son loves! Comfortable, soft and warm. Two months ago he uses them with satisfaction. Only downside: I think these shoes will age rapidly.</v>
      </c>
    </row>
    <row r="13350">
      <c r="A13350" s="1">
        <v>4.0</v>
      </c>
      <c r="B13350" s="1" t="s">
        <v>13128</v>
      </c>
      <c r="C13350" t="str">
        <f>IFERROR(__xludf.DUMMYFUNCTION("GOOGLETRANSLATE(B13350, ""fr"", ""en"")"),"I put on the superb 40 and I took a 40 and it's going very well. beautiful colors, great comfort, I am satisfied")</f>
        <v>I put on the superb 40 and I took a 40 and it's going very well. beautiful colors, great comfort, I am satisfied</v>
      </c>
    </row>
    <row r="13351">
      <c r="A13351" s="1">
        <v>5.0</v>
      </c>
      <c r="B13351" s="1" t="s">
        <v>13129</v>
      </c>
      <c r="C13351" t="str">
        <f>IFERROR(__xludf.DUMMYFUNCTION("GOOGLETRANSLATE(B13351, ""fr"", ""en"")"),"perfect shoes perfect product, color, material, size, everything is perfectly consistent with what I wanted, quality is aua appointment")</f>
        <v>perfect shoes perfect product, color, material, size, everything is perfectly consistent with what I wanted, quality is aua appointment</v>
      </c>
    </row>
    <row r="13352">
      <c r="A13352" s="1">
        <v>5.0</v>
      </c>
      <c r="B13352" s="1" t="s">
        <v>13130</v>
      </c>
      <c r="C13352" t="str">
        <f>IFERROR(__xludf.DUMMYFUNCTION("GOOGLETRANSLATE(B13352, ""fr"", ""en"")"),"Do you like your washing machine? So do not forget to protect these tabs with Calgon. This protection anti limestone for this washing machine that makes you so many services and lightens your life must have its place among your laundry! With this product,"&amp;" you will extend ""his life."" Dorothy-Jacqueline")</f>
        <v>Do you like your washing machine? So do not forget to protect these tabs with Calgon. This protection anti limestone for this washing machine that makes you so many services and lightens your life must have its place among your laundry! With this product, you will extend "his life." Dorothy-Jacqueline</v>
      </c>
    </row>
    <row r="13353">
      <c r="A13353" s="1">
        <v>5.0</v>
      </c>
      <c r="B13353" s="1" t="s">
        <v>13131</v>
      </c>
      <c r="C13353" t="str">
        <f>IFERROR(__xludf.DUMMYFUNCTION("GOOGLETRANSLATE(B13353, ""fr"", ""en"")"),"Satisfied Word templates to download help a lot to prepare for printing. We used the box for addresses to share and were pleased.")</f>
        <v>Satisfied Word templates to download help a lot to prepare for printing. We used the box for addresses to share and were pleased.</v>
      </c>
    </row>
    <row r="13354">
      <c r="A13354" s="1">
        <v>5.0</v>
      </c>
      <c r="B13354" s="1" t="s">
        <v>13132</v>
      </c>
      <c r="C13354" t="str">
        <f>IFERROR(__xludf.DUMMYFUNCTION("GOOGLETRANSLATE(B13354, ""fr"", ""en"")"),"Exactly what I needed Perfect for watching movies or series discreetly at night with a BB difficult to side.")</f>
        <v>Exactly what I needed Perfect for watching movies or series discreetly at night with a BB difficult to side.</v>
      </c>
    </row>
    <row r="13355">
      <c r="A13355" s="1">
        <v>5.0</v>
      </c>
      <c r="B13355" s="1" t="s">
        <v>13133</v>
      </c>
      <c r="C13355" t="str">
        <f>IFERROR(__xludf.DUMMYFUNCTION("GOOGLETRANSLATE(B13355, ""fr"", ""en"")"),"Awesome ... THE keys pounds Relationship small watch back to the future. Caution is forgotten but the small touches are unusable ... we're really more accustomed! Otherwise perfect for the vintage look")</f>
        <v>Awesome ... THE keys pounds Relationship small watch back to the future. Caution is forgotten but the small touches are unusable ... we're really more accustomed! Otherwise perfect for the vintage look</v>
      </c>
    </row>
    <row r="13356">
      <c r="A13356" s="1">
        <v>5.0</v>
      </c>
      <c r="B13356" s="1" t="s">
        <v>13134</v>
      </c>
      <c r="C13356" t="str">
        <f>IFERROR(__xludf.DUMMYFUNCTION("GOOGLETRANSLATE(B13356, ""fr"", ""en"")"),"genial this jacket is very good it is warm and pleasant and the color does not gene at all and it happens very quickly with premium Amazon")</f>
        <v>genial this jacket is very good it is warm and pleasant and the color does not gene at all and it happens very quickly with premium Amazon</v>
      </c>
    </row>
    <row r="13357">
      <c r="A13357" s="1">
        <v>5.0</v>
      </c>
      <c r="B13357" s="1" t="s">
        <v>13135</v>
      </c>
      <c r="C13357" t="str">
        <f>IFERROR(__xludf.DUMMYFUNCTION("GOOGLETRANSLATE(B13357, ""fr"", ""en"")"),"very useful purchase. I am very satisfied with this purchase. A place for everything. Bottles, teats and caps. I highly recommend it. Moreover it is easy to clean.")</f>
        <v>very useful purchase. I am very satisfied with this purchase. A place for everything. Bottles, teats and caps. I highly recommend it. Moreover it is easy to clean.</v>
      </c>
    </row>
    <row r="13358">
      <c r="A13358" s="1">
        <v>5.0</v>
      </c>
      <c r="B13358" s="1" t="s">
        <v>13136</v>
      </c>
      <c r="C13358" t="str">
        <f>IFERROR(__xludf.DUMMYFUNCTION("GOOGLETRANSLATE(B13358, ""fr"", ""en"")"),"6 packing tape rolls transparent 48 x 66 MM M At first I thought receiving regular scotch was wrong stand. Well I was wrong, this adhesive tape really great, I would even say it clings to the point that after having pasted on the glass of my pharmacy in t"&amp;"he bathroom for the win when I wanted to remove it .... I cracked the glass. A word to it's solid ;-) I recommend this product!")</f>
        <v>6 packing tape rolls transparent 48 x 66 MM M At first I thought receiving regular scotch was wrong stand. Well I was wrong, this adhesive tape really great, I would even say it clings to the point that after having pasted on the glass of my pharmacy in the bathroom for the win when I wanted to remove it .... I cracked the glass. A word to it's solid ;-) I recommend this product!</v>
      </c>
    </row>
    <row r="13359">
      <c r="A13359" s="1">
        <v>5.0</v>
      </c>
      <c r="B13359" s="1" t="s">
        <v>13137</v>
      </c>
      <c r="C13359" t="str">
        <f>IFERROR(__xludf.DUMMYFUNCTION("GOOGLETRANSLATE(B13359, ""fr"", ""en"")"),"good quality, comfortable, itch")</f>
        <v>good quality, comfortable, itch</v>
      </c>
    </row>
    <row r="13360">
      <c r="A13360" s="1">
        <v>5.0</v>
      </c>
      <c r="B13360" s="1" t="s">
        <v>13138</v>
      </c>
      <c r="C13360" t="str">
        <f>IFERROR(__xludf.DUMMYFUNCTION("GOOGLETRANSLATE(B13360, ""fr"", ""en"")"),"Nice and good quality Pretty helmets that have delighted our girls. Convenient to use with the Luni for the children to follow the story all created. Adopted immediately and resistant. The sound quality is also there.")</f>
        <v>Nice and good quality Pretty helmets that have delighted our girls. Convenient to use with the Luni for the children to follow the story all created. Adopted immediately and resistant. The sound quality is also there.</v>
      </c>
    </row>
    <row r="13361">
      <c r="A13361" s="1">
        <v>5.0</v>
      </c>
      <c r="B13361" s="1" t="s">
        <v>13139</v>
      </c>
      <c r="C13361" t="str">
        <f>IFERROR(__xludf.DUMMYFUNCTION("GOOGLETRANSLATE(B13361, ""fr"", ""en"")"),"Beautiful item good value Nice coffee. good article. To clean: a little vinegar bench in two glasses of water. To boil. let stand 10 minutes. drain, rinse; it's like new !!!")</f>
        <v>Beautiful item good value Nice coffee. good article. To clean: a little vinegar bench in two glasses of water. To boil. let stand 10 minutes. drain, rinse; it's like new !!!</v>
      </c>
    </row>
    <row r="13362">
      <c r="A13362" s="1">
        <v>5.0</v>
      </c>
      <c r="B13362" s="1" t="s">
        <v>13140</v>
      </c>
      <c r="C13362" t="str">
        <f>IFERROR(__xludf.DUMMYFUNCTION("GOOGLETRANSLATE(B13362, ""fr"", ""en"")"),"Ok Very easy to read")</f>
        <v>Ok Very easy to read</v>
      </c>
    </row>
    <row r="13363">
      <c r="A13363" s="1">
        <v>5.0</v>
      </c>
      <c r="B13363" s="1" t="s">
        <v>13141</v>
      </c>
      <c r="C13363" t="str">
        <f>IFERROR(__xludf.DUMMYFUNCTION("GOOGLETRANSLATE(B13363, ""fr"", ""en"")"),"Very pretty! Very nice, very bright! birthday gift for my niece 8 years who loved it! Bel purchase for this eco responsible brand! I recommend!")</f>
        <v>Very pretty! Very nice, very bright! birthday gift for my niece 8 years who loved it! Bel purchase for this eco responsible brand! I recommend!</v>
      </c>
    </row>
    <row r="13364">
      <c r="A13364" s="1">
        <v>5.0</v>
      </c>
      <c r="B13364" s="1" t="s">
        <v>13142</v>
      </c>
      <c r="C13364" t="str">
        <f>IFERROR(__xludf.DUMMYFUNCTION("GOOGLETRANSLATE(B13364, ""fr"", ""en"")"),"Too beautiful to watch the same great photo opportunity to easily adjust the grip Done thought of a gorge I love I recommend")</f>
        <v>Too beautiful to watch the same great photo opportunity to easily adjust the grip Done thought of a gorge I love I recommend</v>
      </c>
    </row>
    <row r="13365">
      <c r="A13365" s="1">
        <v>5.0</v>
      </c>
      <c r="B13365" s="1" t="s">
        <v>13143</v>
      </c>
      <c r="C13365" t="str">
        <f>IFERROR(__xludf.DUMMYFUNCTION("GOOGLETRANSLATE(B13365, ""fr"", ""en"")"),"Safety shoes Hi there are great safety shoes I am comfortable they are not very good for heavy work in the building Amazon thank you")</f>
        <v>Safety shoes Hi there are great safety shoes I am comfortable they are not very good for heavy work in the building Amazon thank you</v>
      </c>
    </row>
    <row r="13366">
      <c r="A13366" s="1">
        <v>2.0</v>
      </c>
      <c r="B13366" s="1" t="s">
        <v>13144</v>
      </c>
      <c r="C13366" t="str">
        <f>IFERROR(__xludf.DUMMYFUNCTION("GOOGLETRANSLATE(B13366, ""fr"", ""en"")"),"Disappointed Not comfortable and not tall enough for my taste so that the pants without stopping fate is irritating, I put most.")</f>
        <v>Disappointed Not comfortable and not tall enough for my taste so that the pants without stopping fate is irritating, I put most.</v>
      </c>
    </row>
    <row r="13367">
      <c r="A13367" s="1">
        <v>1.0</v>
      </c>
      <c r="B13367" s="1" t="s">
        <v>13145</v>
      </c>
      <c r="C13367" t="str">
        <f>IFERROR(__xludf.DUMMYFUNCTION("GOOGLETRANSLATE(B13367, ""fr"", ""en"")"),"defective after 4 month No response Sunvalley sav-en selling the product. What good bought some expensive product if its life is so low")</f>
        <v>defective after 4 month No response Sunvalley sav-en selling the product. What good bought some expensive product if its life is so low</v>
      </c>
    </row>
    <row r="13368">
      <c r="A13368" s="1">
        <v>1.0</v>
      </c>
      <c r="B13368" s="1" t="s">
        <v>13146</v>
      </c>
      <c r="C13368" t="str">
        <f>IFERROR(__xludf.DUMMYFUNCTION("GOOGLETRANSLATE(B13368, ""fr"", ""en"")"),"Does not work, product returned, only good point, already repaid. Convenient for show times, see mandatory, when it works. Put 1 star, by obligation to send this message.")</f>
        <v>Does not work, product returned, only good point, already repaid. Convenient for show times, see mandatory, when it works. Put 1 star, by obligation to send this message.</v>
      </c>
    </row>
    <row r="13369">
      <c r="A13369" s="1">
        <v>3.0</v>
      </c>
      <c r="B13369" s="1" t="s">
        <v>13147</v>
      </c>
      <c r="C13369" t="str">
        <f>IFERROR(__xludf.DUMMYFUNCTION("GOOGLETRANSLATE(B13369, ""fr"", ""en"")"),"Just a little flat. The watch is in line with my expectations, only reading the night time with lighting is tedious. Too bad that the needles are just not phosphorescent.")</f>
        <v>Just a little flat. The watch is in line with my expectations, only reading the night time with lighting is tedious. Too bad that the needles are just not phosphorescent.</v>
      </c>
    </row>
    <row r="13370">
      <c r="A13370" s="1">
        <v>3.0</v>
      </c>
      <c r="B13370" s="1" t="s">
        <v>13148</v>
      </c>
      <c r="C13370" t="str">
        <f>IFERROR(__xludf.DUMMYFUNCTION("GOOGLETRANSLATE(B13370, ""fr"", ""en"")"),"a title Socks really VERY comfortable, plus it's true they do well breathed in the foot. But the quality is really not! Used only once they make little balls everywhere, and when I removed my impression that half of the sock remained stuck there. Shame so"&amp;" they are super soft and pleasant, with the thicker bottom without taking too hot, but their life span is close to zero.")</f>
        <v>a title Socks really VERY comfortable, plus it's true they do well breathed in the foot. But the quality is really not! Used only once they make little balls everywhere, and when I removed my impression that half of the sock remained stuck there. Shame so they are super soft and pleasant, with the thicker bottom without taking too hot, but their life span is close to zero.</v>
      </c>
    </row>
    <row r="13371">
      <c r="A13371" s="1">
        <v>4.0</v>
      </c>
      <c r="B13371" s="1" t="s">
        <v>13149</v>
      </c>
      <c r="C13371" t="str">
        <f>IFERROR(__xludf.DUMMYFUNCTION("GOOGLETRANSLATE(B13371, ""fr"", ""en"")"),"Transmission yuck! I have opened the package in which was the box of the watch, which will be opened only by the person for whom it is intended. I do not criticize this Suunto Traverse but his box was handled without attention. Shredded fat, traces of fin"&amp;"gerprints, as if the person who had been on hand tasted a pizza together. I barely exaggerating. I'll manage to deliver the object in the darkness, even if the packaging is not the gift, it is one. Second opinion after unpacking and a month of use. The wa"&amp;"tch works fine for now (mountains, kayaking, running), its user is thrilled. It takes time to adapt to the control and the supplied manual is a little light. So use Suunto site where it in .pdf format is much more explicit. I always have a doubt about the"&amp;" box that was probably open before delivery. I added 2 stars anyway w / r in my previous opinion.")</f>
        <v>Transmission yuck! I have opened the package in which was the box of the watch, which will be opened only by the person for whom it is intended. I do not criticize this Suunto Traverse but his box was handled without attention. Shredded fat, traces of fingerprints, as if the person who had been on hand tasted a pizza together. I barely exaggerating. I'll manage to deliver the object in the darkness, even if the packaging is not the gift, it is one. Second opinion after unpacking and a month of use. The watch works fine for now (mountains, kayaking, running), its user is thrilled. It takes time to adapt to the control and the supplied manual is a little light. So use Suunto site where it in .pdf format is much more explicit. I always have a doubt about the box that was probably open before delivery. I added 2 stars anyway w / r in my previous opinion.</v>
      </c>
    </row>
    <row r="13372">
      <c r="A13372" s="1">
        <v>4.0</v>
      </c>
      <c r="B13372" s="1" t="s">
        <v>13150</v>
      </c>
      <c r="C13372" t="str">
        <f>IFERROR(__xludf.DUMMYFUNCTION("GOOGLETRANSLATE(B13372, ""fr"", ""en"")"),"Basketball Jamron I finally received the shoes Wedge, but the size is too large! I ordered a size 36 and those I received are at least 37 1/2. I tried them and yes they are very comfortable, but I am disappointed! I waited 1 month and return the + exchang"&amp;"e that makes 2 months. Too bad that Chinese goods still have problems with heights and sizes")</f>
        <v>Basketball Jamron I finally received the shoes Wedge, but the size is too large! I ordered a size 36 and those I received are at least 37 1/2. I tried them and yes they are very comfortable, but I am disappointed! I waited 1 month and return the + exchange that makes 2 months. Too bad that Chinese goods still have problems with heights and sizes</v>
      </c>
    </row>
    <row r="13373">
      <c r="A13373" s="1">
        <v>4.0</v>
      </c>
      <c r="B13373" s="1" t="s">
        <v>13151</v>
      </c>
      <c r="C13373" t="str">
        <f>IFERROR(__xludf.DUMMYFUNCTION("GOOGLETRANSLATE(B13373, ""fr"", ""en"")"),"Proper hydration I used it for a day sunbathing in my garden (first time I used a cloth mask). The ice effect is great, the wonderful smell excellent hydration. My skin was so soft right after. A little red but it does not bother me. By cons price level i"&amp;"s fair. I used to mask 2 / week and it would make a bit expensive at the end of the month. I prefer the mask ""cream"" that tissue. I think for purchase immediately")</f>
        <v>Proper hydration I used it for a day sunbathing in my garden (first time I used a cloth mask). The ice effect is great, the wonderful smell excellent hydration. My skin was so soft right after. A little red but it does not bother me. By cons price level is fair. I used to mask 2 / week and it would make a bit expensive at the end of the month. I prefer the mask "cream" that tissue. I think for purchase immediately</v>
      </c>
    </row>
    <row r="13374">
      <c r="A13374" s="1">
        <v>4.0</v>
      </c>
      <c r="B13374" s="1" t="s">
        <v>13152</v>
      </c>
      <c r="C13374" t="str">
        <f>IFERROR(__xludf.DUMMYFUNCTION("GOOGLETRANSLATE(B13374, ""fr"", ""en"")"),"quality helmet headset has several buttons: on / off, next track, previous track, pause, increase the volume, decrease volume, enable / disable the noise reduction (activated or not, I see no noticeable difference personally) , pick up the phone. When you"&amp;" first start, the headset goes into default fitting mode. However, when paired with the first unit, it becomes invisible to others. To pair it with other devices, it must be put back into equipment fashion. For that, upon ignition, by pressing and holding"&amp;" the power button, you will hear ""power on"", do not release the button, wait another 10 seconds until you hear ""Pairring on"". Only at that moment, that other devices can detect the headset, otherwise it will be ""invisible"". This unfortunately is not"&amp;" mentioned in the manual supplied, which scared me because my PC did not see. However, it is shown on the Sony website. Once paired, the headset will connect to your hardware automatically at startup. This is not a bad system, because it prevents anyone c"&amp;"an connect to your headphones (I have this trouble with a pair of Chinese speakers, Edifier brand, which I am very satisfied but my neighbors sometimes pick by ^^ error). The stop start button also allows to know the battery level via a quick press. A voi"&amp;"ce indicates the battery level (ex. ""Battery level medium""), but not very accurate though. However, the Sony application on Android allows for the% correct, so I prefer to look at the application. Besides level autonomy, 35h are very pleasant. The heads"&amp;"et can be recharged via a standard microUSB port. MicroUSB to USB cable is also provided (not the charger though). It also has an auxiliary port (jack 3.5), which allows use in industry, especially if no battery or the device that does not have bluetooth "&amp;"(MP3 player, desktop PC ...). It was for me an essential criterion. A male to male jack jack is also provided. At sound quality, the sound is okay but not exceptional. Actually, I do not necessarily find it better than my Sony wired 30 € purchased 6 years"&amp;" ago (which I find very well already said it!). However, it is nice to be able to change the balance of frequencies (treble, mid, bass) via the application, using pre-defined or customizable settings. For example, increase the bass for rock, etc. GNI or o"&amp;"therwise reduce to some classical music. It is also possible to use modes (concert hall, disco etc), playing on the feeling of remoteness, echoes etc. Personally, I was not particularly convinced by these modes I must admit. I use this headset via my smar"&amp;"tphone Android 8.1 Oreo (Asus Zenfone Max Plus M1), as well as my 4 PC via a USB Bluetooth dongle 10 €, both for music and for watching movies. Everything works perfectly. Note that this helmet also has a microphone to make calls without having to take th"&amp;"e phone in hand. I tested it, it works fine (indoors anyway, not tried out for the moment). In terms of comfort. It is not used too much head. I have glasses, this gene either. The ears touch a little background it says (also without rest above), it is su"&amp;"rprising at first but we did notice more quickly. By cons, if it gets a little warm (by the sun), it dissipates heat poorly (synthetic pads that do not breathe all around the ears = perspiration). So top indoor, outdoor, not so good if sunny. In this case"&amp;" I prefer my helmet at € 30, which rests on the ears and not around. Otherwise, it seems rather well made. I had gone on a Sony MDR-XB950B1 at the base, because cheaper (€ 80) but also the autonomy 2 times less he had many comments from users who had brok"&amp;"en very quickly. This is what motivated me to make this more expensive model, but with much less comments like that. I'd rather pay more for a helmet that lasts longer! Level space, I saw bigger. It takes obviously more space than my little filiaire, but "&amp;"not much more eventually. It ranks easily in a medium bag, it does not weigh very heavy either, despite its good autonomy. That said, it is a shame for a helmet to 120 €, not having provided a little cover even basic. In short, I recommend this helmet. If"&amp;" I have problems, I will not hesitate to publish this comment so long it remains unchanged is that it is still valid. ;-)")</f>
        <v>quality helmet headset has several buttons: on / off, next track, previous track, pause, increase the volume, decrease volume, enable / disable the noise reduction (activated or not, I see no noticeable difference personally) , pick up the phone. When you first start, the headset goes into default fitting mode. However, when paired with the first unit, it becomes invisible to others. To pair it with other devices, it must be put back into equipment fashion. For that, upon ignition, by pressing and holding the power button, you will hear "power on", do not release the button, wait another 10 seconds until you hear "Pairring on". Only at that moment, that other devices can detect the headset, otherwise it will be "invisible". This unfortunately is not mentioned in the manual supplied, which scared me because my PC did not see. However, it is shown on the Sony website. Once paired, the headset will connect to your hardware automatically at startup. This is not a bad system, because it prevents anyone can connect to your headphones (I have this trouble with a pair of Chinese speakers, Edifier brand, which I am very satisfied but my neighbors sometimes pick by ^^ error). The stop start button also allows to know the battery level via a quick press. A voice indicates the battery level (ex. "Battery level medium"), but not very accurate though. However, the Sony application on Android allows for the% correct, so I prefer to look at the application. Besides level autonomy, 35h are very pleasant. The headset can be recharged via a standard microUSB port. MicroUSB to USB cable is also provided (not the charger though). It also has an auxiliary port (jack 3.5), which allows use in industry, especially if no battery or the device that does not have bluetooth (MP3 player, desktop PC ...). It was for me an essential criterion. A male to male jack jack is also provided. At sound quality, the sound is okay but not exceptional. Actually, I do not necessarily find it better than my Sony wired 30 € purchased 6 years ago (which I find very well already said it!). However, it is nice to be able to change the balance of frequencies (treble, mid, bass) via the application, using pre-defined or customizable settings. For example, increase the bass for rock, etc. GNI or otherwise reduce to some classical music. It is also possible to use modes (concert hall, disco etc), playing on the feeling of remoteness, echoes etc. Personally, I was not particularly convinced by these modes I must admit. I use this headset via my smartphone Android 8.1 Oreo (Asus Zenfone Max Plus M1), as well as my 4 PC via a USB Bluetooth dongle 10 €, both for music and for watching movies. Everything works perfectly. Note that this helmet also has a microphone to make calls without having to take the phone in hand. I tested it, it works fine (indoors anyway, not tried out for the moment). In terms of comfort. It is not used too much head. I have glasses, this gene either. The ears touch a little background it says (also without rest above), it is surprising at first but we did notice more quickly. By cons, if it gets a little warm (by the sun), it dissipates heat poorly (synthetic pads that do not breathe all around the ears = perspiration). So top indoor, outdoor, not so good if sunny. In this case I prefer my helmet at € 30, which rests on the ears and not around. Otherwise, it seems rather well made. I had gone on a Sony MDR-XB950B1 at the base, because cheaper (€ 80) but also the autonomy 2 times less he had many comments from users who had broken very quickly. This is what motivated me to make this more expensive model, but with much less comments like that. I'd rather pay more for a helmet that lasts longer! Level space, I saw bigger. It takes obviously more space than my little filiaire, but not much more eventually. It ranks easily in a medium bag, it does not weigh very heavy either, despite its good autonomy. That said, it is a shame for a helmet to 120 €, not having provided a little cover even basic. In short, I recommend this helmet. If I have problems, I will not hesitate to publish this comment so long it remains unchanged is that it is still valid. ;-)</v>
      </c>
    </row>
    <row r="13375">
      <c r="A13375" s="1">
        <v>5.0</v>
      </c>
      <c r="B13375" s="1" t="s">
        <v>13153</v>
      </c>
      <c r="C13375" t="str">
        <f>IFERROR(__xludf.DUMMYFUNCTION("GOOGLETRANSLATE(B13375, ""fr"", ""en"")"),"pleasant and lasting scent. The only thing I did not know about the softener Lenor pearls here suggested is that perfume Precious Breath and I must say it is very nice in its mix of vanilla, mimosa, honey, pink and peach. The scent is sustainable in the m"&amp;"achine and gives off a real feeling of freshness and cleanliness.")</f>
        <v>pleasant and lasting scent. The only thing I did not know about the softener Lenor pearls here suggested is that perfume Precious Breath and I must say it is very nice in its mix of vanilla, mimosa, honey, pink and peach. The scent is sustainable in the machine and gives off a real feeling of freshness and cleanliness.</v>
      </c>
    </row>
    <row r="13376">
      <c r="A13376" s="1">
        <v>5.0</v>
      </c>
      <c r="B13376" s="1" t="s">
        <v>13154</v>
      </c>
      <c r="C13376" t="str">
        <f>IFERROR(__xludf.DUMMYFUNCTION("GOOGLETRANSLATE(B13376, ""fr"", ""en"")"),"Made great product so it is designed to unbeatable price")</f>
        <v>Made great product so it is designed to unbeatable price</v>
      </c>
    </row>
    <row r="13377">
      <c r="A13377" s="1">
        <v>5.0</v>
      </c>
      <c r="B13377" s="1" t="s">
        <v>13155</v>
      </c>
      <c r="C13377" t="str">
        <f>IFERROR(__xludf.DUMMYFUNCTION("GOOGLETRANSLATE(B13377, ""fr"", ""en"")"),"Pretty cool shoes very happy I made the 40 and I took the 40 1/2 so a little more and everything will stack")</f>
        <v>Pretty cool shoes very happy I made the 40 and I took the 40 1/2 so a little more and everything will stack</v>
      </c>
    </row>
    <row r="13378">
      <c r="A13378" s="1">
        <v>5.0</v>
      </c>
      <c r="B13378" s="1" t="s">
        <v>13156</v>
      </c>
      <c r="C13378" t="str">
        <f>IFERROR(__xludf.DUMMYFUNCTION("GOOGLETRANSLATE(B13378, ""fr"", ""en"")"),"Tong bg lol Perfect and good size I recommend classic cheap nice comfortable and good quality in its true it well")</f>
        <v>Tong bg lol Perfect and good size I recommend classic cheap nice comfortable and good quality in its true it well</v>
      </c>
    </row>
    <row r="13379">
      <c r="A13379" s="1">
        <v>5.0</v>
      </c>
      <c r="B13379" s="1" t="s">
        <v>13157</v>
      </c>
      <c r="C13379" t="str">
        <f>IFERROR(__xludf.DUMMYFUNCTION("GOOGLETRANSLATE(B13379, ""fr"", ""en"")"),"super convenient Headphones high quality and work perfectly, to see the long term for the sound is clear and balanced I find practical and light especially during exercise, they hold well to the ears charging box is super convenient, it serves as a storag"&amp;"e box and an external battery to recharge a good product overall to do with time fast delivery and careful")</f>
        <v>super convenient Headphones high quality and work perfectly, to see the long term for the sound is clear and balanced I find practical and light especially during exercise, they hold well to the ears charging box is super convenient, it serves as a storage box and an external battery to recharge a good product overall to do with time fast delivery and careful</v>
      </c>
    </row>
    <row r="13380">
      <c r="A13380" s="1">
        <v>5.0</v>
      </c>
      <c r="B13380" s="1" t="s">
        <v>13158</v>
      </c>
      <c r="C13380" t="str">
        <f>IFERROR(__xludf.DUMMYFUNCTION("GOOGLETRANSLATE(B13380, ""fr"", ""en"")"),"Very well ! Compared to the prices of shops, I do not regret my purchase! The sound is TOP! I have however been very good facilities! Quick delivery")</f>
        <v>Very well ! Compared to the prices of shops, I do not regret my purchase! The sound is TOP! I have however been very good facilities! Quick delivery</v>
      </c>
    </row>
    <row r="13381">
      <c r="A13381" s="1">
        <v>5.0</v>
      </c>
      <c r="B13381" s="1" t="s">
        <v>13159</v>
      </c>
      <c r="C13381" t="str">
        <f>IFERROR(__xludf.DUMMYFUNCTION("GOOGLETRANSLATE(B13381, ""fr"", ""en"")"),"Good Very good in my hair for a wedding.")</f>
        <v>Good Very good in my hair for a wedding.</v>
      </c>
    </row>
    <row r="13382">
      <c r="A13382" s="1">
        <v>5.0</v>
      </c>
      <c r="B13382" s="1" t="s">
        <v>13160</v>
      </c>
      <c r="C13382" t="str">
        <f>IFERROR(__xludf.DUMMYFUNCTION("GOOGLETRANSLATE(B13382, ""fr"", ""en"")"),"Top At the top I needed it to the plane and take with me into the cabin knowing that c is super complicated level size for luggage. The I'm satisfied neither too big nor too small a book of travel pocket a mobile phone paper a small bottle of water and no"&amp;"t spend much it bothers us at the airport. Additionally it has the look really strong I think this saccoche will follow me everywhere. I suggest you buy this ..")</f>
        <v>Top At the top I needed it to the plane and take with me into the cabin knowing that c is super complicated level size for luggage. The I'm satisfied neither too big nor too small a book of travel pocket a mobile phone paper a small bottle of water and not spend much it bothers us at the airport. Additionally it has the look really strong I think this saccoche will follow me everywhere. I suggest you buy this ..</v>
      </c>
    </row>
    <row r="13383">
      <c r="A13383" s="1">
        <v>5.0</v>
      </c>
      <c r="B13383" s="1" t="s">
        <v>13161</v>
      </c>
      <c r="C13383" t="str">
        <f>IFERROR(__xludf.DUMMYFUNCTION("GOOGLETRANSLATE(B13383, ""fr"", ""en"")"),"Adapted as expected Magnificent !!!")</f>
        <v>Adapted as expected Magnificent !!!</v>
      </c>
    </row>
    <row r="13384">
      <c r="A13384" s="1">
        <v>5.0</v>
      </c>
      <c r="B13384" s="1" t="s">
        <v>13162</v>
      </c>
      <c r="C13384" t="str">
        <f>IFERROR(__xludf.DUMMYFUNCTION("GOOGLETRANSLATE(B13384, ""fr"", ""en"")"),"Product very well This product is very good. Complies with the product description.")</f>
        <v>Product very well This product is very good. Complies with the product description.</v>
      </c>
    </row>
    <row r="13385">
      <c r="A13385" s="1">
        <v>5.0</v>
      </c>
      <c r="B13385" s="1" t="s">
        <v>13163</v>
      </c>
      <c r="C13385" t="str">
        <f>IFERROR(__xludf.DUMMYFUNCTION("GOOGLETRANSLATE(B13385, ""fr"", ""en"")"),"Great value")</f>
        <v>Great value</v>
      </c>
    </row>
    <row r="13386">
      <c r="A13386" s="1">
        <v>5.0</v>
      </c>
      <c r="B13386" s="1" t="s">
        <v>13164</v>
      </c>
      <c r="C13386" t="str">
        <f>IFERROR(__xludf.DUMMYFUNCTION("GOOGLETRANSLATE(B13386, ""fr"", ""en"")"),"Fort appreciable compact object (see dimensions beside the pen 4 colors), pleasantly mild. Its texture is pleasant, the quick start. Noise level is rather discreet without compromising its vibration power. The charging socket is perfectly integrated and d"&amp;"iscrete. The small carrying case is also very convenient. Madame is fully satisfied. I clearly recommend this purchase for people seeking this type of product.")</f>
        <v>Fort appreciable compact object (see dimensions beside the pen 4 colors), pleasantly mild. Its texture is pleasant, the quick start. Noise level is rather discreet without compromising its vibration power. The charging socket is perfectly integrated and discrete. The small carrying case is also very convenient. Madame is fully satisfied. I clearly recommend this purchase for people seeking this type of product.</v>
      </c>
    </row>
    <row r="13387">
      <c r="A13387" s="1">
        <v>5.0</v>
      </c>
      <c r="B13387" s="1" t="s">
        <v>13165</v>
      </c>
      <c r="C13387" t="str">
        <f>IFERROR(__xludf.DUMMYFUNCTION("GOOGLETRANSLATE(B13387, ""fr"", ""en"")"),"Essential ! Excellent massage and heating the product I used to massage therapy but also for relaxation and recovery after sport. It also soothes tingling and it relaxes.")</f>
        <v>Essential ! Excellent massage and heating the product I used to massage therapy but also for relaxation and recovery after sport. It also soothes tingling and it relaxes.</v>
      </c>
    </row>
    <row r="13388">
      <c r="A13388" s="1">
        <v>5.0</v>
      </c>
      <c r="B13388" s="1" t="s">
        <v>13166</v>
      </c>
      <c r="C13388" t="str">
        <f>IFERROR(__xludf.DUMMYFUNCTION("GOOGLETRANSLATE(B13388, ""fr"", ""en"")"),"beautiful and comfortable Honestly this is the best sports leggings I bought is super comfortable, beautiful and the size is perfect!")</f>
        <v>beautiful and comfortable Honestly this is the best sports leggings I bought is super comfortable, beautiful and the size is perfect!</v>
      </c>
    </row>
    <row r="13389">
      <c r="A13389" s="1">
        <v>5.0</v>
      </c>
      <c r="B13389" s="1" t="s">
        <v>13167</v>
      </c>
      <c r="C13389" t="str">
        <f>IFERROR(__xludf.DUMMYFUNCTION("GOOGLETRANSLATE(B13389, ""fr"", ""en"")"),"Same photo Very happy with this product")</f>
        <v>Same photo Very happy with this product</v>
      </c>
    </row>
    <row r="13390">
      <c r="A13390" s="1">
        <v>2.0</v>
      </c>
      <c r="B13390" s="1" t="s">
        <v>13168</v>
      </c>
      <c r="C13390" t="str">
        <f>IFERROR(__xludf.DUMMYFUNCTION("GOOGLETRANSLATE(B13390, ""fr"", ""en"")"),"I do not recommend, it's just my opinion. With the stars that I put, all is said. The scent is barely a day and still I am kind in saying this. Even after passing the dryer, it is just a bit sweeter than if I had hung. It feels really good just when you o"&amp;"pen the bottle.")</f>
        <v>I do not recommend, it's just my opinion. With the stars that I put, all is said. The scent is barely a day and still I am kind in saying this. Even after passing the dryer, it is just a bit sweeter than if I had hung. It feels really good just when you open the bottle.</v>
      </c>
    </row>
    <row r="13391">
      <c r="A13391" s="1">
        <v>1.0</v>
      </c>
      <c r="B13391" s="1" t="s">
        <v>13169</v>
      </c>
      <c r="C13391" t="str">
        <f>IFERROR(__xludf.DUMMYFUNCTION("GOOGLETRANSLATE(B13391, ""fr"", ""en"")"),"Do not buy Offered Christmas 2018 Very disappointed, around dial lost there 15 days and the button 5 days.")</f>
        <v>Do not buy Offered Christmas 2018 Very disappointed, around dial lost there 15 days and the button 5 days.</v>
      </c>
    </row>
    <row r="13392">
      <c r="A13392" s="1">
        <v>1.0</v>
      </c>
      <c r="B13392" s="1" t="s">
        <v>13170</v>
      </c>
      <c r="C13392" t="str">
        <f>IFERROR(__xludf.DUMMYFUNCTION("GOOGLETRANSLATE(B13392, ""fr"", ""en"")"),"Chinese manufacturing shoddy One of the slippers is significantly smaller !! The asymmetry is seen even before the donning of!")</f>
        <v>Chinese manufacturing shoddy One of the slippers is significantly smaller !! The asymmetry is seen even before the donning of!</v>
      </c>
    </row>
    <row r="13393">
      <c r="A13393" s="1">
        <v>3.0</v>
      </c>
      <c r="B13393" s="1" t="s">
        <v>13171</v>
      </c>
      <c r="C13393" t="str">
        <f>IFERROR(__xludf.DUMMYFUNCTION("GOOGLETRANSLATE(B13393, ""fr"", ""en"")"),"J satisfied love and light")</f>
        <v>J satisfied love and light</v>
      </c>
    </row>
    <row r="13394">
      <c r="A13394" s="1">
        <v>4.0</v>
      </c>
      <c r="B13394" s="1" t="s">
        <v>13172</v>
      </c>
      <c r="C13394" t="str">
        <f>IFERROR(__xludf.DUMMYFUNCTION("GOOGLETRANSLATE(B13394, ""fr"", ""en"")"),"Perfect ! The color is just beautiful, not too powder pink or beige too! Very stylish! Size a little big against by careful!")</f>
        <v>Perfect ! The color is just beautiful, not too powder pink or beige too! Very stylish! Size a little big against by careful!</v>
      </c>
    </row>
    <row r="13395">
      <c r="A13395" s="1">
        <v>4.0</v>
      </c>
      <c r="B13395" s="1" t="s">
        <v>13173</v>
      </c>
      <c r="C13395" t="str">
        <f>IFERROR(__xludf.DUMMYFUNCTION("GOOGLETRANSLATE(B13395, ""fr"", ""en"")"),"Essential, practical and comfortable style")</f>
        <v>Essential, practical and comfortable style</v>
      </c>
    </row>
    <row r="13396">
      <c r="A13396" s="1">
        <v>4.0</v>
      </c>
      <c r="B13396" s="1" t="s">
        <v>13174</v>
      </c>
      <c r="C13396" t="str">
        <f>IFERROR(__xludf.DUMMYFUNCTION("GOOGLETRANSLATE(B13396, ""fr"", ""en"")"),"perfect design and contemporary style, perfect; everything is perfect except the accumulation down chlorine. we must often clean but easy clean so no problem for me.")</f>
        <v>perfect design and contemporary style, perfect; everything is perfect except the accumulation down chlorine. we must often clean but easy clean so no problem for me.</v>
      </c>
    </row>
    <row r="13397">
      <c r="A13397" s="1">
        <v>4.0</v>
      </c>
      <c r="B13397" s="1" t="s">
        <v>13175</v>
      </c>
      <c r="C13397" t="str">
        <f>IFERROR(__xludf.DUMMYFUNCTION("GOOGLETRANSLATE(B13397, ""fr"", ""en"")"),"Almost perfect, but perfectly suited This windbreak is perfectly suited to VideMic GO. This is not a simple sock. It is a foam surrounded the necessary hair to break wind. It comes instead of foam RODE signed. She fairly well protects from wind but not en"&amp;"ough for my taste especially for a product RODE siglé. However, it leaves very circulate its neighboring without choking. I recommend to the video Amateur outdoors. Outdoor Vlogueurs &amp; amp; See budding, go your way if the quality of outdoor sound is uncom"&amp;"promising.")</f>
        <v>Almost perfect, but perfectly suited This windbreak is perfectly suited to VideMic GO. This is not a simple sock. It is a foam surrounded the necessary hair to break wind. It comes instead of foam RODE signed. She fairly well protects from wind but not enough for my taste especially for a product RODE siglé. However, it leaves very circulate its neighboring without choking. I recommend to the video Amateur outdoors. Outdoor Vlogueurs &amp; amp; See budding, go your way if the quality of outdoor sound is uncompromising.</v>
      </c>
    </row>
    <row r="13398">
      <c r="A13398" s="1">
        <v>4.0</v>
      </c>
      <c r="B13398" s="1" t="s">
        <v>13176</v>
      </c>
      <c r="C13398" t="str">
        <f>IFERROR(__xludf.DUMMYFUNCTION("GOOGLETRANSLATE(B13398, ""fr"", ""en"")"),"Sweat shirt Levis Levis impeccable sweatshirt with a nice price and good quality. True to the description. Received in a timely manner. It's just a great little all. size good")</f>
        <v>Sweat shirt Levis Levis impeccable sweatshirt with a nice price and good quality. True to the description. Received in a timely manner. It's just a great little all. size good</v>
      </c>
    </row>
    <row r="13399">
      <c r="A13399" s="1">
        <v>5.0</v>
      </c>
      <c r="B13399" s="1" t="s">
        <v>13177</v>
      </c>
      <c r="C13399" t="str">
        <f>IFERROR(__xludf.DUMMYFUNCTION("GOOGLETRANSLATE(B13399, ""fr"", ""en"")"),"Eval product corresponding to the description, fast delivery.")</f>
        <v>Eval product corresponding to the description, fast delivery.</v>
      </c>
    </row>
    <row r="13400">
      <c r="A13400" s="1">
        <v>5.0</v>
      </c>
      <c r="B13400" s="1" t="s">
        <v>13178</v>
      </c>
      <c r="C13400" t="str">
        <f>IFERROR(__xludf.DUMMYFUNCTION("GOOGLETRANSLATE(B13400, ""fr"", ""en"")"),"Teeshirt long sleeve Very nice little top to wear with anyone What take one size bigger for size cute little with shoulders exposed")</f>
        <v>Teeshirt long sleeve Very nice little top to wear with anyone What take one size bigger for size cute little with shoulders exposed</v>
      </c>
    </row>
    <row r="13401">
      <c r="A13401" s="1">
        <v>5.0</v>
      </c>
      <c r="B13401" s="1" t="s">
        <v>13179</v>
      </c>
      <c r="C13401" t="str">
        <f>IFERROR(__xludf.DUMMYFUNCTION("GOOGLETRANSLATE(B13401, ""fr"", ""en"")"),"Nothing to say Bag complies with the photo. It is very convenient. I was able to store and carry my iPad mini and other odds and ends. You can put up to something in this bag a small footprint. It's flattering and rather beautiful. It is beautiful, but th"&amp;"e leather zips is not of great quality. The location of credit card makes sense, but I have not really found a place dedicated to smartphone except next to credit cards. He has a very good price / quality and I recommend it for those who want to have stor"&amp;"age")</f>
        <v>Nothing to say Bag complies with the photo. It is very convenient. I was able to store and carry my iPad mini and other odds and ends. You can put up to something in this bag a small footprint. It's flattering and rather beautiful. It is beautiful, but the leather zips is not of great quality. The location of credit card makes sense, but I have not really found a place dedicated to smartphone except next to credit cards. He has a very good price / quality and I recommend it for those who want to have storage</v>
      </c>
    </row>
    <row r="13402">
      <c r="A13402" s="1">
        <v>5.0</v>
      </c>
      <c r="B13402" s="1" t="s">
        <v>13180</v>
      </c>
      <c r="C13402" t="str">
        <f>IFERROR(__xludf.DUMMYFUNCTION("GOOGLETRANSLATE(B13402, ""fr"", ""en"")"),"Pretty sexy beach sandals Sandals very nice and pretty! Good adherence to toe!")</f>
        <v>Pretty sexy beach sandals Sandals very nice and pretty! Good adherence to toe!</v>
      </c>
    </row>
    <row r="13403">
      <c r="A13403" s="1">
        <v>5.0</v>
      </c>
      <c r="B13403" s="1" t="s">
        <v>13181</v>
      </c>
      <c r="C13403" t="str">
        <f>IFERROR(__xludf.DUMMYFUNCTION("GOOGLETRANSLATE(B13403, ""fr"", ""en"")"),"Very fast delivery sastisfaite")</f>
        <v>Very fast delivery sastisfaite</v>
      </c>
    </row>
    <row r="13404">
      <c r="A13404" s="1">
        <v>5.0</v>
      </c>
      <c r="B13404" s="1" t="s">
        <v>13182</v>
      </c>
      <c r="C13404" t="str">
        <f>IFERROR(__xludf.DUMMYFUNCTION("GOOGLETRANSLATE(B13404, ""fr"", ""en"")"),"These high quality headphones do their job perfectly. They are very ergonomic. They take good ears. The sound quality is very satisfactory, they are simple to connect bluetooth and are compatible with all brands of phones.")</f>
        <v>These high quality headphones do their job perfectly. They are very ergonomic. They take good ears. The sound quality is very satisfactory, they are simple to connect bluetooth and are compatible with all brands of phones.</v>
      </c>
    </row>
    <row r="13405">
      <c r="A13405" s="1">
        <v>5.0</v>
      </c>
      <c r="B13405" s="1" t="s">
        <v>13183</v>
      </c>
      <c r="C13405" t="str">
        <f>IFERROR(__xludf.DUMMYFUNCTION("GOOGLETRANSLATE(B13405, ""fr"", ""en"")"),"Buy Auntie love to offer, far greater. so excited")</f>
        <v>Buy Auntie love to offer, far greater. so excited</v>
      </c>
    </row>
    <row r="13406">
      <c r="A13406" s="1">
        <v>5.0</v>
      </c>
      <c r="B13406" s="1" t="s">
        <v>13184</v>
      </c>
      <c r="C13406" t="str">
        <f>IFERROR(__xludf.DUMMYFUNCTION("GOOGLETRANSLATE(B13406, ""fr"", ""en"")"),"Casio G Shock to Pleasant wrist to wrist, easy to wear, very light. Perfect")</f>
        <v>Casio G Shock to Pleasant wrist to wrist, easy to wear, very light. Perfect</v>
      </c>
    </row>
    <row r="13407">
      <c r="A13407" s="1">
        <v>5.0</v>
      </c>
      <c r="B13407" s="1" t="s">
        <v>13185</v>
      </c>
      <c r="C13407" t="str">
        <f>IFERROR(__xludf.DUMMYFUNCTION("GOOGLETRANSLATE(B13407, ""fr"", ""en"")"),"Efficient, light Used for TV connects easily AUDIO USB output and the sound is crisp outlet pass connection can move through walls I recommend this super lightweight headset")</f>
        <v>Efficient, light Used for TV connects easily AUDIO USB output and the sound is crisp outlet pass connection can move through walls I recommend this super lightweight headset</v>
      </c>
    </row>
    <row r="13408">
      <c r="A13408" s="1">
        <v>5.0</v>
      </c>
      <c r="B13408" s="1" t="s">
        <v>13186</v>
      </c>
      <c r="C13408" t="str">
        <f>IFERROR(__xludf.DUMMYFUNCTION("GOOGLETRANSLATE(B13408, ""fr"", ""en"")"),"The fact of the rapidly receive For the holidays !!!")</f>
        <v>The fact of the rapidly receive For the holidays !!!</v>
      </c>
    </row>
    <row r="13409">
      <c r="A13409" s="1">
        <v>5.0</v>
      </c>
      <c r="B13409" s="1" t="s">
        <v>508</v>
      </c>
      <c r="C13409" t="str">
        <f>IFERROR(__xludf.DUMMYFUNCTION("GOOGLETRANSLATE(B13409, ""fr"", ""en"")"),"Very well very well")</f>
        <v>Very well very well</v>
      </c>
    </row>
    <row r="13410">
      <c r="A13410" s="1">
        <v>5.0</v>
      </c>
      <c r="B13410" s="1" t="s">
        <v>13187</v>
      </c>
      <c r="C13410" t="str">
        <f>IFERROR(__xludf.DUMMYFUNCTION("GOOGLETRANSLATE(B13410, ""fr"", ""en"")"),"Bluetooth headset 5.0 Deliver in a beautiful box class, with all these accessories and black pockets, it is a good Bluetooth headset, its really good quality and optimum comfort even after hours on .it ears well holds nothing loads has complaints.")</f>
        <v>Bluetooth headset 5.0 Deliver in a beautiful box class, with all these accessories and black pockets, it is a good Bluetooth headset, its really good quality and optimum comfort even after hours on .it ears well holds nothing loads has complaints.</v>
      </c>
    </row>
    <row r="13411">
      <c r="A13411" s="1">
        <v>5.0</v>
      </c>
      <c r="B13411" s="1" t="s">
        <v>13188</v>
      </c>
      <c r="C13411" t="str">
        <f>IFERROR(__xludf.DUMMYFUNCTION("GOOGLETRANSLATE(B13411, ""fr"", ""en"")"),"Impéccable This mattress is consistent with the description. Exactly who I needed")</f>
        <v>Impéccable This mattress is consistent with the description. Exactly who I needed</v>
      </c>
    </row>
    <row r="13412">
      <c r="A13412" s="1">
        <v>5.0</v>
      </c>
      <c r="B13412" s="1" t="s">
        <v>13189</v>
      </c>
      <c r="C13412" t="str">
        <f>IFERROR(__xludf.DUMMYFUNCTION("GOOGLETRANSLATE(B13412, ""fr"", ""en"")"),"Super fun! These shoes are very comfortable with their shape memory sole. They are women with their little sequins and super trendy in style. I just love it!")</f>
        <v>Super fun! These shoes are very comfortable with their shape memory sole. They are women with their little sequins and super trendy in style. I just love it!</v>
      </c>
    </row>
    <row r="13413">
      <c r="A13413" s="1">
        <v>5.0</v>
      </c>
      <c r="B13413" s="1" t="s">
        <v>13190</v>
      </c>
      <c r="C13413" t="str">
        <f>IFERROR(__xludf.DUMMYFUNCTION("GOOGLETRANSLATE(B13413, ""fr"", ""en"")"),"Quality product obviously happened in the time I received the product quickly and received the pants is good quality, comfortable to wear and good size. Thank you.")</f>
        <v>Quality product obviously happened in the time I received the product quickly and received the pants is good quality, comfortable to wear and good size. Thank you.</v>
      </c>
    </row>
    <row r="13414">
      <c r="A13414" s="1">
        <v>2.0</v>
      </c>
      <c r="B13414" s="1" t="s">
        <v>13191</v>
      </c>
      <c r="C13414" t="str">
        <f>IFERROR(__xludf.DUMMYFUNCTION("GOOGLETRANSLATE(B13414, ""fr"", ""en"")"),"Microphone does not work the first generation of User who released after 3 years for a connection problem set on the helmet, I let myself be tempted by the second generation that has a Jack in this location. However it turns out that a new defect is appea"&amp;"red, the microphone does not work. I will never buy a product BEYER because I think that as a user, one is entitled to expect better from an elite product made in Germany. Too bad because the sound these headphones provide just copy ...")</f>
        <v>Microphone does not work the first generation of User who released after 3 years for a connection problem set on the helmet, I let myself be tempted by the second generation that has a Jack in this location. However it turns out that a new defect is appeared, the microphone does not work. I will never buy a product BEYER because I think that as a user, one is entitled to expect better from an elite product made in Germany. Too bad because the sound these headphones provide just copy ...</v>
      </c>
    </row>
    <row r="13415">
      <c r="A13415" s="1">
        <v>1.0</v>
      </c>
      <c r="B13415" s="1" t="s">
        <v>13192</v>
      </c>
      <c r="C13415" t="str">
        <f>IFERROR(__xludf.DUMMYFUNCTION("GOOGLETRANSLATE(B13415, ""fr"", ""en"")"),"Hello malfunction of the product, defective product after a few uses of the I use 10 times. Then the product is s stop functioning. in view of the price I would not advise you to try to buy another brand, c is the scam 59 euros down the drain Regards")</f>
        <v>Hello malfunction of the product, defective product after a few uses of the I use 10 times. Then the product is s stop functioning. in view of the price I would not advise you to try to buy another brand, c is the scam 59 euros down the drain Regards</v>
      </c>
    </row>
    <row r="13416">
      <c r="A13416" s="1">
        <v>3.0</v>
      </c>
      <c r="B13416" s="1" t="s">
        <v>13193</v>
      </c>
      <c r="C13416" t="str">
        <f>IFERROR(__xludf.DUMMYFUNCTION("GOOGLETRANSLATE(B13416, ""fr"", ""en"")"),"Okay but. Very good .... but .... Very convenient as compact but does it square and not rounded at the separation and cover that it remains a Tjr meu powder box ds. Pity. Msbje recommend it as well because it is less bulky diaper bag ds.")</f>
        <v>Okay but. Very good .... but .... Very convenient as compact but does it square and not rounded at the separation and cover that it remains a Tjr meu powder box ds. Pity. Msbje recommend it as well because it is less bulky diaper bag ds.</v>
      </c>
    </row>
    <row r="13417">
      <c r="A13417" s="1">
        <v>3.0</v>
      </c>
      <c r="B13417" s="1" t="s">
        <v>13194</v>
      </c>
      <c r="C13417" t="str">
        <f>IFERROR(__xludf.DUMMYFUNCTION("GOOGLETRANSLATE(B13417, ""fr"", ""en"")"),"Not bad socks are soft and comfortable to wear. By cons I find that they '' shake '' not enough ankle. Maybe because I'm a girl?")</f>
        <v>Not bad socks are soft and comfortable to wear. By cons I find that they '' shake '' not enough ankle. Maybe because I'm a girl?</v>
      </c>
    </row>
    <row r="13418">
      <c r="A13418" s="1">
        <v>4.0</v>
      </c>
      <c r="B13418" s="1" t="s">
        <v>13195</v>
      </c>
      <c r="C13418" t="str">
        <f>IFERROR(__xludf.DUMMYFUNCTION("GOOGLETRANSLATE(B13418, ""fr"", ""en"")"),"Good product for the price and compared to many others this bag is of good quality and more aesthetic. I recommend")</f>
        <v>Good product for the price and compared to many others this bag is of good quality and more aesthetic. I recommend</v>
      </c>
    </row>
    <row r="13419">
      <c r="A13419" s="1">
        <v>4.0</v>
      </c>
      <c r="B13419" s="1" t="s">
        <v>13196</v>
      </c>
      <c r="C13419" t="str">
        <f>IFERROR(__xludf.DUMMYFUNCTION("GOOGLETRANSLATE(B13419, ""fr"", ""en"")"),"OK, thanks")</f>
        <v>OK, thanks</v>
      </c>
    </row>
    <row r="13420">
      <c r="A13420" s="1">
        <v>4.0</v>
      </c>
      <c r="B13420" s="1" t="s">
        <v>13197</v>
      </c>
      <c r="C13420" t="str">
        <f>IFERROR(__xludf.DUMMYFUNCTION("GOOGLETRANSLATE(B13420, ""fr"", ""en"")"),"Kettle Kettle Melitta modern design. Heats very quickly, is consistent with the description, good grip. Good product that I recommend.")</f>
        <v>Kettle Kettle Melitta modern design. Heats very quickly, is consistent with the description, good grip. Good product that I recommend.</v>
      </c>
    </row>
    <row r="13421">
      <c r="A13421" s="1">
        <v>4.0</v>
      </c>
      <c r="B13421" s="1" t="s">
        <v>13198</v>
      </c>
      <c r="C13421" t="str">
        <f>IFERROR(__xludf.DUMMYFUNCTION("GOOGLETRANSLATE(B13421, ""fr"", ""en"")"),"Very good products Nice surprise that this little projector, I do not know much about video projector. I crack on this model because of the attractive price. Easy to use. All connections are provided. I test my rasberry what a pleasure to be filled with m"&amp;"y play's shoot em up on the big screen. I use it with my ps4 for watching streaming videos and play. For now I use a white cloth screen. once the brightness configures the image is of good quality. A dark room is advised, however, my little lamp gene in a"&amp;"nything. The fan surprised me at first but the sound is launched we no longer hear. he came back less than a tv. Through the promotion. Its small size is significant. The lamp life of 55,000 hours promise is correct I think. This is what was holding me at"&amp;" first about buying a video projector and high price. A nice surprise I recommend it. It remains for me to invest in a screen. And it will be perfect. In terms of delivery, nothing to say 48 hours after received the order. Delivered by post nags who abuse"&amp;"s our packages. It's going that product packaging is well done.")</f>
        <v>Very good products Nice surprise that this little projector, I do not know much about video projector. I crack on this model because of the attractive price. Easy to use. All connections are provided. I test my rasberry what a pleasure to be filled with my play's shoot em up on the big screen. I use it with my ps4 for watching streaming videos and play. For now I use a white cloth screen. once the brightness configures the image is of good quality. A dark room is advised, however, my little lamp gene in anything. The fan surprised me at first but the sound is launched we no longer hear. he came back less than a tv. Through the promotion. Its small size is significant. The lamp life of 55,000 hours promise is correct I think. This is what was holding me at first about buying a video projector and high price. A nice surprise I recommend it. It remains for me to invest in a screen. And it will be perfect. In terms of delivery, nothing to say 48 hours after received the order. Delivered by post nags who abuses our packages. It's going that product packaging is well done.</v>
      </c>
    </row>
    <row r="13422">
      <c r="A13422" s="1">
        <v>5.0</v>
      </c>
      <c r="B13422" s="1" t="s">
        <v>13199</v>
      </c>
      <c r="C13422" t="str">
        <f>IFERROR(__xludf.DUMMYFUNCTION("GOOGLETRANSLATE(B13422, ""fr"", ""en"")"),"It's beautiful Thank you")</f>
        <v>It's beautiful Thank you</v>
      </c>
    </row>
    <row r="13423">
      <c r="A13423" s="1">
        <v>5.0</v>
      </c>
      <c r="B13423" s="1" t="s">
        <v>13200</v>
      </c>
      <c r="C13423" t="str">
        <f>IFERROR(__xludf.DUMMYFUNCTION("GOOGLETRANSLATE(B13423, ""fr"", ""en"")"),"It changes soft rubber hot water bottles. With its pull it gives him a warm look and then folds to touch changes everything. In boarding school, impossible to heat its modern water bottles. Here is one that allows me to cocoon myself ...")</f>
        <v>It changes soft rubber hot water bottles. With its pull it gives him a warm look and then folds to touch changes everything. In boarding school, impossible to heat its modern water bottles. Here is one that allows me to cocoon myself ...</v>
      </c>
    </row>
    <row r="13424">
      <c r="A13424" s="1">
        <v>5.0</v>
      </c>
      <c r="B13424" s="1" t="s">
        <v>13201</v>
      </c>
      <c r="C13424" t="str">
        <f>IFERROR(__xludf.DUMMYFUNCTION("GOOGLETRANSLATE(B13424, ""fr"", ""en"")"),"very good product that suits my expectations very good product thank you recommended for speed. is well suited to what I expected")</f>
        <v>very good product that suits my expectations very good product thank you recommended for speed. is well suited to what I expected</v>
      </c>
    </row>
    <row r="13425">
      <c r="A13425" s="1">
        <v>5.0</v>
      </c>
      <c r="B13425" s="1" t="s">
        <v>13202</v>
      </c>
      <c r="C13425" t="str">
        <f>IFERROR(__xludf.DUMMYFUNCTION("GOOGLETRANSLATE(B13425, ""fr"", ""en"")"),"At the top on top this microphone works really well")</f>
        <v>At the top on top this microphone works really well</v>
      </c>
    </row>
    <row r="13426">
      <c r="A13426" s="1">
        <v>5.0</v>
      </c>
      <c r="B13426" s="1" t="s">
        <v>13203</v>
      </c>
      <c r="C13426" t="str">
        <f>IFERROR(__xludf.DUMMYFUNCTION("GOOGLETRANSLATE(B13426, ""fr"", ""en"")"),"Not bad pair of light sneakers and nice design, I chose black, make it good. Very comfortable (as in slippers). To see in the duration")</f>
        <v>Not bad pair of light sneakers and nice design, I chose black, make it good. Very comfortable (as in slippers). To see in the duration</v>
      </c>
    </row>
    <row r="13427">
      <c r="A13427" s="1">
        <v>5.0</v>
      </c>
      <c r="B13427" s="1" t="s">
        <v>13204</v>
      </c>
      <c r="C13427" t="str">
        <f>IFERROR(__xludf.DUMMYFUNCTION("GOOGLETRANSLATE(B13427, ""fr"", ""en"")"),"Very useful for cleaning baby bottles! Trying is believing!")</f>
        <v>Very useful for cleaning baby bottles! Trying is believing!</v>
      </c>
    </row>
    <row r="13428">
      <c r="A13428" s="1">
        <v>5.0</v>
      </c>
      <c r="B13428" s="1" t="s">
        <v>13205</v>
      </c>
      <c r="C13428" t="str">
        <f>IFERROR(__xludf.DUMMYFUNCTION("GOOGLETRANSLATE(B13428, ""fr"", ""en"")"),"My kids loved the I took to my children 4 and 5 years they loved it, they were all later models. The engagement of the felt is a little hard at first but they understand quickly and fond")</f>
        <v>My kids loved the I took to my children 4 and 5 years they loved it, they were all later models. The engagement of the felt is a little hard at first but they understand quickly and fond</v>
      </c>
    </row>
    <row r="13429">
      <c r="A13429" s="1">
        <v>5.0</v>
      </c>
      <c r="B13429" s="1" t="s">
        <v>13206</v>
      </c>
      <c r="C13429" t="str">
        <f>IFERROR(__xludf.DUMMYFUNCTION("GOOGLETRANSLATE(B13429, ""fr"", ""en"")"),"Beautiful bag It has several pockets and is of fine quality. My companion is very happy. Sending fast.")</f>
        <v>Beautiful bag It has several pockets and is of fine quality. My companion is very happy. Sending fast.</v>
      </c>
    </row>
    <row r="13430">
      <c r="A13430" s="1">
        <v>5.0</v>
      </c>
      <c r="B13430" s="1" t="s">
        <v>13207</v>
      </c>
      <c r="C13430" t="str">
        <f>IFERROR(__xludf.DUMMYFUNCTION("GOOGLETRANSLATE(B13430, ""fr"", ""en"")"),"Very satisfied Very comfortable and aesthetic, I am very satisfied with my purchase")</f>
        <v>Very satisfied Very comfortable and aesthetic, I am very satisfied with my purchase</v>
      </c>
    </row>
    <row r="13431">
      <c r="A13431" s="1">
        <v>5.0</v>
      </c>
      <c r="B13431" s="1" t="s">
        <v>13208</v>
      </c>
      <c r="C13431" t="str">
        <f>IFERROR(__xludf.DUMMYFUNCTION("GOOGLETRANSLATE(B13431, ""fr"", ""en"")"),"Ideal our expectations Fast delivery comfortable I feel safe while remaining classified with these backet")</f>
        <v>Ideal our expectations Fast delivery comfortable I feel safe while remaining classified with these backet</v>
      </c>
    </row>
    <row r="13432">
      <c r="A13432" s="1">
        <v>5.0</v>
      </c>
      <c r="B13432" s="1" t="s">
        <v>13209</v>
      </c>
      <c r="C13432" t="str">
        <f>IFERROR(__xludf.DUMMYFUNCTION("GOOGLETRANSLATE(B13432, ""fr"", ""en"")"),"Very good with a small very good produced with a smaller footprint for those who do not have too much space. Suitable for two to see three bottles but no more. Used with the flower of the same brand https://www.amazon.fr/dp/B005PRQC3C/")</f>
        <v>Very good with a small very good produced with a smaller footprint for those who do not have too much space. Suitable for two to see three bottles but no more. Used with the flower of the same brand https://www.amazon.fr/dp/B005PRQC3C/</v>
      </c>
    </row>
    <row r="13433">
      <c r="A13433" s="1">
        <v>5.0</v>
      </c>
      <c r="B13433" s="1" t="s">
        <v>13210</v>
      </c>
      <c r="C13433" t="str">
        <f>IFERROR(__xludf.DUMMYFUNCTION("GOOGLETRANSLATE(B13433, ""fr"", ""en"")"),"WELL My son is very happy")</f>
        <v>WELL My son is very happy</v>
      </c>
    </row>
    <row r="13434">
      <c r="A13434" s="1">
        <v>5.0</v>
      </c>
      <c r="B13434" s="1" t="s">
        <v>13211</v>
      </c>
      <c r="C13434" t="str">
        <f>IFERROR(__xludf.DUMMYFUNCTION("GOOGLETRANSLATE(B13434, ""fr"", ""en"")"),"If perfect necklace Ambres corresponds to the description, little on the pass I do not know if it really works for the first time used but in any case since it's around once she crying for his teeth. Very good product. I recommend")</f>
        <v>If perfect necklace Ambres corresponds to the description, little on the pass I do not know if it really works for the first time used but in any case since it's around once she crying for his teeth. Very good product. I recommend</v>
      </c>
    </row>
    <row r="13435">
      <c r="A13435" s="1">
        <v>5.0</v>
      </c>
      <c r="B13435" s="1" t="s">
        <v>13212</v>
      </c>
      <c r="C13435" t="str">
        <f>IFERROR(__xludf.DUMMYFUNCTION("GOOGLETRANSLATE(B13435, ""fr"", ""en"")"),"High quality Never disappointed with Tommee Tippee. Brush of high quality. It has a part to clean the teats. I recommend")</f>
        <v>High quality Never disappointed with Tommee Tippee. Brush of high quality. It has a part to clean the teats. I recommend</v>
      </c>
    </row>
    <row r="13436">
      <c r="A13436" s="1">
        <v>5.0</v>
      </c>
      <c r="B13436" s="1" t="s">
        <v>13213</v>
      </c>
      <c r="C13436" t="str">
        <f>IFERROR(__xludf.DUMMYFUNCTION("GOOGLETRANSLATE(B13436, ""fr"", ""en"")"),"beautiful watch the watch is good and matches the description, fast reception")</f>
        <v>beautiful watch the watch is good and matches the description, fast reception</v>
      </c>
    </row>
    <row r="13437">
      <c r="A13437" s="1">
        <v>2.0</v>
      </c>
      <c r="B13437" s="1" t="s">
        <v>13214</v>
      </c>
      <c r="C13437" t="str">
        <f>IFERROR(__xludf.DUMMYFUNCTION("GOOGLETRANSLATE(B13437, ""fr"", ""en"")"),"Disappointed because inadequate form has no form, I had the impression of having a hard strip the chest.")</f>
        <v>Disappointed because inadequate form has no form, I had the impression of having a hard strip the chest.</v>
      </c>
    </row>
    <row r="13438">
      <c r="A13438" s="1">
        <v>1.0</v>
      </c>
      <c r="B13438" s="1" t="s">
        <v>13215</v>
      </c>
      <c r="C13438" t="str">
        <f>IFERROR(__xludf.DUMMYFUNCTION("GOOGLETRANSLATE(B13438, ""fr"", ""en"")"),"This is a counterfeit! For the 1st time I have not bought my Eastpak on the official website because it was much cheaper here and unfortunately it is a very beautiful infringement .... I only saw fire until 2 straps of the bag break !!!! In less than a ye"&amp;"ar Eastpak it's just impossible. My nephew was in college and still has the same now that he's in college !!!! I contacted the seller to inform him of the problem but obviously no answer ....")</f>
        <v>This is a counterfeit! For the 1st time I have not bought my Eastpak on the official website because it was much cheaper here and unfortunately it is a very beautiful infringement .... I only saw fire until 2 straps of the bag break !!!! In less than a year Eastpak it's just impossible. My nephew was in college and still has the same now that he's in college !!!! I contacted the seller to inform him of the problem but obviously no answer ....</v>
      </c>
    </row>
    <row r="13439">
      <c r="A13439" s="1">
        <v>1.0</v>
      </c>
      <c r="B13439" s="1" t="s">
        <v>13216</v>
      </c>
      <c r="C13439" t="str">
        <f>IFERROR(__xludf.DUMMYFUNCTION("GOOGLETRANSLATE(B13439, ""fr"", ""en"")"),"Watch does not work. Bought for a gift, the watch does not work ... The mechanism works but the hands do not move. Amazon had to send me another .. After 2 weeks of expectations they will refund me for the watch would be lost on the way ... Super.")</f>
        <v>Watch does not work. Bought for a gift, the watch does not work ... The mechanism works but the hands do not move. Amazon had to send me another .. After 2 weeks of expectations they will refund me for the watch would be lost on the way ... Super.</v>
      </c>
    </row>
    <row r="13440">
      <c r="A13440" s="1">
        <v>3.0</v>
      </c>
      <c r="B13440" s="1" t="s">
        <v>13217</v>
      </c>
      <c r="C13440" t="str">
        <f>IFERROR(__xludf.DUMMYFUNCTION("GOOGLETRANSLATE(B13440, ""fr"", ""en"")"),"Always complicated to find the right size in this brand that passes European standards with those of other countries without too much detail. But in terms of quality and comfort it is clear that there was no hesitation. We are all with the family and we l"&amp;"ove it.")</f>
        <v>Always complicated to find the right size in this brand that passes European standards with those of other countries without too much detail. But in terms of quality and comfort it is clear that there was no hesitation. We are all with the family and we love it.</v>
      </c>
    </row>
    <row r="13441">
      <c r="A13441" s="1">
        <v>3.0</v>
      </c>
      <c r="B13441" s="1" t="s">
        <v>13218</v>
      </c>
      <c r="C13441" t="str">
        <f>IFERROR(__xludf.DUMMYFUNCTION("GOOGLETRANSLATE(B13441, ""fr"", ""en"")"),"Too small The watch face is too small for my wrist, this watch is more suitable for teens or children.")</f>
        <v>Too small The watch face is too small for my wrist, this watch is more suitable for teens or children.</v>
      </c>
    </row>
    <row r="13442">
      <c r="A13442" s="1">
        <v>4.0</v>
      </c>
      <c r="B13442" s="1" t="s">
        <v>13219</v>
      </c>
      <c r="C13442" t="str">
        <f>IFERROR(__xludf.DUMMYFUNCTION("GOOGLETRANSLATE(B13442, ""fr"", ""en"")"),"It will heat Always happy with this brand and its quality. The previous model used finally broke down after a few less, but only one side. But he was filled with options. So I came back to a more basic model but retains the option of separating the sides "&amp;"at temperature levels and it still works perfectly after several years.")</f>
        <v>It will heat Always happy with this brand and its quality. The previous model used finally broke down after a few less, but only one side. But he was filled with options. So I came back to a more basic model but retains the option of separating the sides at temperature levels and it still works perfectly after several years.</v>
      </c>
    </row>
    <row r="13443">
      <c r="A13443" s="1">
        <v>4.0</v>
      </c>
      <c r="B13443" s="1" t="s">
        <v>13220</v>
      </c>
      <c r="C13443" t="str">
        <f>IFERROR(__xludf.DUMMYFUNCTION("GOOGLETRANSLATE(B13443, ""fr"", ""en"")"),"All work satisfactory purchase options, the radio control for calibration of the atomic clock is not working. The nearest antenna is located in Germany. So where this option does not work or the French brand scam. Overall, this is a very good product for "&amp;"dynamic and active people.")</f>
        <v>All work satisfactory purchase options, the radio control for calibration of the atomic clock is not working. The nearest antenna is located in Germany. So where this option does not work or the French brand scam. Overall, this is a very good product for dynamic and active people.</v>
      </c>
    </row>
    <row r="13444">
      <c r="A13444" s="1">
        <v>4.0</v>
      </c>
      <c r="B13444" s="1" t="s">
        <v>13221</v>
      </c>
      <c r="C13444" t="str">
        <f>IFERROR(__xludf.DUMMYFUNCTION("GOOGLETRANSLATE(B13444, ""fr"", ""en"")"),"Hooded Sweatshirt good quality good quality, rather hot but that can carve a great for the end of you. I, who between size S and M, it suits me perfectly.")</f>
        <v>Hooded Sweatshirt good quality good quality, rather hot but that can carve a great for the end of you. I, who between size S and M, it suits me perfectly.</v>
      </c>
    </row>
    <row r="13445">
      <c r="A13445" s="1">
        <v>4.0</v>
      </c>
      <c r="B13445" s="1" t="s">
        <v>13222</v>
      </c>
      <c r="C13445" t="str">
        <f>IFERROR(__xludf.DUMMYFUNCTION("GOOGLETRANSLATE(B13445, ""fr"", ""en"")"),"Purchase helpful and quickly pay linen soft spring of the machine, it is soft and easier to iron. I recommend this very small investment")</f>
        <v>Purchase helpful and quickly pay linen soft spring of the machine, it is soft and easier to iron. I recommend this very small investment</v>
      </c>
    </row>
    <row r="13446">
      <c r="A13446" s="1">
        <v>5.0</v>
      </c>
      <c r="B13446" s="1" t="s">
        <v>13223</v>
      </c>
      <c r="C13446" t="str">
        <f>IFERROR(__xludf.DUMMYFUNCTION("GOOGLETRANSLATE(B13446, ""fr"", ""en"")"),"Top Pleased with my purchase")</f>
        <v>Top Pleased with my purchase</v>
      </c>
    </row>
    <row r="13447">
      <c r="A13447" s="1">
        <v>5.0</v>
      </c>
      <c r="B13447" s="1" t="s">
        <v>13224</v>
      </c>
      <c r="C13447" t="str">
        <f>IFERROR(__xludf.DUMMYFUNCTION("GOOGLETRANSLATE(B13447, ""fr"", ""en"")"),"soda crystals very good product")</f>
        <v>soda crystals very good product</v>
      </c>
    </row>
    <row r="13448">
      <c r="A13448" s="1">
        <v>5.0</v>
      </c>
      <c r="B13448" s="1" t="s">
        <v>13225</v>
      </c>
      <c r="C13448" t="str">
        <f>IFERROR(__xludf.DUMMYFUNCTION("GOOGLETRANSLATE(B13448, ""fr"", ""en"")"),"PERFECT ! Essential oil diffuser, a brave, long service life and very pleasant with the changing colors. modern form, fits perfectly into any interior. I'm satisfied.")</f>
        <v>PERFECT ! Essential oil diffuser, a brave, long service life and very pleasant with the changing colors. modern form, fits perfectly into any interior. I'm satisfied.</v>
      </c>
    </row>
    <row r="13449">
      <c r="A13449" s="1">
        <v>5.0</v>
      </c>
      <c r="B13449" s="1" t="s">
        <v>13226</v>
      </c>
      <c r="C13449" t="str">
        <f>IFERROR(__xludf.DUMMYFUNCTION("GOOGLETRANSLATE(B13449, ""fr"", ""en"")"),"Good value Very good value Very good directional sound reproduction, heavy and powerful Feel free Not for this purchase, no need phantom power product")</f>
        <v>Good value Very good value Very good directional sound reproduction, heavy and powerful Feel free Not for this purchase, no need phantom power product</v>
      </c>
    </row>
    <row r="13450">
      <c r="A13450" s="1">
        <v>5.0</v>
      </c>
      <c r="B13450" s="1" t="s">
        <v>13227</v>
      </c>
      <c r="C13450" t="str">
        <f>IFERROR(__xludf.DUMMYFUNCTION("GOOGLETRANSLATE(B13450, ""fr"", ""en"")"),"Quality Professional Use")</f>
        <v>Quality Professional Use</v>
      </c>
    </row>
    <row r="13451">
      <c r="A13451" s="1">
        <v>5.0</v>
      </c>
      <c r="B13451" s="1" t="s">
        <v>13228</v>
      </c>
      <c r="C13451" t="str">
        <f>IFERROR(__xludf.DUMMYFUNCTION("GOOGLETRANSLATE(B13451, ""fr"", ""en"")"),"the shape of the cutting staff")</f>
        <v>the shape of the cutting staff</v>
      </c>
    </row>
    <row r="13452">
      <c r="A13452" s="1">
        <v>5.0</v>
      </c>
      <c r="B13452" s="1" t="s">
        <v>13229</v>
      </c>
      <c r="C13452" t="str">
        <f>IFERROR(__xludf.DUMMYFUNCTION("GOOGLETRANSLATE(B13452, ""fr"", ""en"")"),"Sensational Practical and did an excellent tea. I recommend")</f>
        <v>Sensational Practical and did an excellent tea. I recommend</v>
      </c>
    </row>
    <row r="13453">
      <c r="A13453" s="1">
        <v>5.0</v>
      </c>
      <c r="B13453" s="1" t="s">
        <v>13230</v>
      </c>
      <c r="C13453" t="str">
        <f>IFERROR(__xludf.DUMMYFUNCTION("GOOGLETRANSLATE(B13453, ""fr"", ""en"")"),"Good quality and very useful I bought 2 lots. They are of excellent quality and can be used for many purposes. Personally I used to sort me a little while: - Electronic Components - Drugs for travel - Seeds for the garden - Hardware - Batteries - ... And "&amp;"it saves space by turning the useless boxes, sometimes half empty. With a small sticker to indicate the references of what is in it, it is super convenient! I can only recommend.")</f>
        <v>Good quality and very useful I bought 2 lots. They are of excellent quality and can be used for many purposes. Personally I used to sort me a little while: - Electronic Components - Drugs for travel - Seeds for the garden - Hardware - Batteries - ... And it saves space by turning the useless boxes, sometimes half empty. With a small sticker to indicate the references of what is in it, it is super convenient! I can only recommend.</v>
      </c>
    </row>
    <row r="13454">
      <c r="A13454" s="1">
        <v>5.0</v>
      </c>
      <c r="B13454" s="1" t="s">
        <v>13231</v>
      </c>
      <c r="C13454" t="str">
        <f>IFERROR(__xludf.DUMMYFUNCTION("GOOGLETRANSLATE(B13454, ""fr"", ""en"")"),"The effective and multifunctional product perfectly meets my expectations. It is ""multifunctional"": vacuum jars carrying marinades express, vacuum bag or precut creating bags to the desired size from a roll ... Everything is possible. The delivered pack"&amp;"age is complete: in addition to the device, pre-cut bags, a roll, a jar ... The bags are strong and reusable. Storage is easy by keeping it upright. The packaging is solid and has not been damaged during delivery. The delivery date has been perfectly resp"&amp;"ected. Really nothing to say ...")</f>
        <v>The effective and multifunctional product perfectly meets my expectations. It is "multifunctional": vacuum jars carrying marinades express, vacuum bag or precut creating bags to the desired size from a roll ... Everything is possible. The delivered package is complete: in addition to the device, pre-cut bags, a roll, a jar ... The bags are strong and reusable. Storage is easy by keeping it upright. The packaging is solid and has not been damaged during delivery. The delivery date has been perfectly respected. Really nothing to say ...</v>
      </c>
    </row>
    <row r="13455">
      <c r="A13455" s="1">
        <v>5.0</v>
      </c>
      <c r="B13455" s="1" t="s">
        <v>838</v>
      </c>
      <c r="C13455" t="str">
        <f>IFERROR(__xludf.DUMMYFUNCTION("GOOGLETRANSLATE(B13455, ""fr"", ""en"")"),"candy")</f>
        <v>candy</v>
      </c>
    </row>
    <row r="13456">
      <c r="A13456" s="1">
        <v>5.0</v>
      </c>
      <c r="B13456" s="1" t="s">
        <v>13232</v>
      </c>
      <c r="C13456" t="str">
        <f>IFERROR(__xludf.DUMMYFUNCTION("GOOGLETRANSLATE(B13456, ""fr"", ""en"")"),"Excellent It never leaves me, I have a rheumatic disease and I'm always on my hot water bottle on the couch in the bed, 3 levels of heating and sends I never puts 3 to 1 generally see 2 but it really heats although he died only after an hour and if I reme"&amp;"mber right, it's been several months since I use for hours every day flush it still works as well and my material and very nice, I can only recommend + ++")</f>
        <v>Excellent It never leaves me, I have a rheumatic disease and I'm always on my hot water bottle on the couch in the bed, 3 levels of heating and sends I never puts 3 to 1 generally see 2 but it really heats although he died only after an hour and if I remember right, it's been several months since I use for hours every day flush it still works as well and my material and very nice, I can only recommend + ++</v>
      </c>
    </row>
    <row r="13457">
      <c r="A13457" s="1">
        <v>5.0</v>
      </c>
      <c r="B13457" s="1" t="s">
        <v>13233</v>
      </c>
      <c r="C13457" t="str">
        <f>IFERROR(__xludf.DUMMYFUNCTION("GOOGLETRANSLATE(B13457, ""fr"", ""en"")"),"This great sweatshirt is really nice, it is lightweight and provides cozy comfort. The finishes are not exceptional, but this sweater has the merit to exist! I recommend it for a walk, to be at home, to feel good in the evening but it is not very hot so i"&amp;"t's not a sweater that can be worn without a jacket if it's very cold . For me it is an interior sweater that I love. I'll order it in other colors but also in size up to perfect the casual side it offers. I'm glad this purchase and for the price, nothing"&amp;" to say.")</f>
        <v>This great sweatshirt is really nice, it is lightweight and provides cozy comfort. The finishes are not exceptional, but this sweater has the merit to exist! I recommend it for a walk, to be at home, to feel good in the evening but it is not very hot so it's not a sweater that can be worn without a jacket if it's very cold . For me it is an interior sweater that I love. I'll order it in other colors but also in size up to perfect the casual side it offers. I'm glad this purchase and for the price, nothing to say.</v>
      </c>
    </row>
    <row r="13458">
      <c r="A13458" s="1">
        <v>5.0</v>
      </c>
      <c r="B13458" s="1" t="s">
        <v>13234</v>
      </c>
      <c r="C13458" t="str">
        <f>IFERROR(__xludf.DUMMYFUNCTION("GOOGLETRANSLATE(B13458, ""fr"", ""en"")"),"Of geox ... Everything is said in the title. Comfortable shoes. Perfect size (fits your usual size). perfect Finish")</f>
        <v>Of geox ... Everything is said in the title. Comfortable shoes. Perfect size (fits your usual size). perfect Finish</v>
      </c>
    </row>
    <row r="13459">
      <c r="A13459" s="1">
        <v>5.0</v>
      </c>
      <c r="B13459" s="1" t="s">
        <v>13235</v>
      </c>
      <c r="C13459" t="str">
        <f>IFERROR(__xludf.DUMMYFUNCTION("GOOGLETRANSLATE(B13459, ""fr"", ""en"")"),"ras tb")</f>
        <v>ras tb</v>
      </c>
    </row>
    <row r="13460">
      <c r="A13460" s="1">
        <v>5.0</v>
      </c>
      <c r="B13460" s="1" t="s">
        <v>13236</v>
      </c>
      <c r="C13460" t="str">
        <f>IFERROR(__xludf.DUMMYFUNCTION("GOOGLETRANSLATE(B13460, ""fr"", ""en"")"),"Good product good value for money. Purchase made to disguise but that easily recovers. It keeps you warm and comfortable.")</f>
        <v>Good product good value for money. Purchase made to disguise but that easily recovers. It keeps you warm and comfortable.</v>
      </c>
    </row>
    <row r="13461">
      <c r="A13461" s="1">
        <v>5.0</v>
      </c>
      <c r="B13461" s="1" t="s">
        <v>13237</v>
      </c>
      <c r="C13461" t="str">
        <f>IFERROR(__xludf.DUMMYFUNCTION("GOOGLETRANSLATE(B13461, ""fr"", ""en"")"),"Basketball wearable lightweight, breathable. Comfortable to wear. Amortized airbag system much impact.")</f>
        <v>Basketball wearable lightweight, breathable. Comfortable to wear. Amortized airbag system much impact.</v>
      </c>
    </row>
    <row r="13462">
      <c r="A13462" s="1">
        <v>2.0</v>
      </c>
      <c r="B13462" s="1" t="s">
        <v>13238</v>
      </c>
      <c r="C13462" t="str">
        <f>IFERROR(__xludf.DUMMYFUNCTION("GOOGLETRANSLATE(B13462, ""fr"", ""en"")"),"poor mechanical quality if the audio aspect is correct louse Price, mechanical quality is poor, while being careful, I am in my third pair hs in 6 months, this time it's the black plastic base that broken (containing the earpiece strictly speaking) that I"&amp;" bought this product is for loss, I have lost a pair of headphones to 200 € notes that équivant to 8 pairs of these headphones here")</f>
        <v>poor mechanical quality if the audio aspect is correct louse Price, mechanical quality is poor, while being careful, I am in my third pair hs in 6 months, this time it's the black plastic base that broken (containing the earpiece strictly speaking) that I bought this product is for loss, I have lost a pair of headphones to 200 € notes that équivant to 8 pairs of these headphones here</v>
      </c>
    </row>
    <row r="13463">
      <c r="A13463" s="1">
        <v>1.0</v>
      </c>
      <c r="B13463" s="1" t="s">
        <v>13239</v>
      </c>
      <c r="C13463" t="str">
        <f>IFERROR(__xludf.DUMMYFUNCTION("GOOGLETRANSLATE(B13463, ""fr"", ""en"")"),"Beaucou too big you remember when you were teenagers and you had socks formless and too big? I might be able to make mittens ...")</f>
        <v>Beaucou too big you remember when you were teenagers and you had socks formless and too big? I might be able to make mittens ...</v>
      </c>
    </row>
    <row r="13464">
      <c r="A13464" s="1">
        <v>1.0</v>
      </c>
      <c r="B13464" s="1" t="s">
        <v>13240</v>
      </c>
      <c r="C13464" t="str">
        <f>IFERROR(__xludf.DUMMYFUNCTION("GOOGLETRANSLATE(B13464, ""fr"", ""en"")"),"imperfect size 36 too big it looks like 40")</f>
        <v>imperfect size 36 too big it looks like 40</v>
      </c>
    </row>
    <row r="13465">
      <c r="A13465" s="1">
        <v>3.0</v>
      </c>
      <c r="B13465" s="1" t="s">
        <v>13241</v>
      </c>
      <c r="C13465" t="str">
        <f>IFERROR(__xludf.DUMMYFUNCTION("GOOGLETRANSLATE(B13465, ""fr"", ""en"")"),"Notice jacket jacket size Pretty good but after a passing machine jacket made pilling and damage the sleeves are not dubbed as the rest.")</f>
        <v>Notice jacket jacket size Pretty good but after a passing machine jacket made pilling and damage the sleeves are not dubbed as the rest.</v>
      </c>
    </row>
    <row r="13466">
      <c r="A13466" s="1">
        <v>3.0</v>
      </c>
      <c r="B13466" s="1" t="s">
        <v>13242</v>
      </c>
      <c r="C13466" t="str">
        <f>IFERROR(__xludf.DUMMYFUNCTION("GOOGLETRANSLATE(B13466, ""fr"", ""en"")"),"Disappointed Very nice design but the bracelet scratches easily ...")</f>
        <v>Disappointed Very nice design but the bracelet scratches easily ...</v>
      </c>
    </row>
    <row r="13467">
      <c r="A13467" s="1">
        <v>4.0</v>
      </c>
      <c r="B13467" s="1" t="s">
        <v>13243</v>
      </c>
      <c r="C13467" t="str">
        <f>IFERROR(__xludf.DUMMYFUNCTION("GOOGLETRANSLATE(B13467, ""fr"", ""en"")"),"Good quality I bought this cable to connect my mixer in my pregnant. I am very happy, quality cable")</f>
        <v>Good quality I bought this cable to connect my mixer in my pregnant. I am very happy, quality cable</v>
      </c>
    </row>
    <row r="13468">
      <c r="A13468" s="1">
        <v>4.0</v>
      </c>
      <c r="B13468" s="1" t="s">
        <v>13244</v>
      </c>
      <c r="C13468" t="str">
        <f>IFERROR(__xludf.DUMMYFUNCTION("GOOGLETRANSLATE(B13468, ""fr"", ""en"")"),"UTILITY RAS")</f>
        <v>UTILITY RAS</v>
      </c>
    </row>
    <row r="13469">
      <c r="A13469" s="1">
        <v>4.0</v>
      </c>
      <c r="B13469" s="1" t="s">
        <v>13245</v>
      </c>
      <c r="C13469" t="str">
        <f>IFERROR(__xludf.DUMMYFUNCTION("GOOGLETRANSLATE(B13469, ""fr"", ""en"")"),"shoe of very good quality and very comfortable Nice finish")</f>
        <v>shoe of very good quality and very comfortable Nice finish</v>
      </c>
    </row>
    <row r="13470">
      <c r="A13470" s="1">
        <v>4.0</v>
      </c>
      <c r="B13470" s="1" t="s">
        <v>13246</v>
      </c>
      <c r="C13470" t="str">
        <f>IFERROR(__xludf.DUMMYFUNCTION("GOOGLETRANSLATE(B13470, ""fr"", ""en"")"),"Product compliant product conforms to what I wanted. A little tight but relax easily. The box is different from another pair of Converse that I what was disturbing at the reception (white writing instead of beige).")</f>
        <v>Product compliant product conforms to what I wanted. A little tight but relax easily. The box is different from another pair of Converse that I what was disturbing at the reception (white writing instead of beige).</v>
      </c>
    </row>
    <row r="13471">
      <c r="A13471" s="1">
        <v>5.0</v>
      </c>
      <c r="B13471" s="1" t="s">
        <v>13247</v>
      </c>
      <c r="C13471" t="str">
        <f>IFERROR(__xludf.DUMMYFUNCTION("GOOGLETRANSLATE(B13471, ""fr"", ""en"")"),"cool cool")</f>
        <v>cool cool</v>
      </c>
    </row>
    <row r="13472">
      <c r="A13472" s="1">
        <v>5.0</v>
      </c>
      <c r="B13472" s="1" t="s">
        <v>13248</v>
      </c>
      <c r="C13472" t="str">
        <f>IFERROR(__xludf.DUMMYFUNCTION("GOOGLETRANSLATE(B13472, ""fr"", ""en"")"),"A marvel For 50 euros this waterproof watch 100m is an astonishing perfection. A strong case and mineral glass of high quality. Amazing functions in addition to those databases date time, multi lap, timer, 1 other time zones, 5 alarms, schedule (planning)"&amp;" 30 programmable alarms in the year with messages, but also the ability to set the color of lighting (red or blue) the density contrast display, programming the eco function (battery), 3 sound alarms choice ... everything is clear, intuitive and easy to r"&amp;"ead (display size characters). The bracelet 'soft touch' is good, but personally I preferred it is my bracelet nato for security (I motorcyclist) and losing to a bar, which loosely bored, I would add to it a 36mm screen protection.")</f>
        <v>A marvel For 50 euros this waterproof watch 100m is an astonishing perfection. A strong case and mineral glass of high quality. Amazing functions in addition to those databases date time, multi lap, timer, 1 other time zones, 5 alarms, schedule (planning) 30 programmable alarms in the year with messages, but also the ability to set the color of lighting (red or blue) the density contrast display, programming the eco function (battery), 3 sound alarms choice ... everything is clear, intuitive and easy to read (display size characters). The bracelet 'soft touch' is good, but personally I preferred it is my bracelet nato for security (I motorcyclist) and losing to a bar, which loosely bored, I would add to it a 36mm screen protection.</v>
      </c>
    </row>
    <row r="13473">
      <c r="A13473" s="1">
        <v>5.0</v>
      </c>
      <c r="B13473" s="1" t="s">
        <v>13249</v>
      </c>
      <c r="C13473" t="str">
        <f>IFERROR(__xludf.DUMMYFUNCTION("GOOGLETRANSLATE(B13473, ""fr"", ""en"")"),"Excellent for Great Yoga but still slightly transparent white. Fabric quality super nice. I highly recommend it.")</f>
        <v>Excellent for Great Yoga but still slightly transparent white. Fabric quality super nice. I highly recommend it.</v>
      </c>
    </row>
    <row r="13474">
      <c r="A13474" s="1">
        <v>5.0</v>
      </c>
      <c r="B13474" s="1" t="s">
        <v>13250</v>
      </c>
      <c r="C13474" t="str">
        <f>IFERROR(__xludf.DUMMYFUNCTION("GOOGLETRANSLATE(B13474, ""fr"", ""en"")"),"Practices for milk thickened My baby drinks milk Nutrilon AR since she was one month. The milk was very difficult to pass in the 0+ teats. So I went to them and everything goes well. Baby does not choke :)")</f>
        <v>Practices for milk thickened My baby drinks milk Nutrilon AR since she was one month. The milk was very difficult to pass in the 0+ teats. So I went to them and everything goes well. Baby does not choke :)</v>
      </c>
    </row>
    <row r="13475">
      <c r="A13475" s="1">
        <v>5.0</v>
      </c>
      <c r="B13475" s="1" t="s">
        <v>13251</v>
      </c>
      <c r="C13475" t="str">
        <f>IFERROR(__xludf.DUMMYFUNCTION("GOOGLETRANSLATE(B13475, ""fr"", ""en"")"),"Good product The colors are super gay, as I like. I use them instead of bras that I can not stand. These jackets are perfect every day, and for sports gym guy. However for impact sports (fitness, jogging, etc ...) maintenance is a bit limited (depending o"&amp;"n the breast size too !!!).")</f>
        <v>Good product The colors are super gay, as I like. I use them instead of bras that I can not stand. These jackets are perfect every day, and for sports gym guy. However for impact sports (fitness, jogging, etc ...) maintenance is a bit limited (depending on the breast size too !!!).</v>
      </c>
    </row>
    <row r="13476">
      <c r="A13476" s="1">
        <v>5.0</v>
      </c>
      <c r="B13476" s="1" t="s">
        <v>13252</v>
      </c>
      <c r="C13476" t="str">
        <f>IFERROR(__xludf.DUMMYFUNCTION("GOOGLETRANSLATE(B13476, ""fr"", ""en"")"),"Excellent headphones! After the test, the sound is really good. The tips come in sizes L, which explains why I had trouble putting the headphones. Regarding sports and battery, I could make my workout quietly, after 3 hours non-stop use of the headphones "&amp;"are disconnected for lack of battery, which is normal. 2 weeks of use after the battery is present! I charge every week and the battery is not even exhausted, so we can assume that the 40 hours of battery life are present. So you can take a week. Most hea"&amp;"dphones, once outside, have interference that tend to mute the music. Regarding these headphones I've ever had! And it is surprising. For calls, one hears me slightly. But once I close the phone out of my mouth, there is no problem. So I love these headph"&amp;"ones! The overall quality is greatly present, for that price, you will find no better elsewhere")</f>
        <v>Excellent headphones! After the test, the sound is really good. The tips come in sizes L, which explains why I had trouble putting the headphones. Regarding sports and battery, I could make my workout quietly, after 3 hours non-stop use of the headphones are disconnected for lack of battery, which is normal. 2 weeks of use after the battery is present! I charge every week and the battery is not even exhausted, so we can assume that the 40 hours of battery life are present. So you can take a week. Most headphones, once outside, have interference that tend to mute the music. Regarding these headphones I've ever had! And it is surprising. For calls, one hears me slightly. But once I close the phone out of my mouth, there is no problem. So I love these headphones! The overall quality is greatly present, for that price, you will find no better elsewhere</v>
      </c>
    </row>
    <row r="13477">
      <c r="A13477" s="1">
        <v>5.0</v>
      </c>
      <c r="B13477" s="1" t="s">
        <v>13253</v>
      </c>
      <c r="C13477" t="str">
        <f>IFERROR(__xludf.DUMMYFUNCTION("GOOGLETRANSLATE(B13477, ""fr"", ""en"")"),"Perfect Absolutely brilliant, a great surprise effect for a gift to a lover of watches and back to the future .It is cute and does absolutely not too much just a little retro elegant side.")</f>
        <v>Perfect Absolutely brilliant, a great surprise effect for a gift to a lover of watches and back to the future .It is cute and does absolutely not too much just a little retro elegant side.</v>
      </c>
    </row>
    <row r="13478">
      <c r="A13478" s="1">
        <v>5.0</v>
      </c>
      <c r="B13478" s="1" t="s">
        <v>13254</v>
      </c>
      <c r="C13478" t="str">
        <f>IFERROR(__xludf.DUMMYFUNCTION("GOOGLETRANSLATE(B13478, ""fr"", ""en"")"),"Great ! Received quickly! Perfect")</f>
        <v>Great ! Received quickly! Perfect</v>
      </c>
    </row>
    <row r="13479">
      <c r="A13479" s="1">
        <v>5.0</v>
      </c>
      <c r="B13479" s="1" t="s">
        <v>13255</v>
      </c>
      <c r="C13479" t="str">
        <f>IFERROR(__xludf.DUMMYFUNCTION("GOOGLETRANSLATE(B13479, ""fr"", ""en"")"),"paper quality very good quality paper, no complaints it corresponds to what I was looking for my lazer color printer")</f>
        <v>paper quality very good quality paper, no complaints it corresponds to what I was looking for my lazer color printer</v>
      </c>
    </row>
    <row r="13480">
      <c r="A13480" s="1">
        <v>5.0</v>
      </c>
      <c r="B13480" s="1" t="s">
        <v>13256</v>
      </c>
      <c r="C13480" t="str">
        <f>IFERROR(__xludf.DUMMYFUNCTION("GOOGLETRANSLATE(B13480, ""fr"", ""en"")"),"Good business Cuckoo's Loulou I wanted to make my return after testing and last night for my sport earphone Good sound quality Easy to install apairer It takes very well in the ears For once I must confessed that I was surprised at the quality for the pri"&amp;"ce really good C to")</f>
        <v>Good business Cuckoo's Loulou I wanted to make my return after testing and last night for my sport earphone Good sound quality Easy to install apairer It takes very well in the ears For once I must confessed that I was surprised at the quality for the price really good C to</v>
      </c>
    </row>
    <row r="13481">
      <c r="A13481" s="1">
        <v>5.0</v>
      </c>
      <c r="B13481" s="1" t="s">
        <v>13257</v>
      </c>
      <c r="C13481" t="str">
        <f>IFERROR(__xludf.DUMMYFUNCTION("GOOGLETRANSLATE(B13481, ""fr"", ""en"")"),"Sound Very nice design and sparkling color, the sound is really excellent, a multifunction button to adjust the bass, treble, very light. Streaming is about 8am.")</f>
        <v>Sound Very nice design and sparkling color, the sound is really excellent, a multifunction button to adjust the bass, treble, very light. Streaming is about 8am.</v>
      </c>
    </row>
    <row r="13482">
      <c r="A13482" s="1">
        <v>5.0</v>
      </c>
      <c r="B13482" s="1" t="s">
        <v>13258</v>
      </c>
      <c r="C13482" t="str">
        <f>IFERROR(__xludf.DUMMYFUNCTION("GOOGLETRANSLATE(B13482, ""fr"", ""en"")"),"Perfect at this price is to buy eyes closed Ordered 2 times because the first has never been delivery ... The first command reimbursed by Amazon, the second arrival in 3 days! I'll repeat a little of what everybody says, this is great: it seems rugged, ea"&amp;"sy to install, very polyvalent.Tous assembly tools are provided; you can either fix the edge of a desk or across the board if it is equipped with a grommet (or if you poke ;-)) The precise adjustment height of each screen to adjust to perfection. Only fla"&amp;"t but that does not detract from the quality of the product: if you install it screens 24 ', these are relatively advanced compared to the foot.")</f>
        <v>Perfect at this price is to buy eyes closed Ordered 2 times because the first has never been delivery ... The first command reimbursed by Amazon, the second arrival in 3 days! I'll repeat a little of what everybody says, this is great: it seems rugged, easy to install, very polyvalent.Tous assembly tools are provided; you can either fix the edge of a desk or across the board if it is equipped with a grommet (or if you poke ;-)) The precise adjustment height of each screen to adjust to perfection. Only flat but that does not detract from the quality of the product: if you install it screens 24 ', these are relatively advanced compared to the foot.</v>
      </c>
    </row>
    <row r="13483">
      <c r="A13483" s="1">
        <v>5.0</v>
      </c>
      <c r="B13483" s="1" t="s">
        <v>13259</v>
      </c>
      <c r="C13483" t="str">
        <f>IFERROR(__xludf.DUMMYFUNCTION("GOOGLETRANSLATE(B13483, ""fr"", ""en"")"),"Basketball Basketball compensated very comfortable material well suited to the heat take a size above")</f>
        <v>Basketball Basketball compensated very comfortable material well suited to the heat take a size above</v>
      </c>
    </row>
    <row r="13484">
      <c r="A13484" s="1">
        <v>5.0</v>
      </c>
      <c r="B13484" s="1" t="s">
        <v>13260</v>
      </c>
      <c r="C13484" t="str">
        <f>IFERROR(__xludf.DUMMYFUNCTION("GOOGLETRANSLATE(B13484, ""fr"", ""en"")"),"Perfect Good value. Thank you.")</f>
        <v>Perfect Good value. Thank you.</v>
      </c>
    </row>
    <row r="13485">
      <c r="A13485" s="1">
        <v>5.0</v>
      </c>
      <c r="B13485" s="1" t="s">
        <v>13261</v>
      </c>
      <c r="C13485" t="str">
        <f>IFERROR(__xludf.DUMMYFUNCTION("GOOGLETRANSLATE(B13485, ""fr"", ""en"")"),"Product prices consistent with the description, to see in time")</f>
        <v>Product prices consistent with the description, to see in time</v>
      </c>
    </row>
    <row r="13486">
      <c r="A13486" s="1">
        <v>2.0</v>
      </c>
      <c r="B13486" s="1" t="s">
        <v>13262</v>
      </c>
      <c r="C13486" t="str">
        <f>IFERROR(__xludf.DUMMYFUNCTION("GOOGLETRANSLATE(B13486, ""fr"", ""en"")"),"too thin material a year ago I ordered white, very thick, flawless quality. This time I bought it in blue, it is very fine. Disappointed thickness.")</f>
        <v>too thin material a year ago I ordered white, very thick, flawless quality. This time I bought it in blue, it is very fine. Disappointed thickness.</v>
      </c>
    </row>
    <row r="13487">
      <c r="A13487" s="1">
        <v>1.0</v>
      </c>
      <c r="B13487" s="1" t="s">
        <v>13263</v>
      </c>
      <c r="C13487" t="str">
        <f>IFERROR(__xludf.DUMMYFUNCTION("GOOGLETRANSLATE(B13487, ""fr"", ""en"")"),"coating anti adhere! The molds are coated with non-stick .. Bad for health, I refer")</f>
        <v>coating anti adhere! The molds are coated with non-stick .. Bad for health, I refer</v>
      </c>
    </row>
    <row r="13488">
      <c r="A13488" s="1">
        <v>1.0</v>
      </c>
      <c r="B13488" s="1" t="s">
        <v>13264</v>
      </c>
      <c r="C13488" t="str">
        <f>IFERROR(__xludf.DUMMYFUNCTION("GOOGLETRANSLATE(B13488, ""fr"", ""en"")"),"Very disappointed poor quality of the product it off when I received the product there 6 days. Really bad quality")</f>
        <v>Very disappointed poor quality of the product it off when I received the product there 6 days. Really bad quality</v>
      </c>
    </row>
    <row r="13489">
      <c r="A13489" s="1">
        <v>3.0</v>
      </c>
      <c r="B13489" s="1" t="s">
        <v>13265</v>
      </c>
      <c r="C13489" t="str">
        <f>IFERROR(__xludf.DUMMYFUNCTION("GOOGLETRANSLATE(B13489, ""fr"", ""en"")"),"A disaster Worn 2 hours and sole décolée impossible to transmit the photo by email to the seller for a refund very angry")</f>
        <v>A disaster Worn 2 hours and sole décolée impossible to transmit the photo by email to the seller for a refund very angry</v>
      </c>
    </row>
    <row r="13490">
      <c r="A13490" s="1">
        <v>4.0</v>
      </c>
      <c r="B13490" s="1" t="s">
        <v>13266</v>
      </c>
      <c r="C13490" t="str">
        <f>IFERROR(__xludf.DUMMYFUNCTION("GOOGLETRANSLATE(B13490, ""fr"", ""en"")"),"Hook weak back Pretty pair of earrings match the necklace. Too bad the hooks at the back of the Boucke ear is not strong enough as it falls and I lose the earrings")</f>
        <v>Hook weak back Pretty pair of earrings match the necklace. Too bad the hooks at the back of the Boucke ear is not strong enough as it falls and I lose the earrings</v>
      </c>
    </row>
    <row r="13491">
      <c r="A13491" s="1">
        <v>4.0</v>
      </c>
      <c r="B13491" s="1" t="s">
        <v>13267</v>
      </c>
      <c r="C13491" t="str">
        <f>IFERROR(__xludf.DUMMYFUNCTION("GOOGLETRANSLATE(B13491, ""fr"", ""en"")"),"Sending good watch as usual poses no problem. The reception is even ahead of a day. The setting of the watch is very simple but it is better to see the manual on the internet because that supplied is too small. The only problem is the strap adjustment tha"&amp;"t is not explained in the manual. I advise to go to a jeweler to do because you need a suitable tool to avoid damaging the pins that are very very thin and fragile. Then, for the watch there are no complaints about the quality.")</f>
        <v>Sending good watch as usual poses no problem. The reception is even ahead of a day. The setting of the watch is very simple but it is better to see the manual on the internet because that supplied is too small. The only problem is the strap adjustment that is not explained in the manual. I advise to go to a jeweler to do because you need a suitable tool to avoid damaging the pins that are very very thin and fragile. Then, for the watch there are no complaints about the quality.</v>
      </c>
    </row>
    <row r="13492">
      <c r="A13492" s="1">
        <v>4.0</v>
      </c>
      <c r="B13492" s="1" t="s">
        <v>13268</v>
      </c>
      <c r="C13492" t="str">
        <f>IFERROR(__xludf.DUMMYFUNCTION("GOOGLETRANSLATE(B13492, ""fr"", ""en"")"),"Good product I ordered this product in order to weigh the ingredients for cosmetics. The scale is small, the tray holds up well. The only major drawback is that the balance is delivered without any weight and it takes to the establishment of the balance ("&amp;"a 100 gr and 200gr) Without this balance is not precise. Once this is done (it only take 1 minute), the balance works very well!")</f>
        <v>Good product I ordered this product in order to weigh the ingredients for cosmetics. The scale is small, the tray holds up well. The only major drawback is that the balance is delivered without any weight and it takes to the establishment of the balance (a 100 gr and 200gr) Without this balance is not precise. Once this is done (it only take 1 minute), the balance works very well!</v>
      </c>
    </row>
    <row r="13493">
      <c r="A13493" s="1">
        <v>4.0</v>
      </c>
      <c r="B13493" s="1" t="s">
        <v>13269</v>
      </c>
      <c r="C13493" t="str">
        <f>IFERROR(__xludf.DUMMYFUNCTION("GOOGLETRANSLATE(B13493, ""fr"", ""en"")"),"full but not birth gift I like: - valve ""airfree"" which keeps the nipple full of milk and limit the problems of reflux and colic - that the box is full, number bib, bottle brush, nipple - Quality teats and bib - ease of cleaning - the grip, adapted to a"&amp;"dults as to children I like least: - aesthetics: frankly they are not at all present from birth. The bib are super basic, plastic ... - the brush: I prefer to buy a bottle brush most suitable = &amp; gt; a complete set, but not necessarily a gift of birth. Be"&amp;"sides the bib are perfect for kids who begin to hold only bib")</f>
        <v>full but not birth gift I like: - valve "airfree" which keeps the nipple full of milk and limit the problems of reflux and colic - that the box is full, number bib, bottle brush, nipple - Quality teats and bib - ease of cleaning - the grip, adapted to adults as to children I like least: - aesthetics: frankly they are not at all present from birth. The bib are super basic, plastic ... - the brush: I prefer to buy a bottle brush most suitable = &amp; gt; a complete set, but not necessarily a gift of birth. Besides the bib are perfect for kids who begin to hold only bib</v>
      </c>
    </row>
    <row r="13494">
      <c r="A13494" s="1">
        <v>5.0</v>
      </c>
      <c r="B13494" s="1" t="s">
        <v>13270</v>
      </c>
      <c r="C13494" t="str">
        <f>IFERROR(__xludf.DUMMYFUNCTION("GOOGLETRANSLATE(B13494, ""fr"", ""en"")"),"Glad Okay")</f>
        <v>Glad Okay</v>
      </c>
    </row>
    <row r="13495">
      <c r="A13495" s="1">
        <v>5.0</v>
      </c>
      <c r="B13495" s="1" t="s">
        <v>13271</v>
      </c>
      <c r="C13495" t="str">
        <f>IFERROR(__xludf.DUMMYFUNCTION("GOOGLETRANSLATE(B13495, ""fr"", ""en"")"),"Quality Sony - Mini price Certainly this is not a headset for music lover but you have the quality and the Sony serious for a small price. A sound quite correct for this smart headset that folds and fits easily into your bag. With us, we are 3 to use ever"&amp;"y day for a year +.")</f>
        <v>Quality Sony - Mini price Certainly this is not a headset for music lover but you have the quality and the Sony serious for a small price. A sound quite correct for this smart headset that folds and fits easily into your bag. With us, we are 3 to use every day for a year +.</v>
      </c>
    </row>
    <row r="13496">
      <c r="A13496" s="1">
        <v>5.0</v>
      </c>
      <c r="B13496" s="1" t="s">
        <v>13272</v>
      </c>
      <c r="C13496" t="str">
        <f>IFERROR(__xludf.DUMMYFUNCTION("GOOGLETRANSLATE(B13496, ""fr"", ""en"")"),"Buy Super product. Thank you for sending quick")</f>
        <v>Buy Super product. Thank you for sending quick</v>
      </c>
    </row>
    <row r="13497">
      <c r="A13497" s="1">
        <v>5.0</v>
      </c>
      <c r="B13497" s="1" t="s">
        <v>13273</v>
      </c>
      <c r="C13497" t="str">
        <f>IFERROR(__xludf.DUMMYFUNCTION("GOOGLETRANSLATE(B13497, ""fr"", ""en"")"),"A soft and resistant paper I ordered this product in order to have a large reserve of toilet paper. I am very satisfied with this product. The paper is thick and soft. It is rough to the touch. The experience is very pleasant. I recommend this product for"&amp;" those looking for quality while wishing favor practicality (a single order placed for several months of use).")</f>
        <v>A soft and resistant paper I ordered this product in order to have a large reserve of toilet paper. I am very satisfied with this product. The paper is thick and soft. It is rough to the touch. The experience is very pleasant. I recommend this product for those looking for quality while wishing favor practicality (a single order placed for several months of use).</v>
      </c>
    </row>
    <row r="13498">
      <c r="A13498" s="1">
        <v>5.0</v>
      </c>
      <c r="B13498" s="1" t="s">
        <v>13274</v>
      </c>
      <c r="C13498" t="str">
        <f>IFERROR(__xludf.DUMMYFUNCTION("GOOGLETRANSLATE(B13498, ""fr"", ""en"")"),"On robust appearance powerful pump, it is quiet and has a good pumping rate (250l / min). The angled discharge fitting is made of plastic with an inner diameter of 40 mm and 47 mm outside. there must be a pipe diameter of 50 mm. size 35 mm Silverline 6752"&amp;"46 Pressure hose 10 m x 50 mm fits the bill but I think for sustained use it does not last long, small little money.")</f>
        <v>On robust appearance powerful pump, it is quiet and has a good pumping rate (250l / min). The angled discharge fitting is made of plastic with an inner diameter of 40 mm and 47 mm outside. there must be a pipe diameter of 50 mm. size 35 mm Silverline 675246 Pressure hose 10 m x 50 mm fits the bill but I think for sustained use it does not last long, small little money.</v>
      </c>
    </row>
    <row r="13499">
      <c r="A13499" s="1">
        <v>5.0</v>
      </c>
      <c r="B13499" s="1" t="s">
        <v>13275</v>
      </c>
      <c r="C13499" t="str">
        <f>IFERROR(__xludf.DUMMYFUNCTION("GOOGLETRANSLATE(B13499, ""fr"", ""en"")"),"Quality and value for money Perfect for use at home or in the office, a lighter of transport among many models, thick foam, pleasant texture and easy to maintain. The dimensions are great and the setting significant height (I'm tall). Too bad that it is i"&amp;"n black or off-white, other colors are nice. I recommend this table very good value for money.")</f>
        <v>Quality and value for money Perfect for use at home or in the office, a lighter of transport among many models, thick foam, pleasant texture and easy to maintain. The dimensions are great and the setting significant height (I'm tall). Too bad that it is in black or off-white, other colors are nice. I recommend this table very good value for money.</v>
      </c>
    </row>
    <row r="13500">
      <c r="A13500" s="1">
        <v>5.0</v>
      </c>
      <c r="B13500" s="1" t="s">
        <v>13276</v>
      </c>
      <c r="C13500" t="str">
        <f>IFERROR(__xludf.DUMMYFUNCTION("GOOGLETRANSLATE(B13500, ""fr"", ""en"")"),"Jewelry I offered yesterday to the anniversary of marriage to my sister. She married this is the theme of beauty and the beast. It has had its effect")</f>
        <v>Jewelry I offered yesterday to the anniversary of marriage to my sister. She married this is the theme of beauty and the beast. It has had its effect</v>
      </c>
    </row>
    <row r="13501">
      <c r="A13501" s="1">
        <v>5.0</v>
      </c>
      <c r="B13501" s="1" t="s">
        <v>13277</v>
      </c>
      <c r="C13501" t="str">
        <f>IFERROR(__xludf.DUMMYFUNCTION("GOOGLETRANSLATE(B13501, ""fr"", ""en"")"),"Perfect size corresponds, comfort is the là.Je used to walking several times a week.")</f>
        <v>Perfect size corresponds, comfort is the là.Je used to walking several times a week.</v>
      </c>
    </row>
    <row r="13502">
      <c r="A13502" s="1">
        <v>5.0</v>
      </c>
      <c r="B13502" s="1" t="s">
        <v>13278</v>
      </c>
      <c r="C13502" t="str">
        <f>IFERROR(__xludf.DUMMYFUNCTION("GOOGLETRANSLATE(B13502, ""fr"", ""en"")"),"Size impeccably I ordered this set to do crossfit, I'm really not disappointed, it perfectly size, each element is useful. The material is very nice and responds very well to perspiration. If you want a nice cheap set for sports, go for it!")</f>
        <v>Size impeccably I ordered this set to do crossfit, I'm really not disappointed, it perfectly size, each element is useful. The material is very nice and responds very well to perspiration. If you want a nice cheap set for sports, go for it!</v>
      </c>
    </row>
    <row r="13503">
      <c r="A13503" s="1">
        <v>5.0</v>
      </c>
      <c r="B13503" s="1" t="s">
        <v>13279</v>
      </c>
      <c r="C13503" t="str">
        <f>IFERROR(__xludf.DUMMYFUNCTION("GOOGLETRANSLATE(B13503, ""fr"", ""en"")"),"Windshields / micro foam cups / micro foam, headset used on motorcycle intercoms")</f>
        <v>Windshields / micro foam cups / micro foam, headset used on motorcycle intercoms</v>
      </c>
    </row>
    <row r="13504">
      <c r="A13504" s="1">
        <v>5.0</v>
      </c>
      <c r="B13504" s="1" t="s">
        <v>13280</v>
      </c>
      <c r="C13504" t="str">
        <f>IFERROR(__xludf.DUMMYFUNCTION("GOOGLETRANSLATE(B13504, ""fr"", ""en"")"),"Earphones with good battery life Hi, I purchased this product to replace my wired headset. They connect easily bluetooth and have good battery life (I have not yet completely discharged at once). The charging cable of the box that makes backup battery als"&amp;"o comes with and is a former supported. There is also a USB output to charge his phone with its own cable which is rather convenient.")</f>
        <v>Earphones with good battery life Hi, I purchased this product to replace my wired headset. They connect easily bluetooth and have good battery life (I have not yet completely discharged at once). The charging cable of the box that makes backup battery also comes with and is a former supported. There is also a USB output to charge his phone with its own cable which is rather convenient.</v>
      </c>
    </row>
    <row r="13505">
      <c r="A13505" s="1">
        <v>5.0</v>
      </c>
      <c r="B13505" s="1" t="s">
        <v>13281</v>
      </c>
      <c r="C13505" t="str">
        <f>IFERROR(__xludf.DUMMYFUNCTION("GOOGLETRANSLATE(B13505, ""fr"", ""en"")"),"; replacement")</f>
        <v>; replacement</v>
      </c>
    </row>
    <row r="13506">
      <c r="A13506" s="1">
        <v>5.0</v>
      </c>
      <c r="B13506" s="1" t="s">
        <v>13282</v>
      </c>
      <c r="C13506" t="str">
        <f>IFERROR(__xludf.DUMMYFUNCTION("GOOGLETRANSLATE(B13506, ""fr"", ""en"")"),"takes not much convenient place with the mouse")</f>
        <v>takes not much convenient place with the mouse</v>
      </c>
    </row>
    <row r="13507">
      <c r="A13507" s="1">
        <v>5.0</v>
      </c>
      <c r="B13507" s="1" t="s">
        <v>13283</v>
      </c>
      <c r="C13507" t="str">
        <f>IFERROR(__xludf.DUMMYFUNCTION("GOOGLETRANSLATE(B13507, ""fr"", ""en"")"),"Hello For my daughter it suits her")</f>
        <v>Hello For my daughter it suits her</v>
      </c>
    </row>
    <row r="13508">
      <c r="A13508" s="1">
        <v>5.0</v>
      </c>
      <c r="B13508" s="1" t="s">
        <v>13284</v>
      </c>
      <c r="C13508" t="str">
        <f>IFERROR(__xludf.DUMMYFUNCTION("GOOGLETRANSLATE(B13508, ""fr"", ""en"")"),"It's super conformable For cotidient, I otilise for 6 years, since suffering a foot can, I feel good inside.")</f>
        <v>It's super conformable For cotidient, I otilise for 6 years, since suffering a foot can, I feel good inside.</v>
      </c>
    </row>
    <row r="13509">
      <c r="A13509" s="1">
        <v>2.0</v>
      </c>
      <c r="B13509" s="1" t="s">
        <v>13285</v>
      </c>
      <c r="C13509" t="str">
        <f>IFERROR(__xludf.DUMMYFUNCTION("GOOGLETRANSLATE(B13509, ""fr"", ""en"")"),"Well, practice theory BUT &lt;div id = ""video-block-R3K0SYBG98D6Y7"" class = ""a-section-spacing-small in-spacing-top mini video-block""&gt; &lt;div tabindex = ""0"" class = "" airy airy-svg vmin-supported airy-skin-beacon ""style ="" background-color: rgb (0, 0,"&amp;" 0); position: relative; width: 100%; height: 100%; font-size: 0px; overflow : hidden; outline: none; ""&gt; &lt;div class ="" airy-renderer-container ""style ="" position: relative; height: 100%; width: 100%; ""&gt; &lt;video id ="" 7 ""preload ="" auto ""src ="" ht"&amp;"tps://images-eu.ssl-images-amazon.com/images/I/B1+gb7Cu+kS.mp4 ""style ="" position: absolute; left: 0px; top: 0px; overflow: hidden ; height: 1px; width: 1px; ""&gt; &lt;/ video&gt; &lt;/ div&gt; &lt;div id ="" airy-slate-preload ""style ="" background-color: rgb (0, 0, 0"&amp;"); background-image: url (&amp; quot; https: //images-eu.ssl-images-amazon.com/images/I/81Jb0PV+4MS.png&amp;quot;); background-size: contain; background-position: center center; background-repeat: no -repeat; position: absolute; top: 0px; left: 0px; visibility: v"&amp;"isible; width: 100%; height: 100% ""&gt; &lt;/ div&gt; &lt;if train scrolling = ""no"" frameborder = ""0"" src = ""about: blank"" style = ""display: none;""&gt; &lt;/ iframe&gt; &lt;div tabindex = ""- 1"" class = ""airy-controls-container"" style = ""opacity: 0; visibility: hidd"&amp;"en; ""&gt; &lt;div tabindex ="" - 1 ""class ="" airy-screen-size-toggle airy-fullscreen ""&gt; &lt;/ div&gt; &lt;div tabindex ="" - 1 ""class ="" airy-container-bottom "" &gt; &lt;div tabindex = ""- 1"" class = ""airy-track-bar spacer-left"" style = ""width: 11px;""&gt; &lt;/ div&gt; &lt;di"&amp;"v tabindex = ""- 1"" class = ""airy-play- toggle airy-play ""style ="" width: 12px; margin-right: 12px; ""&gt; &lt;/ div&gt; &lt;div tabindex ="" - 1 ""class ="" airy-audio-elements ""style ="" float: right; width: 34px; ""&gt; &lt;div tabindex ="" - 1 ""class ="" airy-aud"&amp;"io-toggle airy-on ""&gt; &lt;/ div&gt; &lt;div tabindex ="" - 1 ""class ="" airy-audio-container ""style = ""opacity: 0; visibility: hidden; ""&gt; &lt;div tabindex ="" - 1 ""class ="" airy-audio-track-bar ""style ="" height: 80%; ""&gt; &lt;div tabindex ="" - 1 ""class ="" airy"&amp;"-audio- scrubber bar ""style ="" height: 85% ""&gt; &lt;/ div&gt; &lt;div tabindex ="" - 1 ""class ="" airy-audio-scrubber ""style ="" height: 12px; bottom: 85% ""&gt; &lt;/ div&gt; &lt;/ div&gt; &lt;/ div&gt; &lt;/ div&gt; &lt;div tabindex ="" - 1 ""class ="" airy-duration-label ""style ="" floa"&amp;"t: right; width: 26px; margin-right: 4px; text-align: center; ""&gt; 0:00 &lt;/ div&gt; &lt;div tabindex ="" - 1 ""class ="" airy-track-bar spacer-right ""style ="" float: right; width: 11px; ""&gt; &lt;/ div&gt; &lt;div tabindex ="" - 1 ""class ="" airy-track-bar-container ""st"&amp;"yle ="" margin-left: 35px; margin-right: 75px; ""&gt; &lt;div tabindex ="" - 1 ""class ="" airy-airy-track-bar vertical-centering-table ""&gt; &lt;div tabindex ="" - 1 ""class ="" airy-vertical-centering- table-cell ""&gt; &lt;div tabindex ="" - 1 ""class ="" airy-track-ba"&amp;"r elements ""&gt; &lt;div tabindex ="" - 1 ""class ="" airy-progress bar ""&gt; &lt;/ div&gt; &lt;div tabindex = ""- 1"" class = ""airy-scrubber bar""&gt; &lt;/ div&gt; &lt;div tabindex = ""- 1"" class = ""airy-scrubber""&gt; &lt;div tabindex = ""- 1"" class = ""airy-scrubber- icon ""&gt; &lt;/ d"&amp;"iv&gt; &lt;div tabindex ="" - 1 ""class ="" airy-adjusted-aui-tooltip ""style ="" opacity: 0; visibility: hidden; ""&gt; &lt;div tabindex ="" - 1 ""class ="" airy-adjusted-aui-tooltip-inner ""&gt; &lt;div tabindex ="" - 1 ""class ="" airy-current-time-label ""&gt; 0 00 &lt;/ div"&amp;"&gt; &lt;/ div&gt; &lt;div tabindex = ""- 1"" class = ""airy-adjusted-aui-arrow-border""&gt; &lt;div tabindex = ""- 1"" class = ""airy-adjusted-aui-arrow"" &gt; &lt;/ div&gt; &lt;/ div&gt; &lt;/ div&gt; &lt;/ div&gt; &lt;/ div&gt; &lt;/ div&gt; &lt;/ div&gt; &lt;/ div&gt; &lt;/ div&gt; &lt;/ div&gt; &lt;div tabindex = ""- 1"" class = ""a"&amp;"iry-airy-age-gate course airy-vertical-centering table-airy-dialog"" style = ""opacity: 0; visibility: hidden; ""&gt; &lt;div tabindex ="" - 1 ""class ="" airy-age-gate-vertical-centering-table-cell airy-vertical-centering-table-cell ""&gt; &lt;div tabindex ="" - 1 "&amp;"""class = ""airy-vertical-centering-wrapper airy-age-gate-elements-wrapper""&gt; &lt;div tabindex = ""- 1"" class = ""airy-age-gate-elements airy-dialog-elements""&gt; &lt;div tabindex = "" -1 ""class ="" airy-age-gate-prompt ""&gt; This video is not Intended for all au"&amp;"diences What time were you born &lt;/ div&gt; &lt;div tabindex =.?"" - 1 ""class ="" airy-age-gate -inputs airy-dialog-inner-elements ""&gt; &lt;select tabindex ="" - 1 ""class ="" airy-age-gate-month ""&gt; &lt;option value ="" 1 ""&gt; January &lt;/ option&gt; &lt;option value ="" 2 """&amp;"&gt; February &lt;/ option&gt; &lt;option value ="" 3 ""&gt; March &lt;/ option&gt; &lt;option value ="" 4 ""&gt; April &lt;/ option&gt; &lt;option value ="" 5 ""&gt; May &lt;/ option&gt; &lt;option value = ""6""&gt; June &lt;/ option&gt; &lt;option value = ""7""&gt; July &lt;/ option&gt; &lt;option value = ""8""&gt; August &lt;/ o"&amp;"ption&gt; &lt;option value = ""9""&gt; September &lt;/ option&gt; &lt;option value = ""10""&gt; October &lt;/ option&gt; &lt;option value = ""11""&gt; November &lt;/ option&gt; &lt;option value = ""12""&gt; December &lt;/ option&gt; &lt;/ select&gt; &lt;select tabindex = ""- 1"" class = ""airy-age-gate-day""&gt; &lt;opt"&amp;"i = One value ""1""&gt; 1 &lt;/ option&gt; &lt;option value = ""2""&gt; 2 &lt;/ option&gt; &lt;option value = ""3""&gt; 3 &lt;/ option&gt; &lt;option value = ""4""&gt; 4 &lt;/ option &gt; &lt;option value = ""5""&gt; 5 &lt;/ option&gt; &lt;option value = ""6""&gt; 6 &lt;/ option&gt; &lt;option value = ""7""&gt; 7 &lt;/ option&gt; &lt;opt"&amp;"ion value = ""8""&gt; 8 &lt; / option&gt; &lt;option value = ""9""&gt; 9 &lt;/ option&gt; &lt;option value = ""10""&gt; 10 &lt;/ option&gt; &lt;option value = ""11""&gt; 11 &lt;/ option&gt; &lt;option value = ""12""&gt; 12 &lt;/ option&gt; &lt;option value = ""13""&gt; 13 &lt;/ option&gt; &lt;option value = ""14""&gt; 14 &lt;/ opti"&amp;"on&gt; &lt;option value = ""15""&gt; 15 &lt;/ option&gt; &lt;option value = ""16 ""&gt; 16 &lt;/ option&gt; &lt;option value ="" 17 ""&gt; 17 &lt;/ option&gt; &lt;option value ="" 18 ""&gt; 18 &lt;/ option&gt; &lt;option value ="" 19 ""&gt; 19 &lt;/ option&gt; &lt;option value = ""20""&gt; 20 &lt;/ option&gt; &lt;option value = ""2"&amp;"1""&gt; 21 &lt;/ option&gt; &lt;option value = ""22""&gt; 22 &lt;/ option&gt; &lt;option value = ""23""&gt; 23 &lt;/ option&gt; &lt;option value = ""24""&gt; 24 &lt;/ option&gt; &lt;option value = ""25""&gt; 25 &lt;/ option&gt; &lt;option value = ""26""&gt; 26 &lt;/ option&gt; &lt;option value = ""27""&gt; 27 &lt;/ option&gt; &lt;option "&amp;"value = ""28""&gt; 28 &lt;/ option&gt; &lt;option value = ""29""&gt; 29 &lt;/ option&gt; &lt;option value = ""30""&gt; 30 &lt;/ option&gt; &lt;option value = ""31""&gt; 31 &lt;/ option&gt; &lt;/ select&gt; &lt;select tabindex = ""- 1"" class = ""airy-age-gate-year""&gt; &lt;option value = ""2019""&gt; 2019 &lt;/ option&gt;"&amp;" &lt; option value = ""2018""&gt; 2018 &lt;/ option&gt; &lt;option value = ""2017""&gt; 2017 &lt;/ option&gt; &lt;option value = ""2016""&gt; ​​2016 &lt;/ option&gt; &lt;option value = ""2015""&gt; 2015 &lt;/ option &gt; &lt;option value = ""2014""&gt; 2014 &lt;/ option&gt; &lt;option value = ""2013""&gt; 2013 &lt;/ option"&amp;"&gt; &lt;option value = ""2012""&gt; 2012 &lt;/ option&gt; &lt;option value = ""2011""&gt; 2011 &lt; / option&gt; &lt;option value = ""2010""&gt; 2010 &lt;/ option&gt; &lt;option value = ""2009""&gt; 2009 &lt;/ option&gt; &lt;option value = ""2008""&gt; 2008 &lt;/ option&gt; &lt;option value = ""2007""&gt; 2007 &lt;/ option&gt; "&amp;"&lt;option value = ""2006""&gt; 2006 &lt;/ option&gt; &lt;option value = ""2005""&gt; 2005 &lt;/ option&gt; &lt;option value = ""2004""&gt; 2004 &lt;/ option&gt; &lt;option value = ""2003 ""&gt; 2003 &lt;/ option&gt; &lt;option value ="" 2002 ""&gt; 2002 &lt;/ option&gt; &lt;option value ="" 2001 ""&gt; 2001 &lt;/ option&gt; "&amp;"&lt;option value ="" 2000 ""&gt; 2000 &lt;/ option&gt; &lt;option value = ""1999""&gt; 1999 &lt;/ option&gt; &lt;option value = ""1998""&gt; 1998 &lt;/ option&gt; &lt;option value = ""1997""&gt; 1997 &lt;/ option&gt; &lt;option value = ""1996""&gt; 1996 &lt;/ option&gt; &lt;option value = ""1995""&gt; 1995 &lt;/ option&gt; &lt;o"&amp;"ption value = ""1994""&gt; 1994 &lt;/ option&gt; &lt;option value = ""1993""&gt; 1993 &lt;/ option&gt; &lt;option value = ""1992""&gt; 1992 &lt;/ option&gt; &lt;option value = ""1991""&gt; 1991 &lt;/ option&gt; &lt;option value = ""1990""&gt; 1990 &lt;/ option&gt; &lt;option value = "" 1989 ""&gt; 1989 &lt;/ option&gt; &lt;op"&amp;"tion value ="" 1988 ""&gt; 1988 &lt;/ option&gt; &lt;option value ="" 1987 ""&gt; 1987 &lt;/ option&gt; &lt;option value ="" 1986 ""&gt; 1986 &lt;/ option&gt; &lt;option value = ""1985""&gt; 1985 &lt;/ option&gt; &lt;option value = ""1984""&gt; 1984 &lt;/ option&gt; &lt;option value = ""1983""&gt; 1983 &lt;/ option&gt; &lt;op"&amp;"tion value = ""1982""&gt; 1982 &lt;/ option&gt; &lt; option value = ""1981""&gt; 1981 &lt;/ option&gt; &lt;option value = ""1980""&gt; 1980 &lt;/ option&gt; &lt;option value = ""1979""&gt; 1979 &lt;/ option&gt; &lt;option value = ""1978""&gt; 1978 &lt;/ option &gt; &lt;option value = ""1977""&gt; 1977 &lt;/ option&gt; &lt;opt"&amp;"ion value = ""1976""&gt; 1976 &lt;/ option&gt; &lt;option value = ""1975""&gt; 1975 &lt;/ option&gt; &lt;option value = ""1974""&gt; 1974 &lt; / option&gt; &lt;option value = ""1973""&gt; 1973 &lt;/ option&gt; &lt;option value = ""1972""&gt; 1972 &lt;/ option&gt; &lt;option value = ""1971""&gt; 1971 &lt;/ option&gt; &lt;optio"&amp;"n value = ""1970""&gt; 1970 &lt;/ option&gt; &lt;option value = ""1969""&gt; 1969 &lt;/ option&gt; &lt;option value = ""1968""&gt; 1968 &lt;/ option&gt; &lt;option value = ""1967""&gt; 1967 &lt;/ option&gt; &lt;option value = ""1966 ""&gt; 1966 &lt;/ option&gt; &lt;option value ="" 1965 ""&gt; 1965 &lt;/ option&gt; &lt;option"&amp;" value ="" 1964 ""&gt; 1964 &lt;/ option&gt; &lt;option value ="" 1963 ""&gt; 1963 &lt;/ option&gt; &lt;option value = ""1962""&gt; 1962 &lt;/ option&gt; &lt;option value = ""1961""&gt; 1961 &lt;/ option&gt; &lt;option value = ""1960""&gt; 1960 &lt;/ op tion&gt; &lt;option value = ""1959""&gt; 1959 &lt;/ option&gt; &lt;option"&amp;" value = ""1958""&gt; 1958 &lt;/ option&gt; &lt;option value = ""1957""&gt; 1957 &lt;/ option&gt; &lt;option value = ""1956""&gt; 1956 &lt;/ option&gt; &lt;option value = ""1955""&gt; 1955 &lt;/ option&gt; &lt;option value = ""1954""&gt; 1954 &lt;/ option&gt; &lt;option value = ""1953""&gt; 1953 &lt;/ option&gt; &lt;option va"&amp;"lue = ""1952"" &gt; 1952 &lt;/ option&gt; &lt;option value = ""1951""&gt; 1951 &lt;/ option&gt; &lt;option value = ""1950""&gt; 1950 &lt;/ option&gt; &lt;option value = ""1949""&gt; 1949 &lt;/ option&gt; &lt;option value = "" 1948 ""&gt; 1948 &lt;/ option&gt; &lt;option value ="" 1947 ""&gt; 1947 &lt;/ option&gt; &lt;option v"&amp;"alue ="" 1946 ""&gt; 1946 &lt;/ option&gt; &lt;option value ="" 1945 ""&gt; 1945 &lt;/ option&gt; &lt;option value = ""1944""&gt; 1944 &lt;/ option&gt; &lt;option value = ""1943""&gt; 1943 &lt;/ option&gt; &lt;option value = ""1942""&gt; 1942 &lt;/ option&gt; &lt;option value = ""1941""&gt; 1941 &lt;/ option&gt; &lt; option v"&amp;"alue = ""1940""&gt; 1940 &lt;/ option&gt; &lt;option value = ""1939""&gt; 1939 &lt;/ option&gt; &lt;option value = ""1938""&gt; 1938 &lt;/ option&gt; &lt;option value = ""1937""&gt; 1937 &lt;/ option &gt; &lt;option value = ""1936""&gt; 1936 &lt;/ option&gt; &lt;option value = ""1935""&gt; 1935 &lt;/ option&gt; &lt;option val"&amp;"ue = ""1934""&gt; 1934 &lt;/ option&gt; &lt;option value = ""1933""&gt; 1933 &lt; / option&gt; &lt;option value = ""1932""&gt; 1932 &lt;/ option&gt; &lt;option value = ""1931""&gt; 1931 &lt;/ option&gt; &lt;option v alue = ""1930""&gt; 1930 &lt;/ option&gt; &lt;option value = ""1929""&gt; 1929 &lt;/ option&gt; &lt;option valu"&amp;"e = ""1928""&gt; 1928 &lt;/ option&gt; &lt;option value = ""1927""&gt; 1927 &lt;/ option&gt; &lt;option value = ""1926""&gt; 1926 &lt;/ option&gt; &lt;option value = ""1925""&gt; 1925 &lt;/ option&gt; &lt;option value = ""1924""&gt; 1924 &lt;/ option&gt; &lt;option value = ""1923""&gt; 1923 &lt;/ option&gt; &lt;option value ="&amp;" ""1922""&gt; 1922 &lt;/ option&gt; &lt;option value = ""1921""&gt; 1921 &lt;/ option&gt; &lt;option value = ""1920""&gt; 1920 &lt;/ option&gt; &lt;option value = ""1919""&gt; 1919 &lt;/ option&gt; &lt;option value = ""1918""&gt; 1918 &lt;/ option&gt; &lt;option value = ""1917""&gt; 1917 &lt;/ option&gt; &lt;option value = """&amp;"1916""&gt; 1916 &lt;/ option&gt; &lt;option value = ""1915"" &gt; 1915 &lt;/ option&gt; &lt;option value = ""1914""&gt; 1914 &lt;/ option&gt; &lt;option value = ""1913""&gt; 1913 &lt;/ option&gt; &lt;option value = ""1912""&gt; 1912 &lt;/ option&gt; &lt;option value = "" 1911 ""&gt; 1911 &lt;/ option&gt; &lt;option value ="" "&amp;"1910 ""&gt; 1910 &lt;/ option&gt; &lt;option value ="" 1909 ""&gt; 1909 &lt;/ option&gt; &lt;option value ="" 1908 ""&gt; 1908 &lt;/ option&gt; &lt;option value = ""1907""&gt; 1907 &lt;/ option&gt; &lt;option value = ""1906""&gt; 1906 &lt;/ option&gt; &lt;option value = ""1905""&gt; 1905 &lt;/ option&gt; &lt;option value = """&amp;"1904""&gt; 1904 &lt;/ option&gt; &lt; option value = ""1903""&gt; 1903 &lt;/ option&gt; &lt;option value = ""1902""&gt; 1902 &lt;/ option&gt; &lt;option value = ""1901""&gt; 19 01 &lt;/ option&gt; &lt;option value = ""1900""&gt; 1900 &lt;/ option&gt; &lt;/ select&gt; &lt;div tabindex = ""- 1"" class = ""airy-age-gate-su"&amp;"bmit airy-submit-button airy airy-submit- disabled ""&gt; Submit &lt;/ div&gt; &lt;/ div&gt; &lt;/ div&gt; &lt;/ div&gt; &lt;/ div&gt; &lt;/ div&gt; &lt;div tabindex ="" - 1 ""class ="" airy-install-flash-dialog airy-course airy -Vertical-centering-table dialog airy-airy-denied ""style ="" opacit"&amp;"y: 0; visibility: hidden; ""&gt; &lt;div tabindex ="" - 1 ""class ="" airy-install-flash-vertical-centering-table-cell airy-vertical-centering-table-cell ""&gt; &lt;div tabindex ="" - 1 ""class = ""airy-vertical-centering-wrapper airy-install-flash-elements-wrapper"""&amp;"&gt; &lt;div tabindex = ""- 1"" class = ""airy-install-flash-elements airy-dialog-elements""&gt; &lt;div tabindex = "" -1 ""class ="" airy-install-flash-prompt ""&gt; Adobe Flash Player is required to watch this video &lt;/ div&gt; &lt;div = tabindex."" - 1 ""class ="" airy-inst"&amp;"all-flash-button-wrapper airy -dialog-inner-elements ""&gt; &lt;div tabindex ="" - 1 ""class ="" airy-install-flash-button airy-button ""&gt; install Flash Player &lt;/ div&gt; &lt;/ div&gt; &lt;/ div&gt; &lt;/ div&gt; &lt;/ div&gt; &lt;/ div&gt; &lt;div tabindex = ""- 1"" class = ""airy-video-unsuppor"&amp;"ted-dialog airy-course airy-vertical-centering table-airy-dialog airy-denied"" style = ""opacity: 0; visibility: hidden; ""&gt; &lt;div tabindex ="" - 1 ""class ="" airy-video-unsupported-vertical-centering-table-cell airy-vertical-centering-table-cell ""&gt; &lt;div"&amp;" tabindex ="" - 1 ""class = ""airy-vertical-centering-wrapper airy-video-unsupported-elements-wrapper""&gt; &lt;div tabindex = ""- 1"" class = ""airy-video-unsupported-elements airy-dialog-elements""&gt; &lt;div tabindex = "" -1 ""class ="" airy-video-unsupported-pro"&amp;"mpt ""&gt; &lt;/ div&gt; &lt;/ div&gt; &lt;/ div&gt; &lt;/ div&gt; &lt;/ div&gt; &lt;div tabindex ="" - 1 ""class ="" airy-loading- spinner-stage airy-stage ""&gt; &lt;div tabindex ="" - 1 ""class ="" airy-loading-spinner-vertical-centering-table-cell airy-vertical-centering-table-cell ""&gt; &lt;div t"&amp;"abindex ="" - 1 ""class ="" airy-loading-spinner container airy-scalable-hint-container ""&gt; &lt;div tabindex ="" - 1 ""class ="" airy-loading-spinner-dummy airy-scalable-dummy ""&gt; &lt;/ div&gt; &lt; div tabindex = ""- 1"" class = ""airy-loading-spinner airy-hint"" st"&amp;"yle = ""visibility: hidden;""&gt; &lt;/ div&gt; &lt;/ div&gt; &lt;/ div&gt; &lt;/ div&gt; &lt;div tabindex = ""- 1 ""class ="" airy-ads-screen-size-toggle airy-screen-size-toggle airy-fullscreen ""style ="" visibility: hidden; ""&gt; &lt;/ div&gt; &lt;div tabindex = ""-1"" class = ""airy-ad-promp"&amp;"t-container"" style = ""visibility: hidden;""&gt; &lt;div tabindex = ""- 1"" class = ""airy-ad-prompt-vertical-centering table-airy-vertical- centering-table ""&gt; &lt;div tabindex ="" - 1 ""class ="" airy-ad-prompt-vertical-centering-table-cell airy-vertical-center"&amp;"ing-table-cell ""&gt; &lt;div tabindex ="" - 1 ""class = ""airy-ad-prompt-label""&gt; &lt;/ div&gt; &lt;/ div&gt; &lt;/ div&gt; &lt;/ div&gt; &lt;div tabindex = ""- 1"" class = ""airy-ads-controls-container"" style = ""visibility: hidden; ""&gt; &lt;div tabindex ="" - 1 ""class ="" airy-ads-audio"&amp;"-toggle airy-audio-toggle airy-on ""style ="" visibility: hidden; ""&gt; &lt;/ div&gt; &lt;div tabindex ="" - 1 ""class ="" airy-time-remaining-label-container ""&gt; &lt;div tabindex ="" - 1 ""class ="" airy-time-remaining-vertical-centering table-airy-vertical-centering-"&amp;"table ""&gt; &lt;div tabindex = ""- 1"" class = ""airy-time-remaining-vertical-centering-table-cell airy-vertical-centering-table-cell""&gt; &lt;div tabindex = ""- 1"" class = ""airy-vertical-centering-wrapper airy-time-remaining-label-wrapper ""&gt; &lt;div tabindex ="" -"&amp;" 1 ""class ="" airy-time-remaining-label ""style ="" visibility: hidden; ""&gt; &lt;/ div&gt; &lt;div tabi ndex = ""- 1"" class = ""airy-ad-skip"" style = ""visibility: hidden;""&gt; &lt;/ div&gt; &lt;div tabindex = ""- 1"" class = ""airy-ad-end"" style = ""visibility: hidden; "&amp;"""&gt; &lt;/ div&gt; &lt;/ div&gt; &lt;/ div&gt; &lt;/ div&gt; &lt;/ div&gt; &lt;div tabindex ="" - 1 ""class ="" airy-learn-more ""style ="" visibility: hidden; ""&gt; &lt;/ div&gt; &lt;/ div&gt; &lt;div tabindex = ""- 1"" class = ""airy-play-toggle-hint-stage airy-course airy-cursor""&gt; &lt;div tabindex = ""- "&amp;"1"" class = ""airy-play -toggle-hint-vertical-centering-table-cell airy-vertical-centering-table-cell airy-cursor ""&gt; &lt;div tabindex ="" - 1 ""class ="" airy-play-toggle-hint-container airy-scalable- hint-container ""&gt; &lt;div tabindex ="" - 1 ""class ="" air"&amp;"y-play-toggle-hint-dummy airy-scalable-dummy ""&gt; &lt;/ div&gt; &lt;div tabindex ="" - 1 ""class ="" airy-play -toggle airy-hint-hint-hint airy-play ""style ="" opacity: 1; visibility: visible; ""&gt; &lt;/ div&gt; &lt;/ div&gt; &lt;/ div&gt; &lt;/ div&gt; &lt;div tabindex ="" - 1 ""class ="" a"&amp;"iry-replay-hint-stage airy-stage ""style ="" visibility: hidden ; ""&gt; &lt;div tabindex ="" - 1 ""class ="" airy-replay-hint-vertical-centering-table-cell airy-vertical-centering-table-cell airy-cursor ""&gt; &lt;div tabindex ="" - 1 ""class = ""airy-replay-hint-co"&amp;"ntainer airy-scalable-hint-container""&gt; &lt;div tabindex = ""- 1"" class = ""airy-replay-hint-dummy airy-scalable-dummy""&gt; &lt;/ div&gt; &lt;div tabindex = ""- 1"" class = ""airy-replay-hint airy-hint""&gt; &lt;/ div&gt; &lt;/ div&gt; &lt;/ div&gt; &lt;/ div&gt; &lt;div tabindex = ""- 1"" class ="&amp;" ""airy-autoplay-hint -stage airy-stage ""style ="" visibility: hidden; ""&gt; &lt;div tabindex ="" - 1 ""class ="" airy-autoplay-hint-vertical-centering-table-cell airy-vertical-centering-table-cell airy- cursor ""&gt; &lt;div tabindex ="" - 1 ""class ="" autoplay a"&amp;"iry-airy-hint-container-scalable-hint-container ""&gt; &lt;div tabindex ="" - 1 ""class ="" airy-autoplay-hint-dummy airy- scalable-dummy ""&gt; &lt;/ div&gt; &lt;/ div&gt; &lt;/ div&gt; &lt;/ div&gt; &lt;/ div&gt; &lt;/ div&gt; &lt;input type = 'hidden' name ="" ""value ="" https: // pictures-eu .ssl "&amp;"amazon.com-image / images / I / + B1 + gb7Cu kS.mp4 ""Class ="" video-url ""&gt; &lt;input type ="" hidden ""name ="" ""value ="" https://images-eu.ssl-images-amazon.com/images/I/81Jb0PV+4MS.png ""class = ""video-slate-img-url""&gt; &amp; nbsp; Hello, These headphones"&amp;" have good sound, the atria are practical, hold well, isolate half, but ... are unusable on my Honor play because the game connector . By cons, works well on Nintendo Switch and I would even say very fine! More practical than a big helmet, without being b"&amp;"othered by the sound environment. The jack seems slightly bias (which should not be a problem as long as the body is straight) and perhaps a slightly smaller diameter than my other headphones (two pairs have a good contact in the phone). I hesitate to sen"&amp;"d them back ... I do not know what to do.")</f>
        <v>Well, practice theory BUT &lt;div id = "video-block-R3K0SYBG98D6Y7" class = "a-section-spacing-small in-spacing-top mini video-block"&gt; &lt;div tabindex = "0" class = " airy airy-svg vmin-supported airy-skin-beacon "style =" background-color: rgb (0, 0, 0); position: relative; width: 100%; height: 100%; font-size: 0px; overflow : hidden; outline: none; "&gt; &lt;div class =" airy-renderer-container "style =" position: relative; height: 100%; width: 100%; "&gt; &lt;video id =" 7 "preload =" auto "src =" https://images-eu.ssl-images-amazon.com/images/I/B1+gb7Cu+kS.mp4 "style =" position: absolute; left: 0px; top: 0px; overflow: hidden ; height: 1px; width: 1px; "&gt; &lt;/ video&gt; &lt;/ div&gt; &lt;div id =" airy-slate-preload "style =" background-color: rgb (0, 0, 0); background-image: url (&amp; quot; https: //images-eu.ssl-images-amazon.com/images/I/81Jb0PV+4MS.png&amp;quot;); background-size: contain; background-position: center center; background-repeat: no -repeat; position: absolute; top: 0px; left: 0px; visibility: visible; width: 100%; height: 100% "&gt; &lt;/ div&gt; &lt;if train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 amazon.com-image / images / I / + B1 + gb7Cu kS.mp4 "Class =" video-url "&gt; &lt;input type =" hidden "name =" "value =" https://images-eu.ssl-images-amazon.com/images/I/81Jb0PV+4MS.png "class = "video-slate-img-url"&gt; &amp; nbsp; Hello, These headphones have good sound, the atria are practical, hold well, isolate half, but ... are unusable on my Honor play because the game connector . By cons, works well on Nintendo Switch and I would even say very fine! More practical than a big helmet, without being bothered by the sound environment. The jack seems slightly bias (which should not be a problem as long as the body is straight) and perhaps a slightly smaller diameter than my other headphones (two pairs have a good contact in the phone). I hesitate to send them back ... I do not know what to do.</v>
      </c>
    </row>
    <row r="13510">
      <c r="A13510" s="1">
        <v>1.0</v>
      </c>
      <c r="B13510" s="1" t="s">
        <v>13286</v>
      </c>
      <c r="C13510" t="str">
        <f>IFERROR(__xludf.DUMMYFUNCTION("GOOGLETRANSLATE(B13510, ""fr"", ""en"")"),"Paper photos Very Good")</f>
        <v>Paper photos Very Good</v>
      </c>
    </row>
    <row r="13511">
      <c r="A13511" s="1">
        <v>3.0</v>
      </c>
      <c r="B13511" s="1" t="s">
        <v>13287</v>
      </c>
      <c r="C13511" t="str">
        <f>IFERROR(__xludf.DUMMYFUNCTION("GOOGLETRANSLATE(B13511, ""fr"", ""en"")"),"A little shaky Good product but fragile")</f>
        <v>A little shaky Good product but fragile</v>
      </c>
    </row>
    <row r="13512">
      <c r="A13512" s="1">
        <v>3.0</v>
      </c>
      <c r="B13512" s="1" t="s">
        <v>13288</v>
      </c>
      <c r="C13512" t="str">
        <f>IFERROR(__xludf.DUMMYFUNCTION("GOOGLETRANSLATE(B13512, ""fr"", ""en"")"),"Nice but Transparencies is the leggings is nice ... But very transparent on the buttocks after This may be due to the fact that I have generous forms")</f>
        <v>Nice but Transparencies is the leggings is nice ... But very transparent on the buttocks after This may be due to the fact that I have generous forms</v>
      </c>
    </row>
    <row r="13513">
      <c r="A13513" s="1">
        <v>4.0</v>
      </c>
      <c r="B13513" s="1" t="s">
        <v>13289</v>
      </c>
      <c r="C13513" t="str">
        <f>IFERROR(__xludf.DUMMYFUNCTION("GOOGLETRANSLATE(B13513, ""fr"", ""en"")"),"Super Super my son feels to run faster")</f>
        <v>Super Super my son feels to run faster</v>
      </c>
    </row>
    <row r="13514">
      <c r="A13514" s="1">
        <v>4.0</v>
      </c>
      <c r="B13514" s="1" t="s">
        <v>13290</v>
      </c>
      <c r="C13514" t="str">
        <f>IFERROR(__xludf.DUMMYFUNCTION("GOOGLETRANSLATE(B13514, ""fr"", ""en"")"),"Good product Very good")</f>
        <v>Good product Very good</v>
      </c>
    </row>
    <row r="13515">
      <c r="A13515" s="1">
        <v>4.0</v>
      </c>
      <c r="B13515" s="1" t="s">
        <v>13291</v>
      </c>
      <c r="C13515" t="str">
        <f>IFERROR(__xludf.DUMMYFUNCTION("GOOGLETRANSLATE(B13515, ""fr"", ""en"")"),"Top They are awesome I love dr martens and this model was really pleased me. I mostly fall for the double flange and the zipper are top. For the size we must take its normal size because there is room for after my personal opinion. The only drawbacks that"&amp;" I find to fault it is the friction of the zipper calf is sometimes annoying")</f>
        <v>Top They are awesome I love dr martens and this model was really pleased me. I mostly fall for the double flange and the zipper are top. For the size we must take its normal size because there is room for after my personal opinion. The only drawbacks that I find to fault it is the friction of the zipper calf is sometimes annoying</v>
      </c>
    </row>
    <row r="13516">
      <c r="A13516" s="1">
        <v>4.0</v>
      </c>
      <c r="B13516" s="1" t="s">
        <v>13292</v>
      </c>
      <c r="C13516" t="str">
        <f>IFERROR(__xludf.DUMMYFUNCTION("GOOGLETRANSLATE(B13516, ""fr"", ""en"")"),"Necklace For a gift to my wife")</f>
        <v>Necklace For a gift to my wife</v>
      </c>
    </row>
    <row r="13517">
      <c r="A13517" s="1">
        <v>5.0</v>
      </c>
      <c r="B13517" s="1" t="s">
        <v>13293</v>
      </c>
      <c r="C13517" t="str">
        <f>IFERROR(__xludf.DUMMYFUNCTION("GOOGLETRANSLATE(B13517, ""fr"", ""en"")"),"Bluetooth headphones quality earphones come with a storage case which also battery Office (6000 mAh), a micro USB cable, a storage pouch and additional caps (different sizes). They hold up well in the ears (which we do sports or not), the touch controls r"&amp;"espond and work very well no worries at this level. The headphones easily connect the phone and the sound quality is very nice. The design of the headphones as the case is very nice, you can see that it is a good quality product. There is also a battery p"&amp;"ercentage indicator on the case turns out to be very useful. Case can also be used as backup battery. I am very satisfied with this product")</f>
        <v>Bluetooth headphones quality earphones come with a storage case which also battery Office (6000 mAh), a micro USB cable, a storage pouch and additional caps (different sizes). They hold up well in the ears (which we do sports or not), the touch controls respond and work very well no worries at this level. The headphones easily connect the phone and the sound quality is very nice. The design of the headphones as the case is very nice, you can see that it is a good quality product. There is also a battery percentage indicator on the case turns out to be very useful. Case can also be used as backup battery. I am very satisfied with this product</v>
      </c>
    </row>
    <row r="13518">
      <c r="A13518" s="1">
        <v>5.0</v>
      </c>
      <c r="B13518" s="1" t="s">
        <v>13294</v>
      </c>
      <c r="C13518" t="str">
        <f>IFERROR(__xludf.DUMMYFUNCTION("GOOGLETRANSLATE(B13518, ""fr"", ""en"")"),"pretty model. Very good product, very comfortable shoe, nothing to say! Excellent foot comfort. These shoes are great! Although I do not know the durability of materials over the long term.")</f>
        <v>pretty model. Very good product, very comfortable shoe, nothing to say! Excellent foot comfort. These shoes are great! Although I do not know the durability of materials over the long term.</v>
      </c>
    </row>
    <row r="13519">
      <c r="A13519" s="1">
        <v>5.0</v>
      </c>
      <c r="B13519" s="1" t="s">
        <v>13295</v>
      </c>
      <c r="C13519" t="str">
        <f>IFERROR(__xludf.DUMMYFUNCTION("GOOGLETRANSLATE(B13519, ""fr"", ""en"")"),"Nice pendant necklace 💖💖💖 control well received prompt and courteous service 😉 pendant necklace round and colorful gift idea nice 👍")</f>
        <v>Nice pendant necklace 💖💖💖 control well received prompt and courteous service 😉 pendant necklace round and colorful gift idea nice 👍</v>
      </c>
    </row>
    <row r="13520">
      <c r="A13520" s="1">
        <v>5.0</v>
      </c>
      <c r="B13520" s="1" t="s">
        <v>13296</v>
      </c>
      <c r="C13520" t="str">
        <f>IFERROR(__xludf.DUMMYFUNCTION("GOOGLETRANSLATE(B13520, ""fr"", ""en"")"),"Good quality / price I wanted to buy a microphone to replace one of my helmet and I ran into this. I think for that price you can not beat. The sound picked up is very good attention to the cardioid therefore large enough, can take easily the sounds aroun"&amp;"d. The support is good, although clearly there are better, but for the price I am very satisfied.")</f>
        <v>Good quality / price I wanted to buy a microphone to replace one of my helmet and I ran into this. I think for that price you can not beat. The sound picked up is very good attention to the cardioid therefore large enough, can take easily the sounds around. The support is good, although clearly there are better, but for the price I am very satisfied.</v>
      </c>
    </row>
    <row r="13521">
      <c r="A13521" s="1">
        <v>5.0</v>
      </c>
      <c r="B13521" s="1" t="s">
        <v>13297</v>
      </c>
      <c r="C13521" t="str">
        <f>IFERROR(__xludf.DUMMYFUNCTION("GOOGLETRANSLATE(B13521, ""fr"", ""en"")"),"Recommended Very good product")</f>
        <v>Recommended Very good product</v>
      </c>
    </row>
    <row r="13522">
      <c r="A13522" s="1">
        <v>5.0</v>
      </c>
      <c r="B13522" s="1" t="s">
        <v>13298</v>
      </c>
      <c r="C13522" t="str">
        <f>IFERROR(__xludf.DUMMYFUNCTION("GOOGLETRANSLATE(B13522, ""fr"", ""en"")"),"From classic Classic Bensimon you like them, neutral crayon that agrees with everything")</f>
        <v>From classic Classic Bensimon you like them, neutral crayon that agrees with everything</v>
      </c>
    </row>
    <row r="13523">
      <c r="A13523" s="1">
        <v>5.0</v>
      </c>
      <c r="B13523" s="1" t="s">
        <v>13299</v>
      </c>
      <c r="C13523" t="str">
        <f>IFERROR(__xludf.DUMMYFUNCTION("GOOGLETRANSLATE(B13523, ""fr"", ""en"")"),"Super bedside lamp Very glad I bought this bed lamp that does well on an alarm clock. there are several degrees of light and it's really a not disturbed neighbor :) Ability to have more wake and also possibility of radio, really top can even pair it with "&amp;"google Home!")</f>
        <v>Super bedside lamp Very glad I bought this bed lamp that does well on an alarm clock. there are several degrees of light and it's really a not disturbed neighbor :) Ability to have more wake and also possibility of radio, really top can even pair it with google Home!</v>
      </c>
    </row>
    <row r="13524">
      <c r="A13524" s="1">
        <v>5.0</v>
      </c>
      <c r="B13524" s="1" t="s">
        <v>13300</v>
      </c>
      <c r="C13524" t="str">
        <f>IFERROR(__xludf.DUMMYFUNCTION("GOOGLETRANSLATE(B13524, ""fr"", ""en"")"),"I recommend I like like hot")</f>
        <v>I recommend I like like hot</v>
      </c>
    </row>
    <row r="13525">
      <c r="A13525" s="1">
        <v>5.0</v>
      </c>
      <c r="B13525" s="1" t="s">
        <v>13301</v>
      </c>
      <c r="C13525" t="str">
        <f>IFERROR(__xludf.DUMMYFUNCTION("GOOGLETRANSLATE(B13525, ""fr"", ""en"")"),"Very Satisfied Product Character I took a size bigger and is impeccable. The product is not only outstanding quality but frankly to hang and given the price that suits me fine. Upon receipt, I recommended in my 2 surcharge is everything. cordially")</f>
        <v>Very Satisfied Product Character I took a size bigger and is impeccable. The product is not only outstanding quality but frankly to hang and given the price that suits me fine. Upon receipt, I recommended in my 2 surcharge is everything. cordially</v>
      </c>
    </row>
    <row r="13526">
      <c r="A13526" s="1">
        <v>5.0</v>
      </c>
      <c r="B13526" s="1" t="s">
        <v>13302</v>
      </c>
      <c r="C13526" t="str">
        <f>IFERROR(__xludf.DUMMYFUNCTION("GOOGLETRANSLATE(B13526, ""fr"", ""en"")"),"Too beautiful watch I was delivered very quickly, this is a pretty faithful watch the picture, I do not regret my purchase by cons attention to small wrists :-)")</f>
        <v>Too beautiful watch I was delivered very quickly, this is a pretty faithful watch the picture, I do not regret my purchase by cons attention to small wrists :-)</v>
      </c>
    </row>
    <row r="13527">
      <c r="A13527" s="1">
        <v>5.0</v>
      </c>
      <c r="B13527" s="1" t="s">
        <v>13303</v>
      </c>
      <c r="C13527" t="str">
        <f>IFERROR(__xludf.DUMMYFUNCTION("GOOGLETRANSLATE(B13527, ""fr"", ""en"")"),"Perfect for a lowbudget Tre Calita good for a little be produced, it is perfect for small poject, I prefer working with because there is little more I can fit a shotgun mic.")</f>
        <v>Perfect for a lowbudget Tre Calita good for a little be produced, it is perfect for small poject, I prefer working with because there is little more I can fit a shotgun mic.</v>
      </c>
    </row>
    <row r="13528">
      <c r="A13528" s="1">
        <v>5.0</v>
      </c>
      <c r="B13528" s="1" t="s">
        <v>13304</v>
      </c>
      <c r="C13528" t="str">
        <f>IFERROR(__xludf.DUMMYFUNCTION("GOOGLETRANSLATE(B13528, ""fr"", ""en"")"),"Very good for fitness and travel Being fitness instructor and traveling a lot is to date the most solid and best quality headphones + usage time I had. Very good product, no need to put millions here you have the right price for quality.")</f>
        <v>Very good for fitness and travel Being fitness instructor and traveling a lot is to date the most solid and best quality headphones + usage time I had. Very good product, no need to put millions here you have the right price for quality.</v>
      </c>
    </row>
    <row r="13529">
      <c r="A13529" s="1">
        <v>5.0</v>
      </c>
      <c r="B13529" s="1" t="s">
        <v>13305</v>
      </c>
      <c r="C13529" t="str">
        <f>IFERROR(__xludf.DUMMYFUNCTION("GOOGLETRANSLATE(B13529, ""fr"", ""en"")"),"Pretty gem !!!! Bijou beautiful and radiant.")</f>
        <v>Pretty gem !!!! Bijou beautiful and radiant.</v>
      </c>
    </row>
    <row r="13530">
      <c r="A13530" s="1">
        <v>5.0</v>
      </c>
      <c r="B13530" s="1" t="s">
        <v>13306</v>
      </c>
      <c r="C13530" t="str">
        <f>IFERROR(__xludf.DUMMYFUNCTION("GOOGLETRANSLATE(B13530, ""fr"", ""en"")"),"Fine for a princesse- dress Rose much clearer than the picture I bought this skirt / petticoat rose to an Aurora costume to my 8 year old daughter (great for some costumes for children). Apart from the fact that the color of the inner fabric is still decr"&amp;"eased by 2 levels of ruffles (pink very clear), it gives a princess dress effect as I wanted (high bulk). Although the cost of delivery, increase the price of the skirt, I think I'll order other colors for other princesses. And important detail, the artic"&amp;"le came well before its delivery date, it's great that. I already washed skirt delicate program (in a net) and it came out in very good condition.")</f>
        <v>Fine for a princesse- dress Rose much clearer than the picture I bought this skirt / petticoat rose to an Aurora costume to my 8 year old daughter (great for some costumes for children). Apart from the fact that the color of the inner fabric is still decreased by 2 levels of ruffles (pink very clear), it gives a princess dress effect as I wanted (high bulk). Although the cost of delivery, increase the price of the skirt, I think I'll order other colors for other princesses. And important detail, the article came well before its delivery date, it's great that. I already washed skirt delicate program (in a net) and it came out in very good condition.</v>
      </c>
    </row>
    <row r="13531">
      <c r="A13531" s="1">
        <v>5.0</v>
      </c>
      <c r="B13531" s="1" t="s">
        <v>13307</v>
      </c>
      <c r="C13531" t="str">
        <f>IFERROR(__xludf.DUMMYFUNCTION("GOOGLETRANSLATE(B13531, ""fr"", ""en"")"),"Great quality for walking. I liked the shape memory sole.")</f>
        <v>Great quality for walking. I liked the shape memory sole.</v>
      </c>
    </row>
    <row r="13532">
      <c r="A13532" s="1">
        <v>2.0</v>
      </c>
      <c r="B13532" s="1" t="s">
        <v>13308</v>
      </c>
      <c r="C13532" t="str">
        <f>IFERROR(__xludf.DUMMYFUNCTION("GOOGLETRANSLATE(B13532, ""fr"", ""en"")"),"Watch fossil The battery takes one day !!!")</f>
        <v>Watch fossil The battery takes one day !!!</v>
      </c>
    </row>
    <row r="13533">
      <c r="A13533" s="1">
        <v>1.0</v>
      </c>
      <c r="B13533" s="1" t="s">
        <v>13309</v>
      </c>
      <c r="C13533" t="str">
        <f>IFERROR(__xludf.DUMMYFUNCTION("GOOGLETRANSLATE(B13533, ""fr"", ""en"")"),"Rubbish mic I hear pretty well the music except the people I call can not hear me at all !!!!!")</f>
        <v>Rubbish mic I hear pretty well the music except the people I call can not hear me at all !!!!!</v>
      </c>
    </row>
    <row r="13534">
      <c r="A13534" s="1">
        <v>1.0</v>
      </c>
      <c r="B13534" s="1" t="s">
        <v>13310</v>
      </c>
      <c r="C13534" t="str">
        <f>IFERROR(__xludf.DUMMYFUNCTION("GOOGLETRANSLATE(B13534, ""fr"", ""en"")"),"no longer works works already after 15 days, the lights do not work anymore shame because it was a nice gift, and I hesitate to use the same")</f>
        <v>no longer works works already after 15 days, the lights do not work anymore shame because it was a nice gift, and I hesitate to use the same</v>
      </c>
    </row>
    <row r="13535">
      <c r="A13535" s="1">
        <v>3.0</v>
      </c>
      <c r="B13535" s="1" t="s">
        <v>13311</v>
      </c>
      <c r="C13535" t="str">
        <f>IFERROR(__xludf.DUMMYFUNCTION("GOOGLETRANSLATE(B13535, ""fr"", ""en"")"),"Very nice coffee maker, simple to use, tasty coffee, but bp coffee mare rejection Very nice design, large capacity, ability to adjust the coffee strength, very good serious flavor that a multi-jet system, flat, the pond coffee overflowing from the filter "&amp;"indicated by the mark and pollutes coffee. I'm looking larger filter hoping that it will avoid the inconvenience.")</f>
        <v>Very nice coffee maker, simple to use, tasty coffee, but bp coffee mare rejection Very nice design, large capacity, ability to adjust the coffee strength, very good serious flavor that a multi-jet system, flat, the pond coffee overflowing from the filter indicated by the mark and pollutes coffee. I'm looking larger filter hoping that it will avoid the inconvenience.</v>
      </c>
    </row>
    <row r="13536">
      <c r="A13536" s="1">
        <v>3.0</v>
      </c>
      <c r="B13536" s="1" t="s">
        <v>13312</v>
      </c>
      <c r="C13536" t="str">
        <f>IFERROR(__xludf.DUMMYFUNCTION("GOOGLETRANSLATE(B13536, ""fr"", ""en"")"),"Good helmet for children. I bought it for my 10 year old son. the design is nice. The material is robust. The setting is very basic but effective. The sound is OK for children.")</f>
        <v>Good helmet for children. I bought it for my 10 year old son. the design is nice. The material is robust. The setting is very basic but effective. The sound is OK for children.</v>
      </c>
    </row>
    <row r="13537">
      <c r="A13537" s="1">
        <v>4.0</v>
      </c>
      <c r="B13537" s="1" t="s">
        <v>13313</v>
      </c>
      <c r="C13537" t="str">
        <f>IFERROR(__xludf.DUMMYFUNCTION("GOOGLETRANSLATE(B13537, ""fr"", ""en"")"),"Good novelty but not more anti leak another bottle This new bottle BABY proposes a new closure system: instead of screwing the nipple on the bottle is the eclipse, which has the advantage of being a one hand. Do not be fooled, this is not more anti leak a"&amp;"nother bottle (without the lid if you tilt the bottle it leaks from the nipple of course). It offers a large capacity (great for baby bottles with larger grains). fairly wide neck to make a brush. Polypropylene BPA Baby Bottles and comfort those particula"&amp;"r dummies are those that have worked with my children. Caution blue does not match that of the photograph rather to a blue light green.")</f>
        <v>Good novelty but not more anti leak another bottle This new bottle BABY proposes a new closure system: instead of screwing the nipple on the bottle is the eclipse, which has the advantage of being a one hand. Do not be fooled, this is not more anti leak another bottle (without the lid if you tilt the bottle it leaks from the nipple of course). It offers a large capacity (great for baby bottles with larger grains). fairly wide neck to make a brush. Polypropylene BPA Baby Bottles and comfort those particular dummies are those that have worked with my children. Caution blue does not match that of the photograph rather to a blue light green.</v>
      </c>
    </row>
    <row r="13538">
      <c r="A13538" s="1">
        <v>4.0</v>
      </c>
      <c r="B13538" s="1" t="s">
        <v>13314</v>
      </c>
      <c r="C13538" t="str">
        <f>IFERROR(__xludf.DUMMYFUNCTION("GOOGLETRANSLATE(B13538, ""fr"", ""en"")"),"Comfort Very good product")</f>
        <v>Comfort Very good product</v>
      </c>
    </row>
    <row r="13539">
      <c r="A13539" s="1">
        <v>4.0</v>
      </c>
      <c r="B13539" s="1" t="s">
        <v>13315</v>
      </c>
      <c r="C13539" t="str">
        <f>IFERROR(__xludf.DUMMYFUNCTION("GOOGLETRANSLATE(B13539, ""fr"", ""en"")"),"longevity of the very fast delivery product but impossible to evaluate longevity, because they are new")</f>
        <v>longevity of the very fast delivery product but impossible to evaluate longevity, because they are new</v>
      </c>
    </row>
    <row r="13540">
      <c r="A13540" s="1">
        <v>4.0</v>
      </c>
      <c r="B13540" s="1" t="s">
        <v>13316</v>
      </c>
      <c r="C13540" t="str">
        <f>IFERROR(__xludf.DUMMYFUNCTION("GOOGLETRANSLATE(B13540, ""fr"", ""en"")"),"To try it is to adopt it ! Offered my dad. He loves it ... it relaxes and soothes after a long day!")</f>
        <v>To try it is to adopt it ! Offered my dad. He loves it ... it relaxes and soothes after a long day!</v>
      </c>
    </row>
    <row r="13541">
      <c r="A13541" s="1">
        <v>4.0</v>
      </c>
      <c r="B13541" s="1" t="s">
        <v>13317</v>
      </c>
      <c r="C13541" t="str">
        <f>IFERROR(__xludf.DUMMYFUNCTION("GOOGLETRANSLATE(B13541, ""fr"", ""en"")"),"Fixing paste Practice")</f>
        <v>Fixing paste Practice</v>
      </c>
    </row>
    <row r="13542">
      <c r="A13542" s="1">
        <v>5.0</v>
      </c>
      <c r="B13542" s="1" t="s">
        <v>13318</v>
      </c>
      <c r="C13542" t="str">
        <f>IFERROR(__xludf.DUMMYFUNCTION("GOOGLETRANSLATE(B13542, ""fr"", ""en"")"),"Nice oversize sweater good quality well cut oversize sweater Pretty nice color nice color carve pretty much no matter quality too thick not too thin either I took the XL as I measure 1.m 78 it happens at the bottom of perfect buttocks .")</f>
        <v>Nice oversize sweater good quality well cut oversize sweater Pretty nice color nice color carve pretty much no matter quality too thick not too thin either I took the XL as I measure 1.m 78 it happens at the bottom of perfect buttocks .</v>
      </c>
    </row>
    <row r="13543">
      <c r="A13543" s="1">
        <v>5.0</v>
      </c>
      <c r="B13543" s="1" t="s">
        <v>13319</v>
      </c>
      <c r="C13543" t="str">
        <f>IFERROR(__xludf.DUMMYFUNCTION("GOOGLETRANSLATE(B13543, ""fr"", ""en"")"),"Perfect fit on all types of ears These headphones take great. I do not do sports but I took these headphones for their retention bracket so they do not fall, otherwise I do not know why but conventional headphones fall out of my ears all the time without "&amp;"even moving. Here I can even tinker without worry. The sound is good, and the integrated buttons to change music (forward). usb C supplied to the load cable. Instructions in French practice to see the various functions associated with the buttons. Synchro"&amp;"nize well with iPhone iOS 7 More 13.")</f>
        <v>Perfect fit on all types of ears These headphones take great. I do not do sports but I took these headphones for their retention bracket so they do not fall, otherwise I do not know why but conventional headphones fall out of my ears all the time without even moving. Here I can even tinker without worry. The sound is good, and the integrated buttons to change music (forward). usb C supplied to the load cable. Instructions in French practice to see the various functions associated with the buttons. Synchronize well with iPhone iOS 7 More 13.</v>
      </c>
    </row>
    <row r="13544">
      <c r="A13544" s="1">
        <v>5.0</v>
      </c>
      <c r="B13544" s="1" t="s">
        <v>13320</v>
      </c>
      <c r="C13544" t="str">
        <f>IFERROR(__xludf.DUMMYFUNCTION("GOOGLETRANSLATE(B13544, ""fr"", ""en"")"),"Perfect Perfect. Fabric very light and pleasant. Good cut.")</f>
        <v>Perfect Perfect. Fabric very light and pleasant. Good cut.</v>
      </c>
    </row>
    <row r="13545">
      <c r="A13545" s="1">
        <v>5.0</v>
      </c>
      <c r="B13545" s="1" t="s">
        <v>13321</v>
      </c>
      <c r="C13545" t="str">
        <f>IFERROR(__xludf.DUMMYFUNCTION("GOOGLETRANSLATE(B13545, ""fr"", ""en"")"),"Good product Product according to the description. Good quality baby grip and nipple is fine, the flat tip allows baby to eat even in mixed feeding")</f>
        <v>Good product Product according to the description. Good quality baby grip and nipple is fine, the flat tip allows baby to eat even in mixed feeding</v>
      </c>
    </row>
    <row r="13546">
      <c r="A13546" s="1">
        <v>5.0</v>
      </c>
      <c r="B13546" s="1" t="s">
        <v>13322</v>
      </c>
      <c r="C13546" t="str">
        <f>IFERROR(__xludf.DUMMYFUNCTION("GOOGLETRANSLATE(B13546, ""fr"", ""en"")"),"Super Promo Best descaling product, in my opinion .. I use for SAECO Intelia, since its purchase in 2013, every three months. and never had a problem. guaranteed result.")</f>
        <v>Super Promo Best descaling product, in my opinion .. I use for SAECO Intelia, since its purchase in 2013, every three months. and never had a problem. guaranteed result.</v>
      </c>
    </row>
    <row r="13547">
      <c r="A13547" s="1">
        <v>5.0</v>
      </c>
      <c r="B13547" s="1" t="s">
        <v>13323</v>
      </c>
      <c r="C13547" t="str">
        <f>IFERROR(__xludf.DUMMYFUNCTION("GOOGLETRANSLATE(B13547, ""fr"", ""en"")"),"Excellent Excellent value for money")</f>
        <v>Excellent Excellent value for money</v>
      </c>
    </row>
    <row r="13548">
      <c r="A13548" s="1">
        <v>5.0</v>
      </c>
      <c r="B13548" s="1" t="s">
        <v>13324</v>
      </c>
      <c r="C13548" t="str">
        <f>IFERROR(__xludf.DUMMYFUNCTION("GOOGLETRANSLATE(B13548, ""fr"", ""en"")"),"Personal Character and for me not worn but all going well and I think the comments is too long")</f>
        <v>Personal Character and for me not worn but all going well and I think the comments is too long</v>
      </c>
    </row>
    <row r="13549">
      <c r="A13549" s="1">
        <v>5.0</v>
      </c>
      <c r="B13549" s="1" t="s">
        <v>13325</v>
      </c>
      <c r="C13549" t="str">
        <f>IFERROR(__xludf.DUMMYFUNCTION("GOOGLETRANSLATE(B13549, ""fr"", ""en"")"),"Good Very good")</f>
        <v>Good Very good</v>
      </c>
    </row>
    <row r="13550">
      <c r="A13550" s="1">
        <v>5.0</v>
      </c>
      <c r="B13550" s="1" t="s">
        <v>13326</v>
      </c>
      <c r="C13550" t="str">
        <f>IFERROR(__xludf.DUMMYFUNCTION("GOOGLETRANSLATE(B13550, ""fr"", ""en"")"),"Watch perfect very good good design and excellent value for money bill")</f>
        <v>Watch perfect very good good design and excellent value for money bill</v>
      </c>
    </row>
    <row r="13551">
      <c r="A13551" s="1">
        <v>5.0</v>
      </c>
      <c r="B13551" s="1" t="s">
        <v>13327</v>
      </c>
      <c r="C13551" t="str">
        <f>IFERROR(__xludf.DUMMYFUNCTION("GOOGLETRANSLATE(B13551, ""fr"", ""en"")"),"class shows and classic! watch pretty classic design ... thin enough so ideal to wear understated but classy! my husband who rarely says she carries the gene while no other yes!")</f>
        <v>class shows and classic! watch pretty classic design ... thin enough so ideal to wear understated but classy! my husband who rarely says she carries the gene while no other yes!</v>
      </c>
    </row>
    <row r="13552">
      <c r="A13552" s="1">
        <v>5.0</v>
      </c>
      <c r="B13552" s="1" t="s">
        <v>13328</v>
      </c>
      <c r="C13552" t="str">
        <f>IFERROR(__xludf.DUMMYFUNCTION("GOOGLETRANSLATE(B13552, ""fr"", ""en"")"),"sneakers ""go anywhere"" Very good pair of sneakers, light, comfortable, retain the graceful feet, cashing perfectly defects stony ground is recommended.")</f>
        <v>sneakers "go anywhere" Very good pair of sneakers, light, comfortable, retain the graceful feet, cashing perfectly defects stony ground is recommended.</v>
      </c>
    </row>
    <row r="13553">
      <c r="A13553" s="1">
        <v>5.0</v>
      </c>
      <c r="B13553" s="1" t="s">
        <v>13329</v>
      </c>
      <c r="C13553" t="str">
        <f>IFERROR(__xludf.DUMMYFUNCTION("GOOGLETRANSLATE(B13553, ""fr"", ""en"")"),"Super Micro value for money for streaming, musicians and singers. Right at the top, a great sound emerges, solid. A product at the top, I recommend.")</f>
        <v>Super Micro value for money for streaming, musicians and singers. Right at the top, a great sound emerges, solid. A product at the top, I recommend.</v>
      </c>
    </row>
    <row r="13554">
      <c r="A13554" s="1">
        <v>5.0</v>
      </c>
      <c r="B13554" s="1" t="s">
        <v>13330</v>
      </c>
      <c r="C13554" t="str">
        <f>IFERROR(__xludf.DUMMYFUNCTION("GOOGLETRANSLATE(B13554, ""fr"", ""en"")"),"Lightness. I put these sneakers whole afternoon to try and see if I do not have sore feet well no they are Lightest, so no heavy legs.")</f>
        <v>Lightness. I put these sneakers whole afternoon to try and see if I do not have sore feet well no they are Lightest, so no heavy legs.</v>
      </c>
    </row>
    <row r="13555">
      <c r="A13555" s="1">
        <v>5.0</v>
      </c>
      <c r="B13555" s="1" t="s">
        <v>13331</v>
      </c>
      <c r="C13555" t="str">
        <f>IFERROR(__xludf.DUMMYFUNCTION("GOOGLETRANSLATE(B13555, ""fr"", ""en"")"),"At the top Awesome")</f>
        <v>At the top Awesome</v>
      </c>
    </row>
    <row r="13556">
      <c r="A13556" s="1">
        <v>5.0</v>
      </c>
      <c r="B13556" s="1" t="s">
        <v>13332</v>
      </c>
      <c r="C13556" t="str">
        <f>IFERROR(__xludf.DUMMYFUNCTION("GOOGLETRANSLATE(B13556, ""fr"", ""en"")"),"Nickel Good product fast delivery cheap I recommend")</f>
        <v>Nickel Good product fast delivery cheap I recommend</v>
      </c>
    </row>
    <row r="13557">
      <c r="A13557" s="1">
        <v>2.0</v>
      </c>
      <c r="B13557" s="1" t="s">
        <v>13333</v>
      </c>
      <c r="C13557" t="str">
        <f>IFERROR(__xludf.DUMMYFUNCTION("GOOGLETRANSLATE(B13557, ""fr"", ""en"")"),"blah I would listen to the commentary. they have too a plastic look, and ""clumsy""")</f>
        <v>blah I would listen to the commentary. they have too a plastic look, and "clumsy"</v>
      </c>
    </row>
    <row r="13558">
      <c r="A13558" s="1">
        <v>1.0</v>
      </c>
      <c r="B13558" s="1" t="s">
        <v>13334</v>
      </c>
      <c r="C13558" t="str">
        <f>IFERROR(__xludf.DUMMYFUNCTION("GOOGLETRANSLATE(B13558, ""fr"", ""en"")"),"Talking Watch for blind nil nil nil nil nil null Disappointed I'm not seeing too little is understood to bad bad writing quill from my wife really very disappointed")</f>
        <v>Talking Watch for blind nil nil nil nil nil null Disappointed I'm not seeing too little is understood to bad bad writing quill from my wife really very disappointed</v>
      </c>
    </row>
    <row r="13559">
      <c r="A13559" s="1">
        <v>1.0</v>
      </c>
      <c r="B13559" s="1" t="s">
        <v>13335</v>
      </c>
      <c r="C13559" t="str">
        <f>IFERROR(__xludf.DUMMYFUNCTION("GOOGLETRANSLATE(B13559, ""fr"", ""en"")"),"Closing already broken zipper broken after two uses.")</f>
        <v>Closing already broken zipper broken after two uses.</v>
      </c>
    </row>
    <row r="13560">
      <c r="A13560" s="1">
        <v>3.0</v>
      </c>
      <c r="B13560" s="1" t="s">
        <v>13336</v>
      </c>
      <c r="C13560" t="str">
        <f>IFERROR(__xludf.DUMMYFUNCTION("GOOGLETRANSLATE(B13560, ""fr"", ""en"")"),"Turns back on itself! I would put 5 star comment, until I discovered that the automatic stop that sets up when the mud water, he did not call the switch in its place, and suddenly, once cooled it comes back (even if there is no water inside) until it once"&amp;" again become hot again .. and so on. you can imagine the Electricity consumption this break!")</f>
        <v>Turns back on itself! I would put 5 star comment, until I discovered that the automatic stop that sets up when the mud water, he did not call the switch in its place, and suddenly, once cooled it comes back (even if there is no water inside) until it once again become hot again .. and so on. you can imagine the Electricity consumption this break!</v>
      </c>
    </row>
    <row r="13561">
      <c r="A13561" s="1">
        <v>3.0</v>
      </c>
      <c r="B13561" s="1" t="s">
        <v>13337</v>
      </c>
      <c r="C13561" t="str">
        <f>IFERROR(__xludf.DUMMYFUNCTION("GOOGLETRANSLATE(B13561, ""fr"", ""en"")"),"Good but not tip top Hello, I tested it after all the good reviews posted on Amazon. The headphones provide good sound though a bit too serious now. Ergonomics is really not bad and the comfort is. However, I returned for the following reasons. You have t"&amp;"wo buttons on the headset to make it functional. A first for the turn and another to pair the phone and activate the noise reduction. Why this choice? Especially since you can have your helmet off and even active noise reduction without listening to music"&amp;". Not bad you might say if you just want to isolate you. However, the second negative point, you hear a continuous breath when the reduction is active. This is more or less well camouflaged when you listen to music but is omnipresent. Finally, reducing ca"&amp;"mouflages fairly serious sonds around you but much less acute (the voices of the people surrounding you in part). In short, at this price it's a headset pretty good for not too demanding customers and reducing its side. For purists and thin ears, I recomm"&amp;"end you.")</f>
        <v>Good but not tip top Hello, I tested it after all the good reviews posted on Amazon. The headphones provide good sound though a bit too serious now. Ergonomics is really not bad and the comfort is. However, I returned for the following reasons. You have two buttons on the headset to make it functional. A first for the turn and another to pair the phone and activate the noise reduction. Why this choice? Especially since you can have your helmet off and even active noise reduction without listening to music. Not bad you might say if you just want to isolate you. However, the second negative point, you hear a continuous breath when the reduction is active. This is more or less well camouflaged when you listen to music but is omnipresent. Finally, reducing camouflages fairly serious sonds around you but much less acute (the voices of the people surrounding you in part). In short, at this price it's a headset pretty good for not too demanding customers and reducing its side. For purists and thin ears, I recommend you.</v>
      </c>
    </row>
    <row r="13562">
      <c r="A13562" s="1">
        <v>4.0</v>
      </c>
      <c r="B13562" s="1" t="s">
        <v>13338</v>
      </c>
      <c r="C13562" t="str">
        <f>IFERROR(__xludf.DUMMYFUNCTION("GOOGLETRANSLATE(B13562, ""fr"", ""en"")"),"Correct proper helmet for the price")</f>
        <v>Correct proper helmet for the price</v>
      </c>
    </row>
    <row r="13563">
      <c r="A13563" s="1">
        <v>4.0</v>
      </c>
      <c r="B13563" s="1" t="s">
        <v>13339</v>
      </c>
      <c r="C13563" t="str">
        <f>IFERROR(__xludf.DUMMYFUNCTION("GOOGLETRANSLATE(B13563, ""fr"", ""en"")"),"For now see no need to change the cartridges, but have already purchased this type of original product on amazon, no complaints.")</f>
        <v>For now see no need to change the cartridges, but have already purchased this type of original product on amazon, no complaints.</v>
      </c>
    </row>
    <row r="13564">
      <c r="A13564" s="1">
        <v>4.0</v>
      </c>
      <c r="B13564" s="1" t="s">
        <v>13340</v>
      </c>
      <c r="C13564" t="str">
        <f>IFERROR(__xludf.DUMMYFUNCTION("GOOGLETRANSLATE(B13564, ""fr"", ""en"")"),"Top Fast delivery good headset, I just try the on my stereo, pre batteries charged, c is nice! Good sound, I can put very hard to listen to my music as I like to see in time, for the moment in line with my expectations, seulement4 stars because I have not"&amp;" yet tried the tv and others but very good for the chain")</f>
        <v>Top Fast delivery good headset, I just try the on my stereo, pre batteries charged, c is nice! Good sound, I can put very hard to listen to my music as I like to see in time, for the moment in line with my expectations, seulement4 stars because I have not yet tried the tv and others but very good for the chain</v>
      </c>
    </row>
    <row r="13565">
      <c r="A13565" s="1">
        <v>4.0</v>
      </c>
      <c r="B13565" s="1" t="s">
        <v>13341</v>
      </c>
      <c r="C13565" t="str">
        <f>IFERROR(__xludf.DUMMYFUNCTION("GOOGLETRANSLATE(B13565, ""fr"", ""en"")"),"I'm glad Yes he answered my expectations aside from the size of the shape of the color quality product they very well")</f>
        <v>I'm glad Yes he answered my expectations aside from the size of the shape of the color quality product they very well</v>
      </c>
    </row>
    <row r="13566">
      <c r="A13566" s="1">
        <v>5.0</v>
      </c>
      <c r="B13566" s="1" t="s">
        <v>13342</v>
      </c>
      <c r="C13566" t="str">
        <f>IFERROR(__xludf.DUMMYFUNCTION("GOOGLETRANSLATE(B13566, ""fr"", ""en"")"),"This is great! I ordered this watch as a gift, so I do not wear. But the person I've offered is enchanted. This person is a demanding natural and is picky about the technical details of the product (appearance, materials, motion, precision assemblies ...)"&amp;" It is very satisfied on these key criteria. We must now use every day to make judgments in terms of reliability but the impeccable appearance of all bodes well, I think we should not be disappointed. In any case the quality / price of this product is exc"&amp;"eptional and I am convinced to have made a very good deal. Detail that has its importance, the presentation box is like the rest, ie at the top and is likely to sublimate this already highly desirable.")</f>
        <v>This is great! I ordered this watch as a gift, so I do not wear. But the person I've offered is enchanted. This person is a demanding natural and is picky about the technical details of the product (appearance, materials, motion, precision assemblies ...) It is very satisfied on these key criteria. We must now use every day to make judgments in terms of reliability but the impeccable appearance of all bodes well, I think we should not be disappointed. In any case the quality / price of this product is exceptional and I am convinced to have made a very good deal. Detail that has its importance, the presentation box is like the rest, ie at the top and is likely to sublimate this already highly desirable.</v>
      </c>
    </row>
    <row r="13567">
      <c r="A13567" s="1">
        <v>5.0</v>
      </c>
      <c r="B13567" s="1" t="s">
        <v>1288</v>
      </c>
      <c r="C13567" t="str">
        <f>IFERROR(__xludf.DUMMYFUNCTION("GOOGLETRANSLATE(B13567, ""fr"", ""en"")"),"perfect perfect")</f>
        <v>perfect perfect</v>
      </c>
    </row>
    <row r="13568">
      <c r="A13568" s="1">
        <v>5.0</v>
      </c>
      <c r="B13568" s="1" t="s">
        <v>13343</v>
      </c>
      <c r="C13568" t="str">
        <f>IFERROR(__xludf.DUMMYFUNCTION("GOOGLETRANSLATE(B13568, ""fr"", ""en"")"),"Very comfortable very comfortable pretty I like walking in cotton wool and delivery to the top delivery thank you")</f>
        <v>Very comfortable very comfortable pretty I like walking in cotton wool and delivery to the top delivery thank you</v>
      </c>
    </row>
    <row r="13569">
      <c r="A13569" s="1">
        <v>5.0</v>
      </c>
      <c r="B13569" s="1" t="s">
        <v>5630</v>
      </c>
      <c r="C13569" t="str">
        <f>IFERROR(__xludf.DUMMYFUNCTION("GOOGLETRANSLATE(B13569, ""fr"", ""en"")"),"Perfect Nothing to say")</f>
        <v>Perfect Nothing to say</v>
      </c>
    </row>
    <row r="13570">
      <c r="A13570" s="1">
        <v>5.0</v>
      </c>
      <c r="B13570" s="1" t="s">
        <v>13344</v>
      </c>
      <c r="C13570" t="str">
        <f>IFERROR(__xludf.DUMMYFUNCTION("GOOGLETRANSLATE(B13570, ""fr"", ""en"")"),"Beautiful Beautiful quality leather and enough insulation souple.Bonne")</f>
        <v>Beautiful Beautiful quality leather and enough insulation souple.Bonne</v>
      </c>
    </row>
    <row r="13571">
      <c r="A13571" s="1">
        <v>5.0</v>
      </c>
      <c r="B13571" s="1" t="s">
        <v>13345</v>
      </c>
      <c r="C13571" t="str">
        <f>IFERROR(__xludf.DUMMYFUNCTION("GOOGLETRANSLATE(B13571, ""fr"", ""en"")"),"Unbeatable price / performance Made perfect job! As well as the Philips!")</f>
        <v>Unbeatable price / performance Made perfect job! As well as the Philips!</v>
      </c>
    </row>
    <row r="13572">
      <c r="A13572" s="1">
        <v>5.0</v>
      </c>
      <c r="B13572" s="1" t="s">
        <v>13346</v>
      </c>
      <c r="C13572" t="str">
        <f>IFERROR(__xludf.DUMMYFUNCTION("GOOGLETRANSLATE(B13572, ""fr"", ""en"")"),"Very good sound quality excellent Bluetooth headset I did not jack port on my phone so I bought these headphones without son are of excellent quality Headphones are lightweight they fit comfortably in the ears it is neither too big nor too small it's perf"&amp;"ect the battery life is very good headset recharges quickly use the headphones is very easy it arrived very quickly I am very satisfied with my purchase money I recommend")</f>
        <v>Very good sound quality excellent Bluetooth headset I did not jack port on my phone so I bought these headphones without son are of excellent quality Headphones are lightweight they fit comfortably in the ears it is neither too big nor too small it's perfect the battery life is very good headset recharges quickly use the headphones is very easy it arrived very quickly I am very satisfied with my purchase money I recommend</v>
      </c>
    </row>
    <row r="13573">
      <c r="A13573" s="1">
        <v>5.0</v>
      </c>
      <c r="B13573" s="1" t="s">
        <v>13347</v>
      </c>
      <c r="C13573" t="str">
        <f>IFERROR(__xludf.DUMMYFUNCTION("GOOGLETRANSLATE(B13573, ""fr"", ""en"")"),"Pretty bracelet Very nice bracelet. Excellent gift idea.")</f>
        <v>Pretty bracelet Very nice bracelet. Excellent gift idea.</v>
      </c>
    </row>
    <row r="13574">
      <c r="A13574" s="1">
        <v>5.0</v>
      </c>
      <c r="B13574" s="1" t="s">
        <v>13348</v>
      </c>
      <c r="C13574" t="str">
        <f>IFERROR(__xludf.DUMMYFUNCTION("GOOGLETRANSLATE(B13574, ""fr"", ""en"")"),"Tommee Tippee Teats Teat Variable Flow Variable X2 baby tolerates. Although he only drinks milk at the moment, he manages well flow. The tip is bigger, he had a little trouble the first 2-3 bottles but drinks well now.")</f>
        <v>Tommee Tippee Teats Teat Variable Flow Variable X2 baby tolerates. Although he only drinks milk at the moment, he manages well flow. The tip is bigger, he had a little trouble the first 2-3 bottles but drinks well now.</v>
      </c>
    </row>
    <row r="13575">
      <c r="A13575" s="1">
        <v>5.0</v>
      </c>
      <c r="B13575" s="1" t="s">
        <v>13349</v>
      </c>
      <c r="C13575" t="str">
        <f>IFERROR(__xludf.DUMMYFUNCTION("GOOGLETRANSLATE(B13575, ""fr"", ""en"")"),"satisfies all seems very solid and does not take up much space. The headphones load quickly and easily connect to the device that will send the sound signals. The sound is very good and perfect ergonomics headphones. IN conclusion, I am happy. I recommend")</f>
        <v>satisfies all seems very solid and does not take up much space. The headphones load quickly and easily connect to the device that will send the sound signals. The sound is very good and perfect ergonomics headphones. IN conclusion, I am happy. I recommend</v>
      </c>
    </row>
    <row r="13576">
      <c r="A13576" s="1">
        <v>5.0</v>
      </c>
      <c r="B13576" s="1" t="s">
        <v>13350</v>
      </c>
      <c r="C13576" t="str">
        <f>IFERROR(__xludf.DUMMYFUNCTION("GOOGLETRANSLATE(B13576, ""fr"", ""en"")"),"I wanted it they did! Entertaining but great service. Even for a 17-inch, which is my case, it's perfect. I recommand it.")</f>
        <v>I wanted it they did! Entertaining but great service. Even for a 17-inch, which is my case, it's perfect. I recommand it.</v>
      </c>
    </row>
    <row r="13577">
      <c r="A13577" s="1">
        <v>5.0</v>
      </c>
      <c r="B13577" s="1" t="s">
        <v>13351</v>
      </c>
      <c r="C13577" t="str">
        <f>IFERROR(__xludf.DUMMYFUNCTION("GOOGLETRANSLATE(B13577, ""fr"", ""en"")"),"consistent with the description of the product it serves us now for more than 1 year and it is not broken or otherwise. We can put right amount in each compartment, at the moment we are 9 teaspoons per sector, and I think we can go max to 12-13, but the b"&amp;"ottles will be finished by then;) I recommend")</f>
        <v>consistent with the description of the product it serves us now for more than 1 year and it is not broken or otherwise. We can put right amount in each compartment, at the moment we are 9 teaspoons per sector, and I think we can go max to 12-13, but the bottles will be finished by then;) I recommend</v>
      </c>
    </row>
    <row r="13578">
      <c r="A13578" s="1">
        <v>5.0</v>
      </c>
      <c r="B13578" s="1" t="s">
        <v>13352</v>
      </c>
      <c r="C13578" t="str">
        <f>IFERROR(__xludf.DUMMYFUNCTION("GOOGLETRANSLATE(B13578, ""fr"", ""en"")"),"Bracelet original Super original bracelet. Several months now I have it and it's still not deformed and does not damage! I have a small wrist and finally for once this bracelet fits me! We can tighten it.")</f>
        <v>Bracelet original Super original bracelet. Several months now I have it and it's still not deformed and does not damage! I have a small wrist and finally for once this bracelet fits me! We can tighten it.</v>
      </c>
    </row>
    <row r="13579">
      <c r="A13579" s="1">
        <v>5.0</v>
      </c>
      <c r="B13579" s="1" t="s">
        <v>13353</v>
      </c>
      <c r="C13579" t="str">
        <f>IFERROR(__xludf.DUMMYFUNCTION("GOOGLETRANSLATE(B13579, ""fr"", ""en"")"),"Affordable and good quality equipment Connect to our TV with a home sound and awesome")</f>
        <v>Affordable and good quality equipment Connect to our TV with a home sound and awesome</v>
      </c>
    </row>
    <row r="13580">
      <c r="A13580" s="1">
        <v>5.0</v>
      </c>
      <c r="B13580" s="1" t="s">
        <v>13354</v>
      </c>
      <c r="C13580" t="str">
        <f>IFERROR(__xludf.DUMMYFUNCTION("GOOGLETRANSLATE(B13580, ""fr"", ""en"")"),"No worries strong")</f>
        <v>No worries strong</v>
      </c>
    </row>
    <row r="13581">
      <c r="A13581" s="1">
        <v>2.0</v>
      </c>
      <c r="B13581" s="1" t="s">
        <v>13355</v>
      </c>
      <c r="C13581" t="str">
        <f>IFERROR(__xludf.DUMMYFUNCTION("GOOGLETRANSLATE(B13581, ""fr"", ""en"")"),"canvas fragile! After using two pairs of these shoes; -The canvas above the toes began to drop almost instantly (about 70km) -accroche excellent, relatively resistant soles -water easily evacuates wet ground -not suited to small -size bitumen (I put on th"&amp;"e 45; here of 45 1/3 is very limit) after 200km with; they are in a pitiful state.")</f>
        <v>canvas fragile! After using two pairs of these shoes; -The canvas above the toes began to drop almost instantly (about 70km) -accroche excellent, relatively resistant soles -water easily evacuates wet ground -not suited to small -size bitumen (I put on the 45; here of 45 1/3 is very limit) after 200km with; they are in a pitiful state.</v>
      </c>
    </row>
    <row r="13582">
      <c r="A13582" s="1">
        <v>1.0</v>
      </c>
      <c r="B13582" s="1" t="s">
        <v>13356</v>
      </c>
      <c r="C13582" t="str">
        <f>IFERROR(__xludf.DUMMYFUNCTION("GOOGLETRANSLATE(B13582, ""fr"", ""en"")"),"Too little too small yet taken XXL ... amazon should clear attention to Chinese size ....")</f>
        <v>Too little too small yet taken XXL ... amazon should clear attention to Chinese size ....</v>
      </c>
    </row>
    <row r="13583">
      <c r="A13583" s="1">
        <v>1.0</v>
      </c>
      <c r="B13583" s="1" t="s">
        <v>13357</v>
      </c>
      <c r="C13583" t="str">
        <f>IFERROR(__xludf.DUMMYFUNCTION("GOOGLETRANSLATE(B13583, ""fr"", ""en"")"),"Disappointed Disappointed! No practical use")</f>
        <v>Disappointed Disappointed! No practical use</v>
      </c>
    </row>
    <row r="13584">
      <c r="A13584" s="1">
        <v>3.0</v>
      </c>
      <c r="B13584" s="1" t="s">
        <v>13358</v>
      </c>
      <c r="C13584" t="str">
        <f>IFERROR(__xludf.DUMMYFUNCTION("GOOGLETRANSLATE(B13584, ""fr"", ""en"")"),"A very average not exceptional headphones, you get a box note TW40 like most copies dairpods after the design does not too close they are Earbud, there are cheap enough, the sound is low but audible, autonomy 3:20 for me which is correct, certified its HD"&amp;" enabled in the following Bluetooth smartphones for the price there are better pictures more the promo gives different information to find information on the box !!")</f>
        <v>A very average not exceptional headphones, you get a box note TW40 like most copies dairpods after the design does not too close they are Earbud, there are cheap enough, the sound is low but audible, autonomy 3:20 for me which is correct, certified its HD enabled in the following Bluetooth smartphones for the price there are better pictures more the promo gives different information to find information on the box !!</v>
      </c>
    </row>
    <row r="13585">
      <c r="A13585" s="1">
        <v>4.0</v>
      </c>
      <c r="B13585" s="1" t="s">
        <v>13359</v>
      </c>
      <c r="C13585" t="str">
        <f>IFERROR(__xludf.DUMMYFUNCTION("GOOGLETRANSLATE(B13585, ""fr"", ""en"")"),"Works well its not perfect connection Extra")</f>
        <v>Works well its not perfect connection Extra</v>
      </c>
    </row>
    <row r="13586">
      <c r="A13586" s="1">
        <v>4.0</v>
      </c>
      <c r="B13586" s="1" t="s">
        <v>13360</v>
      </c>
      <c r="C13586" t="str">
        <f>IFERROR(__xludf.DUMMYFUNCTION("GOOGLETRANSLATE(B13586, ""fr"", ""en"")"),"Very Good Very nice sneakers. However, the first steps, rings laces leave black marks quite difficult to remove. Still, they are easier to clean than fabric converse!")</f>
        <v>Very Good Very nice sneakers. However, the first steps, rings laces leave black marks quite difficult to remove. Still, they are easier to clean than fabric converse!</v>
      </c>
    </row>
    <row r="13587">
      <c r="A13587" s="1">
        <v>4.0</v>
      </c>
      <c r="B13587" s="1" t="s">
        <v>13361</v>
      </c>
      <c r="C13587" t="str">
        <f>IFERROR(__xludf.DUMMYFUNCTION("GOOGLETRANSLATE(B13587, ""fr"", ""en"")"),"Conforms suitable Very nice we will see over time. A real slipper. In black beautiful red")</f>
        <v>Conforms suitable Very nice we will see over time. A real slipper. In black beautiful red</v>
      </c>
    </row>
    <row r="13588">
      <c r="A13588" s="1">
        <v>4.0</v>
      </c>
      <c r="B13588" s="1" t="s">
        <v>13362</v>
      </c>
      <c r="C13588" t="str">
        <f>IFERROR(__xludf.DUMMYFUNCTION("GOOGLETRANSLATE(B13588, ""fr"", ""en"")"),"A good product I bought this alarm clock to replace my current revival. The sound is very good and the alarm ""&amp; nbsp; &amp; nbsp brightness,"" is really interesting.")</f>
        <v>A good product I bought this alarm clock to replace my current revival. The sound is very good and the alarm "&amp; nbsp; &amp; nbsp brightness," is really interesting.</v>
      </c>
    </row>
    <row r="13589">
      <c r="A13589" s="1">
        <v>5.0</v>
      </c>
      <c r="B13589" s="1" t="s">
        <v>13363</v>
      </c>
      <c r="C13589" t="str">
        <f>IFERROR(__xludf.DUMMYFUNCTION("GOOGLETRANSLATE(B13589, ""fr"", ""en"")"),"Super baby has offered my daughter who is expecting a baby")</f>
        <v>Super baby has offered my daughter who is expecting a baby</v>
      </c>
    </row>
    <row r="13590">
      <c r="A13590" s="1">
        <v>5.0</v>
      </c>
      <c r="B13590" s="1" t="s">
        <v>13364</v>
      </c>
      <c r="C13590" t="str">
        <f>IFERROR(__xludf.DUMMYFUNCTION("GOOGLETRANSLATE(B13590, ""fr"", ""en"")"),"Very good Very nice, comfortable")</f>
        <v>Very good Very nice, comfortable</v>
      </c>
    </row>
    <row r="13591">
      <c r="A13591" s="1">
        <v>5.0</v>
      </c>
      <c r="B13591" s="1" t="s">
        <v>13365</v>
      </c>
      <c r="C13591" t="str">
        <f>IFERROR(__xludf.DUMMYFUNCTION("GOOGLETRANSLATE(B13591, ""fr"", ""en"")"),"elegant product for the treatment of acne in teenagers.")</f>
        <v>elegant product for the treatment of acne in teenagers.</v>
      </c>
    </row>
    <row r="13592">
      <c r="A13592" s="1">
        <v>5.0</v>
      </c>
      <c r="B13592" s="1" t="s">
        <v>13366</v>
      </c>
      <c r="C13592" t="str">
        <f>IFERROR(__xludf.DUMMYFUNCTION("GOOGLETRANSLATE(B13592, ""fr"", ""en"")"),"CARTRIDGE EPSON Hello, I own an Epson XP-315. I'm really satisfied with these cartridges. Printing great (better than the cartridges """" compatible ""purchased commercially and which are much more expensive. As some people have said we must actually vali"&amp;"date that they are not EPSON cartridges (a nice card thank us for buying and inform us joined in the package), you must also clean the nozzles and align the heads (little to do when we see the result). Crisp, clean. What happiness. I STRONGLY RECOMMENDS T"&amp;"HIS PRODUCT who also comes on the scheduled date. EVERYTHING iS PERFECT. THANKS")</f>
        <v>CARTRIDGE EPSON Hello, I own an Epson XP-315. I'm really satisfied with these cartridges. Printing great (better than the cartridges "" compatible "purchased commercially and which are much more expensive. As some people have said we must actually validate that they are not EPSON cartridges (a nice card thank us for buying and inform us joined in the package), you must also clean the nozzles and align the heads (little to do when we see the result). Crisp, clean. What happiness. I STRONGLY RECOMMENDS THIS PRODUCT who also comes on the scheduled date. EVERYTHING iS PERFECT. THANKS</v>
      </c>
    </row>
    <row r="13593">
      <c r="A13593" s="1">
        <v>5.0</v>
      </c>
      <c r="B13593" s="1" t="s">
        <v>13367</v>
      </c>
      <c r="C13593" t="str">
        <f>IFERROR(__xludf.DUMMYFUNCTION("GOOGLETRANSLATE(B13593, ""fr"", ""en"")"),"Good value Perfect for sport")</f>
        <v>Good value Perfect for sport</v>
      </c>
    </row>
    <row r="13594">
      <c r="A13594" s="1">
        <v>5.0</v>
      </c>
      <c r="B13594" s="1" t="s">
        <v>13368</v>
      </c>
      <c r="C13594" t="str">
        <f>IFERROR(__xludf.DUMMYFUNCTION("GOOGLETRANSLATE(B13594, ""fr"", ""en"")"),"a basic tee like all teenagers, my girls are in the tendency ""LEVIS"", so I bought them this basic tee, and ells are very satisfied. The specified size is correct.")</f>
        <v>a basic tee like all teenagers, my girls are in the tendency "LEVIS", so I bought them this basic tee, and ells are very satisfied. The specified size is correct.</v>
      </c>
    </row>
    <row r="13595">
      <c r="A13595" s="1">
        <v>5.0</v>
      </c>
      <c r="B13595" s="1" t="s">
        <v>13369</v>
      </c>
      <c r="C13595" t="str">
        <f>IFERROR(__xludf.DUMMYFUNCTION("GOOGLETRANSLATE(B13595, ""fr"", ""en"")"),"Awesome Finally I think I found a true end scrub delicately scented and leaves really soft skin I recommend very good value")</f>
        <v>Awesome Finally I think I found a true end scrub delicately scented and leaves really soft skin I recommend very good value</v>
      </c>
    </row>
    <row r="13596">
      <c r="A13596" s="1">
        <v>5.0</v>
      </c>
      <c r="B13596" s="1" t="s">
        <v>13370</v>
      </c>
      <c r="C13596" t="str">
        <f>IFERROR(__xludf.DUMMYFUNCTION("GOOGLETRANSLATE(B13596, ""fr"", ""en"")"),"An easy gift idea An easy gift to give, the box is also quite stylish. After personally, I find the design a little dated but everyone's tastes. In short, the jewelry is nice, but it's still fake. A counselor, for the money!")</f>
        <v>An easy gift idea An easy gift to give, the box is also quite stylish. After personally, I find the design a little dated but everyone's tastes. In short, the jewelry is nice, but it's still fake. A counselor, for the money!</v>
      </c>
    </row>
    <row r="13597">
      <c r="A13597" s="1">
        <v>5.0</v>
      </c>
      <c r="B13597" s="1" t="s">
        <v>13371</v>
      </c>
      <c r="C13597" t="str">
        <f>IFERROR(__xludf.DUMMYFUNCTION("GOOGLETRANSLATE(B13597, ""fr"", ""en"")"),"Glue sticks very well very well, superglue what ...")</f>
        <v>Glue sticks very well very well, superglue what ...</v>
      </c>
    </row>
    <row r="13598">
      <c r="A13598" s="1">
        <v>5.0</v>
      </c>
      <c r="B13598" s="1" t="s">
        <v>13372</v>
      </c>
      <c r="C13598" t="str">
        <f>IFERROR(__xludf.DUMMYFUNCTION("GOOGLETRANSLATE(B13598, ""fr"", ""en"")"),"Very pretty and original Satisfied")</f>
        <v>Very pretty and original Satisfied</v>
      </c>
    </row>
    <row r="13599">
      <c r="A13599" s="1">
        <v>5.0</v>
      </c>
      <c r="B13599" s="1" t="s">
        <v>13373</v>
      </c>
      <c r="C13599" t="str">
        <f>IFERROR(__xludf.DUMMYFUNCTION("GOOGLETRANSLATE(B13599, ""fr"", ""en"")"),"Excellent speed paper printing, Nickel!")</f>
        <v>Excellent speed paper printing, Nickel!</v>
      </c>
    </row>
    <row r="13600">
      <c r="A13600" s="1">
        <v>5.0</v>
      </c>
      <c r="B13600" s="1" t="s">
        <v>13374</v>
      </c>
      <c r="C13600" t="str">
        <f>IFERROR(__xludf.DUMMYFUNCTION("GOOGLETRANSLATE(B13600, ""fr"", ""en"")"),"Perfect size for a child / schoolboy Bought for a child 11 years eastpak this bag is a good size. Good product no complaints")</f>
        <v>Perfect size for a child / schoolboy Bought for a child 11 years eastpak this bag is a good size. Good product no complaints</v>
      </c>
    </row>
    <row r="13601">
      <c r="A13601" s="1">
        <v>5.0</v>
      </c>
      <c r="B13601" s="1" t="s">
        <v>13375</v>
      </c>
      <c r="C13601" t="str">
        <f>IFERROR(__xludf.DUMMYFUNCTION("GOOGLETRANSLATE(B13601, ""fr"", ""en"")"),"Very good very practical. Does abyss Not as fast as other brands The suction cup is a more")</f>
        <v>Very good very practical. Does abyss Not as fast as other brands The suction cup is a more</v>
      </c>
    </row>
    <row r="13602">
      <c r="A13602" s="1">
        <v>5.0</v>
      </c>
      <c r="B13602" s="1" t="s">
        <v>1261</v>
      </c>
      <c r="C13602" t="str">
        <f>IFERROR(__xludf.DUMMYFUNCTION("GOOGLETRANSLATE(B13602, ""fr"", ""en"")"),"good good")</f>
        <v>good good</v>
      </c>
    </row>
    <row r="13603">
      <c r="A13603" s="1">
        <v>5.0</v>
      </c>
      <c r="B13603" s="1" t="s">
        <v>13376</v>
      </c>
      <c r="C13603" t="str">
        <f>IFERROR(__xludf.DUMMYFUNCTION("GOOGLETRANSLATE(B13603, ""fr"", ""en"")"),"Very good product socks pleasant to wear. When nothing wrong with the product, it's not much to say. Thank you.")</f>
        <v>Very good product socks pleasant to wear. When nothing wrong with the product, it's not much to say. Thank you.</v>
      </c>
    </row>
    <row r="13604">
      <c r="A13604" s="1">
        <v>2.0</v>
      </c>
      <c r="B13604" s="1" t="s">
        <v>13377</v>
      </c>
      <c r="C13604" t="str">
        <f>IFERROR(__xludf.DUMMYFUNCTION("GOOGLETRANSLATE(B13604, ""fr"", ""en"")"),"Poor Quality Initially, I was very happy. Very nice presentation, well made, nickel size. But then, very quickly, footwear ((leather part) is cut at the joint with the sole, on the side. So bad. I'm disappointed.")</f>
        <v>Poor Quality Initially, I was very happy. Very nice presentation, well made, nickel size. But then, very quickly, footwear ((leather part) is cut at the joint with the sole, on the side. So bad. I'm disappointed.</v>
      </c>
    </row>
    <row r="13605">
      <c r="A13605" s="1">
        <v>1.0</v>
      </c>
      <c r="B13605" s="1" t="s">
        <v>13378</v>
      </c>
      <c r="C13605" t="str">
        <f>IFERROR(__xludf.DUMMYFUNCTION("GOOGLETRANSLATE(B13605, ""fr"", ""en"")"),"Very bad I use daily &amp; amp; for years this type of canvas sneakers, always paid around 20 €, they usually last 4/5 months. First time I chose this model &amp; amp; after barely one month &amp; amp; half sole breakthrough, torn canvas in the heel, in short, very p"&amp;"oor quality, these sneakers are not worth the asking price.")</f>
        <v>Very bad I use daily &amp; amp; for years this type of canvas sneakers, always paid around 20 €, they usually last 4/5 months. First time I chose this model &amp; amp; after barely one month &amp; amp; half sole breakthrough, torn canvas in the heel, in short, very poor quality, these sneakers are not worth the asking price.</v>
      </c>
    </row>
    <row r="13606">
      <c r="A13606" s="1">
        <v>3.0</v>
      </c>
      <c r="B13606" s="1" t="s">
        <v>13379</v>
      </c>
      <c r="C13606" t="str">
        <f>IFERROR(__xludf.DUMMYFUNCTION("GOOGLETRANSLATE(B13606, ""fr"", ""en"")"),"They wear very repidement They wear very repidement")</f>
        <v>They wear very repidement They wear very repidement</v>
      </c>
    </row>
    <row r="13607">
      <c r="A13607" s="1">
        <v>3.0</v>
      </c>
      <c r="B13607" s="1" t="s">
        <v>13380</v>
      </c>
      <c r="C13607" t="str">
        <f>IFERROR(__xludf.DUMMYFUNCTION("GOOGLETRANSLATE(B13607, ""fr"", ""en"")"),"Not so bad does not really correspond to the size")</f>
        <v>Not so bad does not really correspond to the size</v>
      </c>
    </row>
    <row r="13608">
      <c r="A13608" s="1">
        <v>4.0</v>
      </c>
      <c r="B13608" s="1" t="s">
        <v>13381</v>
      </c>
      <c r="C13608" t="str">
        <f>IFERROR(__xludf.DUMMYFUNCTION("GOOGLETRANSLATE(B13608, ""fr"", ""en"")"),"top section suitable. according to the picture. J ""took usual size and perfect. I tested in gym and perfect fit and have more beautiful and original article. I think buy a second different color")</f>
        <v>top section suitable. according to the picture. J "took usual size and perfect. I tested in gym and perfect fit and have more beautiful and original article. I think buy a second different color</v>
      </c>
    </row>
    <row r="13609">
      <c r="A13609" s="1">
        <v>4.0</v>
      </c>
      <c r="B13609" s="1" t="s">
        <v>13382</v>
      </c>
      <c r="C13609" t="str">
        <f>IFERROR(__xludf.DUMMYFUNCTION("GOOGLETRANSLATE(B13609, ""fr"", ""en"")"),"Amusing if anything this black mask is easy to install on the face, with holes for the nose, mouth and eyes. Guaranteed effect! It is comfortable to wear during the 15 minutes recommended. It is easily removed and it remains only to wipe his face. Only fl"&amp;"at, size, my skin terribly after tugging and I had to brush my moisturizer. But maybe that's normal.")</f>
        <v>Amusing if anything this black mask is easy to install on the face, with holes for the nose, mouth and eyes. Guaranteed effect! It is comfortable to wear during the 15 minutes recommended. It is easily removed and it remains only to wipe his face. Only flat, size, my skin terribly after tugging and I had to brush my moisturizer. But maybe that's normal.</v>
      </c>
    </row>
    <row r="13610">
      <c r="A13610" s="1">
        <v>4.0</v>
      </c>
      <c r="B13610" s="1" t="s">
        <v>13383</v>
      </c>
      <c r="C13610" t="str">
        <f>IFERROR(__xludf.DUMMYFUNCTION("GOOGLETRANSLATE(B13610, ""fr"", ""en"")"),"good quality cable I use this cable to connect my soundcard to the amp helmets. C is very good sound, no problem.")</f>
        <v>good quality cable I use this cable to connect my soundcard to the amp helmets. C is very good sound, no problem.</v>
      </c>
    </row>
    <row r="13611">
      <c r="A13611" s="1">
        <v>4.0</v>
      </c>
      <c r="B13611" s="1" t="s">
        <v>13384</v>
      </c>
      <c r="C13611" t="str">
        <f>IFERROR(__xludf.DUMMYFUNCTION("GOOGLETRANSLATE(B13611, ""fr"", ""en"")"),"Watch pretty nice had regard to its modest price. Nevertheless, compass and thermometer functions seem a bit random. It's still a good watch")</f>
        <v>Watch pretty nice had regard to its modest price. Nevertheless, compass and thermometer functions seem a bit random. It's still a good watch</v>
      </c>
    </row>
    <row r="13612">
      <c r="A13612" s="1">
        <v>5.0</v>
      </c>
      <c r="B13612" s="1" t="s">
        <v>13385</v>
      </c>
      <c r="C13612" t="str">
        <f>IFERROR(__xludf.DUMMYFUNCTION("GOOGLETRANSLATE(B13612, ""fr"", ""en"")"),"Top Tip Top")</f>
        <v>Top Tip Top</v>
      </c>
    </row>
    <row r="13613">
      <c r="A13613" s="1">
        <v>5.0</v>
      </c>
      <c r="B13613" s="1" t="s">
        <v>13386</v>
      </c>
      <c r="C13613" t="str">
        <f>IFERROR(__xludf.DUMMYFUNCTION("GOOGLETRANSLATE(B13613, ""fr"", ""en"")"),"5/5 Gorgeous !!! Superb refined elegant ... it was a gift, really it has had its effect. I would have even guarded for me 😉 Value for money at the top. Dark girls !!!!")</f>
        <v>5/5 Gorgeous !!! Superb refined elegant ... it was a gift, really it has had its effect. I would have even guarded for me 😉 Value for money at the top. Dark girls !!!!</v>
      </c>
    </row>
    <row r="13614">
      <c r="A13614" s="1">
        <v>5.0</v>
      </c>
      <c r="B13614" s="1" t="s">
        <v>13387</v>
      </c>
      <c r="C13614" t="str">
        <f>IFERROR(__xludf.DUMMYFUNCTION("GOOGLETRANSLATE(B13614, ""fr"", ""en"")"),"Very nice Beautiful Bracelet I highly recommend especially for end handles")</f>
        <v>Very nice Beautiful Bracelet I highly recommend especially for end handles</v>
      </c>
    </row>
    <row r="13615">
      <c r="A13615" s="1">
        <v>5.0</v>
      </c>
      <c r="B13615" s="1" t="s">
        <v>13388</v>
      </c>
      <c r="C13615" t="str">
        <f>IFERROR(__xludf.DUMMYFUNCTION("GOOGLETRANSLATE(B13615, ""fr"", ""en"")"),"Headphones are good, they fit perfectly in the ear and the sound quality is very good, almost no loss of quality. It has a button that you can use your mobile phone to receive calls. sound quality and fit at par fits the ear and does not come off easily. "&amp;"Of course, for the price, you really can not go wrong.")</f>
        <v>Headphones are good, they fit perfectly in the ear and the sound quality is very good, almost no loss of quality. It has a button that you can use your mobile phone to receive calls. sound quality and fit at par fits the ear and does not come off easily. Of course, for the price, you really can not go wrong.</v>
      </c>
    </row>
    <row r="13616">
      <c r="A13616" s="1">
        <v>5.0</v>
      </c>
      <c r="B13616" s="1" t="s">
        <v>13389</v>
      </c>
      <c r="C13616" t="str">
        <f>IFERROR(__xludf.DUMMYFUNCTION("GOOGLETRANSLATE(B13616, ""fr"", ""en"")"),"how very satisfied sweetness, yet amazed at the price I recommend very good product")</f>
        <v>how very satisfied sweetness, yet amazed at the price I recommend very good product</v>
      </c>
    </row>
    <row r="13617">
      <c r="A13617" s="1">
        <v>5.0</v>
      </c>
      <c r="B13617" s="1" t="s">
        <v>13390</v>
      </c>
      <c r="C13617" t="str">
        <f>IFERROR(__xludf.DUMMYFUNCTION("GOOGLETRANSLATE(B13617, ""fr"", ""en"")"),"Very good very good product. Excellent communication with the seller. I have not yet used all purchased oils, but very promising as those used give good results. Thank you")</f>
        <v>Very good very good product. Excellent communication with the seller. I have not yet used all purchased oils, but very promising as those used give good results. Thank you</v>
      </c>
    </row>
    <row r="13618">
      <c r="A13618" s="1">
        <v>5.0</v>
      </c>
      <c r="B13618" s="1" t="s">
        <v>13391</v>
      </c>
      <c r="C13618" t="str">
        <f>IFERROR(__xludf.DUMMYFUNCTION("GOOGLETRANSLATE(B13618, ""fr"", ""en"")"),"Very nice product to offer Bracelet conform very well finished product comes in a beautiful box")</f>
        <v>Very nice product to offer Bracelet conform very well finished product comes in a beautiful box</v>
      </c>
    </row>
    <row r="13619">
      <c r="A13619" s="1">
        <v>5.0</v>
      </c>
      <c r="B13619" s="1" t="s">
        <v>13392</v>
      </c>
      <c r="C13619" t="str">
        <f>IFERROR(__xludf.DUMMYFUNCTION("GOOGLETRANSLATE(B13619, ""fr"", ""en"")"),"very good value I am completely satisfied with this purchase.")</f>
        <v>very good value I am completely satisfied with this purchase.</v>
      </c>
    </row>
    <row r="13620">
      <c r="A13620" s="1">
        <v>5.0</v>
      </c>
      <c r="B13620" s="1" t="s">
        <v>13393</v>
      </c>
      <c r="C13620" t="str">
        <f>IFERROR(__xludf.DUMMYFUNCTION("GOOGLETRANSLATE(B13620, ""fr"", ""en"")"),"Very high autonomy Easy considerable autonomy Design and use waterproof rain")</f>
        <v>Very high autonomy Easy considerable autonomy Design and use waterproof rain</v>
      </c>
    </row>
    <row r="13621">
      <c r="A13621" s="1">
        <v>5.0</v>
      </c>
      <c r="B13621" s="1" t="s">
        <v>13394</v>
      </c>
      <c r="C13621" t="str">
        <f>IFERROR(__xludf.DUMMYFUNCTION("GOOGLETRANSLATE(B13621, ""fr"", ""en"")"),"Good quality / price ratio I am disappointed printing color pictures. However this is an excellent product I recommend")</f>
        <v>Good quality / price ratio I am disappointed printing color pictures. However this is an excellent product I recommend</v>
      </c>
    </row>
    <row r="13622">
      <c r="A13622" s="1">
        <v>5.0</v>
      </c>
      <c r="B13622" s="1" t="s">
        <v>13395</v>
      </c>
      <c r="C13622" t="str">
        <f>IFERROR(__xludf.DUMMYFUNCTION("GOOGLETRANSLATE(B13622, ""fr"", ""en"")"),"Very, good value for money, satisfied Very satisfied, very reasonable price Good quality, easy to use I recommend transfer to another person and advise the")</f>
        <v>Very, good value for money, satisfied Very satisfied, very reasonable price Good quality, easy to use I recommend transfer to another person and advise the</v>
      </c>
    </row>
    <row r="13623">
      <c r="A13623" s="1">
        <v>5.0</v>
      </c>
      <c r="B13623" s="1" t="s">
        <v>13396</v>
      </c>
      <c r="C13623" t="str">
        <f>IFERROR(__xludf.DUMMYFUNCTION("GOOGLETRANSLATE(B13623, ""fr"", ""en"")"),"Nothing I bought for my son these practices to put his and his college map")</f>
        <v>Nothing I bought for my son these practices to put his and his college map</v>
      </c>
    </row>
    <row r="13624">
      <c r="A13624" s="1">
        <v>5.0</v>
      </c>
      <c r="B13624" s="1" t="s">
        <v>13397</v>
      </c>
      <c r="C13624" t="str">
        <f>IFERROR(__xludf.DUMMYFUNCTION("GOOGLETRANSLATE(B13624, ""fr"", ""en"")"),"Owls Converse ... what")</f>
        <v>Owls Converse ... what</v>
      </c>
    </row>
    <row r="13625">
      <c r="A13625" s="1">
        <v>5.0</v>
      </c>
      <c r="B13625" s="1" t="s">
        <v>13398</v>
      </c>
      <c r="C13625" t="str">
        <f>IFERROR(__xludf.DUMMYFUNCTION("GOOGLETRANSLATE(B13625, ""fr"", ""en"")"),"everything was good I bought this item for a gift - perfect timing - the person was very happy this gift")</f>
        <v>everything was good I bought this item for a gift - perfect timing - the person was very happy this gift</v>
      </c>
    </row>
    <row r="13626">
      <c r="A13626" s="1">
        <v>5.0</v>
      </c>
      <c r="B13626" s="1" t="s">
        <v>13399</v>
      </c>
      <c r="C13626" t="str">
        <f>IFERROR(__xludf.DUMMYFUNCTION("GOOGLETRANSLATE(B13626, ""fr"", ""en"")"),"Top No risk. They are very pretty as the pictures")</f>
        <v>Top No risk. They are very pretty as the pictures</v>
      </c>
    </row>
    <row r="13627">
      <c r="A13627" s="1">
        <v>2.0</v>
      </c>
      <c r="B13627" s="1" t="s">
        <v>13400</v>
      </c>
      <c r="C13627" t="str">
        <f>IFERROR(__xludf.DUMMYFUNCTION("GOOGLETRANSLATE(B13627, ""fr"", ""en"")"),"Dear little thick")</f>
        <v>Dear little thick</v>
      </c>
    </row>
    <row r="13628">
      <c r="A13628" s="1">
        <v>1.0</v>
      </c>
      <c r="B13628" s="1" t="s">
        <v>13401</v>
      </c>
      <c r="C13628" t="str">
        <f>IFERROR(__xludf.DUMMYFUNCTION("GOOGLETRANSLATE(B13628, ""fr"", ""en"")"),"No ! I ordered a pair in 39/40 I received a first pair 37/38 !!! So the time that the first repayment is done I recommend a size 39 and I again received a 37/38 size !!!! I am very very disappointed !!!!!!")</f>
        <v>No ! I ordered a pair in 39/40 I received a first pair 37/38 !!! So the time that the first repayment is done I recommend a size 39 and I again received a 37/38 size !!!! I am very very disappointed !!!!!!</v>
      </c>
    </row>
    <row r="13629">
      <c r="A13629" s="1">
        <v>1.0</v>
      </c>
      <c r="B13629" s="1" t="s">
        <v>13402</v>
      </c>
      <c r="C13629" t="str">
        <f>IFERROR(__xludf.DUMMYFUNCTION("GOOGLETRANSLATE(B13629, ""fr"", ""en"")"),"Not conform to the picture. Hyper disappointed! marked cotton blend? well no! cotton and polyester, not at all in line I do not recommend")</f>
        <v>Not conform to the picture. Hyper disappointed! marked cotton blend? well no! cotton and polyester, not at all in line I do not recommend</v>
      </c>
    </row>
    <row r="13630">
      <c r="A13630" s="1">
        <v>3.0</v>
      </c>
      <c r="B13630" s="1" t="s">
        <v>13403</v>
      </c>
      <c r="C13630" t="str">
        <f>IFERROR(__xludf.DUMMYFUNCTION("GOOGLETRANSLATE(B13630, ""fr"", ""en"")"),"Many ingredients, but rather ""clean"" and efficient I am always wary of products with a list of ingredients and sizable checks the elements on the canvas. Here we certainly have a lot of ingredients, but I have not found one that would alarm me. It is a "&amp;"tissue where the eyes mouth, nose are cut (therefore adjust according to your body). It is completely impregnated with the solution to charcoal (hint, when ""opening of the"" package, made the proper and you can use a second faith the next day, so there i"&amp;"s product in the package) the installation is not obvious, but a faith put clothes like very much in place, you can go about your normal activities. To remove it's pretty simple, just pull over to the ""take off"" of your face. The result is a well-hydrat"&amp;"ed, not stretched and the product residue may be removed by washing with water. The skin is very soft but not exceptional. To his apparent ""cleanliness"" of the side of the ingredients, I validate this still quite expensive.")</f>
        <v>Many ingredients, but rather "clean" and efficient I am always wary of products with a list of ingredients and sizable checks the elements on the canvas. Here we certainly have a lot of ingredients, but I have not found one that would alarm me. It is a tissue where the eyes mouth, nose are cut (therefore adjust according to your body). It is completely impregnated with the solution to charcoal (hint, when "opening of the" package, made the proper and you can use a second faith the next day, so there is product in the package) the installation is not obvious, but a faith put clothes like very much in place, you can go about your normal activities. To remove it's pretty simple, just pull over to the "take off" of your face. The result is a well-hydrated, not stretched and the product residue may be removed by washing with water. The skin is very soft but not exceptional. To his apparent "cleanliness" of the side of the ingredients, I validate this still quite expensive.</v>
      </c>
    </row>
    <row r="13631">
      <c r="A13631" s="1">
        <v>3.0</v>
      </c>
      <c r="B13631" s="1" t="s">
        <v>13404</v>
      </c>
      <c r="C13631" t="str">
        <f>IFERROR(__xludf.DUMMYFUNCTION("GOOGLETRANSLATE(B13631, ""fr"", ""en"")"),"Although illustrated but bad packaging This encyclopedia is well illustrated for little curious. It teaches many children and even parents on various topics. However I was disappointed by its packaging because there 'was no protective film to prevent dama"&amp;"ge to this book.")</f>
        <v>Although illustrated but bad packaging This encyclopedia is well illustrated for little curious. It teaches many children and even parents on various topics. However I was disappointed by its packaging because there 'was no protective film to prevent damage to this book.</v>
      </c>
    </row>
    <row r="13632">
      <c r="A13632" s="1">
        <v>4.0</v>
      </c>
      <c r="B13632" s="1" t="s">
        <v>13405</v>
      </c>
      <c r="C13632" t="str">
        <f>IFERROR(__xludf.DUMMYFUNCTION("GOOGLETRANSLATE(B13632, ""fr"", ""en"")"),"Shortly corrosive and very economical A product that looks pretty fairly corrosive, and cost if we respect the prescribed doses. Rather impressed with its operation in preventive")</f>
        <v>Shortly corrosive and very economical A product that looks pretty fairly corrosive, and cost if we respect the prescribed doses. Rather impressed with its operation in preventive</v>
      </c>
    </row>
    <row r="13633">
      <c r="A13633" s="1">
        <v>4.0</v>
      </c>
      <c r="B13633" s="1" t="s">
        <v>13406</v>
      </c>
      <c r="C13633" t="str">
        <f>IFERROR(__xludf.DUMMYFUNCTION("GOOGLETRANSLATE(B13633, ""fr"", ""en"")"),"Sweater Flawless")</f>
        <v>Sweater Flawless</v>
      </c>
    </row>
    <row r="13634">
      <c r="A13634" s="1">
        <v>4.0</v>
      </c>
      <c r="B13634" s="1" t="s">
        <v>13407</v>
      </c>
      <c r="C13634" t="str">
        <f>IFERROR(__xludf.DUMMYFUNCTION("GOOGLETRANSLATE(B13634, ""fr"", ""en"")"),"although obviously the positive time overall but I would have preferred a lighter wrist watch")</f>
        <v>although obviously the positive time overall but I would have preferred a lighter wrist watch</v>
      </c>
    </row>
    <row r="13635">
      <c r="A13635" s="1">
        <v>4.0</v>
      </c>
      <c r="B13635" s="1" t="s">
        <v>13408</v>
      </c>
      <c r="C13635" t="str">
        <f>IFERROR(__xludf.DUMMYFUNCTION("GOOGLETRANSLATE(B13635, ""fr"", ""en"")"),"Great VERY PRETTY these loops,")</f>
        <v>Great VERY PRETTY these loops,</v>
      </c>
    </row>
    <row r="13636">
      <c r="A13636" s="1">
        <v>5.0</v>
      </c>
      <c r="B13636" s="1" t="s">
        <v>13409</v>
      </c>
      <c r="C13636" t="str">
        <f>IFERROR(__xludf.DUMMYFUNCTION("GOOGLETRANSLATE(B13636, ""fr"", ""en"")"),"Pull cat sweater the right size (already encounter problems in size standard clothing at Amazon) fabric design conforms to touch very soft, it's a gift for my mother who loves cats and she is very happy")</f>
        <v>Pull cat sweater the right size (already encounter problems in size standard clothing at Amazon) fabric design conforms to touch very soft, it's a gift for my mother who loves cats and she is very happy</v>
      </c>
    </row>
    <row r="13637">
      <c r="A13637" s="1">
        <v>5.0</v>
      </c>
      <c r="B13637" s="1" t="s">
        <v>13410</v>
      </c>
      <c r="C13637" t="str">
        <f>IFERROR(__xludf.DUMMYFUNCTION("GOOGLETRANSLATE(B13637, ""fr"", ""en"")"),"J adore This product is top. It is comfortable and pretty. C is my second command because one is not enough. J have ordered 3 😁 other. FYI I have followed the advice size weight. I took size L, I usually take the Mr. Perfect, I recommend")</f>
        <v>J adore This product is top. It is comfortable and pretty. C is my second command because one is not enough. J have ordered 3 😁 other. FYI I have followed the advice size weight. I took size L, I usually take the Mr. Perfect, I recommend</v>
      </c>
    </row>
    <row r="13638">
      <c r="A13638" s="1">
        <v>5.0</v>
      </c>
      <c r="B13638" s="1" t="s">
        <v>13411</v>
      </c>
      <c r="C13638" t="str">
        <f>IFERROR(__xludf.DUMMYFUNCTION("GOOGLETRANSLATE(B13638, ""fr"", ""en"")"),"problem solved white pages !! just a few minutes I wrote a disappointing comment. But I read a comment or suggestion for someone who had almost the same problem as mine: after changing cartridges, blank page came out. Someone said he had managed to solve "&amp;"this problem by soaking the head cartridges in hot water, then wipe and reinstall the cartridges. I was wary of this proposal, but ultimately, I tried that too, at first, for many times the printer did not recognize the cartridges (these on amazon), I suf"&amp;"fered many heads, I ébranlais cartridges several times, and left for a few minutes, this time, I saw that the printer cartridges recognized except the rose, I wiped it well, when I reinstalled on the screen's image appeared, it means that the printer has "&amp;"recognized. Then I sent a page to print, she came out with a text on it, surprised, already it is the syndrome of white pages is resolved, it remains white bars in the text !! the first problem I had, and I could not solve it, despite twenty times cleanin"&amp;"g, follow the instructions. Anyway, I'm disappointed for Epson later if I have enough budget, I would try my luck with HP Laser Pro.")</f>
        <v>problem solved white pages !! just a few minutes I wrote a disappointing comment. But I read a comment or suggestion for someone who had almost the same problem as mine: after changing cartridges, blank page came out. Someone said he had managed to solve this problem by soaking the head cartridges in hot water, then wipe and reinstall the cartridges. I was wary of this proposal, but ultimately, I tried that too, at first, for many times the printer did not recognize the cartridges (these on amazon), I suffered many heads, I ébranlais cartridges several times, and left for a few minutes, this time, I saw that the printer cartridges recognized except the rose, I wiped it well, when I reinstalled on the screen's image appeared, it means that the printer has recognized. Then I sent a page to print, she came out with a text on it, surprised, already it is the syndrome of white pages is resolved, it remains white bars in the text !! the first problem I had, and I could not solve it, despite twenty times cleaning, follow the instructions. Anyway, I'm disappointed for Epson later if I have enough budget, I would try my luck with HP Laser Pro.</v>
      </c>
    </row>
    <row r="13639">
      <c r="A13639" s="1">
        <v>5.0</v>
      </c>
      <c r="B13639" s="1" t="s">
        <v>13412</v>
      </c>
      <c r="C13639" t="str">
        <f>IFERROR(__xludf.DUMMYFUNCTION("GOOGLETRANSLATE(B13639, ""fr"", ""en"")"),"Perfect I started using anti-stretch mark oil Weleda from the 4th month of pregnancy, alternating with organic argan oil. A few days of the term, I confirm: I've had no stretch marks! It feels very good, leaves the skin soft and is compatible with ultraso"&amp;"unds. I advise and I will redeem in for a future pregnancy!")</f>
        <v>Perfect I started using anti-stretch mark oil Weleda from the 4th month of pregnancy, alternating with organic argan oil. A few days of the term, I confirm: I've had no stretch marks! It feels very good, leaves the skin soft and is compatible with ultrasounds. I advise and I will redeem in for a future pregnancy!</v>
      </c>
    </row>
    <row r="13640">
      <c r="A13640" s="1">
        <v>5.0</v>
      </c>
      <c r="B13640" s="1" t="s">
        <v>13413</v>
      </c>
      <c r="C13640" t="str">
        <f>IFERROR(__xludf.DUMMYFUNCTION("GOOGLETRANSLATE(B13640, ""fr"", ""en"")"),"Very good quality. Very good flip flops are comfortable, take good feet, very good quality with very thick soles. Great.")</f>
        <v>Very good quality. Very good flip flops are comfortable, take good feet, very good quality with very thick soles. Great.</v>
      </c>
    </row>
    <row r="13641">
      <c r="A13641" s="1">
        <v>5.0</v>
      </c>
      <c r="B13641" s="1" t="s">
        <v>13414</v>
      </c>
      <c r="C13641" t="str">
        <f>IFERROR(__xludf.DUMMYFUNCTION("GOOGLETRANSLATE(B13641, ""fr"", ""en"")"),"Super Wireless earpiece true that I pux recommended I bought these headphones to replace all M **** es Chinese that I bought not take the loads or loose in a short time. The Jabra Elite 65t I bought reconditioned are top, autonomy from 5am to 5:30 approxi"&amp;"mately. Very comfortable in the ear despite some reviews I have read do not hurt. They are lightweight against by putting the right tip adapted to your ear for a better and maintain comfort. The sound is at the top may be missing some treble but it does h"&amp;"ave any problem. If you looked for true wireless headphones take this into promotional or refurbished if you can because the price is a bit expensive.")</f>
        <v>Super Wireless earpiece true that I pux recommended I bought these headphones to replace all M **** es Chinese that I bought not take the loads or loose in a short time. The Jabra Elite 65t I bought reconditioned are top, autonomy from 5am to 5:30 approximately. Very comfortable in the ear despite some reviews I have read do not hurt. They are lightweight against by putting the right tip adapted to your ear for a better and maintain comfort. The sound is at the top may be missing some treble but it does have any problem. If you looked for true wireless headphones take this into promotional or refurbished if you can because the price is a bit expensive.</v>
      </c>
    </row>
    <row r="13642">
      <c r="A13642" s="1">
        <v>5.0</v>
      </c>
      <c r="B13642" s="1" t="s">
        <v>13415</v>
      </c>
      <c r="C13642" t="str">
        <f>IFERROR(__xludf.DUMMYFUNCTION("GOOGLETRANSLATE(B13642, ""fr"", ""en"")"),"Very effective Very good product. I had the scalp and hair that regraissaient very quickly and very itchy skull returning every two days. After first use of this brush is feeling clean scalp. This one relubricated more as quickly and disappearance of itch"&amp;"ing. Excellent product for those who have a sensitive scalp !!")</f>
        <v>Very effective Very good product. I had the scalp and hair that regraissaient very quickly and very itchy skull returning every two days. After first use of this brush is feeling clean scalp. This one relubricated more as quickly and disappearance of itching. Excellent product for those who have a sensitive scalp !!</v>
      </c>
    </row>
    <row r="13643">
      <c r="A13643" s="1">
        <v>5.0</v>
      </c>
      <c r="B13643" s="1" t="s">
        <v>13416</v>
      </c>
      <c r="C13643" t="str">
        <f>IFERROR(__xludf.DUMMYFUNCTION("GOOGLETRANSLATE(B13643, ""fr"", ""en"")"),"Correct. Q / p interesting cable used to add 4 Atmos pregnant so not on the main speakers and not permanently biased. Quality very decent for the price.")</f>
        <v>Correct. Q / p interesting cable used to add 4 Atmos pregnant so not on the main speakers and not permanently biased. Quality very decent for the price.</v>
      </c>
    </row>
    <row r="13644">
      <c r="A13644" s="1">
        <v>5.0</v>
      </c>
      <c r="B13644" s="1" t="s">
        <v>13417</v>
      </c>
      <c r="C13644" t="str">
        <f>IFERROR(__xludf.DUMMYFUNCTION("GOOGLETRANSLATE(B13644, ""fr"", ""en"")"),"Wireless Bluetooth headphones I'm happy with this purchase, very comfortable helmet, nice and easy to use. Once it has connected to a appariel the next use it reconnects automatically. Excellent headphones, nice finish quality materials it is light to car"&amp;"ry and comfortable and sound great. I recommend this product")</f>
        <v>Wireless Bluetooth headphones I'm happy with this purchase, very comfortable helmet, nice and easy to use. Once it has connected to a appariel the next use it reconnects automatically. Excellent headphones, nice finish quality materials it is light to carry and comfortable and sound great. I recommend this product</v>
      </c>
    </row>
    <row r="13645">
      <c r="A13645" s="1">
        <v>5.0</v>
      </c>
      <c r="B13645" s="1" t="s">
        <v>13418</v>
      </c>
      <c r="C13645" t="str">
        <f>IFERROR(__xludf.DUMMYFUNCTION("GOOGLETRANSLATE(B13645, ""fr"", ""en"")"),"Unbelievable! I needed a Bluetooth headset, but I did not want to spend much money, I had a pleasant surprise, well built, beautiful design, they fit perfectly and do not move with good battery life .")</f>
        <v>Unbelievable! I needed a Bluetooth headset, but I did not want to spend much money, I had a pleasant surprise, well built, beautiful design, they fit perfectly and do not move with good battery life .</v>
      </c>
    </row>
    <row r="13646">
      <c r="A13646" s="1">
        <v>5.0</v>
      </c>
      <c r="B13646" s="1" t="s">
        <v>13419</v>
      </c>
      <c r="C13646" t="str">
        <f>IFERROR(__xludf.DUMMYFUNCTION("GOOGLETRANSLATE(B13646, ""fr"", ""en"")"),"That's 🆗")</f>
        <v>That's 🆗</v>
      </c>
    </row>
    <row r="13647">
      <c r="A13647" s="1">
        <v>5.0</v>
      </c>
      <c r="B13647" s="1" t="s">
        <v>13420</v>
      </c>
      <c r="C13647" t="str">
        <f>IFERROR(__xludf.DUMMYFUNCTION("GOOGLETRANSLATE(B13647, ""fr"", ""en"")"),"Good quality Bottles appreciated by my baby in handling as well as for anti-colic effect. nice design Affordable For cleaning, remember to unscrew all parties")</f>
        <v>Good quality Bottles appreciated by my baby in handling as well as for anti-colic effect. nice design Affordable For cleaning, remember to unscrew all parties</v>
      </c>
    </row>
    <row r="13648">
      <c r="A13648" s="1">
        <v>5.0</v>
      </c>
      <c r="B13648" s="1" t="s">
        <v>13421</v>
      </c>
      <c r="C13648" t="str">
        <f>IFERROR(__xludf.DUMMYFUNCTION("GOOGLETRANSLATE(B13648, ""fr"", ""en"")"),"Light &amp; amp; performance. Product yours well in ear, the sound quality is good")</f>
        <v>Light &amp; amp; performance. Product yours well in ear, the sound quality is good</v>
      </c>
    </row>
    <row r="13649">
      <c r="A13649" s="1">
        <v>5.0</v>
      </c>
      <c r="B13649" s="1" t="s">
        <v>13422</v>
      </c>
      <c r="C13649" t="str">
        <f>IFERROR(__xludf.DUMMYFUNCTION("GOOGLETRANSLATE(B13649, ""fr"", ""en"")"),"Classic and timeless I love these shoes. Beautiful, comfortable and come with 2-color laces choice. In the top.")</f>
        <v>Classic and timeless I love these shoes. Beautiful, comfortable and come with 2-color laces choice. In the top.</v>
      </c>
    </row>
    <row r="13650">
      <c r="A13650" s="1">
        <v>5.0</v>
      </c>
      <c r="B13650" s="1" t="s">
        <v>13423</v>
      </c>
      <c r="C13650" t="str">
        <f>IFERROR(__xludf.DUMMYFUNCTION("GOOGLETRANSLATE(B13650, ""fr"", ""en"")"),"It was perfect socks for my husband to go to work (safety shoes), this lot is perfect, holds up well to foot and confprtable, quite what I wanted")</f>
        <v>It was perfect socks for my husband to go to work (safety shoes), this lot is perfect, holds up well to foot and confprtable, quite what I wanted</v>
      </c>
    </row>
    <row r="13651">
      <c r="A13651" s="1">
        <v>5.0</v>
      </c>
      <c r="B13651" s="1" t="s">
        <v>13424</v>
      </c>
      <c r="C13651" t="str">
        <f>IFERROR(__xludf.DUMMYFUNCTION("GOOGLETRANSLATE(B13651, ""fr"", ""en"")"),"Good value This is the second time I buy this product. Comfortable and sturdy, I doors regularly in town. I recommend these shoes.")</f>
        <v>Good value This is the second time I buy this product. Comfortable and sturdy, I doors regularly in town. I recommend these shoes.</v>
      </c>
    </row>
    <row r="13652">
      <c r="A13652" s="1">
        <v>2.0</v>
      </c>
      <c r="B13652" s="1" t="s">
        <v>13425</v>
      </c>
      <c r="C13652" t="str">
        <f>IFERROR(__xludf.DUMMYFUNCTION("GOOGLETRANSLATE(B13652, ""fr"", ""en"")"),"2 sizes above yours there you should be fine Product is sympa.mais problem with pointure.prevoir 2 sizes bigger")</f>
        <v>2 sizes above yours there you should be fine Product is sympa.mais problem with pointure.prevoir 2 sizes bigger</v>
      </c>
    </row>
    <row r="13653">
      <c r="A13653" s="1">
        <v>1.0</v>
      </c>
      <c r="B13653" s="1" t="s">
        <v>13426</v>
      </c>
      <c r="C13653" t="str">
        <f>IFERROR(__xludf.DUMMYFUNCTION("GOOGLETRANSLATE(B13653, ""fr"", ""en"")"),"Stay away My father ended up in the hospital because these shoes are very slippery ...")</f>
        <v>Stay away My father ended up in the hospital because these shoes are very slippery ...</v>
      </c>
    </row>
    <row r="13654">
      <c r="A13654" s="1">
        <v>1.0</v>
      </c>
      <c r="B13654" s="1" t="s">
        <v>13427</v>
      </c>
      <c r="C13654" t="str">
        <f>IFERROR(__xludf.DUMMYFUNCTION("GOOGLETRANSLATE(B13654, ""fr"", ""en"")"),"Poor, fragile and poorly thought Disappointed with this purchase. Helmets fragile, too fragile. Placing on recharging cradle completely flawed. In a word c is junk !! To avoid")</f>
        <v>Poor, fragile and poorly thought Disappointed with this purchase. Helmets fragile, too fragile. Placing on recharging cradle completely flawed. In a word c is junk !! To avoid</v>
      </c>
    </row>
    <row r="13655">
      <c r="A13655" s="1">
        <v>3.0</v>
      </c>
      <c r="B13655" s="1" t="s">
        <v>13428</v>
      </c>
      <c r="C13655" t="str">
        <f>IFERROR(__xludf.DUMMYFUNCTION("GOOGLETRANSLATE(B13655, ""fr"", ""en"")"),"While watching location laces I didn t like the laces on the edge of footwear ... Very uncomfortable and unsightly for my taste. Look carefully before ordering.")</f>
        <v>While watching location laces I didn t like the laces on the edge of footwear ... Very uncomfortable and unsightly for my taste. Look carefully before ordering.</v>
      </c>
    </row>
    <row r="13656">
      <c r="A13656" s="1">
        <v>4.0</v>
      </c>
      <c r="B13656" s="1" t="s">
        <v>13429</v>
      </c>
      <c r="C13656" t="str">
        <f>IFERROR(__xludf.DUMMYFUNCTION("GOOGLETRANSLATE(B13656, ""fr"", ""en"")"),"I knew better quality as the cardboard sleeve was damaged; a sheet is folded to pass the laminator because too flexible; in short, I knew better!")</f>
        <v>I knew better quality as the cardboard sleeve was damaged; a sheet is folded to pass the laminator because too flexible; in short, I knew better!</v>
      </c>
    </row>
    <row r="13657">
      <c r="A13657" s="1">
        <v>4.0</v>
      </c>
      <c r="B13657" s="1" t="s">
        <v>13430</v>
      </c>
      <c r="C13657" t="str">
        <f>IFERROR(__xludf.DUMMYFUNCTION("GOOGLETRANSLATE(B13657, ""fr"", ""en"")"),"Good, but with a small flat Very good headset with a huge autonomy satisfactory ergonomics, I am satisfied despite the great fault: you must choose the tip for when choosing the proper ear tip is really isolated and can enjoy all the sound quality. The do"&amp;"wnside is that with the right means more tip outside sounds and even if this headset is provided with a function to listen to external sounds through the microphone, but it is rather annoying than useful! so I chose a smaller tip to be able to hear outsid"&amp;"e sounds but holding in the ear and worse and for sport is not ideal because it can fall.")</f>
        <v>Good, but with a small flat Very good headset with a huge autonomy satisfactory ergonomics, I am satisfied despite the great fault: you must choose the tip for when choosing the proper ear tip is really isolated and can enjoy all the sound quality. The downside is that with the right means more tip outside sounds and even if this headset is provided with a function to listen to external sounds through the microphone, but it is rather annoying than useful! so I chose a smaller tip to be able to hear outside sounds but holding in the ear and worse and for sport is not ideal because it can fall.</v>
      </c>
    </row>
    <row r="13658">
      <c r="A13658" s="1">
        <v>4.0</v>
      </c>
      <c r="B13658" s="1" t="s">
        <v>13431</v>
      </c>
      <c r="C13658" t="str">
        <f>IFERROR(__xludf.DUMMYFUNCTION("GOOGLETRANSLATE(B13658, ""fr"", ""en"")"),"Satisfying product which exercised its functions heating baby bottles and sterilization (I never sterilized bottles but my breast milk pump)")</f>
        <v>Satisfying product which exercised its functions heating baby bottles and sterilization (I never sterilized bottles but my breast milk pump)</v>
      </c>
    </row>
    <row r="13659">
      <c r="A13659" s="1">
        <v>4.0</v>
      </c>
      <c r="B13659" s="1" t="s">
        <v>13432</v>
      </c>
      <c r="C13659" t="str">
        <f>IFERROR(__xludf.DUMMYFUNCTION("GOOGLETRANSLATE(B13659, ""fr"", ""en"")"),"Sublime shows Wonderful shows almost every function. I bought it because it starts on time alone and it is solar. It is autonomous, which changes the other watches ""ordinary"" .4 I put only 4 stars because I find it small. I expected to have more shows b"&amp;"y buying")</f>
        <v>Sublime shows Wonderful shows almost every function. I bought it because it starts on time alone and it is solar. It is autonomous, which changes the other watches "ordinary" .4 I put only 4 stars because I find it small. I expected to have more shows by buying</v>
      </c>
    </row>
    <row r="13660">
      <c r="A13660" s="1">
        <v>5.0</v>
      </c>
      <c r="B13660" s="1" t="s">
        <v>13433</v>
      </c>
      <c r="C13660" t="str">
        <f>IFERROR(__xludf.DUMMYFUNCTION("GOOGLETRANSLATE(B13660, ""fr"", ""en"")"),"At the top I love the cover! It heats super fast and there are several temperature settings ... It is very soft and pleasant to the touch. I recommend for winter evenings ....")</f>
        <v>At the top I love the cover! It heats super fast and there are several temperature settings ... It is very soft and pleasant to the touch. I recommend for winter evenings ....</v>
      </c>
    </row>
    <row r="13661">
      <c r="A13661" s="1">
        <v>5.0</v>
      </c>
      <c r="B13661" s="1" t="s">
        <v>13434</v>
      </c>
      <c r="C13661" t="str">
        <f>IFERROR(__xludf.DUMMYFUNCTION("GOOGLETRANSLATE(B13661, ""fr"", ""en"")"),"Size high super sweatshirt, very hot like unfortunately I sent for careful ""American size"" so send I control the size below, The (US) = XL (FR)")</f>
        <v>Size high super sweatshirt, very hot like unfortunately I sent for careful "American size" so send I control the size below, The (US) = XL (FR)</v>
      </c>
    </row>
    <row r="13662">
      <c r="A13662" s="1">
        <v>5.0</v>
      </c>
      <c r="B13662" s="1" t="s">
        <v>13435</v>
      </c>
      <c r="C13662" t="str">
        <f>IFERROR(__xludf.DUMMYFUNCTION("GOOGLETRANSLATE(B13662, ""fr"", ""en"")"),"great gift for my daughter, arrived ahead of schedule I had ear studs surcharge I am delighted, the dress is very pretty and consistent with value for money Description")</f>
        <v>great gift for my daughter, arrived ahead of schedule I had ear studs surcharge I am delighted, the dress is very pretty and consistent with value for money Description</v>
      </c>
    </row>
    <row r="13663">
      <c r="A13663" s="1">
        <v>5.0</v>
      </c>
      <c r="B13663" s="1" t="s">
        <v>13436</v>
      </c>
      <c r="C13663" t="str">
        <f>IFERROR(__xludf.DUMMYFUNCTION("GOOGLETRANSLATE(B13663, ""fr"", ""en"")"),"Satisfied Good Gift massage chair for parents Can be placed on a chair or on a sofa plus 1 adapter for car. Shoulder Massage + mass while back massage • Hot &amp; nbsp; By 3-speed vibration. The part of the back it up and down very comfortable whole person is"&amp;" much more comfortable, parents love her very much. Auto-off function after 15 minutes Delivery is also fast, packaged Thanks")</f>
        <v>Satisfied Good Gift massage chair for parents Can be placed on a chair or on a sofa plus 1 adapter for car. Shoulder Massage + mass while back massage • Hot &amp; nbsp; By 3-speed vibration. The part of the back it up and down very comfortable whole person is much more comfortable, parents love her very much. Auto-off function after 15 minutes Delivery is also fast, packaged Thanks</v>
      </c>
    </row>
    <row r="13664">
      <c r="A13664" s="1">
        <v>5.0</v>
      </c>
      <c r="B13664" s="1" t="s">
        <v>13437</v>
      </c>
      <c r="C13664" t="str">
        <f>IFERROR(__xludf.DUMMYFUNCTION("GOOGLETRANSLATE(B13664, ""fr"", ""en"")"),"Good product The product line with expectations and was delivered on time. I used it on winter boots and it's rather good job, again the quality seems to be waiting for you ... I recommend!")</f>
        <v>Good product The product line with expectations and was delivered on time. I used it on winter boots and it's rather good job, again the quality seems to be waiting for you ... I recommend!</v>
      </c>
    </row>
    <row r="13665">
      <c r="A13665" s="1">
        <v>5.0</v>
      </c>
      <c r="B13665" s="1" t="s">
        <v>13438</v>
      </c>
      <c r="C13665" t="str">
        <f>IFERROR(__xludf.DUMMYFUNCTION("GOOGLETRANSLATE(B13665, ""fr"", ""en"")"),"Good quality organic cotton Good product beautiful color comfortable Highly recommend")</f>
        <v>Good quality organic cotton Good product beautiful color comfortable Highly recommend</v>
      </c>
    </row>
    <row r="13666">
      <c r="A13666" s="1">
        <v>5.0</v>
      </c>
      <c r="B13666" s="1" t="s">
        <v>13439</v>
      </c>
      <c r="C13666" t="str">
        <f>IFERROR(__xludf.DUMMYFUNCTION("GOOGLETRANSLATE(B13666, ""fr"", ""en"")"),"very easy calculator to use, solid. She batteries and more is solar. My daughter is in the third preferred to other models which are however in the range ""college"". I recommend.")</f>
        <v>very easy calculator to use, solid. She batteries and more is solar. My daughter is in the third preferred to other models which are however in the range "college". I recommend.</v>
      </c>
    </row>
    <row r="13667">
      <c r="A13667" s="1">
        <v>5.0</v>
      </c>
      <c r="B13667" s="1" t="s">
        <v>13440</v>
      </c>
      <c r="C13667" t="str">
        <f>IFERROR(__xludf.DUMMYFUNCTION("GOOGLETRANSLATE(B13667, ""fr"", ""en"")"),"Stunning !! headphones good quality sound, the sound is good, pleasing to the ear, they adapt very well to my ears. in noisy environments the sound is quite powerful.")</f>
        <v>Stunning !! headphones good quality sound, the sound is good, pleasing to the ear, they adapt very well to my ears. in noisy environments the sound is quite powerful.</v>
      </c>
    </row>
    <row r="13668">
      <c r="A13668" s="1">
        <v>5.0</v>
      </c>
      <c r="B13668" s="1" t="s">
        <v>13441</v>
      </c>
      <c r="C13668" t="str">
        <f>IFERROR(__xludf.DUMMYFUNCTION("GOOGLETRANSLATE(B13668, ""fr"", ""en"")"),"Elegant True to the picture. refined and elegant yet simple. Necklace and silver pendant. Consistent with the description of the seller. Received in its storage box with the cloth needed to clean the pendant.")</f>
        <v>Elegant True to the picture. refined and elegant yet simple. Necklace and silver pendant. Consistent with the description of the seller. Received in its storage box with the cloth needed to clean the pendant.</v>
      </c>
    </row>
    <row r="13669">
      <c r="A13669" s="1">
        <v>5.0</v>
      </c>
      <c r="B13669" s="1" t="s">
        <v>13442</v>
      </c>
      <c r="C13669" t="str">
        <f>IFERROR(__xludf.DUMMYFUNCTION("GOOGLETRANSLATE(B13669, ""fr"", ""en"")"),"great product very good product quality perfect packaging, the criteria matches those of the site. taillé.Lavage facile.Tissu very good quality")</f>
        <v>great product very good product quality perfect packaging, the criteria matches those of the site. taillé.Lavage facile.Tissu very good quality</v>
      </c>
    </row>
    <row r="13670">
      <c r="A13670" s="1">
        <v>5.0</v>
      </c>
      <c r="B13670" s="1" t="s">
        <v>13443</v>
      </c>
      <c r="C13670" t="str">
        <f>IFERROR(__xludf.DUMMYFUNCTION("GOOGLETRANSLATE(B13670, ""fr"", ""en"")"),"Comfortable, well worth the price Suitable for low temperatures, they are very comfortable, seem to wick away perspiration and even having had some snow in my shoes, I have not felt my feet wet. For extreme temperatures from -20 ° C to -30 ° C, however, I"&amp;" was still cold.")</f>
        <v>Comfortable, well worth the price Suitable for low temperatures, they are very comfortable, seem to wick away perspiration and even having had some snow in my shoes, I have not felt my feet wet. For extreme temperatures from -20 ° C to -30 ° C, however, I was still cold.</v>
      </c>
    </row>
    <row r="13671">
      <c r="A13671" s="1">
        <v>5.0</v>
      </c>
      <c r="B13671" s="1" t="s">
        <v>13444</v>
      </c>
      <c r="C13671" t="str">
        <f>IFERROR(__xludf.DUMMYFUNCTION("GOOGLETRANSLATE(B13671, ""fr"", ""en"")"),"At the top .... Perfect finish and super comfortable ....")</f>
        <v>At the top .... Perfect finish and super comfortable ....</v>
      </c>
    </row>
    <row r="13672">
      <c r="A13672" s="1">
        <v>5.0</v>
      </c>
      <c r="B13672" s="1" t="s">
        <v>13445</v>
      </c>
      <c r="C13672" t="str">
        <f>IFERROR(__xludf.DUMMYFUNCTION("GOOGLETRANSLATE(B13672, ""fr"", ""en"")"),"The only perfect bottle that my baby wanted. Easy to clean")</f>
        <v>The only perfect bottle that my baby wanted. Easy to clean</v>
      </c>
    </row>
    <row r="13673">
      <c r="A13673" s="1">
        <v>5.0</v>
      </c>
      <c r="B13673" s="1" t="s">
        <v>13446</v>
      </c>
      <c r="C13673" t="str">
        <f>IFERROR(__xludf.DUMMYFUNCTION("GOOGLETRANSLATE(B13673, ""fr"", ""en"")"),"The microphone I look !! This is the best microphone I was looking for I am extremely impressed due microphone For its price, it deserves careful if you buy the microphone without arms it does not hurt ... but you have a tripod and if you put your and you"&amp;" put shots in micro yours or others it will make a lot of noise in the microphone Me, I'm so gamers of all kinds, and I'm stream videos, short, these for her I took the microphone He is also a cuckold to sing but I recommend you buy Le Bras (rode PSA1) th"&amp;"e microphone includes: micro (of course), tripod and anti pop filter")</f>
        <v>The microphone I look !! This is the best microphone I was looking for I am extremely impressed due microphone For its price, it deserves careful if you buy the microphone without arms it does not hurt ... but you have a tripod and if you put your and you put shots in micro yours or others it will make a lot of noise in the microphone Me, I'm so gamers of all kinds, and I'm stream videos, short, these for her I took the microphone He is also a cuckold to sing but I recommend you buy Le Bras (rode PSA1) the microphone includes: micro (of course), tripod and anti pop filter</v>
      </c>
    </row>
    <row r="13674">
      <c r="A13674" s="1">
        <v>5.0</v>
      </c>
      <c r="B13674" s="1" t="s">
        <v>13447</v>
      </c>
      <c r="C13674" t="str">
        <f>IFERROR(__xludf.DUMMYFUNCTION("GOOGLETRANSLATE(B13674, ""fr"", ""en"")"),"Perfect perfect HP Black cartridge for my printer HP 2630. It fits perfectly into it. And for people who ask these cartridges are normal cartridges that are not part of the program hp instant ink you can print pages without the ela being counted in your p"&amp;"ackage instant ink.")</f>
        <v>Perfect perfect HP Black cartridge for my printer HP 2630. It fits perfectly into it. And for people who ask these cartridges are normal cartridges that are not part of the program hp instant ink you can print pages without the ela being counted in your package instant ink.</v>
      </c>
    </row>
    <row r="13675">
      <c r="A13675" s="1">
        <v>2.0</v>
      </c>
      <c r="B13675" s="1" t="s">
        <v>13448</v>
      </c>
      <c r="C13675" t="str">
        <f>IFERROR(__xludf.DUMMYFUNCTION("GOOGLETRANSLATE(B13675, ""fr"", ""en"")"),"Disappointed shoes seemed already carried by someone. I go on vacation from tomorrow otherwise I would have to go back because its quality was really not up")</f>
        <v>Disappointed shoes seemed already carried by someone. I go on vacation from tomorrow otherwise I would have to go back because its quality was really not up</v>
      </c>
    </row>
    <row r="13676">
      <c r="A13676" s="1">
        <v>1.0</v>
      </c>
      <c r="B13676" s="1" t="s">
        <v>13449</v>
      </c>
      <c r="C13676" t="str">
        <f>IFERROR(__xludf.DUMMYFUNCTION("GOOGLETRANSLATE(B13676, ""fr"", ""en"")"),"The ink is already dry after less than a month ... I never redeem, the color is already running more after less than a month after printing less than 10 pages, the f ... by face ... I should go back This is always the problem with the original inkjet, but"&amp;" there are exceeded limits")</f>
        <v>The ink is already dry after less than a month ... I never redeem, the color is already running more after less than a month after printing less than 10 pages, the f ... by face ... I should go back This is always the problem with the original inkjet, but there are exceeded limits</v>
      </c>
    </row>
    <row r="13677">
      <c r="A13677" s="1">
        <v>3.0</v>
      </c>
      <c r="B13677" s="1" t="s">
        <v>13450</v>
      </c>
      <c r="C13677" t="str">
        <f>IFERROR(__xludf.DUMMYFUNCTION("GOOGLETRANSLATE(B13677, ""fr"", ""en"")"),"Diesel you pay the brand Beautiful watch for bling man")</f>
        <v>Diesel you pay the brand Beautiful watch for bling man</v>
      </c>
    </row>
    <row r="13678">
      <c r="A13678" s="1">
        <v>3.0</v>
      </c>
      <c r="B13678" s="1" t="s">
        <v>13451</v>
      </c>
      <c r="C13678" t="str">
        <f>IFERROR(__xludf.DUMMYFUNCTION("GOOGLETRANSLATE(B13678, ""fr"", ""en"")"),"Comfortable shoes good ... but as often with this brand. no complaints except for the laces. they undo itself even shaking like crazy and too short for a double knot the laces so I would change very quickly")</f>
        <v>Comfortable shoes good ... but as often with this brand. no complaints except for the laces. they undo itself even shaking like crazy and too short for a double knot the laces so I would change very quickly</v>
      </c>
    </row>
    <row r="13679">
      <c r="A13679" s="1">
        <v>4.0</v>
      </c>
      <c r="B13679" s="1" t="s">
        <v>13452</v>
      </c>
      <c r="C13679" t="str">
        <f>IFERROR(__xludf.DUMMYFUNCTION("GOOGLETRANSLATE(B13679, ""fr"", ""en"")"),"very effective in closets for what is stored in the cellar ... more water to empty (as in Rubson), no leaks, no smells and good efficiency ... these small bags are perfect for fight against humidity! Only downside: their low capacity.")</f>
        <v>very effective in closets for what is stored in the cellar ... more water to empty (as in Rubson), no leaks, no smells and good efficiency ... these small bags are perfect for fight against humidity! Only downside: their low capacity.</v>
      </c>
    </row>
    <row r="13680">
      <c r="A13680" s="1">
        <v>4.0</v>
      </c>
      <c r="B13680" s="1" t="s">
        <v>13453</v>
      </c>
      <c r="C13680" t="str">
        <f>IFERROR(__xludf.DUMMYFUNCTION("GOOGLETRANSLATE(B13680, ""fr"", ""en"")"),"massage very good product. I just essayer.la remote to me seems a bit fragile. late delivery thick it was worth to wait")</f>
        <v>massage very good product. I just essayer.la remote to me seems a bit fragile. late delivery thick it was worth to wait</v>
      </c>
    </row>
    <row r="13681">
      <c r="A13681" s="1">
        <v>4.0</v>
      </c>
      <c r="B13681" s="1" t="s">
        <v>13454</v>
      </c>
      <c r="C13681" t="str">
        <f>IFERROR(__xludf.DUMMYFUNCTION("GOOGLETRANSLATE(B13681, ""fr"", ""en"")"),"Exellent Good Article")</f>
        <v>Exellent Good Article</v>
      </c>
    </row>
    <row r="13682">
      <c r="A13682" s="1">
        <v>4.0</v>
      </c>
      <c r="B13682" s="1" t="s">
        <v>13455</v>
      </c>
      <c r="C13682" t="str">
        <f>IFERROR(__xludf.DUMMYFUNCTION("GOOGLETRANSLATE(B13682, ""fr"", ""en"")"),"for babies assets these beefy bottles, good composure, DODIE bottles anti colic sensation + 330ml FUSHIA SWANS six months nipple flat rate 3 - Lot 2, taking over from Newborn baby bottles and already can be used not the most babies alerts, and those who a"&amp;"lready hold their bottle in hand! to ten months, I know well that take charge of their bottle and which one does not easily their resumes! These bottles have the advantage of being solid as if dropped from the high chair!")</f>
        <v>for babies assets these beefy bottles, good composure, DODIE bottles anti colic sensation + 330ml FUSHIA SWANS six months nipple flat rate 3 - Lot 2, taking over from Newborn baby bottles and already can be used not the most babies alerts, and those who already hold their bottle in hand! to ten months, I know well that take charge of their bottle and which one does not easily their resumes! These bottles have the advantage of being solid as if dropped from the high chair!</v>
      </c>
    </row>
    <row r="13683">
      <c r="A13683" s="1">
        <v>4.0</v>
      </c>
      <c r="B13683" s="1" t="s">
        <v>13456</v>
      </c>
      <c r="C13683" t="str">
        <f>IFERROR(__xludf.DUMMYFUNCTION("GOOGLETRANSLATE(B13683, ""fr"", ""en"")"),"major problem I'd order of 38 but it is too small you need a size bigger if proper quality")</f>
        <v>major problem I'd order of 38 but it is too small you need a size bigger if proper quality</v>
      </c>
    </row>
    <row r="13684">
      <c r="A13684" s="1">
        <v>5.0</v>
      </c>
      <c r="B13684" s="1" t="s">
        <v>13457</v>
      </c>
      <c r="C13684" t="str">
        <f>IFERROR(__xludf.DUMMYFUNCTION("GOOGLETRANSLATE(B13684, ""fr"", ""en"")"),"Wrist / mouse mat This model is perfect: the envelope of the gel made of a kind of fabric is much more pleasant to touch than plastic that I had before.")</f>
        <v>Wrist / mouse mat This model is perfect: the envelope of the gel made of a kind of fabric is much more pleasant to touch than plastic that I had before.</v>
      </c>
    </row>
    <row r="13685">
      <c r="A13685" s="1">
        <v>5.0</v>
      </c>
      <c r="B13685" s="1" t="s">
        <v>13458</v>
      </c>
      <c r="C13685" t="str">
        <f>IFERROR(__xludf.DUMMYFUNCTION("GOOGLETRANSLATE(B13685, ""fr"", ""en"")"),"Excellent Very highly recommended for professionals, although we come to distinguish each sound, each channel (left, right, center), etc. In short, all that to say it is awesome.")</f>
        <v>Excellent Very highly recommended for professionals, although we come to distinguish each sound, each channel (left, right, center), etc. In short, all that to say it is awesome.</v>
      </c>
    </row>
    <row r="13686">
      <c r="A13686" s="1">
        <v>5.0</v>
      </c>
      <c r="B13686" s="1" t="s">
        <v>13459</v>
      </c>
      <c r="C13686" t="str">
        <f>IFERROR(__xludf.DUMMYFUNCTION("GOOGLETRANSLATE(B13686, ""fr"", ""en"")"),"excellent product readability, signal reception time setting carefree, light")</f>
        <v>excellent product readability, signal reception time setting carefree, light</v>
      </c>
    </row>
    <row r="13687">
      <c r="A13687" s="1">
        <v>5.0</v>
      </c>
      <c r="B13687" s="1" t="s">
        <v>13460</v>
      </c>
      <c r="C13687" t="str">
        <f>IFERROR(__xludf.DUMMYFUNCTION("GOOGLETRANSLATE(B13687, ""fr"", ""en"")"),"Super cheap product I'm happy with my purchase great product good value arrives in time I recommend")</f>
        <v>Super cheap product I'm happy with my purchase great product good value arrives in time I recommend</v>
      </c>
    </row>
    <row r="13688">
      <c r="A13688" s="1">
        <v>5.0</v>
      </c>
      <c r="B13688" s="1" t="s">
        <v>13461</v>
      </c>
      <c r="C13688" t="str">
        <f>IFERROR(__xludf.DUMMYFUNCTION("GOOGLETRANSLATE(B13688, ""fr"", ""en"")"),"AWESOME Beautiful design perfect leather bracelet, normal size ... therefore, I recommend!")</f>
        <v>AWESOME Beautiful design perfect leather bracelet, normal size ... therefore, I recommend!</v>
      </c>
    </row>
    <row r="13689">
      <c r="A13689" s="1">
        <v>5.0</v>
      </c>
      <c r="B13689" s="1" t="s">
        <v>13462</v>
      </c>
      <c r="C13689" t="str">
        <f>IFERROR(__xludf.DUMMYFUNCTION("GOOGLETRANSLATE(B13689, ""fr"", ""en"")"),"Super Perfect Article")</f>
        <v>Super Perfect Article</v>
      </c>
    </row>
    <row r="13690">
      <c r="A13690" s="1">
        <v>5.0</v>
      </c>
      <c r="B13690" s="1" t="s">
        <v>13463</v>
      </c>
      <c r="C13690" t="str">
        <f>IFERROR(__xludf.DUMMYFUNCTION("GOOGLETRANSLATE(B13690, ""fr"", ""en"")"),"Shocking .. Being in the right direction for rent and not wanting to venture me a break through the wall and then the recap when I leave the apartment, I decided after reading most of the reviews and test on the internet to opt for this overkill tape. My "&amp;"companion was not very packed as it was to secure a large mirror, on my side I was a little more confident. Finally, the mirror was fixed in 5 minutes flat, I took measurements of the mirror and then stick the tape on the wall, and then position the mirro"&amp;"r, and here is the result (see photos on the picture 2 shows that the mirror is almost flush with the wall). Satisfied with the result, hoping that it takes, I will update my review to keep abreast :)")</f>
        <v>Shocking .. Being in the right direction for rent and not wanting to venture me a break through the wall and then the recap when I leave the apartment, I decided after reading most of the reviews and test on the internet to opt for this overkill tape. My companion was not very packed as it was to secure a large mirror, on my side I was a little more confident. Finally, the mirror was fixed in 5 minutes flat, I took measurements of the mirror and then stick the tape on the wall, and then position the mirror, and here is the result (see photos on the picture 2 shows that the mirror is almost flush with the wall). Satisfied with the result, hoping that it takes, I will update my review to keep abreast :)</v>
      </c>
    </row>
    <row r="13691">
      <c r="A13691" s="1">
        <v>5.0</v>
      </c>
      <c r="B13691" s="1" t="s">
        <v>13464</v>
      </c>
      <c r="C13691" t="str">
        <f>IFERROR(__xludf.DUMMYFUNCTION("GOOGLETRANSLATE(B13691, ""fr"", ""en"")"),"Top Really very good cool awesome quality sports connect both for 57 € a bargain")</f>
        <v>Top Really very good cool awesome quality sports connect both for 57 € a bargain</v>
      </c>
    </row>
    <row r="13692">
      <c r="A13692" s="1">
        <v>5.0</v>
      </c>
      <c r="B13692" s="1" t="s">
        <v>13465</v>
      </c>
      <c r="C13692" t="str">
        <f>IFERROR(__xludf.DUMMYFUNCTION("GOOGLETRANSLATE(B13692, ""fr"", ""en"")"),"Ideal !!! Ideal for weekends in the family, is easily stored and will not take up much space")</f>
        <v>Ideal !!! Ideal for weekends in the family, is easily stored and will not take up much space</v>
      </c>
    </row>
    <row r="13693">
      <c r="A13693" s="1">
        <v>5.0</v>
      </c>
      <c r="B13693" s="1" t="s">
        <v>13466</v>
      </c>
      <c r="C13693" t="str">
        <f>IFERROR(__xludf.DUMMYFUNCTION("GOOGLETRANSLATE(B13693, ""fr"", ""en"")"),"The oil Okay but not tried")</f>
        <v>The oil Okay but not tried</v>
      </c>
    </row>
    <row r="13694">
      <c r="A13694" s="1">
        <v>5.0</v>
      </c>
      <c r="B13694" s="1" t="s">
        <v>13467</v>
      </c>
      <c r="C13694" t="str">
        <f>IFERROR(__xludf.DUMMYFUNCTION("GOOGLETRANSLATE(B13694, ""fr"", ""en"")"),"Perfect!! Product conforms to the description, shipped very quickly. I'm satisfied")</f>
        <v>Perfect!! Product conforms to the description, shipped very quickly. I'm satisfied</v>
      </c>
    </row>
    <row r="13695">
      <c r="A13695" s="1">
        <v>5.0</v>
      </c>
      <c r="B13695" s="1" t="s">
        <v>13468</v>
      </c>
      <c r="C13695" t="str">
        <f>IFERROR(__xludf.DUMMYFUNCTION("GOOGLETRANSLATE(B13695, ""fr"", ""en"")"),"Between history and adventure series is exciting! This is the 2nd I drive and it is a success. I also ordered the series Ulysses .... The series is to discover! For young and old!")</f>
        <v>Between history and adventure series is exciting! This is the 2nd I drive and it is a success. I also ordered the series Ulysses .... The series is to discover! For young and old!</v>
      </c>
    </row>
    <row r="13696">
      <c r="A13696" s="1">
        <v>5.0</v>
      </c>
      <c r="B13696" s="1" t="s">
        <v>13469</v>
      </c>
      <c r="C13696" t="str">
        <f>IFERROR(__xludf.DUMMYFUNCTION("GOOGLETRANSLATE(B13696, ""fr"", ""en"")"),"Although this earpiece is clear and it is comfortable to use.")</f>
        <v>Although this earpiece is clear and it is comfortable to use.</v>
      </c>
    </row>
    <row r="13697">
      <c r="A13697" s="1">
        <v>5.0</v>
      </c>
      <c r="B13697" s="1" t="s">
        <v>13470</v>
      </c>
      <c r="C13697" t="str">
        <f>IFERROR(__xludf.DUMMYFUNCTION("GOOGLETRANSLATE(B13697, ""fr"", ""en"")"),"Too bad Nice, comfortable shoes and well made, alas shoes too big, amazon return the model 40 being 30% more expensive, CA is no longer the case.")</f>
        <v>Too bad Nice, comfortable shoes and well made, alas shoes too big, amazon return the model 40 being 30% more expensive, CA is no longer the case.</v>
      </c>
    </row>
    <row r="13698">
      <c r="A13698" s="1">
        <v>5.0</v>
      </c>
      <c r="B13698" s="1" t="s">
        <v>13471</v>
      </c>
      <c r="C13698" t="str">
        <f>IFERROR(__xludf.DUMMYFUNCTION("GOOGLETRANSLATE(B13698, ""fr"", ""en"")"),"Photo Printer Cartridge Very good product. Meets the photo and my expectations. Very happy to print my photos. Favorite since my printer. Send fast and heal")</f>
        <v>Photo Printer Cartridge Very good product. Meets the photo and my expectations. Very happy to print my photos. Favorite since my printer. Send fast and heal</v>
      </c>
    </row>
    <row r="13699">
      <c r="A13699" s="1">
        <v>2.0</v>
      </c>
      <c r="B13699" s="1" t="s">
        <v>13472</v>
      </c>
      <c r="C13699" t="str">
        <f>IFERROR(__xludf.DUMMYFUNCTION("GOOGLETRANSLATE(B13699, ""fr"", ""en"")"),"blah disappointed in these tshirts, they are not bent enough for my taste and they cut big I think I do a 44, I took the L and I float in it (I have a marked size though). From then, after a first washing machine 30, they have already moved, the son dangl"&amp;"ing and form more completely symmetric")</f>
        <v>blah disappointed in these tshirts, they are not bent enough for my taste and they cut big I think I do a 44, I took the L and I float in it (I have a marked size though). From then, after a first washing machine 30, they have already moved, the son dangling and form more completely symmetric</v>
      </c>
    </row>
    <row r="13700">
      <c r="A13700" s="1">
        <v>1.0</v>
      </c>
      <c r="B13700" s="1" t="s">
        <v>13473</v>
      </c>
      <c r="C13700" t="str">
        <f>IFERROR(__xludf.DUMMYFUNCTION("GOOGLETRANSLATE(B13700, ""fr"", ""en"")"),"R. A. Very bad cut S")</f>
        <v>R. A. Very bad cut S</v>
      </c>
    </row>
    <row r="13701">
      <c r="A13701" s="1">
        <v>1.0</v>
      </c>
      <c r="B13701" s="1" t="s">
        <v>13474</v>
      </c>
      <c r="C13701" t="str">
        <f>IFERROR(__xludf.DUMMYFUNCTION("GOOGLETRANSLATE(B13701, ""fr"", ""en"")"),"Poor Very good copy of the original model. At first sight nothing to say, to use it is another thing. The microphone has walked once and buttons to adjust the sound no longer work after a week of use. The sound is still ok but I am very disappointed with "&amp;"my purchase.")</f>
        <v>Poor Very good copy of the original model. At first sight nothing to say, to use it is another thing. The microphone has walked once and buttons to adjust the sound no longer work after a week of use. The sound is still ok but I am very disappointed with my purchase.</v>
      </c>
    </row>
    <row r="13702">
      <c r="A13702" s="1">
        <v>3.0</v>
      </c>
      <c r="B13702" s="1" t="s">
        <v>13475</v>
      </c>
      <c r="C13702" t="str">
        <f>IFERROR(__xludf.DUMMYFUNCTION("GOOGLETRANSLATE(B13702, ""fr"", ""en"")"),"Device comfortable massaging device massaging and comfortable heating function included. Relieves back pain and muscle in the shoulder, however, not to use over long periods because it becomes uncomfortable.")</f>
        <v>Device comfortable massaging device massaging and comfortable heating function included. Relieves back pain and muscle in the shoulder, however, not to use over long periods because it becomes uncomfortable.</v>
      </c>
    </row>
    <row r="13703">
      <c r="A13703" s="1">
        <v>3.0</v>
      </c>
      <c r="B13703" s="1" t="s">
        <v>13476</v>
      </c>
      <c r="C13703" t="str">
        <f>IFERROR(__xludf.DUMMYFUNCTION("GOOGLETRANSLATE(B13703, ""fr"", ""en"")"),"Small Size Too Small")</f>
        <v>Small Size Too Small</v>
      </c>
    </row>
    <row r="13704">
      <c r="A13704" s="1">
        <v>4.0</v>
      </c>
      <c r="B13704" s="1" t="s">
        <v>204</v>
      </c>
      <c r="C13704" t="str">
        <f>IFERROR(__xludf.DUMMYFUNCTION("GOOGLETRANSLATE(B13704, ""fr"", ""en"")"),"Top Top")</f>
        <v>Top Top</v>
      </c>
    </row>
    <row r="13705">
      <c r="A13705" s="1">
        <v>4.0</v>
      </c>
      <c r="B13705" s="1" t="s">
        <v>13477</v>
      </c>
      <c r="C13705" t="str">
        <f>IFERROR(__xludf.DUMMYFUNCTION("GOOGLETRANSLATE(B13705, ""fr"", ""en"")"),"THE converse low I could have put all the stars so I like this model for three decades, but there is a downside: no half size and the perfect size for me would be 38 and a half ... but the color is burgundy beautiful this fall!")</f>
        <v>THE converse low I could have put all the stars so I like this model for three decades, but there is a downside: no half size and the perfect size for me would be 38 and a half ... but the color is burgundy beautiful this fall!</v>
      </c>
    </row>
    <row r="13706">
      <c r="A13706" s="1">
        <v>4.0</v>
      </c>
      <c r="B13706" s="1" t="s">
        <v>13478</v>
      </c>
      <c r="C13706" t="str">
        <f>IFERROR(__xludf.DUMMYFUNCTION("GOOGLETRANSLATE(B13706, ""fr"", ""en"")"),"massager ikeepi happy to have received my masseur. it works well in heavy hand but good! I regret that he didn t y d explanation of ""what tip for any use ... I have to look on you tube but not much just people who unpack the product! is used regularly")</f>
        <v>massager ikeepi happy to have received my masseur. it works well in heavy hand but good! I regret that he didn t y d explanation of "what tip for any use ... I have to look on you tube but not much just people who unpack the product! is used regularly</v>
      </c>
    </row>
    <row r="13707">
      <c r="A13707" s="1">
        <v>4.0</v>
      </c>
      <c r="B13707" s="1" t="s">
        <v>13479</v>
      </c>
      <c r="C13707" t="str">
        <f>IFERROR(__xludf.DUMMYFUNCTION("GOOGLETRANSLATE(B13707, ""fr"", ""en"")"),"Good product Good size, relatively strong (even if it is the second that I buy, the previous lasted 3 years, because of a crack on the folds). The only complaint (hence the 4 stars): I think the gray card is not easy to put on (there are 3 components, and"&amp;" only two slots opening to insert, believe me, it ' is not easy once you get to the step ""insert the third component"").")</f>
        <v>Good product Good size, relatively strong (even if it is the second that I buy, the previous lasted 3 years, because of a crack on the folds). The only complaint (hence the 4 stars): I think the gray card is not easy to put on (there are 3 components, and only two slots opening to insert, believe me, it ' is not easy once you get to the step "insert the third component").</v>
      </c>
    </row>
    <row r="13708">
      <c r="A13708" s="1">
        <v>5.0</v>
      </c>
      <c r="B13708" s="1" t="s">
        <v>13480</v>
      </c>
      <c r="C13708" t="str">
        <f>IFERROR(__xludf.DUMMYFUNCTION("GOOGLETRANSLATE(B13708, ""fr"", ""en"")"),"Good product Very well. Use during the first 6 months of the twins. No failure, still works but we do not use anymore. Once baby puts hand to mouth that no longer serves much. You can put 6 large bottles (320ml MAM's return). Taken to replace a microwave "&amp;"stérisateur that one would not fit in my microwave (that is balo lol) and two large bottles did not fit in. With independent stérisateur we avoid this kind of disappointment even if I should have checked the dimensions before ... Level maintenance needs t"&amp;"o be descaled occasionally the receptacle where you put water: white vinegar overnight and cleaned with a scraping sponge. It starts rather well and if ever there is still some scale a second night and the product is like new. rapid sterilization (less th"&amp;"an 10 minutes) but be cool to avoid burns. While sterilization is not précaunisée personally reassured me that. Avoid putting infants Tylenol dosing in by cons it does not appreciate being sterilized these things!")</f>
        <v>Good product Very well. Use during the first 6 months of the twins. No failure, still works but we do not use anymore. Once baby puts hand to mouth that no longer serves much. You can put 6 large bottles (320ml MAM's return). Taken to replace a microwave stérisateur that one would not fit in my microwave (that is balo lol) and two large bottles did not fit in. With independent stérisateur we avoid this kind of disappointment even if I should have checked the dimensions before ... Level maintenance needs to be descaled occasionally the receptacle where you put water: white vinegar overnight and cleaned with a scraping sponge. It starts rather well and if ever there is still some scale a second night and the product is like new. rapid sterilization (less than 10 minutes) but be cool to avoid burns. While sterilization is not précaunisée personally reassured me that. Avoid putting infants Tylenol dosing in by cons it does not appreciate being sterilized these things!</v>
      </c>
    </row>
    <row r="13709">
      <c r="A13709" s="1">
        <v>5.0</v>
      </c>
      <c r="B13709" s="1" t="s">
        <v>13481</v>
      </c>
      <c r="C13709" t="str">
        <f>IFERROR(__xludf.DUMMYFUNCTION("GOOGLETRANSLATE(B13709, ""fr"", ""en"")"),"In the top ! I'm not a great walker but I regularly travel between 8 and 15km. I often had pain on the sides or on the soles of feet as soon as I passed the 6 or 7 km with basic socks. I bought a pair of first Danish Endurance I tested last we 10kms on, r"&amp;"esulting in no pain. I ordered in the wake of a set of 3 additional pairs because I go in March for a trip that should make me enchainer small hikes every day. I think I'll be in the best conditions with these socks: o)")</f>
        <v>In the top ! I'm not a great walker but I regularly travel between 8 and 15km. I often had pain on the sides or on the soles of feet as soon as I passed the 6 or 7 km with basic socks. I bought a pair of first Danish Endurance I tested last we 10kms on, resulting in no pain. I ordered in the wake of a set of 3 additional pairs because I go in March for a trip that should make me enchainer small hikes every day. I think I'll be in the best conditions with these socks: o)</v>
      </c>
    </row>
    <row r="13710">
      <c r="A13710" s="1">
        <v>5.0</v>
      </c>
      <c r="B13710" s="1" t="s">
        <v>13482</v>
      </c>
      <c r="C13710" t="str">
        <f>IFERROR(__xludf.DUMMYFUNCTION("GOOGLETRANSLATE(B13710, ""fr"", ""en"")"),"yves65 RAS")</f>
        <v>yves65 RAS</v>
      </c>
    </row>
    <row r="13711">
      <c r="A13711" s="1">
        <v>5.0</v>
      </c>
      <c r="B13711" s="1" t="s">
        <v>13483</v>
      </c>
      <c r="C13711" t="str">
        <f>IFERROR(__xludf.DUMMYFUNCTION("GOOGLETRANSLATE(B13711, ""fr"", ""en"")"),"Very good equipment, good sound and does not fall in French sports instructions so easy grip. Earphones hold well, the sound is very satisfying and tactile mode to use the sound I love ... the box is compact and solid and fast headphones borne by my joggi"&amp;"ng .. they do not fall.")</f>
        <v>Very good equipment, good sound and does not fall in French sports instructions so easy grip. Earphones hold well, the sound is very satisfying and tactile mode to use the sound I love ... the box is compact and solid and fast headphones borne by my jogging .. they do not fall.</v>
      </c>
    </row>
    <row r="13712">
      <c r="A13712" s="1">
        <v>5.0</v>
      </c>
      <c r="B13712" s="1" t="s">
        <v>13484</v>
      </c>
      <c r="C13712" t="str">
        <f>IFERROR(__xludf.DUMMYFUNCTION("GOOGLETRANSLATE(B13712, ""fr"", ""en"")"),"cable 2.5 mm great product very well made and what difference amazing congratulations !!!!! not to have any hesitation your ears will thank you")</f>
        <v>cable 2.5 mm great product very well made and what difference amazing congratulations !!!!! not to have any hesitation your ears will thank you</v>
      </c>
    </row>
    <row r="13713">
      <c r="A13713" s="1">
        <v>5.0</v>
      </c>
      <c r="B13713" s="1" t="s">
        <v>13485</v>
      </c>
      <c r="C13713" t="str">
        <f>IFERROR(__xludf.DUMMYFUNCTION("GOOGLETRANSLATE(B13713, ""fr"", ""en"")"),"Large storage capacity this bag to a very high capacity storage with the many pockets. The iPad goes there easily book papers. Bag complies with the photo, very nice khaki color.")</f>
        <v>Large storage capacity this bag to a very high capacity storage with the many pockets. The iPad goes there easily book papers. Bag complies with the photo, very nice khaki color.</v>
      </c>
    </row>
    <row r="13714">
      <c r="A13714" s="1">
        <v>5.0</v>
      </c>
      <c r="B13714" s="1" t="s">
        <v>13486</v>
      </c>
      <c r="C13714" t="str">
        <f>IFERROR(__xludf.DUMMYFUNCTION("GOOGLETRANSLATE(B13714, ""fr"", ""en"")"),"Works perfectly works perfectly")</f>
        <v>Works perfectly works perfectly</v>
      </c>
    </row>
    <row r="13715">
      <c r="A13715" s="1">
        <v>5.0</v>
      </c>
      <c r="B13715" s="1" t="s">
        <v>13487</v>
      </c>
      <c r="C13715" t="str">
        <f>IFERROR(__xludf.DUMMYFUNCTION("GOOGLETRANSLATE(B13715, ""fr"", ""en"")"),"Top European Products, beautiful rendering")</f>
        <v>Top European Products, beautiful rendering</v>
      </c>
    </row>
    <row r="13716">
      <c r="A13716" s="1">
        <v>5.0</v>
      </c>
      <c r="B13716" s="1" t="s">
        <v>13488</v>
      </c>
      <c r="C13716" t="str">
        <f>IFERROR(__xludf.DUMMYFUNCTION("GOOGLETRANSLATE(B13716, ""fr"", ""en"")"),"Very good double sided A counselor, the best double-sided as I could have. Very resistant, adhesive on all support and comes off with a little heat.")</f>
        <v>Very good double sided A counselor, the best double-sided as I could have. Very resistant, adhesive on all support and comes off with a little heat.</v>
      </c>
    </row>
    <row r="13717">
      <c r="A13717" s="1">
        <v>5.0</v>
      </c>
      <c r="B13717" s="1" t="s">
        <v>13489</v>
      </c>
      <c r="C13717" t="str">
        <f>IFERROR(__xludf.DUMMYFUNCTION("GOOGLETRANSLATE(B13717, ""fr"", ""en"")"),"Cartridge HP 301 Black and Color Product in accordance with the description and photo. Ink cartridges origins recognized by my printer Truth. Surroundings 170 impressions each what they often say. small green packaging inside if you have the spirit to env"&amp;"ironmental returns of the old cartridge and free already freed. The price is right compared to other vendors in other stores.")</f>
        <v>Cartridge HP 301 Black and Color Product in accordance with the description and photo. Ink cartridges origins recognized by my printer Truth. Surroundings 170 impressions each what they often say. small green packaging inside if you have the spirit to environmental returns of the old cartridge and free already freed. The price is right compared to other vendors in other stores.</v>
      </c>
    </row>
    <row r="13718">
      <c r="A13718" s="1">
        <v>5.0</v>
      </c>
      <c r="B13718" s="1" t="s">
        <v>13490</v>
      </c>
      <c r="C13718" t="str">
        <f>IFERROR(__xludf.DUMMYFUNCTION("GOOGLETRANSLATE(B13718, ""fr"", ""en"")"),"Good quality perfect Massage loosens the hard points, we feel good after only 15 minutes of massage, recommend")</f>
        <v>Good quality perfect Massage loosens the hard points, we feel good after only 15 minutes of massage, recommend</v>
      </c>
    </row>
    <row r="13719">
      <c r="A13719" s="1">
        <v>5.0</v>
      </c>
      <c r="B13719" s="1" t="s">
        <v>13491</v>
      </c>
      <c r="C13719" t="str">
        <f>IFERROR(__xludf.DUMMYFUNCTION("GOOGLETRANSLATE(B13719, ""fr"", ""en"")"),"Hello I advise buying this Super purchase it is very nice light frankly I love I advise this Article")</f>
        <v>Hello I advise buying this Super purchase it is very nice light frankly I love I advise this Article</v>
      </c>
    </row>
    <row r="13720">
      <c r="A13720" s="1">
        <v>5.0</v>
      </c>
      <c r="B13720" s="1" t="s">
        <v>13492</v>
      </c>
      <c r="C13720" t="str">
        <f>IFERROR(__xludf.DUMMYFUNCTION("GOOGLETRANSLATE(B13720, ""fr"", ""en"")"),"niquel this cover is very solid, practical, small, portable, go anywhere. It can be put under a sweater is discreet.")</f>
        <v>niquel this cover is very solid, practical, small, portable, go anywhere. It can be put under a sweater is discreet.</v>
      </c>
    </row>
    <row r="13721">
      <c r="A13721" s="1">
        <v>5.0</v>
      </c>
      <c r="B13721" s="1" t="s">
        <v>13493</v>
      </c>
      <c r="C13721" t="str">
        <f>IFERROR(__xludf.DUMMYFUNCTION("GOOGLETRANSLATE(B13721, ""fr"", ""en"")"),"Hi 🎧 excellent headphones For once I am clearly pleased with my purchase and it is not flowers I balance on this product as it deserves what I tell him. It's a great functional and easy to use, comfortable to the ears, it does not answer when I workout "&amp;"️♂️ the sound is very clear and makes the music even more beautiful, used to answer calls, aesthetic well thought. In short it is my heart blows this month 💓")</f>
        <v>Hi 🎧 excellent headphones For once I am clearly pleased with my purchase and it is not flowers I balance on this product as it deserves what I tell him. It's a great functional and easy to use, comfortable to the ears, it does not answer when I workout 🏋️♂️ the sound is very clear and makes the music even more beautiful, used to answer calls, aesthetic well thought. In short it is my heart blows this month 💓</v>
      </c>
    </row>
    <row r="13722">
      <c r="A13722" s="1">
        <v>5.0</v>
      </c>
      <c r="B13722" s="1" t="s">
        <v>13494</v>
      </c>
      <c r="C13722" t="str">
        <f>IFERROR(__xludf.DUMMYFUNCTION("GOOGLETRANSLATE(B13722, ""fr"", ""en"")"),"Practice the big tank I recommend for a fairly large room, with its large reservoir there is plenty to do and with the light he spreads it pretty")</f>
        <v>Practice the big tank I recommend for a fairly large room, with its large reservoir there is plenty to do and with the light he spreads it pretty</v>
      </c>
    </row>
    <row r="13723">
      <c r="A13723" s="1">
        <v>2.0</v>
      </c>
      <c r="B13723" s="1" t="s">
        <v>13495</v>
      </c>
      <c r="C13723" t="str">
        <f>IFERROR(__xludf.DUMMYFUNCTION("GOOGLETRANSLATE(B13723, ""fr"", ""en"")"),"no bad must yelled for it to work even with phantom power")</f>
        <v>no bad must yelled for it to work even with phantom power</v>
      </c>
    </row>
    <row r="13724">
      <c r="A13724" s="1">
        <v>1.0</v>
      </c>
      <c r="B13724" s="1" t="s">
        <v>13496</v>
      </c>
      <c r="C13724" t="str">
        <f>IFERROR(__xludf.DUMMYFUNCTION("GOOGLETRANSLATE(B13724, ""fr"", ""en"")"),"Disappointed the tips of the shoes are damaged damaged Product")</f>
        <v>Disappointed the tips of the shoes are damaged damaged Product</v>
      </c>
    </row>
    <row r="13725">
      <c r="A13725" s="1">
        <v>1.0</v>
      </c>
      <c r="B13725" s="1" t="s">
        <v>13497</v>
      </c>
      <c r="C13725" t="str">
        <f>IFERROR(__xludf.DUMMYFUNCTION("GOOGLETRANSLATE(B13725, ""fr"", ""en"")"),"it is not solid is taken 2 months")</f>
        <v>it is not solid is taken 2 months</v>
      </c>
    </row>
    <row r="13726">
      <c r="A13726" s="1">
        <v>3.0</v>
      </c>
      <c r="B13726" s="1" t="s">
        <v>13498</v>
      </c>
      <c r="C13726" t="str">
        <f>IFERROR(__xludf.DUMMYFUNCTION("GOOGLETRANSLATE(B13726, ""fr"", ""en"")"),"Little better Not super interesting but good manufacturing")</f>
        <v>Little better Not super interesting but good manufacturing</v>
      </c>
    </row>
    <row r="13727">
      <c r="A13727" s="1">
        <v>3.0</v>
      </c>
      <c r="B13727" s="1" t="s">
        <v>13499</v>
      </c>
      <c r="C13727" t="str">
        <f>IFERROR(__xludf.DUMMYFUNCTION("GOOGLETRANSLATE(B13727, ""fr"", ""en"")"),"too small Lifetime Perfect for my feet (size 46), I had the unpleasant surprise that they pierce quickly. I do not know where it comes from. A defective batch, a size too small? A hole is done by sewing at the ankle.")</f>
        <v>too small Lifetime Perfect for my feet (size 46), I had the unpleasant surprise that they pierce quickly. I do not know where it comes from. A defective batch, a size too small? A hole is done by sewing at the ankle.</v>
      </c>
    </row>
    <row r="13728">
      <c r="A13728" s="1">
        <v>4.0</v>
      </c>
      <c r="B13728" s="1" t="s">
        <v>13500</v>
      </c>
      <c r="C13728" t="str">
        <f>IFERROR(__xludf.DUMMYFUNCTION("GOOGLETRANSLATE(B13728, ""fr"", ""en"")"),"Earphones Samsung Frankly, for the price, why deprive !!")</f>
        <v>Earphones Samsung Frankly, for the price, why deprive !!</v>
      </c>
    </row>
    <row r="13729">
      <c r="A13729" s="1">
        <v>4.0</v>
      </c>
      <c r="B13729" s="1" t="s">
        <v>13501</v>
      </c>
      <c r="C13729" t="str">
        <f>IFERROR(__xludf.DUMMYFUNCTION("GOOGLETRANSLATE(B13729, ""fr"", ""en"")"),"means what I draw on this product is that it is without BA, and it 7mois that I use is I have found very strong because his hair takes much shock. In short, I recommend this product, in addition to the quality the price is reasonable.")</f>
        <v>means what I draw on this product is that it is without BA, and it 7mois that I use is I have found very strong because his hair takes much shock. In short, I recommend this product, in addition to the quality the price is reasonable.</v>
      </c>
    </row>
    <row r="13730">
      <c r="A13730" s="1">
        <v>4.0</v>
      </c>
      <c r="B13730" s="1" t="s">
        <v>13502</v>
      </c>
      <c r="C13730" t="str">
        <f>IFERROR(__xludf.DUMMYFUNCTION("GOOGLETRANSLATE(B13730, ""fr"", ""en"")"),"Compliant product produced according to the application. I took the S size, I'd say it's the equivalent of a large S or M, but it is not very troublesome.")</f>
        <v>Compliant product produced according to the application. I took the S size, I'd say it's the equivalent of a large S or M, but it is not very troublesome.</v>
      </c>
    </row>
    <row r="13731">
      <c r="A13731" s="1">
        <v>4.0</v>
      </c>
      <c r="B13731" s="1" t="s">
        <v>13503</v>
      </c>
      <c r="C13731" t="str">
        <f>IFERROR(__xludf.DUMMYFUNCTION("GOOGLETRANSLATE(B13731, ""fr"", ""en"")"),"T Its size very good very light shoes I recommend")</f>
        <v>T Its size very good very light shoes I recommend</v>
      </c>
    </row>
    <row r="13732">
      <c r="A13732" s="1">
        <v>5.0</v>
      </c>
      <c r="B13732" s="1" t="s">
        <v>13504</v>
      </c>
      <c r="C13732" t="str">
        <f>IFERROR(__xludf.DUMMYFUNCTION("GOOGLETRANSLATE(B13732, ""fr"", ""en"")"),"Return of Buffalo! Having known fashion buffalo, I wanted to buy the pair of my adolescence surprise by opening the box I was still 38 years old and shoes have not aged a bit! Always nice to wear if somewhat heavy you can not always do with hiking. In sho"&amp;"rt, they are classic black and go anywhere, you can win in cm ladies wearing them.")</f>
        <v>Return of Buffalo! Having known fashion buffalo, I wanted to buy the pair of my adolescence surprise by opening the box I was still 38 years old and shoes have not aged a bit! Always nice to wear if somewhat heavy you can not always do with hiking. In short, they are classic black and go anywhere, you can win in cm ladies wearing them.</v>
      </c>
    </row>
    <row r="13733">
      <c r="A13733" s="1">
        <v>5.0</v>
      </c>
      <c r="B13733" s="1" t="s">
        <v>13505</v>
      </c>
      <c r="C13733" t="str">
        <f>IFERROR(__xludf.DUMMYFUNCTION("GOOGLETRANSLATE(B13733, ""fr"", ""en"")"),"good size super comfortable I love it are superb! Super comfortable quickly gathers dust, but nothing too bad I'm a fan!")</f>
        <v>good size super comfortable I love it are superb! Super comfortable quickly gathers dust, but nothing too bad I'm a fan!</v>
      </c>
    </row>
    <row r="13734">
      <c r="A13734" s="1">
        <v>5.0</v>
      </c>
      <c r="B13734" s="1" t="s">
        <v>13506</v>
      </c>
      <c r="C13734" t="str">
        <f>IFERROR(__xludf.DUMMYFUNCTION("GOOGLETRANSLATE(B13734, ""fr"", ""en"")"),"amazon card Meets Demand")</f>
        <v>amazon card Meets Demand</v>
      </c>
    </row>
    <row r="13735">
      <c r="A13735" s="1">
        <v>5.0</v>
      </c>
      <c r="B13735" s="1" t="s">
        <v>13507</v>
      </c>
      <c r="C13735" t="str">
        <f>IFERROR(__xludf.DUMMYFUNCTION("GOOGLETRANSLATE(B13735, ""fr"", ""en"")"),"Beautiful quality jewelry at low prices. The necklace was delivered quickly in a beautiful blue case and it completely corresponds to its description is photos.Il magnifique.Il has had its effect with my friends when I put .I highly recommend this article"&amp;".The quality / price is qu'atteint.J'en have offered to my sister, she was soon ange.C'est fêtes.Alors at that price, no more hesitation !!!")</f>
        <v>Beautiful quality jewelry at low prices. The necklace was delivered quickly in a beautiful blue case and it completely corresponds to its description is photos.Il magnifique.Il has had its effect with my friends when I put .I highly recommend this article.The quality / price is qu'atteint.J'en have offered to my sister, she was soon ange.C'est fêtes.Alors at that price, no more hesitation !!!</v>
      </c>
    </row>
    <row r="13736">
      <c r="A13736" s="1">
        <v>5.0</v>
      </c>
      <c r="B13736" s="1" t="s">
        <v>13508</v>
      </c>
      <c r="C13736" t="str">
        <f>IFERROR(__xludf.DUMMYFUNCTION("GOOGLETRANSLATE(B13736, ""fr"", ""en"")"),"complete and very pretty I bought it for my partner but it is bigger than I thought so I finally kept for me. And I'm glad! Not only is really nice (I prefer the square), but also super complete. I did not think you could find much depending on a watch. t"&amp;"he big advantage comparing with that of a friend is a button on the side. It allows more usability on watches that have the touch screen. Side functions it has all that is indicated: pedometer, sleep analysis, ... we can even call and send SMS directly wi"&amp;"th the watch by inserting a SIM card. Really the top. As against to avoid for those who have an iPhone: not supported. I recommend it to all others.")</f>
        <v>complete and very pretty I bought it for my partner but it is bigger than I thought so I finally kept for me. And I'm glad! Not only is really nice (I prefer the square), but also super complete. I did not think you could find much depending on a watch. the big advantage comparing with that of a friend is a button on the side. It allows more usability on watches that have the touch screen. Side functions it has all that is indicated: pedometer, sleep analysis, ... we can even call and send SMS directly with the watch by inserting a SIM card. Really the top. As against to avoid for those who have an iPhone: not supported. I recommend it to all others.</v>
      </c>
    </row>
    <row r="13737">
      <c r="A13737" s="1">
        <v>5.0</v>
      </c>
      <c r="B13737" s="1" t="s">
        <v>13509</v>
      </c>
      <c r="C13737" t="str">
        <f>IFERROR(__xludf.DUMMYFUNCTION("GOOGLETRANSLATE(B13737, ""fr"", ""en"")"),"I love it I love it!!!! I did not know what to do system Strength in time")</f>
        <v>I love it I love it!!!! I did not know what to do system Strength in time</v>
      </c>
    </row>
    <row r="13738">
      <c r="A13738" s="1">
        <v>5.0</v>
      </c>
      <c r="B13738" s="1" t="s">
        <v>1930</v>
      </c>
      <c r="C13738" t="str">
        <f>IFERROR(__xludf.DUMMYFUNCTION("GOOGLETRANSLATE(B13738, ""fr"", ""en"")"),"product well")</f>
        <v>product well</v>
      </c>
    </row>
    <row r="13739">
      <c r="A13739" s="1">
        <v>5.0</v>
      </c>
      <c r="B13739" s="1" t="s">
        <v>13510</v>
      </c>
      <c r="C13739" t="str">
        <f>IFERROR(__xludf.DUMMYFUNCTION("GOOGLETRANSLATE(B13739, ""fr"", ""en"")"),"Watch connected I bought this watch for the offer. It looks much like the watch connected to a well-known brand. It is really nice quality. Easily connects to the phone (tested on iPhone X and 8x honor). The person who received a gift is very satisfied. T"&amp;"he use is very simple and easily s Apaire With honor 10. Its large screen allows to answer calls and SMS without problem. What she enjoyed greatly c is the pedometer option (being a great walker) A gift more than satisfactory.")</f>
        <v>Watch connected I bought this watch for the offer. It looks much like the watch connected to a well-known brand. It is really nice quality. Easily connects to the phone (tested on iPhone X and 8x honor). The person who received a gift is very satisfied. The use is very simple and easily s Apaire With honor 10. Its large screen allows to answer calls and SMS without problem. What she enjoyed greatly c is the pedometer option (being a great walker) A gift more than satisfactory.</v>
      </c>
    </row>
    <row r="13740">
      <c r="A13740" s="1">
        <v>5.0</v>
      </c>
      <c r="B13740" s="1" t="s">
        <v>13511</v>
      </c>
      <c r="C13740" t="str">
        <f>IFERROR(__xludf.DUMMYFUNCTION("GOOGLETRANSLATE(B13740, ""fr"", ""en"")"),"And forget my gift.")</f>
        <v>And forget my gift.</v>
      </c>
    </row>
    <row r="13741">
      <c r="A13741" s="1">
        <v>5.0</v>
      </c>
      <c r="B13741" s="1" t="s">
        <v>13512</v>
      </c>
      <c r="C13741" t="str">
        <f>IFERROR(__xludf.DUMMYFUNCTION("GOOGLETRANSLATE(B13741, ""fr"", ""en"")"),"TOP Superb superb superb quality teats resistant")</f>
        <v>TOP Superb superb superb quality teats resistant</v>
      </c>
    </row>
    <row r="13742">
      <c r="A13742" s="1">
        <v>5.0</v>
      </c>
      <c r="B13742" s="1" t="s">
        <v>13513</v>
      </c>
      <c r="C13742" t="str">
        <f>IFERROR(__xludf.DUMMYFUNCTION("GOOGLETRANSLATE(B13742, ""fr"", ""en"")"),"Perfect Shoes at the top !!")</f>
        <v>Perfect Shoes at the top !!</v>
      </c>
    </row>
    <row r="13743">
      <c r="A13743" s="1">
        <v>5.0</v>
      </c>
      <c r="B13743" s="1" t="s">
        <v>13514</v>
      </c>
      <c r="C13743" t="str">
        <f>IFERROR(__xludf.DUMMYFUNCTION("GOOGLETRANSLATE(B13743, ""fr"", ""en"")"),"Quality / price Very useful to never fall in roads of stones")</f>
        <v>Quality / price Very useful to never fall in roads of stones</v>
      </c>
    </row>
    <row r="13744">
      <c r="A13744" s="1">
        <v>5.0</v>
      </c>
      <c r="B13744" s="1" t="s">
        <v>13515</v>
      </c>
      <c r="C13744" t="str">
        <f>IFERROR(__xludf.DUMMYFUNCTION("GOOGLETRANSLATE(B13744, ""fr"", ""en"")"),"Bluetooth Headset Bluetooth Headset These headphones are really convenient and easy to use. In two seconds, you Pair them with your phone or tablet, to stop them, simply return them to the box that the task. And now, as soon as you use them, they connect "&amp;"automatically. Nothing is easier to use. Not to mention autonomy, which operates as shown over 25 hours without recharging. Really pleased with this purchase.")</f>
        <v>Bluetooth Headset Bluetooth Headset These headphones are really convenient and easy to use. In two seconds, you Pair them with your phone or tablet, to stop them, simply return them to the box that the task. And now, as soon as you use them, they connect automatically. Nothing is easier to use. Not to mention autonomy, which operates as shown over 25 hours without recharging. Really pleased with this purchase.</v>
      </c>
    </row>
    <row r="13745">
      <c r="A13745" s="1">
        <v>5.0</v>
      </c>
      <c r="B13745" s="1" t="s">
        <v>13516</v>
      </c>
      <c r="C13745" t="str">
        <f>IFERROR(__xludf.DUMMYFUNCTION("GOOGLETRANSLATE(B13745, ""fr"", ""en"")"),"Excellent quality / price ratio What a pleasant surprise !! Check in with 3 weeks ahead, it's a beautiful ring, very beautiful stone and mount very neat. I will order again from this seller for the quality of this jewelry")</f>
        <v>Excellent quality / price ratio What a pleasant surprise !! Check in with 3 weeks ahead, it's a beautiful ring, very beautiful stone and mount very neat. I will order again from this seller for the quality of this jewelry</v>
      </c>
    </row>
    <row r="13746">
      <c r="A13746" s="1">
        <v>5.0</v>
      </c>
      <c r="B13746" s="1" t="s">
        <v>13517</v>
      </c>
      <c r="C13746" t="str">
        <f>IFERROR(__xludf.DUMMYFUNCTION("GOOGLETRANSLATE(B13746, ""fr"", ""en"")"),"beautiful great book to learn to read")</f>
        <v>beautiful great book to learn to read</v>
      </c>
    </row>
    <row r="13747">
      <c r="A13747" s="1">
        <v>2.0</v>
      </c>
      <c r="B13747" s="1" t="s">
        <v>13518</v>
      </c>
      <c r="C13747" t="str">
        <f>IFERROR(__xludf.DUMMYFUNCTION("GOOGLETRANSLATE(B13747, ""fr"", ""en"")"),"For girls must really have wrist girl")</f>
        <v>For girls must really have wrist girl</v>
      </c>
    </row>
    <row r="13748">
      <c r="A13748" s="1">
        <v>1.0</v>
      </c>
      <c r="B13748" s="1" t="s">
        <v>13519</v>
      </c>
      <c r="C13748" t="str">
        <f>IFERROR(__xludf.DUMMYFUNCTION("GOOGLETRANSLATE(B13748, ""fr"", ""en"")"),"It is not the brand fruit of the loom Please note this is not the brand fruit of the loom. The brand is JHK SWULKNG. So disappointed that side. Product that is small enough in size. I do not recommend.")</f>
        <v>It is not the brand fruit of the loom Please note this is not the brand fruit of the loom. The brand is JHK SWULKNG. So disappointed that side. Product that is small enough in size. I do not recommend.</v>
      </c>
    </row>
    <row r="13749">
      <c r="A13749" s="1">
        <v>1.0</v>
      </c>
      <c r="B13749" s="1" t="s">
        <v>13520</v>
      </c>
      <c r="C13749" t="str">
        <f>IFERROR(__xludf.DUMMYFUNCTION("GOOGLETRANSLATE(B13749, ""fr"", ""en"")"),"It serves some ??? really ??? This product is useless. But I have the sense of smell, but even soaking the small piece of essential oil sponge, hooking the ventilation grille of the car, the passenger does not collect any odor. Even with the air condition"&amp;"ing. Short of fucking as in the air. I definitely do not recommend")</f>
        <v>It serves some ??? really ??? This product is useless. But I have the sense of smell, but even soaking the small piece of essential oil sponge, hooking the ventilation grille of the car, the passenger does not collect any odor. Even with the air conditioning. Short of fucking as in the air. I definitely do not recommend</v>
      </c>
    </row>
    <row r="13750">
      <c r="A13750" s="1">
        <v>3.0</v>
      </c>
      <c r="B13750" s="1" t="s">
        <v>13521</v>
      </c>
      <c r="C13750" t="str">
        <f>IFERROR(__xludf.DUMMYFUNCTION("GOOGLETRANSLATE(B13750, ""fr"", ""en"")"),"Generic - Sweat Girl Woman Kingdom Casual Channel ... (Bordeau) Good article anything better in gray. The burgundy sweater should be washed apart even after (5/6 washing) because it has rubbed off each wash. I no longer would resume this color.")</f>
        <v>Generic - Sweat Girl Woman Kingdom Casual Channel ... (Bordeau) Good article anything better in gray. The burgundy sweater should be washed apart even after (5/6 washing) because it has rubbed off each wash. I no longer would resume this color.</v>
      </c>
    </row>
    <row r="13751">
      <c r="A13751" s="1">
        <v>4.0</v>
      </c>
      <c r="B13751" s="1" t="s">
        <v>13522</v>
      </c>
      <c r="C13751" t="str">
        <f>IFERROR(__xludf.DUMMYFUNCTION("GOOGLETRANSLATE(B13751, ""fr"", ""en"")"),"Size and color consistent Very nice mix of colors - slim fit - regular size - a little narrow down the hips - fabric a little late for color gray .... but very nice and great. I recommend a one size up for having also looser.")</f>
        <v>Size and color consistent Very nice mix of colors - slim fit - regular size - a little narrow down the hips - fabric a little late for color gray .... but very nice and great. I recommend a one size up for having also looser.</v>
      </c>
    </row>
    <row r="13752">
      <c r="A13752" s="1">
        <v>4.0</v>
      </c>
      <c r="B13752" s="1" t="s">
        <v>13523</v>
      </c>
      <c r="C13752" t="str">
        <f>IFERROR(__xludf.DUMMYFUNCTION("GOOGLETRANSLATE(B13752, ""fr"", ""en"")"),"Good quality extra shows that I use during the week or for sports. Suitable for those with a big wrist. (Which is my case, I attach the second hole.) After 6 months of regular use, bracelet and dial are like new.")</f>
        <v>Good quality extra shows that I use during the week or for sports. Suitable for those with a big wrist. (Which is my case, I attach the second hole.) After 6 months of regular use, bracelet and dial are like new.</v>
      </c>
    </row>
    <row r="13753">
      <c r="A13753" s="1">
        <v>4.0</v>
      </c>
      <c r="B13753" s="1" t="s">
        <v>13524</v>
      </c>
      <c r="C13753" t="str">
        <f>IFERROR(__xludf.DUMMYFUNCTION("GOOGLETRANSLATE(B13753, ""fr"", ""en"")"),"El as in the photos is beautiful this island procedure as in El photos very beautiful")</f>
        <v>El as in the photos is beautiful this island procedure as in El photos very beautiful</v>
      </c>
    </row>
    <row r="13754">
      <c r="A13754" s="1">
        <v>4.0</v>
      </c>
      <c r="B13754" s="1" t="s">
        <v>13525</v>
      </c>
      <c r="C13754" t="str">
        <f>IFERROR(__xludf.DUMMYFUNCTION("GOOGLETRANSLATE(B13754, ""fr"", ""en"")"),"Just good price quality packaging they should do well and have had the opportunity of choice of colors, but it's not a big thing. Otherwise I well aimw Mam brand!")</f>
        <v>Just good price quality packaging they should do well and have had the opportunity of choice of colors, but it's not a big thing. Otherwise I well aimw Mam brand!</v>
      </c>
    </row>
    <row r="13755">
      <c r="A13755" s="1">
        <v>5.0</v>
      </c>
      <c r="B13755" s="1" t="s">
        <v>13526</v>
      </c>
      <c r="C13755" t="str">
        <f>IFERROR(__xludf.DUMMYFUNCTION("GOOGLETRANSLATE(B13755, ""fr"", ""en"")"),"Very good microphone My comments will be in two stages, to clarify history minimal confusion in some comments: - the microphone itself is sold with the carrier which serves cage exactly like the picture. The picture does not have the cable to connect it t"&amp;"o the PC, which starts at the base of the microphone (below, so). Of course, once the microphone plugged in, it does not stand alone, it will take a microphone stand. The microphone itself provides a more than adequate, it is in a range of fairly low pric"&amp;"e, however was almost no sound parasite and it reproduces the voice with very little modification. It's simple, it's the first time that listening to my recording I had the sensation of hearing a voice equivalent to that I felt during production. A microp"&amp;"hone that makes the taff, therefore, which can satisfy those who do not want to invest a lot of money in this material. - Second, how to use the microphone properly to avoid disappointments as I could see. I ordered this Bird with a tripod for desktop &amp; n"&amp;"bsp; &lt;a data-hook = ""product-link-linked"" class = ""a-link-normal"" href = ""/ ammoon-MS-12-Mini Foldable / dp / ? B013U48ZZ4 / ref = cm_cr_arp_d_rvw_txt ie = UTF8 ""&gt; ammoon MS-12 Mini Foldable &lt;/a&gt; &amp; nbsp; and &amp; nbsp; &lt;a data-hook ="" product-link-lin"&amp;"ked ""class ="" a-link-normal ""href ="" / a filter-anti-pop-Crenova / dp / B019FB52FW / ref = cm_cr_arp_d_rvw_txt? ie = UTF8 ""&gt; anti-pop Crenova &lt;/a&gt; filter, which made all 80 € (extremely fine for a all micro / foot / filter). Once landed on the foot, "&amp;"the microphone is a little heavy, it was enough to light pressure on the foot to flip it. The pop filter, in addition to allowing to record his voice with even less extraneous sounds, balances the foot to little that the place of the other side to balance"&amp;". We then have an effective micro, well placed, without risk of accidents. See in the photo story to have an idea of ​​the place that it takes etd'illustrer what I said. Finally, a product that meets my expectations (for recording recitations), which offe"&amp;"rs quality recording more than adequate, but must, of course, accompanied by accessories for a first purchase, to take full advantage of the product . We can do without the filter (7 € but it's good to take one), but it is imperative to a microphone stand"&amp;" (which is normal for this product is, at base, considered to the home studio).")</f>
        <v>Very good microphone My comments will be in two stages, to clarify history minimal confusion in some comments: - the microphone itself is sold with the carrier which serves cage exactly like the picture. The picture does not have the cable to connect it to the PC, which starts at the base of the microphone (below, so). Of course, once the microphone plugged in, it does not stand alone, it will take a microphone stand. The microphone itself provides a more than adequate, it is in a range of fairly low price, however was almost no sound parasite and it reproduces the voice with very little modification. It's simple, it's the first time that listening to my recording I had the sensation of hearing a voice equivalent to that I felt during production. A microphone that makes the taff, therefore, which can satisfy those who do not want to invest a lot of money in this material. - Second, how to use the microphone properly to avoid disappointments as I could see. I ordered this Bird with a tripod for desktop &amp; nbsp; &lt;a data-hook = "product-link-linked" class = "a-link-normal" href = "/ ammoon-MS-12-Mini Foldable / dp / ? B013U48ZZ4 / ref = cm_cr_arp_d_rvw_txt ie = UTF8 "&gt; ammoon MS-12 Mini Foldable &lt;/a&gt; &amp; nbsp; and &amp; nbsp; &lt;a data-hook =" product-link-linked "class =" a-link-normal "href =" / a filter-anti-pop-Crenova / dp / B019FB52FW / ref = cm_cr_arp_d_rvw_txt? ie = UTF8 "&gt; anti-pop Crenova &lt;/a&gt; filter, which made all 80 € (extremely fine for a all micro / foot / filter). Once landed on the foot, the microphone is a little heavy, it was enough to light pressure on the foot to flip it. The pop filter, in addition to allowing to record his voice with even less extraneous sounds, balances the foot to little that the place of the other side to balance. We then have an effective micro, well placed, without risk of accidents. See in the photo story to have an idea of ​​the place that it takes etd'illustrer what I said. Finally, a product that meets my expectations (for recording recitations), which offers quality recording more than adequate, but must, of course, accompanied by accessories for a first purchase, to take full advantage of the product . We can do without the filter (7 € but it's good to take one), but it is imperative to a microphone stand (which is normal for this product is, at base, considered to the home studio).</v>
      </c>
    </row>
    <row r="13756">
      <c r="A13756" s="1">
        <v>5.0</v>
      </c>
      <c r="B13756" s="1" t="s">
        <v>13527</v>
      </c>
      <c r="C13756" t="str">
        <f>IFERROR(__xludf.DUMMYFUNCTION("GOOGLETRANSLATE(B13756, ""fr"", ""en"")"),"Very beautiful Very beautiful bracelet")</f>
        <v>Very beautiful Very beautiful bracelet</v>
      </c>
    </row>
    <row r="13757">
      <c r="A13757" s="1">
        <v>5.0</v>
      </c>
      <c r="B13757" s="1" t="s">
        <v>13528</v>
      </c>
      <c r="C13757" t="str">
        <f>IFERROR(__xludf.DUMMYFUNCTION("GOOGLETRANSLATE(B13757, ""fr"", ""en"")"),"Top Works great, cheap")</f>
        <v>Top Works great, cheap</v>
      </c>
    </row>
    <row r="13758">
      <c r="A13758" s="1">
        <v>5.0</v>
      </c>
      <c r="B13758" s="1" t="s">
        <v>13529</v>
      </c>
      <c r="C13758" t="str">
        <f>IFERROR(__xludf.DUMMYFUNCTION("GOOGLETRANSLATE(B13758, ""fr"", ""en"")"),"A good sound quality for a reasonable price I use them for over a year now and I can only recommend the product that delivers superior sound more than good for the advertised price which declined further since. They are especially good in the bass as spec"&amp;"ified by Sony. I've never been so happy to listen to other headphones. The headphones, which are always in my pocket and not always treated very well (2 passes to the washing machine, for example), still resist and always as my previous pair never lasted "&amp;"more than 6 months in the same price range. Visually I just red headphones that begins to wear and leave for 2-3 months. The day they let go I bought another identical pair is not complicated")</f>
        <v>A good sound quality for a reasonable price I use them for over a year now and I can only recommend the product that delivers superior sound more than good for the advertised price which declined further since. They are especially good in the bass as specified by Sony. I've never been so happy to listen to other headphones. The headphones, which are always in my pocket and not always treated very well (2 passes to the washing machine, for example), still resist and always as my previous pair never lasted more than 6 months in the same price range. Visually I just red headphones that begins to wear and leave for 2-3 months. The day they let go I bought another identical pair is not complicated</v>
      </c>
    </row>
    <row r="13759">
      <c r="A13759" s="1">
        <v>5.0</v>
      </c>
      <c r="B13759" s="1" t="s">
        <v>13530</v>
      </c>
      <c r="C13759" t="str">
        <f>IFERROR(__xludf.DUMMYFUNCTION("GOOGLETRANSLATE(B13759, ""fr"", ""en"")"),"Then I'm blown away !! I just got the JVC headphones, after I discussed with the package (well protected) towards the computer for his essay, j'enclenche Talking To Myself Linkin Park and there phew !!! what sound !!! before you buy I read the various com"&amp;"ments all positive what made me say zou go I take, well thank everyone and frankly I recommend this helmet, lightweight, good grip ears and especially the quality sound !!")</f>
        <v>Then I'm blown away !! I just got the JVC headphones, after I discussed with the package (well protected) towards the computer for his essay, j'enclenche Talking To Myself Linkin Park and there phew !!! what sound !!! before you buy I read the various comments all positive what made me say zou go I take, well thank everyone and frankly I recommend this helmet, lightweight, good grip ears and especially the quality sound !!</v>
      </c>
    </row>
    <row r="13760">
      <c r="A13760" s="1">
        <v>5.0</v>
      </c>
      <c r="B13760" s="1" t="s">
        <v>13531</v>
      </c>
      <c r="C13760" t="str">
        <f>IFERROR(__xludf.DUMMYFUNCTION("GOOGLETRANSLATE(B13760, ""fr"", ""en"")"),"Excellent value! Watch excellent, beautiful packaging on arrival, satified cheap.")</f>
        <v>Excellent value! Watch excellent, beautiful packaging on arrival, satified cheap.</v>
      </c>
    </row>
    <row r="13761">
      <c r="A13761" s="1">
        <v>5.0</v>
      </c>
      <c r="B13761" s="1" t="s">
        <v>13532</v>
      </c>
      <c r="C13761" t="str">
        <f>IFERROR(__xludf.DUMMYFUNCTION("GOOGLETRANSLATE(B13761, ""fr"", ""en"")"),"You can put more than 5 stars! I'm a few weeks of use before these 1000XM3 I mainly used a Bose headphones the quiet comfort largely to its ability to noise reduction, the quality of the Bluetooth connection and obviously sound. The failure of this helmet"&amp;" is the eyesight ... Very difficult to put on a helmet with goggles made for reading .. And yes with age besides my sound quality requirements I became severely farsighted ... so find an equivalent in terms of quality, but in the atria in order to put on "&amp;"and remove my glasses to freely was a small obstacle course ... I think it's done ... not to wade and risk to be disappointed with these headphones, dwell on the dedicated Sony headphones connected app. Indeed, without going through it you will necessaril"&amp;"y disappointed, all features and setup go through the application ... In particular it allows to set and affect the functionality of the touch surfaces of each earphone. It especially allows to adjust the equalizer for sound output and the level of noise "&amp;"reduction ... Once mastered settings, like me, you will enjoy! These headphones are surprisingly comfortable to use! Taking care to choose your adapters (there are 3 sizes and two types of materials available with your headphones, foam or silicone ...) fe"&amp;"el free to use for each of your ears a different adapter size, often your left ear canal is larger or smaller than the right, and vice versa ... it is important to make the most of the noise reduction ... the surprise is that they take remarkably ear, onc"&amp;"e shod! With the right choice of adapter you almost forget they are on our ears! The sound is particularly good! The powerful and customizable equalizer! Just a great ... I enjoyed the extras type, stop when I remove an ear ... or not depending on the cho"&amp;"ice of settings in the application ... At independence a treat. With their storage box and equipped with a USB charging connector C. fast you are quiet for a little while ... The case is especially convenient that you can put it on a table nearby using it"&amp;"s portion flat ... in terms of this value is not the cheapest of devices, but it is also far from being the most expensive ... the quality is really present with beautiful features. For me the value for money is very good in terms of product quality. Fran"&amp;"kly I am delighted and I'm rarely as enthusiastic about a product. I would have liked to put more than 5 stars if it was possible ...")</f>
        <v>You can put more than 5 stars! I'm a few weeks of use before these 1000XM3 I mainly used a Bose headphones the quiet comfort largely to its ability to noise reduction, the quality of the Bluetooth connection and obviously sound. The failure of this helmet is the eyesight ... Very difficult to put on a helmet with goggles made for reading .. And yes with age besides my sound quality requirements I became severely farsighted ... so find an equivalent in terms of quality, but in the atria in order to put on and remove my glasses to freely was a small obstacle course ... I think it's done ... not to wade and risk to be disappointed with these headphones, dwell on the dedicated Sony headphones connected app. Indeed, without going through it you will necessarily disappointed, all features and setup go through the application ... In particular it allows to set and affect the functionality of the touch surfaces of each earphone. It especially allows to adjust the equalizer for sound output and the level of noise reduction ... Once mastered settings, like me, you will enjoy! These headphones are surprisingly comfortable to use! Taking care to choose your adapters (there are 3 sizes and two types of materials available with your headphones, foam or silicone ...) feel free to use for each of your ears a different adapter size, often your left ear canal is larger or smaller than the right, and vice versa ... it is important to make the most of the noise reduction ... the surprise is that they take remarkably ear, once shod! With the right choice of adapter you almost forget they are on our ears! The sound is particularly good! The powerful and customizable equalizer! Just a great ... I enjoyed the extras type, stop when I remove an ear ... or not depending on the choice of settings in the application ... At independence a treat. With their storage box and equipped with a USB charging connector C. fast you are quiet for a little while ... The case is especially convenient that you can put it on a table nearby using its portion flat ... in terms of this value is not the cheapest of devices, but it is also far from being the most expensive ... the quality is really present with beautiful features. For me the value for money is very good in terms of product quality. Frankly I am delighted and I'm rarely as enthusiastic about a product. I would have liked to put more than 5 stars if it was possible ...</v>
      </c>
    </row>
    <row r="13762">
      <c r="A13762" s="1">
        <v>5.0</v>
      </c>
      <c r="B13762" s="1" t="s">
        <v>13533</v>
      </c>
      <c r="C13762" t="str">
        <f>IFERROR(__xludf.DUMMYFUNCTION("GOOGLETRANSLATE(B13762, ""fr"", ""en"")"),"Beautiful and brilliant bracelet! Although the packed I have received, the bracelet is light, bright as the picture, it is superb in 3 golds ,,, anyway as birthday gift, it takes a personal pleasure ,,, I recommend!")</f>
        <v>Beautiful and brilliant bracelet! Although the packed I have received, the bracelet is light, bright as the picture, it is superb in 3 golds ,,, anyway as birthday gift, it takes a personal pleasure ,,, I recommend!</v>
      </c>
    </row>
    <row r="13763">
      <c r="A13763" s="1">
        <v>5.0</v>
      </c>
      <c r="B13763" s="1" t="s">
        <v>13534</v>
      </c>
      <c r="C13763" t="str">
        <f>IFERROR(__xludf.DUMMYFUNCTION("GOOGLETRANSLATE(B13763, ""fr"", ""en"")"),"best electric gas lighter tried the best system. Charging USB and that's it. to see over time")</f>
        <v>best electric gas lighter tried the best system. Charging USB and that's it. to see over time</v>
      </c>
    </row>
    <row r="13764">
      <c r="A13764" s="1">
        <v>5.0</v>
      </c>
      <c r="B13764" s="1" t="s">
        <v>13535</v>
      </c>
      <c r="C13764" t="str">
        <f>IFERROR(__xludf.DUMMYFUNCTION("GOOGLETRANSLATE(B13764, ""fr"", ""en"")"),"Good quality 100 covers A4, 80μ (I have not checked but I trust ^^). They are of good quality: no wrinkles, no bubbles, no takeoff, rendering smooth, shiny (at least on the ones I used to be seen over time but good). It is certified ImageLast (the logo di"&amp;"sappears lamination. It is suitable for documents and photos. For paintings, drawings they advise the 100μ, for the certificates / diplomas from 125μ to 175μ and revenues of 250μ for signaling and other stuff that will put out. to be honest, I think it is"&amp;" better to take into account the thickness of the sheet laminators that use. over the sheet will be thicker more you take big. I print with paper 80g / m² to 120g / m², the 80μ leaves enough.")</f>
        <v>Good quality 100 covers A4, 80μ (I have not checked but I trust ^^). They are of good quality: no wrinkles, no bubbles, no takeoff, rendering smooth, shiny (at least on the ones I used to be seen over time but good). It is certified ImageLast (the logo disappears lamination. It is suitable for documents and photos. For paintings, drawings they advise the 100μ, for the certificates / diplomas from 125μ to 175μ and revenues of 250μ for signaling and other stuff that will put out. to be honest, I think it is better to take into account the thickness of the sheet laminators that use. over the sheet will be thicker more you take big. I print with paper 80g / m² to 120g / m², the 80μ leaves enough.</v>
      </c>
    </row>
    <row r="13765">
      <c r="A13765" s="1">
        <v>5.0</v>
      </c>
      <c r="B13765" s="1" t="s">
        <v>13536</v>
      </c>
      <c r="C13765" t="str">
        <f>IFERROR(__xludf.DUMMYFUNCTION("GOOGLETRANSLATE(B13765, ""fr"", ""en"")"),"Watch with functions and more pleasing shows that doubles as tracking of activity and which has all the features of a great cardio, pedometer, calorie sports .... Notification for receiving SMS, Call ... when Top we do not want anything too expensive. It "&amp;"works with a battery, so no need to recharge it for 12 months. Works like a real watch with more features. Use with application specified in the leaflet in French that tracks its activity and all data collected by the watch. It is against very masculine a"&amp;"nd quite large, so especially for men who do not have cuffs thin.")</f>
        <v>Watch with functions and more pleasing shows that doubles as tracking of activity and which has all the features of a great cardio, pedometer, calorie sports .... Notification for receiving SMS, Call ... when Top we do not want anything too expensive. It works with a battery, so no need to recharge it for 12 months. Works like a real watch with more features. Use with application specified in the leaflet in French that tracks its activity and all data collected by the watch. It is against very masculine and quite large, so especially for men who do not have cuffs thin.</v>
      </c>
    </row>
    <row r="13766">
      <c r="A13766" s="1">
        <v>5.0</v>
      </c>
      <c r="B13766" s="1" t="s">
        <v>13537</v>
      </c>
      <c r="C13766" t="str">
        <f>IFERROR(__xludf.DUMMYFUNCTION("GOOGLETRANSLATE(B13766, ""fr"", ""en"")"),"Super Beautiful good size well")</f>
        <v>Super Beautiful good size well</v>
      </c>
    </row>
    <row r="13767">
      <c r="A13767" s="1">
        <v>5.0</v>
      </c>
      <c r="B13767" s="1" t="s">
        <v>13538</v>
      </c>
      <c r="C13767" t="str">
        <f>IFERROR(__xludf.DUMMYFUNCTION("GOOGLETRANSLATE(B13767, ""fr"", ""en"")"),"Very good quality and low price I used the white marker to write the name of my on small placards buy on Amazon, and it's perfect, it's fine tip and is used to write perfectly. To use it you must repeatedly press the mine (do it on a sheet) until the ink "&amp;"down. Ink fits perfectly outdoors after rains qq (tested), I recommend this marker.")</f>
        <v>Very good quality and low price I used the white marker to write the name of my on small placards buy on Amazon, and it's perfect, it's fine tip and is used to write perfectly. To use it you must repeatedly press the mine (do it on a sheet) until the ink down. Ink fits perfectly outdoors after rains qq (tested), I recommend this marker.</v>
      </c>
    </row>
    <row r="13768">
      <c r="A13768" s="1">
        <v>5.0</v>
      </c>
      <c r="B13768" s="1" t="s">
        <v>13539</v>
      </c>
      <c r="C13768" t="str">
        <f>IFERROR(__xludf.DUMMYFUNCTION("GOOGLETRANSLATE(B13768, ""fr"", ""en"")"),"Good product even if very limited lifespan for me At first glance, this headset is great. But he dropped me without cause after 10 months, yet I never go home with .. I think I have had no luck .. The service very efficient sales was able to pay my purcha"&amp;"se! Very good customer service!")</f>
        <v>Good product even if very limited lifespan for me At first glance, this headset is great. But he dropped me without cause after 10 months, yet I never go home with .. I think I have had no luck .. The service very efficient sales was able to pay my purchase! Very good customer service!</v>
      </c>
    </row>
    <row r="13769">
      <c r="A13769" s="1">
        <v>5.0</v>
      </c>
      <c r="B13769" s="1" t="s">
        <v>13540</v>
      </c>
      <c r="C13769" t="str">
        <f>IFERROR(__xludf.DUMMYFUNCTION("GOOGLETRANSLATE(B13769, ""fr"", ""en"")"),"perfect size! I advise all moms to buy this bottle format from the birth of your child! For it quickly passes large doses of milk for our little gluttons! This model is super cute for little princesses :) I looove and recommend course!")</f>
        <v>perfect size! I advise all moms to buy this bottle format from the birth of your child! For it quickly passes large doses of milk for our little gluttons! This model is super cute for little princesses :) I looove and recommend course!</v>
      </c>
    </row>
    <row r="13770">
      <c r="A13770" s="1">
        <v>2.0</v>
      </c>
      <c r="B13770" s="1" t="s">
        <v>13541</v>
      </c>
      <c r="C13770" t="str">
        <f>IFERROR(__xludf.DUMMYFUNCTION("GOOGLETRANSLATE(B13770, ""fr"", ""en"")"),"Dear Disappointed for product quality ... There are marks on the plastic more. I recommend to go your way.")</f>
        <v>Dear Disappointed for product quality ... There are marks on the plastic more. I recommend to go your way.</v>
      </c>
    </row>
    <row r="13771">
      <c r="A13771" s="1">
        <v>1.0</v>
      </c>
      <c r="B13771" s="1" t="s">
        <v>13542</v>
      </c>
      <c r="C13771" t="str">
        <f>IFERROR(__xludf.DUMMYFUNCTION("GOOGLETRANSLATE(B13771, ""fr"", ""en"")"),"too small too small to what was ordered")</f>
        <v>too small too small to what was ordered</v>
      </c>
    </row>
    <row r="13772">
      <c r="A13772" s="1">
        <v>3.0</v>
      </c>
      <c r="B13772" s="1" t="s">
        <v>13543</v>
      </c>
      <c r="C13772" t="str">
        <f>IFERROR(__xludf.DUMMYFUNCTION("GOOGLETRANSLATE(B13772, ""fr"", ""en"")"),"Beautiful classic watch watch with good value for money. Matches the description on the site. It is simple and classical design that resulted in my purchase. This watch is accurate and very little drift, 3 months ago I did not have to set the time. Only d"&amp;"efect that warrants only 3 stars: The display of the date dial is too small!")</f>
        <v>Beautiful classic watch watch with good value for money. Matches the description on the site. It is simple and classical design that resulted in my purchase. This watch is accurate and very little drift, 3 months ago I did not have to set the time. Only defect that warrants only 3 stars: The display of the date dial is too small!</v>
      </c>
    </row>
    <row r="13773">
      <c r="A13773" s="1">
        <v>3.0</v>
      </c>
      <c r="B13773" s="1" t="s">
        <v>13544</v>
      </c>
      <c r="C13773" t="str">
        <f>IFERROR(__xludf.DUMMYFUNCTION("GOOGLETRANSLATE(B13773, ""fr"", ""en"")"),"Micro few powerful, it means a lot, especially that there is breath ... but sending very fast we get on very badly, especially since it is the breath ... but sending very fast")</f>
        <v>Micro few powerful, it means a lot, especially that there is breath ... but sending very fast we get on very badly, especially since it is the breath ... but sending very fast</v>
      </c>
    </row>
    <row r="13774">
      <c r="A13774" s="1">
        <v>4.0</v>
      </c>
      <c r="B13774" s="1" t="s">
        <v>13545</v>
      </c>
      <c r="C13774" t="str">
        <f>IFERROR(__xludf.DUMMYFUNCTION("GOOGLETRANSLATE(B13774, ""fr"", ""en"")"),"Good Very discreet diffuser whether in size or noise. I'm not sure if this is enough for moistening my room (11m square) because the moisture level does not exceed 50% even after two hours of broadcasting. If not for dissemination of essential oil is quit"&amp;"e effective. I use eucalyptus oil with, it feels super good after I recommend !;)")</f>
        <v>Good Very discreet diffuser whether in size or noise. I'm not sure if this is enough for moistening my room (11m square) because the moisture level does not exceed 50% even after two hours of broadcasting. If not for dissemination of essential oil is quite effective. I use eucalyptus oil with, it feels super good after I recommend !;)</v>
      </c>
    </row>
    <row r="13775">
      <c r="A13775" s="1">
        <v>4.0</v>
      </c>
      <c r="B13775" s="1" t="s">
        <v>13546</v>
      </c>
      <c r="C13775" t="str">
        <f>IFERROR(__xludf.DUMMYFUNCTION("GOOGLETRANSLATE(B13775, ""fr"", ""en"")"),"Price / quality: very ok! Unlike many people, I have not had mine broken during transportation but the box has received shocks. There is a slight smell but just leave the box open so that it airs. The colors are oily or creamy shades for some, which is ni"&amp;"ce for gradients. Of course, a color chart is essential because the colors do not necessarily correspond to the colored-ends mines.")</f>
        <v>Price / quality: very ok! Unlike many people, I have not had mine broken during transportation but the box has received shocks. There is a slight smell but just leave the box open so that it airs. The colors are oily or creamy shades for some, which is nice for gradients. Of course, a color chart is essential because the colors do not necessarily correspond to the colored-ends mines.</v>
      </c>
    </row>
    <row r="13776">
      <c r="A13776" s="1">
        <v>4.0</v>
      </c>
      <c r="B13776" s="1" t="s">
        <v>13547</v>
      </c>
      <c r="C13776" t="str">
        <f>IFERROR(__xludf.DUMMYFUNCTION("GOOGLETRANSLATE(B13776, ""fr"", ""en"")"),"it looks pretty Received 1 day before .. I did not expect I use the glove Kassa to do it well .. scrub but otherwise it looks pretty")</f>
        <v>it looks pretty Received 1 day before .. I did not expect I use the glove Kassa to do it well .. scrub but otherwise it looks pretty</v>
      </c>
    </row>
    <row r="13777">
      <c r="A13777" s="1">
        <v>4.0</v>
      </c>
      <c r="B13777" s="1" t="s">
        <v>13548</v>
      </c>
      <c r="C13777" t="str">
        <f>IFERROR(__xludf.DUMMYFUNCTION("GOOGLETRANSLATE(B13777, ""fr"", ""en"")"),"White Basketball Meets the description but weak in my opinion they will take 6 months. Still satisfied.")</f>
        <v>White Basketball Meets the description but weak in my opinion they will take 6 months. Still satisfied.</v>
      </c>
    </row>
    <row r="13778">
      <c r="A13778" s="1">
        <v>5.0</v>
      </c>
      <c r="B13778" s="1" t="s">
        <v>13549</v>
      </c>
      <c r="C13778" t="str">
        <f>IFERROR(__xludf.DUMMYFUNCTION("GOOGLETRANSLATE(B13778, ""fr"", ""en"")"),"Trèsbien Very nice object. Convenient because it stops when there is no water, no need to watch. I use it to moisten the air for the plants. Not too soon to know if they are satisfied, but I am.")</f>
        <v>Trèsbien Very nice object. Convenient because it stops when there is no water, no need to watch. I use it to moisten the air for the plants. Not too soon to know if they are satisfied, but I am.</v>
      </c>
    </row>
    <row r="13779">
      <c r="A13779" s="1">
        <v>5.0</v>
      </c>
      <c r="B13779" s="1" t="s">
        <v>13550</v>
      </c>
      <c r="C13779" t="str">
        <f>IFERROR(__xludf.DUMMYFUNCTION("GOOGLETRANSLATE(B13779, ""fr"", ""en"")"),"👍🏽 Yoga")</f>
        <v>👍🏽 Yoga</v>
      </c>
    </row>
    <row r="13780">
      <c r="A13780" s="1">
        <v>5.0</v>
      </c>
      <c r="B13780" s="1" t="s">
        <v>13551</v>
      </c>
      <c r="C13780" t="str">
        <f>IFERROR(__xludf.DUMMYFUNCTION("GOOGLETRANSLATE(B13780, ""fr"", ""en"")"),"Beautiful microphone is very good sound This mic is really great great sound beautiful dising I recommend")</f>
        <v>Beautiful microphone is very good sound This mic is really great great sound beautiful dising I recommend</v>
      </c>
    </row>
    <row r="13781">
      <c r="A13781" s="1">
        <v>5.0</v>
      </c>
      <c r="B13781" s="1" t="s">
        <v>13552</v>
      </c>
      <c r="C13781" t="str">
        <f>IFERROR(__xludf.DUMMYFUNCTION("GOOGLETRANSLATE(B13781, ""fr"", ""en"")"),"very good helmet, I am a little deaf, I hear very well!")</f>
        <v>very good helmet, I am a little deaf, I hear very well!</v>
      </c>
    </row>
    <row r="13782">
      <c r="A13782" s="1">
        <v>5.0</v>
      </c>
      <c r="B13782" s="1" t="s">
        <v>13553</v>
      </c>
      <c r="C13782" t="str">
        <f>IFERROR(__xludf.DUMMYFUNCTION("GOOGLETRANSLATE(B13782, ""fr"", ""en"")"),"Excellent Good price")</f>
        <v>Excellent Good price</v>
      </c>
    </row>
    <row r="13783">
      <c r="A13783" s="1">
        <v>5.0</v>
      </c>
      <c r="B13783" s="1" t="s">
        <v>13554</v>
      </c>
      <c r="C13783" t="str">
        <f>IFERROR(__xludf.DUMMYFUNCTION("GOOGLETRANSLATE(B13783, ""fr"", ""en"")"),"PERFECT Belles, original and Satisfied and delights slippers. Pretty great original. But mostly slippers and ca c is important nowadays. I ve given the Amazon site to everyone because they have had success. I'm so happy. To take your waist size it perfect"&amp;"ly")</f>
        <v>PERFECT Belles, original and Satisfied and delights slippers. Pretty great original. But mostly slippers and ca c is important nowadays. I ve given the Amazon site to everyone because they have had success. I'm so happy. To take your waist size it perfectly</v>
      </c>
    </row>
    <row r="13784">
      <c r="A13784" s="1">
        <v>5.0</v>
      </c>
      <c r="B13784" s="1" t="s">
        <v>13555</v>
      </c>
      <c r="C13784" t="str">
        <f>IFERROR(__xludf.DUMMYFUNCTION("GOOGLETRANSLATE(B13784, ""fr"", ""en"")"),"Good quality ! I use it for about 2 weeks and I am very happy so far. I am very satisfied! I recommand it !")</f>
        <v>Good quality ! I use it for about 2 weeks and I am very happy so far. I am very satisfied! I recommand it !</v>
      </c>
    </row>
    <row r="13785">
      <c r="A13785" s="1">
        <v>5.0</v>
      </c>
      <c r="B13785" s="1" t="s">
        <v>13556</v>
      </c>
      <c r="C13785" t="str">
        <f>IFERROR(__xludf.DUMMYFUNCTION("GOOGLETRANSLATE(B13785, ""fr"", ""en"")"),"EXCELLENT 👍🏼 MY IMPRESSIONS 🗒 〰〰〰〰〰〰〰〰〰〰 📦Contenu From Parcel 🔎: ➡️1x Bluetooth earpiece ➡️1x box storage ➡️1x micro USB cable 〰〰〰〰〰〰〰〰〰〰〰〰 🗣️ Summary I bought this product because I run regularly and my old headphones falling. These headphones are "&amp;"supplied with a handy little box to transport them safely, the e sound is good. Pairing is easy and instantaneous. The instructions supplied with English is clear and well explained the functions of the buttons and LEDs. The small ""handle"" to go over th"&amp;"e ear headphones allows to be perfectly maintained while we run and once in place, they do not move. No risk of losing them. I recommend ! 📷 I attached some pictures to guide you in the actual product in question ✔️Il s insight 'is a very good report qua"&amp;"lity price, in this sense I can only advise you! ✅ ✔️Si you liked or found my review helpful, please let me by clicking on the button below dessous❗️")</f>
        <v>EXCELLENT 👍🏼 MY IMPRESSIONS 🗒 〰〰〰〰〰〰〰〰〰〰 📦Contenu From Parcel 🔎: ➡️1x Bluetooth earpiece ➡️1x box storage ➡️1x micro USB cable 〰〰〰〰〰〰〰〰〰〰〰〰 🗣️ Summary I bought this product because I run regularly and my old headphones falling. These headphones are supplied with a handy little box to transport them safely, the e sound is good. Pairing is easy and instantaneous. The instructions supplied with English is clear and well explained the functions of the buttons and LEDs. The small "handle" to go over the ear headphones allows to be perfectly maintained while we run and once in place, they do not move. No risk of losing them. I recommend ! 📷 I attached some pictures to guide you in the actual product in question ✔️Il s insight 'is a very good report quality price, in this sense I can only advise you! ✅ ✔️Si you liked or found my review helpful, please let me by clicking on the button below dessous❗️</v>
      </c>
    </row>
    <row r="13786">
      <c r="A13786" s="1">
        <v>5.0</v>
      </c>
      <c r="B13786" s="1" t="s">
        <v>13557</v>
      </c>
      <c r="C13786" t="str">
        <f>IFERROR(__xludf.DUMMYFUNCTION("GOOGLETRANSLATE(B13786, ""fr"", ""en"")"),"Super Too much color")</f>
        <v>Super Too much color</v>
      </c>
    </row>
    <row r="13787">
      <c r="A13787" s="1">
        <v>5.0</v>
      </c>
      <c r="B13787" s="1" t="s">
        <v>13558</v>
      </c>
      <c r="C13787" t="str">
        <f>IFERROR(__xludf.DUMMYFUNCTION("GOOGLETRANSLATE(B13787, ""fr"", ""en"")"),"Fast delivery Arrive very fast (1 day) in very good condition. Perfect for schools and students.")</f>
        <v>Fast delivery Arrive very fast (1 day) in very good condition. Perfect for schools and students.</v>
      </c>
    </row>
    <row r="13788">
      <c r="A13788" s="1">
        <v>5.0</v>
      </c>
      <c r="B13788" s="1" t="s">
        <v>13559</v>
      </c>
      <c r="C13788" t="str">
        <f>IFERROR(__xludf.DUMMYFUNCTION("GOOGLETRANSLATE(B13788, ""fr"", ""en"")"),"Impeccable Great sneakers I offered to my cousin for her birthday, she was delighted, matches the photo, in line :)")</f>
        <v>Impeccable Great sneakers I offered to my cousin for her birthday, she was delighted, matches the photo, in line :)</v>
      </c>
    </row>
    <row r="13789">
      <c r="A13789" s="1">
        <v>5.0</v>
      </c>
      <c r="B13789" s="1" t="s">
        <v>13560</v>
      </c>
      <c r="C13789" t="str">
        <f>IFERROR(__xludf.DUMMYFUNCTION("GOOGLETRANSLATE(B13789, ""fr"", ""en"")"),"BEAUTIFUL BAG gift for my son who needed a small bag to go on a trip abroad with her class. Bag resistant, Eastpak quality, very convenient to put a wallet, a pocketbook and small purchases and wear the shoulder without losing it or having it rip! Small f"&amp;"ront compartment to put small items that will not mislead (watch, currency ...). Denim blue pattern is ""cool"" and has had its effect. I recommend, the price at Amazon is more interesting in store.")</f>
        <v>BEAUTIFUL BAG gift for my son who needed a small bag to go on a trip abroad with her class. Bag resistant, Eastpak quality, very convenient to put a wallet, a pocketbook and small purchases and wear the shoulder without losing it or having it rip! Small front compartment to put small items that will not mislead (watch, currency ...). Denim blue pattern is "cool" and has had its effect. I recommend, the price at Amazon is more interesting in store.</v>
      </c>
    </row>
    <row r="13790">
      <c r="A13790" s="1">
        <v>5.0</v>
      </c>
      <c r="B13790" s="1" t="s">
        <v>13561</v>
      </c>
      <c r="C13790" t="str">
        <f>IFERROR(__xludf.DUMMYFUNCTION("GOOGLETRANSLATE(B13790, ""fr"", ""en"")"),"Rather large shoes comfortable socks. I took a little big for against, lest it small size. But they cut to the final good. No problem. Very comfortable and enjoyable. Warm.")</f>
        <v>Rather large shoes comfortable socks. I took a little big for against, lest it small size. But they cut to the final good. No problem. Very comfortable and enjoyable. Warm.</v>
      </c>
    </row>
    <row r="13791">
      <c r="A13791" s="1">
        <v>5.0</v>
      </c>
      <c r="B13791" s="1" t="s">
        <v>13562</v>
      </c>
      <c r="C13791" t="str">
        <f>IFERROR(__xludf.DUMMYFUNCTION("GOOGLETRANSLATE(B13791, ""fr"", ""en"")"),"Conquered Very good product quality Efficiency guaranteed effortlessly thanks to its handle that rotates like a car wash Roll In addition it is funny")</f>
        <v>Conquered Very good product quality Efficiency guaranteed effortlessly thanks to its handle that rotates like a car wash Roll In addition it is funny</v>
      </c>
    </row>
    <row r="13792">
      <c r="A13792" s="1">
        <v>5.0</v>
      </c>
      <c r="B13792" s="1" t="s">
        <v>13563</v>
      </c>
      <c r="C13792" t="str">
        <f>IFERROR(__xludf.DUMMYFUNCTION("GOOGLETRANSLATE(B13792, ""fr"", ""en"")"),"Great ! This sport is top leggings! I took a size S and I measure 1m67 for 56kg, I usually do the pants 36 (38 if I seek comfort at waist level), I have quite long legs and it fits me perfectly! Before receiving it was concerned at the ""Bandage belt"" be"&amp;"cause I have pelvic pain and chronic abdominal, well it is perfect, the support in the belly is ""constant"", and not well distributed too strong (not as leggings elastic that relies heavily on a small area). The fabric is very elastic, even if it is very"&amp;" tight I can absolutely make every movement I want the fabric absolutely not suffer. The fabric is thick, (plus I took double thickness) even tense we do not see through, no guess panties or cellulite below (with some models cheap thin you see everything "&amp;"through even the hair ^^) I took in 2 colors, I'm super happy with this product, I wear for Pilates but it will suit any sport for me. I recommend 100%, take your usual size and I advise you to double thickness.")</f>
        <v>Great ! This sport is top leggings! I took a size S and I measure 1m67 for 56kg, I usually do the pants 36 (38 if I seek comfort at waist level), I have quite long legs and it fits me perfectly! Before receiving it was concerned at the "Bandage belt" because I have pelvic pain and chronic abdominal, well it is perfect, the support in the belly is "constant", and not well distributed too strong (not as leggings elastic that relies heavily on a small area). The fabric is very elastic, even if it is very tight I can absolutely make every movement I want the fabric absolutely not suffer. The fabric is thick, (plus I took double thickness) even tense we do not see through, no guess panties or cellulite below (with some models cheap thin you see everything through even the hair ^^) I took in 2 colors, I'm super happy with this product, I wear for Pilates but it will suit any sport for me. I recommend 100%, take your usual size and I advise you to double thickness.</v>
      </c>
    </row>
    <row r="13793">
      <c r="A13793" s="1">
        <v>2.0</v>
      </c>
      <c r="B13793" s="1" t="s">
        <v>13564</v>
      </c>
      <c r="C13793" t="str">
        <f>IFERROR(__xludf.DUMMYFUNCTION("GOOGLETRANSLATE(B13793, ""fr"", ""en"")"),"The disappointment over the crackle shoes, so wear. For the price c disappointing.")</f>
        <v>The disappointment over the crackle shoes, so wear. For the price c disappointing.</v>
      </c>
    </row>
    <row r="13794">
      <c r="A13794" s="1">
        <v>1.0</v>
      </c>
      <c r="B13794" s="1" t="s">
        <v>13565</v>
      </c>
      <c r="C13794" t="str">
        <f>IFERROR(__xludf.DUMMYFUNCTION("GOOGLETRANSLATE(B13794, ""fr"", ""en"")"),"Warning !!!! Item arrived broken flowing everywhere!")</f>
        <v>Warning !!!! Item arrived broken flowing everywhere!</v>
      </c>
    </row>
    <row r="13795">
      <c r="A13795" s="1">
        <v>1.0</v>
      </c>
      <c r="B13795" s="1" t="s">
        <v>13566</v>
      </c>
      <c r="C13795" t="str">
        <f>IFERROR(__xludf.DUMMYFUNCTION("GOOGLETRANSLATE(B13795, ""fr"", ""en"")"),"Poor Poor qualitée she broke for the first time that I put")</f>
        <v>Poor Poor qualitée she broke for the first time that I put</v>
      </c>
    </row>
    <row r="13796">
      <c r="A13796" s="1">
        <v>3.0</v>
      </c>
      <c r="B13796" s="1" t="s">
        <v>13567</v>
      </c>
      <c r="C13796" t="str">
        <f>IFERROR(__xludf.DUMMYFUNCTION("GOOGLETRANSLATE(B13796, ""fr"", ""en"")"),"Converse carve well but came with a default Delighted delivery more than fast and tracking information. By cons at the rear registration is partially erased. I'm going on vacation for 1 month so I could not make a return that's too bad. You can see from t"&amp;"he photo the logo")</f>
        <v>Converse carve well but came with a default Delighted delivery more than fast and tracking information. By cons at the rear registration is partially erased. I'm going on vacation for 1 month so I could not make a return that's too bad. You can see from the photo the logo</v>
      </c>
    </row>
    <row r="13797">
      <c r="A13797" s="1">
        <v>3.0</v>
      </c>
      <c r="B13797" s="1" t="s">
        <v>13568</v>
      </c>
      <c r="C13797" t="str">
        <f>IFERROR(__xludf.DUMMYFUNCTION("GOOGLETRANSLATE(B13797, ""fr"", ""en"")"),"unsuitable metal box Beautiful watch but the metal box is unsuitable (for women) should be avoided for a gift")</f>
        <v>unsuitable metal box Beautiful watch but the metal box is unsuitable (for women) should be avoided for a gift</v>
      </c>
    </row>
    <row r="13798">
      <c r="A13798" s="1">
        <v>4.0</v>
      </c>
      <c r="B13798" s="1" t="s">
        <v>13569</v>
      </c>
      <c r="C13798" t="str">
        <f>IFERROR(__xludf.DUMMYFUNCTION("GOOGLETRANSLATE(B13798, ""fr"", ""en"")"),"correct level price. no expiration date thus have advance. it's a bit like toilet paper rolls is when there is more we realize that we must buy. do not hesitate to buy, it will always be useful. solid, but must not use excessive force with the cat litter "&amp;"box, it's still plastic. litter for cats I take 30 liters, and put the trash in the runs.")</f>
        <v>correct level price. no expiration date thus have advance. it's a bit like toilet paper rolls is when there is more we realize that we must buy. do not hesitate to buy, it will always be useful. solid, but must not use excessive force with the cat litter box, it's still plastic. litter for cats I take 30 liters, and put the trash in the runs.</v>
      </c>
    </row>
    <row r="13799">
      <c r="A13799" s="1">
        <v>4.0</v>
      </c>
      <c r="B13799" s="1" t="s">
        <v>13570</v>
      </c>
      <c r="C13799" t="str">
        <f>IFERROR(__xludf.DUMMYFUNCTION("GOOGLETRANSLATE(B13799, ""fr"", ""en"")"),"Casio strong it watches this is not the case at the top not the light, for adjustment I had to ask for help because not adjust too complicated, I regret my old Casio W -735H buy from you I have a new band with compass but the support is damaged undelivera"&amp;"ble damage.")</f>
        <v>Casio strong it watches this is not the case at the top not the light, for adjustment I had to ask for help because not adjust too complicated, I regret my old Casio W -735H buy from you I have a new band with compass but the support is damaged undeliverable damage.</v>
      </c>
    </row>
    <row r="13800">
      <c r="A13800" s="1">
        <v>4.0</v>
      </c>
      <c r="B13800" s="1" t="s">
        <v>13571</v>
      </c>
      <c r="C13800" t="str">
        <f>IFERROR(__xludf.DUMMYFUNCTION("GOOGLETRANSLATE(B13800, ""fr"", ""en"")"),"Yeah not bad It's convenient to carry little without being cluttered. The case has good speed, perfect for a ""fucking city."" Not sincerely practice to change its investment, on the back when walking on the front in the crowded public transport to preven"&amp;"t theft. Personally I think it's a good product.")</f>
        <v>Yeah not bad It's convenient to carry little without being cluttered. The case has good speed, perfect for a "fucking city." Not sincerely practice to change its investment, on the back when walking on the front in the crowded public transport to prevent theft. Personally I think it's a good product.</v>
      </c>
    </row>
    <row r="13801">
      <c r="A13801" s="1">
        <v>4.0</v>
      </c>
      <c r="B13801" s="1" t="s">
        <v>13572</v>
      </c>
      <c r="C13801" t="str">
        <f>IFERROR(__xludf.DUMMYFUNCTION("GOOGLETRANSLATE(B13801, ""fr"", ""en"")"),"Quality item we can do better perfect")</f>
        <v>Quality item we can do better perfect</v>
      </c>
    </row>
    <row r="13802">
      <c r="A13802" s="1">
        <v>5.0</v>
      </c>
      <c r="B13802" s="1" t="s">
        <v>13573</v>
      </c>
      <c r="C13802" t="str">
        <f>IFERROR(__xludf.DUMMYFUNCTION("GOOGLETRANSLATE(B13802, ""fr"", ""en"")"),"Super diffuser My order arrived very quickly, just received all the equipment was already running, the build quality seems very good with detail and of good quality finish. The ability to change delivery methods are useful and allow me to manage as good s"&amp;"eems to me my camera, it does not make too much noise and you can easily change the color of the led, the imitation wood is well transcribed what he gives the appearance of relaxation and melts easily in the decor of the room. I have anxiety attacks and I"&amp;" think it helps me relax more.")</f>
        <v>Super diffuser My order arrived very quickly, just received all the equipment was already running, the build quality seems very good with detail and of good quality finish. The ability to change delivery methods are useful and allow me to manage as good seems to me my camera, it does not make too much noise and you can easily change the color of the led, the imitation wood is well transcribed what he gives the appearance of relaxation and melts easily in the decor of the room. I have anxiety attacks and I think it helps me relax more.</v>
      </c>
    </row>
    <row r="13803">
      <c r="A13803" s="1">
        <v>5.0</v>
      </c>
      <c r="B13803" s="1" t="s">
        <v>204</v>
      </c>
      <c r="C13803" t="str">
        <f>IFERROR(__xludf.DUMMYFUNCTION("GOOGLETRANSLATE(B13803, ""fr"", ""en"")"),"Top Top")</f>
        <v>Top Top</v>
      </c>
    </row>
    <row r="13804">
      <c r="A13804" s="1">
        <v>5.0</v>
      </c>
      <c r="B13804" s="1" t="s">
        <v>13574</v>
      </c>
      <c r="C13804" t="str">
        <f>IFERROR(__xludf.DUMMYFUNCTION("GOOGLETRANSLATE(B13804, ""fr"", ""en"")"),"right at the top for the price it really is a beautiful bracelet!")</f>
        <v>right at the top for the price it really is a beautiful bracelet!</v>
      </c>
    </row>
    <row r="13805">
      <c r="A13805" s="1">
        <v>5.0</v>
      </c>
      <c r="B13805" s="1" t="s">
        <v>13575</v>
      </c>
      <c r="C13805" t="str">
        <f>IFERROR(__xludf.DUMMYFUNCTION("GOOGLETRANSLATE(B13805, ""fr"", ""en"")"),"Earrings silver earrings These earrings are beautiful. They came well protected in their box.")</f>
        <v>Earrings silver earrings These earrings are beautiful. They came well protected in their box.</v>
      </c>
    </row>
    <row r="13806">
      <c r="A13806" s="1">
        <v>5.0</v>
      </c>
      <c r="B13806" s="1" t="s">
        <v>13576</v>
      </c>
      <c r="C13806" t="str">
        <f>IFERROR(__xludf.DUMMYFUNCTION("GOOGLETRANSLATE(B13806, ""fr"", ""en"")"),"The material rug This rug is great for working on my computer, the mouse glides well there. If you are still in I recommend to have in reserve. I recommend")</f>
        <v>The material rug This rug is great for working on my computer, the mouse glides well there. If you are still in I recommend to have in reserve. I recommend</v>
      </c>
    </row>
    <row r="13807">
      <c r="A13807" s="1">
        <v>5.0</v>
      </c>
      <c r="B13807" s="1" t="s">
        <v>13577</v>
      </c>
      <c r="C13807" t="str">
        <f>IFERROR(__xludf.DUMMYFUNCTION("GOOGLETRANSLATE(B13807, ""fr"", ""en"")"),"well washes well")</f>
        <v>well washes well</v>
      </c>
    </row>
    <row r="13808">
      <c r="A13808" s="1">
        <v>5.0</v>
      </c>
      <c r="B13808" s="1" t="s">
        <v>13578</v>
      </c>
      <c r="C13808" t="str">
        <f>IFERROR(__xludf.DUMMYFUNCTION("GOOGLETRANSLATE(B13808, ""fr"", ""en"")"),"The product conforms to my printer and it is the second time I buy these cartridges are very correct!")</f>
        <v>The product conforms to my printer and it is the second time I buy these cartridges are very correct!</v>
      </c>
    </row>
    <row r="13809">
      <c r="A13809" s="1">
        <v>5.0</v>
      </c>
      <c r="B13809" s="1" t="s">
        <v>13579</v>
      </c>
      <c r="C13809" t="str">
        <f>IFERROR(__xludf.DUMMYFUNCTION("GOOGLETRANSLATE(B13809, ""fr"", ""en"")"),"PERFECT Hello I ordered this model to replace a previous product whose control had yielded after several winters service. This one is even better from all points of view, I recommend this purchase. The price is justified.")</f>
        <v>PERFECT Hello I ordered this model to replace a previous product whose control had yielded after several winters service. This one is even better from all points of view, I recommend this purchase. The price is justified.</v>
      </c>
    </row>
    <row r="13810">
      <c r="A13810" s="1">
        <v>5.0</v>
      </c>
      <c r="B13810" s="1" t="s">
        <v>13580</v>
      </c>
      <c r="C13810" t="str">
        <f>IFERROR(__xludf.DUMMYFUNCTION("GOOGLETRANSLATE(B13810, ""fr"", ""en"")"),"Compliance and speed Product compliant and very fast delivery")</f>
        <v>Compliance and speed Product compliant and very fast delivery</v>
      </c>
    </row>
    <row r="13811">
      <c r="A13811" s="1">
        <v>5.0</v>
      </c>
      <c r="B13811" s="1" t="s">
        <v>13581</v>
      </c>
      <c r="C13811" t="str">
        <f>IFERROR(__xludf.DUMMYFUNCTION("GOOGLETRANSLATE(B13811, ""fr"", ""en"")"),"Lamp Product description like no surprises.")</f>
        <v>Lamp Product description like no surprises.</v>
      </c>
    </row>
    <row r="13812">
      <c r="A13812" s="1">
        <v>5.0</v>
      </c>
      <c r="B13812" s="1" t="s">
        <v>13582</v>
      </c>
      <c r="C13812" t="str">
        <f>IFERROR(__xludf.DUMMYFUNCTION("GOOGLETRANSLATE(B13812, ""fr"", ""en"")"),"Top Very good boot in gun prices")</f>
        <v>Top Very good boot in gun prices</v>
      </c>
    </row>
    <row r="13813">
      <c r="A13813" s="1">
        <v>5.0</v>
      </c>
      <c r="B13813" s="1" t="s">
        <v>13583</v>
      </c>
      <c r="C13813" t="str">
        <f>IFERROR(__xludf.DUMMYFUNCTION("GOOGLETRANSLATE(B13813, ""fr"", ""en"")"),"Although Nickel received temps.Bien packed and protected. Same format as a cartridge originale.Plus test time my cartridge that is currently in my empty printer (A 10aine remaining copy to) .I come back in ten days to tell you what I 'thinks. Edit: after "&amp;"2 weeks of use, they are as good as the original (I made a 40 copy of groin yet) .For the price XL format hesitate anymore and go for taking them.")</f>
        <v>Although Nickel received temps.Bien packed and protected. Same format as a cartridge originale.Plus test time my cartridge that is currently in my empty printer (A 10aine remaining copy to) .I come back in ten days to tell you what I 'thinks. Edit: after 2 weeks of use, they are as good as the original (I made a 40 copy of groin yet) .For the price XL format hesitate anymore and go for taking them.</v>
      </c>
    </row>
    <row r="13814">
      <c r="A13814" s="1">
        <v>5.0</v>
      </c>
      <c r="B13814" s="1" t="s">
        <v>13584</v>
      </c>
      <c r="C13814" t="str">
        <f>IFERROR(__xludf.DUMMYFUNCTION("GOOGLETRANSLATE(B13814, ""fr"", ""en"")"),"Nickel Very good photo paper")</f>
        <v>Nickel Very good photo paper</v>
      </c>
    </row>
    <row r="13815">
      <c r="A13815" s="1">
        <v>5.0</v>
      </c>
      <c r="B13815" s="1" t="s">
        <v>13585</v>
      </c>
      <c r="C13815" t="str">
        <f>IFERROR(__xludf.DUMMYFUNCTION("GOOGLETRANSLATE(B13815, ""fr"", ""en"")"),"Wonderful delivery ahead of schedule. Very nice pair. I recommend.")</f>
        <v>Wonderful delivery ahead of schedule. Very nice pair. I recommend.</v>
      </c>
    </row>
    <row r="13816">
      <c r="A13816" s="1">
        <v>5.0</v>
      </c>
      <c r="B13816" s="1" t="s">
        <v>13586</v>
      </c>
      <c r="C13816" t="str">
        <f>IFERROR(__xludf.DUMMYFUNCTION("GOOGLETRANSLATE(B13816, ""fr"", ""en"")"),"Grained but effective !! Good scrub! super nice smells! Effective, I recommend. Excellent value!!!")</f>
        <v>Grained but effective !! Good scrub! super nice smells! Effective, I recommend. Excellent value!!!</v>
      </c>
    </row>
    <row r="13817">
      <c r="A13817" s="1">
        <v>5.0</v>
      </c>
      <c r="B13817" s="1" t="s">
        <v>13587</v>
      </c>
      <c r="C13817" t="str">
        <f>IFERROR(__xludf.DUMMYFUNCTION("GOOGLETRANSLATE(B13817, ""fr"", ""en"")"),"Perfect Very nice watch, good value for the price, automatic movement of high quality, the second ""spin"" perfectly. RAS, I recommend ++")</f>
        <v>Perfect Very nice watch, good value for the price, automatic movement of high quality, the second "spin" perfectly. RAS, I recommend ++</v>
      </c>
    </row>
    <row r="13818">
      <c r="A13818" s="1">
        <v>2.0</v>
      </c>
      <c r="B13818" s="1" t="s">
        <v>13588</v>
      </c>
      <c r="C13818" t="str">
        <f>IFERROR(__xludf.DUMMYFUNCTION("GOOGLETRANSLATE(B13818, ""fr"", ""en"")"),"NO !!! compliant control When I received my order, I thought everything was perfect. Unfortunately when I tried changing my cartridge black, I report that the two cartridges that were in the package were colored and therefore not black! I found myself wit"&amp;"hout possibility of using my printer at a time when I needed it most! I had to go 25 kms and 25 kms back the next day to help me Auchan buying a cartridge black ... all came back to me very expensive !!!!!")</f>
        <v>NO !!! compliant control When I received my order, I thought everything was perfect. Unfortunately when I tried changing my cartridge black, I report that the two cartridges that were in the package were colored and therefore not black! I found myself without possibility of using my printer at a time when I needed it most! I had to go 25 kms and 25 kms back the next day to help me Auchan buying a cartridge black ... all came back to me very expensive !!!!!</v>
      </c>
    </row>
    <row r="13819">
      <c r="A13819" s="1">
        <v>1.0</v>
      </c>
      <c r="B13819" s="1" t="s">
        <v>13589</v>
      </c>
      <c r="C13819" t="str">
        <f>IFERROR(__xludf.DUMMYFUNCTION("GOOGLETRANSLATE(B13819, ""fr"", ""en"")"),"Shoe holed After 3 weeks now holed above, it is not normal that after three weeks they crack already, I would like a return of this pair and a new pair")</f>
        <v>Shoe holed After 3 weeks now holed above, it is not normal that after three weeks they crack already, I would like a return of this pair and a new pair</v>
      </c>
    </row>
    <row r="13820">
      <c r="A13820" s="1">
        <v>1.0</v>
      </c>
      <c r="B13820" s="1" t="s">
        <v>13590</v>
      </c>
      <c r="C13820" t="str">
        <f>IFERROR(__xludf.DUMMYFUNCTION("GOOGLETRANSLATE(B13820, ""fr"", ""en"")"),"Dymo ... It was better before ... Product Dymo original ... adhesive labels extremely resistant ... But the space between two characters is so great that ultimately the label is 30% longer than my old Dymo ... Moche and waste of consumables!")</f>
        <v>Dymo ... It was better before ... Product Dymo original ... adhesive labels extremely resistant ... But the space between two characters is so great that ultimately the label is 30% longer than my old Dymo ... Moche and waste of consumables!</v>
      </c>
    </row>
    <row r="13821">
      <c r="A13821" s="1">
        <v>3.0</v>
      </c>
      <c r="B13821" s="1" t="s">
        <v>13591</v>
      </c>
      <c r="C13821" t="str">
        <f>IFERROR(__xludf.DUMMYFUNCTION("GOOGLETRANSLATE(B13821, ""fr"", ""en"")"),"Pretty nice sneakers sneakers I already knew. The insole could be just a little thicker to prevent overheating of the feet ... but small price ... Size 41")</f>
        <v>Pretty nice sneakers sneakers I already knew. The insole could be just a little thicker to prevent overheating of the feet ... but small price ... Size 41</v>
      </c>
    </row>
    <row r="13822">
      <c r="A13822" s="1">
        <v>4.0</v>
      </c>
      <c r="B13822" s="1" t="s">
        <v>13592</v>
      </c>
      <c r="C13822" t="str">
        <f>IFERROR(__xludf.DUMMYFUNCTION("GOOGLETRANSLATE(B13822, ""fr"", ""en"")"),"Top small but comfortable jacket. But allow 2 sizes bigger because I took a size up and it is just right ... Otherwise it is great and there is")</f>
        <v>Top small but comfortable jacket. But allow 2 sizes bigger because I took a size up and it is just right ... Otherwise it is great and there is</v>
      </c>
    </row>
    <row r="13823">
      <c r="A13823" s="1">
        <v>4.0</v>
      </c>
      <c r="B13823" s="1" t="s">
        <v>13593</v>
      </c>
      <c r="C13823" t="str">
        <f>IFERROR(__xludf.DUMMYFUNCTION("GOOGLETRANSLATE(B13823, ""fr"", ""en"")"),"👍👍👍 ✌️✌️✌️")</f>
        <v>👍👍👍 ✌️✌️✌️</v>
      </c>
    </row>
    <row r="13824">
      <c r="A13824" s="1">
        <v>4.0</v>
      </c>
      <c r="B13824" s="1" t="s">
        <v>13594</v>
      </c>
      <c r="C13824" t="str">
        <f>IFERROR(__xludf.DUMMYFUNCTION("GOOGLETRANSLATE(B13824, ""fr"", ""en"")"),"Very effective after you received it, I release all the bottles for my son to test the drainer to bottle and it turns out that it was effective. ..Ça fesait his job, so I recommend this product and I love a lot of color, only negative that it's a bit peti"&amp;"t..merci")</f>
        <v>Very effective after you received it, I release all the bottles for my son to test the drainer to bottle and it turns out that it was effective. ..Ça fesait his job, so I recommend this product and I love a lot of color, only negative that it's a bit petit..merci</v>
      </c>
    </row>
    <row r="13825">
      <c r="A13825" s="1">
        <v>4.0</v>
      </c>
      <c r="B13825" s="1" t="s">
        <v>13595</v>
      </c>
      <c r="C13825" t="str">
        <f>IFERROR(__xludf.DUMMYFUNCTION("GOOGLETRANSLATE(B13825, ""fr"", ""en"")"),"Too bad it's faux leather Apart from this important detail, the object is well-designed practical and functional. Do the same in (true) black leather and it will be perfect.")</f>
        <v>Too bad it's faux leather Apart from this important detail, the object is well-designed practical and functional. Do the same in (true) black leather and it will be perfect.</v>
      </c>
    </row>
    <row r="13826">
      <c r="A13826" s="1">
        <v>4.0</v>
      </c>
      <c r="B13826" s="1" t="s">
        <v>13596</v>
      </c>
      <c r="C13826" t="str">
        <f>IFERROR(__xludf.DUMMYFUNCTION("GOOGLETRANSLATE(B13826, ""fr"", ""en"")"),"Good sound Good value not recognize my Android phone by against it recognizes my iPad")</f>
        <v>Good sound Good value not recognize my Android phone by against it recognizes my iPad</v>
      </c>
    </row>
    <row r="13827">
      <c r="A13827" s="1">
        <v>5.0</v>
      </c>
      <c r="B13827" s="1" t="s">
        <v>13597</v>
      </c>
      <c r="C13827" t="str">
        <f>IFERROR(__xludf.DUMMYFUNCTION("GOOGLETRANSLATE(B13827, ""fr"", ""en"")"),"Very nice pair of shoes Quality of the item to the brand's height, perfect finish, foot comfort, I am really delighted with the product.")</f>
        <v>Very nice pair of shoes Quality of the item to the brand's height, perfect finish, foot comfort, I am really delighted with the product.</v>
      </c>
    </row>
    <row r="13828">
      <c r="A13828" s="1">
        <v>5.0</v>
      </c>
      <c r="B13828" s="1" t="s">
        <v>13598</v>
      </c>
      <c r="C13828" t="str">
        <f>IFERROR(__xludf.DUMMYFUNCTION("GOOGLETRANSLATE(B13828, ""fr"", ""en"")"),"Content Match the picture and my expectations. Delivery in 1 day.")</f>
        <v>Content Match the picture and my expectations. Delivery in 1 day.</v>
      </c>
    </row>
    <row r="13829">
      <c r="A13829" s="1">
        <v>5.0</v>
      </c>
      <c r="B13829" s="1" t="s">
        <v>13599</v>
      </c>
      <c r="C13829" t="str">
        <f>IFERROR(__xludf.DUMMYFUNCTION("GOOGLETRANSLATE(B13829, ""fr"", ""en"")"),"Excellebt Having had my first daughter a sterilizer, microwave, to me that is the revolution! Convenient, easy to use, solid, may have put a lot of bottle, pacifier etc. bulky certe but at least one is on it sterilizes well, it is cheap.")</f>
        <v>Excellebt Having had my first daughter a sterilizer, microwave, to me that is the revolution! Convenient, easy to use, solid, may have put a lot of bottle, pacifier etc. bulky certe but at least one is on it sterilizes well, it is cheap.</v>
      </c>
    </row>
    <row r="13830">
      <c r="A13830" s="1">
        <v>5.0</v>
      </c>
      <c r="B13830" s="1" t="s">
        <v>13600</v>
      </c>
      <c r="C13830" t="str">
        <f>IFERROR(__xludf.DUMMYFUNCTION("GOOGLETRANSLATE(B13830, ""fr"", ""en"")"),"Great!!!! Super my daughter be happy when she VA VA has opened the Christmas :)")</f>
        <v>Great!!!! Super my daughter be happy when she VA VA has opened the Christmas :)</v>
      </c>
    </row>
    <row r="13831">
      <c r="A13831" s="1">
        <v>5.0</v>
      </c>
      <c r="B13831" s="1" t="s">
        <v>13601</v>
      </c>
      <c r="C13831" t="str">
        <f>IFERROR(__xludf.DUMMYFUNCTION("GOOGLETRANSLATE(B13831, ""fr"", ""en"")"),"Beautiful Puma sneakers.")</f>
        <v>Beautiful Puma sneakers.</v>
      </c>
    </row>
    <row r="13832">
      <c r="A13832" s="1">
        <v>5.0</v>
      </c>
      <c r="B13832" s="1" t="s">
        <v>13602</v>
      </c>
      <c r="C13832" t="str">
        <f>IFERROR(__xludf.DUMMYFUNCTION("GOOGLETRANSLATE(B13832, ""fr"", ""en"")"),"Consistent with the presentation I ordered the chain to replace an old steel of my girlfriend who was rusty. It is consistent with the product description and it seems solid. In any case, the chain is well made and the punch is present! I recommend !")</f>
        <v>Consistent with the presentation I ordered the chain to replace an old steel of my girlfriend who was rusty. It is consistent with the product description and it seems solid. In any case, the chain is well made and the punch is present! I recommend !</v>
      </c>
    </row>
    <row r="13833">
      <c r="A13833" s="1">
        <v>5.0</v>
      </c>
      <c r="B13833" s="1" t="s">
        <v>2065</v>
      </c>
      <c r="C13833" t="str">
        <f>IFERROR(__xludf.DUMMYFUNCTION("GOOGLETRANSLATE(B13833, ""fr"", ""en"")"),"Lightweight and comfortable Used for an afternoon of shopping, top comfort. I recommend to all fans of shoes slippers. It feels like home.")</f>
        <v>Lightweight and comfortable Used for an afternoon of shopping, top comfort. I recommend to all fans of shoes slippers. It feels like home.</v>
      </c>
    </row>
    <row r="13834">
      <c r="A13834" s="1">
        <v>5.0</v>
      </c>
      <c r="B13834" s="1" t="s">
        <v>13603</v>
      </c>
      <c r="C13834" t="str">
        <f>IFERROR(__xludf.DUMMYFUNCTION("GOOGLETRANSLATE(B13834, ""fr"", ""en"")"),"Good value Great design and good value for money. I was surprised of the quality of the product for its price")</f>
        <v>Good value Great design and good value for money. I was surprised of the quality of the product for its price</v>
      </c>
    </row>
    <row r="13835">
      <c r="A13835" s="1">
        <v>5.0</v>
      </c>
      <c r="B13835" s="1" t="s">
        <v>13604</v>
      </c>
      <c r="C13835" t="str">
        <f>IFERROR(__xludf.DUMMYFUNCTION("GOOGLETRANSLATE(B13835, ""fr"", ""en"")"),"Very good quality / price ratio works well, no particular worries")</f>
        <v>Very good quality / price ratio works well, no particular worries</v>
      </c>
    </row>
    <row r="13836">
      <c r="A13836" s="1">
        <v>5.0</v>
      </c>
      <c r="B13836" s="1" t="s">
        <v>13605</v>
      </c>
      <c r="C13836" t="str">
        <f>IFERROR(__xludf.DUMMYFUNCTION("GOOGLETRANSLATE(B13836, ""fr"", ""en"")"),"A beautiful collection perfect for beginners in reading. The texts are short not to discourage young readers and beautiful illustrations make you want to know what happened.")</f>
        <v>A beautiful collection perfect for beginners in reading. The texts are short not to discourage young readers and beautiful illustrations make you want to know what happened.</v>
      </c>
    </row>
    <row r="13837">
      <c r="A13837" s="1">
        <v>5.0</v>
      </c>
      <c r="B13837" s="1" t="s">
        <v>13606</v>
      </c>
      <c r="C13837" t="str">
        <f>IFERROR(__xludf.DUMMYFUNCTION("GOOGLETRANSLATE(B13837, ""fr"", ""en"")"),"Solution and time saving, personal and confidential papers which we want to get rid How to solve as quickly a problem that concerns us all, stealing confidential personal information collected in our bins. Before it was, I store, I tear, I'm burning, I le"&amp;"ave soaked in water, I throw. Now it is destructive cross cut, I cast. The time savings is phenomenal plus it's funny. Three positioning for the start. off, auto and reverse. At its first use, I filled the container without realizing it. At that time I th"&amp;"ought the machine was not working but it was jam protection because too full. After raising the very simple mechanism, it was obvious. I recommend this unit to anyone for use at home for occasional use. I insert the leaves between 4 to 5 leaves at the sam"&amp;"e time. Destroyed blue cards ... excellent. The unit occupies a very small space: height of the container is an A4 page, 20cm thick, the shredder is positioned just above and flush. An electric cable of a 1.50m.")</f>
        <v>Solution and time saving, personal and confidential papers which we want to get rid How to solve as quickly a problem that concerns us all, stealing confidential personal information collected in our bins. Before it was, I store, I tear, I'm burning, I leave soaked in water, I throw. Now it is destructive cross cut, I cast. The time savings is phenomenal plus it's funny. Three positioning for the start. off, auto and reverse. At its first use, I filled the container without realizing it. At that time I thought the machine was not working but it was jam protection because too full. After raising the very simple mechanism, it was obvious. I recommend this unit to anyone for use at home for occasional use. I insert the leaves between 4 to 5 leaves at the same time. Destroyed blue cards ... excellent. The unit occupies a very small space: height of the container is an A4 page, 20cm thick, the shredder is positioned just above and flush. An electric cable of a 1.50m.</v>
      </c>
    </row>
    <row r="13838">
      <c r="A13838" s="1">
        <v>5.0</v>
      </c>
      <c r="B13838" s="1" t="s">
        <v>13607</v>
      </c>
      <c r="C13838" t="str">
        <f>IFERROR(__xludf.DUMMYFUNCTION("GOOGLETRANSLATE(B13838, ""fr"", ""en"")"),"soft article in accordance with the description, very pretty blue, bright, bought size 38 to a person who habitually dressed in 38: it's perfect. and sweetness ...")</f>
        <v>soft article in accordance with the description, very pretty blue, bright, bought size 38 to a person who habitually dressed in 38: it's perfect. and sweetness ...</v>
      </c>
    </row>
    <row r="13839">
      <c r="A13839" s="1">
        <v>5.0</v>
      </c>
      <c r="B13839" s="1" t="s">
        <v>13608</v>
      </c>
      <c r="C13839" t="str">
        <f>IFERROR(__xludf.DUMMYFUNCTION("GOOGLETRANSLATE(B13839, ""fr"", ""en"")"),"Satisfied Not the first Bluetooth headsets that I bought, but surprisingly, they are very good. To make a call, we can leave the phone on the desk to continue operations. When the battery is used, the charging unit can provide a long service life of the b"&amp;"attery. Strong performance is impeccable, sometimes I forget that I have a helmet. I recommend them very much and I have personally adopted!")</f>
        <v>Satisfied Not the first Bluetooth headsets that I bought, but surprisingly, they are very good. To make a call, we can leave the phone on the desk to continue operations. When the battery is used, the charging unit can provide a long service life of the battery. Strong performance is impeccable, sometimes I forget that I have a helmet. I recommend them very much and I have personally adopted!</v>
      </c>
    </row>
    <row r="13840">
      <c r="A13840" s="1">
        <v>5.0</v>
      </c>
      <c r="B13840" s="1" t="s">
        <v>13609</v>
      </c>
      <c r="C13840" t="str">
        <f>IFERROR(__xludf.DUMMYFUNCTION("GOOGLETRANSLATE(B13840, ""fr"", ""en"")"),"Wireless TV Headphones This headset corresponds to its description. I wear glasses and it becomes uncomfortable after a while. I still hear the sound even when I change room, that's great.")</f>
        <v>Wireless TV Headphones This headset corresponds to its description. I wear glasses and it becomes uncomfortable after a while. I still hear the sound even when I change room, that's great.</v>
      </c>
    </row>
    <row r="13841">
      <c r="A13841" s="1">
        <v>5.0</v>
      </c>
      <c r="B13841" s="1" t="s">
        <v>3884</v>
      </c>
      <c r="C13841" t="str">
        <f>IFERROR(__xludf.DUMMYFUNCTION("GOOGLETRANSLATE(B13841, ""fr"", ""en"")"),"Great ! Great product. Light but stick to the feet. Good quanlité price. I think in other color recommended")</f>
        <v>Great ! Great product. Light but stick to the feet. Good quanlité price. I think in other color recommended</v>
      </c>
    </row>
    <row r="13842">
      <c r="A13842" s="1">
        <v>2.0</v>
      </c>
      <c r="B13842" s="1" t="s">
        <v>13610</v>
      </c>
      <c r="C13842" t="str">
        <f>IFERROR(__xludf.DUMMYFUNCTION("GOOGLETRANSLATE(B13842, ""fr"", ""en"")"),"The width blunt its length is cut too small")</f>
        <v>The width blunt its length is cut too small</v>
      </c>
    </row>
    <row r="13843">
      <c r="A13843" s="1">
        <v>1.0</v>
      </c>
      <c r="B13843" s="1" t="s">
        <v>13611</v>
      </c>
      <c r="C13843" t="str">
        <f>IFERROR(__xludf.DUMMYFUNCTION("GOOGLETRANSLATE(B13843, ""fr"", ""en"")"),"leather bag Leather too brilliant and too fragile and complicated opening closure. The use of this bag will quickly wear the leather straps seen by opening a handle several times a day")</f>
        <v>leather bag Leather too brilliant and too fragile and complicated opening closure. The use of this bag will quickly wear the leather straps seen by opening a handle several times a day</v>
      </c>
    </row>
    <row r="13844">
      <c r="A13844" s="1">
        <v>3.0</v>
      </c>
      <c r="B13844" s="1" t="s">
        <v>13612</v>
      </c>
      <c r="C13844" t="str">
        <f>IFERROR(__xludf.DUMMYFUNCTION("GOOGLETRANSLATE(B13844, ""fr"", ""en"")"),"NOTHING TO SAY QUESTION VALUE FOR MONEY it should shrink THAT IT OTHERWISE SATISFIED")</f>
        <v>NOTHING TO SAY QUESTION VALUE FOR MONEY it should shrink THAT IT OTHERWISE SATISFIED</v>
      </c>
    </row>
    <row r="13845">
      <c r="A13845" s="1">
        <v>3.0</v>
      </c>
      <c r="B13845" s="1" t="s">
        <v>13613</v>
      </c>
      <c r="C13845" t="str">
        <f>IFERROR(__xludf.DUMMYFUNCTION("GOOGLETRANSLATE(B13845, ""fr"", ""en"")"),"Tommee Tippee brush A soft bristles that will not attack the plastic bibis. The hard head in time without damaging too. As against the party for dummies, not very practical in my opinion, almost never utilisée.En more, it tends to rot and eventually, clos"&amp;"ure no longer holds.")</f>
        <v>Tommee Tippee brush A soft bristles that will not attack the plastic bibis. The hard head in time without damaging too. As against the party for dummies, not very practical in my opinion, almost never utilisée.En more, it tends to rot and eventually, closure no longer holds.</v>
      </c>
    </row>
    <row r="13846">
      <c r="A13846" s="1">
        <v>4.0</v>
      </c>
      <c r="B13846" s="1" t="s">
        <v>13614</v>
      </c>
      <c r="C13846" t="str">
        <f>IFERROR(__xludf.DUMMYFUNCTION("GOOGLETRANSLATE(B13846, ""fr"", ""en"")"),"I wanted what I wanted to put in my bag. I do not know what else to say to get the number of words required!")</f>
        <v>I wanted what I wanted to put in my bag. I do not know what else to say to get the number of words required!</v>
      </c>
    </row>
    <row r="13847">
      <c r="A13847" s="1">
        <v>4.0</v>
      </c>
      <c r="B13847" s="1" t="s">
        <v>13615</v>
      </c>
      <c r="C13847" t="str">
        <f>IFERROR(__xludf.DUMMYFUNCTION("GOOGLETRANSLATE(B13847, ""fr"", ""en"")"),"If you missed the original pairing between the two atria When commissioning the two atria were not interconnected probably because I turned too fast connection to the phone, so, even by connecting each ear the phone, it receives the sound of the left atri"&amp;"um! To start from 0 ... there 's no site Yobola, so system D to reset: turn off the 2 atria and dissociate on the telephone / connection (s) T2 blutooth, then on each headset Building very long buttons (10 to 20 seconds) and listening to the messages, the"&amp;"re is a message that must indicate that the two atria are connected together, only then do a bluetooth search from the phone and associate ago T2 is one to be displayed (that is, binding of the left atrium) ... if two T2 that occur is that the association"&amp;" of the atria them has therefore missed ... again! To avoid this, do not connect to the phone before the two atria are not associated with each other.")</f>
        <v>If you missed the original pairing between the two atria When commissioning the two atria were not interconnected probably because I turned too fast connection to the phone, so, even by connecting each ear the phone, it receives the sound of the left atrium! To start from 0 ... there 's no site Yobola, so system D to reset: turn off the 2 atria and dissociate on the telephone / connection (s) T2 blutooth, then on each headset Building very long buttons (10 to 20 seconds) and listening to the messages, there is a message that must indicate that the two atria are connected together, only then do a bluetooth search from the phone and associate ago T2 is one to be displayed (that is, binding of the left atrium) ... if two T2 that occur is that the association of the atria them has therefore missed ... again! To avoid this, do not connect to the phone before the two atria are not associated with each other.</v>
      </c>
    </row>
    <row r="13848">
      <c r="A13848" s="1">
        <v>4.0</v>
      </c>
      <c r="B13848" s="1" t="s">
        <v>1547</v>
      </c>
      <c r="C13848" t="str">
        <f>IFERROR(__xludf.DUMMYFUNCTION("GOOGLETRANSLATE(B13848, ""fr"", ""en"")"),"Ras Ras")</f>
        <v>Ras Ras</v>
      </c>
    </row>
    <row r="13849">
      <c r="A13849" s="1">
        <v>4.0</v>
      </c>
      <c r="B13849" s="1" t="s">
        <v>13616</v>
      </c>
      <c r="C13849" t="str">
        <f>IFERROR(__xludf.DUMMYFUNCTION("GOOGLETRANSLATE(B13849, ""fr"", ""en"")"),"Bag Manufacturing of good quality, very good value for money.")</f>
        <v>Bag Manufacturing of good quality, very good value for money.</v>
      </c>
    </row>
    <row r="13850">
      <c r="A13850" s="1">
        <v>5.0</v>
      </c>
      <c r="B13850" s="1" t="s">
        <v>13617</v>
      </c>
      <c r="C13850" t="str">
        <f>IFERROR(__xludf.DUMMYFUNCTION("GOOGLETRANSLATE(B13850, ""fr"", ""en"")"),"ESSENTIAL! I bought this for my partner, I received the package in 3 days and I'm delighted with my purchase and my companion too! He completed his task perfectly! very efficient and very relaxing! and very easy to use! I highly recommend! In addition to "&amp;"its super attractive price it quickly becomes indispensable! Moreover, after testing .. I bought me another one for me!")</f>
        <v>ESSENTIAL! I bought this for my partner, I received the package in 3 days and I'm delighted with my purchase and my companion too! He completed his task perfectly! very efficient and very relaxing! and very easy to use! I highly recommend! In addition to its super attractive price it quickly becomes indispensable! Moreover, after testing .. I bought me another one for me!</v>
      </c>
    </row>
    <row r="13851">
      <c r="A13851" s="1">
        <v>5.0</v>
      </c>
      <c r="B13851" s="1" t="s">
        <v>13618</v>
      </c>
      <c r="C13851" t="str">
        <f>IFERROR(__xludf.DUMMYFUNCTION("GOOGLETRANSLATE(B13851, ""fr"", ""en"")"),"Timeless Little squeak but saw the plastic used, this is not surprising. pretty")</f>
        <v>Timeless Little squeak but saw the plastic used, this is not surprising. pretty</v>
      </c>
    </row>
    <row r="13852">
      <c r="A13852" s="1">
        <v>5.0</v>
      </c>
      <c r="B13852" s="1" t="s">
        <v>13619</v>
      </c>
      <c r="C13852" t="str">
        <f>IFERROR(__xludf.DUMMYFUNCTION("GOOGLETRANSLATE(B13852, ""fr"", ""en"")"),"basquets very good quality, they are beautiful, I recommend you, next guests will not be disappointed, the adidas brand is a good brand known")</f>
        <v>basquets very good quality, they are beautiful, I recommend you, next guests will not be disappointed, the adidas brand is a good brand known</v>
      </c>
    </row>
    <row r="13853">
      <c r="A13853" s="1">
        <v>5.0</v>
      </c>
      <c r="B13853" s="1" t="s">
        <v>13620</v>
      </c>
      <c r="C13853" t="str">
        <f>IFERROR(__xludf.DUMMYFUNCTION("GOOGLETRANSLATE(B13853, ""fr"", ""en"")"),"A good gift idea fits quite, beautiful bracelet!")</f>
        <v>A good gift idea fits quite, beautiful bracelet!</v>
      </c>
    </row>
    <row r="13854">
      <c r="A13854" s="1">
        <v>5.0</v>
      </c>
      <c r="B13854" s="1" t="s">
        <v>13621</v>
      </c>
      <c r="C13854" t="str">
        <f>IFERROR(__xludf.DUMMYFUNCTION("GOOGLETRANSLATE(B13854, ""fr"", ""en"")"),"Watch casio Perfect")</f>
        <v>Watch casio Perfect</v>
      </c>
    </row>
    <row r="13855">
      <c r="A13855" s="1">
        <v>5.0</v>
      </c>
      <c r="B13855" s="1" t="s">
        <v>13622</v>
      </c>
      <c r="C13855" t="str">
        <f>IFERROR(__xludf.DUMMYFUNCTION("GOOGLETRANSLATE(B13855, ""fr"", ""en"")"),"Very comfortable to wear every day")</f>
        <v>Very comfortable to wear every day</v>
      </c>
    </row>
    <row r="13856">
      <c r="A13856" s="1">
        <v>5.0</v>
      </c>
      <c r="B13856" s="1" t="s">
        <v>13623</v>
      </c>
      <c r="C13856" t="str">
        <f>IFERROR(__xludf.DUMMYFUNCTION("GOOGLETRANSLATE(B13856, ""fr"", ""en"")"),"Top Love love love received just beautiful she dresses wrist c I'm a fan far from fragile, especially good quality thank you to the seller")</f>
        <v>Top Love love love received just beautiful she dresses wrist c I'm a fan far from fragile, especially good quality thank you to the seller</v>
      </c>
    </row>
    <row r="13857">
      <c r="A13857" s="1">
        <v>5.0</v>
      </c>
      <c r="B13857" s="1" t="s">
        <v>13624</v>
      </c>
      <c r="C13857" t="str">
        <f>IFERROR(__xludf.DUMMYFUNCTION("GOOGLETRANSLATE(B13857, ""fr"", ""en"")"),"Too comfortable Claquette is solid")</f>
        <v>Too comfortable Claquette is solid</v>
      </c>
    </row>
    <row r="13858">
      <c r="A13858" s="1">
        <v>5.0</v>
      </c>
      <c r="B13858" s="1" t="s">
        <v>13625</v>
      </c>
      <c r="C13858" t="str">
        <f>IFERROR(__xludf.DUMMYFUNCTION("GOOGLETRANSLATE(B13858, ""fr"", ""en"")"),"Cheap and authentic Jeans Jeans Levis, nothing to say. true")</f>
        <v>Cheap and authentic Jeans Jeans Levis, nothing to say. true</v>
      </c>
    </row>
    <row r="13859">
      <c r="A13859" s="1">
        <v>5.0</v>
      </c>
      <c r="B13859" s="1" t="s">
        <v>13626</v>
      </c>
      <c r="C13859" t="str">
        <f>IFERROR(__xludf.DUMMYFUNCTION("GOOGLETRANSLATE(B13859, ""fr"", ""en"")"),"Perfect end sweater or shirt has long sleeves. It is really pretty mild. It is a long sweater with pockets. Easy to clean. Sent on time")</f>
        <v>Perfect end sweater or shirt has long sleeves. It is really pretty mild. It is a long sweater with pockets. Easy to clean. Sent on time</v>
      </c>
    </row>
    <row r="13860">
      <c r="A13860" s="1">
        <v>5.0</v>
      </c>
      <c r="B13860" s="1" t="s">
        <v>13627</v>
      </c>
      <c r="C13860" t="str">
        <f>IFERROR(__xludf.DUMMYFUNCTION("GOOGLETRANSLATE(B13860, ""fr"", ""en"")"),"Good product. Set of two bottles of 340 ml attractive design. In addition, the ergonomic shape allows a good grip by both parents by baby and easier cleaning. silicone teats are flexible and not damaged by the use. Good product.")</f>
        <v>Good product. Set of two bottles of 340 ml attractive design. In addition, the ergonomic shape allows a good grip by both parents by baby and easier cleaning. silicone teats are flexible and not damaged by the use. Good product.</v>
      </c>
    </row>
    <row r="13861">
      <c r="A13861" s="1">
        <v>5.0</v>
      </c>
      <c r="B13861" s="1" t="s">
        <v>13628</v>
      </c>
      <c r="C13861" t="str">
        <f>IFERROR(__xludf.DUMMYFUNCTION("GOOGLETRANSLATE(B13861, ""fr"", ""en"")"),"Effectively reduces puffiness and eyes. Fret not. Acts on dark circles. Beautiful eyes rested")</f>
        <v>Effectively reduces puffiness and eyes. Fret not. Acts on dark circles. Beautiful eyes rested</v>
      </c>
    </row>
    <row r="13862">
      <c r="A13862" s="1">
        <v>5.0</v>
      </c>
      <c r="B13862" s="1" t="s">
        <v>13629</v>
      </c>
      <c r="C13862" t="str">
        <f>IFERROR(__xludf.DUMMYFUNCTION("GOOGLETRANSLATE(B13862, ""fr"", ""en"")"),"Good quality Satisfied with my purchase. Not too plastic. Unlike other comments we do not risk too much to burn either even if the paroies can be very hot. The temperature setting is very convenient.")</f>
        <v>Good quality Satisfied with my purchase. Not too plastic. Unlike other comments we do not risk too much to burn either even if the paroies can be very hot. The temperature setting is very convenient.</v>
      </c>
    </row>
    <row r="13863">
      <c r="A13863" s="1">
        <v>5.0</v>
      </c>
      <c r="B13863" s="1" t="s">
        <v>13630</v>
      </c>
      <c r="C13863" t="str">
        <f>IFERROR(__xludf.DUMMYFUNCTION("GOOGLETRANSLATE(B13863, ""fr"", ""en"")"),"MAGNIFICENT ! Size correctly, soles a bit hard as Converse + but does not hurt the feet! This is my first purchase of Superga and I am very satisfied. Color extra for beautiful days !!!!")</f>
        <v>MAGNIFICENT ! Size correctly, soles a bit hard as Converse + but does not hurt the feet! This is my first purchase of Superga and I am very satisfied. Color extra for beautiful days !!!!</v>
      </c>
    </row>
    <row r="13864">
      <c r="A13864" s="1">
        <v>5.0</v>
      </c>
      <c r="B13864" s="1" t="s">
        <v>13631</v>
      </c>
      <c r="C13864" t="str">
        <f>IFERROR(__xludf.DUMMYFUNCTION("GOOGLETRANSLATE(B13864, ""fr"", ""en"")"),"The robustness and the brand has put Rapid sewing problem")</f>
        <v>The robustness and the brand has put Rapid sewing problem</v>
      </c>
    </row>
    <row r="13865">
      <c r="A13865" s="1">
        <v>2.0</v>
      </c>
      <c r="B13865" s="1" t="s">
        <v>13632</v>
      </c>
      <c r="C13865" t="str">
        <f>IFERROR(__xludf.DUMMYFUNCTION("GOOGLETRANSLATE(B13865, ""fr"", ""en"")"),"not tight for the price not great because it is certainly not tight even under the tap to wash hands and manual do not talk")</f>
        <v>not tight for the price not great because it is certainly not tight even under the tap to wash hands and manual do not talk</v>
      </c>
    </row>
    <row r="13866">
      <c r="A13866" s="1">
        <v>1.0</v>
      </c>
      <c r="B13866" s="1" t="s">
        <v>13633</v>
      </c>
      <c r="C13866" t="str">
        <f>IFERROR(__xludf.DUMMYFUNCTION("GOOGLETRANSLATE(B13866, ""fr"", ""en"")"),"To avoid not install the software on the smartphone or pc. Several references to e-commerce sites. To avoid")</f>
        <v>To avoid not install the software on the smartphone or pc. Several references to e-commerce sites. To avoid</v>
      </c>
    </row>
    <row r="13867">
      <c r="A13867" s="1">
        <v>1.0</v>
      </c>
      <c r="B13867" s="1" t="s">
        <v>13634</v>
      </c>
      <c r="C13867" t="str">
        <f>IFERROR(__xludf.DUMMYFUNCTION("GOOGLETRANSLATE(B13867, ""fr"", ""en"")"),"Too expensive and no Immetable he slips me up and I have a paralysis of the feet due to compression of the sciatic nerve Cdt Mr LEONETTI")</f>
        <v>Too expensive and no Immetable he slips me up and I have a paralysis of the feet due to compression of the sciatic nerve Cdt Mr LEONETTI</v>
      </c>
    </row>
    <row r="13868">
      <c r="A13868" s="1">
        <v>3.0</v>
      </c>
      <c r="B13868" s="1" t="s">
        <v>13635</v>
      </c>
      <c r="C13868" t="str">
        <f>IFERROR(__xludf.DUMMYFUNCTION("GOOGLETRANSLATE(B13868, ""fr"", ""en"")"),"Bauf Pretty but great size and I not see the attachments as mediocre")</f>
        <v>Bauf Pretty but great size and I not see the attachments as mediocre</v>
      </c>
    </row>
    <row r="13869">
      <c r="A13869" s="1">
        <v>3.0</v>
      </c>
      <c r="B13869" s="1" t="s">
        <v>13636</v>
      </c>
      <c r="C13869" t="str">
        <f>IFERROR(__xludf.DUMMYFUNCTION("GOOGLETRANSLATE(B13869, ""fr"", ""en"")"),"Good but very pretty box with beautiful color gradients. Alas has mine arrived with a fully depressed corner, I have been able to recover as well as possible and pencils were not damaged but off3c'est missed ...")</f>
        <v>Good but very pretty box with beautiful color gradients. Alas has mine arrived with a fully depressed corner, I have been able to recover as well as possible and pencils were not damaged but off3c'est missed ...</v>
      </c>
    </row>
    <row r="13870">
      <c r="A13870" s="1">
        <v>4.0</v>
      </c>
      <c r="B13870" s="1" t="s">
        <v>13637</v>
      </c>
      <c r="C13870" t="str">
        <f>IFERROR(__xludf.DUMMYFUNCTION("GOOGLETRANSLATE(B13870, ""fr"", ""en"")"),"On top Very comfortable to wear. I use when I play tennis and is bluffing. +++ perspiration absorbed by the privateer thus not ""drip"" for sport. I recommend. Level size take its usual size")</f>
        <v>On top Very comfortable to wear. I use when I play tennis and is bluffing. +++ perspiration absorbed by the privateer thus not "drip" for sport. I recommend. Level size take its usual size</v>
      </c>
    </row>
    <row r="13871">
      <c r="A13871" s="1">
        <v>4.0</v>
      </c>
      <c r="B13871" s="1" t="s">
        <v>13638</v>
      </c>
      <c r="C13871" t="str">
        <f>IFERROR(__xludf.DUMMYFUNCTION("GOOGLETRANSLATE(B13871, ""fr"", ""en"")"),"Good idea I have yet to try my son but the idea is very good and the product looks for quality, no chemical smell")</f>
        <v>Good idea I have yet to try my son but the idea is very good and the product looks for quality, no chemical smell</v>
      </c>
    </row>
    <row r="13872">
      <c r="A13872" s="1">
        <v>4.0</v>
      </c>
      <c r="B13872" s="1" t="s">
        <v>13639</v>
      </c>
      <c r="C13872" t="str">
        <f>IFERROR(__xludf.DUMMYFUNCTION("GOOGLETRANSLATE(B13872, ""fr"", ""en"")"),"Convenient. single drainer clean, sterilize and assemble. Design sober, ""go anywhere"" in a kitchen, less childlike appearance than its competitors. It allows indeed accommodate 8 bottles (Mam brand for me). Only downside: the stability of the rack. The "&amp;"part with ""branches"" based simply on the water container, it does not engage, result this part sways slightly to one side then the other without falling but certainly a fixing system with a single click would have been wise. I confirmed what previous bu"&amp;"yers, it is larger than it appears in photographs, although logic for its ability to accommodate 8 bottles. However its rectangular shape allows to slide easily into a corner of the kitchen. EDIT: I found that the instability was temporary. It occurs dire"&amp;"ctly and only after sterilization of the rack. I guess the heat expands the plastic, once again become exhausted and cold plastic, stability has returned.")</f>
        <v>Convenient. single drainer clean, sterilize and assemble. Design sober, "go anywhere" in a kitchen, less childlike appearance than its competitors. It allows indeed accommodate 8 bottles (Mam brand for me). Only downside: the stability of the rack. The part with "branches" based simply on the water container, it does not engage, result this part sways slightly to one side then the other without falling but certainly a fixing system with a single click would have been wise. I confirmed what previous buyers, it is larger than it appears in photographs, although logic for its ability to accommodate 8 bottles. However its rectangular shape allows to slide easily into a corner of the kitchen. EDIT: I found that the instability was temporary. It occurs directly and only after sterilization of the rack. I guess the heat expands the plastic, once again become exhausted and cold plastic, stability has returned.</v>
      </c>
    </row>
    <row r="13873">
      <c r="A13873" s="1">
        <v>4.0</v>
      </c>
      <c r="B13873" s="1" t="s">
        <v>13640</v>
      </c>
      <c r="C13873" t="str">
        <f>IFERROR(__xludf.DUMMYFUNCTION("GOOGLETRANSLATE(B13873, ""fr"", ""en"")"),"Good Kit Good presentation of products in this kit and overall quality of the different elements, good for a gift or even for yourself.")</f>
        <v>Good Kit Good presentation of products in this kit and overall quality of the different elements, good for a gift or even for yourself.</v>
      </c>
    </row>
    <row r="13874">
      <c r="A13874" s="1">
        <v>5.0</v>
      </c>
      <c r="B13874" s="1" t="s">
        <v>13641</v>
      </c>
      <c r="C13874" t="str">
        <f>IFERROR(__xludf.DUMMYFUNCTION("GOOGLETRANSLATE(B13874, ""fr"", ""en"")"),"what more? no complaints very well protected in its packaging, the color and the exact size is why I discovered Amazon only for some months? Congratulations and thank you deeply the Christmas shopping")</f>
        <v>what more? no complaints very well protected in its packaging, the color and the exact size is why I discovered Amazon only for some months? Congratulations and thank you deeply the Christmas shopping</v>
      </c>
    </row>
    <row r="13875">
      <c r="A13875" s="1">
        <v>5.0</v>
      </c>
      <c r="B13875" s="1" t="s">
        <v>13642</v>
      </c>
      <c r="C13875" t="str">
        <f>IFERROR(__xludf.DUMMYFUNCTION("GOOGLETRANSLATE(B13875, ""fr"", ""en"")"),"Perfect I'm not disappointed, it's like I saw the quality of the pair, no regrets!")</f>
        <v>Perfect I'm not disappointed, it's like I saw the quality of the pair, no regrets!</v>
      </c>
    </row>
    <row r="13876">
      <c r="A13876" s="1">
        <v>5.0</v>
      </c>
      <c r="B13876" s="1" t="s">
        <v>13643</v>
      </c>
      <c r="C13876" t="str">
        <f>IFERROR(__xludf.DUMMYFUNCTION("GOOGLETRANSLATE(B13876, ""fr"", ""en"")"),"Great deal ! Meets the photo, foot market was quickly adopted by my son. It does not slip on the floor. Safety tested and validated!")</f>
        <v>Great deal ! Meets the photo, foot market was quickly adopted by my son. It does not slip on the floor. Safety tested and validated!</v>
      </c>
    </row>
    <row r="13877">
      <c r="A13877" s="1">
        <v>5.0</v>
      </c>
      <c r="B13877" s="1" t="s">
        <v>13644</v>
      </c>
      <c r="C13877" t="str">
        <f>IFERROR(__xludf.DUMMYFUNCTION("GOOGLETRANSLATE(B13877, ""fr"", ""en"")"),"Bracelet Beautiful and good quality")</f>
        <v>Bracelet Beautiful and good quality</v>
      </c>
    </row>
    <row r="13878">
      <c r="A13878" s="1">
        <v>5.0</v>
      </c>
      <c r="B13878" s="1" t="s">
        <v>13645</v>
      </c>
      <c r="C13878" t="str">
        <f>IFERROR(__xludf.DUMMYFUNCTION("GOOGLETRANSLATE(B13878, ""fr"", ""en"")"),"Okay Conforms to the description, it's really his job, shield which fits very well on the phone ... I recommend")</f>
        <v>Okay Conforms to the description, it's really his job, shield which fits very well on the phone ... I recommend</v>
      </c>
    </row>
    <row r="13879">
      <c r="A13879" s="1">
        <v>5.0</v>
      </c>
      <c r="B13879" s="1" t="s">
        <v>13646</v>
      </c>
      <c r="C13879" t="str">
        <f>IFERROR(__xludf.DUMMYFUNCTION("GOOGLETRANSLATE(B13879, ""fr"", ""en"")"),"The mythology of the reach of children Reading text twin daughters aged 7 years. An episode every night. They love.")</f>
        <v>The mythology of the reach of children Reading text twin daughters aged 7 years. An episode every night. They love.</v>
      </c>
    </row>
    <row r="13880">
      <c r="A13880" s="1">
        <v>5.0</v>
      </c>
      <c r="B13880" s="1" t="s">
        <v>13647</v>
      </c>
      <c r="C13880" t="str">
        <f>IFERROR(__xludf.DUMMYFUNCTION("GOOGLETRANSLATE(B13880, ""fr"", ""en"")"),"Although 👍🏻 resistant and super. I recommend 👍🏻")</f>
        <v>Although 👍🏻 resistant and super. I recommend 👍🏻</v>
      </c>
    </row>
    <row r="13881">
      <c r="A13881" s="1">
        <v>5.0</v>
      </c>
      <c r="B13881" s="1" t="s">
        <v>13648</v>
      </c>
      <c r="C13881" t="str">
        <f>IFERROR(__xludf.DUMMYFUNCTION("GOOGLETRANSLATE(B13881, ""fr"", ""en"")"),"Good Good drainer drainer bottle after almost 2 months of use it is still standing. Convenient because several store from top to bottom")</f>
        <v>Good Good drainer drainer bottle after almost 2 months of use it is still standing. Convenient because several store from top to bottom</v>
      </c>
    </row>
    <row r="13882">
      <c r="A13882" s="1">
        <v>5.0</v>
      </c>
      <c r="B13882" s="1" t="s">
        <v>224</v>
      </c>
      <c r="C13882" t="str">
        <f>IFERROR(__xludf.DUMMYFUNCTION("GOOGLETRANSLATE(B13882, ""fr"", ""en"")"),"perfect perfect")</f>
        <v>perfect perfect</v>
      </c>
    </row>
    <row r="13883">
      <c r="A13883" s="1">
        <v>5.0</v>
      </c>
      <c r="B13883" s="1" t="s">
        <v>13649</v>
      </c>
      <c r="C13883" t="str">
        <f>IFERROR(__xludf.DUMMYFUNCTION("GOOGLETRANSLATE(B13883, ""fr"", ""en"")"),"Adidas Originals Superstar I am much pleased with this purchase. The product ordered is the one that was delivered. And, the buyer was very nice and quick in delivery. What m ""touched a bit is the fact that for a purchase over 89 euros, delivery is not f"&amp;"ree.")</f>
        <v>Adidas Originals Superstar I am much pleased with this purchase. The product ordered is the one that was delivered. And, the buyer was very nice and quick in delivery. What m "touched a bit is the fact that for a purchase over 89 euros, delivery is not free.</v>
      </c>
    </row>
    <row r="13884">
      <c r="A13884" s="1">
        <v>5.0</v>
      </c>
      <c r="B13884" s="1" t="s">
        <v>13650</v>
      </c>
      <c r="C13884" t="str">
        <f>IFERROR(__xludf.DUMMYFUNCTION("GOOGLETRANSLATE(B13884, ""fr"", ""en"")"),"Great headphones * / **% #% ¥ ¥ I bought to replace a stolen pair. I debated on brands and types, and they stood out. Like the casing as it does not open easily in my bag and let me look the atria to the bottom of my purse. The battery life is great and t"&amp;"he sound is phenomenal! They were simple to install with my iPhone and I listened in no time! I'll buy another pair for a gift exchange ... !!")</f>
        <v>Great headphones * / **% #% ¥ ¥ I bought to replace a stolen pair. I debated on brands and types, and they stood out. Like the casing as it does not open easily in my bag and let me look the atria to the bottom of my purse. The battery life is great and the sound is phenomenal! They were simple to install with my iPhone and I listened in no time! I'll buy another pair for a gift exchange ... !!</v>
      </c>
    </row>
    <row r="13885">
      <c r="A13885" s="1">
        <v>5.0</v>
      </c>
      <c r="B13885" s="1" t="s">
        <v>13651</v>
      </c>
      <c r="C13885" t="str">
        <f>IFERROR(__xludf.DUMMYFUNCTION("GOOGLETRANSLATE(B13885, ""fr"", ""en"")"),"HE essential oil I use in complement with musk rose oil. Perfect for keloid scars. Very well. To try")</f>
        <v>HE essential oil I use in complement with musk rose oil. Perfect for keloid scars. Very well. To try</v>
      </c>
    </row>
    <row r="13886">
      <c r="A13886" s="1">
        <v>5.0</v>
      </c>
      <c r="B13886" s="1" t="s">
        <v>13652</v>
      </c>
      <c r="C13886" t="str">
        <f>IFERROR(__xludf.DUMMYFUNCTION("GOOGLETRANSLATE(B13886, ""fr"", ""en"")"),"They are too black Timberland goods, comfortable, they do a very nice look. One has the impression of being in slippers. Great")</f>
        <v>They are too black Timberland goods, comfortable, they do a very nice look. One has the impression of being in slippers. Great</v>
      </c>
    </row>
    <row r="13887">
      <c r="A13887" s="1">
        <v>5.0</v>
      </c>
      <c r="B13887" s="1" t="s">
        <v>13653</v>
      </c>
      <c r="C13887" t="str">
        <f>IFERROR(__xludf.DUMMYFUNCTION("GOOGLETRANSLATE(B13887, ""fr"", ""en"")"),"Tip Top quality puma the Amazon price. Look no further. I tried the version Low cost ca is useless, take the one ..")</f>
        <v>Tip Top quality puma the Amazon price. Look no further. I tried the version Low cost ca is useless, take the one ..</v>
      </c>
    </row>
    <row r="13888">
      <c r="A13888" s="1">
        <v>5.0</v>
      </c>
      <c r="B13888" s="1" t="s">
        <v>13654</v>
      </c>
      <c r="C13888" t="str">
        <f>IFERROR(__xludf.DUMMYFUNCTION("GOOGLETRANSLATE(B13888, ""fr"", ""en"")"),"Great deal A nice product suitable for my size, I ordered 34, I'll test wash, hoping it stays the same. Delivery was fast, very happy.")</f>
        <v>Great deal A nice product suitable for my size, I ordered 34, I'll test wash, hoping it stays the same. Delivery was fast, very happy.</v>
      </c>
    </row>
    <row r="13889">
      <c r="A13889" s="1">
        <v>2.0</v>
      </c>
      <c r="B13889" s="1" t="s">
        <v>13655</v>
      </c>
      <c r="C13889" t="str">
        <f>IFERROR(__xludf.DUMMYFUNCTION("GOOGLETRANSLATE(B13889, ""fr"", ""en"")"),"transport problem is to get the product half empty")</f>
        <v>transport problem is to get the product half empty</v>
      </c>
    </row>
    <row r="13890">
      <c r="A13890" s="1">
        <v>1.0</v>
      </c>
      <c r="B13890" s="1" t="s">
        <v>13656</v>
      </c>
      <c r="C13890" t="str">
        <f>IFERROR(__xludf.DUMMYFUNCTION("GOOGLETRANSLATE(B13890, ""fr"", ""en"")"),"DECEPTION I bought this watch on 13.11.2012 to offer for Christmas in My Gendre, Aujourd'h ui, I learn that this watch does not work anymore ..... The latter told me ... .. I immediately, responded watching my order = 2 year warranty ..... Why not specify"&amp;" that this watch has as quality: a lifetime; 2 years and 2 months? I AM very upset and feel ""cheated"" Madame Juliette Dupuy By visualizing my previous orders, it is easy to see that in my purchases, I do not target the ""low end"" Please take this into "&amp;"account,")</f>
        <v>DECEPTION I bought this watch on 13.11.2012 to offer for Christmas in My Gendre, Aujourd'h ui, I learn that this watch does not work anymore ..... The latter told me ... .. I immediately, responded watching my order = 2 year warranty ..... Why not specify that this watch has as quality: a lifetime; 2 years and 2 months? I AM very upset and feel "cheated" Madame Juliette Dupuy By visualizing my previous orders, it is easy to see that in my purchases, I do not target the "low end" Please take this into account,</v>
      </c>
    </row>
    <row r="13891">
      <c r="A13891" s="1">
        <v>1.0</v>
      </c>
      <c r="B13891" s="1" t="s">
        <v>13657</v>
      </c>
      <c r="C13891" t="str">
        <f>IFERROR(__xludf.DUMMYFUNCTION("GOOGLETRANSLATE(B13891, ""fr"", ""en"")"),"10 months and walking more ... Easy to use and clean, but running more after 10 months is not acceptable!")</f>
        <v>10 months and walking more ... Easy to use and clean, but running more after 10 months is not acceptable!</v>
      </c>
    </row>
    <row r="13892">
      <c r="A13892" s="1">
        <v>3.0</v>
      </c>
      <c r="B13892" s="1" t="s">
        <v>13658</v>
      </c>
      <c r="C13892" t="str">
        <f>IFERROR(__xludf.DUMMYFUNCTION("GOOGLETRANSLATE(B13892, ""fr"", ""en"")"),"great but fragile Very handy but unfortunately remains a fragile enough device letters tend to go awry and hence not properly embossed tape so you have to see to it that small ribs is aligned with the letters ...")</f>
        <v>great but fragile Very handy but unfortunately remains a fragile enough device letters tend to go awry and hence not properly embossed tape so you have to see to it that small ribs is aligned with the letters ...</v>
      </c>
    </row>
    <row r="13893">
      <c r="A13893" s="1">
        <v>3.0</v>
      </c>
      <c r="B13893" s="1" t="s">
        <v>13659</v>
      </c>
      <c r="C13893" t="str">
        <f>IFERROR(__xludf.DUMMYFUNCTION("GOOGLETRANSLATE(B13893, ""fr"", ""en"")"),"Size large and wide right product but wrong size for my taste.")</f>
        <v>Size large and wide right product but wrong size for my taste.</v>
      </c>
    </row>
    <row r="13894">
      <c r="A13894" s="1">
        <v>4.0</v>
      </c>
      <c r="B13894" s="1" t="s">
        <v>13660</v>
      </c>
      <c r="C13894" t="str">
        <f>IFERROR(__xludf.DUMMYFUNCTION("GOOGLETRANSLATE(B13894, ""fr"", ""en"")"),"This nourishing oil fragrance oil nourishes the skin very well. It is fragrance. It penetrates relatively quickly into the skin (so do not put too much if you are in a hurry to dress). His cap allows to dose easily enough quantity. I'm pretty happy with m"&amp;"y purchase.")</f>
        <v>This nourishing oil fragrance oil nourishes the skin very well. It is fragrance. It penetrates relatively quickly into the skin (so do not put too much if you are in a hurry to dress). His cap allows to dose easily enough quantity. I'm pretty happy with my purchase.</v>
      </c>
    </row>
    <row r="13895">
      <c r="A13895" s="1">
        <v>4.0</v>
      </c>
      <c r="B13895" s="1" t="s">
        <v>13661</v>
      </c>
      <c r="C13895" t="str">
        <f>IFERROR(__xludf.DUMMYFUNCTION("GOOGLETRANSLATE(B13895, ""fr"", ""en"")"),"TOP ! Very satisfied. The seams are beautifully finished, but nothing serious, and it is not seen. Color is like the model !! I advise")</f>
        <v>TOP ! Very satisfied. The seams are beautifully finished, but nothing serious, and it is not seen. Color is like the model !! I advise</v>
      </c>
    </row>
    <row r="13896">
      <c r="A13896" s="1">
        <v>4.0</v>
      </c>
      <c r="B13896" s="1" t="s">
        <v>13662</v>
      </c>
      <c r="C13896" t="str">
        <f>IFERROR(__xludf.DUMMYFUNCTION("GOOGLETRANSLATE(B13896, ""fr"", ""en"")"),"Beautiful, discreet Pretty and elegant Smaller than I thought (between 50 cent piece and the piece of 1 €")</f>
        <v>Beautiful, discreet Pretty and elegant Smaller than I thought (between 50 cent piece and the piece of 1 €</v>
      </c>
    </row>
    <row r="13897">
      <c r="A13897" s="1">
        <v>4.0</v>
      </c>
      <c r="B13897" s="1" t="s">
        <v>13663</v>
      </c>
      <c r="C13897" t="str">
        <f>IFERROR(__xludf.DUMMYFUNCTION("GOOGLETRANSLATE(B13897, ""fr"", ""en"")"),"Bemme quality I ordered this bag to give to my husband for Christmas. It is perfect, each presented in attractive pouch gift and I found nice to personalize the message accompanying the gift. As for the bag, it is super nice. Beautiful leather, nice shape"&amp;". she looks very functional air and the color matches my expectations and I am sure my husband will loved it!")</f>
        <v>Bemme quality I ordered this bag to give to my husband for Christmas. It is perfect, each presented in attractive pouch gift and I found nice to personalize the message accompanying the gift. As for the bag, it is super nice. Beautiful leather, nice shape. she looks very functional air and the color matches my expectations and I am sure my husband will loved it!</v>
      </c>
    </row>
    <row r="13898">
      <c r="A13898" s="1">
        <v>5.0</v>
      </c>
      <c r="B13898" s="1" t="s">
        <v>13664</v>
      </c>
      <c r="C13898" t="str">
        <f>IFERROR(__xludf.DUMMYFUNCTION("GOOGLETRANSLATE(B13898, ""fr"", ""en"")"),"Beautiful female bracelet Hello, I bought this bracelet to offer during the holidays of the year. It is very beautiful, very feminine with its delicacy and it's nice to wear. I am sure that my purchase will do much pleasure. I am glad")</f>
        <v>Beautiful female bracelet Hello, I bought this bracelet to offer during the holidays of the year. It is very beautiful, very feminine with its delicacy and it's nice to wear. I am sure that my purchase will do much pleasure. I am glad</v>
      </c>
    </row>
    <row r="13899">
      <c r="A13899" s="1">
        <v>5.0</v>
      </c>
      <c r="B13899" s="1" t="s">
        <v>13665</v>
      </c>
      <c r="C13899" t="str">
        <f>IFERROR(__xludf.DUMMYFUNCTION("GOOGLETRANSLATE(B13899, ""fr"", ""en"")"),"I highly recommend Wonderful luxurious book that I offer at Christmas to my little 7 year old son and a half Drawings and great comments I will recommend to other animals or to titles")</f>
        <v>I highly recommend Wonderful luxurious book that I offer at Christmas to my little 7 year old son and a half Drawings and great comments I will recommend to other animals or to titles</v>
      </c>
    </row>
    <row r="13900">
      <c r="A13900" s="1">
        <v>5.0</v>
      </c>
      <c r="B13900" s="1" t="s">
        <v>13666</v>
      </c>
      <c r="C13900" t="str">
        <f>IFERROR(__xludf.DUMMYFUNCTION("GOOGLETRANSLATE(B13900, ""fr"", ""en"")"),"Satisfied :-) Having lost my original headphones to my laptop, I decided to order the new, and there by chance I came across the headphone plug KLIM FUSION. I knew not the product but the product green color attracted my curiosity. I read the product list"&amp;"ing and I said ""yeah well it's weird"" and more 20 euros less that hiding something. I read the comments and surprised ur realize that 3/4 of the customers who bought them satisfied her, especially when we go back to the history of the first opinion as i"&amp;"t goes back even mid 2016 if not more. So in the end, I launch, I order and I ended up receiving them the next day. A nice box of metal with inside the headphones, spare tips, an adapter for the computer and a small storage pouch. I am surprised at all th"&amp;"at wooow I plug the headphones on my phone and woooow impeccable sound, good bass, and foams are super comfortable, I test my PS4 and PS Vita but my woooow The sound is worthy of a Gamer helmet, I'm blown away, it will become my default headset for all de"&amp;"vices. Also the microphone is of very good quality because it receives many sounds (tested on a karaoke mobile) Frankly I do not regret my purchase and frankly go there with eyes closed. I can put my other bulky helmet in the closet, this one will be my f"&amp;"avorite for a long time. KLIM thank you for this fabulous product.")</f>
        <v>Satisfied :-) Having lost my original headphones to my laptop, I decided to order the new, and there by chance I came across the headphone plug KLIM FUSION. I knew not the product but the product green color attracted my curiosity. I read the product listing and I said "yeah well it's weird" and more 20 euros less that hiding something. I read the comments and surprised ur realize that 3/4 of the customers who bought them satisfied her, especially when we go back to the history of the first opinion as it goes back even mid 2016 if not more. So in the end, I launch, I order and I ended up receiving them the next day. A nice box of metal with inside the headphones, spare tips, an adapter for the computer and a small storage pouch. I am surprised at all that wooow I plug the headphones on my phone and woooow impeccable sound, good bass, and foams are super comfortable, I test my PS4 and PS Vita but my woooow The sound is worthy of a Gamer helmet, I'm blown away, it will become my default headset for all devices. Also the microphone is of very good quality because it receives many sounds (tested on a karaoke mobile) Frankly I do not regret my purchase and frankly go there with eyes closed. I can put my other bulky helmet in the closet, this one will be my favorite for a long time. KLIM thank you for this fabulous product.</v>
      </c>
    </row>
    <row r="13901">
      <c r="A13901" s="1">
        <v>5.0</v>
      </c>
      <c r="B13901" s="1" t="s">
        <v>13667</v>
      </c>
      <c r="C13901" t="str">
        <f>IFERROR(__xludf.DUMMYFUNCTION("GOOGLETRANSLATE(B13901, ""fr"", ""en"")"),"Very happy with this beautiful cup with a length behind. Pretty dark Grus ideal for sports or leggings iu skinny jeans. Washes, refers without ironing! Top!")</f>
        <v>Very happy with this beautiful cup with a length behind. Pretty dark Grus ideal for sports or leggings iu skinny jeans. Washes, refers without ironing! Top!</v>
      </c>
    </row>
    <row r="13902">
      <c r="A13902" s="1">
        <v>5.0</v>
      </c>
      <c r="B13902" s="1" t="s">
        <v>13668</v>
      </c>
      <c r="C13902" t="str">
        <f>IFERROR(__xludf.DUMMYFUNCTION("GOOGLETRANSLATE(B13902, ""fr"", ""en"")"),"A manufacturer of forgetfulness The microphone works great and makes ""&amp; nbsp; the &amp; nbsp taff;"" for 29 € ... by cons I am disappointed not to have received in the box USB cord SUP! Pity !")</f>
        <v>A manufacturer of forgetfulness The microphone works great and makes "&amp; nbsp; the &amp; nbsp taff;" for 29 € ... by cons I am disappointed not to have received in the box USB cord SUP! Pity !</v>
      </c>
    </row>
    <row r="13903">
      <c r="A13903" s="1">
        <v>5.0</v>
      </c>
      <c r="B13903" s="1" t="s">
        <v>13669</v>
      </c>
      <c r="C13903" t="str">
        <f>IFERROR(__xludf.DUMMYFUNCTION("GOOGLETRANSLATE(B13903, ""fr"", ""en"")"),"perfect order for a birthday gift for a friend who control much at Amazon and therefore ideal gift received with great gift box which is suitable for the situation")</f>
        <v>perfect order for a birthday gift for a friend who control much at Amazon and therefore ideal gift received with great gift box which is suitable for the situation</v>
      </c>
    </row>
    <row r="13904">
      <c r="A13904" s="1">
        <v>5.0</v>
      </c>
      <c r="B13904" s="1" t="s">
        <v>13670</v>
      </c>
      <c r="C13904" t="str">
        <f>IFERROR(__xludf.DUMMYFUNCTION("GOOGLETRANSLATE(B13904, ""fr"", ""en"")"),"Beautiful leather goods for daily use A great value for money: beautiful finishes, aesthetic and robust fasteners. My son is delighted with his gift. I recommend this bag for men.")</f>
        <v>Beautiful leather goods for daily use A great value for money: beautiful finishes, aesthetic and robust fasteners. My son is delighted with his gift. I recommend this bag for men.</v>
      </c>
    </row>
    <row r="13905">
      <c r="A13905" s="1">
        <v>5.0</v>
      </c>
      <c r="B13905" s="1" t="s">
        <v>6483</v>
      </c>
      <c r="C13905" t="str">
        <f>IFERROR(__xludf.DUMMYFUNCTION("GOOGLETRANSLATE(B13905, ""fr"", ""en"")"),"nickel")</f>
        <v>nickel</v>
      </c>
    </row>
    <row r="13906">
      <c r="A13906" s="1">
        <v>5.0</v>
      </c>
      <c r="B13906" s="1" t="s">
        <v>13671</v>
      </c>
      <c r="C13906" t="str">
        <f>IFERROR(__xludf.DUMMYFUNCTION("GOOGLETRANSLATE(B13906, ""fr"", ""en"")"),"Very good Very good shoe and flexible")</f>
        <v>Very good Very good shoe and flexible</v>
      </c>
    </row>
    <row r="13907">
      <c r="A13907" s="1">
        <v>5.0</v>
      </c>
      <c r="B13907" s="1" t="s">
        <v>13672</v>
      </c>
      <c r="C13907" t="str">
        <f>IFERROR(__xludf.DUMMYFUNCTION("GOOGLETRANSLATE(B13907, ""fr"", ""en"")"),"Vans! 3 The size is good, neither too big nor too small, I advise you to take your usual size :) &amp; lt; 3 I recommend ~")</f>
        <v>Vans! 3 The size is good, neither too big nor too small, I advise you to take your usual size :) &amp; lt; 3 I recommend ~</v>
      </c>
    </row>
    <row r="13908">
      <c r="A13908" s="1">
        <v>5.0</v>
      </c>
      <c r="B13908" s="1" t="s">
        <v>13673</v>
      </c>
      <c r="C13908" t="str">
        <f>IFERROR(__xludf.DUMMYFUNCTION("GOOGLETRANSLATE(B13908, ""fr"", ""en"")"),"WELL I have received very fast well pack baskette are perfect with their bright blue color nickel on my foot")</f>
        <v>WELL I have received very fast well pack baskette are perfect with their bright blue color nickel on my foot</v>
      </c>
    </row>
    <row r="13909">
      <c r="A13909" s="1">
        <v>5.0</v>
      </c>
      <c r="B13909" s="1" t="s">
        <v>13674</v>
      </c>
      <c r="C13909" t="str">
        <f>IFERROR(__xludf.DUMMYFUNCTION("GOOGLETRANSLATE(B13909, ""fr"", ""en"")"),"Excellent value Used to watch TV without disturbing those around me, his very correct, very good connectivity within range ... only downsides ... The axis is not padded and discomfort. Radio inaudible but may be due to my rental")</f>
        <v>Excellent value Used to watch TV without disturbing those around me, his very correct, very good connectivity within range ... only downsides ... The axis is not padded and discomfort. Radio inaudible but may be due to my rental</v>
      </c>
    </row>
    <row r="13910">
      <c r="A13910" s="1">
        <v>5.0</v>
      </c>
      <c r="B13910" s="1" t="s">
        <v>13675</v>
      </c>
      <c r="C13910" t="str">
        <f>IFERROR(__xludf.DUMMYFUNCTION("GOOGLETRANSLATE(B13910, ""fr"", ""en"")"),"Top Good shoes for my teenager. Good quality and style to the appointment.")</f>
        <v>Top Good shoes for my teenager. Good quality and style to the appointment.</v>
      </c>
    </row>
    <row r="13911">
      <c r="A13911" s="1">
        <v>5.0</v>
      </c>
      <c r="B13911" s="1" t="s">
        <v>13676</v>
      </c>
      <c r="C13911" t="str">
        <f>IFERROR(__xludf.DUMMYFUNCTION("GOOGLETRANSLATE(B13911, ""fr"", ""en"")"),"A gift idea that we should think about !! Our little guy has just arrived and we already know that it is intolerant to cow's milk protein, fortunately the rice milk works beautifully ... With this test kit, it has been mostly testing the system "" anti-ai"&amp;"r &amp; nbsp; ""Tommee Tippee, the tip Easi-vent allows not accumulate milk and aids digestion. Result ... good digestion, more gas, less colic !! The glass is certainly heavier but we prefer to plastic. The set consists: 1 150 ml bottles with slow flow nippl"&amp;"e 2 260 ml bottles with slow flow teat Nipple 2 1 mean flow brush (for bottle and nipple) A pacifier 0-6 months The record indicates throughout dishwasher -Dishes and microwave except sytem anti colic bottles. Personally we love the brand and especially t"&amp;"he effectiveness of its system, our baby sleeps peacefully between bottles ... it eteit Not the case before !! We recommend that the painful nights and the tears are no longer a bad memory !! If this assessment could help you, Likez, it is always nice and"&amp;" if you had any questions, feel free to ask them, thank you.")</f>
        <v>A gift idea that we should think about !! Our little guy has just arrived and we already know that it is intolerant to cow's milk protein, fortunately the rice milk works beautifully ... With this test kit, it has been mostly testing the system " anti-air &amp; nbsp; "Tommee Tippee, the tip Easi-vent allows not accumulate milk and aids digestion. Result ... good digestion, more gas, less colic !! The glass is certainly heavier but we prefer to plastic. The set consists: 1 150 ml bottles with slow flow nipple 2 260 ml bottles with slow flow teat Nipple 2 1 mean flow brush (for bottle and nipple) A pacifier 0-6 months The record indicates throughout dishwasher -Dishes and microwave except sytem anti colic bottles. Personally we love the brand and especially the effectiveness of its system, our baby sleeps peacefully between bottles ... it eteit Not the case before !! We recommend that the painful nights and the tears are no longer a bad memory !! If this assessment could help you, Likez, it is always nice and if you had any questions, feel free to ask them, thank you.</v>
      </c>
    </row>
    <row r="13912">
      <c r="A13912" s="1">
        <v>5.0</v>
      </c>
      <c r="B13912" s="1" t="s">
        <v>13677</v>
      </c>
      <c r="C13912" t="str">
        <f>IFERROR(__xludf.DUMMYFUNCTION("GOOGLETRANSLATE(B13912, ""fr"", ""en"")"),"Easy to clean Tetine used by my 2 children. Easy to clean. fast and efficient service. As usual. 👍👍")</f>
        <v>Easy to clean Tetine used by my 2 children. Easy to clean. fast and efficient service. As usual. 👍👍</v>
      </c>
    </row>
    <row r="13913">
      <c r="A13913" s="1">
        <v>2.0</v>
      </c>
      <c r="B13913" s="1" t="s">
        <v>13678</v>
      </c>
      <c r="C13913" t="str">
        <f>IFERROR(__xludf.DUMMYFUNCTION("GOOGLETRANSLATE(B13913, ""fr"", ""en"")"),"Maintaining zero Sports Bra which nothing while maintaining the product is for large sizes. I make a 105F and the fabric is too thin to hold generous breasts!")</f>
        <v>Maintaining zero Sports Bra which nothing while maintaining the product is for large sizes. I make a 105F and the fabric is too thin to hold generous breasts!</v>
      </c>
    </row>
    <row r="13914">
      <c r="A13914" s="1">
        <v>1.0</v>
      </c>
      <c r="B13914" s="1" t="s">
        <v>13679</v>
      </c>
      <c r="C13914" t="str">
        <f>IFERROR(__xludf.DUMMYFUNCTION("GOOGLETRANSLATE(B13914, ""fr"", ""en"")"),"For a hygienic product that leaves a lot of traces ... This product consists of 4 mini balls that are trapped in a plastic container, the cleaner is placed between the bowl and lid and when we flushed it must disinfect and give a bluish color to the water"&amp;". In reality, no matter how I place the product, it leaves traces of the dye and glitter in the bowl well on this hand whenever there is water, but in the end it's not really clean ... (the photo was taken several minutes after the end of the hunting ...)"&amp;".")</f>
        <v>For a hygienic product that leaves a lot of traces ... This product consists of 4 mini balls that are trapped in a plastic container, the cleaner is placed between the bowl and lid and when we flushed it must disinfect and give a bluish color to the water. In reality, no matter how I place the product, it leaves traces of the dye and glitter in the bowl well on this hand whenever there is water, but in the end it's not really clean ... (the photo was taken several minutes after the end of the hunting ...).</v>
      </c>
    </row>
    <row r="13915">
      <c r="A13915" s="1">
        <v>1.0</v>
      </c>
      <c r="B13915" s="1" t="s">
        <v>13680</v>
      </c>
      <c r="C13915" t="str">
        <f>IFERROR(__xludf.DUMMYFUNCTION("GOOGLETRANSLATE(B13915, ""fr"", ""en"")"),"Very disappointed it no longer works after two use the sail stops when it touches the skin I am very disappointed")</f>
        <v>Very disappointed it no longer works after two use the sail stops when it touches the skin I am very disappointed</v>
      </c>
    </row>
    <row r="13916">
      <c r="A13916" s="1">
        <v>3.0</v>
      </c>
      <c r="B13916" s="1" t="s">
        <v>13681</v>
      </c>
      <c r="C13916" t="str">
        <f>IFERROR(__xludf.DUMMYFUNCTION("GOOGLETRANSLATE(B13916, ""fr"", ""en"")"),"Chausson fencing Good quality but small size")</f>
        <v>Chausson fencing Good quality but small size</v>
      </c>
    </row>
    <row r="13917">
      <c r="A13917" s="1">
        <v>4.0</v>
      </c>
      <c r="B13917" s="1" t="s">
        <v>13682</v>
      </c>
      <c r="C13917" t="str">
        <f>IFERROR(__xludf.DUMMYFUNCTION("GOOGLETRANSLATE(B13917, ""fr"", ""en"")"),"navy blue zip rain jacket with hood M T. I am very happy for this nice product focused and good size plus the lining is soft and does not stick to the skin A good buy .... I have ordered a one for a friend.")</f>
        <v>navy blue zip rain jacket with hood M T. I am very happy for this nice product focused and good size plus the lining is soft and does not stick to the skin A good buy .... I have ordered a one for a friend.</v>
      </c>
    </row>
    <row r="13918">
      <c r="A13918" s="1">
        <v>4.0</v>
      </c>
      <c r="B13918" s="1" t="s">
        <v>13683</v>
      </c>
      <c r="C13918" t="str">
        <f>IFERROR(__xludf.DUMMYFUNCTION("GOOGLETRANSLATE(B13918, ""fr"", ""en"")"),"Impecable, to see time Parcels received quickly and well packaged! After unpacking, I found it was a little chip! But once installed it holds pretty well, I hope it will remain like that for a long time! Anyway it's great practice to put a PC on the couch"&amp;" or the bed without having to bear the weight. For cons, I found the tablet to unnecessary mouse, in any case it is not ergonomic. I have not tested the coup because it is male positioned to me, but I think it's only for one-time use.")</f>
        <v>Impecable, to see time Parcels received quickly and well packaged! After unpacking, I found it was a little chip! But once installed it holds pretty well, I hope it will remain like that for a long time! Anyway it's great practice to put a PC on the couch or the bed without having to bear the weight. For cons, I found the tablet to unnecessary mouse, in any case it is not ergonomic. I have not tested the coup because it is male positioned to me, but I think it's only for one-time use.</v>
      </c>
    </row>
    <row r="13919">
      <c r="A13919" s="1">
        <v>4.0</v>
      </c>
      <c r="B13919" s="1" t="s">
        <v>13684</v>
      </c>
      <c r="C13919" t="str">
        <f>IFERROR(__xludf.DUMMYFUNCTION("GOOGLETRANSLATE(B13919, ""fr"", ""en"")"),"does not remove wind noise. The cable length allows to move away from smartphone to comment on what records but there is no big difference with what one saves smartphone.")</f>
        <v>does not remove wind noise. The cable length allows to move away from smartphone to comment on what records but there is no big difference with what one saves smartphone.</v>
      </c>
    </row>
    <row r="13920">
      <c r="A13920" s="1">
        <v>4.0</v>
      </c>
      <c r="B13920" s="1" t="s">
        <v>1261</v>
      </c>
      <c r="C13920" t="str">
        <f>IFERROR(__xludf.DUMMYFUNCTION("GOOGLETRANSLATE(B13920, ""fr"", ""en"")"),"good good")</f>
        <v>good good</v>
      </c>
    </row>
    <row r="13921">
      <c r="A13921" s="1">
        <v>5.0</v>
      </c>
      <c r="B13921" s="1" t="s">
        <v>13685</v>
      </c>
      <c r="C13921" t="str">
        <f>IFERROR(__xludf.DUMMYFUNCTION("GOOGLETRANSLATE(B13921, ""fr"", ""en"")"),"I recommend this item aspjrateur This is very convenient So I use several times a day with animals at home that prevents out the big vacuum cleaner. It is very effective because it absolutely sucks tout.Ravie this purchase")</f>
        <v>I recommend this item aspjrateur This is very convenient So I use several times a day with animals at home that prevents out the big vacuum cleaner. It is very effective because it absolutely sucks tout.Ravie this purchase</v>
      </c>
    </row>
    <row r="13922">
      <c r="A13922" s="1">
        <v>5.0</v>
      </c>
      <c r="B13922" s="1" t="s">
        <v>13686</v>
      </c>
      <c r="C13922" t="str">
        <f>IFERROR(__xludf.DUMMYFUNCTION("GOOGLETRANSLATE(B13922, ""fr"", ""en"")"),"Original and comfortable Very comfortable to wear, the sole is flexible but not too thin")</f>
        <v>Original and comfortable Very comfortable to wear, the sole is flexible but not too thin</v>
      </c>
    </row>
    <row r="13923">
      <c r="A13923" s="1">
        <v>5.0</v>
      </c>
      <c r="B13923" s="1" t="s">
        <v>13687</v>
      </c>
      <c r="C13923" t="str">
        <f>IFERROR(__xludf.DUMMYFUNCTION("GOOGLETRANSLATE(B13923, ""fr"", ""en"")"),"This kettle good product works very well, very solid, practical, reasonable price, aesthetics, space-saving, the best we've found in small capacity (0.5 liters). This is the second we buy, the other we had for over 7 years, she still works, but after seve"&amp;"ral falls on the floor! ..., the handle had to be repaired (repair unsightly house ...) we were very happy, so why change ... we buy exactly the same it still factory, proof of good quality. If there was exactly the same wireless, it would be ""the icing "&amp;"on the cake"" ...")</f>
        <v>This kettle good product works very well, very solid, practical, reasonable price, aesthetics, space-saving, the best we've found in small capacity (0.5 liters). This is the second we buy, the other we had for over 7 years, she still works, but after several falls on the floor! ..., the handle had to be repaired (repair unsightly house ...) we were very happy, so why change ... we buy exactly the same it still factory, proof of good quality. If there was exactly the same wireless, it would be "the icing on the cake" ...</v>
      </c>
    </row>
    <row r="13924">
      <c r="A13924" s="1">
        <v>5.0</v>
      </c>
      <c r="B13924" s="1" t="s">
        <v>13688</v>
      </c>
      <c r="C13924" t="str">
        <f>IFERROR(__xludf.DUMMYFUNCTION("GOOGLETRANSLATE(B13924, ""fr"", ""en"")"),"Perfect Perfect, is easy to use.")</f>
        <v>Perfect Perfect, is easy to use.</v>
      </c>
    </row>
    <row r="13925">
      <c r="A13925" s="1">
        <v>5.0</v>
      </c>
      <c r="B13925" s="1" t="s">
        <v>13689</v>
      </c>
      <c r="C13925" t="str">
        <f>IFERROR(__xludf.DUMMYFUNCTION("GOOGLETRANSLATE(B13925, ""fr"", ""en"")"),"Very good purchase for easy meter handicap persons and their feet warm in her self that she or them that one puts their qi")</f>
        <v>Very good purchase for easy meter handicap persons and their feet warm in her self that she or them that one puts their qi</v>
      </c>
    </row>
    <row r="13926">
      <c r="A13926" s="1">
        <v>5.0</v>
      </c>
      <c r="B13926" s="1" t="s">
        <v>13690</v>
      </c>
      <c r="C13926" t="str">
        <f>IFERROR(__xludf.DUMMYFUNCTION("GOOGLETRANSLATE(B13926, ""fr"", ""en"")"),"Super ""These headphones serve me mainly in transport. Take into perfectly brisk walk. Comfort very good. For her they are really good and amazing for the price .. Command level after some trial and error all is well. C? Té by phone Ras by listening again"&amp;"st the speaker often complains of a feeble voice. Autonomy 3:30 / 4:00 before charging into the box that makes battery. to sum for 39 € not disappointed, even seduced, and yet to find better (at this price) I recommend.""")</f>
        <v>Super "These headphones serve me mainly in transport. Take into perfectly brisk walk. Comfort very good. For her they are really good and amazing for the price .. Command level after some trial and error all is well. C? Té by phone Ras by listening against the speaker often complains of a feeble voice. Autonomy 3:30 / 4:00 before charging into the box that makes battery. to sum for 39 € not disappointed, even seduced, and yet to find better (at this price) I recommend."</v>
      </c>
    </row>
    <row r="13927">
      <c r="A13927" s="1">
        <v>5.0</v>
      </c>
      <c r="B13927" s="1" t="s">
        <v>13691</v>
      </c>
      <c r="C13927" t="str">
        <f>IFERROR(__xludf.DUMMYFUNCTION("GOOGLETRANSLATE(B13927, ""fr"", ""en"")"),"Batteries Really nothing to say")</f>
        <v>Batteries Really nothing to say</v>
      </c>
    </row>
    <row r="13928">
      <c r="A13928" s="1">
        <v>5.0</v>
      </c>
      <c r="B13928" s="1" t="s">
        <v>13692</v>
      </c>
      <c r="C13928" t="str">
        <f>IFERROR(__xludf.DUMMYFUNCTION("GOOGLETRANSLATE(B13928, ""fr"", ""en"")"),"comfortable")</f>
        <v>comfortable</v>
      </c>
    </row>
    <row r="13929">
      <c r="A13929" s="1">
        <v>5.0</v>
      </c>
      <c r="B13929" s="1" t="s">
        <v>13693</v>
      </c>
      <c r="C13929" t="str">
        <f>IFERROR(__xludf.DUMMYFUNCTION("GOOGLETRANSLATE(B13929, ""fr"", ""en"")"),"Top Always cheaper than in supermarkets. Perfect for close my packages. Although adhesive. Nothing more to say, filled its function.")</f>
        <v>Top Always cheaper than in supermarkets. Perfect for close my packages. Although adhesive. Nothing more to say, filled its function.</v>
      </c>
    </row>
    <row r="13930">
      <c r="A13930" s="1">
        <v>5.0</v>
      </c>
      <c r="B13930" s="1" t="s">
        <v>13694</v>
      </c>
      <c r="C13930" t="str">
        <f>IFERROR(__xludf.DUMMYFUNCTION("GOOGLETRANSLATE(B13930, ""fr"", ""en"")"),"Nice product My 4 year old niece had a great time with. Everything was niquel in the box. Perfect pr children like Arts &amp; crafts")</f>
        <v>Nice product My 4 year old niece had a great time with. Everything was niquel in the box. Perfect pr children like Arts &amp; crafts</v>
      </c>
    </row>
    <row r="13931">
      <c r="A13931" s="1">
        <v>5.0</v>
      </c>
      <c r="B13931" s="1" t="s">
        <v>13695</v>
      </c>
      <c r="C13931" t="str">
        <f>IFERROR(__xludf.DUMMYFUNCTION("GOOGLETRANSLATE(B13931, ""fr"", ""en"")"),"Nickel Very good quality / price ratio, very comfortable but I recommend one size smaller because the large size brand")</f>
        <v>Nickel Very good quality / price ratio, very comfortable but I recommend one size smaller because the large size brand</v>
      </c>
    </row>
    <row r="13932">
      <c r="A13932" s="1">
        <v>5.0</v>
      </c>
      <c r="B13932" s="1" t="s">
        <v>13696</v>
      </c>
      <c r="C13932" t="str">
        <f>IFERROR(__xludf.DUMMYFUNCTION("GOOGLETRANSLATE(B13932, ""fr"", ""en"")"),"TOP A simple kettle done correctly this reason it is intended. Used daily for 6 months. Did not show weakness. Simple, sober. Master key. No gadget. Large capacity. Perfect, I recommend")</f>
        <v>TOP A simple kettle done correctly this reason it is intended. Used daily for 6 months. Did not show weakness. Simple, sober. Master key. No gadget. Large capacity. Perfect, I recommend</v>
      </c>
    </row>
    <row r="13933">
      <c r="A13933" s="1">
        <v>5.0</v>
      </c>
      <c r="B13933" s="1" t="s">
        <v>13697</v>
      </c>
      <c r="C13933" t="str">
        <f>IFERROR(__xludf.DUMMYFUNCTION("GOOGLETRANSLATE(B13933, ""fr"", ""en"")"),"Well thank you My daughter loves well")</f>
        <v>Well thank you My daughter loves well</v>
      </c>
    </row>
    <row r="13934">
      <c r="A13934" s="1">
        <v>5.0</v>
      </c>
      <c r="B13934" s="1" t="s">
        <v>13698</v>
      </c>
      <c r="C13934" t="str">
        <f>IFERROR(__xludf.DUMMYFUNCTION("GOOGLETRANSLATE(B13934, ""fr"", ""en"")"),"Perfect Perfect for XXL size 50 Very comfortable to wear")</f>
        <v>Perfect Perfect for XXL size 50 Very comfortable to wear</v>
      </c>
    </row>
    <row r="13935">
      <c r="A13935" s="1">
        <v>5.0</v>
      </c>
      <c r="B13935" s="1" t="s">
        <v>13699</v>
      </c>
      <c r="C13935" t="str">
        <f>IFERROR(__xludf.DUMMYFUNCTION("GOOGLETRANSLATE(B13935, ""fr"", ""en"")"),"tb tb")</f>
        <v>tb tb</v>
      </c>
    </row>
    <row r="13936">
      <c r="A13936" s="1">
        <v>2.0</v>
      </c>
      <c r="B13936" s="1" t="s">
        <v>13700</v>
      </c>
      <c r="C13936" t="str">
        <f>IFERROR(__xludf.DUMMYFUNCTION("GOOGLETRANSLATE(B13936, ""fr"", ""en"")"),"It is frankly too small. The day I need socks for my children I think of you ... I gave them to my wife ...")</f>
        <v>It is frankly too small. The day I need socks for my children I think of you ... I gave them to my wife ...</v>
      </c>
    </row>
    <row r="13937">
      <c r="A13937" s="1">
        <v>1.0</v>
      </c>
      <c r="B13937" s="1" t="s">
        <v>13701</v>
      </c>
      <c r="C13937" t="str">
        <f>IFERROR(__xludf.DUMMYFUNCTION("GOOGLETRANSLATE(B13937, ""fr"", ""en"")"),"I ordered wrong size 85E in light of my breast augmentation. I am currently 90B Unable to breathe. Size to review because not all correspond to EU sizes or FR. PS: positive, the seller is reactive.")</f>
        <v>I ordered wrong size 85E in light of my breast augmentation. I am currently 90B Unable to breathe. Size to review because not all correspond to EU sizes or FR. PS: positive, the seller is reactive.</v>
      </c>
    </row>
    <row r="13938">
      <c r="A13938" s="1">
        <v>3.0</v>
      </c>
      <c r="B13938" s="1" t="s">
        <v>13702</v>
      </c>
      <c r="C13938" t="str">
        <f>IFERROR(__xludf.DUMMYFUNCTION("GOOGLETRANSLATE(B13938, ""fr"", ""en"")"),"Nice design and usability Purchased for time myself in various sporting activities shows quite simple to use. Attention to sealing: the Moisture condensation on the glass after swimming in the sea (without diving)")</f>
        <v>Nice design and usability Purchased for time myself in various sporting activities shows quite simple to use. Attention to sealing: the Moisture condensation on the glass after swimming in the sea (without diving)</v>
      </c>
    </row>
    <row r="13939">
      <c r="A13939" s="1">
        <v>3.0</v>
      </c>
      <c r="B13939" s="1" t="s">
        <v>13703</v>
      </c>
      <c r="C13939" t="str">
        <f>IFERROR(__xludf.DUMMYFUNCTION("GOOGLETRANSLATE(B13939, ""fr"", ""en"")"),"A little disappointed The design is really nice, very nice model a little retro. A small downside, however, it heats more slowly than plastic kettle or alluvial and it does not stop automatically. I left the water boiillir a time to test, it does not stop"&amp;". May be anomalies in the model that I received")</f>
        <v>A little disappointed The design is really nice, very nice model a little retro. A small downside, however, it heats more slowly than plastic kettle or alluvial and it does not stop automatically. I left the water boiillir a time to test, it does not stop. May be anomalies in the model that I received</v>
      </c>
    </row>
    <row r="13940">
      <c r="A13940" s="1">
        <v>4.0</v>
      </c>
      <c r="B13940" s="1" t="s">
        <v>13704</v>
      </c>
      <c r="C13940" t="str">
        <f>IFERROR(__xludf.DUMMYFUNCTION("GOOGLETRANSLATE(B13940, ""fr"", ""en"")"),"Pretty small but I had to return it because my friend found it too small. Too bad it was nice. Good quality and nice finish.")</f>
        <v>Pretty small but I had to return it because my friend found it too small. Too bad it was nice. Good quality and nice finish.</v>
      </c>
    </row>
    <row r="13941">
      <c r="A13941" s="1">
        <v>4.0</v>
      </c>
      <c r="B13941" s="1" t="s">
        <v>13705</v>
      </c>
      <c r="C13941" t="str">
        <f>IFERROR(__xludf.DUMMYFUNCTION("GOOGLETRANSLATE(B13941, ""fr"", ""en"")"),"Perfect Simple and functional, this watch is accurate and without too many frills. Moreover it is very beautiful!")</f>
        <v>Perfect Simple and functional, this watch is accurate and without too many frills. Moreover it is very beautiful!</v>
      </c>
    </row>
    <row r="13942">
      <c r="A13942" s="1">
        <v>4.0</v>
      </c>
      <c r="B13942" s="1" t="s">
        <v>13706</v>
      </c>
      <c r="C13942" t="str">
        <f>IFERROR(__xludf.DUMMYFUNCTION("GOOGLETRANSLATE(B13942, ""fr"", ""en"")"),"Perfect Not necessarily very aesthetic, these shoes are comfortable and waterproof. And that's the main thing. They carve as expected and easy care")</f>
        <v>Perfect Not necessarily very aesthetic, these shoes are comfortable and waterproof. And that's the main thing. They carve as expected and easy care</v>
      </c>
    </row>
    <row r="13943">
      <c r="A13943" s="1">
        <v>4.0</v>
      </c>
      <c r="B13943" s="1" t="s">
        <v>13707</v>
      </c>
      <c r="C13943" t="str">
        <f>IFERROR(__xludf.DUMMYFUNCTION("GOOGLETRANSLATE(B13943, ""fr"", ""en"")"),"At the top Super practical for babies who are teething. I put him dry boudoirs or bread in and she rubs on her gum while nibbling! She loves! Only problem: easy to clean but it is a not so obvious net to see if it really clean at the base of the ring.")</f>
        <v>At the top Super practical for babies who are teething. I put him dry boudoirs or bread in and she rubs on her gum while nibbling! She loves! Only problem: easy to clean but it is a not so obvious net to see if it really clean at the base of the ring.</v>
      </c>
    </row>
    <row r="13944">
      <c r="A13944" s="1">
        <v>5.0</v>
      </c>
      <c r="B13944" s="1" t="s">
        <v>13708</v>
      </c>
      <c r="C13944" t="str">
        <f>IFERROR(__xludf.DUMMYFUNCTION("GOOGLETRANSLATE(B13944, ""fr"", ""en"")"),"Super massager Delivered on time and in good condition. The product is fully consistent with the description and looks in good order. Operation is simple and effective massage. Caution, however, the contact is hard and powerful if one puts all his weight."&amp;" It is therefore really correct positioning device, vary the positions and if necessary put a cloth towel to mitigate such contact. Very good product for a reasonable price.")</f>
        <v>Super massager Delivered on time and in good condition. The product is fully consistent with the description and looks in good order. Operation is simple and effective massage. Caution, however, the contact is hard and powerful if one puts all his weight. It is therefore really correct positioning device, vary the positions and if necessary put a cloth towel to mitigate such contact. Very good product for a reasonable price.</v>
      </c>
    </row>
    <row r="13945">
      <c r="A13945" s="1">
        <v>5.0</v>
      </c>
      <c r="B13945" s="1" t="s">
        <v>13709</v>
      </c>
      <c r="C13945" t="str">
        <f>IFERROR(__xludf.DUMMYFUNCTION("GOOGLETRANSLATE(B13945, ""fr"", ""en"")"),"well be a slight tension in pressure on the neck while the machine works and what is the best! Really finger sensation that mass, then depending if we go back or we descend along the neck, the benefits are different.")</f>
        <v>well be a slight tension in pressure on the neck while the machine works and what is the best! Really finger sensation that mass, then depending if we go back or we descend along the neck, the benefits are different.</v>
      </c>
    </row>
    <row r="13946">
      <c r="A13946" s="1">
        <v>5.0</v>
      </c>
      <c r="B13946" s="1" t="s">
        <v>13710</v>
      </c>
      <c r="C13946" t="str">
        <f>IFERROR(__xludf.DUMMYFUNCTION("GOOGLETRANSLATE(B13946, ""fr"", ""en"")"),"great for hiking shoes I bought 2chaussures, 42 for me, 39 for my wife. liveraison very fast. works very well good solid shoes, heels 4cm high. stitching short and without stop. lining quick drying sweat pandent for the evening. tab is open for half the f"&amp;"ield of water, metals and 4 buttons on the wing area, when I walk in the water, I'm not afraid to wet my chausettes.evidament is dissiné like boots . dark color is facille to clean.")</f>
        <v>great for hiking shoes I bought 2chaussures, 42 for me, 39 for my wife. liveraison very fast. works very well good solid shoes, heels 4cm high. stitching short and without stop. lining quick drying sweat pandent for the evening. tab is open for half the field of water, metals and 4 buttons on the wing area, when I walk in the water, I'm not afraid to wet my chausettes.evidament is dissiné like boots . dark color is facille to clean.</v>
      </c>
    </row>
    <row r="13947">
      <c r="A13947" s="1">
        <v>5.0</v>
      </c>
      <c r="B13947" s="1" t="s">
        <v>13711</v>
      </c>
      <c r="C13947" t="str">
        <f>IFERROR(__xludf.DUMMYFUNCTION("GOOGLETRANSLATE(B13947, ""fr"", ""en"")"),"I use paper towel perfect for DIY as disposable cloth and I am very satisfied Placing an order in large quantities is a good option for me")</f>
        <v>I use paper towel perfect for DIY as disposable cloth and I am very satisfied Placing an order in large quantities is a good option for me</v>
      </c>
    </row>
    <row r="13948">
      <c r="A13948" s="1">
        <v>5.0</v>
      </c>
      <c r="B13948" s="1" t="s">
        <v>13712</v>
      </c>
      <c r="C13948" t="str">
        <f>IFERROR(__xludf.DUMMYFUNCTION("GOOGLETRANSLATE(B13948, ""fr"", ""en"")"),"Very nice and solid Color is super pretty. The shipment was fast and very neat I love the little box and cloth to clean they are both discreet and classy I love. By cons, if there had been no flash sale for € 6.99 having to Amazon I would not have taken t"&amp;"hem for € € 21.99 it's a little expensive.")</f>
        <v>Very nice and solid Color is super pretty. The shipment was fast and very neat I love the little box and cloth to clean they are both discreet and classy I love. By cons, if there had been no flash sale for € 6.99 having to Amazon I would not have taken them for € € 21.99 it's a little expensive.</v>
      </c>
    </row>
    <row r="13949">
      <c r="A13949" s="1">
        <v>5.0</v>
      </c>
      <c r="B13949" s="1" t="s">
        <v>13713</v>
      </c>
      <c r="C13949" t="str">
        <f>IFERROR(__xludf.DUMMYFUNCTION("GOOGLETRANSLATE(B13949, ""fr"", ""en"")"),"quite happy as all black skin, I am prone to blackheads which are difficult to remove. I tried scrubs classic brands (garnish ...) without success. this scrub is extremely effective. opens many pores, facilitates extraction of blackheads. plus it's natura"&amp;"l. I recommend.")</f>
        <v>quite happy as all black skin, I am prone to blackheads which are difficult to remove. I tried scrubs classic brands (garnish ...) without success. this scrub is extremely effective. opens many pores, facilitates extraction of blackheads. plus it's natural. I recommend.</v>
      </c>
    </row>
    <row r="13950">
      <c r="A13950" s="1">
        <v>5.0</v>
      </c>
      <c r="B13950" s="1" t="s">
        <v>13714</v>
      </c>
      <c r="C13950" t="str">
        <f>IFERROR(__xludf.DUMMYFUNCTION("GOOGLETRANSLATE(B13950, ""fr"", ""en"")"),"very beautiful very beautiful soft and pleasant quality quality to wear well-cut which allows to hide the roundness value for money Perfect I have ordered in other colors of the coup in the same brand")</f>
        <v>very beautiful very beautiful soft and pleasant quality quality to wear well-cut which allows to hide the roundness value for money Perfect I have ordered in other colors of the coup in the same brand</v>
      </c>
    </row>
    <row r="13951">
      <c r="A13951" s="1">
        <v>5.0</v>
      </c>
      <c r="B13951" s="1" t="s">
        <v>13715</v>
      </c>
      <c r="C13951" t="str">
        <f>IFERROR(__xludf.DUMMYFUNCTION("GOOGLETRANSLATE(B13951, ""fr"", ""en"")"),"My son met us drink 210ml of the day and of 240 ml at bedtime. So we need the largest bottle.")</f>
        <v>My son met us drink 210ml of the day and of 240 ml at bedtime. So we need the largest bottle.</v>
      </c>
    </row>
    <row r="13952">
      <c r="A13952" s="1">
        <v>5.0</v>
      </c>
      <c r="B13952" s="1" t="s">
        <v>13716</v>
      </c>
      <c r="C13952" t="str">
        <f>IFERROR(__xludf.DUMMYFUNCTION("GOOGLETRANSLATE(B13952, ""fr"", ""en"")"),"Excellent Excellent price / quality! Very good buy")</f>
        <v>Excellent Excellent price / quality! Very good buy</v>
      </c>
    </row>
    <row r="13953">
      <c r="A13953" s="1">
        <v>5.0</v>
      </c>
      <c r="B13953" s="1" t="s">
        <v>13717</v>
      </c>
      <c r="C13953" t="str">
        <f>IFERROR(__xludf.DUMMYFUNCTION("GOOGLETRANSLATE(B13953, ""fr"", ""en"")"),"Okay thank you very much")</f>
        <v>Okay thank you very much</v>
      </c>
    </row>
    <row r="13954">
      <c r="A13954" s="1">
        <v>5.0</v>
      </c>
      <c r="B13954" s="1" t="s">
        <v>13718</v>
      </c>
      <c r="C13954" t="str">
        <f>IFERROR(__xludf.DUMMYFUNCTION("GOOGLETRANSLATE(B13954, ""fr"", ""en"")"),"Perfect Super content, recommended by a friend, my daughter started the PC so the reading and stories disney kids like as are perfect, she takes a pleasure to read even though she knows the history. Some words that she has not yet learned n I told him, an"&amp;"d little by little it recognizes ... cool")</f>
        <v>Perfect Super content, recommended by a friend, my daughter started the PC so the reading and stories disney kids like as are perfect, she takes a pleasure to read even though she knows the history. Some words that she has not yet learned n I told him, and little by little it recognizes ... cool</v>
      </c>
    </row>
    <row r="13955">
      <c r="A13955" s="1">
        <v>5.0</v>
      </c>
      <c r="B13955" s="1" t="s">
        <v>5630</v>
      </c>
      <c r="C13955" t="str">
        <f>IFERROR(__xludf.DUMMYFUNCTION("GOOGLETRANSLATE(B13955, ""fr"", ""en"")"),"Perfect Nothing to say")</f>
        <v>Perfect Nothing to say</v>
      </c>
    </row>
    <row r="13956">
      <c r="A13956" s="1">
        <v>5.0</v>
      </c>
      <c r="B13956" s="1" t="s">
        <v>13719</v>
      </c>
      <c r="C13956" t="str">
        <f>IFERROR(__xludf.DUMMYFUNCTION("GOOGLETRANSLATE(B13956, ""fr"", ""en"")"),"Top. Great. Thank you")</f>
        <v>Top. Great. Thank you</v>
      </c>
    </row>
    <row r="13957">
      <c r="A13957" s="1">
        <v>5.0</v>
      </c>
      <c r="B13957" s="1" t="s">
        <v>13720</v>
      </c>
      <c r="C13957" t="str">
        <f>IFERROR(__xludf.DUMMYFUNCTION("GOOGLETRANSLATE(B13957, ""fr"", ""en"")"),"Well done This bag is very convenient for me. I can put my wallets, 1 phone, 1 wallet, car keys with remote control and my keyring. Small pockets to slide a letter or other. It remains small and the adjustable shoulder strap is large enough to carry the c"&amp;"ross on the shoulder. Additionally it nice and well done.")</f>
        <v>Well done This bag is very convenient for me. I can put my wallets, 1 phone, 1 wallet, car keys with remote control and my keyring. Small pockets to slide a letter or other. It remains small and the adjustable shoulder strap is large enough to carry the cross on the shoulder. Additionally it nice and well done.</v>
      </c>
    </row>
    <row r="13958">
      <c r="A13958" s="1">
        <v>5.0</v>
      </c>
      <c r="B13958" s="1" t="s">
        <v>13721</v>
      </c>
      <c r="C13958" t="str">
        <f>IFERROR(__xludf.DUMMYFUNCTION("GOOGLETRANSLATE(B13958, ""fr"", ""en"")"),"Meets Beautiful pair of Nike Air, solid, comfortable, affordable, nice entry level for hiking or walking in general")</f>
        <v>Meets Beautiful pair of Nike Air, solid, comfortable, affordable, nice entry level for hiking or walking in general</v>
      </c>
    </row>
    <row r="13959">
      <c r="A13959" s="1">
        <v>2.0</v>
      </c>
      <c r="B13959" s="1" t="s">
        <v>13722</v>
      </c>
      <c r="C13959" t="str">
        <f>IFERROR(__xludf.DUMMYFUNCTION("GOOGLETRANSLATE(B13959, ""fr"", ""en"")"),"A good can Jogging was great")</f>
        <v>A good can Jogging was great</v>
      </c>
    </row>
    <row r="13960">
      <c r="A13960" s="1">
        <v>1.0</v>
      </c>
      <c r="B13960" s="1" t="s">
        <v>13723</v>
      </c>
      <c r="C13960" t="str">
        <f>IFERROR(__xludf.DUMMYFUNCTION("GOOGLETRANSLATE(B13960, ""fr"", ""en"")"),"disappointment! Very, very disappointed! defective kettle. Every time I put it on, it turns off and that since his first utilisation.il 3ou4fois must press on to the ""on"" button can stay engaged and to deign to work. I made the mistake of throwing the b"&amp;"ox, otherwise I would have returned.")</f>
        <v>disappointment! Very, very disappointed! defective kettle. Every time I put it on, it turns off and that since his first utilisation.il 3ou4fois must press on to the "on" button can stay engaged and to deign to work. I made the mistake of throwing the box, otherwise I would have returned.</v>
      </c>
    </row>
    <row r="13961">
      <c r="A13961" s="1">
        <v>1.0</v>
      </c>
      <c r="B13961" s="1" t="s">
        <v>13724</v>
      </c>
      <c r="C13961" t="str">
        <f>IFERROR(__xludf.DUMMYFUNCTION("GOOGLETRANSLATE(B13961, ""fr"", ""en"")"),"Needless Needless")</f>
        <v>Needless Needless</v>
      </c>
    </row>
    <row r="13962">
      <c r="A13962" s="1">
        <v>3.0</v>
      </c>
      <c r="B13962" s="1" t="s">
        <v>13725</v>
      </c>
      <c r="C13962" t="str">
        <f>IFERROR(__xludf.DUMMYFUNCTION("GOOGLETRANSLATE(B13962, ""fr"", ""en"")"),"Instructions Buy for a gift to my sister in law who waits for the two twin handy bottle system. Unfortunately, all is in English even leaflet was inside it faudrai think remedy this")</f>
        <v>Instructions Buy for a gift to my sister in law who waits for the two twin handy bottle system. Unfortunately, all is in English even leaflet was inside it faudrai think remedy this</v>
      </c>
    </row>
    <row r="13963">
      <c r="A13963" s="1">
        <v>3.0</v>
      </c>
      <c r="B13963" s="1" t="s">
        <v>13726</v>
      </c>
      <c r="C13963" t="str">
        <f>IFERROR(__xludf.DUMMYFUNCTION("GOOGLETRANSLATE(B13963, ""fr"", ""en"")"),"Not bad, blah ... I confess to being a little disappointed. After testing several models, this one not worth more than 150. relatively little benefit from all the additional options relative to the lower models. Really down low enough in the back (lack a "&amp;"15cm area)")</f>
        <v>Not bad, blah ... I confess to being a little disappointed. After testing several models, this one not worth more than 150. relatively little benefit from all the additional options relative to the lower models. Really down low enough in the back (lack a 15cm area)</v>
      </c>
    </row>
    <row r="13964">
      <c r="A13964" s="1">
        <v>4.0</v>
      </c>
      <c r="B13964" s="1" t="s">
        <v>13727</v>
      </c>
      <c r="C13964" t="str">
        <f>IFERROR(__xludf.DUMMYFUNCTION("GOOGLETRANSLATE(B13964, ""fr"", ""en"")"),"Efficient and pleasant smell. I like her perfume, I use it for soil and ice for washing my car.")</f>
        <v>Efficient and pleasant smell. I like her perfume, I use it for soil and ice for washing my car.</v>
      </c>
    </row>
    <row r="13965">
      <c r="A13965" s="1">
        <v>4.0</v>
      </c>
      <c r="B13965" s="1" t="s">
        <v>13728</v>
      </c>
      <c r="C13965" t="str">
        <f>IFERROR(__xludf.DUMMYFUNCTION("GOOGLETRANSLATE(B13965, ""fr"", ""en"")"),"Good and value for money Good value Its nickel")</f>
        <v>Good and value for money Good value Its nickel</v>
      </c>
    </row>
    <row r="13966">
      <c r="A13966" s="1">
        <v>4.0</v>
      </c>
      <c r="B13966" s="1" t="s">
        <v>13729</v>
      </c>
      <c r="C13966" t="str">
        <f>IFERROR(__xludf.DUMMYFUNCTION("GOOGLETRANSLATE(B13966, ""fr"", ""en"")"),"quality good")</f>
        <v>quality good</v>
      </c>
    </row>
    <row r="13967">
      <c r="A13967" s="1">
        <v>4.0</v>
      </c>
      <c r="B13967" s="1" t="s">
        <v>13730</v>
      </c>
      <c r="C13967" t="str">
        <f>IFERROR(__xludf.DUMMYFUNCTION("GOOGLETRANSLATE(B13967, ""fr"", ""en"")"),"These expectations match my background drives the work required, no leakage was observed since I used. I recommend this product.")</f>
        <v>These expectations match my background drives the work required, no leakage was observed since I used. I recommend this product.</v>
      </c>
    </row>
    <row r="13968">
      <c r="A13968" s="1">
        <v>5.0</v>
      </c>
      <c r="B13968" s="1" t="s">
        <v>13731</v>
      </c>
      <c r="C13968" t="str">
        <f>IFERROR(__xludf.DUMMYFUNCTION("GOOGLETRANSLATE(B13968, ""fr"", ""en"")"),"Good product Felt Good to color and design but adapted to older children. Otherwise limited life as fragile but I recommend anyway")</f>
        <v>Good product Felt Good to color and design but adapted to older children. Otherwise limited life as fragile but I recommend anyway</v>
      </c>
    </row>
    <row r="13969">
      <c r="A13969" s="1">
        <v>5.0</v>
      </c>
      <c r="B13969" s="1" t="s">
        <v>13732</v>
      </c>
      <c r="C13969" t="str">
        <f>IFERROR(__xludf.DUMMYFUNCTION("GOOGLETRANSLATE(B13969, ""fr"", ""en"")"),"Top Product top, very little product is used and the result is astonishing")</f>
        <v>Top Product top, very little product is used and the result is astonishing</v>
      </c>
    </row>
    <row r="13970">
      <c r="A13970" s="1">
        <v>5.0</v>
      </c>
      <c r="B13970" s="1" t="s">
        <v>13733</v>
      </c>
      <c r="C13970" t="str">
        <f>IFERROR(__xludf.DUMMYFUNCTION("GOOGLETRANSLATE(B13970, ""fr"", ""en"")"),"Okay Compact, it works great. Convenient for traveling to several cups heats in 2 or 3 minutes I am very satisfied I recommend it")</f>
        <v>Okay Compact, it works great. Convenient for traveling to several cups heats in 2 or 3 minutes I am very satisfied I recommend it</v>
      </c>
    </row>
    <row r="13971">
      <c r="A13971" s="1">
        <v>5.0</v>
      </c>
      <c r="B13971" s="1" t="s">
        <v>13734</v>
      </c>
      <c r="C13971" t="str">
        <f>IFERROR(__xludf.DUMMYFUNCTION("GOOGLETRANSLATE(B13971, ""fr"", ""en"")"),"J adore Very glad my shoes dreams a little fast seller price and product received in good condition")</f>
        <v>J adore Very glad my shoes dreams a little fast seller price and product received in good condition</v>
      </c>
    </row>
    <row r="13972">
      <c r="A13972" s="1">
        <v>5.0</v>
      </c>
      <c r="B13972" s="1" t="s">
        <v>13735</v>
      </c>
      <c r="C13972" t="str">
        <f>IFERROR(__xludf.DUMMYFUNCTION("GOOGLETRANSLATE(B13972, ""fr"", ""en"")"),"Very good product. Very good shoe. Comfortable. Resistant. A very good purchase. Thank you.")</f>
        <v>Very good product. Very good shoe. Comfortable. Resistant. A very good purchase. Thank you.</v>
      </c>
    </row>
    <row r="13973">
      <c r="A13973" s="1">
        <v>5.0</v>
      </c>
      <c r="B13973" s="1" t="s">
        <v>13736</v>
      </c>
      <c r="C13973" t="str">
        <f>IFERROR(__xludf.DUMMYFUNCTION("GOOGLETRANSLATE(B13973, ""fr"", ""en"")"),"Super Super top I love the sound is excellent it's light I can run with or listen in bed And is very stylish")</f>
        <v>Super Super top I love the sound is excellent it's light I can run with or listen in bed And is very stylish</v>
      </c>
    </row>
    <row r="13974">
      <c r="A13974" s="1">
        <v>5.0</v>
      </c>
      <c r="B13974" s="1" t="s">
        <v>13737</v>
      </c>
      <c r="C13974" t="str">
        <f>IFERROR(__xludf.DUMMYFUNCTION("GOOGLETRANSLATE(B13974, ""fr"", ""en"")"),"Excellent product quality &lt;div id = ""video-block-R11F2U057PCXZ4"" class = ""a-section-spacing-small in-spacing-top mini video-block""&gt; &lt;/ div&gt; &lt;input type = ""hidden"" name = """" value = ""https://images-eu.ssl-images-amazon.com/images/I/B1bUJPqKUCS.mp4"&amp;""" class = ""video-url""&gt; &lt;input type = ""hidden"" name = """" value = ""https://images-eu.ssl-images-amazon.com/images/I/61MlYtokG9S.png"" class = ""video-slate-img-url""&gt; &amp; nbsp; I am delighted with my purchase. Very fast delivery. The product design is"&amp;" neat and refined. The storage box is very functional indeed is borne by the latter oet especially do not take up much space so very easy to take anywhere. The son without headphones are very easy to use. The sound is very good both for the phone to liste"&amp;"n to music. They have a very good resistance to ear. In addition they are provided with spare bits which is more significant. I recommend this excellent value for money.")</f>
        <v>Excellent product quality &lt;div id = "video-block-R11F2U057PCXZ4" class = "a-section-spacing-small in-spacing-top mini video-block"&gt; &lt;/ div&gt; &lt;input type = "hidden" name = "" value = "https://images-eu.ssl-images-amazon.com/images/I/B1bUJPqKUCS.mp4" class = "video-url"&gt; &lt;input type = "hidden" name = "" value = "https://images-eu.ssl-images-amazon.com/images/I/61MlYtokG9S.png" class = "video-slate-img-url"&gt; &amp; nbsp; I am delighted with my purchase. Very fast delivery. The product design is neat and refined. The storage box is very functional indeed is borne by the latter oet especially do not take up much space so very easy to take anywhere. The son without headphones are very easy to use. The sound is very good both for the phone to listen to music. They have a very good resistance to ear. In addition they are provided with spare bits which is more significant. I recommend this excellent value for money.</v>
      </c>
    </row>
    <row r="13975">
      <c r="A13975" s="1">
        <v>5.0</v>
      </c>
      <c r="B13975" s="1" t="s">
        <v>13738</v>
      </c>
      <c r="C13975" t="str">
        <f>IFERROR(__xludf.DUMMYFUNCTION("GOOGLETRANSLATE(B13975, ""fr"", ""en"")"),"comfortable, non-slip Satisfied. Fast delivery, the shoe conforms to photograph, very soft and pleasant to door and feet do not sweat! Very good buy! I recommend to take its foot strengthens!")</f>
        <v>comfortable, non-slip Satisfied. Fast delivery, the shoe conforms to photograph, very soft and pleasant to door and feet do not sweat! Very good buy! I recommend to take its foot strengthens!</v>
      </c>
    </row>
    <row r="13976">
      <c r="A13976" s="1">
        <v>5.0</v>
      </c>
      <c r="B13976" s="1" t="s">
        <v>13739</v>
      </c>
      <c r="C13976" t="str">
        <f>IFERROR(__xludf.DUMMYFUNCTION("GOOGLETRANSLATE(B13976, ""fr"", ""en"")"),"Super sleeveless jacket Very good quality, comfortable! I recommend !")</f>
        <v>Super sleeveless jacket Very good quality, comfortable! I recommend !</v>
      </c>
    </row>
    <row r="13977">
      <c r="A13977" s="1">
        <v>5.0</v>
      </c>
      <c r="B13977" s="1" t="s">
        <v>13740</v>
      </c>
      <c r="C13977" t="str">
        <f>IFERROR(__xludf.DUMMYFUNCTION("GOOGLETRANSLATE(B13977, ""fr"", ""en"")"),"Powerful and with a large capacity I chose this model for its large capacity. One can choose the power distribution and duration. In maximum power, you feel the whole house of two floors. Use with demineralized water if you want it to last over time.")</f>
        <v>Powerful and with a large capacity I chose this model for its large capacity. One can choose the power distribution and duration. In maximum power, you feel the whole house of two floors. Use with demineralized water if you want it to last over time.</v>
      </c>
    </row>
    <row r="13978">
      <c r="A13978" s="1">
        <v>5.0</v>
      </c>
      <c r="B13978" s="1" t="s">
        <v>13741</v>
      </c>
      <c r="C13978" t="str">
        <f>IFERROR(__xludf.DUMMYFUNCTION("GOOGLETRANSLATE(B13978, ""fr"", ""en"")"),"A classic A classic, this backpack is resistant and beautiful. My last was dated there are 5 or 6 years. So it will level lifetime, I hope to keep this one as long :)")</f>
        <v>A classic A classic, this backpack is resistant and beautiful. My last was dated there are 5 or 6 years. So it will level lifetime, I hope to keep this one as long :)</v>
      </c>
    </row>
    <row r="13979">
      <c r="A13979" s="1">
        <v>5.0</v>
      </c>
      <c r="B13979" s="1" t="s">
        <v>13742</v>
      </c>
      <c r="C13979" t="str">
        <f>IFERROR(__xludf.DUMMYFUNCTION("GOOGLETRANSLATE(B13979, ""fr"", ""en"")"),"good quality socks I needed socks for summer they arrived quickly and were not expensive so perfect")</f>
        <v>good quality socks I needed socks for summer they arrived quickly and were not expensive so perfect</v>
      </c>
    </row>
    <row r="13980">
      <c r="A13980" s="1">
        <v>5.0</v>
      </c>
      <c r="B13980" s="1" t="s">
        <v>13743</v>
      </c>
      <c r="C13980" t="str">
        <f>IFERROR(__xludf.DUMMYFUNCTION("GOOGLETRANSLATE(B13980, ""fr"", ""en"")"),"good, really good")</f>
        <v>good, really good</v>
      </c>
    </row>
    <row r="13981">
      <c r="A13981" s="1">
        <v>5.0</v>
      </c>
      <c r="B13981" s="1" t="s">
        <v>13744</v>
      </c>
      <c r="C13981" t="str">
        <f>IFERROR(__xludf.DUMMYFUNCTION("GOOGLETRANSLATE(B13981, ""fr"", ""en"")"),"Comfortable, light, pretty. The size matches. Conformity with the following description.")</f>
        <v>Comfortable, light, pretty. The size matches. Conformity with the following description.</v>
      </c>
    </row>
    <row r="13982">
      <c r="A13982" s="1">
        <v>5.0</v>
      </c>
      <c r="B13982" s="1" t="s">
        <v>13745</v>
      </c>
      <c r="C13982" t="str">
        <f>IFERROR(__xludf.DUMMYFUNCTION("GOOGLETRANSLATE(B13982, ""fr"", ""en"")"),"Earrings Lovely assortment of nice size range")</f>
        <v>Earrings Lovely assortment of nice size range</v>
      </c>
    </row>
    <row r="13983">
      <c r="A13983" s="1">
        <v>2.0</v>
      </c>
      <c r="B13983" s="1" t="s">
        <v>13746</v>
      </c>
      <c r="C13983" t="str">
        <f>IFERROR(__xludf.DUMMYFUNCTION("GOOGLETRANSLATE(B13983, ""fr"", ""en"")"),"Ok but expensive We know the product but too expensive for what it is.")</f>
        <v>Ok but expensive We know the product but too expensive for what it is.</v>
      </c>
    </row>
    <row r="13984">
      <c r="A13984" s="1">
        <v>1.0</v>
      </c>
      <c r="B13984" s="1" t="s">
        <v>13747</v>
      </c>
      <c r="C13984" t="str">
        <f>IFERROR(__xludf.DUMMYFUNCTION("GOOGLETRANSLATE(B13984, ""fr"", ""en"")"),"Massage gel ineffective I put it in the trash.")</f>
        <v>Massage gel ineffective I put it in the trash.</v>
      </c>
    </row>
    <row r="13985">
      <c r="A13985" s="1">
        <v>1.0</v>
      </c>
      <c r="B13985" s="1" t="s">
        <v>13748</v>
      </c>
      <c r="C13985" t="str">
        <f>IFERROR(__xludf.DUMMYFUNCTION("GOOGLETRANSLATE(B13985, ""fr"", ""en"")"),"Very disappointed at all levels Does not recommend the product. disappointed")</f>
        <v>Very disappointed at all levels Does not recommend the product. disappointed</v>
      </c>
    </row>
    <row r="13986">
      <c r="A13986" s="1">
        <v>3.0</v>
      </c>
      <c r="B13986" s="1" t="s">
        <v>13749</v>
      </c>
      <c r="C13986" t="str">
        <f>IFERROR(__xludf.DUMMYFUNCTION("GOOGLETRANSLATE(B13986, ""fr"", ""en"")"),"light lamp of the day is not mentioned, prior to purchase, the device is not suitable in cases of cataract. I have learned that too late by my ophthalmologist. So I can not use it.")</f>
        <v>light lamp of the day is not mentioned, prior to purchase, the device is not suitable in cases of cataract. I have learned that too late by my ophthalmologist. So I can not use it.</v>
      </c>
    </row>
    <row r="13987">
      <c r="A13987" s="1">
        <v>4.0</v>
      </c>
      <c r="B13987" s="1" t="s">
        <v>13750</v>
      </c>
      <c r="C13987" t="str">
        <f>IFERROR(__xludf.DUMMYFUNCTION("GOOGLETRANSLATE(B13987, ""fr"", ""en"")"),"Beautiful sweet beautiful sweater, but the fabric is a little late. The size is correct. It is beautiful although I would have preferred it to be thicker for the winters.")</f>
        <v>Beautiful sweet beautiful sweater, but the fabric is a little late. The size is correct. It is beautiful although I would have preferred it to be thicker for the winters.</v>
      </c>
    </row>
    <row r="13988">
      <c r="A13988" s="1">
        <v>4.0</v>
      </c>
      <c r="B13988" s="1" t="s">
        <v>13751</v>
      </c>
      <c r="C13988" t="str">
        <f>IFERROR(__xludf.DUMMYFUNCTION("GOOGLETRANSLATE(B13988, ""fr"", ""en"")"),"Not suitable for me I think it is a good product but it is not suitable for me.")</f>
        <v>Not suitable for me I think it is a good product but it is not suitable for me.</v>
      </c>
    </row>
    <row r="13989">
      <c r="A13989" s="1">
        <v>4.0</v>
      </c>
      <c r="B13989" s="1" t="s">
        <v>13752</v>
      </c>
      <c r="C13989" t="str">
        <f>IFERROR(__xludf.DUMMYFUNCTION("GOOGLETRANSLATE(B13989, ""fr"", ""en"")"),"Product to top If you too have little greedy for that 4 minute warm their seems an eternity, take this Thermos. In 2m5 your bottles will be hot and ready to use. The only downside is the size of the thermos, it can heat a bottle of 260 ml. So for a long j"&amp;"ourney not necessarily ideal")</f>
        <v>Product to top If you too have little greedy for that 4 minute warm their seems an eternity, take this Thermos. In 2m5 your bottles will be hot and ready to use. The only downside is the size of the thermos, it can heat a bottle of 260 ml. So for a long journey not necessarily ideal</v>
      </c>
    </row>
    <row r="13990">
      <c r="A13990" s="1">
        <v>4.0</v>
      </c>
      <c r="B13990" s="1" t="s">
        <v>13753</v>
      </c>
      <c r="C13990" t="str">
        <f>IFERROR(__xludf.DUMMYFUNCTION("GOOGLETRANSLATE(B13990, ""fr"", ""en"")"),"Pretty cool that damage that he speaks English. Easy to use")</f>
        <v>Pretty cool that damage that he speaks English. Easy to use</v>
      </c>
    </row>
    <row r="13991">
      <c r="A13991" s="1">
        <v>5.0</v>
      </c>
      <c r="B13991" s="1" t="s">
        <v>13754</v>
      </c>
      <c r="C13991" t="str">
        <f>IFERROR(__xludf.DUMMYFUNCTION("GOOGLETRANSLATE(B13991, ""fr"", ""en"")"),"Good product Good product very light very well it very comfortable for me")</f>
        <v>Good product Good product very light very well it very comfortable for me</v>
      </c>
    </row>
    <row r="13992">
      <c r="A13992" s="1">
        <v>5.0</v>
      </c>
      <c r="B13992" s="1" t="s">
        <v>13755</v>
      </c>
      <c r="C13992" t="str">
        <f>IFERROR(__xludf.DUMMYFUNCTION("GOOGLETRANSLATE(B13992, ""fr"", ""en"")"),"Tracksuit very comfortable Very pleasant .not very expensive and yet solid well-cut and comfortable ordered in purple I will recommended a navy blue")</f>
        <v>Tracksuit very comfortable Very pleasant .not very expensive and yet solid well-cut and comfortable ordered in purple I will recommended a navy blue</v>
      </c>
    </row>
    <row r="13993">
      <c r="A13993" s="1">
        <v>5.0</v>
      </c>
      <c r="B13993" s="1" t="s">
        <v>13756</v>
      </c>
      <c r="C13993" t="str">
        <f>IFERROR(__xludf.DUMMYFUNCTION("GOOGLETRANSLATE(B13993, ""fr"", ""en"")"),"Small but powerful These headphones are good, the sound is good, there are bass and microphone works fine. There is a sort of ""layer"" of plastic around the son surely to make it more ""water resistant"", a little more interesting. There are obviously ma"&amp;"ny ""tips"" to fit your ears and a small bag to carry everything. Good quality /")</f>
        <v>Small but powerful These headphones are good, the sound is good, there are bass and microphone works fine. There is a sort of "layer" of plastic around the son surely to make it more "water resistant", a little more interesting. There are obviously many "tips" to fit your ears and a small bag to carry everything. Good quality /</v>
      </c>
    </row>
    <row r="13994">
      <c r="A13994" s="1">
        <v>5.0</v>
      </c>
      <c r="B13994" s="1" t="s">
        <v>13757</v>
      </c>
      <c r="C13994" t="str">
        <f>IFERROR(__xludf.DUMMYFUNCTION("GOOGLETRANSLATE(B13994, ""fr"", ""en"")"),"Super comfortable products I'm super contente.de my purchases you feel like slippers. shape memory .I highly recommend this product.")</f>
        <v>Super comfortable products I'm super contente.de my purchases you feel like slippers. shape memory .I highly recommend this product.</v>
      </c>
    </row>
    <row r="13995">
      <c r="A13995" s="1">
        <v>5.0</v>
      </c>
      <c r="B13995" s="1" t="s">
        <v>13758</v>
      </c>
      <c r="C13995" t="str">
        <f>IFERROR(__xludf.DUMMYFUNCTION("GOOGLETRANSLATE(B13995, ""fr"", ""en"")"),"Very comfortable and flexible shoe size for almost any good Soussi very telling of this pair of chaussure.recommende telling arrive at date")</f>
        <v>Very comfortable and flexible shoe size for almost any good Soussi very telling of this pair of chaussure.recommende telling arrive at date</v>
      </c>
    </row>
    <row r="13996">
      <c r="A13996" s="1">
        <v>5.0</v>
      </c>
      <c r="B13996" s="1" t="s">
        <v>13759</v>
      </c>
      <c r="C13996" t="str">
        <f>IFERROR(__xludf.DUMMYFUNCTION("GOOGLETRANSLATE(B13996, ""fr"", ""en"")"),"Perfect For now I have to use the colors on an HP 5510.Je color rendering is very good, I do not see any difference with HP. To test the ability I made about twenty 10x15 prints. Everything works, the colors have not changed. So we will see later for the "&amp;"number of total circulation. The printer gives me a warning on the cartridge, just click on the cross and it starts. I recommend it.")</f>
        <v>Perfect For now I have to use the colors on an HP 5510.Je color rendering is very good, I do not see any difference with HP. To test the ability I made about twenty 10x15 prints. Everything works, the colors have not changed. So we will see later for the number of total circulation. The printer gives me a warning on the cartridge, just click on the cross and it starts. I recommend it.</v>
      </c>
    </row>
    <row r="13997">
      <c r="A13997" s="1">
        <v>5.0</v>
      </c>
      <c r="B13997" s="1" t="s">
        <v>13760</v>
      </c>
      <c r="C13997" t="str">
        <f>IFERROR(__xludf.DUMMYFUNCTION("GOOGLETRANSLATE(B13997, ""fr"", ""en"")"),"Product maintenance Product maintenance")</f>
        <v>Product maintenance Product maintenance</v>
      </c>
    </row>
    <row r="13998">
      <c r="A13998" s="1">
        <v>5.0</v>
      </c>
      <c r="B13998" s="1" t="s">
        <v>13761</v>
      </c>
      <c r="C13998" t="str">
        <f>IFERROR(__xludf.DUMMYFUNCTION("GOOGLETRANSLATE(B13998, ""fr"", ""en"")"),"Me is perfectly fine. Bra suitable even for large breasts that is not obvious to find. Comfortable to wear. Good maintenance of the breasts. Machine washed without any problems.")</f>
        <v>Me is perfectly fine. Bra suitable even for large breasts that is not obvious to find. Comfortable to wear. Good maintenance of the breasts. Machine washed without any problems.</v>
      </c>
    </row>
    <row r="13999">
      <c r="A13999" s="1">
        <v>5.0</v>
      </c>
      <c r="B13999" s="1" t="s">
        <v>13762</v>
      </c>
      <c r="C13999" t="str">
        <f>IFERROR(__xludf.DUMMYFUNCTION("GOOGLETRANSLATE(B13999, ""fr"", ""en"")"),"Beautiful basketball Beautiful basketball very comfortable its been two months since I ais she always nickel")</f>
        <v>Beautiful basketball Beautiful basketball very comfortable its been two months since I ais she always nickel</v>
      </c>
    </row>
    <row r="14000">
      <c r="A14000" s="1">
        <v>5.0</v>
      </c>
      <c r="B14000" s="1" t="s">
        <v>13763</v>
      </c>
      <c r="C14000" t="str">
        <f>IFERROR(__xludf.DUMMYFUNCTION("GOOGLETRANSLATE(B14000, ""fr"", ""en"")"),"Very comfortable Take a size smaller than its size habituelle.la brand shoes good, but great.")</f>
        <v>Very comfortable Take a size smaller than its size habituelle.la brand shoes good, but great.</v>
      </c>
    </row>
    <row r="14001">
      <c r="A14001" s="1">
        <v>5.0</v>
      </c>
      <c r="B14001" s="1" t="s">
        <v>13764</v>
      </c>
      <c r="C14001" t="str">
        <f>IFERROR(__xludf.DUMMYFUNCTION("GOOGLETRANSLATE(B14001, ""fr"", ""en"")"),"Zippo Metal For a gift for a teenager really nice Zippo is really beautiful brand Zippo I'd have kept me")</f>
        <v>Zippo Metal For a gift for a teenager really nice Zippo is really beautiful brand Zippo I'd have kept me</v>
      </c>
    </row>
    <row r="14002">
      <c r="A14002" s="1">
        <v>5.0</v>
      </c>
      <c r="B14002" s="1" t="s">
        <v>13765</v>
      </c>
      <c r="C14002" t="str">
        <f>IFERROR(__xludf.DUMMYFUNCTION("GOOGLETRANSLATE(B14002, ""fr"", ""en"")"),"Moi Sports")</f>
        <v>Moi Sports</v>
      </c>
    </row>
    <row r="14003">
      <c r="A14003" s="1">
        <v>5.0</v>
      </c>
      <c r="B14003" s="1" t="s">
        <v>13766</v>
      </c>
      <c r="C14003" t="str">
        <f>IFERROR(__xludf.DUMMYFUNCTION("GOOGLETRANSLATE(B14003, ""fr"", ""en"")"),"quality product very well, I recommend")</f>
        <v>quality product very well, I recommend</v>
      </c>
    </row>
    <row r="14004">
      <c r="A14004" s="1">
        <v>5.0</v>
      </c>
      <c r="B14004" s="1" t="s">
        <v>13767</v>
      </c>
      <c r="C14004" t="str">
        <f>IFERROR(__xludf.DUMMYFUNCTION("GOOGLETRANSLATE(B14004, ""fr"", ""en"")"),"Great. Magnificent facilities. Beep ignition and bib hungry heating. Led which increases progressively .. the chosen temperature and turns off automatically. I recommend !!!")</f>
        <v>Great. Magnificent facilities. Beep ignition and bib hungry heating. Led which increases progressively .. the chosen temperature and turns off automatically. I recommend !!!</v>
      </c>
    </row>
    <row r="14005">
      <c r="A14005" s="1">
        <v>5.0</v>
      </c>
      <c r="B14005" s="1" t="s">
        <v>13768</v>
      </c>
      <c r="C14005" t="str">
        <f>IFERROR(__xludf.DUMMYFUNCTION("GOOGLETRANSLATE(B14005, ""fr"", ""en"")"),"Very beautiful bracelets small gift purchased Bracelets, well there is nothing to say about the value for money is excellent perfect for girls I recommend")</f>
        <v>Very beautiful bracelets small gift purchased Bracelets, well there is nothing to say about the value for money is excellent perfect for girls I recommend</v>
      </c>
    </row>
    <row r="14006">
      <c r="A14006" s="1">
        <v>5.0</v>
      </c>
      <c r="B14006" s="1" t="s">
        <v>13769</v>
      </c>
      <c r="C14006" t="str">
        <f>IFERROR(__xludf.DUMMYFUNCTION("GOOGLETRANSLATE(B14006, ""fr"", ""en"")"),"Super Shoes Practice Shoes for walking on pebbles or stones at the bottom. Very nice with their flashy colors, I bought them for jet skiing. They are very comfortable. Only downside, the lace that is pointless given that it takes to walk free. The whole f"&amp;"amily has one. I recommend without problem.")</f>
        <v>Super Shoes Practice Shoes for walking on pebbles or stones at the bottom. Very nice with their flashy colors, I bought them for jet skiing. They are very comfortable. Only downside, the lace that is pointless given that it takes to walk free. The whole family has one. I recommend without problem.</v>
      </c>
    </row>
    <row r="14007">
      <c r="A14007" s="1">
        <v>2.0</v>
      </c>
      <c r="B14007" s="1" t="s">
        <v>13770</v>
      </c>
      <c r="C14007" t="str">
        <f>IFERROR(__xludf.DUMMYFUNCTION("GOOGLETRANSLATE(B14007, ""fr"", ""en"")"),"No great interest Smaller than what I thought. Branches not long enough to hold bottles. The product is actually not very useful but decorative.")</f>
        <v>No great interest Smaller than what I thought. Branches not long enough to hold bottles. The product is actually not very useful but decorative.</v>
      </c>
    </row>
    <row r="14008">
      <c r="A14008" s="1">
        <v>1.0</v>
      </c>
      <c r="B14008" s="1" t="s">
        <v>13771</v>
      </c>
      <c r="C14008" t="str">
        <f>IFERROR(__xludf.DUMMYFUNCTION("GOOGLETRANSLATE(B14008, ""fr"", ""en"")"),"no product this is a big scam: 1 / sound quality is mono not stereo and even less of its HD .... it's muffled sound that sounds thought that is bottom of the pool .. 2 / seller in the ad talks about exclusive connection for ios: this connection allows rea"&amp;"l airpods like to have the pop-up of the connection, the status and level headphones the batterie..tout that's untrue ... the product and certainly not cheap, but I do not like the ads mensongères..surtout on the awning you have a ton better product for t"&amp;"he same price! ! So, I highly recommend this purchase")</f>
        <v>no product this is a big scam: 1 / sound quality is mono not stereo and even less of its HD .... it's muffled sound that sounds thought that is bottom of the pool .. 2 / seller in the ad talks about exclusive connection for ios: this connection allows real airpods like to have the pop-up of the connection, the status and level headphones the batterie..tout that's untrue ... the product and certainly not cheap, but I do not like the ads mensongères..surtout on the awning you have a ton better product for the same price! ! So, I highly recommend this purchase</v>
      </c>
    </row>
    <row r="14009">
      <c r="A14009" s="1">
        <v>3.0</v>
      </c>
      <c r="B14009" s="1" t="s">
        <v>13772</v>
      </c>
      <c r="C14009" t="str">
        <f>IFERROR(__xludf.DUMMYFUNCTION("GOOGLETRANSLATE(B14009, ""fr"", ""en"")"),"I do not regret my purchase is well. I order them but it is well: Fair attention to the pressure is too high !! Do not use too often !!")</f>
        <v>I do not regret my purchase is well. I order them but it is well: Fair attention to the pressure is too high !! Do not use too often !!</v>
      </c>
    </row>
    <row r="14010">
      <c r="A14010" s="1">
        <v>3.0</v>
      </c>
      <c r="B14010" s="1" t="s">
        <v>13773</v>
      </c>
      <c r="C14010" t="str">
        <f>IFERROR(__xludf.DUMMYFUNCTION("GOOGLETRANSLATE(B14010, ""fr"", ""en"")"),"UHU very good way to fix or post photos and to change the space, has put only on a smooth plane")</f>
        <v>UHU very good way to fix or post photos and to change the space, has put only on a smooth plane</v>
      </c>
    </row>
    <row r="14011">
      <c r="A14011" s="1">
        <v>4.0</v>
      </c>
      <c r="B14011" s="1" t="s">
        <v>13774</v>
      </c>
      <c r="C14011" t="str">
        <f>IFERROR(__xludf.DUMMYFUNCTION("GOOGLETRANSLATE(B14011, ""fr"", ""en"")"),"russell super pretty too top class designated in my kitchen because I buy all")</f>
        <v>russell super pretty too top class designated in my kitchen because I buy all</v>
      </c>
    </row>
    <row r="14012">
      <c r="A14012" s="1">
        <v>4.0</v>
      </c>
      <c r="B14012" s="1" t="s">
        <v>13775</v>
      </c>
      <c r="C14012" t="str">
        <f>IFERROR(__xludf.DUMMYFUNCTION("GOOGLETRANSLATE(B14012, ""fr"", ""en"")"),"The sneakers are affordable. Trainers everyday.")</f>
        <v>The sneakers are affordable. Trainers everyday.</v>
      </c>
    </row>
    <row r="14013">
      <c r="A14013" s="1">
        <v>4.0</v>
      </c>
      <c r="B14013" s="1" t="s">
        <v>13776</v>
      </c>
      <c r="C14013" t="str">
        <f>IFERROR(__xludf.DUMMYFUNCTION("GOOGLETRANSLATE(B14013, ""fr"", ""en"")"),"Casio Vintage nice for nostalgic Little Casio Vintage friendliest I have for two years but I replaced because the chrome is peeling case. final opinion on receipt.")</f>
        <v>Casio Vintage nice for nostalgic Little Casio Vintage friendliest I have for two years but I replaced because the chrome is peeling case. final opinion on receipt.</v>
      </c>
    </row>
    <row r="14014">
      <c r="A14014" s="1">
        <v>4.0</v>
      </c>
      <c r="B14014" s="1" t="s">
        <v>13777</v>
      </c>
      <c r="C14014" t="str">
        <f>IFERROR(__xludf.DUMMYFUNCTION("GOOGLETRANSLATE(B14014, ""fr"", ""en"")"),"Delay Delay OK, being discovered, can address various issues that do not automatically come to mind")</f>
        <v>Delay Delay OK, being discovered, can address various issues that do not automatically come to mind</v>
      </c>
    </row>
    <row r="14015">
      <c r="A14015" s="1">
        <v>4.0</v>
      </c>
      <c r="B14015" s="1" t="s">
        <v>13778</v>
      </c>
      <c r="C14015" t="str">
        <f>IFERROR(__xludf.DUMMYFUNCTION("GOOGLETRANSLATE(B14015, ""fr"", ""en"")"),"Casio timeless watch is a good compromise between the standard model and sport. For small wrist is acceptable. - Positive automatic time (12/24), Sun, 4 alarms and chime fashion (its low like all casio), Stopwatch, automatic lighting (gadget) Easy battery"&amp;" replacement battery, water resistance 20 BAR - negative: green light (less luminous than the blue that is found on the other models) - Too loaded write on the screen (not good) - access to the buttons is particularly difficult (if you exercise go your wa"&amp;"y)")</f>
        <v>Casio timeless watch is a good compromise between the standard model and sport. For small wrist is acceptable. - Positive automatic time (12/24), Sun, 4 alarms and chime fashion (its low like all casio), Stopwatch, automatic lighting (gadget) Easy battery replacement battery, water resistance 20 BAR - negative: green light (less luminous than the blue that is found on the other models) - Too loaded write on the screen (not good) - access to the buttons is particularly difficult (if you exercise go your way)</v>
      </c>
    </row>
    <row r="14016">
      <c r="A14016" s="1">
        <v>5.0</v>
      </c>
      <c r="B14016" s="1" t="s">
        <v>13779</v>
      </c>
      <c r="C14016" t="str">
        <f>IFERROR(__xludf.DUMMYFUNCTION("GOOGLETRANSLATE(B14016, ""fr"", ""en"")"),"nice work quickly adopted by children The chapters are short and the concept of the series encourages children to a daily ritual ... as addictive as a television series. The language is simple enough to allow for easy understanding and excellent memory. T"&amp;"he modern and beautiful illustrations. We reiterated the Order Paper of Theseus, just as successful.")</f>
        <v>nice work quickly adopted by children The chapters are short and the concept of the series encourages children to a daily ritual ... as addictive as a television series. The language is simple enough to allow for easy understanding and excellent memory. The modern and beautiful illustrations. We reiterated the Order Paper of Theseus, just as successful.</v>
      </c>
    </row>
    <row r="14017">
      <c r="A14017" s="1">
        <v>5.0</v>
      </c>
      <c r="B14017" s="1" t="s">
        <v>13780</v>
      </c>
      <c r="C14017" t="str">
        <f>IFERROR(__xludf.DUMMYFUNCTION("GOOGLETRANSLATE(B14017, ""fr"", ""en"")"),"Slippers perfect nothing to say Slippers perfect nothing to say")</f>
        <v>Slippers perfect nothing to say Slippers perfect nothing to say</v>
      </c>
    </row>
    <row r="14018">
      <c r="A14018" s="1">
        <v>5.0</v>
      </c>
      <c r="B14018" s="1" t="s">
        <v>13781</v>
      </c>
      <c r="C14018" t="str">
        <f>IFERROR(__xludf.DUMMYFUNCTION("GOOGLETRANSLATE(B14018, ""fr"", ""en"")"),"Perfect comfort and robustness What to say, I love my chaussettes..bien in, that's all that compte..robuste and good redire..je the size have nothing for some of or delay months of my com..parfois we do reflects the quality of certain products, after some"&amp;" time of use.")</f>
        <v>Perfect comfort and robustness What to say, I love my chaussettes..bien in, that's all that compte..robuste and good redire..je the size have nothing for some of or delay months of my com..parfois we do reflects the quality of certain products, after some time of use.</v>
      </c>
    </row>
    <row r="14019">
      <c r="A14019" s="1">
        <v>5.0</v>
      </c>
      <c r="B14019" s="1" t="s">
        <v>13782</v>
      </c>
      <c r="C14019" t="str">
        <f>IFERROR(__xludf.DUMMYFUNCTION("GOOGLETRANSLATE(B14019, ""fr"", ""en"")"),"Perfect Ideal for Christmas, come cheaper than buying 10 rolls")</f>
        <v>Perfect Ideal for Christmas, come cheaper than buying 10 rolls</v>
      </c>
    </row>
    <row r="14020">
      <c r="A14020" s="1">
        <v>5.0</v>
      </c>
      <c r="B14020" s="1" t="s">
        <v>13783</v>
      </c>
      <c r="C14020" t="str">
        <f>IFERROR(__xludf.DUMMYFUNCTION("GOOGLETRANSLATE(B14020, ""fr"", ""en"")"),"Bottle finally accepted Prime bottle accept without complaint, without strangle, and no confusion in later as he was able to do with other teats. It's a small victory!")</f>
        <v>Bottle finally accepted Prime bottle accept without complaint, without strangle, and no confusion in later as he was able to do with other teats. It's a small victory!</v>
      </c>
    </row>
    <row r="14021">
      <c r="A14021" s="1">
        <v>5.0</v>
      </c>
      <c r="B14021" s="1" t="s">
        <v>13784</v>
      </c>
      <c r="C14021" t="str">
        <f>IFERROR(__xludf.DUMMYFUNCTION("GOOGLETRANSLATE(B14021, ""fr"", ""en"")"),"How not to have frozen feet Excellent. You enter a warm bed and hot water bottle like all night. Awesome when you love sleeping in a cool room with hot sheets (without socks)")</f>
        <v>How not to have frozen feet Excellent. You enter a warm bed and hot water bottle like all night. Awesome when you love sleeping in a cool room with hot sheets (without socks)</v>
      </c>
    </row>
    <row r="14022">
      <c r="A14022" s="1">
        <v>5.0</v>
      </c>
      <c r="B14022" s="1" t="s">
        <v>13785</v>
      </c>
      <c r="C14022" t="str">
        <f>IFERROR(__xludf.DUMMYFUNCTION("GOOGLETRANSLATE(B14022, ""fr"", ""en"")"),"Discreet lamp very useful delivery soon. The huge double packaging. simple and modern appointed. The socket is suitable for good quality ampoules.Très")</f>
        <v>Discreet lamp very useful delivery soon. The huge double packaging. simple and modern appointed. The socket is suitable for good quality ampoules.Très</v>
      </c>
    </row>
    <row r="14023">
      <c r="A14023" s="1">
        <v>5.0</v>
      </c>
      <c r="B14023" s="1" t="s">
        <v>13786</v>
      </c>
      <c r="C14023" t="str">
        <f>IFERROR(__xludf.DUMMYFUNCTION("GOOGLETRANSLATE(B14023, ""fr"", ""en"")"),"very pretty conforms to the picture")</f>
        <v>very pretty conforms to the picture</v>
      </c>
    </row>
    <row r="14024">
      <c r="A14024" s="1">
        <v>5.0</v>
      </c>
      <c r="B14024" s="1" t="s">
        <v>13787</v>
      </c>
      <c r="C14024" t="str">
        <f>IFERROR(__xludf.DUMMYFUNCTION("GOOGLETRANSLATE(B14024, ""fr"", ""en"")"),"The headphones are of good quality. A very good, small storage bags to cut the quiet, despite the absence of good French independence of the judiciary, in particular due to very good, ears and voice for, nickel, too, and a small transport box rigidity res"&amp;"ervations, these are the earphones in any event, it is very well!")</f>
        <v>The headphones are of good quality. A very good, small storage bags to cut the quiet, despite the absence of good French independence of the judiciary, in particular due to very good, ears and voice for, nickel, too, and a small transport box rigidity reservations, these are the earphones in any event, it is very well!</v>
      </c>
    </row>
    <row r="14025">
      <c r="A14025" s="1">
        <v>5.0</v>
      </c>
      <c r="B14025" s="1" t="s">
        <v>13788</v>
      </c>
      <c r="C14025" t="str">
        <f>IFERROR(__xludf.DUMMYFUNCTION("GOOGLETRANSLATE(B14025, ""fr"", ""en"")"),"very good buy right size bag for man, responding exactly to my expectation and consistent with the description. Several handy and functional pockets. A solid air at first sight.")</f>
        <v>very good buy right size bag for man, responding exactly to my expectation and consistent with the description. Several handy and functional pockets. A solid air at first sight.</v>
      </c>
    </row>
    <row r="14026">
      <c r="A14026" s="1">
        <v>5.0</v>
      </c>
      <c r="B14026" s="1" t="s">
        <v>13789</v>
      </c>
      <c r="C14026" t="str">
        <f>IFERROR(__xludf.DUMMYFUNCTION("GOOGLETRANSLATE(B14026, ""fr"", ""en"")"),"massage cushion super good product we are very happy I recommend mass even feet, thighs, head and even knee")</f>
        <v>massage cushion super good product we are very happy I recommend mass even feet, thighs, head and even knee</v>
      </c>
    </row>
    <row r="14027">
      <c r="A14027" s="1">
        <v>5.0</v>
      </c>
      <c r="B14027" s="1" t="s">
        <v>13790</v>
      </c>
      <c r="C14027" t="str">
        <f>IFERROR(__xludf.DUMMYFUNCTION("GOOGLETRANSLATE(B14027, ""fr"", ""en"")"),"Lightweight and jewelry class at a time")</f>
        <v>Lightweight and jewelry class at a time</v>
      </c>
    </row>
    <row r="14028">
      <c r="A14028" s="1">
        <v>5.0</v>
      </c>
      <c r="B14028" s="1" t="s">
        <v>13791</v>
      </c>
      <c r="C14028" t="str">
        <f>IFERROR(__xludf.DUMMYFUNCTION("GOOGLETRANSLATE(B14028, ""fr"", ""en"")"),"Super consistent with the description!")</f>
        <v>Super consistent with the description!</v>
      </c>
    </row>
    <row r="14029">
      <c r="A14029" s="1">
        <v>5.0</v>
      </c>
      <c r="B14029" s="1" t="s">
        <v>13792</v>
      </c>
      <c r="C14029" t="str">
        <f>IFERROR(__xludf.DUMMYFUNCTION("GOOGLETRANSLATE(B14029, ""fr"", ""en"")"),"Very good product Ras")</f>
        <v>Very good product Ras</v>
      </c>
    </row>
    <row r="14030">
      <c r="A14030" s="1">
        <v>5.0</v>
      </c>
      <c r="B14030" s="1" t="s">
        <v>13793</v>
      </c>
      <c r="C14030" t="str">
        <f>IFERROR(__xludf.DUMMYFUNCTION("GOOGLETRANSLATE(B14030, ""fr"", ""en"")"),"Bought June 20, 2016 After almost 2 years I purchased this shoulder bag ......... always satisfied no trace of tears or other hard training. So for those who say it's the m .... go your way. You will find no better on ""Amazon"" and especially at this pri"&amp;"ce, and with such capacity (except. I AM IN USED ALL DAY SUMMER AND WINTER, she really going anywhere this case. MeCool is a very good brand. 2 pictures to show you. I recommend without hesitation to buy")</f>
        <v>Bought June 20, 2016 After almost 2 years I purchased this shoulder bag ......... always satisfied no trace of tears or other hard training. So for those who say it's the m .... go your way. You will find no better on "Amazon" and especially at this price, and with such capacity (except. I AM IN USED ALL DAY SUMMER AND WINTER, she really going anywhere this case. MeCool is a very good brand. 2 pictures to show you. I recommend without hesitation to buy</v>
      </c>
    </row>
    <row r="14031">
      <c r="A14031" s="1">
        <v>2.0</v>
      </c>
      <c r="B14031" s="1" t="s">
        <v>13794</v>
      </c>
      <c r="C14031" t="str">
        <f>IFERROR(__xludf.DUMMYFUNCTION("GOOGLETRANSLATE(B14031, ""fr"", ""en"")"),"Why these random colors ?? I put only 2 stars because I do not find this normal random colors policy. Obviously, I have a boy and I received the product in white and pink; So I sent it back. Namely: it takes you 1 euro of your refund for the return.")</f>
        <v>Why these random colors ?? I put only 2 stars because I do not find this normal random colors policy. Obviously, I have a boy and I received the product in white and pink; So I sent it back. Namely: it takes you 1 euro of your refund for the return.</v>
      </c>
    </row>
    <row r="14032">
      <c r="A14032" s="1">
        <v>1.0</v>
      </c>
      <c r="B14032" s="1" t="s">
        <v>13795</v>
      </c>
      <c r="C14032" t="str">
        <f>IFERROR(__xludf.DUMMYFUNCTION("GOOGLETRANSLATE(B14032, ""fr"", ""en"")"),"No no product received ds time but does not work!")</f>
        <v>No no product received ds time but does not work!</v>
      </c>
    </row>
    <row r="14033">
      <c r="A14033" s="1">
        <v>1.0</v>
      </c>
      <c r="B14033" s="1" t="s">
        <v>13796</v>
      </c>
      <c r="C14033" t="str">
        <f>IFERROR(__xludf.DUMMYFUNCTION("GOOGLETRANSLATE(B14033, ""fr"", ""en"")"),"The average quality troteuse is unhooked after 3 days")</f>
        <v>The average quality troteuse is unhooked after 3 days</v>
      </c>
    </row>
    <row r="14034">
      <c r="A14034" s="1">
        <v>3.0</v>
      </c>
      <c r="B14034" s="1" t="s">
        <v>13797</v>
      </c>
      <c r="C14034" t="str">
        <f>IFERROR(__xludf.DUMMYFUNCTION("GOOGLETRANSLATE(B14034, ""fr"", ""en"")"),"well but just 1 sousi his puma are super beautiful but aubout of 2 week or moin s puma is efrite must also buy a bonbe for water because the rain it no tiene")</f>
        <v>well but just 1 sousi his puma are super beautiful but aubout of 2 week or moin s puma is efrite must also buy a bonbe for water because the rain it no tiene</v>
      </c>
    </row>
    <row r="14035">
      <c r="A14035" s="1">
        <v>3.0</v>
      </c>
      <c r="B14035" s="1" t="s">
        <v>13798</v>
      </c>
      <c r="C14035" t="str">
        <f>IFERROR(__xludf.DUMMYFUNCTION("GOOGLETRANSLATE(B14035, ""fr"", ""en"")"),"Trainers Light. Pretty. Supple. But low-end quality. They will not last long.")</f>
        <v>Trainers Light. Pretty. Supple. But low-end quality. They will not last long.</v>
      </c>
    </row>
    <row r="14036">
      <c r="A14036" s="1">
        <v>4.0</v>
      </c>
      <c r="B14036" s="1" t="s">
        <v>13799</v>
      </c>
      <c r="C14036" t="str">
        <f>IFERROR(__xludf.DUMMYFUNCTION("GOOGLETRANSLATE(B14036, ""fr"", ""en"")"),"good - but very large and heavy enough size good - but very large size and heavy enough")</f>
        <v>good - but very large and heavy enough size good - but very large size and heavy enough</v>
      </c>
    </row>
    <row r="14037">
      <c r="A14037" s="1">
        <v>4.0</v>
      </c>
      <c r="B14037" s="1" t="s">
        <v>13800</v>
      </c>
      <c r="C14037" t="str">
        <f>IFERROR(__xludf.DUMMYFUNCTION("GOOGLETRANSLATE(B14037, ""fr"", ""en"")"),"multipurpose sports socks sports socks used for its resistance to work.")</f>
        <v>multipurpose sports socks sports socks used for its resistance to work.</v>
      </c>
    </row>
    <row r="14038">
      <c r="A14038" s="1">
        <v>4.0</v>
      </c>
      <c r="B14038" s="1" t="s">
        <v>13801</v>
      </c>
      <c r="C14038" t="str">
        <f>IFERROR(__xludf.DUMMYFUNCTION("GOOGLETRANSLATE(B14038, ""fr"", ""en"")"),"Windscreen microphone, compliant but do not filter any ReCeIved in time. Installation on the microphone is quite easy and seems to hold. By cons, after several tests, the filter works well with anti-sales breeze but do not filter any high winds. That said"&amp;", I expected for the price and use, it's ok")</f>
        <v>Windscreen microphone, compliant but do not filter any ReCeIved in time. Installation on the microphone is quite easy and seems to hold. By cons, after several tests, the filter works well with anti-sales breeze but do not filter any high winds. That said, I expected for the price and use, it's ok</v>
      </c>
    </row>
    <row r="14039">
      <c r="A14039" s="1">
        <v>4.0</v>
      </c>
      <c r="B14039" s="1" t="s">
        <v>13802</v>
      </c>
      <c r="C14039" t="str">
        <f>IFERROR(__xludf.DUMMYFUNCTION("GOOGLETRANSLATE(B14039, ""fr"", ""en"")"),"gift jewelry bracelet high quality more we can choose the size to be carried to the right of the handle is comfortable to wear")</f>
        <v>gift jewelry bracelet high quality more we can choose the size to be carried to the right of the handle is comfortable to wear</v>
      </c>
    </row>
    <row r="14040">
      <c r="A14040" s="1">
        <v>5.0</v>
      </c>
      <c r="B14040" s="1" t="s">
        <v>13803</v>
      </c>
      <c r="C14040" t="str">
        <f>IFERROR(__xludf.DUMMYFUNCTION("GOOGLETRANSLATE(B14040, ""fr"", ""en"")"),"Superb digital watch Allow me to comment on this watch, I was skeptical about the quality of the product for the price, but when I opened the box and tried it, I was surprised and happy! She is really nice and easy to régler.Je did not think she would be "&amp;"so imposing but it's a good surprise. I highly recommend this product.")</f>
        <v>Superb digital watch Allow me to comment on this watch, I was skeptical about the quality of the product for the price, but when I opened the box and tried it, I was surprised and happy! She is really nice and easy to régler.Je did not think she would be so imposing but it's a good surprise. I highly recommend this product.</v>
      </c>
    </row>
    <row r="14041">
      <c r="A14041" s="1">
        <v>5.0</v>
      </c>
      <c r="B14041" s="1" t="s">
        <v>13804</v>
      </c>
      <c r="C14041" t="str">
        <f>IFERROR(__xludf.DUMMYFUNCTION("GOOGLETRANSLATE(B14041, ""fr"", ""en"")"),"satisfied satisfied")</f>
        <v>satisfied satisfied</v>
      </c>
    </row>
    <row r="14042">
      <c r="A14042" s="1">
        <v>5.0</v>
      </c>
      <c r="B14042" s="1" t="s">
        <v>13805</v>
      </c>
      <c r="C14042" t="str">
        <f>IFERROR(__xludf.DUMMYFUNCTION("GOOGLETRANSLATE(B14042, ""fr"", ""en"")"),"Not bad tick")</f>
        <v>Not bad tick</v>
      </c>
    </row>
    <row r="14043">
      <c r="A14043" s="1">
        <v>5.0</v>
      </c>
      <c r="B14043" s="1" t="s">
        <v>13806</v>
      </c>
      <c r="C14043" t="str">
        <f>IFERROR(__xludf.DUMMYFUNCTION("GOOGLETRANSLATE(B14043, ""fr"", ""en"")"),"Quality worse Worse than previous")</f>
        <v>Quality worse Worse than previous</v>
      </c>
    </row>
    <row r="14044">
      <c r="A14044" s="1">
        <v>5.0</v>
      </c>
      <c r="B14044" s="1" t="s">
        <v>13807</v>
      </c>
      <c r="C14044" t="str">
        <f>IFERROR(__xludf.DUMMYFUNCTION("GOOGLETRANSLATE(B14044, ""fr"", ""en"")"),"Good design and practical use for children or for work, large, light, very convenient. We will put it on a closet door in the bedroom of our daughter As picture, product comes with magnets, 2 markers and door felt For the price, no regrets compared to oth"&amp;"er equivalent products simple and modern design, contains a small tablet gray felt door to add or not")</f>
        <v>Good design and practical use for children or for work, large, light, very convenient. We will put it on a closet door in the bedroom of our daughter As picture, product comes with magnets, 2 markers and door felt For the price, no regrets compared to other equivalent products simple and modern design, contains a small tablet gray felt door to add or not</v>
      </c>
    </row>
    <row r="14045">
      <c r="A14045" s="1">
        <v>5.0</v>
      </c>
      <c r="B14045" s="1" t="s">
        <v>13808</v>
      </c>
      <c r="C14045" t="str">
        <f>IFERROR(__xludf.DUMMYFUNCTION("GOOGLETRANSLATE(B14045, ""fr"", ""en"")"),"Excellent business The bracelet is a little short and we can not change the battery but the price / quality ratio is unbeatable.")</f>
        <v>Excellent business The bracelet is a little short and we can not change the battery but the price / quality ratio is unbeatable.</v>
      </c>
    </row>
    <row r="14046">
      <c r="A14046" s="1">
        <v>5.0</v>
      </c>
      <c r="B14046" s="1" t="s">
        <v>13809</v>
      </c>
      <c r="C14046" t="str">
        <f>IFERROR(__xludf.DUMMYFUNCTION("GOOGLETRANSLATE(B14046, ""fr"", ""en"")"),"Perfect for any occasion Perfect for express milk at home or away. I even made my electric breast pump because it suits me better. For against my baby never wanted to take the baby bottle with the nipple provided in the kit while with others it takes teat"&amp;"s.")</f>
        <v>Perfect for any occasion Perfect for express milk at home or away. I even made my electric breast pump because it suits me better. For against my baby never wanted to take the baby bottle with the nipple provided in the kit while with others it takes teats.</v>
      </c>
    </row>
    <row r="14047">
      <c r="A14047" s="1">
        <v>5.0</v>
      </c>
      <c r="B14047" s="1" t="s">
        <v>13810</v>
      </c>
      <c r="C14047" t="str">
        <f>IFERROR(__xludf.DUMMYFUNCTION("GOOGLETRANSLATE(B14047, ""fr"", ""en"")"),"Kettle Received quickly, very nice, quiet, little plastic: grip, cover and exterior, the interior is stainless steel. consumes less electricity, good product.")</f>
        <v>Kettle Received quickly, very nice, quiet, little plastic: grip, cover and exterior, the interior is stainless steel. consumes less electricity, good product.</v>
      </c>
    </row>
    <row r="14048">
      <c r="A14048" s="1">
        <v>5.0</v>
      </c>
      <c r="B14048" s="1" t="s">
        <v>13811</v>
      </c>
      <c r="C14048" t="str">
        <f>IFERROR(__xludf.DUMMYFUNCTION("GOOGLETRANSLATE(B14048, ""fr"", ""en"")"),"Very good sound quality and design headphones and pretty enough and for this low price was a very good sound. In addition, there is a microphone with a button to change the music or answer the call. The package arrived in time and produces perfectly fits "&amp;"the description. I recommend!")</f>
        <v>Very good sound quality and design headphones and pretty enough and for this low price was a very good sound. In addition, there is a microphone with a button to change the music or answer the call. The package arrived in time and produces perfectly fits the description. I recommend!</v>
      </c>
    </row>
    <row r="14049">
      <c r="A14049" s="1">
        <v>5.0</v>
      </c>
      <c r="B14049" s="1" t="s">
        <v>13812</v>
      </c>
      <c r="C14049" t="str">
        <f>IFERROR(__xludf.DUMMYFUNCTION("GOOGLETRANSLATE(B14049, ""fr"", ""en"")"),"very nice product attractive bracelet really liked was the person that I offered. See over time for product quality")</f>
        <v>very nice product attractive bracelet really liked was the person that I offered. See over time for product quality</v>
      </c>
    </row>
    <row r="14050">
      <c r="A14050" s="1">
        <v>5.0</v>
      </c>
      <c r="B14050" s="1" t="s">
        <v>13813</v>
      </c>
      <c r="C14050" t="str">
        <f>IFERROR(__xludf.DUMMYFUNCTION("GOOGLETRANSLATE(B14050, ""fr"", ""en"")"),"eclat very nice the food value my wife loves it")</f>
        <v>eclat very nice the food value my wife loves it</v>
      </c>
    </row>
    <row r="14051">
      <c r="A14051" s="1">
        <v>5.0</v>
      </c>
      <c r="B14051" s="1" t="s">
        <v>13814</v>
      </c>
      <c r="C14051" t="str">
        <f>IFERROR(__xludf.DUMMYFUNCTION("GOOGLETRANSLATE(B14051, ""fr"", ""en"")"),"Good size, comfortable and more .. Pretty correct size. I play 43, I ordered 43 and is perfect .. Very comfortable, wearable. Pretty enough and more .. I do not comment on the duration for now .. But, given the proposed price, I am very satisfied ..")</f>
        <v>Good size, comfortable and more .. Pretty correct size. I play 43, I ordered 43 and is perfect .. Very comfortable, wearable. Pretty enough and more .. I do not comment on the duration for now .. But, given the proposed price, I am very satisfied ..</v>
      </c>
    </row>
    <row r="14052">
      <c r="A14052" s="1">
        <v>5.0</v>
      </c>
      <c r="B14052" s="1" t="s">
        <v>13815</v>
      </c>
      <c r="C14052" t="str">
        <f>IFERROR(__xludf.DUMMYFUNCTION("GOOGLETRANSLATE(B14052, ""fr"", ""en"")"),"Good product no complaints. Perfect for the price, delivery ok and is not fake unlike watches that price. Possibility to stop easily, ideal for product life")</f>
        <v>Good product no complaints. Perfect for the price, delivery ok and is not fake unlike watches that price. Possibility to stop easily, ideal for product life</v>
      </c>
    </row>
    <row r="14053">
      <c r="A14053" s="1">
        <v>5.0</v>
      </c>
      <c r="B14053" s="1" t="s">
        <v>13816</v>
      </c>
      <c r="C14053" t="str">
        <f>IFERROR(__xludf.DUMMYFUNCTION("GOOGLETRANSLATE(B14053, ""fr"", ""en"")"),"At the top Super purchased for my man he's super happy, slightly smaller size but this is the brand that wants that I had had trouble in store")</f>
        <v>At the top Super purchased for my man he's super happy, slightly smaller size but this is the brand that wants that I had had trouble in store</v>
      </c>
    </row>
    <row r="14054">
      <c r="A14054" s="1">
        <v>5.0</v>
      </c>
      <c r="B14054" s="1" t="s">
        <v>13817</v>
      </c>
      <c r="C14054" t="str">
        <f>IFERROR(__xludf.DUMMYFUNCTION("GOOGLETRANSLATE(B14054, ""fr"", ""en"")"),"Good quality Pleasant to wear")</f>
        <v>Good quality Pleasant to wear</v>
      </c>
    </row>
    <row r="14055">
      <c r="A14055" s="1">
        <v>2.0</v>
      </c>
      <c r="B14055" s="1" t="s">
        <v>13818</v>
      </c>
      <c r="C14055" t="str">
        <f>IFERROR(__xludf.DUMMYFUNCTION("GOOGLETRANSLATE(B14055, ""fr"", ""en"")"),"Disappointed Ideal for large breasts, it does not take enough, I spent my time back in. That's a shame.")</f>
        <v>Disappointed Ideal for large breasts, it does not take enough, I spent my time back in. That's a shame.</v>
      </c>
    </row>
    <row r="14056">
      <c r="A14056" s="1">
        <v>1.0</v>
      </c>
      <c r="B14056" s="1" t="s">
        <v>13819</v>
      </c>
      <c r="C14056" t="str">
        <f>IFERROR(__xludf.DUMMYFUNCTION("GOOGLETRANSLATE(B14056, ""fr"", ""en"")"),"€ 2.10 copy !!! Cartridge installed 3 October 2017, 13 days later after 8 copies, the cartridge no longer works. My HP Photosmart 7520 printer detects no fault cartridge ... In direct copy or via PC no black ink printing, only the colors appear on prints "&amp;"so this is really from this cartridge. Very disappointed, the 8 copies coûtées me very very expensive !!!!!!!!!!!!!!!!!!!!")</f>
        <v>€ 2.10 copy !!! Cartridge installed 3 October 2017, 13 days later after 8 copies, the cartridge no longer works. My HP Photosmart 7520 printer detects no fault cartridge ... In direct copy or via PC no black ink printing, only the colors appear on prints so this is really from this cartridge. Very disappointed, the 8 copies coûtées me very very expensive !!!!!!!!!!!!!!!!!!!!</v>
      </c>
    </row>
    <row r="14057">
      <c r="A14057" s="1">
        <v>1.0</v>
      </c>
      <c r="B14057" s="1" t="s">
        <v>13820</v>
      </c>
      <c r="C14057" t="str">
        <f>IFERROR(__xludf.DUMMYFUNCTION("GOOGLETRANSLATE(B14057, ""fr"", ""en"")"),"Sizes fanciful Big problem with size.")</f>
        <v>Sizes fanciful Big problem with size.</v>
      </c>
    </row>
    <row r="14058">
      <c r="A14058" s="1">
        <v>3.0</v>
      </c>
      <c r="B14058" s="1" t="s">
        <v>13821</v>
      </c>
      <c r="C14058" t="str">
        <f>IFERROR(__xludf.DUMMYFUNCTION("GOOGLETRANSLATE(B14058, ""fr"", ""en"")"),"A little too hard! A little too hard! Function very easily but boulles are a little too hard! I think I will not use it much. If I had not already throw the box I think I would have made.")</f>
        <v>A little too hard! A little too hard! Function very easily but boulles are a little too hard! I think I will not use it much. If I had not already throw the box I think I would have made.</v>
      </c>
    </row>
    <row r="14059">
      <c r="A14059" s="1">
        <v>3.0</v>
      </c>
      <c r="B14059" s="1" t="s">
        <v>13822</v>
      </c>
      <c r="C14059" t="str">
        <f>IFERROR(__xludf.DUMMYFUNCTION("GOOGLETRANSLATE(B14059, ""fr"", ""en"")"),"Good quality but a little too soft then it is easy to overflow, for safe cooking delicate NIOHC")</f>
        <v>Good quality but a little too soft then it is easy to overflow, for safe cooking delicate NIOHC</v>
      </c>
    </row>
    <row r="14060">
      <c r="A14060" s="1">
        <v>4.0</v>
      </c>
      <c r="B14060" s="1" t="s">
        <v>13823</v>
      </c>
      <c r="C14060" t="str">
        <f>IFERROR(__xludf.DUMMYFUNCTION("GOOGLETRANSLATE(B14060, ""fr"", ""en"")"),"Pretty happy effect size a tad larger than what is expected (I took the XXL and it looks more like XXXL), but it can do it, that's a gift. Plastic, as mentioned, so no surprise, not too much for the winter but in spring or fall when it is cool. Wolves are"&amp;" beautiful")</f>
        <v>Pretty happy effect size a tad larger than what is expected (I took the XXL and it looks more like XXXL), but it can do it, that's a gift. Plastic, as mentioned, so no surprise, not too much for the winter but in spring or fall when it is cool. Wolves are beautiful</v>
      </c>
    </row>
    <row r="14061">
      <c r="A14061" s="1">
        <v>4.0</v>
      </c>
      <c r="B14061" s="1" t="s">
        <v>13824</v>
      </c>
      <c r="C14061" t="str">
        <f>IFERROR(__xludf.DUMMYFUNCTION("GOOGLETRANSLATE(B14061, ""fr"", ""en"")"),"Compliance Made of impact")</f>
        <v>Compliance Made of impact</v>
      </c>
    </row>
    <row r="14062">
      <c r="A14062" s="1">
        <v>4.0</v>
      </c>
      <c r="B14062" s="1" t="s">
        <v>13825</v>
      </c>
      <c r="C14062" t="str">
        <f>IFERROR(__xludf.DUMMYFUNCTION("GOOGLETRANSLATE(B14062, ""fr"", ""en"")"),"good product rather precise balance")</f>
        <v>good product rather precise balance</v>
      </c>
    </row>
    <row r="14063">
      <c r="A14063" s="1">
        <v>4.0</v>
      </c>
      <c r="B14063" s="1" t="s">
        <v>13826</v>
      </c>
      <c r="C14063" t="str">
        <f>IFERROR(__xludf.DUMMYFUNCTION("GOOGLETRANSLATE(B14063, ""fr"", ""en"")"),"Buying for a long road trip we used bought two helmets for our small binoculars to complete the purchase of portable DVD players, designed for a long drive. They were met and we also relatives. The colors are those of the pictures long enough cables.")</f>
        <v>Buying for a long road trip we used bought two helmets for our small binoculars to complete the purchase of portable DVD players, designed for a long drive. They were met and we also relatives. The colors are those of the pictures long enough cables.</v>
      </c>
    </row>
    <row r="14064">
      <c r="A14064" s="1">
        <v>5.0</v>
      </c>
      <c r="B14064" s="1" t="s">
        <v>13827</v>
      </c>
      <c r="C14064" t="str">
        <f>IFERROR(__xludf.DUMMYFUNCTION("GOOGLETRANSLATE(B14064, ""fr"", ""en"")"),"Very satifaite product very good quality Tetine product conforms to the announcement really happy I could change the bottle teats of my daughter 2months")</f>
        <v>Very satifaite product very good quality Tetine product conforms to the announcement really happy I could change the bottle teats of my daughter 2months</v>
      </c>
    </row>
    <row r="14065">
      <c r="A14065" s="1">
        <v>5.0</v>
      </c>
      <c r="B14065" s="1" t="s">
        <v>13828</v>
      </c>
      <c r="C14065" t="str">
        <f>IFERROR(__xludf.DUMMYFUNCTION("GOOGLETRANSLATE(B14065, ""fr"", ""en"")"),"a nice show to watch, that inspires confidence. Initially chosen as an auxiliary or emergency, it becomes your favorite daily shows.")</f>
        <v>a nice show to watch, that inspires confidence. Initially chosen as an auxiliary or emergency, it becomes your favorite daily shows.</v>
      </c>
    </row>
    <row r="14066">
      <c r="A14066" s="1">
        <v>5.0</v>
      </c>
      <c r="B14066" s="1" t="s">
        <v>13829</v>
      </c>
      <c r="C14066" t="str">
        <f>IFERROR(__xludf.DUMMYFUNCTION("GOOGLETRANSLATE(B14066, ""fr"", ""en"")"),"Perfect Super leggings, j'aime bcp I recommend very good")</f>
        <v>Perfect Super leggings, j'aime bcp I recommend very good</v>
      </c>
    </row>
    <row r="14067">
      <c r="A14067" s="1">
        <v>5.0</v>
      </c>
      <c r="B14067" s="1" t="s">
        <v>13830</v>
      </c>
      <c r="C14067" t="str">
        <f>IFERROR(__xludf.DUMMYFUNCTION("GOOGLETRANSLATE(B14067, ""fr"", ""en"")"),"Perfect I received my package quickly is a very good value, highly recommend these socks, finally found a good size for my husband")</f>
        <v>Perfect I received my package quickly is a very good value, highly recommend these socks, finally found a good size for my husband</v>
      </c>
    </row>
    <row r="14068">
      <c r="A14068" s="1">
        <v>5.0</v>
      </c>
      <c r="B14068" s="1" t="s">
        <v>13831</v>
      </c>
      <c r="C14068" t="str">
        <f>IFERROR(__xludf.DUMMYFUNCTION("GOOGLETRANSLATE(B14068, ""fr"", ""en"")"),"those are great shoes comfortable shoes and stylish. there is very good protection shell the tip of the shoe; to recommend")</f>
        <v>those are great shoes comfortable shoes and stylish. there is very good protection shell the tip of the shoe; to recommend</v>
      </c>
    </row>
    <row r="14069">
      <c r="A14069" s="1">
        <v>5.0</v>
      </c>
      <c r="B14069" s="1" t="s">
        <v>13832</v>
      </c>
      <c r="C14069" t="str">
        <f>IFERROR(__xludf.DUMMYFUNCTION("GOOGLETRANSLATE(B14069, ""fr"", ""en"")"),"Bigger than the biggest photo in the photo but very pretty. My wife is very satisfied")</f>
        <v>Bigger than the biggest photo in the photo but very pretty. My wife is very satisfied</v>
      </c>
    </row>
    <row r="14070">
      <c r="A14070" s="1">
        <v>5.0</v>
      </c>
      <c r="B14070" s="1" t="s">
        <v>13833</v>
      </c>
      <c r="C14070" t="str">
        <f>IFERROR(__xludf.DUMMYFUNCTION("GOOGLETRANSLATE(B14070, ""fr"", ""en"")"),"Beautiful l I have to order my darling for Christmas but she is gorgeous a very beautiful model in a black deliver ecrin I recommend")</f>
        <v>Beautiful l I have to order my darling for Christmas but she is gorgeous a very beautiful model in a black deliver ecrin I recommend</v>
      </c>
    </row>
    <row r="14071">
      <c r="A14071" s="1">
        <v>5.0</v>
      </c>
      <c r="B14071" s="1" t="s">
        <v>13834</v>
      </c>
      <c r="C14071" t="str">
        <f>IFERROR(__xludf.DUMMYFUNCTION("GOOGLETRANSLATE(B14071, ""fr"", ""en"")"),"Perfect is exactly what I look for, with these wooden baby teats much better bibi. fits the description. very good brand")</f>
        <v>Perfect is exactly what I look for, with these wooden baby teats much better bibi. fits the description. very good brand</v>
      </c>
    </row>
    <row r="14072">
      <c r="A14072" s="1">
        <v>5.0</v>
      </c>
      <c r="B14072" s="1" t="s">
        <v>13835</v>
      </c>
      <c r="C14072" t="str">
        <f>IFERROR(__xludf.DUMMYFUNCTION("GOOGLETRANSLATE(B14072, ""fr"", ""en"")"),"Havaianas Flip flops good quality shoes, never disappointed by Havaianas The size is perfect, it matches my usual size.")</f>
        <v>Havaianas Flip flops good quality shoes, never disappointed by Havaianas The size is perfect, it matches my usual size.</v>
      </c>
    </row>
    <row r="14073">
      <c r="A14073" s="1">
        <v>5.0</v>
      </c>
      <c r="B14073" s="1" t="s">
        <v>13836</v>
      </c>
      <c r="C14073" t="str">
        <f>IFERROR(__xludf.DUMMYFUNCTION("GOOGLETRANSLATE(B14073, ""fr"", ""en"")"),"Trainers Trainers confortabe very easy to put on, very light. It is very good in it. The size is perfect for walks .idéal, foot races or wear every jours.je highly recommend this product.")</f>
        <v>Trainers Trainers confortabe very easy to put on, very light. It is very good in it. The size is perfect for walks .idéal, foot races or wear every jours.je highly recommend this product.</v>
      </c>
    </row>
    <row r="14074">
      <c r="A14074" s="1">
        <v>5.0</v>
      </c>
      <c r="B14074" s="1" t="s">
        <v>13837</v>
      </c>
      <c r="C14074" t="str">
        <f>IFERROR(__xludf.DUMMYFUNCTION("GOOGLETRANSLATE(B14074, ""fr"", ""en"")"),"Thank you for the price and speed Very beautiful warm color sweater for winter")</f>
        <v>Thank you for the price and speed Very beautiful warm color sweater for winter</v>
      </c>
    </row>
    <row r="14075">
      <c r="A14075" s="1">
        <v>5.0</v>
      </c>
      <c r="B14075" s="1" t="s">
        <v>13838</v>
      </c>
      <c r="C14075" t="str">
        <f>IFERROR(__xludf.DUMMYFUNCTION("GOOGLETRANSLATE(B14075, ""fr"", ""en"")"),"Timberland Super pump. large size")</f>
        <v>Timberland Super pump. large size</v>
      </c>
    </row>
    <row r="14076">
      <c r="A14076" s="1">
        <v>5.0</v>
      </c>
      <c r="B14076" s="1" t="s">
        <v>13839</v>
      </c>
      <c r="C14076" t="str">
        <f>IFERROR(__xludf.DUMMYFUNCTION("GOOGLETRANSLATE(B14076, ""fr"", ""en"")"),"Good product Product that has met my expectations !!! Very nice color")</f>
        <v>Good product Product that has met my expectations !!! Very nice color</v>
      </c>
    </row>
    <row r="14077">
      <c r="A14077" s="1">
        <v>5.0</v>
      </c>
      <c r="B14077" s="1" t="s">
        <v>224</v>
      </c>
      <c r="C14077" t="str">
        <f>IFERROR(__xludf.DUMMYFUNCTION("GOOGLETRANSLATE(B14077, ""fr"", ""en"")"),"perfect perfect")</f>
        <v>perfect perfect</v>
      </c>
    </row>
    <row r="14078">
      <c r="A14078" s="1">
        <v>5.0</v>
      </c>
      <c r="B14078" s="1" t="s">
        <v>13840</v>
      </c>
      <c r="C14078" t="str">
        <f>IFERROR(__xludf.DUMMYFUNCTION("GOOGLETRANSLATE(B14078, ""fr"", ""en"")"),"sweet a little disappointed because a little too small ...")</f>
        <v>sweet a little disappointed because a little too small ...</v>
      </c>
    </row>
    <row r="14079">
      <c r="A14079" s="1">
        <v>2.0</v>
      </c>
      <c r="B14079" s="1" t="s">
        <v>13841</v>
      </c>
      <c r="C14079" t="str">
        <f>IFERROR(__xludf.DUMMYFUNCTION("GOOGLETRANSLATE(B14079, ""fr"", ""en"")"),"no manual no manual, just a few words on an old English saying embalage not to approach the sensitive equipment (computer, laptop, etc ...")</f>
        <v>no manual no manual, just a few words on an old English saying embalage not to approach the sensitive equipment (computer, laptop, etc ...</v>
      </c>
    </row>
    <row r="14080">
      <c r="A14080" s="1">
        <v>1.0</v>
      </c>
      <c r="B14080" s="1" t="s">
        <v>13842</v>
      </c>
      <c r="C14080" t="str">
        <f>IFERROR(__xludf.DUMMYFUNCTION("GOOGLETRANSLATE(B14080, ""fr"", ""en"")"),"Poduit not conform to the picture I have received the converse but except that the product does not match the picture because it is canvas, still I keep them because we always need the canvas converse if not nothing to say, but awfully disappointed !!!!!")</f>
        <v>Poduit not conform to the picture I have received the converse but except that the product does not match the picture because it is canvas, still I keep them because we always need the canvas converse if not nothing to say, but awfully disappointed !!!!!</v>
      </c>
    </row>
    <row r="14081">
      <c r="A14081" s="1">
        <v>1.0</v>
      </c>
      <c r="B14081" s="1" t="s">
        <v>13843</v>
      </c>
      <c r="C14081" t="str">
        <f>IFERROR(__xludf.DUMMYFUNCTION("GOOGLETRANSLATE(B14081, ""fr"", ""en"")"),"Disappointed After one wash off the champion logo")</f>
        <v>Disappointed After one wash off the champion logo</v>
      </c>
    </row>
    <row r="14082">
      <c r="A14082" s="1">
        <v>3.0</v>
      </c>
      <c r="B14082" s="1" t="s">
        <v>13844</v>
      </c>
      <c r="C14082" t="str">
        <f>IFERROR(__xludf.DUMMYFUNCTION("GOOGLETRANSLATE(B14082, ""fr"", ""en"")"),"converse mixed navy slightly larger than even bought there qq years .... same size Yet ... the mixed model is it larger than the female model?")</f>
        <v>converse mixed navy slightly larger than even bought there qq years .... same size Yet ... the mixed model is it larger than the female model?</v>
      </c>
    </row>
    <row r="14083">
      <c r="A14083" s="1">
        <v>4.0</v>
      </c>
      <c r="B14083" s="1" t="s">
        <v>13845</v>
      </c>
      <c r="C14083" t="str">
        <f>IFERROR(__xludf.DUMMYFUNCTION("GOOGLETRANSLATE(B14083, ""fr"", ""en"")"),"Provide a size more I read the comments because fortunately I ordered one size larger than usual. They are pretty but the more I find, lightly.")</f>
        <v>Provide a size more I read the comments because fortunately I ordered one size larger than usual. They are pretty but the more I find, lightly.</v>
      </c>
    </row>
    <row r="14084">
      <c r="A14084" s="1">
        <v>4.0</v>
      </c>
      <c r="B14084" s="1" t="s">
        <v>13846</v>
      </c>
      <c r="C14084" t="str">
        <f>IFERROR(__xludf.DUMMYFUNCTION("GOOGLETRANSLATE(B14084, ""fr"", ""en"")"),"Super convenient and affordable I love these bottles that sterilize all alone and avoid having to store and release a sterilizer grso. Good quality. The graduations 60ml to stop because of the cap and removable valve forcing to pay the rest of the bottle "&amp;"into the cap for measuring the remaining but frankly I am glad this")</f>
        <v>Super convenient and affordable I love these bottles that sterilize all alone and avoid having to store and release a sterilizer grso. Good quality. The graduations 60ml to stop because of the cap and removable valve forcing to pay the rest of the bottle into the cap for measuring the remaining but frankly I am glad this</v>
      </c>
    </row>
    <row r="14085">
      <c r="A14085" s="1">
        <v>4.0</v>
      </c>
      <c r="B14085" s="1" t="s">
        <v>13847</v>
      </c>
      <c r="C14085" t="str">
        <f>IFERROR(__xludf.DUMMYFUNCTION("GOOGLETRANSLATE(B14085, ""fr"", ""en"")"),"satisfied very comfortable size a little big I took of 38.5 38/39 but with soles that will")</f>
        <v>satisfied very comfortable size a little big I took of 38.5 38/39 but with soles that will</v>
      </c>
    </row>
    <row r="14086">
      <c r="A14086" s="1">
        <v>4.0</v>
      </c>
      <c r="B14086" s="1" t="s">
        <v>13848</v>
      </c>
      <c r="C14086" t="str">
        <f>IFERROR(__xludf.DUMMYFUNCTION("GOOGLETRANSLATE(B14086, ""fr"", ""en"")"),"With good product brand whose name is reminiscent of Rabbi Jacob, Solomon managed a good summary of what should be a sports shoe.")</f>
        <v>With good product brand whose name is reminiscent of Rabbi Jacob, Solomon managed a good summary of what should be a sports shoe.</v>
      </c>
    </row>
    <row r="14087">
      <c r="A14087" s="1">
        <v>5.0</v>
      </c>
      <c r="B14087" s="1" t="s">
        <v>13849</v>
      </c>
      <c r="C14087" t="str">
        <f>IFERROR(__xludf.DUMMYFUNCTION("GOOGLETRANSLATE(B14087, ""fr"", ""en"")"),"Convenient, discreet, efficient For securely attach adhesive ... very effective.")</f>
        <v>Convenient, discreet, efficient For securely attach adhesive ... very effective.</v>
      </c>
    </row>
    <row r="14088">
      <c r="A14088" s="1">
        <v>5.0</v>
      </c>
      <c r="B14088" s="1" t="s">
        <v>13850</v>
      </c>
      <c r="C14088" t="str">
        <f>IFERROR(__xludf.DUMMYFUNCTION("GOOGLETRANSLATE(B14088, ""fr"", ""en"")"),"Super helmet, highly functional with excellent Already 5 months of use, and it's always a pleasure. I highly recommend. Pros: - sound, balanced and excellent - very convenient controls on the headset: volume, pause, next track, previous track - good insul"&amp;"ation for others sound very little filter - the excellent battery life, plus the charging indicator appears on your smartphone, and the lovely voice that shows the status of the battery at each startup of the helmet - comfort - noise reduction, not impres"&amp;"sive, but enough Cons, or false good ideas: - automatic stop when you remove the headphones. When it works, it's nice. Unfortunately, it sometimes creates untimely cuts: the sound stops when you did ask. It happened to me almost always at Châtelet-les-Hal"&amp;"les RER between, for some reason ... Fortunately, this function is switched off. Since I removed the helmet is again super stable. And we take very quickly the reflex to pause a touch of the left earpiece before removing the headphones and turn it back on"&amp;" again with a single tap. In short, it's much better without! - commands from the headset sometimes do not work. Again, nothing serious, a turn-off is usually sufficient to resolve the concern. Aesthetically, it is rather successful and well finished. It'"&amp;"s big, so inevitably, with the headphones on, you will probably look like a geek lingered. But you'll be so glad this helmet you good laugh at what others think of you. And you are right.")</f>
        <v>Super helmet, highly functional with excellent Already 5 months of use, and it's always a pleasure. I highly recommend. Pros: - sound, balanced and excellent - very convenient controls on the headset: volume, pause, next track, previous track - good insulation for others sound very little filter - the excellent battery life, plus the charging indicator appears on your smartphone, and the lovely voice that shows the status of the battery at each startup of the helmet - comfort - noise reduction, not impressive, but enough Cons, or false good ideas: - automatic stop when you remove the headphones. When it works, it's nice. Unfortunately, it sometimes creates untimely cuts: the sound stops when you did ask. It happened to me almost always at Châtelet-les-Halles RER between, for some reason ... Fortunately, this function is switched off. Since I removed the helmet is again super stable. And we take very quickly the reflex to pause a touch of the left earpiece before removing the headphones and turn it back on again with a single tap. In short, it's much better without! - commands from the headset sometimes do not work. Again, nothing serious, a turn-off is usually sufficient to resolve the concern. Aesthetically, it is rather successful and well finished. It's big, so inevitably, with the headphones on, you will probably look like a geek lingered. But you'll be so glad this helmet you good laugh at what others think of you. And you are right.</v>
      </c>
    </row>
    <row r="14089">
      <c r="A14089" s="1">
        <v>5.0</v>
      </c>
      <c r="B14089" s="1" t="s">
        <v>13851</v>
      </c>
      <c r="C14089" t="str">
        <f>IFERROR(__xludf.DUMMYFUNCTION("GOOGLETRANSLATE(B14089, ""fr"", ""en"")"),"fast and efficient nickel product")</f>
        <v>fast and efficient nickel product</v>
      </c>
    </row>
    <row r="14090">
      <c r="A14090" s="1">
        <v>5.0</v>
      </c>
      <c r="B14090" s="1" t="s">
        <v>13852</v>
      </c>
      <c r="C14090" t="str">
        <f>IFERROR(__xludf.DUMMYFUNCTION("GOOGLETRANSLATE(B14090, ""fr"", ""en"")"),"Good Anti-pop Perfect, well hung at the microphone, I even had an elastic spare in case, fixed very easily and does not exceed.")</f>
        <v>Good Anti-pop Perfect, well hung at the microphone, I even had an elastic spare in case, fixed very easily and does not exceed.</v>
      </c>
    </row>
    <row r="14091">
      <c r="A14091" s="1">
        <v>5.0</v>
      </c>
      <c r="B14091" s="1" t="s">
        <v>13853</v>
      </c>
      <c r="C14091" t="str">
        <f>IFERROR(__xludf.DUMMYFUNCTION("GOOGLETRANSLATE(B14091, ""fr"", ""en"")"),"I am delighted that I command everyday door that is very nice to look at and to wear beautiful jewelry for a ridiculous price.")</f>
        <v>I am delighted that I command everyday door that is very nice to look at and to wear beautiful jewelry for a ridiculous price.</v>
      </c>
    </row>
    <row r="14092">
      <c r="A14092" s="1">
        <v>5.0</v>
      </c>
      <c r="B14092" s="1" t="s">
        <v>13854</v>
      </c>
      <c r="C14092" t="str">
        <f>IFERROR(__xludf.DUMMYFUNCTION("GOOGLETRANSLATE(B14092, ""fr"", ""en"")"),"Good Very good microphone microphone, superb value for money, allow to be understood in sessions of video games or when discussing discord, TeamSpeak or Skype. The cable is long enough to connect a fixed PC, and the little extra that makes fun, the microp"&amp;"hone is delivered in its small enough quality carrying case that will allow him not to take the dust!")</f>
        <v>Good Very good microphone microphone, superb value for money, allow to be understood in sessions of video games or when discussing discord, TeamSpeak or Skype. The cable is long enough to connect a fixed PC, and the little extra that makes fun, the microphone is delivered in its small enough quality carrying case that will allow him not to take the dust!</v>
      </c>
    </row>
    <row r="14093">
      <c r="A14093" s="1">
        <v>5.0</v>
      </c>
      <c r="B14093" s="1" t="s">
        <v>13855</v>
      </c>
      <c r="C14093" t="str">
        <f>IFERROR(__xludf.DUMMYFUNCTION("GOOGLETRANSLATE(B14093, ""fr"", ""en"")"),"I recommend effective product.")</f>
        <v>I recommend effective product.</v>
      </c>
    </row>
    <row r="14094">
      <c r="A14094" s="1">
        <v>5.0</v>
      </c>
      <c r="B14094" s="1" t="s">
        <v>13856</v>
      </c>
      <c r="C14094" t="str">
        <f>IFERROR(__xludf.DUMMYFUNCTION("GOOGLETRANSLATE(B14094, ""fr"", ""en"")"),"Perfect product perfectly consistent with the description, very nice color identical to the photos. Converse is up to our expectations. Very fast delivery")</f>
        <v>Perfect product perfectly consistent with the description, very nice color identical to the photos. Converse is up to our expectations. Very fast delivery</v>
      </c>
    </row>
    <row r="14095">
      <c r="A14095" s="1">
        <v>5.0</v>
      </c>
      <c r="B14095" s="1" t="s">
        <v>13857</v>
      </c>
      <c r="C14095" t="str">
        <f>IFERROR(__xludf.DUMMYFUNCTION("GOOGLETRANSLATE(B14095, ""fr"", ""en"")"),"Extra Small and great sound This unit; refill with bluetooth earphone is more compact than most of it in no way impairs the quality of sound, the bass is actually present. The appairement is easy with audio devices. Very good to have it in his bag because"&amp;" the place he takes. I am pleasantly surprised")</f>
        <v>Extra Small and great sound This unit; refill with bluetooth earphone is more compact than most of it in no way impairs the quality of sound, the bass is actually present. The appairement is easy with audio devices. Very good to have it in his bag because the place he takes. I am pleasantly surprised</v>
      </c>
    </row>
    <row r="14096">
      <c r="A14096" s="1">
        <v>5.0</v>
      </c>
      <c r="B14096" s="1" t="s">
        <v>13858</v>
      </c>
      <c r="C14096" t="str">
        <f>IFERROR(__xludf.DUMMYFUNCTION("GOOGLETRANSLATE(B14096, ""fr"", ""en"")"),"consistent original cartridges")</f>
        <v>consistent original cartridges</v>
      </c>
    </row>
    <row r="14097">
      <c r="A14097" s="1">
        <v>5.0</v>
      </c>
      <c r="B14097" s="1" t="s">
        <v>13859</v>
      </c>
      <c r="C14097" t="str">
        <f>IFERROR(__xludf.DUMMYFUNCTION("GOOGLETRANSLATE(B14097, ""fr"", ""en"")"),"very good coffee Very aesthetic and use more simple maintenance easy even against good calcaire.Tres Seller The only problem is the transit part of my package to arrive in the 62 55 (100km) from my home as the center of sorting nearest Homecourt 54310 and"&amp;" less than 5km from my home")</f>
        <v>very good coffee Very aesthetic and use more simple maintenance easy even against good calcaire.Tres Seller The only problem is the transit part of my package to arrive in the 62 55 (100km) from my home as the center of sorting nearest Homecourt 54310 and less than 5km from my home</v>
      </c>
    </row>
    <row r="14098">
      <c r="A14098" s="1">
        <v>5.0</v>
      </c>
      <c r="B14098" s="1" t="s">
        <v>13860</v>
      </c>
      <c r="C14098" t="str">
        <f>IFERROR(__xludf.DUMMYFUNCTION("GOOGLETRANSLATE(B14098, ""fr"", ""en"")"),"Okay Nothing wrong")</f>
        <v>Okay Nothing wrong</v>
      </c>
    </row>
    <row r="14099">
      <c r="A14099" s="1">
        <v>5.0</v>
      </c>
      <c r="B14099" s="1" t="s">
        <v>13861</v>
      </c>
      <c r="C14099" t="str">
        <f>IFERROR(__xludf.DUMMYFUNCTION("GOOGLETRANSLATE(B14099, ""fr"", ""en"")"),"Engineering Géniale too good I like i like I have nothing to say more mashallah too beaugosse vasy will thank you derieb")</f>
        <v>Engineering Géniale too good I like i like I have nothing to say more mashallah too beaugosse vasy will thank you derieb</v>
      </c>
    </row>
    <row r="14100">
      <c r="A14100" s="1">
        <v>5.0</v>
      </c>
      <c r="B14100" s="1" t="s">
        <v>13862</v>
      </c>
      <c r="C14100" t="str">
        <f>IFERROR(__xludf.DUMMYFUNCTION("GOOGLETRANSLATE(B14100, ""fr"", ""en"")"),"Amazed! I bought this pair of ear because I needed it for academic purposes for listening to videos in certain matters. I have therefore tested with music to have my own opinion of the quality of these headphones. Frankly I was surprised of the quality of"&amp;" sound for only 17.90 euros! I recommend them to anyone who wants a pair of earphone good quality without putting extravagant prices (for less than 20 euros).")</f>
        <v>Amazed! I bought this pair of ear because I needed it for academic purposes for listening to videos in certain matters. I have therefore tested with music to have my own opinion of the quality of these headphones. Frankly I was surprised of the quality of sound for only 17.90 euros! I recommend them to anyone who wants a pair of earphone good quality without putting extravagant prices (for less than 20 euros).</v>
      </c>
    </row>
    <row r="14101">
      <c r="A14101" s="1">
        <v>5.0</v>
      </c>
      <c r="B14101" s="1" t="s">
        <v>13863</v>
      </c>
      <c r="C14101" t="str">
        <f>IFERROR(__xludf.DUMMYFUNCTION("GOOGLETRANSLATE(B14101, ""fr"", ""en"")"),"Great coffee (beans) They really do a very good coffee. Jai tested with arabica grain and the machine has a lot of options. the water level can be adjusted, the strength of coffee, grain thickness. One can also set the number of cups and the time where th"&amp;"e coffee is. The design is really not bad and the machine does not take much space which is rather convenient. The manual is very well detailed for beginners like me who drink very little coffee. There are also 2 carafes available. You can make coffee as "&amp;"you like, without any problems. I recommend, even to the novice coffee! :)")</f>
        <v>Great coffee (beans) They really do a very good coffee. Jai tested with arabica grain and the machine has a lot of options. the water level can be adjusted, the strength of coffee, grain thickness. One can also set the number of cups and the time where the coffee is. The design is really not bad and the machine does not take much space which is rather convenient. The manual is very well detailed for beginners like me who drink very little coffee. There are also 2 carafes available. You can make coffee as you like, without any problems. I recommend, even to the novice coffee! :)</v>
      </c>
    </row>
    <row r="14102">
      <c r="A14102" s="1">
        <v>2.0</v>
      </c>
      <c r="B14102" s="1" t="s">
        <v>13864</v>
      </c>
      <c r="C14102" t="str">
        <f>IFERROR(__xludf.DUMMYFUNCTION("GOOGLETRANSLATE(B14102, ""fr"", ""en"")"),"Small, use with the help of an adult. Despite the low price, the 'gomettes' are very small and difficult for a child to use them without the help of an adult.")</f>
        <v>Small, use with the help of an adult. Despite the low price, the 'gomettes' are very small and difficult for a child to use them without the help of an adult.</v>
      </c>
    </row>
    <row r="14103">
      <c r="A14103" s="1">
        <v>1.0</v>
      </c>
      <c r="B14103" s="1" t="s">
        <v>13865</v>
      </c>
      <c r="C14103" t="str">
        <f>IFERROR(__xludf.DUMMYFUNCTION("GOOGLETRANSLATE(B14103, ""fr"", ""en"")"),"The product I received the product ordered not understand the product received I do not understand the product ordered")</f>
        <v>The product I received the product ordered not understand the product received I do not understand the product ordered</v>
      </c>
    </row>
    <row r="14104">
      <c r="A14104" s="1">
        <v>3.0</v>
      </c>
      <c r="B14104" s="1" t="s">
        <v>13866</v>
      </c>
      <c r="C14104" t="str">
        <f>IFERROR(__xludf.DUMMYFUNCTION("GOOGLETRANSLATE(B14104, ""fr"", ""en"")"),"Although a little tight at the end but after a few days my husband uses them ideal for work (walking all day)")</f>
        <v>Although a little tight at the end but after a few days my husband uses them ideal for work (walking all day)</v>
      </c>
    </row>
    <row r="14105">
      <c r="A14105" s="1">
        <v>3.0</v>
      </c>
      <c r="B14105" s="1" t="s">
        <v>13867</v>
      </c>
      <c r="C14105" t="str">
        <f>IFERROR(__xludf.DUMMYFUNCTION("GOOGLETRANSLATE(B14105, ""fr"", ""en"")"),"Pity soft material, staples before practice. Unfortunately too short under the breasts, I have not managed to staple it and yet it was my size. Too bad, I gave my mother makes a 85A")</f>
        <v>Pity soft material, staples before practice. Unfortunately too short under the breasts, I have not managed to staple it and yet it was my size. Too bad, I gave my mother makes a 85A</v>
      </c>
    </row>
    <row r="14106">
      <c r="A14106" s="1">
        <v>4.0</v>
      </c>
      <c r="B14106" s="1" t="s">
        <v>13868</v>
      </c>
      <c r="C14106" t="str">
        <f>IFERROR(__xludf.DUMMYFUNCTION("GOOGLETRANSLATE(B14106, ""fr"", ""en"")"),"OK for me Nice finish, hot. Original One feels so good inside")</f>
        <v>OK for me Nice finish, hot. Original One feels so good inside</v>
      </c>
    </row>
    <row r="14107">
      <c r="A14107" s="1">
        <v>4.0</v>
      </c>
      <c r="B14107" s="1" t="s">
        <v>13869</v>
      </c>
      <c r="C14107" t="str">
        <f>IFERROR(__xludf.DUMMYFUNCTION("GOOGLETRANSLATE(B14107, ""fr"", ""en"")"),"Corresponds to nickel that was desired")</f>
        <v>Corresponds to nickel that was desired</v>
      </c>
    </row>
    <row r="14108">
      <c r="A14108" s="1">
        <v>4.0</v>
      </c>
      <c r="B14108" s="1" t="s">
        <v>13870</v>
      </c>
      <c r="C14108" t="str">
        <f>IFERROR(__xludf.DUMMYFUNCTION("GOOGLETRANSLATE(B14108, ""fr"", ""en"")"),"Good quality shoes and pretty comfortable shoes, light. They are simple and go with any type of clothing, Casual while class. The only problem is the inside fabric which removes a cause of friction in the heel.")</f>
        <v>Good quality shoes and pretty comfortable shoes, light. They are simple and go with any type of clothing, Casual while class. The only problem is the inside fabric which removes a cause of friction in the heel.</v>
      </c>
    </row>
    <row r="14109">
      <c r="A14109" s="1">
        <v>4.0</v>
      </c>
      <c r="B14109" s="1" t="s">
        <v>13871</v>
      </c>
      <c r="C14109" t="str">
        <f>IFERROR(__xludf.DUMMYFUNCTION("GOOGLETRANSLATE(B14109, ""fr"", ""en"")"),"Vh It was not what I wanted was C long pants")</f>
        <v>Vh It was not what I wanted was C long pants</v>
      </c>
    </row>
    <row r="14110">
      <c r="A14110" s="1">
        <v>5.0</v>
      </c>
      <c r="B14110" s="1" t="s">
        <v>13872</v>
      </c>
      <c r="C14110" t="str">
        <f>IFERROR(__xludf.DUMMYFUNCTION("GOOGLETRANSLATE(B14110, ""fr"", ""en"")"),"This beautiful watch is superb, offered for a birthday present she had a happy (: (The bracelet with the ""rustic"" effect really gives style to this watch)")</f>
        <v>This beautiful watch is superb, offered for a birthday present she had a happy (: (The bracelet with the "rustic" effect really gives style to this watch)</v>
      </c>
    </row>
    <row r="14111">
      <c r="A14111" s="1">
        <v>5.0</v>
      </c>
      <c r="B14111" s="1" t="s">
        <v>13873</v>
      </c>
      <c r="C14111" t="str">
        <f>IFERROR(__xludf.DUMMYFUNCTION("GOOGLETRANSLATE(B14111, ""fr"", ""en"")"),"cozy foot shoe works impeccable, I took my taille38 and that's fine. I am not engaged in it. After 1 day of work with RAS. very light. I recommend")</f>
        <v>cozy foot shoe works impeccable, I took my taille38 and that's fine. I am not engaged in it. After 1 day of work with RAS. very light. I recommend</v>
      </c>
    </row>
    <row r="14112">
      <c r="A14112" s="1">
        <v>5.0</v>
      </c>
      <c r="B14112" s="1" t="s">
        <v>13874</v>
      </c>
      <c r="C14112" t="str">
        <f>IFERROR(__xludf.DUMMYFUNCTION("GOOGLETRANSLATE(B14112, ""fr"", ""en"")"),"Super Super bottles completely dismantled. They have us avoid regurgitation galore. As against anti colic that lessens the effect can be but do not eliminate")</f>
        <v>Super Super bottles completely dismantled. They have us avoid regurgitation galore. As against anti colic that lessens the effect can be but do not eliminate</v>
      </c>
    </row>
    <row r="14113">
      <c r="A14113" s="1">
        <v>5.0</v>
      </c>
      <c r="B14113" s="1" t="s">
        <v>13875</v>
      </c>
      <c r="C14113" t="str">
        <f>IFERROR(__xludf.DUMMYFUNCTION("GOOGLETRANSLATE(B14113, ""fr"", ""en"")"),"A sound exceptional cheap I just bought these Earbud Headphones Bluetooth to replace my old wired headset and I honestly do not expect such quality for 40 €. Sending fast and neat, The helmet is really very good quality, the quality of plastic is remarkab"&amp;"le both listeners that case. Once in the ear, they are very comfortable, light, and adhere properly insulate rather well from the surrounding noise. I did a test kit free hand on my S8, my partner and I have encountered no problems understanding and a tes"&amp;"t in music, rendering is quite stunning with clear treble and bass very present. I just change tracks and pause by tapping the central part and the green LED is rather pretty. Finally 4000 mAh autonomy is considerable for this type of product and the box "&amp;"also a charger which is rather useful, it even can charge smartphones. I highly recommend.")</f>
        <v>A sound exceptional cheap I just bought these Earbud Headphones Bluetooth to replace my old wired headset and I honestly do not expect such quality for 40 €. Sending fast and neat, The helmet is really very good quality, the quality of plastic is remarkable both listeners that case. Once in the ear, they are very comfortable, light, and adhere properly insulate rather well from the surrounding noise. I did a test kit free hand on my S8, my partner and I have encountered no problems understanding and a test in music, rendering is quite stunning with clear treble and bass very present. I just change tracks and pause by tapping the central part and the green LED is rather pretty. Finally 4000 mAh autonomy is considerable for this type of product and the box also a charger which is rather useful, it even can charge smartphones. I highly recommend.</v>
      </c>
    </row>
    <row r="14114">
      <c r="A14114" s="1">
        <v>5.0</v>
      </c>
      <c r="B14114" s="1" t="s">
        <v>13876</v>
      </c>
      <c r="C14114" t="str">
        <f>IFERROR(__xludf.DUMMYFUNCTION("GOOGLETRANSLATE(B14114, ""fr"", ""en"")"),"Good chest bag I was looking for a bag that is an intermediary between my backpack (which I use for day hikes) and my little bag that can hold my papers and my phone to take my things at conventions or when I'm in town. the bag is very convenient and I am"&amp;" pleasantly surprised by all that is possible to put there. It can store everything you could need to survive a day in the urban jungle. Every day, I take my lunch at noon, my bag with my papers, a notebook, my keys, my laptop battery, USB cable, a water "&amp;"bottle, a collapsible umbrella and my sunglasses. multifunctional chest bag, with a capacity of 12 L, can accommodate everything needed for daily use or for travel.")</f>
        <v>Good chest bag I was looking for a bag that is an intermediary between my backpack (which I use for day hikes) and my little bag that can hold my papers and my phone to take my things at conventions or when I'm in town. the bag is very convenient and I am pleasantly surprised by all that is possible to put there. It can store everything you could need to survive a day in the urban jungle. Every day, I take my lunch at noon, my bag with my papers, a notebook, my keys, my laptop battery, USB cable, a water bottle, a collapsible umbrella and my sunglasses. multifunctional chest bag, with a capacity of 12 L, can accommodate everything needed for daily use or for travel.</v>
      </c>
    </row>
    <row r="14115">
      <c r="A14115" s="1">
        <v>5.0</v>
      </c>
      <c r="B14115" s="1" t="s">
        <v>13877</v>
      </c>
      <c r="C14115" t="str">
        <f>IFERROR(__xludf.DUMMYFUNCTION("GOOGLETRANSLATE(B14115, ""fr"", ""en"")"),"Remarkable ease of use, fast up to temperature, said temperatures in the kettle is entirely satisfactory. Would recommend to customers seeking a serious product.")</f>
        <v>Remarkable ease of use, fast up to temperature, said temperatures in the kettle is entirely satisfactory. Would recommend to customers seeking a serious product.</v>
      </c>
    </row>
    <row r="14116">
      <c r="A14116" s="1">
        <v>5.0</v>
      </c>
      <c r="B14116" s="1" t="s">
        <v>13878</v>
      </c>
      <c r="C14116" t="str">
        <f>IFERROR(__xludf.DUMMYFUNCTION("GOOGLETRANSLATE(B14116, ""fr"", ""en"")"),"Perfect I highly recommend this awakening I am very satisfied with my purchase The clock is easy to use. The colors and light are very soft and the music is also very good. The sound quality is good and the intensity of light. It also serves as a bedside "&amp;"lamp. I am very happy and I recommend it. I think even buy another one for my kids")</f>
        <v>Perfect I highly recommend this awakening I am very satisfied with my purchase The clock is easy to use. The colors and light are very soft and the music is also very good. The sound quality is good and the intensity of light. It also serves as a bedside lamp. I am very happy and I recommend it. I think even buy another one for my kids</v>
      </c>
    </row>
    <row r="14117">
      <c r="A14117" s="1">
        <v>5.0</v>
      </c>
      <c r="B14117" s="1" t="s">
        <v>13879</v>
      </c>
      <c r="C14117" t="str">
        <f>IFERROR(__xludf.DUMMYFUNCTION("GOOGLETRANSLATE(B14117, ""fr"", ""en"")"),"I feel cool in this leggings! The material is top quality and there good size by putting the forms in value :) the pattern is beautiful too: nothing wrong, it really is a product that I recommend!")</f>
        <v>I feel cool in this leggings! The material is top quality and there good size by putting the forms in value :) the pattern is beautiful too: nothing wrong, it really is a product that I recommend!</v>
      </c>
    </row>
    <row r="14118">
      <c r="A14118" s="1">
        <v>5.0</v>
      </c>
      <c r="B14118" s="1" t="s">
        <v>1261</v>
      </c>
      <c r="C14118" t="str">
        <f>IFERROR(__xludf.DUMMYFUNCTION("GOOGLETRANSLATE(B14118, ""fr"", ""en"")"),"good good")</f>
        <v>good good</v>
      </c>
    </row>
    <row r="14119">
      <c r="A14119" s="1">
        <v>5.0</v>
      </c>
      <c r="B14119" s="1" t="s">
        <v>13880</v>
      </c>
      <c r="C14119" t="str">
        <f>IFERROR(__xludf.DUMMYFUNCTION("GOOGLETRANSLATE(B14119, ""fr"", ""en"")"),"Very comfortable I have offered my father since leaving only the more at home! It is very good.")</f>
        <v>Very comfortable I have offered my father since leaving only the more at home! It is very good.</v>
      </c>
    </row>
    <row r="14120">
      <c r="A14120" s="1">
        <v>5.0</v>
      </c>
      <c r="B14120" s="1" t="s">
        <v>13881</v>
      </c>
      <c r="C14120" t="str">
        <f>IFERROR(__xludf.DUMMYFUNCTION("GOOGLETRANSLATE(B14120, ""fr"", ""en"")"),"Facille use, good sound and comfortable I bought these headphones for use in cycling. Just remove the cover so they turn on automatically, it's really convenient. They take great load and the sound is really good for the price. Both headphones are also ta"&amp;"ctile, allowing to win, do not break or after just tap on it. For the price, I recommend them.")</f>
        <v>Facille use, good sound and comfortable I bought these headphones for use in cycling. Just remove the cover so they turn on automatically, it's really convenient. They take great load and the sound is really good for the price. Both headphones are also tactile, allowing to win, do not break or after just tap on it. For the price, I recommend them.</v>
      </c>
    </row>
    <row r="14121">
      <c r="A14121" s="1">
        <v>5.0</v>
      </c>
      <c r="B14121" s="1" t="s">
        <v>13882</v>
      </c>
      <c r="C14121" t="str">
        <f>IFERROR(__xludf.DUMMYFUNCTION("GOOGLETRANSLATE(B14121, ""fr"", ""en"")"),"very good helmet Hello Being deaf is a disability, not a punishment! And it does not prevent to love music! I needed a headset that allows me to keep my hearing aids, while bringing me listening comfort (and a great quality of sound reproduction). This is"&amp;" the case with these headphones AKG K240 MKII, which is comfortable to wear and does not get tired, do not clamp too, does not completely shut myself in my neighborhood (semi-open). It also allows me to replace conventional headphones of the iPod classic "&amp;"in which I stored my CDs, headphones I can not use, given the compulsory wearing my hearing aids. Complicated to be deaf! Fortunately, there is technology to help us a little ... a lot! cordially")</f>
        <v>very good helmet Hello Being deaf is a disability, not a punishment! And it does not prevent to love music! I needed a headset that allows me to keep my hearing aids, while bringing me listening comfort (and a great quality of sound reproduction). This is the case with these headphones AKG K240 MKII, which is comfortable to wear and does not get tired, do not clamp too, does not completely shut myself in my neighborhood (semi-open). It also allows me to replace conventional headphones of the iPod classic in which I stored my CDs, headphones I can not use, given the compulsory wearing my hearing aids. Complicated to be deaf! Fortunately, there is technology to help us a little ... a lot! cordially</v>
      </c>
    </row>
    <row r="14122">
      <c r="A14122" s="1">
        <v>5.0</v>
      </c>
      <c r="B14122" s="1" t="s">
        <v>13883</v>
      </c>
      <c r="C14122" t="str">
        <f>IFERROR(__xludf.DUMMYFUNCTION("GOOGLETRANSLATE(B14122, ""fr"", ""en"")"),"Quality, size, price, perfect Impeccable")</f>
        <v>Quality, size, price, perfect Impeccable</v>
      </c>
    </row>
    <row r="14123">
      <c r="A14123" s="1">
        <v>5.0</v>
      </c>
      <c r="B14123" s="1" t="s">
        <v>13884</v>
      </c>
      <c r="C14123" t="str">
        <f>IFERROR(__xludf.DUMMYFUNCTION("GOOGLETRANSLATE(B14123, ""fr"", ""en"")"),"Good Nice product")</f>
        <v>Good Nice product</v>
      </c>
    </row>
    <row r="14124">
      <c r="A14124" s="1">
        <v>5.0</v>
      </c>
      <c r="B14124" s="1" t="s">
        <v>13885</v>
      </c>
      <c r="C14124" t="str">
        <f>IFERROR(__xludf.DUMMYFUNCTION("GOOGLETRANSLATE(B14124, ""fr"", ""en"")"),"excellent!!! Purchase will not regret it.")</f>
        <v>excellent!!! Purchase will not regret it.</v>
      </c>
    </row>
    <row r="14125">
      <c r="A14125" s="1">
        <v>2.0</v>
      </c>
      <c r="B14125" s="1" t="s">
        <v>13886</v>
      </c>
      <c r="C14125" t="str">
        <f>IFERROR(__xludf.DUMMYFUNCTION("GOOGLETRANSLATE(B14125, ""fr"", ""en"")"),"Nice but not really slimming sneaker Nice color But in fact they are false sneakers slimming their shape Honestly they are worth $ 15 nor I feels to return I thought stronger")</f>
        <v>Nice but not really slimming sneaker Nice color But in fact they are false sneakers slimming their shape Honestly they are worth $ 15 nor I feels to return I thought stronger</v>
      </c>
    </row>
    <row r="14126">
      <c r="A14126" s="1">
        <v>1.0</v>
      </c>
      <c r="B14126" s="1" t="s">
        <v>13887</v>
      </c>
      <c r="C14126" t="str">
        <f>IFERROR(__xludf.DUMMYFUNCTION("GOOGLETRANSLATE(B14126, ""fr"", ""en"")"),"Price / quality: not terrible This wipes all of the brand Presto is of sufficient quality but if we look at its price, it is much too expensive. I say this by comparing the paper towel Okay the brand is no longer sold by Amazon. Okay the product is equiva"&amp;"lent to a price below 21 euros for this product and superior quality. The quality / price is not a price of 15-16 euros would be more appropriate for this product compared to the competition")</f>
        <v>Price / quality: not terrible This wipes all of the brand Presto is of sufficient quality but if we look at its price, it is much too expensive. I say this by comparing the paper towel Okay the brand is no longer sold by Amazon. Okay the product is equivalent to a price below 21 euros for this product and superior quality. The quality / price is not a price of 15-16 euros would be more appropriate for this product compared to the competition</v>
      </c>
    </row>
    <row r="14127">
      <c r="A14127" s="1">
        <v>1.0</v>
      </c>
      <c r="B14127" s="1" t="s">
        <v>13888</v>
      </c>
      <c r="C14127" t="str">
        <f>IFERROR(__xludf.DUMMYFUNCTION("GOOGLETRANSLATE(B14127, ""fr"", ""en"")"),"coat or jacket for me it is not a cloak for the month of April as right now for not worn éfficace")</f>
        <v>coat or jacket for me it is not a cloak for the month of April as right now for not worn éfficace</v>
      </c>
    </row>
    <row r="14128">
      <c r="A14128" s="1">
        <v>3.0</v>
      </c>
      <c r="B14128" s="1" t="s">
        <v>13889</v>
      </c>
      <c r="C14128" t="str">
        <f>IFERROR(__xludf.DUMMYFUNCTION("GOOGLETRANSLATE(B14128, ""fr"", ""en"")"),"No more aesthetically lovely. For cons the quality is reviewing, after a month of using the lid would not shut, a shame.")</f>
        <v>No more aesthetically lovely. For cons the quality is reviewing, after a month of using the lid would not shut, a shame.</v>
      </c>
    </row>
    <row r="14129">
      <c r="A14129" s="1">
        <v>3.0</v>
      </c>
      <c r="B14129" s="1" t="s">
        <v>13890</v>
      </c>
      <c r="C14129" t="str">
        <f>IFERROR(__xludf.DUMMYFUNCTION("GOOGLETRANSLATE(B14129, ""fr"", ""en"")"),"A nice dawn simulator, but some kinks! Having previously tested the dawn simulator ""Philips Light Awakening - HF3506 / 30 - Dawn Simulator with LED lamp (10 settings) interface and touch - Red"" who went into the children's room, we decided to opt for th"&amp;"is one. The dawn simulator is plastic mat, solid enough without being protected from breakage if it falls on your bedside table. It is also pretty light, which may suggest that it would be fragile. I still handles with care, because it is fairly expensive"&amp;". The lighting of the clock display is quite strong, but it is adjustable. It there's 4 levels of contrast. It's not as light figures that discomfort, but the backlight giving an orange halo effect, which can be annoying in the dark. The top buttons are w"&amp;"ell thought out, but I wish they would also appear at the display of the time, which would be easier to handle in the dark. Getting started was easy, everything is intuitive, and no one will need a +5 to adjust the tray. The notes are not easier to read; "&amp;"a paragraph will be written in 5 different languages, rather disconcerting. I've just needed to adjust the sound of the alarm clock. The clock precisely, let's talk. We can not change the length of the blade, it will be of 30 minutes. Light (adjustable fr"&amp;"om 1 to 20 to 20 being the maximum thus 300 lux) is very gradual and will be the maximum intensity set to the alarm time. Coupled with the light, you have a choice of 3 sounds to ring at the alarm time: - small chirping birds - a cuckoo in the forest / ju"&amp;"ngle - a short piece for piano that runs in a loop, you can use FM radio for your awakening if, like me, the piano puts you to sleep more than it wakes you up, or if you chirping birds make you want to draw your gun salt big (but not sparrows, it'll 5 min"&amp;"utes huh) the sound of the FM radio is in mono, the same clock radios that can be found in the trade. However, it is more than enough and quite audible to what is done. Small problem, however, you have to play with the cord as an antenna to properly hear "&amp;"some stations. To turn off the alarm clock, nothing more simple. You just press the small ""bell"" button at the top of the unit, then reactivated for the next day. You can also mute the radio and keep the light and vice versa. The dawn simulator also dus"&amp;"k simulator, which is adjustable from 25 to 40 minutes. Nevertheless, it can not to couple the music or FM radio, you will be light. The regret I have is that the LED bulb is not replaceable, and that's a big flaw. She may be expected to last seven years,"&amp;" it still bothers me to think that a complete unit leave in waste for a single bulb! Also, a USB port would have been welcome to add one of our songs for revival. Specifically, it's still a good product that I do not regret having bought. I do not want to"&amp;" throw my little alarm clock across the room, and I no longer wake with a start in the morning.")</f>
        <v>A nice dawn simulator, but some kinks! Having previously tested the dawn simulator "Philips Light Awakening - HF3506 / 30 - Dawn Simulator with LED lamp (10 settings) interface and touch - Red" who went into the children's room, we decided to opt for this one. The dawn simulator is plastic mat, solid enough without being protected from breakage if it falls on your bedside table. It is also pretty light, which may suggest that it would be fragile. I still handles with care, because it is fairly expensive. The lighting of the clock display is quite strong, but it is adjustable. It there's 4 levels of contrast. It's not as light figures that discomfort, but the backlight giving an orange halo effect, which can be annoying in the dark. The top buttons are well thought out, but I wish they would also appear at the display of the time, which would be easier to handle in the dark. Getting started was easy, everything is intuitive, and no one will need a +5 to adjust the tray. The notes are not easier to read; a paragraph will be written in 5 different languages, rather disconcerting. I've just needed to adjust the sound of the alarm clock. The clock precisely, let's talk. We can not change the length of the blade, it will be of 30 minutes. Light (adjustable from 1 to 20 to 20 being the maximum thus 300 lux) is very gradual and will be the maximum intensity set to the alarm time. Coupled with the light, you have a choice of 3 sounds to ring at the alarm time: - small chirping birds - a cuckoo in the forest / jungle - a short piece for piano that runs in a loop, you can use FM radio for your awakening if, like me, the piano puts you to sleep more than it wakes you up, or if you chirping birds make you want to draw your gun salt big (but not sparrows, it'll 5 minutes huh) the sound of the FM radio is in mono, the same clock radios that can be found in the trade. However, it is more than enough and quite audible to what is done. Small problem, however, you have to play with the cord as an antenna to properly hear some stations. To turn off the alarm clock, nothing more simple. You just press the small "bell" button at the top of the unit, then reactivated for the next day. You can also mute the radio and keep the light and vice versa. The dawn simulator also dusk simulator, which is adjustable from 25 to 40 minutes. Nevertheless, it can not to couple the music or FM radio, you will be light. The regret I have is that the LED bulb is not replaceable, and that's a big flaw. She may be expected to last seven years, it still bothers me to think that a complete unit leave in waste for a single bulb! Also, a USB port would have been welcome to add one of our songs for revival. Specifically, it's still a good product that I do not regret having bought. I do not want to throw my little alarm clock across the room, and I no longer wake with a start in the morning.</v>
      </c>
    </row>
    <row r="14130">
      <c r="A14130" s="1">
        <v>4.0</v>
      </c>
      <c r="B14130" s="1" t="s">
        <v>13891</v>
      </c>
      <c r="C14130" t="str">
        <f>IFERROR(__xludf.DUMMYFUNCTION("GOOGLETRANSLATE(B14130, ""fr"", ""en"")"),"FOSSIL CONNECTED shows connected beautiful design style ""vintage"" only regret really illegible date and implementation needed further worked")</f>
        <v>FOSSIL CONNECTED shows connected beautiful design style "vintage" only regret really illegible date and implementation needed further worked</v>
      </c>
    </row>
    <row r="14131">
      <c r="A14131" s="1">
        <v>4.0</v>
      </c>
      <c r="B14131" s="1" t="s">
        <v>13892</v>
      </c>
      <c r="C14131" t="str">
        <f>IFERROR(__xludf.DUMMYFUNCTION("GOOGLETRANSLATE(B14131, ""fr"", ""en"")"),"Delighted! A great value for money knowing it falls well despite the matter of which I'm not particularly a fan (I prefer cotton) but it has the mouth: equally suitable for the beach than for the office.")</f>
        <v>Delighted! A great value for money knowing it falls well despite the matter of which I'm not particularly a fan (I prefer cotton) but it has the mouth: equally suitable for the beach than for the office.</v>
      </c>
    </row>
    <row r="14132">
      <c r="A14132" s="1">
        <v>4.0</v>
      </c>
      <c r="B14132" s="1" t="s">
        <v>13893</v>
      </c>
      <c r="C14132" t="str">
        <f>IFERROR(__xludf.DUMMYFUNCTION("GOOGLETRANSLATE(B14132, ""fr"", ""en"")"),"RAS RAS a simple product")</f>
        <v>RAS RAS a simple product</v>
      </c>
    </row>
    <row r="14133">
      <c r="A14133" s="1">
        <v>4.0</v>
      </c>
      <c r="B14133" s="1" t="s">
        <v>13894</v>
      </c>
      <c r="C14133" t="str">
        <f>IFERROR(__xludf.DUMMYFUNCTION("GOOGLETRANSLATE(B14133, ""fr"", ""en"")"),"Printing perfect Works perfectly with Epson WF 2750. The black may be slightly less deep than the original cartridges but hardly noticeable. Direct observation printer cartridge change they are not Epson and asks if you want to continue. Just say yes. It'"&amp;"s been a month since everything works fine and I print about ten sheets per day.")</f>
        <v>Printing perfect Works perfectly with Epson WF 2750. The black may be slightly less deep than the original cartridges but hardly noticeable. Direct observation printer cartridge change they are not Epson and asks if you want to continue. Just say yes. It's been a month since everything works fine and I print about ten sheets per day.</v>
      </c>
    </row>
    <row r="14134">
      <c r="A14134" s="1">
        <v>5.0</v>
      </c>
      <c r="B14134" s="1" t="s">
        <v>13895</v>
      </c>
      <c r="C14134" t="str">
        <f>IFERROR(__xludf.DUMMYFUNCTION("GOOGLETRANSLATE(B14134, ""fr"", ""en"")"),"compliant bought to give to my mother who often cold and stiff neck, neck, shoulders, so I can not judge too personally but it is visibly delighted")</f>
        <v>compliant bought to give to my mother who often cold and stiff neck, neck, shoulders, so I can not judge too personally but it is visibly delighted</v>
      </c>
    </row>
    <row r="14135">
      <c r="A14135" s="1">
        <v>5.0</v>
      </c>
      <c r="B14135" s="1" t="s">
        <v>13896</v>
      </c>
      <c r="C14135" t="str">
        <f>IFERROR(__xludf.DUMMYFUNCTION("GOOGLETRANSLATE(B14135, ""fr"", ""en"")"),"so good masseur This is the second time I buy this product. After having bought and used, I found the very good effect. It can massage all parts of my feet. After using a masseur, I improved my sleep and strengthened my legs. Its treatment and its effects"&amp;" on health care is first class.")</f>
        <v>so good masseur This is the second time I buy this product. After having bought and used, I found the very good effect. It can massage all parts of my feet. After using a masseur, I improved my sleep and strengthened my legs. Its treatment and its effects on health care is first class.</v>
      </c>
    </row>
    <row r="14136">
      <c r="A14136" s="1">
        <v>5.0</v>
      </c>
      <c r="B14136" s="1" t="s">
        <v>13897</v>
      </c>
      <c r="C14136" t="str">
        <f>IFERROR(__xludf.DUMMYFUNCTION("GOOGLETRANSLATE(B14136, ""fr"", ""en"")"),"Bravo remarkable quality used daily in Shoulder: great !!")</f>
        <v>Bravo remarkable quality used daily in Shoulder: great !!</v>
      </c>
    </row>
    <row r="14137">
      <c r="A14137" s="1">
        <v>5.0</v>
      </c>
      <c r="B14137" s="1" t="s">
        <v>13898</v>
      </c>
      <c r="C14137" t="str">
        <f>IFERROR(__xludf.DUMMYFUNCTION("GOOGLETRANSLATE(B14137, ""fr"", ""en"")"),"Perfect pendant offered for 13 years of a girl. Style very suitable for a young, consistent with the picture. Both romantic and modern.")</f>
        <v>Perfect pendant offered for 13 years of a girl. Style very suitable for a young, consistent with the picture. Both romantic and modern.</v>
      </c>
    </row>
    <row r="14138">
      <c r="A14138" s="1">
        <v>5.0</v>
      </c>
      <c r="B14138" s="1" t="s">
        <v>13899</v>
      </c>
      <c r="C14138" t="str">
        <f>IFERROR(__xludf.DUMMYFUNCTION("GOOGLETRANSLATE(B14138, ""fr"", ""en"")"),"Well Recommended nothing to say about this practice take practice to use practice to clean all practical short But what is unfortunate is that only three I would have liked a bit more but hey we can not be especially happy")</f>
        <v>Well Recommended nothing to say about this practice take practice to use practice to clean all practical short But what is unfortunate is that only three I would have liked a bit more but hey we can not be especially happy</v>
      </c>
    </row>
    <row r="14139">
      <c r="A14139" s="1">
        <v>5.0</v>
      </c>
      <c r="B14139" s="1" t="s">
        <v>13900</v>
      </c>
      <c r="C14139" t="str">
        <f>IFERROR(__xludf.DUMMYFUNCTION("GOOGLETRANSLATE(B14139, ""fr"", ""en"")"),"Delighted product complies with the specification. Refer to the size chart. pleasant material and keeps well.")</f>
        <v>Delighted product complies with the specification. Refer to the size chart. pleasant material and keeps well.</v>
      </c>
    </row>
    <row r="14140">
      <c r="A14140" s="1">
        <v>5.0</v>
      </c>
      <c r="B14140" s="1" t="s">
        <v>204</v>
      </c>
      <c r="C14140" t="str">
        <f>IFERROR(__xludf.DUMMYFUNCTION("GOOGLETRANSLATE(B14140, ""fr"", ""en"")"),"Top Top")</f>
        <v>Top Top</v>
      </c>
    </row>
    <row r="14141">
      <c r="A14141" s="1">
        <v>5.0</v>
      </c>
      <c r="B14141" s="1" t="s">
        <v>13901</v>
      </c>
      <c r="C14141" t="str">
        <f>IFERROR(__xludf.DUMMYFUNCTION("GOOGLETRANSLATE(B14141, ""fr"", ""en"")"),"Bluetooth Headphones Black bought a birthday present for a teenager. He is delighted ! Very good sound, activated Bluetooth on the tablet. Delivered in a box with instructions, accessories (cables ...) and storage pocket. I recommend ++")</f>
        <v>Bluetooth Headphones Black bought a birthday present for a teenager. He is delighted ! Very good sound, activated Bluetooth on the tablet. Delivered in a box with instructions, accessories (cables ...) and storage pocket. I recommend ++</v>
      </c>
    </row>
    <row r="14142">
      <c r="A14142" s="1">
        <v>5.0</v>
      </c>
      <c r="B14142" s="1" t="s">
        <v>13902</v>
      </c>
      <c r="C14142" t="str">
        <f>IFERROR(__xludf.DUMMYFUNCTION("GOOGLETRANSLATE(B14142, ""fr"", ""en"")"),"superb watch line with the picture! Very nice watch in high quality design, beautiful leather strap (for those who take this model) remains to be seen durability in time! For 37 euros is entirely correct!")</f>
        <v>superb watch line with the picture! Very nice watch in high quality design, beautiful leather strap (for those who take this model) remains to be seen durability in time! For 37 euros is entirely correct!</v>
      </c>
    </row>
    <row r="14143">
      <c r="A14143" s="1">
        <v>5.0</v>
      </c>
      <c r="B14143" s="1" t="s">
        <v>13903</v>
      </c>
      <c r="C14143" t="str">
        <f>IFERROR(__xludf.DUMMYFUNCTION("GOOGLETRANSLATE(B14143, ""fr"", ""en"")"),"Boots nice and waterproof These boots are very comfortable, I chose a size above what I advise, it perfectly fit me are friendly and practical to wear in rain and snow. Chosen blue for my part I love.")</f>
        <v>Boots nice and waterproof These boots are very comfortable, I chose a size above what I advise, it perfectly fit me are friendly and practical to wear in rain and snow. Chosen blue for my part I love.</v>
      </c>
    </row>
    <row r="14144">
      <c r="A14144" s="1">
        <v>5.0</v>
      </c>
      <c r="B14144" s="1" t="s">
        <v>13904</v>
      </c>
      <c r="C14144" t="str">
        <f>IFERROR(__xludf.DUMMYFUNCTION("GOOGLETRANSLATE(B14144, ""fr"", ""en"")"),"For audiophiles the world is divided into two categories; Those who listen to music and those who appreciate .... Accustomed high-end headphones (B &amp; amp; O, Bose, Sehneizer, Sony) especially the last as WH 1000X M3 or QC 35 to noise reduction, this is my"&amp;" first open headphones. Surprising and stunning! Have a drink, ice cubes and sit back and listen Edvard Grieg - Peer Gynt Suite No. 1 Op 46. Close your eyes and ..... Play Maestro.! Beautiful opening sound balanced and measured Lower: just enough PLEASE A"&amp;"VOID THE MP3 Accustomed Beats or skullcandy ....... go your way")</f>
        <v>For audiophiles the world is divided into two categories; Those who listen to music and those who appreciate .... Accustomed high-end headphones (B &amp; amp; O, Bose, Sehneizer, Sony) especially the last as WH 1000X M3 or QC 35 to noise reduction, this is my first open headphones. Surprising and stunning! Have a drink, ice cubes and sit back and listen Edvard Grieg - Peer Gynt Suite No. 1 Op 46. Close your eyes and ..... Play Maestro.! Beautiful opening sound balanced and measured Lower: just enough PLEASE AVOID THE MP3 Accustomed Beats or skullcandy ....... go your way</v>
      </c>
    </row>
    <row r="14145">
      <c r="A14145" s="1">
        <v>5.0</v>
      </c>
      <c r="B14145" s="1" t="s">
        <v>13905</v>
      </c>
      <c r="C14145" t="str">
        <f>IFERROR(__xludf.DUMMYFUNCTION("GOOGLETRANSLATE(B14145, ""fr"", ""en"")"),"Super Top quality. Already many products of this brand. 👍👍")</f>
        <v>Super Top quality. Already many products of this brand. 👍👍</v>
      </c>
    </row>
    <row r="14146">
      <c r="A14146" s="1">
        <v>5.0</v>
      </c>
      <c r="B14146" s="1" t="s">
        <v>13906</v>
      </c>
      <c r="C14146" t="str">
        <f>IFERROR(__xludf.DUMMYFUNCTION("GOOGLETRANSLATE(B14146, ""fr"", ""en"")"),"Ras J recommends")</f>
        <v>Ras J recommends</v>
      </c>
    </row>
    <row r="14147">
      <c r="A14147" s="1">
        <v>5.0</v>
      </c>
      <c r="B14147" s="1" t="s">
        <v>13907</v>
      </c>
      <c r="C14147" t="str">
        <f>IFERROR(__xludf.DUMMYFUNCTION("GOOGLETRANSLATE(B14147, ""fr"", ""en"")"),"Super Lovely dress. Good material !! The color is perfect. Thank you 😊 I'm satisfied !!")</f>
        <v>Super Lovely dress. Good material !! The color is perfect. Thank you 😊 I'm satisfied !!</v>
      </c>
    </row>
    <row r="14148">
      <c r="A14148" s="1">
        <v>5.0</v>
      </c>
      <c r="B14148" s="1" t="s">
        <v>13908</v>
      </c>
      <c r="C14148" t="str">
        <f>IFERROR(__xludf.DUMMYFUNCTION("GOOGLETRANSLATE(B14148, ""fr"", ""en"")"),"For a perfect tea, Krups here offers a special tea machine. It is very easy to use and works like a coffee machine: put water in it heats then insert your tea and large more this machine recognizes each capsule of tea infusion to allow the degree and to t"&amp;"he second . The machine comes with 10 capsules to be tested. As always with Krupps it will provide capsules only from the manufacturer, which are expensive.")</f>
        <v>For a perfect tea, Krups here offers a special tea machine. It is very easy to use and works like a coffee machine: put water in it heats then insert your tea and large more this machine recognizes each capsule of tea infusion to allow the degree and to the second . The machine comes with 10 capsules to be tested. As always with Krupps it will provide capsules only from the manufacturer, which are expensive.</v>
      </c>
    </row>
    <row r="14149">
      <c r="A14149" s="1">
        <v>2.0</v>
      </c>
      <c r="B14149" s="1" t="s">
        <v>13909</v>
      </c>
      <c r="C14149" t="str">
        <f>IFERROR(__xludf.DUMMYFUNCTION("GOOGLETRANSLATE(B14149, ""fr"", ""en"")"),"Bad ... Not tight at all, at first it looks like it works well but if you wait a few days the air penetrates intèrieur!")</f>
        <v>Bad ... Not tight at all, at first it looks like it works well but if you wait a few days the air penetrates intèrieur!</v>
      </c>
    </row>
    <row r="14150">
      <c r="A14150" s="1">
        <v>1.0</v>
      </c>
      <c r="B14150" s="1" t="s">
        <v>13910</v>
      </c>
      <c r="C14150" t="str">
        <f>IFERROR(__xludf.DUMMYFUNCTION("GOOGLETRANSLATE(B14150, ""fr"", ""en"")"),"No one puts a very expensive because infinite time to heat")</f>
        <v>No one puts a very expensive because infinite time to heat</v>
      </c>
    </row>
    <row r="14151">
      <c r="A14151" s="1">
        <v>1.0</v>
      </c>
      <c r="B14151" s="1" t="s">
        <v>13911</v>
      </c>
      <c r="C14151" t="str">
        <f>IFERROR(__xludf.DUMMYFUNCTION("GOOGLETRANSLATE(B14151, ""fr"", ""en"")"),"Ad does not match the product I just got to the pump for operation at 9 meters deep in the ad. hor it is stipulated on manual as well as packaging maximum depth of 5 meters. Obviously I am not satisfied with the package and leave again to the sender witho"&amp;"ut being out of the box ....")</f>
        <v>Ad does not match the product I just got to the pump for operation at 9 meters deep in the ad. hor it is stipulated on manual as well as packaging maximum depth of 5 meters. Obviously I am not satisfied with the package and leave again to the sender without being out of the box ....</v>
      </c>
    </row>
    <row r="14152">
      <c r="A14152" s="1">
        <v>3.0</v>
      </c>
      <c r="B14152" s="1" t="s">
        <v>13912</v>
      </c>
      <c r="C14152" t="str">
        <f>IFERROR(__xludf.DUMMYFUNCTION("GOOGLETRANSLATE(B14152, ""fr"", ""en"")"),"French-French shows very nice delivery impex nothing to say as usual, but the wristband of the watch opens often alone (he does not take it right)")</f>
        <v>French-French shows very nice delivery impex nothing to say as usual, but the wristband of the watch opens often alone (he does not take it right)</v>
      </c>
    </row>
    <row r="14153">
      <c r="A14153" s="1">
        <v>4.0</v>
      </c>
      <c r="B14153" s="1" t="s">
        <v>13913</v>
      </c>
      <c r="C14153" t="str">
        <f>IFERROR(__xludf.DUMMYFUNCTION("GOOGLETRANSLATE(B14153, ""fr"", ""en"")"),"The high quality product is of very good quality, thick and reusable. French manufacturing is a plus.")</f>
        <v>The high quality product is of very good quality, thick and reusable. French manufacturing is a plus.</v>
      </c>
    </row>
    <row r="14154">
      <c r="A14154" s="1">
        <v>4.0</v>
      </c>
      <c r="B14154" s="1" t="s">
        <v>13914</v>
      </c>
      <c r="C14154" t="str">
        <f>IFERROR(__xludf.DUMMYFUNCTION("GOOGLETRANSLATE(B14154, ""fr"", ""en"")"),"estimated sneakers deliver predates delighted with this item no need to put € 200 into a true pairs! niquel size")</f>
        <v>estimated sneakers deliver predates delighted with this item no need to put € 200 into a true pairs! niquel size</v>
      </c>
    </row>
    <row r="14155">
      <c r="A14155" s="1">
        <v>4.0</v>
      </c>
      <c r="B14155" s="1" t="s">
        <v>13915</v>
      </c>
      <c r="C14155" t="str">
        <f>IFERROR(__xludf.DUMMYFUNCTION("GOOGLETRANSLATE(B14155, ""fr"", ""en"")"),"Okay This is not haute couture, but they are very good, I love the pocket in the middle! I use them very often!")</f>
        <v>Okay This is not haute couture, but they are very good, I love the pocket in the middle! I use them very often!</v>
      </c>
    </row>
    <row r="14156">
      <c r="A14156" s="1">
        <v>4.0</v>
      </c>
      <c r="B14156" s="1" t="s">
        <v>13916</v>
      </c>
      <c r="C14156" t="str">
        <f>IFERROR(__xludf.DUMMYFUNCTION("GOOGLETRANSLATE(B14156, ""fr"", ""en"")"),"top flush")</f>
        <v>top flush</v>
      </c>
    </row>
    <row r="14157">
      <c r="A14157" s="1">
        <v>5.0</v>
      </c>
      <c r="B14157" s="1" t="s">
        <v>13917</v>
      </c>
      <c r="C14157" t="str">
        <f>IFERROR(__xludf.DUMMYFUNCTION("GOOGLETRANSLATE(B14157, ""fr"", ""en"")"),"Pleasant to wear slipper")</f>
        <v>Pleasant to wear slipper</v>
      </c>
    </row>
    <row r="14158">
      <c r="A14158" s="1">
        <v>5.0</v>
      </c>
      <c r="B14158" s="1" t="s">
        <v>13918</v>
      </c>
      <c r="C14158" t="str">
        <f>IFERROR(__xludf.DUMMYFUNCTION("GOOGLETRANSLATE(B14158, ""fr"", ""en"")"),"Great. As always with Xiaomi, we are not disappointed. Simple to use, lightweight, perfect for sports.")</f>
        <v>Great. As always with Xiaomi, we are not disappointed. Simple to use, lightweight, perfect for sports.</v>
      </c>
    </row>
    <row r="14159">
      <c r="A14159" s="1">
        <v>5.0</v>
      </c>
      <c r="B14159" s="1" t="s">
        <v>13919</v>
      </c>
      <c r="C14159" t="str">
        <f>IFERROR(__xludf.DUMMYFUNCTION("GOOGLETRANSLATE(B14159, ""fr"", ""en"")"),"Tracksuit. RAS Perfect")</f>
        <v>Tracksuit. RAS Perfect</v>
      </c>
    </row>
    <row r="14160">
      <c r="A14160" s="1">
        <v>5.0</v>
      </c>
      <c r="B14160" s="1" t="s">
        <v>13920</v>
      </c>
      <c r="C14160" t="str">
        <f>IFERROR(__xludf.DUMMYFUNCTION("GOOGLETRANSLATE(B14160, ""fr"", ""en"")"),"Lovely Lovely")</f>
        <v>Lovely Lovely</v>
      </c>
    </row>
    <row r="14161">
      <c r="A14161" s="1">
        <v>5.0</v>
      </c>
      <c r="B14161" s="1" t="s">
        <v>13921</v>
      </c>
      <c r="C14161" t="str">
        <f>IFERROR(__xludf.DUMMYFUNCTION("GOOGLETRANSLATE(B14161, ""fr"", ""en"")"),"Great product Very nice comfortable basketball")</f>
        <v>Great product Very nice comfortable basketball</v>
      </c>
    </row>
    <row r="14162">
      <c r="A14162" s="1">
        <v>5.0</v>
      </c>
      <c r="B14162" s="1" t="s">
        <v>13922</v>
      </c>
      <c r="C14162" t="str">
        <f>IFERROR(__xludf.DUMMYFUNCTION("GOOGLETRANSLATE(B14162, ""fr"", ""en"")"),"Okay Good quality, good grip.")</f>
        <v>Okay Good quality, good grip.</v>
      </c>
    </row>
    <row r="14163">
      <c r="A14163" s="1">
        <v>5.0</v>
      </c>
      <c r="B14163" s="1" t="s">
        <v>13923</v>
      </c>
      <c r="C14163" t="str">
        <f>IFERROR(__xludf.DUMMYFUNCTION("GOOGLETRANSLATE(B14163, ""fr"", ""en"")"),"basketball shoe runing not disappointed the material very good shoe to the foot, mild and good quality is incredible advantage does not sweat in great I highly recommend")</f>
        <v>basketball shoe runing not disappointed the material very good shoe to the foot, mild and good quality is incredible advantage does not sweat in great I highly recommend</v>
      </c>
    </row>
    <row r="14164">
      <c r="A14164" s="1">
        <v>5.0</v>
      </c>
      <c r="B14164" s="1" t="s">
        <v>13924</v>
      </c>
      <c r="C14164" t="str">
        <f>IFERROR(__xludf.DUMMYFUNCTION("GOOGLETRANSLATE(B14164, ""fr"", ""en"")"),"Good price and good finishes For the price, go for the eyes closed. It feels more solid than my previous in the same price range. Only default, front pockets under the flap deserved closure, and front zipper is a little small. I ripped the logo to make it"&amp;" more casual")</f>
        <v>Good price and good finishes For the price, go for the eyes closed. It feels more solid than my previous in the same price range. Only default, front pockets under the flap deserved closure, and front zipper is a little small. I ripped the logo to make it more casual</v>
      </c>
    </row>
    <row r="14165">
      <c r="A14165" s="1">
        <v>5.0</v>
      </c>
      <c r="B14165" s="1" t="s">
        <v>13925</v>
      </c>
      <c r="C14165" t="str">
        <f>IFERROR(__xludf.DUMMYFUNCTION("GOOGLETRANSLATE(B14165, ""fr"", ""en"")"),"Photo album. Album for pictures 15X10, good quality. The sleeves are solid. Opportunity to comment on each photo. Would recommend without moderation.")</f>
        <v>Photo album. Album for pictures 15X10, good quality. The sleeves are solid. Opportunity to comment on each photo. Would recommend without moderation.</v>
      </c>
    </row>
    <row r="14166">
      <c r="A14166" s="1">
        <v>5.0</v>
      </c>
      <c r="B14166" s="1" t="s">
        <v>13926</v>
      </c>
      <c r="C14166" t="str">
        <f>IFERROR(__xludf.DUMMYFUNCTION("GOOGLETRANSLATE(B14166, ""fr"", ""en"")"),"Elegant and efficient! What more can be said ? I am delighted and it never leaves me.")</f>
        <v>Elegant and efficient! What more can be said ? I am delighted and it never leaves me.</v>
      </c>
    </row>
    <row r="14167">
      <c r="A14167" s="1">
        <v>5.0</v>
      </c>
      <c r="B14167" s="1" t="s">
        <v>13927</v>
      </c>
      <c r="C14167" t="str">
        <f>IFERROR(__xludf.DUMMYFUNCTION("GOOGLETRANSLATE(B14167, ""fr"", ""en"")"),"beautiful watch quality and affordable price. nice watch, good quality, I do not regret my purchase.")</f>
        <v>beautiful watch quality and affordable price. nice watch, good quality, I do not regret my purchase.</v>
      </c>
    </row>
    <row r="14168">
      <c r="A14168" s="1">
        <v>5.0</v>
      </c>
      <c r="B14168" s="1" t="s">
        <v>13928</v>
      </c>
      <c r="C14168" t="str">
        <f>IFERROR(__xludf.DUMMYFUNCTION("GOOGLETRANSLATE(B14168, ""fr"", ""en"")"),"Forward feel I am very satisfied with these cartridges, they have a length significantly higher than the ones I was using before (HP brand), to me the impressions at all costs! If I chipotais I would say that the colors are not as ""clear / dark"" but it "&amp;"suits me just the same. I recommend and I will redeem sure.")</f>
        <v>Forward feel I am very satisfied with these cartridges, they have a length significantly higher than the ones I was using before (HP brand), to me the impressions at all costs! If I chipotais I would say that the colors are not as "clear / dark" but it suits me just the same. I recommend and I will redeem sure.</v>
      </c>
    </row>
    <row r="14169">
      <c r="A14169" s="1">
        <v>5.0</v>
      </c>
      <c r="B14169" s="1" t="s">
        <v>13929</v>
      </c>
      <c r="C14169" t="str">
        <f>IFERROR(__xludf.DUMMYFUNCTION("GOOGLETRANSLATE(B14169, ""fr"", ""en"")"),"Quality okay not great but good record")</f>
        <v>Quality okay not great but good record</v>
      </c>
    </row>
    <row r="14170">
      <c r="A14170" s="1">
        <v>5.0</v>
      </c>
      <c r="B14170" s="1" t="s">
        <v>13930</v>
      </c>
      <c r="C14170" t="str">
        <f>IFERROR(__xludf.DUMMYFUNCTION("GOOGLETRANSLATE(B14170, ""fr"", ""en"")"),"Beautiful product !!! Super sized and correctly !!!!")</f>
        <v>Beautiful product !!! Super sized and correctly !!!!</v>
      </c>
    </row>
    <row r="14171">
      <c r="A14171" s="1">
        <v>5.0</v>
      </c>
      <c r="B14171" s="1" t="s">
        <v>13931</v>
      </c>
      <c r="C14171" t="str">
        <f>IFERROR(__xludf.DUMMYFUNCTION("GOOGLETRANSLATE(B14171, ""fr"", ""en"")"),"Cool Beautiful flexible and very comfortable shoe")</f>
        <v>Cool Beautiful flexible and very comfortable shoe</v>
      </c>
    </row>
    <row r="14172">
      <c r="A14172" s="1">
        <v>2.0</v>
      </c>
      <c r="B14172" s="1" t="s">
        <v>13932</v>
      </c>
      <c r="C14172" t="str">
        <f>IFERROR(__xludf.DUMMYFUNCTION("GOOGLETRANSLATE(B14172, ""fr"", ""en"")"),"too expensive for what it is .... a few pieces of plastic! a bit pricey for what it is !!!!")</f>
        <v>too expensive for what it is .... a few pieces of plastic! a bit pricey for what it is !!!!</v>
      </c>
    </row>
    <row r="14173">
      <c r="A14173" s="1">
        <v>1.0</v>
      </c>
      <c r="B14173" s="1" t="s">
        <v>13933</v>
      </c>
      <c r="C14173" t="str">
        <f>IFERROR(__xludf.DUMMYFUNCTION("GOOGLETRANSLATE(B14173, ""fr"", ""en"")"),"casio watch 58U I bought this watch from Amazon she had to reset the time automatically with the time change, but I quickly became disillusioned: the beginning of my purchase, everything was fine, but after 2 years ago, she began to recover systematically"&amp;" at 1/1/2005 once or twice a month and now I can not wear it, it goes wrong once or twice daily. Given that we must repeat the entire cycle to reset the time, date, etc ... we quickly tired, you want only one thing is to slam down. This watch is not a bar"&amp;"gain but rather a calamity; in any case, mine. I wore my choice on Casio thinking it was a serious and great brand?")</f>
        <v>casio watch 58U I bought this watch from Amazon she had to reset the time automatically with the time change, but I quickly became disillusioned: the beginning of my purchase, everything was fine, but after 2 years ago, she began to recover systematically at 1/1/2005 once or twice a month and now I can not wear it, it goes wrong once or twice daily. Given that we must repeat the entire cycle to reset the time, date, etc ... we quickly tired, you want only one thing is to slam down. This watch is not a bargain but rather a calamity; in any case, mine. I wore my choice on Casio thinking it was a serious and great brand?</v>
      </c>
    </row>
    <row r="14174">
      <c r="A14174" s="1">
        <v>3.0</v>
      </c>
      <c r="B14174" s="1" t="s">
        <v>13934</v>
      </c>
      <c r="C14174" t="str">
        <f>IFERROR(__xludf.DUMMYFUNCTION("GOOGLETRANSLATE(B14174, ""fr"", ""en"")"),"Bad I already had headphones like those there but I thought they were better. But I am extremely disappointed. The sound is quite acute (I have a soft spot for bass, but there is none), they do not reduce noise. They held 4 hours continuous listening, 30 "&amp;"minutes longer than my previous headphones. What I like, however, is the fact that the housing is a battery backup is a good addition. But I will send them back.")</f>
        <v>Bad I already had headphones like those there but I thought they were better. But I am extremely disappointed. The sound is quite acute (I have a soft spot for bass, but there is none), they do not reduce noise. They held 4 hours continuous listening, 30 minutes longer than my previous headphones. What I like, however, is the fact that the housing is a battery backup is a good addition. But I will send them back.</v>
      </c>
    </row>
    <row r="14175">
      <c r="A14175" s="1">
        <v>3.0</v>
      </c>
      <c r="B14175" s="1" t="s">
        <v>13935</v>
      </c>
      <c r="C14175" t="str">
        <f>IFERROR(__xludf.DUMMYFUNCTION("GOOGLETRANSLATE(B14175, ""fr"", ""en"")"),"Do not grill the bread ..... I am a little disappointed in this product because when grid bread and we want to recover must be very careful about the metal part above the camera ... because it is very easy to get burned .......!")</f>
        <v>Do not grill the bread ..... I am a little disappointed in this product because when grid bread and we want to recover must be very careful about the metal part above the camera ... because it is very easy to get burned .......!</v>
      </c>
    </row>
    <row r="14176">
      <c r="A14176" s="1">
        <v>4.0</v>
      </c>
      <c r="B14176" s="1" t="s">
        <v>13936</v>
      </c>
      <c r="C14176" t="str">
        <f>IFERROR(__xludf.DUMMYFUNCTION("GOOGLETRANSLATE(B14176, ""fr"", ""en"")"),"Good bag Practical, functional, pretty enough. Too bad there is no pocket in the flap of the front and the rear pocket is a little small. We can not slip in a small portfolio.")</f>
        <v>Good bag Practical, functional, pretty enough. Too bad there is no pocket in the flap of the front and the rear pocket is a little small. We can not slip in a small portfolio.</v>
      </c>
    </row>
    <row r="14177">
      <c r="A14177" s="1">
        <v>4.0</v>
      </c>
      <c r="B14177" s="1" t="s">
        <v>13937</v>
      </c>
      <c r="C14177" t="str">
        <f>IFERROR(__xludf.DUMMYFUNCTION("GOOGLETRANSLATE(B14177, ""fr"", ""en"")"),"Perfect Very good product picture identical to the product, I highly recommend, the colors are bright and shimmering, to buy and enjoy")</f>
        <v>Perfect Very good product picture identical to the product, I highly recommend, the colors are bright and shimmering, to buy and enjoy</v>
      </c>
    </row>
    <row r="14178">
      <c r="A14178" s="1">
        <v>4.0</v>
      </c>
      <c r="B14178" s="1" t="s">
        <v>13938</v>
      </c>
      <c r="C14178" t="str">
        <f>IFERROR(__xludf.DUMMYFUNCTION("GOOGLETRANSLATE(B14178, ""fr"", ""en"")"),"Product very interesting for its capacity and cost. Personal use, what I like about this product: ease of positioning the cartridge. What I like least is having one cartridge for all colors.")</f>
        <v>Product very interesting for its capacity and cost. Personal use, what I like about this product: ease of positioning the cartridge. What I like least is having one cartridge for all colors.</v>
      </c>
    </row>
    <row r="14179">
      <c r="A14179" s="1">
        <v>4.0</v>
      </c>
      <c r="B14179" s="1" t="s">
        <v>13939</v>
      </c>
      <c r="C14179" t="str">
        <f>IFERROR(__xludf.DUMMYFUNCTION("GOOGLETRANSLATE(B14179, ""fr"", ""en"")"),"Very convenient but intensive batteries I used it to mix bottles of my daughter, very powerful, perfect for many uses since it there's 2 ends but very hungry batteries unfortunately, it takes 2 each time so to have . If the product is very correct despite"&amp;" ca.")</f>
        <v>Very convenient but intensive batteries I used it to mix bottles of my daughter, very powerful, perfect for many uses since it there's 2 ends but very hungry batteries unfortunately, it takes 2 each time so to have . If the product is very correct despite ca.</v>
      </c>
    </row>
    <row r="14180">
      <c r="A14180" s="1">
        <v>4.0</v>
      </c>
      <c r="B14180" s="1" t="s">
        <v>13940</v>
      </c>
      <c r="C14180" t="str">
        <f>IFERROR(__xludf.DUMMYFUNCTION("GOOGLETRANSLATE(B14180, ""fr"", ""en"")"),"Tiny Good product, not against it s really quite small must not have big ear holes. But good value for money.")</f>
        <v>Tiny Good product, not against it s really quite small must not have big ear holes. But good value for money.</v>
      </c>
    </row>
    <row r="14181">
      <c r="A14181" s="1">
        <v>5.0</v>
      </c>
      <c r="B14181" s="1" t="s">
        <v>13941</v>
      </c>
      <c r="C14181" t="str">
        <f>IFERROR(__xludf.DUMMYFUNCTION("GOOGLETRANSLATE(B14181, ""fr"", ""en"")"),"good quality, very comfortable original look comfort and warmth")</f>
        <v>good quality, very comfortable original look comfort and warmth</v>
      </c>
    </row>
    <row r="14182">
      <c r="A14182" s="1">
        <v>5.0</v>
      </c>
      <c r="B14182" s="1" t="s">
        <v>13942</v>
      </c>
      <c r="C14182" t="str">
        <f>IFERROR(__xludf.DUMMYFUNCTION("GOOGLETRANSLATE(B14182, ""fr"", ""en"")"),"Okay Laundry flake which dissolves very well, I have crafted my house mixture with little sequins, which was not the case with other brands .. Odorless, packing in fair condition, and great price. I advise and make other orders of this product.")</f>
        <v>Okay Laundry flake which dissolves very well, I have crafted my house mixture with little sequins, which was not the case with other brands .. Odorless, packing in fair condition, and great price. I advise and make other orders of this product.</v>
      </c>
    </row>
    <row r="14183">
      <c r="A14183" s="1">
        <v>5.0</v>
      </c>
      <c r="B14183" s="1" t="s">
        <v>13943</v>
      </c>
      <c r="C14183" t="str">
        <f>IFERROR(__xludf.DUMMYFUNCTION("GOOGLETRANSLATE(B14183, ""fr"", ""en"")"),"O Balance Balance top is finished. The calibration is correct. In addition it comes with batteries so it's really cool.")</f>
        <v>O Balance Balance top is finished. The calibration is correct. In addition it comes with batteries so it's really cool.</v>
      </c>
    </row>
    <row r="14184">
      <c r="A14184" s="1">
        <v>5.0</v>
      </c>
      <c r="B14184" s="1" t="s">
        <v>13944</v>
      </c>
      <c r="C14184" t="str">
        <f>IFERROR(__xludf.DUMMYFUNCTION("GOOGLETRANSLATE(B14184, ""fr"", ""en"")"),"great product for campers, it's great")</f>
        <v>great product for campers, it's great</v>
      </c>
    </row>
    <row r="14185">
      <c r="A14185" s="1">
        <v>5.0</v>
      </c>
      <c r="B14185" s="1" t="s">
        <v>13945</v>
      </c>
      <c r="C14185" t="str">
        <f>IFERROR(__xludf.DUMMYFUNCTION("GOOGLETRANSLATE(B14185, ""fr"", ""en"")"),"For purposes Very feet contante sneakers. My 12-year long but thin legs. The only model found so far that now holds well on his feet.")</f>
        <v>For purposes Very feet contante sneakers. My 12-year long but thin legs. The only model found so far that now holds well on his feet.</v>
      </c>
    </row>
    <row r="14186">
      <c r="A14186" s="1">
        <v>5.0</v>
      </c>
      <c r="B14186" s="1" t="s">
        <v>13946</v>
      </c>
      <c r="C14186" t="str">
        <f>IFERROR(__xludf.DUMMYFUNCTION("GOOGLETRANSLATE(B14186, ""fr"", ""en"")"),"Very good product very nice bag, impeccable finishes, very good value, buy this product with closed eyes, I am excited, please feel free, more super fast delivery and careful presentation, no remarks negative.")</f>
        <v>Very good product very nice bag, impeccable finishes, very good value, buy this product with closed eyes, I am excited, please feel free, more super fast delivery and careful presentation, no remarks negative.</v>
      </c>
    </row>
    <row r="14187">
      <c r="A14187" s="1">
        <v>5.0</v>
      </c>
      <c r="B14187" s="1" t="s">
        <v>13947</v>
      </c>
      <c r="C14187" t="str">
        <f>IFERROR(__xludf.DUMMYFUNCTION("GOOGLETRANSLATE(B14187, ""fr"", ""en"")"),"Slipper louxe Very comfortable as hoped")</f>
        <v>Slipper louxe Very comfortable as hoped</v>
      </c>
    </row>
    <row r="14188">
      <c r="A14188" s="1">
        <v>5.0</v>
      </c>
      <c r="B14188" s="1" t="s">
        <v>13948</v>
      </c>
      <c r="C14188" t="str">
        <f>IFERROR(__xludf.DUMMYFUNCTION("GOOGLETRANSLATE(B14188, ""fr"", ""en"")"),"Rie adding nikel Great gift for Christmas very beautiful product")</f>
        <v>Rie adding nikel Great gift for Christmas very beautiful product</v>
      </c>
    </row>
    <row r="14189">
      <c r="A14189" s="1">
        <v>5.0</v>
      </c>
      <c r="B14189" s="1" t="s">
        <v>13949</v>
      </c>
      <c r="C14189" t="str">
        <f>IFERROR(__xludf.DUMMYFUNCTION("GOOGLETRANSLATE(B14189, ""fr"", ""en"")"),"super convenient! This bag is exactly what I wanted. For long journeys, the Multi-pocket is handy for storing both the passport, as for blisters! Also with the design of the three ways to wear it, that's super awesome, I love. Although for backpackers!")</f>
        <v>super convenient! This bag is exactly what I wanted. For long journeys, the Multi-pocket is handy for storing both the passport, as for blisters! Also with the design of the three ways to wear it, that's super awesome, I love. Although for backpackers!</v>
      </c>
    </row>
    <row r="14190">
      <c r="A14190" s="1">
        <v>5.0</v>
      </c>
      <c r="B14190" s="1" t="s">
        <v>13950</v>
      </c>
      <c r="C14190" t="str">
        <f>IFERROR(__xludf.DUMMYFUNCTION("GOOGLETRANSLATE(B14190, ""fr"", ""en"")"),"Top and full leather! They are superb, the tip and the round with logo are leather. They are dark brown, although it is an old model, they are prettier than those who mix leather and plastic.")</f>
        <v>Top and full leather! They are superb, the tip and the round with logo are leather. They are dark brown, although it is an old model, they are prettier than those who mix leather and plastic.</v>
      </c>
    </row>
    <row r="14191">
      <c r="A14191" s="1">
        <v>5.0</v>
      </c>
      <c r="B14191" s="1" t="s">
        <v>13951</v>
      </c>
      <c r="C14191" t="str">
        <f>IFERROR(__xludf.DUMMYFUNCTION("GOOGLETRANSLATE(B14191, ""fr"", ""en"")"),"Very cute gift for my daughter and he is very happy")</f>
        <v>Very cute gift for my daughter and he is very happy</v>
      </c>
    </row>
    <row r="14192">
      <c r="A14192" s="1">
        <v>5.0</v>
      </c>
      <c r="B14192" s="1" t="s">
        <v>13952</v>
      </c>
      <c r="C14192" t="str">
        <f>IFERROR(__xludf.DUMMYFUNCTION("GOOGLETRANSLATE(B14192, ""fr"", ""en"")"),"great shows for nostalgic digital casio. Great product, lightweight, comfortable to wear, good finishes. Considering the price it's worth it.")</f>
        <v>great shows for nostalgic digital casio. Great product, lightweight, comfortable to wear, good finishes. Considering the price it's worth it.</v>
      </c>
    </row>
    <row r="14193">
      <c r="A14193" s="1">
        <v>5.0</v>
      </c>
      <c r="B14193" s="1" t="s">
        <v>13953</v>
      </c>
      <c r="C14193" t="str">
        <f>IFERROR(__xludf.DUMMYFUNCTION("GOOGLETRANSLATE(B14193, ""fr"", ""en"")"),"MAGNIFICENT !!!!! Lightweight, comfortable to wear, in short, something for everyone. However, small heart can interfere a little, especially at table. But you get used quickly, simply pay attention. I left him more.")</f>
        <v>MAGNIFICENT !!!!! Lightweight, comfortable to wear, in short, something for everyone. However, small heart can interfere a little, especially at table. But you get used quickly, simply pay attention. I left him more.</v>
      </c>
    </row>
    <row r="14194">
      <c r="A14194" s="1">
        <v>5.0</v>
      </c>
      <c r="B14194" s="1" t="s">
        <v>13954</v>
      </c>
      <c r="C14194" t="str">
        <f>IFERROR(__xludf.DUMMYFUNCTION("GOOGLETRANSLATE(B14194, ""fr"", ""en"")"),"Product quality must tweak the beginning to find the cooking time of each type of toast. For example, a slice of brioche bread and a slice of traditional bread have very different cooking times. This is a good product, but with the return of experience, I"&amp;" regret not having chosen a model for four slices (we are both in use). I recommend.")</f>
        <v>Product quality must tweak the beginning to find the cooking time of each type of toast. For example, a slice of brioche bread and a slice of traditional bread have very different cooking times. This is a good product, but with the return of experience, I regret not having chosen a model for four slices (we are both in use). I recommend.</v>
      </c>
    </row>
    <row r="14195">
      <c r="A14195" s="1">
        <v>5.0</v>
      </c>
      <c r="B14195" s="1" t="s">
        <v>13955</v>
      </c>
      <c r="C14195" t="str">
        <f>IFERROR(__xludf.DUMMYFUNCTION("GOOGLETRANSLATE(B14195, ""fr"", ""en"")"),"good article conforms to my expectations. good article conforms to my expectations.")</f>
        <v>good article conforms to my expectations. good article conforms to my expectations.</v>
      </c>
    </row>
    <row r="14196">
      <c r="A14196" s="1">
        <v>5.0</v>
      </c>
      <c r="B14196" s="1" t="s">
        <v>13956</v>
      </c>
      <c r="C14196" t="str">
        <f>IFERROR(__xludf.DUMMYFUNCTION("GOOGLETRANSLATE(B14196, ""fr"", ""en"")"),"In the top ! In the top !")</f>
        <v>In the top ! In the top !</v>
      </c>
    </row>
    <row r="14197">
      <c r="A14197" s="1">
        <v>2.0</v>
      </c>
      <c r="B14197" s="1" t="s">
        <v>13957</v>
      </c>
      <c r="C14197" t="str">
        <f>IFERROR(__xludf.DUMMYFUNCTION("GOOGLETRANSLATE(B14197, ""fr"", ""en"")"),"Dangerous, fragile and noisy .. product to avoid! I chose this kettle given the good rather positive comments. However, after having tried, it has many shortcomings. Above all it is a dangerous kettle: After firing, the outer wall is hot (and the rest lon"&amp;"g), close to the station or even children to an adult who has to be careful when he took over. The scale filter is clearly too fragile and will not last 3 months. Ditto for the connector of the kettle, which clips onto the base, which is very thin (the ke"&amp;"ttle is moreover not completely stable). In addition to being noisy, it puts a very long time to heat a small amount of water. A very bad product so I returned. I put 2 stars for the design that is successful ..")</f>
        <v>Dangerous, fragile and noisy .. product to avoid! I chose this kettle given the good rather positive comments. However, after having tried, it has many shortcomings. Above all it is a dangerous kettle: After firing, the outer wall is hot (and the rest long), close to the station or even children to an adult who has to be careful when he took over. The scale filter is clearly too fragile and will not last 3 months. Ditto for the connector of the kettle, which clips onto the base, which is very thin (the kettle is moreover not completely stable). In addition to being noisy, it puts a very long time to heat a small amount of water. A very bad product so I returned. I put 2 stars for the design that is successful ..</v>
      </c>
    </row>
    <row r="14198">
      <c r="A14198" s="1">
        <v>1.0</v>
      </c>
      <c r="B14198" s="1" t="s">
        <v>13958</v>
      </c>
      <c r="C14198" t="str">
        <f>IFERROR(__xludf.DUMMYFUNCTION("GOOGLETRANSLATE(B14198, ""fr"", ""en"")"),"Nice watch but that stops for no apparent reason I bought this watch in January and here we are in March and there is no way, he seems to return. When I opened the box it was not working, so I consulted the manual to find the start. The manual covers all "&amp;"kinds of watches produced by Lige, including one that is perpetual. So I waved shows and finally it started to market. But it stops from time to time, and it came to the point where I would return it as defective. Perhaps the manufacturer could he contact"&amp;" me to tell me how. My wife bought version ""ladies of this watch, and she is very happy. The only downside other than that used to have stopped when we want to visit, is closing. I am 73 years old and I'm more so clever that I was in time, and I find it "&amp;"really difficult every morning to handle the closure making it seem much too small.")</f>
        <v>Nice watch but that stops for no apparent reason I bought this watch in January and here we are in March and there is no way, he seems to return. When I opened the box it was not working, so I consulted the manual to find the start. The manual covers all kinds of watches produced by Lige, including one that is perpetual. So I waved shows and finally it started to market. But it stops from time to time, and it came to the point where I would return it as defective. Perhaps the manufacturer could he contact me to tell me how. My wife bought version "ladies of this watch, and she is very happy. The only downside other than that used to have stopped when we want to visit, is closing. I am 73 years old and I'm more so clever that I was in time, and I find it really difficult every morning to handle the closure making it seem much too small.</v>
      </c>
    </row>
    <row r="14199">
      <c r="A14199" s="1">
        <v>1.0</v>
      </c>
      <c r="B14199" s="1" t="s">
        <v>13959</v>
      </c>
      <c r="C14199" t="str">
        <f>IFERROR(__xludf.DUMMYFUNCTION("GOOGLETRANSLATE(B14199, ""fr"", ""en"")"),"Disappointed Very disappointed with my purchase from the first washing with hot water the pots are completely distorted, and use the microwave did not help. I do not know who turned to me to solve the problem. The price is very high for a poor quality.")</f>
        <v>Disappointed Very disappointed with my purchase from the first washing with hot water the pots are completely distorted, and use the microwave did not help. I do not know who turned to me to solve the problem. The price is very high for a poor quality.</v>
      </c>
    </row>
    <row r="14200">
      <c r="A14200" s="1">
        <v>3.0</v>
      </c>
      <c r="B14200" s="1" t="s">
        <v>13960</v>
      </c>
      <c r="C14200" t="str">
        <f>IFERROR(__xludf.DUMMYFUNCTION("GOOGLETRANSLATE(B14200, ""fr"", ""en"")"),"Water resistance or not? I have my watch since Sunday, 7 July and a month after she HS: I played sports with so much sweat. First the display will not properly display then shows went out. Is not she supposed to resist perspiration seen sports options it "&amp;"has?")</f>
        <v>Water resistance or not? I have my watch since Sunday, 7 July and a month after she HS: I played sports with so much sweat. First the display will not properly display then shows went out. Is not she supposed to resist perspiration seen sports options it has?</v>
      </c>
    </row>
    <row r="14201">
      <c r="A14201" s="1">
        <v>3.0</v>
      </c>
      <c r="B14201" s="1" t="s">
        <v>13961</v>
      </c>
      <c r="C14201" t="str">
        <f>IFERROR(__xludf.DUMMYFUNCTION("GOOGLETRANSLATE(B14201, ""fr"", ""en"")"),"Keeping Sports A well doing dear May level finish quality fabric")</f>
        <v>Keeping Sports A well doing dear May level finish quality fabric</v>
      </c>
    </row>
    <row r="14202">
      <c r="A14202" s="1">
        <v>4.0</v>
      </c>
      <c r="B14202" s="1" t="s">
        <v>13962</v>
      </c>
      <c r="C14202" t="str">
        <f>IFERROR(__xludf.DUMMYFUNCTION("GOOGLETRANSLATE(B14202, ""fr"", ""en"")"),"A simple product to use and very complete diversity of formed is very helpful to make a sketch. Moreover the multiple dimensions make it easy to adapt the brands basemap.")</f>
        <v>A simple product to use and very complete diversity of formed is very helpful to make a sketch. Moreover the multiple dimensions make it easy to adapt the brands basemap.</v>
      </c>
    </row>
    <row r="14203">
      <c r="A14203" s="1">
        <v>4.0</v>
      </c>
      <c r="B14203" s="1" t="s">
        <v>13963</v>
      </c>
      <c r="C14203" t="str">
        <f>IFERROR(__xludf.DUMMYFUNCTION("GOOGLETRANSLATE(B14203, ""fr"", ""en"")"),"Good quality / price Super socks by color against ordered does not match the color received ... Otherwise very good value for money.")</f>
        <v>Good quality / price Super socks by color against ordered does not match the color received ... Otherwise very good value for money.</v>
      </c>
    </row>
    <row r="14204">
      <c r="A14204" s="1">
        <v>4.0</v>
      </c>
      <c r="B14204" s="1" t="s">
        <v>13964</v>
      </c>
      <c r="C14204" t="str">
        <f>IFERROR(__xludf.DUMMYFUNCTION("GOOGLETRANSLATE(B14204, ""fr"", ""en"")"),"running socks socks itself is a good comfort but beware of too small !! I make 42 actually have to order the 43/46 and it is too big -moi believe this is just the desirable size .. one thing also for those who are like- me of a well-constructed ankle c is"&amp;" relatively tight !! a very strong clamping mark is pronounced cordially")</f>
        <v>running socks socks itself is a good comfort but beware of too small !! I make 42 actually have to order the 43/46 and it is too big -moi believe this is just the desirable size .. one thing also for those who are like- me of a well-constructed ankle c is relatively tight !! a very strong clamping mark is pronounced cordially</v>
      </c>
    </row>
    <row r="14205">
      <c r="A14205" s="1">
        <v>4.0</v>
      </c>
      <c r="B14205" s="1" t="s">
        <v>13965</v>
      </c>
      <c r="C14205" t="str">
        <f>IFERROR(__xludf.DUMMYFUNCTION("GOOGLETRANSLATE(B14205, ""fr"", ""en"")"),"I do not regret his very good article")</f>
        <v>I do not regret his very good article</v>
      </c>
    </row>
    <row r="14206">
      <c r="A14206" s="1">
        <v>5.0</v>
      </c>
      <c r="B14206" s="1" t="s">
        <v>13966</v>
      </c>
      <c r="C14206" t="str">
        <f>IFERROR(__xludf.DUMMYFUNCTION("GOOGLETRANSLATE(B14206, ""fr"", ""en"")"),"Dynamic ... it's the word .. A great joy to find all the subtleties and punch his cd collection ... The bass is surprising without being invasive and detailed highs without being aggressive .... A provided, I think, to have an amp up ... it is not for not"&amp;"hing that this Beyer headphones is ubiquitous in recording studios and radio studios .....")</f>
        <v>Dynamic ... it's the word .. A great joy to find all the subtleties and punch his cd collection ... The bass is surprising without being invasive and detailed highs without being aggressive .... A provided, I think, to have an amp up ... it is not for nothing that this Beyer headphones is ubiquitous in recording studios and radio studios .....</v>
      </c>
    </row>
    <row r="14207">
      <c r="A14207" s="1">
        <v>5.0</v>
      </c>
      <c r="B14207" s="1" t="s">
        <v>13967</v>
      </c>
      <c r="C14207" t="str">
        <f>IFERROR(__xludf.DUMMYFUNCTION("GOOGLETRANSLATE(B14207, ""fr"", ""en"")"),"Heater beaba bib Very convenient and quick to heat breast milk and potty. disadvantage check each time the water level, and when large amount of heat (by exple 240ml milk) it is sometimes difficult to unscrew the cover which is very hot.")</f>
        <v>Heater beaba bib Very convenient and quick to heat breast milk and potty. disadvantage check each time the water level, and when large amount of heat (by exple 240ml milk) it is sometimes difficult to unscrew the cover which is very hot.</v>
      </c>
    </row>
    <row r="14208">
      <c r="A14208" s="1">
        <v>5.0</v>
      </c>
      <c r="B14208" s="1" t="s">
        <v>13968</v>
      </c>
      <c r="C14208" t="str">
        <f>IFERROR(__xludf.DUMMYFUNCTION("GOOGLETRANSLATE(B14208, ""fr"", ""en"")"),"Meets expectations Exactly what I hoped. The product works well and allowed me to connect an external mic on my tablet. Good value for money.")</f>
        <v>Meets expectations Exactly what I hoped. The product works well and allowed me to connect an external mic on my tablet. Good value for money.</v>
      </c>
    </row>
    <row r="14209">
      <c r="A14209" s="1">
        <v>5.0</v>
      </c>
      <c r="B14209" s="1" t="s">
        <v>13969</v>
      </c>
      <c r="C14209" t="str">
        <f>IFERROR(__xludf.DUMMYFUNCTION("GOOGLETRANSLATE(B14209, ""fr"", ""en"")"),"Silver ring I just got this beautiful ring beautiful but too small pity you really have very thin fingers I'm disappointed suddenly I put them in my little finger injury")</f>
        <v>Silver ring I just got this beautiful ring beautiful but too small pity you really have very thin fingers I'm disappointed suddenly I put them in my little finger injury</v>
      </c>
    </row>
    <row r="14210">
      <c r="A14210" s="1">
        <v>5.0</v>
      </c>
      <c r="B14210" s="1" t="s">
        <v>13970</v>
      </c>
      <c r="C14210" t="str">
        <f>IFERROR(__xludf.DUMMYFUNCTION("GOOGLETRANSLATE(B14210, ""fr"", ""en"")"),"Pretty tracksuit tracksuit It's really nice to wear. Namely, that the fabric is not very thick and tracksuit seems more done inside. But that's exactly what I wanted and I am delighted with my purchase.")</f>
        <v>Pretty tracksuit tracksuit It's really nice to wear. Namely, that the fabric is not very thick and tracksuit seems more done inside. But that's exactly what I wanted and I am delighted with my purchase.</v>
      </c>
    </row>
    <row r="14211">
      <c r="A14211" s="1">
        <v>5.0</v>
      </c>
      <c r="B14211" s="1" t="s">
        <v>11690</v>
      </c>
      <c r="C14211" t="str">
        <f>IFERROR(__xludf.DUMMYFUNCTION("GOOGLETRANSLATE(B14211, ""fr"", ""en"")"),"Good Very good value")</f>
        <v>Good Very good value</v>
      </c>
    </row>
    <row r="14212">
      <c r="A14212" s="1">
        <v>5.0</v>
      </c>
      <c r="B14212" s="1" t="s">
        <v>13971</v>
      </c>
      <c r="C14212" t="str">
        <f>IFERROR(__xludf.DUMMYFUNCTION("GOOGLETRANSLATE(B14212, ""fr"", ""en"")"),"VALUE FOR MONEY PERFECT For the price, a robust water bottle, and that will last over time.")</f>
        <v>VALUE FOR MONEY PERFECT For the price, a robust water bottle, and that will last over time.</v>
      </c>
    </row>
    <row r="14213">
      <c r="A14213" s="1">
        <v>5.0</v>
      </c>
      <c r="B14213" s="1" t="s">
        <v>13972</v>
      </c>
      <c r="C14213" t="str">
        <f>IFERROR(__xludf.DUMMYFUNCTION("GOOGLETRANSLATE(B14213, ""fr"", ""en"")"),"Still need the smallest matter Offered Christmas to a friend he has found very funny the original fl on his desk all in a tablet")</f>
        <v>Still need the smallest matter Offered Christmas to a friend he has found very funny the original fl on his desk all in a tablet</v>
      </c>
    </row>
    <row r="14214">
      <c r="A14214" s="1">
        <v>5.0</v>
      </c>
      <c r="B14214" s="1" t="s">
        <v>13973</v>
      </c>
      <c r="C14214" t="str">
        <f>IFERROR(__xludf.DUMMYFUNCTION("GOOGLETRANSLATE(B14214, ""fr"", ""en"")"),"Okay essential oil box at the top. Can be used as gift box beautiful ... 6 different flavors. Without super good. I have a preference for lemon. great price.")</f>
        <v>Okay essential oil box at the top. Can be used as gift box beautiful ... 6 different flavors. Without super good. I have a preference for lemon. great price.</v>
      </c>
    </row>
    <row r="14215">
      <c r="A14215" s="1">
        <v>5.0</v>
      </c>
      <c r="B14215" s="1" t="s">
        <v>13974</v>
      </c>
      <c r="C14215" t="str">
        <f>IFERROR(__xludf.DUMMYFUNCTION("GOOGLETRANSLATE(B14215, ""fr"", ""en"")"),"Okay Meets the original !!!")</f>
        <v>Okay Meets the original !!!</v>
      </c>
    </row>
    <row r="14216">
      <c r="A14216" s="1">
        <v>5.0</v>
      </c>
      <c r="B14216" s="1" t="s">
        <v>13975</v>
      </c>
      <c r="C14216" t="str">
        <f>IFERROR(__xludf.DUMMYFUNCTION("GOOGLETRANSLATE(B14216, ""fr"", ""en"")"),"There are too beautiful Quite what I 'attendaid")</f>
        <v>There are too beautiful Quite what I 'attendaid</v>
      </c>
    </row>
    <row r="14217">
      <c r="A14217" s="1">
        <v>5.0</v>
      </c>
      <c r="B14217" s="1" t="s">
        <v>13976</v>
      </c>
      <c r="C14217" t="str">
        <f>IFERROR(__xludf.DUMMYFUNCTION("GOOGLETRANSLATE(B14217, ""fr"", ""en"")"),"Always perfect fast shipping! The price was cheap and mam are unconditionally the best bottles! My daughter swears by this brand!")</f>
        <v>Always perfect fast shipping! The price was cheap and mam are unconditionally the best bottles! My daughter swears by this brand!</v>
      </c>
    </row>
    <row r="14218">
      <c r="A14218" s="1">
        <v>5.0</v>
      </c>
      <c r="B14218" s="1" t="s">
        <v>13977</v>
      </c>
      <c r="C14218" t="str">
        <f>IFERROR(__xludf.DUMMYFUNCTION("GOOGLETRANSLATE(B14218, ""fr"", ""en"")"),"I love I loved too unfortunately I lost it while traveling")</f>
        <v>I love I loved too unfortunately I lost it while traveling</v>
      </c>
    </row>
    <row r="14219">
      <c r="A14219" s="1">
        <v>5.0</v>
      </c>
      <c r="B14219" s="1" t="s">
        <v>13978</v>
      </c>
      <c r="C14219" t="str">
        <f>IFERROR(__xludf.DUMMYFUNCTION("GOOGLETRANSLATE(B14219, ""fr"", ""en"")"),"Perfect Perfect in size, I wear 38 and knew it falls very well.")</f>
        <v>Perfect Perfect in size, I wear 38 and knew it falls very well.</v>
      </c>
    </row>
    <row r="14220">
      <c r="A14220" s="1">
        <v>5.0</v>
      </c>
      <c r="B14220" s="1" t="s">
        <v>13979</v>
      </c>
      <c r="C14220" t="str">
        <f>IFERROR(__xludf.DUMMYFUNCTION("GOOGLETRANSLATE(B14220, ""fr"", ""en"")"),"Perfect for indoor sports These socks carve perfectly well, I generally use for indoor sports badminton football type or room. They even had the opportunity to do some outings Running trails, and I've had no bulb. Good quality / price ratio, I recommend!")</f>
        <v>Perfect for indoor sports These socks carve perfectly well, I generally use for indoor sports badminton football type or room. They even had the opportunity to do some outings Running trails, and I've had no bulb. Good quality / price ratio, I recommend!</v>
      </c>
    </row>
    <row r="14221">
      <c r="A14221" s="1">
        <v>2.0</v>
      </c>
      <c r="B14221" s="1" t="s">
        <v>13980</v>
      </c>
      <c r="C14221" t="str">
        <f>IFERROR(__xludf.DUMMYFUNCTION("GOOGLETRANSLATE(B14221, ""fr"", ""en"")"),"Poor quality I usually buy the BVC home sucks for my vaporette, resistance for a lifetime of about 2 weeks in specialized sites. I tried on amazon but the result is not good bon.C'est the same package, the right brand, the reel are visually like the one I"&amp;" usually buy .... But 3 of 5 resistors flee. ... effect of ""gurgle"" permanent trash .... so the other 2 were given one week, half of my habits. Maybe a lack of bowl or a bad run? I do not Rasht product.")</f>
        <v>Poor quality I usually buy the BVC home sucks for my vaporette, resistance for a lifetime of about 2 weeks in specialized sites. I tried on amazon but the result is not good bon.C'est the same package, the right brand, the reel are visually like the one I usually buy .... But 3 of 5 resistors flee. ... effect of "gurgle" permanent trash .... so the other 2 were given one week, half of my habits. Maybe a lack of bowl or a bad run? I do not Rasht product.</v>
      </c>
    </row>
    <row r="14222">
      <c r="A14222" s="1">
        <v>1.0</v>
      </c>
      <c r="B14222" s="1" t="s">
        <v>13981</v>
      </c>
      <c r="C14222" t="str">
        <f>IFERROR(__xludf.DUMMYFUNCTION("GOOGLETRANSLATE(B14222, ""fr"", ""en"")"),"AVOID especially this watch does not match the photo, I returned to avoid is rude, and quite ugly in reality only the packaging box is nice")</f>
        <v>AVOID especially this watch does not match the photo, I returned to avoid is rude, and quite ugly in reality only the packaging box is nice</v>
      </c>
    </row>
    <row r="14223">
      <c r="A14223" s="1">
        <v>1.0</v>
      </c>
      <c r="B14223" s="1" t="s">
        <v>13982</v>
      </c>
      <c r="C14223" t="str">
        <f>IFERROR(__xludf.DUMMYFUNCTION("GOOGLETRANSLATE(B14223, ""fr"", ""en"")"),"Non Compliant Does not work with bose soundlink despite what is advertised. I highly recommend this product. Not compliant v")</f>
        <v>Non Compliant Does not work with bose soundlink despite what is advertised. I highly recommend this product. Not compliant v</v>
      </c>
    </row>
    <row r="14224">
      <c r="A14224" s="1">
        <v>3.0</v>
      </c>
      <c r="B14224" s="1" t="s">
        <v>13983</v>
      </c>
      <c r="C14224" t="str">
        <f>IFERROR(__xludf.DUMMYFUNCTION("GOOGLETRANSLATE(B14224, ""fr"", ""en"")"),"Received striped received as gifts ... Not even open ... Shame front of my wife, striped and unfortunately we could not return")</f>
        <v>Received striped received as gifts ... Not even open ... Shame front of my wife, striped and unfortunately we could not return</v>
      </c>
    </row>
    <row r="14225">
      <c r="A14225" s="1">
        <v>3.0</v>
      </c>
      <c r="B14225" s="1" t="s">
        <v>13984</v>
      </c>
      <c r="C14225" t="str">
        <f>IFERROR(__xludf.DUMMYFUNCTION("GOOGLETRANSLATE(B14225, ""fr"", ""en"")"),"Pretty nice but not top box but not always easy to screw, I chose another brand Nuk not cited because the screw is much better and the boxes are transparent. It is easier to know where we are ...")</f>
        <v>Pretty nice but not top box but not always easy to screw, I chose another brand Nuk not cited because the screw is much better and the boxes are transparent. It is easier to know where we are ...</v>
      </c>
    </row>
    <row r="14226">
      <c r="A14226" s="1">
        <v>4.0</v>
      </c>
      <c r="B14226" s="1" t="s">
        <v>13985</v>
      </c>
      <c r="C14226" t="str">
        <f>IFERROR(__xludf.DUMMYFUNCTION("GOOGLETRANSLATE(B14226, ""fr"", ""en"")"),"The class and elegance gift to my little son for a ceremony")</f>
        <v>The class and elegance gift to my little son for a ceremony</v>
      </c>
    </row>
    <row r="14227">
      <c r="A14227" s="1">
        <v>4.0</v>
      </c>
      <c r="B14227" s="1" t="s">
        <v>13986</v>
      </c>
      <c r="C14227" t="str">
        <f>IFERROR(__xludf.DUMMYFUNCTION("GOOGLETRANSLATE(B14227, ""fr"", ""en"")"),"Product satisfying I bought this helmet because my headphones were at end of life and is a product rather satisfactory for its price. It is good in sound. However it does not cover lot outside noise and it is very isolated. Others can hear some music.")</f>
        <v>Product satisfying I bought this helmet because my headphones were at end of life and is a product rather satisfactory for its price. It is good in sound. However it does not cover lot outside noise and it is very isolated. Others can hear some music.</v>
      </c>
    </row>
    <row r="14228">
      <c r="A14228" s="1">
        <v>4.0</v>
      </c>
      <c r="B14228" s="1" t="s">
        <v>13987</v>
      </c>
      <c r="C14228" t="str">
        <f>IFERROR(__xludf.DUMMYFUNCTION("GOOGLETRANSLATE(B14228, ""fr"", ""en"")"),"This observation makes me feel good in the cervical. I made a lot of motorcycles and parachute and it pays one day Yours.")</f>
        <v>This observation makes me feel good in the cervical. I made a lot of motorcycles and parachute and it pays one day Yours.</v>
      </c>
    </row>
    <row r="14229">
      <c r="A14229" s="1">
        <v>4.0</v>
      </c>
      <c r="B14229" s="1" t="s">
        <v>13988</v>
      </c>
      <c r="C14229" t="str">
        <f>IFERROR(__xludf.DUMMYFUNCTION("GOOGLETRANSLATE(B14229, ""fr"", ""en"")"),"Complies Puma description is a very good brand of socks. Comfortable and not too expensive! I use it for sport.")</f>
        <v>Complies Puma description is a very good brand of socks. Comfortable and not too expensive! I use it for sport.</v>
      </c>
    </row>
    <row r="14230">
      <c r="A14230" s="1">
        <v>5.0</v>
      </c>
      <c r="B14230" s="1" t="s">
        <v>13989</v>
      </c>
      <c r="C14230" t="str">
        <f>IFERROR(__xludf.DUMMYFUNCTION("GOOGLETRANSLATE(B14230, ""fr"", ""en"")"),"Employee machine disinfected daily to the laundry. Very good smell and feeling of a clean cloth")</f>
        <v>Employee machine disinfected daily to the laundry. Very good smell and feeling of a clean cloth</v>
      </c>
    </row>
    <row r="14231">
      <c r="A14231" s="1">
        <v>5.0</v>
      </c>
      <c r="B14231" s="1" t="s">
        <v>13990</v>
      </c>
      <c r="C14231" t="str">
        <f>IFERROR(__xludf.DUMMYFUNCTION("GOOGLETRANSLATE(B14231, ""fr"", ""en"")"),"satisfied Good quality / price ratio")</f>
        <v>satisfied Good quality / price ratio</v>
      </c>
    </row>
    <row r="14232">
      <c r="A14232" s="1">
        <v>5.0</v>
      </c>
      <c r="B14232" s="1" t="s">
        <v>13991</v>
      </c>
      <c r="C14232" t="str">
        <f>IFERROR(__xludf.DUMMYFUNCTION("GOOGLETRANSLATE(B14232, ""fr"", ""en"")"),"worried, but satisfied. I bought these cartridges with concern, but considering the price of Epson cartridges, I wanted to try. I installed the black cartridge, the printer told me that I should not, I continued, the printer has written that I was taking "&amp;"big risks, I continued. In the end, I printed out very clearly my case, I had about 170 pages to go, and it remains for the time of the ink in the cartridge. I am happy and at the moment I do not regret trying. I recommend.")</f>
        <v>worried, but satisfied. I bought these cartridges with concern, but considering the price of Epson cartridges, I wanted to try. I installed the black cartridge, the printer told me that I should not, I continued, the printer has written that I was taking big risks, I continued. In the end, I printed out very clearly my case, I had about 170 pages to go, and it remains for the time of the ink in the cartridge. I am happy and at the moment I do not regret trying. I recommend.</v>
      </c>
    </row>
    <row r="14233">
      <c r="A14233" s="1">
        <v>5.0</v>
      </c>
      <c r="B14233" s="1" t="s">
        <v>13992</v>
      </c>
      <c r="C14233" t="str">
        <f>IFERROR(__xludf.DUMMYFUNCTION("GOOGLETRANSLATE(B14233, ""fr"", ""en"")"),"Good sound quality and touch controls on the headphones. Great product. Good sound quality. Controls the touch, prolonged pressure or double pressure on the headphones. The battery box headphones can also be used to charge your phone. And there is a displ"&amp;"ay of the charge level of the battery.")</f>
        <v>Good sound quality and touch controls on the headphones. Great product. Good sound quality. Controls the touch, prolonged pressure or double pressure on the headphones. The battery box headphones can also be used to charge your phone. And there is a display of the charge level of the battery.</v>
      </c>
    </row>
    <row r="14234">
      <c r="A14234" s="1">
        <v>5.0</v>
      </c>
      <c r="B14234" s="1" t="s">
        <v>13993</v>
      </c>
      <c r="C14234" t="str">
        <f>IFERROR(__xludf.DUMMYFUNCTION("GOOGLETRANSLATE(B14234, ""fr"", ""en"")"),"Perfect These highlighters are perfect and the pastel side brings originality I suggest you")</f>
        <v>Perfect These highlighters are perfect and the pastel side brings originality I suggest you</v>
      </c>
    </row>
    <row r="14235">
      <c r="A14235" s="1">
        <v>5.0</v>
      </c>
      <c r="B14235" s="1" t="s">
        <v>13994</v>
      </c>
      <c r="C14235" t="str">
        <f>IFERROR(__xludf.DUMMYFUNCTION("GOOGLETRANSLATE(B14235, ""fr"", ""en"")"),"Although Merci👍🏻 dedans😃")</f>
        <v>Although Merci👍🏻 dedans😃</v>
      </c>
    </row>
    <row r="14236">
      <c r="A14236" s="1">
        <v>5.0</v>
      </c>
      <c r="B14236" s="1" t="s">
        <v>13995</v>
      </c>
      <c r="C14236" t="str">
        <f>IFERROR(__xludf.DUMMYFUNCTION("GOOGLETRANSLATE(B14236, ""fr"", ""en"")"),"Idea useful gift Excellent product for a teen")</f>
        <v>Idea useful gift Excellent product for a teen</v>
      </c>
    </row>
    <row r="14237">
      <c r="A14237" s="1">
        <v>5.0</v>
      </c>
      <c r="B14237" s="1" t="s">
        <v>13996</v>
      </c>
      <c r="C14237" t="str">
        <f>IFERROR(__xludf.DUMMYFUNCTION("GOOGLETRANSLATE(B14237, ""fr"", ""en"")"),"Practice Bought for my husband who loves this pouch style. It looks solid but time will tell, the tablet comes in, it can make a nice gift.")</f>
        <v>Practice Bought for my husband who loves this pouch style. It looks solid but time will tell, the tablet comes in, it can make a nice gift.</v>
      </c>
    </row>
    <row r="14238">
      <c r="A14238" s="1">
        <v>5.0</v>
      </c>
      <c r="B14238" s="1" t="s">
        <v>224</v>
      </c>
      <c r="C14238" t="str">
        <f>IFERROR(__xludf.DUMMYFUNCTION("GOOGLETRANSLATE(B14238, ""fr"", ""en"")"),"perfect perfect")</f>
        <v>perfect perfect</v>
      </c>
    </row>
    <row r="14239">
      <c r="A14239" s="1">
        <v>5.0</v>
      </c>
      <c r="B14239" s="1" t="s">
        <v>13997</v>
      </c>
      <c r="C14239" t="str">
        <f>IFERROR(__xludf.DUMMYFUNCTION("GOOGLETRANSLATE(B14239, ""fr"", ""en"")"),"Travel drainer Super travel drainer. I recommend it because it is very convenient to clean bottles when going on holiday, you can make it dry Mam 2 bottles (what I have).")</f>
        <v>Travel drainer Super travel drainer. I recommend it because it is very convenient to clean bottles when going on holiday, you can make it dry Mam 2 bottles (what I have).</v>
      </c>
    </row>
    <row r="14240">
      <c r="A14240" s="1">
        <v>5.0</v>
      </c>
      <c r="B14240" s="1" t="s">
        <v>13998</v>
      </c>
      <c r="C14240" t="str">
        <f>IFERROR(__xludf.DUMMYFUNCTION("GOOGLETRANSLATE(B14240, ""fr"", ""en"")"),"Very good bluetooth headset Pure white is very elegant and the connection is very convenient. I love the look of the packaging and it is not damaged.")</f>
        <v>Very good bluetooth headset Pure white is very elegant and the connection is very convenient. I love the look of the packaging and it is not damaged.</v>
      </c>
    </row>
    <row r="14241">
      <c r="A14241" s="1">
        <v>5.0</v>
      </c>
      <c r="B14241" s="1" t="s">
        <v>13999</v>
      </c>
      <c r="C14241" t="str">
        <f>IFERROR(__xludf.DUMMYFUNCTION("GOOGLETRANSLATE(B14241, ""fr"", ""en"")"),"Great product perfect trash bag")</f>
        <v>Great product perfect trash bag</v>
      </c>
    </row>
    <row r="14242">
      <c r="A14242" s="1">
        <v>5.0</v>
      </c>
      <c r="B14242" s="1" t="s">
        <v>14000</v>
      </c>
      <c r="C14242" t="str">
        <f>IFERROR(__xludf.DUMMYFUNCTION("GOOGLETRANSLATE(B14242, ""fr"", ""en"")"),"Good product easily adjustable foot, good finish, correct packaging. I use a UM1 IBRD fully compatible. Provide all the same place on the desktop because once set, the foot can be ""awesome"" if you have a small space.")</f>
        <v>Good product easily adjustable foot, good finish, correct packaging. I use a UM1 IBRD fully compatible. Provide all the same place on the desktop because once set, the foot can be "awesome" if you have a small space.</v>
      </c>
    </row>
    <row r="14243">
      <c r="A14243" s="1">
        <v>5.0</v>
      </c>
      <c r="B14243" s="1" t="s">
        <v>14001</v>
      </c>
      <c r="C14243" t="str">
        <f>IFERROR(__xludf.DUMMYFUNCTION("GOOGLETRANSLATE(B14243, ""fr"", ""en"")"),"Very good value for money. Very good pair of boots that take warm and totally waterproof. I recommend.")</f>
        <v>Very good value for money. Very good pair of boots that take warm and totally waterproof. I recommend.</v>
      </c>
    </row>
    <row r="14244">
      <c r="A14244" s="1">
        <v>5.0</v>
      </c>
      <c r="B14244" s="1" t="s">
        <v>14002</v>
      </c>
      <c r="C14244" t="str">
        <f>IFERROR(__xludf.DUMMYFUNCTION("GOOGLETRANSLATE(B14244, ""fr"", ""en"")"),"nice gift card This product was chosen due to its attractive balloon box. A gift card is always nice.")</f>
        <v>nice gift card This product was chosen due to its attractive balloon box. A gift card is always nice.</v>
      </c>
    </row>
    <row r="14245">
      <c r="A14245" s="1">
        <v>2.0</v>
      </c>
      <c r="B14245" s="1" t="s">
        <v>14003</v>
      </c>
      <c r="C14245" t="str">
        <f>IFERROR(__xludf.DUMMYFUNCTION("GOOGLETRANSLATE(B14245, ""fr"", ""en"")"),"much larger than the picture Attention, because contrary to what the picture might suggest .... this article is rather a kind of bag potatoes, it's not a straight cut .. And even if the size of the belt corresponds to the actual size, it's the legs that a"&amp;"re too large ... shame because good quality fabric and workmanship ..")</f>
        <v>much larger than the picture Attention, because contrary to what the picture might suggest .... this article is rather a kind of bag potatoes, it's not a straight cut .. And even if the size of the belt corresponds to the actual size, it's the legs that are too large ... shame because good quality fabric and workmanship ..</v>
      </c>
    </row>
    <row r="14246">
      <c r="A14246" s="1">
        <v>1.0</v>
      </c>
      <c r="B14246" s="1" t="s">
        <v>14004</v>
      </c>
      <c r="C14246" t="str">
        <f>IFERROR(__xludf.DUMMYFUNCTION("GOOGLETRANSLATE(B14246, ""fr"", ""en"")"),"improper !!!! Grrrr, one received shorts instead of 2 of the description so disappointed !!! And as I have not taken the time to send it, too bad for me ... but still Very upset !!")</f>
        <v>improper !!!! Grrrr, one received shorts instead of 2 of the description so disappointed !!! And as I have not taken the time to send it, too bad for me ... but still Very upset !!</v>
      </c>
    </row>
    <row r="14247">
      <c r="A14247" s="1">
        <v>1.0</v>
      </c>
      <c r="B14247" s="1" t="s">
        <v>14005</v>
      </c>
      <c r="C14247" t="str">
        <f>IFERROR(__xludf.DUMMYFUNCTION("GOOGLETRANSLATE(B14247, ""fr"", ""en"")"),"Product returned, very poor quality. Product returned, very poor quality.")</f>
        <v>Product returned, very poor quality. Product returned, very poor quality.</v>
      </c>
    </row>
    <row r="14248">
      <c r="A14248" s="1">
        <v>3.0</v>
      </c>
      <c r="B14248" s="1" t="s">
        <v>14006</v>
      </c>
      <c r="C14248" t="str">
        <f>IFERROR(__xludf.DUMMYFUNCTION("GOOGLETRANSLATE(B14248, ""fr"", ""en"")"),"Pretty but see the long therm fairly wide strap to the wrist of a woman. He pours easily but to see if it does not break in strength ... Otherwise very nice light.")</f>
        <v>Pretty but see the long therm fairly wide strap to the wrist of a woman. He pours easily but to see if it does not break in strength ... Otherwise very nice light.</v>
      </c>
    </row>
    <row r="14249">
      <c r="A14249" s="1">
        <v>4.0</v>
      </c>
      <c r="B14249" s="1" t="s">
        <v>14007</v>
      </c>
      <c r="C14249" t="str">
        <f>IFERROR(__xludf.DUMMYFUNCTION("GOOGLETRANSLATE(B14249, ""fr"", ""en"")"),"Complicated tedious to use initially. There are a lot of buttons. Otherwise not too bad.")</f>
        <v>Complicated tedious to use initially. There are a lot of buttons. Otherwise not too bad.</v>
      </c>
    </row>
    <row r="14250">
      <c r="A14250" s="1">
        <v>4.0</v>
      </c>
      <c r="B14250" s="1" t="s">
        <v>14008</v>
      </c>
      <c r="C14250" t="str">
        <f>IFERROR(__xludf.DUMMYFUNCTION("GOOGLETRANSLATE(B14250, ""fr"", ""en"")"),"Okay this mic works great. It is adjustable from everywhere and is enough. It still lacks strength because even tightened the screws tend to move a little.")</f>
        <v>Okay this mic works great. It is adjustable from everywhere and is enough. It still lacks strength because even tightened the screws tend to move a little.</v>
      </c>
    </row>
    <row r="14251">
      <c r="A14251" s="1">
        <v>4.0</v>
      </c>
      <c r="B14251" s="1" t="s">
        <v>14009</v>
      </c>
      <c r="C14251" t="str">
        <f>IFERROR(__xludf.DUMMYFUNCTION("GOOGLETRANSLATE(B14251, ""fr"", ""en"")"),"large but proper maintenance and adequate even for drooping breasts Strap Price")</f>
        <v>large but proper maintenance and adequate even for drooping breasts Strap Price</v>
      </c>
    </row>
    <row r="14252">
      <c r="A14252" s="1">
        <v>4.0</v>
      </c>
      <c r="B14252" s="1" t="s">
        <v>14010</v>
      </c>
      <c r="C14252" t="str">
        <f>IFERROR(__xludf.DUMMYFUNCTION("GOOGLETRANSLATE(B14252, ""fr"", ""en"")"),"casio thank you as pictured. practice, she also made the date, chrono .it's missing him, only to be connected.")</f>
        <v>casio thank you as pictured. practice, she also made the date, chrono .it's missing him, only to be connected.</v>
      </c>
    </row>
    <row r="14253">
      <c r="A14253" s="1">
        <v>5.0</v>
      </c>
      <c r="B14253" s="1" t="s">
        <v>14011</v>
      </c>
      <c r="C14253" t="str">
        <f>IFERROR(__xludf.DUMMYFUNCTION("GOOGLETRANSLATE(B14253, ""fr"", ""en"")"),"Superb! Very comfortable, very soft a real pleasure! Good quality and good size, perfect!")</f>
        <v>Superb! Very comfortable, very soft a real pleasure! Good quality and good size, perfect!</v>
      </c>
    </row>
    <row r="14254">
      <c r="A14254" s="1">
        <v>5.0</v>
      </c>
      <c r="B14254" s="1" t="s">
        <v>14012</v>
      </c>
      <c r="C14254" t="str">
        <f>IFERROR(__xludf.DUMMYFUNCTION("GOOGLETRANSLATE(B14254, ""fr"", ""en"")"),"these bottles are perfect top. strong, fit perfectly in baby hands. they spend and withstands multiple passages in the dishwasher")</f>
        <v>these bottles are perfect top. strong, fit perfectly in baby hands. they spend and withstands multiple passages in the dishwasher</v>
      </c>
    </row>
    <row r="14255">
      <c r="A14255" s="1">
        <v>5.0</v>
      </c>
      <c r="B14255" s="1" t="s">
        <v>14013</v>
      </c>
      <c r="C14255" t="str">
        <f>IFERROR(__xludf.DUMMYFUNCTION("GOOGLETRANSLATE(B14255, ""fr"", ""en"")"),"A little light Good product")</f>
        <v>A little light Good product</v>
      </c>
    </row>
    <row r="14256">
      <c r="A14256" s="1">
        <v>5.0</v>
      </c>
      <c r="B14256" s="1" t="s">
        <v>14014</v>
      </c>
      <c r="C14256" t="str">
        <f>IFERROR(__xludf.DUMMYFUNCTION("GOOGLETRANSLATE(B14256, ""fr"", ""en"")"),"Impeccable Easy to wear with all very easy to clean and also very light to carry")</f>
        <v>Impeccable Easy to wear with all very easy to clean and also very light to carry</v>
      </c>
    </row>
    <row r="14257">
      <c r="A14257" s="1">
        <v>5.0</v>
      </c>
      <c r="B14257" s="1" t="s">
        <v>14015</v>
      </c>
      <c r="C14257" t="str">
        <f>IFERROR(__xludf.DUMMYFUNCTION("GOOGLETRANSLATE(B14257, ""fr"", ""en"")"),"Great product! This combination is perfect for sports, light and convenient! we feel comfortable to run, that's great.")</f>
        <v>Great product! This combination is perfect for sports, light and convenient! we feel comfortable to run, that's great.</v>
      </c>
    </row>
    <row r="14258">
      <c r="A14258" s="1">
        <v>5.0</v>
      </c>
      <c r="B14258" s="1" t="s">
        <v>14016</v>
      </c>
      <c r="C14258" t="str">
        <f>IFERROR(__xludf.DUMMYFUNCTION("GOOGLETRANSLATE(B14258, ""fr"", ""en"")"),"The comfort of the Hi shoe, shoe light and comfortable to see in time ..... Regards")</f>
        <v>The comfort of the Hi shoe, shoe light and comfortable to see in time ..... Regards</v>
      </c>
    </row>
    <row r="14259">
      <c r="A14259" s="1">
        <v>5.0</v>
      </c>
      <c r="B14259" s="1" t="s">
        <v>14017</v>
      </c>
      <c r="C14259" t="str">
        <f>IFERROR(__xludf.DUMMYFUNCTION("GOOGLETRANSLATE(B14259, ""fr"", ""en"")"),"The Content of this purchase Valite")</f>
        <v>The Content of this purchase Valite</v>
      </c>
    </row>
    <row r="14260">
      <c r="A14260" s="1">
        <v>5.0</v>
      </c>
      <c r="B14260" s="1" t="s">
        <v>14018</v>
      </c>
      <c r="C14260" t="str">
        <f>IFERROR(__xludf.DUMMYFUNCTION("GOOGLETRANSLATE(B14260, ""fr"", ""en"")"),"converse Okay good right color size Very good quality very interesting delivery perfect price I recommend this good maintenance")</f>
        <v>converse Okay good right color size Very good quality very interesting delivery perfect price I recommend this good maintenance</v>
      </c>
    </row>
    <row r="14261">
      <c r="A14261" s="1">
        <v>5.0</v>
      </c>
      <c r="B14261" s="1" t="s">
        <v>14019</v>
      </c>
      <c r="C14261" t="str">
        <f>IFERROR(__xludf.DUMMYFUNCTION("GOOGLETRANSLATE(B14261, ""fr"", ""en"")"),"perfect lightweight, fast, aesthetic, I recommend.")</f>
        <v>perfect lightweight, fast, aesthetic, I recommend.</v>
      </c>
    </row>
    <row r="14262">
      <c r="A14262" s="1">
        <v>5.0</v>
      </c>
      <c r="B14262" s="1" t="s">
        <v>14020</v>
      </c>
      <c r="C14262" t="str">
        <f>IFERROR(__xludf.DUMMYFUNCTION("GOOGLETRANSLATE(B14262, ""fr"", ""en"")"),"good superb finish product")</f>
        <v>good superb finish product</v>
      </c>
    </row>
    <row r="14263">
      <c r="A14263" s="1">
        <v>5.0</v>
      </c>
      <c r="B14263" s="1" t="s">
        <v>14021</v>
      </c>
      <c r="C14263" t="str">
        <f>IFERROR(__xludf.DUMMYFUNCTION("GOOGLETRANSLATE(B14263, ""fr"", ""en"")"),"They give magnificent beauty face very easy to")</f>
        <v>They give magnificent beauty face very easy to</v>
      </c>
    </row>
    <row r="14264">
      <c r="A14264" s="1">
        <v>5.0</v>
      </c>
      <c r="B14264" s="1" t="s">
        <v>14022</v>
      </c>
      <c r="C14264" t="str">
        <f>IFERROR(__xludf.DUMMYFUNCTION("GOOGLETRANSLATE(B14264, ""fr"", ""en"")"),"I agree with a lot of people, ink refills are quickly depleted and those same colors I agree as many people who blame the Canon ink cartridges to be quickly exhausted, even colors that empty as cartridges as the one just uses the black? In addition the pr"&amp;"inter stops making va- and -Comes between each printed which further adds depleted cartridges. So this is the last time I buy a Canon.")</f>
        <v>I agree with a lot of people, ink refills are quickly depleted and those same colors I agree as many people who blame the Canon ink cartridges to be quickly exhausted, even colors that empty as cartridges as the one just uses the black? In addition the printer stops making va- and -Comes between each printed which further adds depleted cartridges. So this is the last time I buy a Canon.</v>
      </c>
    </row>
    <row r="14265">
      <c r="A14265" s="1">
        <v>5.0</v>
      </c>
      <c r="B14265" s="1" t="s">
        <v>14023</v>
      </c>
      <c r="C14265" t="str">
        <f>IFERROR(__xludf.DUMMYFUNCTION("GOOGLETRANSLATE(B14265, ""fr"", ""en"")"),"Super Mini Micro Super Micro, very discreet, lightweight, it easily connects to the smartphone, comes with its case. Excellent value I recommend")</f>
        <v>Super Mini Micro Super Micro, very discreet, lightweight, it easily connects to the smartphone, comes with its case. Excellent value I recommend</v>
      </c>
    </row>
    <row r="14266">
      <c r="A14266" s="1">
        <v>5.0</v>
      </c>
      <c r="B14266" s="1" t="s">
        <v>14024</v>
      </c>
      <c r="C14266" t="str">
        <f>IFERROR(__xludf.DUMMYFUNCTION("GOOGLETRANSLATE(B14266, ""fr"", ""en"")"),"diffuser oils very pretty and very easy diffuser used very pretty beautiful design essential oils of many simpler operating modes is the use several modes of soft colors lumiéres really very good product for all seasons diffuser éfficace I recommend")</f>
        <v>diffuser oils very pretty and very easy diffuser used very pretty beautiful design essential oils of many simpler operating modes is the use several modes of soft colors lumiéres really very good product for all seasons diffuser éfficace I recommend</v>
      </c>
    </row>
    <row r="14267">
      <c r="A14267" s="1">
        <v>5.0</v>
      </c>
      <c r="B14267" s="1" t="s">
        <v>14025</v>
      </c>
      <c r="C14267" t="str">
        <f>IFERROR(__xludf.DUMMYFUNCTION("GOOGLETRANSLATE(B14267, ""fr"", ""en"")"),"The bag that I need. After several attempts, I have finally found satisfaction with this bag. My first business necessitated are at hand (smartphone, payment cards) very directly, and if the bag with a storage capacity rather substantial without being too"&amp;" imposing.")</f>
        <v>The bag that I need. After several attempts, I have finally found satisfaction with this bag. My first business necessitated are at hand (smartphone, payment cards) very directly, and if the bag with a storage capacity rather substantial without being too imposing.</v>
      </c>
    </row>
    <row r="14268">
      <c r="A14268" s="1">
        <v>2.0</v>
      </c>
      <c r="B14268" s="1" t="s">
        <v>14026</v>
      </c>
      <c r="C14268" t="str">
        <f>IFERROR(__xludf.DUMMYFUNCTION("GOOGLETRANSLATE(B14268, ""fr"", ""en"")"),"A little disappointed a little disappointed, the product size small I took a 45 but it does more product received 44.5 pocket so the shoes had folds. Brief for the price is okay but a box would be welcome")</f>
        <v>A little disappointed a little disappointed, the product size small I took a 45 but it does more product received 44.5 pocket so the shoes had folds. Brief for the price is okay but a box would be welcome</v>
      </c>
    </row>
    <row r="14269">
      <c r="A14269" s="1">
        <v>1.0</v>
      </c>
      <c r="B14269" s="1" t="s">
        <v>14027</v>
      </c>
      <c r="C14269" t="str">
        <f>IFERROR(__xludf.DUMMYFUNCTION("GOOGLETRANSLATE(B14269, ""fr"", ""en"")"),"Not satisfied Do not go on the rigid strap Maubousin !?")</f>
        <v>Not satisfied Do not go on the rigid strap Maubousin !?</v>
      </c>
    </row>
    <row r="14270">
      <c r="A14270" s="1">
        <v>3.0</v>
      </c>
      <c r="B14270" s="1" t="s">
        <v>14028</v>
      </c>
      <c r="C14270" t="str">
        <f>IFERROR(__xludf.DUMMYFUNCTION("GOOGLETRANSLATE(B14270, ""fr"", ""en"")"),"Correct. Comfortable, no more. Product according to the picture. Not too sexy by cons. While noting that the brassièrr includes padding, maybe not so aesthetic as that.")</f>
        <v>Correct. Comfortable, no more. Product according to the picture. Not too sexy by cons. While noting that the brassièrr includes padding, maybe not so aesthetic as that.</v>
      </c>
    </row>
    <row r="14271">
      <c r="A14271" s="1">
        <v>3.0</v>
      </c>
      <c r="B14271" s="1" t="s">
        <v>14029</v>
      </c>
      <c r="C14271" t="str">
        <f>IFERROR(__xludf.DUMMYFUNCTION("GOOGLETRANSLATE(B14271, ""fr"", ""en"")"),"Disappointed Disappointed after a few months she had cracked at the plastic")</f>
        <v>Disappointed Disappointed after a few months she had cracked at the plastic</v>
      </c>
    </row>
    <row r="14272">
      <c r="A14272" s="1">
        <v>4.0</v>
      </c>
      <c r="B14272" s="1" t="s">
        <v>14030</v>
      </c>
      <c r="C14272" t="str">
        <f>IFERROR(__xludf.DUMMYFUNCTION("GOOGLETRANSLATE(B14272, ""fr"", ""en"")"),"Good product A little too wide")</f>
        <v>Good product A little too wide</v>
      </c>
    </row>
    <row r="14273">
      <c r="A14273" s="1">
        <v>4.0</v>
      </c>
      <c r="B14273" s="1" t="s">
        <v>14031</v>
      </c>
      <c r="C14273" t="str">
        <f>IFERROR(__xludf.DUMMYFUNCTION("GOOGLETRANSLATE(B14273, ""fr"", ""en"")"),"Problem size shoes I usually at Converse of 37, at the reception it was too small, I recommended the 38, it was too big, no luck for me the 37, five were out.")</f>
        <v>Problem size shoes I usually at Converse of 37, at the reception it was too small, I recommended the 38, it was too big, no luck for me the 37, five were out.</v>
      </c>
    </row>
    <row r="14274">
      <c r="A14274" s="1">
        <v>4.0</v>
      </c>
      <c r="B14274" s="1" t="s">
        <v>14032</v>
      </c>
      <c r="C14274" t="str">
        <f>IFERROR(__xludf.DUMMYFUNCTION("GOOGLETRANSLATE(B14274, ""fr"", ""en"")"),"Everything you need Everything I need is put together. Fine quality bags, durable and perfectly grasp. But I think they could have been cheaper.")</f>
        <v>Everything you need Everything I need is put together. Fine quality bags, durable and perfectly grasp. But I think they could have been cheaper.</v>
      </c>
    </row>
    <row r="14275">
      <c r="A14275" s="1">
        <v>4.0</v>
      </c>
      <c r="B14275" s="1" t="s">
        <v>14033</v>
      </c>
      <c r="C14275" t="str">
        <f>IFERROR(__xludf.DUMMYFUNCTION("GOOGLETRANSLATE(B14275, ""fr"", ""en"")"),"Damage flexible that the soles are not protected")</f>
        <v>Damage flexible that the soles are not protected</v>
      </c>
    </row>
    <row r="14276">
      <c r="A14276" s="1">
        <v>5.0</v>
      </c>
      <c r="B14276" s="1" t="s">
        <v>14034</v>
      </c>
      <c r="C14276" t="str">
        <f>IFERROR(__xludf.DUMMYFUNCTION("GOOGLETRANSLATE(B14276, ""fr"", ""en"")"),"I recommend ! Zero colic. This bottle is top and complements breastfeeding. It reproduces the breast and allows baby to drink quietly.")</f>
        <v>I recommend ! Zero colic. This bottle is top and complements breastfeeding. It reproduces the breast and allows baby to drink quietly.</v>
      </c>
    </row>
    <row r="14277">
      <c r="A14277" s="1">
        <v>5.0</v>
      </c>
      <c r="B14277" s="1" t="s">
        <v>14035</v>
      </c>
      <c r="C14277" t="str">
        <f>IFERROR(__xludf.DUMMYFUNCTION("GOOGLETRANSLATE(B14277, ""fr"", ""en"")"),"Good deal I am very happy with this product. It has pockets inside which is very convenient. The handles are very strong. Perfect for my job.")</f>
        <v>Good deal I am very happy with this product. It has pockets inside which is very convenient. The handles are very strong. Perfect for my job.</v>
      </c>
    </row>
    <row r="14278">
      <c r="A14278" s="1">
        <v>5.0</v>
      </c>
      <c r="B14278" s="1" t="s">
        <v>14036</v>
      </c>
      <c r="C14278" t="str">
        <f>IFERROR(__xludf.DUMMYFUNCTION("GOOGLETRANSLATE(B14278, ""fr"", ""en"")"),"Satisfied Very happy with my purchase, I have other bottles of the MAM brand but no drawings above unlike those. Also I had a preference for the color pink, I took the pink pack 2 bottles and 1 green but in the end I got three bottles pink and green 0. Er"&amp;"ror or not, the better for me!")</f>
        <v>Satisfied Very happy with my purchase, I have other bottles of the MAM brand but no drawings above unlike those. Also I had a preference for the color pink, I took the pink pack 2 bottles and 1 green but in the end I got three bottles pink and green 0. Error or not, the better for me!</v>
      </c>
    </row>
    <row r="14279">
      <c r="A14279" s="1">
        <v>5.0</v>
      </c>
      <c r="B14279" s="1" t="s">
        <v>14037</v>
      </c>
      <c r="C14279" t="str">
        <f>IFERROR(__xludf.DUMMYFUNCTION("GOOGLETRANSLATE(B14279, ""fr"", ""en"")"),"Child helmet My daughter uses the Kidicom on her and on her tablet. Works perfectly well and very comfortable!")</f>
        <v>Child helmet My daughter uses the Kidicom on her and on her tablet. Works perfectly well and very comfortable!</v>
      </c>
    </row>
    <row r="14280">
      <c r="A14280" s="1">
        <v>5.0</v>
      </c>
      <c r="B14280" s="1" t="s">
        <v>14038</v>
      </c>
      <c r="C14280" t="str">
        <f>IFERROR(__xludf.DUMMYFUNCTION("GOOGLETRANSLATE(B14280, ""fr"", ""en"")"),"RAS As picture; very nice. I play 43 basic but as with every brand of shoe it makes me more hair (it's better than the opposite) but I can wear all the same carefree and are comfortable")</f>
        <v>RAS As picture; very nice. I play 43 basic but as with every brand of shoe it makes me more hair (it's better than the opposite) but I can wear all the same carefree and are comfortable</v>
      </c>
    </row>
    <row r="14281">
      <c r="A14281" s="1">
        <v>5.0</v>
      </c>
      <c r="B14281" s="1" t="s">
        <v>14039</v>
      </c>
      <c r="C14281" t="str">
        <f>IFERROR(__xludf.DUMMYFUNCTION("GOOGLETRANSLATE(B14281, ""fr"", ""en"")"),"Super shoes Very nice shoes, light and comfortable to wear")</f>
        <v>Super shoes Very nice shoes, light and comfortable to wear</v>
      </c>
    </row>
    <row r="14282">
      <c r="A14282" s="1">
        <v>5.0</v>
      </c>
      <c r="B14282" s="1" t="s">
        <v>14040</v>
      </c>
      <c r="C14282" t="str">
        <f>IFERROR(__xludf.DUMMYFUNCTION("GOOGLETRANSLATE(B14282, ""fr"", ""en"")"),"good quality I love this bracelet. bracelets are fine and elastic hold! great product.")</f>
        <v>good quality I love this bracelet. bracelets are fine and elastic hold! great product.</v>
      </c>
    </row>
    <row r="14283">
      <c r="A14283" s="1">
        <v>5.0</v>
      </c>
      <c r="B14283" s="1" t="s">
        <v>14041</v>
      </c>
      <c r="C14283" t="str">
        <f>IFERROR(__xludf.DUMMYFUNCTION("GOOGLETRANSLATE(B14283, ""fr"", ""en"")"),"j no particular problems have purchased these extension cords 3 meters because the basics of cables provided were a little short given the layout of my setup, besides their length they are quite standard and work perfectly.")</f>
        <v>j no particular problems have purchased these extension cords 3 meters because the basics of cables provided were a little short given the layout of my setup, besides their length they are quite standard and work perfectly.</v>
      </c>
    </row>
    <row r="14284">
      <c r="A14284" s="1">
        <v>5.0</v>
      </c>
      <c r="B14284" s="1" t="s">
        <v>14042</v>
      </c>
      <c r="C14284" t="str">
        <f>IFERROR(__xludf.DUMMYFUNCTION("GOOGLETRANSLATE(B14284, ""fr"", ""en"")"),"vga cable, correct and cheap used a projector 1.80m allows for the projector not too close to the PC. nothing to report, the cable is correct.")</f>
        <v>vga cable, correct and cheap used a projector 1.80m allows for the projector not too close to the PC. nothing to report, the cable is correct.</v>
      </c>
    </row>
    <row r="14285">
      <c r="A14285" s="1">
        <v>5.0</v>
      </c>
      <c r="B14285" s="1" t="s">
        <v>14043</v>
      </c>
      <c r="C14285" t="str">
        <f>IFERROR(__xludf.DUMMYFUNCTION("GOOGLETRANSLATE(B14285, ""fr"", ""en"")"),"Very nice and safe for children Product consistent with the description, each bead has a node before / after for safety in case of breakage and Clasp (plastic screws) seems solid enough without being too much to give if voltage (certainly to prevent stran"&amp;"gulation if it finds aggripé strong or clinging to something). I find great size for my 8 month old daughter. Bought to relieve his dental push. Since I put him she no longer seems to have a toothache, but it is certainly because pushed's over. We'll see "&amp;"in time if the amber relieves some I recommend this necklace")</f>
        <v>Very nice and safe for children Product consistent with the description, each bead has a node before / after for safety in case of breakage and Clasp (plastic screws) seems solid enough without being too much to give if voltage (certainly to prevent strangulation if it finds aggripé strong or clinging to something). I find great size for my 8 month old daughter. Bought to relieve his dental push. Since I put him she no longer seems to have a toothache, but it is certainly because pushed's over. We'll see in time if the amber relieves some I recommend this necklace</v>
      </c>
    </row>
    <row r="14286">
      <c r="A14286" s="1">
        <v>5.0</v>
      </c>
      <c r="B14286" s="1" t="s">
        <v>14044</v>
      </c>
      <c r="C14286" t="str">
        <f>IFERROR(__xludf.DUMMYFUNCTION("GOOGLETRANSLATE(B14286, ""fr"", ""en"")"),"High-performance, more than just a toy I offered the microphone to my daughter for her 4 years and I admit I was very pleasantly surprised by its quality and its functions. Even his older brothers is more efficient than their Bluetooth speakers! The metal"&amp;" rose color was much appreciated! More than a toy even strong enough to be used by children.")</f>
        <v>High-performance, more than just a toy I offered the microphone to my daughter for her 4 years and I admit I was very pleasantly surprised by its quality and its functions. Even his older brothers is more efficient than their Bluetooth speakers! The metal rose color was much appreciated! More than a toy even strong enough to be used by children.</v>
      </c>
    </row>
    <row r="14287">
      <c r="A14287" s="1">
        <v>5.0</v>
      </c>
      <c r="B14287" s="1" t="s">
        <v>14045</v>
      </c>
      <c r="C14287" t="str">
        <f>IFERROR(__xludf.DUMMYFUNCTION("GOOGLETRANSLATE(B14287, ""fr"", ""en"")"),"beauty jewelry so that people enjoy is that it has more demand delivery time, it will go to another retailer or fossil watch to reduce the bracelet")</f>
        <v>beauty jewelry so that people enjoy is that it has more demand delivery time, it will go to another retailer or fossil watch to reduce the bracelet</v>
      </c>
    </row>
    <row r="14288">
      <c r="A14288" s="1">
        <v>5.0</v>
      </c>
      <c r="B14288" s="1" t="s">
        <v>14046</v>
      </c>
      <c r="C14288" t="str">
        <f>IFERROR(__xludf.DUMMYFUNCTION("GOOGLETRANSLATE(B14288, ""fr"", ""en"")"),"Very good product and good service, I recommend this article. The product perfectly fits the description, it is very good, really laugh to say. Moreover it was delivered in 24 hours. Very good product and good service. I recommend enxemble")</f>
        <v>Very good product and good service, I recommend this article. The product perfectly fits the description, it is very good, really laugh to say. Moreover it was delivered in 24 hours. Very good product and good service. I recommend enxemble</v>
      </c>
    </row>
    <row r="14289">
      <c r="A14289" s="1">
        <v>5.0</v>
      </c>
      <c r="B14289" s="1" t="s">
        <v>14047</v>
      </c>
      <c r="C14289" t="str">
        <f>IFERROR(__xludf.DUMMYFUNCTION("GOOGLETRANSLATE(B14289, ""fr"", ""en"")"),"good pants I chose these pants that seemed to have very well for me and practice. nice color and fashionable. comfortable and warm, no problem.")</f>
        <v>good pants I chose these pants that seemed to have very well for me and practice. nice color and fashionable. comfortable and warm, no problem.</v>
      </c>
    </row>
    <row r="14290">
      <c r="A14290" s="1">
        <v>5.0</v>
      </c>
      <c r="B14290" s="1" t="s">
        <v>14048</v>
      </c>
      <c r="C14290" t="str">
        <f>IFERROR(__xludf.DUMMYFUNCTION("GOOGLETRANSLATE(B14290, ""fr"", ""en"")"),"Product line with my expectations Very good product. Quality leather. I can take all my files are many. Very convenient.")</f>
        <v>Product line with my expectations Very good product. Quality leather. I can take all my files are many. Very convenient.</v>
      </c>
    </row>
    <row r="14291">
      <c r="A14291" s="1">
        <v>2.0</v>
      </c>
      <c r="B14291" s="1" t="s">
        <v>14049</v>
      </c>
      <c r="C14291" t="str">
        <f>IFERROR(__xludf.DUMMYFUNCTION("GOOGLETRANSLATE(B14291, ""fr"", ""en"")"),"Quality of appointment and are really fine! Comfort, no worries friction and quality appointment. They are vrmt fine, ideal for summer! EDIT: After some time, they begin to crack the heel.")</f>
        <v>Quality of appointment and are really fine! Comfort, no worries friction and quality appointment. They are vrmt fine, ideal for summer! EDIT: After some time, they begin to crack the heel.</v>
      </c>
    </row>
    <row r="14292">
      <c r="A14292" s="1">
        <v>1.0</v>
      </c>
      <c r="B14292" s="1" t="s">
        <v>14050</v>
      </c>
      <c r="C14292" t="str">
        <f>IFERROR(__xludf.DUMMYFUNCTION("GOOGLETRANSLATE(B14292, ""fr"", ""en"")"),"You can not sell such shoe c is shameful on your part C is shameful to sell such shoes. It is an infection a chemical smell not mitigate. I was forced to throw these shoes because the smell pervaded my whole apartment. So I prompted this purchase rembours"&amp;"sement unable to return you these shoes because they went directly to the recycling center so as not to infect my trash. I Thank You IEDE watching this issue closely. cordially")</f>
        <v>You can not sell such shoe c is shameful on your part C is shameful to sell such shoes. It is an infection a chemical smell not mitigate. I was forced to throw these shoes because the smell pervaded my whole apartment. So I prompted this purchase rembourssement unable to return you these shoes because they went directly to the recycling center so as not to infect my trash. I Thank You IEDE watching this issue closely. cordially</v>
      </c>
    </row>
    <row r="14293">
      <c r="A14293" s="1">
        <v>1.0</v>
      </c>
      <c r="B14293" s="1" t="s">
        <v>14051</v>
      </c>
      <c r="C14293" t="str">
        <f>IFERROR(__xludf.DUMMYFUNCTION("GOOGLETRANSLATE(B14293, ""fr"", ""en"")"),"Unpleasant I was disappointed by the ""spikes"" of the sole that are unpleasant because too pronounced. So when I walked I felt these pins under my arch and I have not joined. My eldest daughter who Crocs Crocband tried them and had the same unpleasant se"&amp;"nsation. I suggest therefore rather crocband fangs.")</f>
        <v>Unpleasant I was disappointed by the "spikes" of the sole that are unpleasant because too pronounced. So when I walked I felt these pins under my arch and I have not joined. My eldest daughter who Crocs Crocband tried them and had the same unpleasant sensation. I suggest therefore rather crocband fangs.</v>
      </c>
    </row>
    <row r="14294">
      <c r="A14294" s="1">
        <v>3.0</v>
      </c>
      <c r="B14294" s="1" t="s">
        <v>14052</v>
      </c>
      <c r="C14294" t="str">
        <f>IFERROR(__xludf.DUMMYFUNCTION("GOOGLETRANSLATE(B14294, ""fr"", ""en"")"),"Dodie first impressions -Tétine sensation + flat wide neck silicone 0-6 month rate 1 3.97e bought by amazon, delivered within 48 hours. It has two teats in the package. the plastic packaging is damaged but appears not holed or damaged have the nipple. I r"&amp;"eceive so only 3 stars because now ""like"" the product being consistent is what I ordered, to do with use. On the advice of the saleswoman orchestra I bought the flow 1 and 2, flow 3 and 4 being really when we go to the very consistent.")</f>
        <v>Dodie first impressions -Tétine sensation + flat wide neck silicone 0-6 month rate 1 3.97e bought by amazon, delivered within 48 hours. It has two teats in the package. the plastic packaging is damaged but appears not holed or damaged have the nipple. I receive so only 3 stars because now "like" the product being consistent is what I ordered, to do with use. On the advice of the saleswoman orchestra I bought the flow 1 and 2, flow 3 and 4 being really when we go to the very consistent.</v>
      </c>
    </row>
    <row r="14295">
      <c r="A14295" s="1">
        <v>3.0</v>
      </c>
      <c r="B14295" s="1" t="s">
        <v>14053</v>
      </c>
      <c r="C14295" t="str">
        <f>IFERROR(__xludf.DUMMYFUNCTION("GOOGLETRANSLATE(B14295, ""fr"", ""en"")"),"The product was not perfect A laces was not clean. I almost return the product because of it.")</f>
        <v>The product was not perfect A laces was not clean. I almost return the product because of it.</v>
      </c>
    </row>
    <row r="14296">
      <c r="A14296" s="1">
        <v>4.0</v>
      </c>
      <c r="B14296" s="1" t="s">
        <v>14054</v>
      </c>
      <c r="C14296" t="str">
        <f>IFERROR(__xludf.DUMMYFUNCTION("GOOGLETRANSLATE(B14296, ""fr"", ""en"")"),"Received slightly after the time Very nice")</f>
        <v>Received slightly after the time Very nice</v>
      </c>
    </row>
    <row r="14297">
      <c r="A14297" s="1">
        <v>4.0</v>
      </c>
      <c r="B14297" s="1" t="s">
        <v>14055</v>
      </c>
      <c r="C14297" t="str">
        <f>IFERROR(__xludf.DUMMYFUNCTION("GOOGLETRANSLATE(B14297, ""fr"", ""en"")"),"Thick brush cleans perfectly bottles but a little large and therefore difficult to get into it. However there are 2 kinds of hair more or less hard and sponge. No need to rub a long time to see the result. I recommend")</f>
        <v>Thick brush cleans perfectly bottles but a little large and therefore difficult to get into it. However there are 2 kinds of hair more or less hard and sponge. No need to rub a long time to see the result. I recommend</v>
      </c>
    </row>
    <row r="14298">
      <c r="A14298" s="1">
        <v>4.0</v>
      </c>
      <c r="B14298" s="1" t="s">
        <v>14056</v>
      </c>
      <c r="C14298" t="str">
        <f>IFERROR(__xludf.DUMMYFUNCTION("GOOGLETRANSLATE(B14298, ""fr"", ""en"")"),"Good product overall good product cheap and good quality for the price Frankly go there without problems !!! I put 4 stars because it lacks a bit of momentum I think even with supply of 0.48 volts mixer. Beware the microphone feedback very quickly that ha"&amp;"ve pushed a little too much gain. I recommend an external preamp dbx 286s of the kind to get a good quality sound and put the windscreen")</f>
        <v>Good product overall good product cheap and good quality for the price Frankly go there without problems !!! I put 4 stars because it lacks a bit of momentum I think even with supply of 0.48 volts mixer. Beware the microphone feedback very quickly that have pushed a little too much gain. I recommend an external preamp dbx 286s of the kind to get a good quality sound and put the windscreen</v>
      </c>
    </row>
    <row r="14299">
      <c r="A14299" s="1">
        <v>4.0</v>
      </c>
      <c r="B14299" s="1" t="s">
        <v>14057</v>
      </c>
      <c r="C14299" t="str">
        <f>IFERROR(__xludf.DUMMYFUNCTION("GOOGLETRANSLATE(B14299, ""fr"", ""en"")"),"Beautiful modern kettle with blue light when it is on.")</f>
        <v>Beautiful modern kettle with blue light when it is on.</v>
      </c>
    </row>
    <row r="14300">
      <c r="A14300" s="1">
        <v>5.0</v>
      </c>
      <c r="B14300" s="1" t="s">
        <v>14058</v>
      </c>
      <c r="C14300" t="str">
        <f>IFERROR(__xludf.DUMMYFUNCTION("GOOGLETRANSLATE(B14300, ""fr"", ""en"")"),"Very useful &lt;div id = ""video-block-R11IBDQ6EZSYC2"" class = ""a-section-spacing-small in-spacing-top mini video-block""&gt; &lt;div tabindex = ""0"" class = ""airy airy-svg vmin-supported airy-skin-beacon ""style ="" background-color: rgb (0, 0, 0); position: "&amp;"relative; width: 100%; height: 100%; font-size: 0px; overflow: hidden; outline : none; ""&gt; &lt;div class ="" airy-renderer-container ""style ="" position: relative; height: 100%; width: 100%; ""&gt; &lt;video id ="" 15 ""preload ="" auto ""src ="" https://images-e"&amp;"u.ssl-images-amazon.com/images/I/810zxmrevjS.mp4 ""style ="" position: absolute; left: 0px; top: 0px; overflow: hidden; height: 1px; width: 1px ; ""&gt; &lt;/ video&gt; &lt;/ div&gt; &lt;div id ="" airy-slate-preload ""style ="" background-color: rgb (0, 0, 0); background-"&amp;"image: url (&amp; quot; https: // images-eu.ssl-images-amazon.com/images/I/91f9y98HSqS.png&amp;quot;); background-size: contain; background-position: center center; background-repeat: no-repeat; position: absolute; top: 0px ; left: 0px; visibility: visible; width"&amp;": 100%; height: 100% ""&gt; &lt;/ div&gt; &lt;iframe scrolling ="" no "" frameborder = ""0"" src = ""about: blank"" style = ""display: none;""&gt; &lt;/ iframe&gt; &lt;div tabindex = ""- 1"" class = ""airy-controls-container"" style = ""opacity: 0; visibility: hidden; ""&gt; &lt;div t"&amp;"abindex ="" - 1 ""class ="" airy-screen-size-toggle airy-fullscreen ""&gt; &lt;/ div&gt; &lt;div tabindex ="" - 1 ""class ="" airy-container-bottom "" &gt; &lt;div tabindex = ""- 1"" class = ""airy-track-bar spacer-left"" style = ""width: 11px;""&gt; &lt;/ div&gt; &lt;div tabindex = "&amp;"""- 1"" class = ""airy-play- toggle airy-play ""style ="" width: 12px; margin-right: 12px; ""&gt; &lt;/ div&gt; &lt;div tabindex ="" - 1 ""class ="" airy-audio-elements ""style ="" float: right; width: 34px; ""&gt; &lt;div tabindex ="" - 1 ""class ="" airy-audio-toggle air"&amp;"y-on ""&gt; &lt;/ div&gt; &lt;div tabindex ="" - 1 ""class ="" airy-audio-container ""style = ""opacity: 0; visibility: hidden; ""&gt; &lt;div tabindex ="" - 1 ""class ="" airy-audio-track-bar ""style ="" height: 80%; ""&gt; &lt;div tabindex ="" - 1 ""class ="" airy-audio- scrub"&amp;"ber bar ""style ="" height: 85% ""&gt; &lt;/ div&gt; &lt;div tabindex ="" - 1 ""class ="" airy-audio-scrubber ""style ="" height: 12px; bottom: 85% ""&gt; &lt;/ div&gt; &lt;/ div&gt; &lt;/ div&gt; &lt;/ div&gt; &lt;div tabindex ="" - 1 ""class ="" airy-duration-label ""style ="" float: right; wid"&amp;"th: 26px; margin-right: 4px; text-align: center; ""&gt; 0:04 &lt;/ div&gt; &lt;div tabindex ="" - 1 ""class ="" airy-track-bar spacer-right ""style ="" float: right; width: 11px; ""&gt; &lt;/ div&gt; &lt;div tabindex ="" - 1 ""class ="" airy-track-bar-container ""style ="" margi"&amp;"n-left: 35px; margin-right: 75px; ""&gt; &lt;div tabindex ="" - 1 ""class ="" airy-airy-track-bar vertical-centering-table ""&gt; &lt;div tabindex ="" - 1 ""class ="" airy-vertical-centering- table-cell ""&gt; &lt;div tabindex ="" - 1 ""class ="" airy-track-bar elements """&amp;"&gt; &lt;div tabindex ="" - 1 ""class ="" airy-progress-bar ""style ="" width: 100%; ""&gt; &lt;/ div&gt; &lt;div tabindex ="" - 1 ""class ="" airy-scrubber bar ""&gt; &lt;/ div&gt; &lt;div tabindex ="" - 1 ""class ="" airy-scrubber ""&gt; &lt;div tabindex ="" - 1 ""class ="" airy-scrubber-"&amp;"icon ""&gt; &lt;/ div&gt; &lt;div tabindex ="" - 1 ""class ="" airy-adjusted-aui-tooltip ""style ="" opacity: 0; visibility: hidden; ""&gt; &lt;div tabindex ="" - 1 ""class ="" airy-adjusted-aui-tooltip-inner ""&gt; &lt;div tabindex ="" - 1 ""class ="" airy-current-time-label """&amp;"&gt; 0 00 &lt;/ div&gt; &lt;/ div&gt; &lt;div tabindex = ""- 1"" class = ""airy-adjusted-aui-arrow-border""&gt; &lt;div tabindex = ""- 1"" class = ""airy-adjusted-aui-arrow"" &gt; &lt;/ div&gt; &lt;/ div&gt; &lt;/ div&gt; &lt;/ div&gt; &lt;/ div&gt; &lt;/ div&gt; &lt;/ div&gt; &lt;/ div&gt; &lt;/ div&gt; &lt;/ div&gt; &lt;div tabindex = ""- 1"&amp;""" class = ""airy-airy-age-gate course airy-vertical-centering table-airy-dialog"" style = ""opacity: 0; visibility: hidden; ""&gt; &lt;div tabindex ="" - 1 ""class ="" airy-age-gate-vertical-centering-table-cell airy-vertical-centering-table-cell ""&gt; &lt;div tabi"&amp;"ndex ="" - 1 ""class = ""airy-vertical-centering-wrapper airy-age-gate-elements-wrapper""&gt; &lt;div tabindex = ""- 1"" class = ""airy-age-gate-elements airy-dialog-elements""&gt; &lt;div tabindex = "" -1 ""class ="" airy-age-gate-prompt ""&gt; This video is not Intend"&amp;"ed for all audiences What time were you born &lt;/ div&gt; &lt;div tabindex =.?"" - 1 ""class ="" airy-age-gate -inputs airy-dialog-inner-elements ""&gt; &lt;select tabindex ="" - 1 ""class ="" airy-age-gate-month ""&gt; &lt;option value ="" 1 ""&gt; January &lt;/ option&gt; &lt;option v"&amp;"alue ="" 2 ""&gt; February &lt;/ option&gt; &lt;option value ="" 3 ""&gt; March &lt;/ option&gt; &lt;option value ="" 4 ""&gt; April &lt;/ option&gt; &lt;option value ="" 5 ""&gt; May &lt;/ option&gt; &lt;option value = ""6""&gt; June &lt;/ option&gt; &lt;option value = ""7""&gt; July &lt;/ option&gt; &lt;option value = ""8"""&amp;"&gt; August &lt;/ option&gt; &lt;option value = ""9""&gt; September &lt;/ option&gt; &lt;option value = ""10""&gt; October &lt;/ option&gt; &lt;option value = ""11""&gt; November &lt;/ option&gt; &lt;option value = ""12""&gt; December &lt;/ option&gt; &lt;/ select&gt; &lt;select tabindex = ""- 1"" class = ""airy-age-gat"&amp;"e-day""&gt; &lt;opti = One value ""1""&gt; 1 &lt;/ option&gt; &lt;option value = ""2""&gt; 2 &lt;/ option&gt; &lt;option value = ""3""&gt; 3 &lt;/ option&gt; &lt;option value = ""4""&gt; 4 &lt;/ option &gt; &lt;option value = ""5""&gt; 5 &lt;/ option&gt; &lt;option value = ""6""&gt; 6 &lt;/ option&gt; &lt;option value = ""7""&gt; 7 &lt;/"&amp;" option&gt; &lt;option value = ""8""&gt; 8 &lt; / option&gt; &lt;option value = ""9""&gt; 9 &lt;/ option&gt; &lt;option value = ""10""&gt; 10 &lt;/ option&gt; &lt;option value = ""11""&gt; 11 &lt;/ option&gt; &lt;option value = ""12""&gt; 12 &lt;/ option&gt; &lt;option value = ""13""&gt; 13 &lt;/ option&gt; &lt;option value = ""14"&amp;"""&gt; 14 &lt;/ option&gt; &lt;option value = ""15""&gt; 15 &lt;/ option&gt; &lt;option value = ""16 ""&gt; 16 &lt;/ option&gt; &lt;option value ="" 17 ""&gt; 17 &lt;/ option&gt; &lt;option value ="" 18 ""&gt; 18 &lt;/ option&gt; &lt;option value ="" 19 ""&gt; 19 &lt;/ option&gt; &lt;option value = ""20""&gt; 20 &lt;/ option&gt; &lt;opti"&amp;"on value = ""21""&gt; 21 &lt;/ option&gt; &lt;option value = ""22""&gt; 22 &lt;/ option&gt; &lt;option value = ""23""&gt; 23 &lt;/ option&gt; &lt;option value = ""24""&gt; 24 &lt;/ option&gt; &lt;option value = ""25""&gt; 25 &lt;/ option&gt; &lt;option value = ""26""&gt; 26 &lt;/ option&gt; &lt;option value = ""27""&gt; 27 &lt;/ op"&amp;"tion&gt; &lt;option value = ""28""&gt; 28 &lt;/ option&gt; &lt;option value = ""29""&gt; 29 &lt;/ option&gt; &lt;option value = ""30""&gt; 30 &lt;/ option&gt; &lt;option value = ""31""&gt; 31 &lt;/ option&gt; &lt;/ select&gt; &lt;select tabindex = ""- 1"" class = ""airy-age-gate-year""&gt; &lt;option value = ""2019""&gt; 2"&amp;"019 &lt;/ option&gt; &lt; option value = ""2018""&gt; 2018 &lt;/ option&gt; &lt;option value = ""2017""&gt; 2017 &lt;/ option&gt; &lt;option value = ""2016""&gt; ​​2016 &lt;/ option&gt; &lt;option value = ""2015""&gt; 2015 &lt;/ option &gt; &lt;option value = ""2014""&gt; 2014 &lt;/ option&gt; &lt;option value = ""2013""&gt; "&amp;"2013 &lt;/ option&gt; &lt;option value = ""2012""&gt; 2012 &lt;/ option&gt; &lt;option value = ""2011""&gt; 2011 &lt; / option&gt; &lt;option value = ""2010""&gt; 2010 &lt;/ option&gt; &lt;option value = ""2009""&gt; 2009 &lt;/ option&gt; &lt;option value = ""2008""&gt; 2008 &lt;/ option&gt; &lt;option value = ""2007""&gt; 20"&amp;"07 &lt;/ option&gt; &lt;option value = ""2006""&gt; 2006 &lt;/ option&gt; &lt;option value = ""2005""&gt; 2005 &lt;/ option&gt; &lt;option value = ""2004""&gt; 2004 &lt;/ option&gt; &lt;option value = ""2003 ""&gt; 2003 &lt;/ option&gt; &lt;option value ="" 2002 ""&gt; 2002 &lt;/ option&gt; &lt;option value ="" 2001 ""&gt; 20"&amp;"01 &lt;/ option&gt; &lt;option value ="" 2000 ""&gt; 2000 &lt;/ option&gt; &lt;option value = ""1999""&gt; 1999 &lt;/ option&gt; &lt;option value = ""1998""&gt; 1998 &lt;/ option&gt; &lt;option value = ""1997""&gt; 1997 &lt;/ option&gt; &lt;option value = ""1996""&gt; 1996 &lt;/ option&gt; &lt;option value = ""1995""&gt; 1995"&amp;" &lt;/ option&gt; &lt;option value = ""1994""&gt; 1994 &lt;/ option&gt; &lt;option value = ""1993""&gt; 1993 &lt;/ option&gt; &lt;option value = ""1992""&gt; 1992 &lt;/ option&gt; &lt;option value = ""1991""&gt; 1991 &lt;/ option&gt; &lt;option value = ""1990""&gt; 1990 &lt;/ option&gt; &lt;option value = "" 1989 ""&gt; 1989 "&amp;"&lt;/ option&gt; &lt;option value ="" 1988 ""&gt; 1988 &lt;/ option&gt; &lt;option value ="" 1987 ""&gt; 1987 &lt;/ option&gt; &lt;option value ="" 1986 ""&gt; 1986 &lt;/ option&gt; &lt;option value = ""1985""&gt; 1985 &lt;/ option&gt; &lt;option value = ""1984""&gt; 1984 &lt;/ option&gt; &lt;option value = ""1983""&gt; 1983 "&amp;"&lt;/ option&gt; &lt;option value = ""1982""&gt; 1982 &lt;/ option&gt; &lt; option value = ""1981""&gt; 1981 &lt;/ option&gt; &lt;option value = ""1980""&gt; 1980 &lt;/ option&gt; &lt;option value = ""1979""&gt; 1979 &lt;/ option&gt; &lt;option value = ""1978""&gt; 1978 &lt;/ option &gt; &lt;option value = ""1977""&gt; 1977 &lt;"&amp;"/ option&gt; &lt;option value = ""1976""&gt; 1976 &lt;/ option&gt; &lt;option value = ""1975""&gt; 1975 &lt;/ option&gt; &lt;option value = ""1974""&gt; 1974 &lt; / option&gt; &lt;option value = ""1973""&gt; 1973 &lt;/ option&gt; &lt;option value = ""1972""&gt; 1972 &lt;/ option&gt; &lt;option value = ""1971""&gt; 1971 &lt;/ "&amp;"option&gt; &lt;option value = ""1970""&gt; 1970 &lt;/ option&gt; &lt;option value = ""1969""&gt; 1969 &lt;/ option&gt; &lt;option value = ""1968""&gt; 1968 &lt;/ option&gt; &lt;option value = ""1967""&gt; 1967 &lt;/ option&gt; &lt;option value = ""1966 ""&gt; 1966 &lt;/ option&gt; &lt;option value ="" 1965 ""&gt; 1965 &lt;/ o"&amp;"ption&gt; &lt;option value ="" 1964 ""&gt; 1964 &lt;/ option&gt; &lt;option value ="" 1963 ""&gt; 1963 &lt;/ option&gt; &lt;option value = ""1962""&gt; 1962 &lt;/ option&gt; &lt;option value = ""1961""&gt; 1961 &lt;/ option&gt; &lt;option value = ""1960""&gt; 1960 &lt;/ op tion&gt; &lt;option value = ""1959""&gt; 1959 &lt;/ o"&amp;"ption&gt; &lt;option value = ""1958""&gt; 1958 &lt;/ option&gt; &lt;option value = ""1957""&gt; 1957 &lt;/ option&gt; &lt;option value = ""1956""&gt; 1956 &lt;/ option&gt; &lt;option value = ""1955""&gt; 1955 &lt;/ option&gt; &lt;option value = ""1954""&gt; 1954 &lt;/ option&gt; &lt;option value = ""1953""&gt; 1953 &lt;/ opti"&amp;"on&gt; &lt;option value = ""1952"" &gt; 1952 &lt;/ option&gt; &lt;option value = ""1951""&gt; 1951 &lt;/ option&gt; &lt;option value = ""1950""&gt; 1950 &lt;/ option&gt; &lt;option value = ""1949""&gt; 1949 &lt;/ option&gt; &lt;option value = "" 1948 ""&gt; 1948 &lt;/ option&gt; &lt;option value ="" 1947 ""&gt; 1947 &lt;/ opt"&amp;"ion&gt; &lt;option value ="" 1946 ""&gt; 1946 &lt;/ option&gt; &lt;option value ="" 1945 ""&gt; 1945 &lt;/ option&gt; &lt;option value = ""1944""&gt; 1944 &lt;/ option&gt; &lt;option value = ""1943""&gt; 1943 &lt;/ option&gt; &lt;option value = ""1942""&gt; 1942 &lt;/ option&gt; &lt;option value = ""1941""&gt; 1941 &lt;/ opti"&amp;"on&gt; &lt; option value = ""1940""&gt; 1940 &lt;/ option&gt; &lt;option value = ""1939""&gt; 1939 &lt;/ option&gt; &lt;option value = ""1938""&gt; 1938 &lt;/ option&gt; &lt;option value = ""1937""&gt; 1937 &lt;/ option &gt; &lt;option value = ""1936""&gt; 1936 &lt;/ option&gt; &lt;option value = ""1935""&gt; 1935 &lt;/ optio"&amp;"n&gt; &lt;option value = ""1934""&gt; 1934 &lt;/ option&gt; &lt;option value = ""1933""&gt; 1933 &lt; / option&gt; &lt;option value = ""1932""&gt; 1932 &lt;/ option&gt; &lt;option value = ""1931""&gt; 1931 &lt;/ option&gt; &lt;option v alue = ""1930""&gt; 1930 &lt;/ option&gt; &lt;option value = ""1929""&gt; 1929 &lt;/ option"&amp;"&gt; &lt;option value = ""1928""&gt; 1928 &lt;/ option&gt; &lt;option value = ""1927""&gt; 1927 &lt;/ option&gt; &lt;option value = ""1926""&gt; 1926 &lt;/ option&gt; &lt;option value = ""1925""&gt; 1925 &lt;/ option&gt; &lt;option value = ""1924""&gt; 1924 &lt;/ option&gt; &lt;option value = ""1923""&gt; 1923 &lt;/ option&gt; &lt;"&amp;"option value = ""1922""&gt; 1922 &lt;/ option&gt; &lt;option value = ""1921""&gt; 1921 &lt;/ option&gt; &lt;option value = ""1920""&gt; 1920 &lt;/ option&gt; &lt;option value = ""1919""&gt; 1919 &lt;/ option&gt; &lt;option value = ""1918""&gt; 1918 &lt;/ option&gt; &lt;option value = ""1917""&gt; 1917 &lt;/ option&gt; &lt;opt"&amp;"ion value = ""1916""&gt; 1916 &lt;/ option&gt; &lt;option value = ""1915"" &gt; 1915 &lt;/ option&gt; &lt;option value = ""1914""&gt; 1914 &lt;/ option&gt; &lt;option value = ""1913""&gt; 1913 &lt;/ option&gt; &lt;option value = ""1912""&gt; 1912 &lt;/ option&gt; &lt;option value = "" 1911 ""&gt; 1911 &lt;/ option&gt; &lt;opt"&amp;"ion value ="" 1910 ""&gt; 1910 &lt;/ option&gt; &lt;option value ="" 1909 ""&gt; 1909 &lt;/ option&gt; &lt;option value ="" 1908 ""&gt; 1908 &lt;/ option&gt; &lt;option value = ""1907""&gt; 1907 &lt;/ option&gt; &lt;option value = ""1906""&gt; 1906 &lt;/ option&gt; &lt;option value = ""1905""&gt; 1905 &lt;/ option&gt; &lt;opt"&amp;"ion value = ""1904""&gt; 1904 &lt;/ option&gt; &lt; option value = ""1903""&gt; 1903 &lt;/ option&gt; &lt;option value = ""1902""&gt; 1902 &lt;/ option&gt; &lt;option value = ""1901""&gt; 19 01 &lt;/ option&gt; &lt;option value = ""1900""&gt; 1900 &lt;/ option&gt; &lt;/ select&gt; &lt;div tabindex = ""- 1"" class = ""ai"&amp;"ry-age-gate-submit airy-submit-button airy airy-submit- disabled ""&gt; Submit &lt;/ div&gt; &lt;/ div&gt; &lt;/ div&gt; &lt;/ div&gt; &lt;/ div&gt; &lt;/ div&gt; &lt;div tabindex ="" - 1 ""class ="" airy-install-flash-dialog airy-course airy -Vertical-centering-table dialog airy-airy-denied ""st"&amp;"yle ="" opacity: 0; visibility: hidden; ""&gt; &lt;div tabindex ="" - 1 ""class ="" airy-install-flash-vertical-centering-table-cell airy-vertical-centering-table-cell ""&gt; &lt;div tabindex ="" - 1 ""class = ""airy-vertical-centering-wrapper airy-install-flash-elem"&amp;"ents-wrapper""&gt; &lt;div tabindex = ""- 1"" class = ""airy-install-flash-elements airy-dialog-elements""&gt; &lt;div tabindex = "" -1 ""class ="" airy-install-flash-prompt ""&gt; Adobe Flash Player is required to watch this video &lt;/ div&gt; &lt;div = tabindex."" - 1 ""class"&amp;" ="" airy-install-flash-button-wrapper airy -dialog-inner-elements ""&gt; &lt;div tabindex ="" - 1 ""class ="" airy-install-flash-button airy-button ""&gt; install Flash Player &lt;/ div&gt; &lt;/ div&gt; &lt;/ div&gt; &lt;/ div&gt; &lt;/ div&gt; &lt;/ div&gt; &lt;div tabindex = ""- 1"" class = ""airy-"&amp;"video-unsupported-dialog airy-course airy-vertical-centering table-airy-dialog airy-denied"" style = ""opacity: 0; visibility: hidden; ""&gt; &lt;div tabindex ="" - 1 ""class ="" airy-video-unsupported-vertical-centering-table-cell airy-vertical-centering-table"&amp;"-cell ""&gt; &lt;div tabindex ="" - 1 ""class = ""airy-vertical-centering-wrapper airy-video-unsupported-elements-wrapper""&gt; &lt;div tabindex = ""- 1"" class = ""airy-video-unsupported-elements airy-dialog-elements""&gt; &lt;div tabindex = "" -1 ""class ="" airy-video-u"&amp;"nsupported-prompt ""&gt; &lt;/ div&gt; &lt;/ div&gt; &lt;/ div&gt; &lt;/ div&gt; &lt;/ div&gt; &lt;div tabindex ="" - 1 ""class ="" airy-loading- spinner-stage airy-stage ""&gt; &lt;div tabindex ="" - 1 ""class ="" airy-loading-spinner-vertical-centering-table-cell airy-vertical-centering-table-c"&amp;"ell ""&gt; &lt;div tabindex ="" - 1 ""class ="" airy-loading-spinner container airy-scalable-hint-container ""&gt; &lt;div tabindex ="" - 1 ""class ="" airy-loading-spinner-dummy airy-scalable-dummy ""&gt; &lt;/ div&gt; &lt; div tabindex = ""- 1"" class = ""airy-loading-spinner "&amp;"airy-hint"" style = ""visibility: hidden;""&gt; &lt;/ div&gt; &lt;/ div&gt; &lt;/ div&gt; &lt;/ div&gt; &lt;div tabindex = ""- 1 ""class ="" airy-ads-screen-size-toggle airy-screen-size-toggle airy-fullscreen ""style ="" visibility: hidden; ""&gt; &lt;/ div&gt; &lt;div tabindex = ""-1"" class = "&amp;"""airy-ad-prompt-container"" style = ""visibility: hidden;""&gt; &lt;div tabindex = ""- 1"" class = ""airy-ad-prompt-vertical-centering table-airy-vertical- centering-table ""&gt; &lt;div tabindex ="" - 1 ""class ="" airy-ad-prompt-vertical-centering-table-cell airy-"&amp;"vertical-centering-table-cell ""&gt; &lt;div tabindex ="" - 1 ""class = ""airy-ad-prompt-label""&gt; &lt;/ div&gt; &lt;/ div&gt; &lt;/ div&gt; &lt;/ div&gt; &lt;div tabindex = ""- 1"" class = ""airy-ads-controls-container"" style = ""visibility: hidden; ""&gt; &lt;div tabindex ="" - 1 ""class ="""&amp;" airy-ads-audio-toggle airy-audio-toggle airy-on ""style ="" visibility: hidden; ""&gt; &lt;/ div&gt; &lt;div tabindex ="" - 1 ""class ="" airy-time-remaining-label-container ""&gt; &lt;div tabindex ="" - 1 ""class ="" airy-time-remaining-vertical-centering table-airy-vert"&amp;"ical-centering-table ""&gt; &lt;div tabindex = ""- 1"" class = ""airy-time-remaining-vertical-centering-table-cell airy-vertical-centering-table-cell""&gt; &lt;div tabindex = ""- 1"" class = ""airy-vertical-centering-wrapper airy-time-remaining-label-wrapper ""&gt; &lt;div"&amp;" tabindex ="" - 1 ""class ="" airy-time-remaining-label ""style ="" visibility: hidden; ""&gt; &lt;/ div&gt; &lt;div tabi ndex = ""- 1"" class = ""airy-ad-skip"" style = ""visibility: hidden;""&gt; &lt;/ div&gt; &lt;div tabindex = ""- 1"" class = ""airy-ad-end"" style = ""visibi"&amp;"lity: hidden; ""&gt; &lt;/ div&gt; &lt;/ div&gt; &lt;/ div&gt; &lt;/ div&gt; &lt;/ div&gt; &lt;div tabindex ="" - 1 ""class ="" airy-learn-more ""style ="" visibility: hidden; ""&gt; &lt;/ div&gt; &lt;/ div&gt; &lt;div tabindex = ""- 1"" class = ""airy-play-toggle-hint-stage airy-course airy-cursor""&gt; &lt;div t"&amp;"abindex = ""- 1"" class = ""airy-play -toggle-hint-vertical-centering-table-cell airy-vertical-centering-table-cell airy-cursor ""&gt; &lt;div tabindex ="" - 1 ""class ="" airy-play-toggle-hint-container airy-scalable- hint-container ""&gt; &lt;div tabindex ="" - 1 "&amp;"""class ="" airy-play-toggle-hint-dummy airy-scalable-dummy ""&gt; &lt;/ div&gt; &lt;div tabindex ="" - 1 ""class ="" airy-play -toggle airy-hint-hint-hint airy-play ""style ="" opacity: 1; visibility: visible; ""&gt; &lt;/ div&gt; &lt;/ div&gt; &lt;/ div&gt; &lt;/ div&gt; &lt;div tabindex ="" - "&amp;"1 ""class ="" airy-replay-hint-stage airy-stage ""style ="" visibility: hidden ; ""&gt; &lt;div tabindex ="" - 1 ""class ="" airy-replay-hint-vertical-centering-table-cell airy-vertical-centering-table-cell airy-cursor ""&gt; &lt;div tabindex ="" - 1 ""class = ""airy"&amp;"-replay-hint-container airy-scalable-hint-container""&gt; &lt;div tabindex = ""- 1"" class = ""airy-replay-hint-dummy airy-scalable-dummy""&gt; &lt;/ div&gt; &lt;div tabindex = ""- 1"" class = ""airy-replay-hint airy-hint""&gt; &lt;/ div&gt; &lt;/ div&gt; &lt;/ div&gt; &lt;/ div&gt; &lt;div tabindex = "&amp;"""- 1"" class = ""airy-autoplay-hint -stage airy-stage ""style ="" visibility: hidden; ""&gt; &lt;div tabindex ="" - 1 ""class ="" airy-autoplay-hint-vertical-centering-table-cell airy-vertical-centering-table-cell airy- cursor ""&gt; &lt;div tabindex ="" - 1 ""class"&amp;" ="" autoplay airy-airy-hint-container-scalable-hint-container ""&gt; &lt;div tabindex ="" - 1 ""class ="" airy-autoplay-hint-dummy airy- scalable-dummy ""&gt; &lt;/ div&gt; &lt;/ div&gt; &lt;/ div&gt; &lt;/ div&gt; &lt;/ div&gt; &lt;/ div&gt; &lt;input type ="" hidden ""name ="" ""value ="" https: // "&amp;"pictures-eu .ssl-image amazon.com / images / I / 810zxmrevjS.mp4 ""Class ="" video-url ""&gt; &lt;input type ="" hidden ""name ="" ""value ="" https://images-eu.ssl-images-amazon.com/images/I/91f9y98HSqS.png ""class ="" video-slate-img-url ""&gt; &amp; nbsp; It serves"&amp;" me well for the main function of the microwave door, I like the sound and it's all good")</f>
        <v>Very useful &lt;div id = "video-block-R11IBDQ6EZSYC2" class = "a-section-spacing-small in-spacing-top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15 "preload =" auto "src =" https://images-eu.ssl-images-amazon.com/images/I/810zxmrevjS.mp4 "style =" position: absolute; left: 0px; top: 0px; overflow: hidden; height: 1px; width: 1px ; "&gt; &lt;/ video&gt; &lt;/ div&gt; &lt;div id =" airy-slate-preload "style =" background-color: rgb (0, 0, 0); background-image: url (&amp; quot; https: // images-eu.ssl-images-amazon.com/images/I/91f9y98HSqS.png&amp;quot;); background-size: contain; background-position: center center; background-repeat: no-repeat; position: absolute; top: 0px ; left: 0px; visibility: visible; width: 100%; height: 100% "&gt; &lt;/ div&gt; &lt;iframe scrolling =" no "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0:04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airy-progress-bar "style =" width: 100%; "&gt; &lt;/ div&gt; &lt;div tabindex =" - 1 "class =" airy-scrubber 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810zxmrevjS.mp4 "Class =" video-url "&gt; &lt;input type =" hidden "name =" "value =" https://images-eu.ssl-images-amazon.com/images/I/91f9y98HSqS.png "class =" video-slate-img-url "&gt; &amp; nbsp; It serves me well for the main function of the microwave door, I like the sound and it's all good</v>
      </c>
    </row>
    <row r="14301">
      <c r="A14301" s="1">
        <v>5.0</v>
      </c>
      <c r="B14301" s="1" t="s">
        <v>14059</v>
      </c>
      <c r="C14301" t="str">
        <f>IFERROR(__xludf.DUMMYFUNCTION("GOOGLETRANSLATE(B14301, ""fr"", ""en"")"),"Good buy very fast delivery, received the day after the order. The bracelet comes with a sort of key to loosen the strap of origin and facilitate the placement of the new. The fastening system is well thought out, it facilitates the placement or removal o"&amp;"f the bracelet thanks to a small mechanism on the inside of the bracelet. The quality seems good.")</f>
        <v>Good buy very fast delivery, received the day after the order. The bracelet comes with a sort of key to loosen the strap of origin and facilitate the placement of the new. The fastening system is well thought out, it facilitates the placement or removal of the bracelet thanks to a small mechanism on the inside of the bracelet. The quality seems good.</v>
      </c>
    </row>
    <row r="14302">
      <c r="A14302" s="1">
        <v>5.0</v>
      </c>
      <c r="B14302" s="1" t="s">
        <v>14060</v>
      </c>
      <c r="C14302" t="str">
        <f>IFERROR(__xludf.DUMMYFUNCTION("GOOGLETRANSLATE(B14302, ""fr"", ""en"")"),"Great product, top quality My son loves them! I really recommend! Top product quality.")</f>
        <v>Great product, top quality My son loves them! I really recommend! Top product quality.</v>
      </c>
    </row>
    <row r="14303">
      <c r="A14303" s="1">
        <v>5.0</v>
      </c>
      <c r="B14303" s="1" t="s">
        <v>14061</v>
      </c>
      <c r="C14303" t="str">
        <f>IFERROR(__xludf.DUMMYFUNCTION("GOOGLETRANSLATE(B14303, ""fr"", ""en"")"),"QUALITY OF ITS OUTSTANDING What I like: sound adjustable stereo at the bass and treble for each of the ears and the top of the top, the ability to engage the intelligibility of the voice, for a simply pressing a small button, overrides background music an"&amp;"d environmental soundscape. Another advantage is the transmission by radio (not infrared), allowing to move in continuing to listen. What I like least: the headphones which, in the long run hurt the cartilage of the entrance to the ear. He should probably"&amp;" get used to it, but none of the three tips available is insensitive.")</f>
        <v>QUALITY OF ITS OUTSTANDING What I like: sound adjustable stereo at the bass and treble for each of the ears and the top of the top, the ability to engage the intelligibility of the voice, for a simply pressing a small button, overrides background music and environmental soundscape. Another advantage is the transmission by radio (not infrared), allowing to move in continuing to listen. What I like least: the headphones which, in the long run hurt the cartilage of the entrance to the ear. He should probably get used to it, but none of the three tips available is insensitive.</v>
      </c>
    </row>
    <row r="14304">
      <c r="A14304" s="1">
        <v>5.0</v>
      </c>
      <c r="B14304" s="1" t="s">
        <v>14062</v>
      </c>
      <c r="C14304" t="str">
        <f>IFERROR(__xludf.DUMMYFUNCTION("GOOGLETRANSLATE(B14304, ""fr"", ""en"")"),"super buy it a year ago for Christmas was a 16 year old and still functioning perfectly and has not yet change the battery. I recommend")</f>
        <v>super buy it a year ago for Christmas was a 16 year old and still functioning perfectly and has not yet change the battery. I recommend</v>
      </c>
    </row>
    <row r="14305">
      <c r="A14305" s="1">
        <v>5.0</v>
      </c>
      <c r="B14305" s="1" t="s">
        <v>14063</v>
      </c>
      <c r="C14305" t="str">
        <f>IFERROR(__xludf.DUMMYFUNCTION("GOOGLETRANSLATE(B14305, ""fr"", ""en"")"),"Excellent Neewer product gives us here a very very good value for money, do not forget, however, the acquisition of phantom power to operate the all, I really recommend")</f>
        <v>Excellent Neewer product gives us here a very very good value for money, do not forget, however, the acquisition of phantom power to operate the all, I really recommend</v>
      </c>
    </row>
    <row r="14306">
      <c r="A14306" s="1">
        <v>5.0</v>
      </c>
      <c r="B14306" s="1" t="s">
        <v>14064</v>
      </c>
      <c r="C14306" t="str">
        <f>IFERROR(__xludf.DUMMYFUNCTION("GOOGLETRANSLATE(B14306, ""fr"", ""en"")"),"Excellent is the Songmics Delivered on time. The assembly, contrary to what I read, is simple and took me 15 minutes alone. The backrest height is perfect, maintaining the kidneys too. The maximum height is sufficient by cons, if he could come down a litt"&amp;"le further it would have been better. But that is not the priority. The folding armrests are comfortable and solid (I wanted this model because I am still sitting in ""tailor"" the chair, never normally). I measure 1m69 also, I feel at ease in the ""big c"&amp;"hair"". I already have some furniture songmics the brand and for the moment, it is a brand that I really appreciate.")</f>
        <v>Excellent is the Songmics Delivered on time. The assembly, contrary to what I read, is simple and took me 15 minutes alone. The backrest height is perfect, maintaining the kidneys too. The maximum height is sufficient by cons, if he could come down a little further it would have been better. But that is not the priority. The folding armrests are comfortable and solid (I wanted this model because I am still sitting in "tailor" the chair, never normally). I measure 1m69 also, I feel at ease in the "big chair". I already have some furniture songmics the brand and for the moment, it is a brand that I really appreciate.</v>
      </c>
    </row>
    <row r="14307">
      <c r="A14307" s="1">
        <v>5.0</v>
      </c>
      <c r="B14307" s="1" t="s">
        <v>14065</v>
      </c>
      <c r="C14307" t="str">
        <f>IFERROR(__xludf.DUMMYFUNCTION("GOOGLETRANSLATE(B14307, ""fr"", ""en"")"),"Parafait These headphones are quality, nothing to say, good bass, good balance and nice, very good value for money. I recommend.")</f>
        <v>Parafait These headphones are quality, nothing to say, good bass, good balance and nice, very good value for money. I recommend.</v>
      </c>
    </row>
    <row r="14308">
      <c r="A14308" s="1">
        <v>5.0</v>
      </c>
      <c r="B14308" s="1" t="s">
        <v>14066</v>
      </c>
      <c r="C14308" t="str">
        <f>IFERROR(__xludf.DUMMYFUNCTION("GOOGLETRANSLATE(B14308, ""fr"", ""en"")"),"Although good quality product packed. The supplied tool kit fills his role very well. I have a fine wrist and I withdrew some segments and is well suited. Seems solid. See for use.")</f>
        <v>Although good quality product packed. The supplied tool kit fills his role very well. I have a fine wrist and I withdrew some segments and is well suited. Seems solid. See for use.</v>
      </c>
    </row>
    <row r="14309">
      <c r="A14309" s="1">
        <v>5.0</v>
      </c>
      <c r="B14309" s="1" t="s">
        <v>14067</v>
      </c>
      <c r="C14309" t="str">
        <f>IFERROR(__xludf.DUMMYFUNCTION("GOOGLETRANSLATE(B14309, ""fr"", ""en"")"),"The sorter sorter is ideal for classifying all leaves of course. Before my son, let them hang around the bottom of his bag and threw them ... Now with this sorter, he ranks as and lose and do more. It is robust, is well within a school bag and all tabs, t"&amp;"here is opportunity to make a good ranking")</f>
        <v>The sorter sorter is ideal for classifying all leaves of course. Before my son, let them hang around the bottom of his bag and threw them ... Now with this sorter, he ranks as and lose and do more. It is robust, is well within a school bag and all tabs, there is opportunity to make a good ranking</v>
      </c>
    </row>
    <row r="14310">
      <c r="A14310" s="1">
        <v>5.0</v>
      </c>
      <c r="B14310" s="1" t="s">
        <v>14068</v>
      </c>
      <c r="C14310" t="str">
        <f>IFERROR(__xludf.DUMMYFUNCTION("GOOGLETRANSLATE(B14310, ""fr"", ""en"")"),"Super earphone good sound quality earphones high quality good sound and comfortable to wear ear long battery life and convenient to carry around with its load box")</f>
        <v>Super earphone good sound quality earphones high quality good sound and comfortable to wear ear long battery life and convenient to carry around with its load box</v>
      </c>
    </row>
    <row r="14311">
      <c r="A14311" s="1">
        <v>5.0</v>
      </c>
      <c r="B14311" s="1" t="s">
        <v>14069</v>
      </c>
      <c r="C14311" t="str">
        <f>IFERROR(__xludf.DUMMYFUNCTION("GOOGLETRANSLATE(B14311, ""fr"", ""en"")"),"Everything went well. Nothing wrong Fast shipping. Meets expectation")</f>
        <v>Everything went well. Nothing wrong Fast shipping. Meets expectation</v>
      </c>
    </row>
    <row r="14312">
      <c r="A14312" s="1">
        <v>5.0</v>
      </c>
      <c r="B14312" s="1" t="s">
        <v>14070</v>
      </c>
      <c r="C14312" t="str">
        <f>IFERROR(__xludf.DUMMYFUNCTION("GOOGLETRANSLATE(B14312, ""fr"", ""en"")"),"Nice sweater I bought this sweater to wear to work, I am very happy, so I took one another with other motives. Provide a size above his.")</f>
        <v>Nice sweater I bought this sweater to wear to work, I am very happy, so I took one another with other motives. Provide a size above his.</v>
      </c>
    </row>
    <row r="14313">
      <c r="A14313" s="1">
        <v>5.0</v>
      </c>
      <c r="B14313" s="1" t="s">
        <v>14071</v>
      </c>
      <c r="C14313" t="str">
        <f>IFERROR(__xludf.DUMMYFUNCTION("GOOGLETRANSLATE(B14313, ""fr"", ""en"")"),"Very good quality / price ratio very good fabric, certainly I was wrong about the colors but products identical to the description, the size is perfect too.")</f>
        <v>Very good quality / price ratio very good fabric, certainly I was wrong about the colors but products identical to the description, the size is perfect too.</v>
      </c>
    </row>
    <row r="14314">
      <c r="A14314" s="1">
        <v>5.0</v>
      </c>
      <c r="B14314" s="1" t="s">
        <v>14072</v>
      </c>
      <c r="C14314" t="str">
        <f>IFERROR(__xludf.DUMMYFUNCTION("GOOGLETRANSLATE(B14314, ""fr"", ""en"")"),"Beautiful necklace. I put great because this pendant is beautiful. Of very good quality and original. This gift was extremely pleased. To recommend.")</f>
        <v>Beautiful necklace. I put great because this pendant is beautiful. Of very good quality and original. This gift was extremely pleased. To recommend.</v>
      </c>
    </row>
    <row r="14315">
      <c r="A14315" s="1">
        <v>2.0</v>
      </c>
      <c r="B14315" s="1" t="s">
        <v>14073</v>
      </c>
      <c r="C14315" t="str">
        <f>IFERROR(__xludf.DUMMYFUNCTION("GOOGLETRANSLATE(B14315, ""fr"", ""en"")"),"CASIO can do better move the screw and it is likely that I will lose a soon (I speak decorative 4 screws around the dial). Tidal functions and moon are inaccurate. Wings under the watch trap limestone, finally a bracelet patoche inherits skin")</f>
        <v>CASIO can do better move the screw and it is likely that I will lose a soon (I speak decorative 4 screws around the dial). Tidal functions and moon are inaccurate. Wings under the watch trap limestone, finally a bracelet patoche inherits skin</v>
      </c>
    </row>
    <row r="14316">
      <c r="A14316" s="1">
        <v>1.0</v>
      </c>
      <c r="B14316" s="1" t="s">
        <v>14074</v>
      </c>
      <c r="C14316" t="str">
        <f>IFERROR(__xludf.DUMMYFUNCTION("GOOGLETRANSLATE(B14316, ""fr"", ""en"")"),"Beautiful watch but hs needle damage !!!! &lt;Div id = ""video-block-R3MOGA2P2CLWS4"" class = ""a-section-spacing has-small-spacing-top video mini-block""&gt; &lt;div tabindex = ""0"" class = ""airy airy-svg vmin- supported airy-skin-beacon ""style ="" background-"&amp;"color: rgb (0, 0, 0); position: relative; width: 100%; height: 100%; font-size: 0px; overflow: hidden; outline: none ; ""&gt; &lt;div class ="" airy-renderer-container ""style ="" position: relative; height: 100%; width: 100%; ""&gt; &lt;video id ="" 15 ""preload ="""&amp;" auto ""src ="" https: //images-eu.ssl-images-amazon.com/images/I/A1ggK2hOinS.mp4 ""style ="" position: absolute; left: 0px; top: 0px; overflow: hidden; height: 1px; width: 1px; "" &gt; &lt;/ video&gt; &lt;/ div&gt; &lt;div id = ""airy-slate-preload"" style = ""background-"&amp;"color: rgb (0, 0, 0); background-image: url (&amp; quot; https: // images- eu.ssl-images-amazon.com/images/I/919HnWnu0mS.png&amp;quot;); background-size: contain; background-position: center center; background-repeat: no-repeat; position: absolute; top: 0px; left"&amp;" : 0px; visibility: visible; width: 100%; height: 100% ""&gt; &lt;/ div&gt; &lt;iframe scrolling ="" no ""frameborder = ""0"" src = ""about: blank"" style = ""display: none;""&gt; &lt;/ iframe&gt; &lt;div tabindex = ""- 1"" class = ""airy-controls-container"" style = ""opacity: "&amp;"0; visibility: hidden; ""&gt; &lt;div tabindex ="" - 1 ""class ="" airy-screen-size-toggle airy-fullscreen ""&gt; &lt;/ div&gt; &lt;div tabindex ="" - 1 ""class ="" airy-container-bottom "" &gt; &lt;div tabindex = ""- 1"" class = ""airy-track-bar spacer-left"" style = ""width: 1"&amp;"1px;""&gt; &lt;/ div&gt; &lt;div tabindex = ""- 1"" class = ""airy-play- toggle airy-play ""style ="" width: 12px; margin-right: 12px; ""&gt; &lt;/ div&gt; &lt;div tabindex ="" - 1 ""class ="" airy-audio-elements ""style ="" float: right; width: 34px; ""&gt; &lt;div tabindex ="" - 1 "&amp;"""class ="" airy-audio-toggle airy-on ""&gt; &lt;/ div&gt; &lt;div tabindex ="" - 1 ""class ="" airy-audio-container ""style = ""opacity: 0; visibility: hidden; ""&gt; &lt;div tabindex ="" - 1 ""class ="" airy-audio-track-bar ""style ="" height: 80%; ""&gt; &lt;div tabindex ="" "&amp;"- 1 ""class ="" airy-audio- scrubber bar ""style ="" height: 85% ""&gt; &lt;/ div&gt; &lt;div tabindex ="" - 1 ""class ="" airy-audio-scrubber ""style ="" height: 12px; bottom: 85% ""&gt; &lt;/ div&gt; &lt;/ div&gt; &lt;/ div&gt; &lt;/ div&gt; &lt;div tabindex ="" - 1 ""class ="" airy-duration-la"&amp;"bel ""style ="" float: right; width: 26px; margin-right: 4px; text-align: center; ""&gt; 0:00 &lt;/ div&gt; &lt;div tabindex ="" - 1 ""class ="" airy-track-bar spacer-right ""style ="" float: right; width: 11px; ""&gt; &lt;/ div&gt; &lt;div tabindex ="" - 1 ""class ="" airy-trac"&amp;"k-bar-container ""style ="" margin-left: 35px; margin-right: 75px; ""&gt; &lt;div tabindex ="" - 1 ""class ="" airy-airy-track-bar vertical-centering-table ""&gt; &lt;div tabindex ="" - 1 ""class ="" airy-vertical-centering- table-cell ""&gt; &lt;div tabindex ="" - 1 ""cla"&amp;"ss ="" airy-track-bar elements ""&gt; &lt;div tabindex ="" - 1 ""class ="" airy-progress bar ""&gt; &lt;/ div&gt; &lt;div tabindex = ""- 1"" class = ""airy-scrubber bar""&gt; &lt;/ div&gt; &lt;div tabindex = ""- 1"" class = ""airy-scrubber""&gt; &lt;div tabindex = ""- 1"" class = ""airy-scr"&amp;"ubber- icon ""&gt; &lt;/ div&gt; &lt;div tabindex ="" - 1 ""class ="" airy-adjusted-aui-tooltip ""style ="" opacity: 0; visibility: hidden; ""&gt; &lt;div tabindex ="" - 1 ""class ="" airy-adjusted-aui-tooltip-inner ""&gt; &lt;div tabindex ="" - 1 ""class ="" airy-current-time-l"&amp;"abel ""&gt; 0 00 &lt;/ div&gt; &lt;/ div&gt; &lt;div tabindex = ""- 1"" class = ""airy-adjusted-aui-arrow-border""&gt; &lt;div tabindex = ""- 1"" class = ""airy-adjusted-aui-arrow"" &gt; &lt;/ div&gt; &lt;/ div&gt; &lt;/ div&gt; &lt;/ div&gt; &lt;/ div&gt; &lt;/ div&gt; &lt;/ div&gt; &lt;/ div&gt; &lt;/ div&gt; &lt;/ div&gt; &lt;div tabindex ="&amp;" ""- 1"" class = ""airy-airy-age-gate course airy-vertical-centering table-airy-dialog"" style = ""opacity: 0; visibility: hidden; ""&gt; &lt;div tabindex ="" - 1 ""class ="" airy-age-gate-vertical-centering-table-cell airy-vertical-centering-table-cell ""&gt; &lt;di"&amp;"v tabindex ="" - 1 ""class = ""airy-vertical-centering-wrapper airy-age-gate-elements-wrapper""&gt; &lt;div tabindex = ""- 1"" class = ""airy-age-gate-elements airy-dialog-elements""&gt; &lt;div tabindex = "" -1 ""class ="" airy-age-gate-prompt ""&gt; This video is not "&amp;"Intended for all audiences What time were you born &lt;/ div&gt; &lt;div tabindex =.?"" - 1 ""class ="" airy-age-gate -inputs airy-dialog-inner-elements ""&gt; &lt;select tabindex ="" - 1 ""class ="" airy-age-gate-month ""&gt; &lt;option value ="" 1 ""&gt; January &lt;/ option&gt; &lt;op"&amp;"tion value ="" 2 ""&gt; February &lt;/ option&gt; &lt;option value ="" 3 ""&gt; March &lt;/ option&gt; &lt;option value ="" 4 ""&gt; April &lt;/ option&gt; &lt;option value ="" 5 ""&gt; May &lt;/ option&gt; &lt;option value = ""6""&gt; June &lt;/ option&gt; &lt;option value = ""7""&gt; July &lt;/ option&gt; &lt;option value ="&amp;" ""8""&gt; August &lt;/ option&gt; &lt;option value = ""9""&gt; September &lt;/ option&gt; &lt;option value = ""10""&gt; October &lt;/ option&gt; &lt;option value = ""11""&gt; November &lt;/ option&gt; &lt;option value = ""12""&gt; December &lt;/ option&gt; &lt;/ select&gt; &lt;select tabindex = ""- 1"" class = ""airy-a"&amp;"ge-gate-day""&gt; &lt;opti = One value ""1""&gt; 1 &lt;/ option&gt; &lt;option value = ""2""&gt; 2 &lt;/ option&gt; &lt;option value = ""3""&gt; 3 &lt;/ option&gt; &lt;option value = ""4""&gt; 4 &lt;/ option &gt; &lt;option value = ""5""&gt; 5 &lt;/ option&gt; &lt;option value = ""6""&gt; 6 &lt;/ option&gt; &lt;option value = ""7"""&amp;"&gt; 7 &lt;/ option&gt; &lt;option value = ""8""&gt; 8 &lt; / option&gt; &lt;option value = ""9""&gt; 9 &lt;/ option&gt; &lt;option value = ""10""&gt; 10 &lt;/ option&gt; &lt;option value = ""11""&gt; 11 &lt;/ option&gt; &lt;option value = ""12""&gt; 12 &lt;/ option&gt; &lt;option value = ""13""&gt; 13 &lt;/ option&gt; &lt;option value ="&amp;" ""14""&gt; 14 &lt;/ option&gt; &lt;option value = ""15""&gt; 15 &lt;/ option&gt; &lt;option value = ""16 ""&gt; 16 &lt;/ option&gt; &lt;option value ="" 17 ""&gt; 17 &lt;/ option&gt; &lt;option value ="" 18 ""&gt; 18 &lt;/ option&gt; &lt;option value ="" 19 ""&gt; 19 &lt;/ option&gt; &lt;option value = ""20""&gt; 20 &lt;/ option&gt; "&amp;"&lt;option value = ""21""&gt; 21 &lt;/ option&gt; &lt;option value = ""22""&gt; 22 &lt;/ option&gt; &lt;option value = ""23""&gt; 23 &lt;/ option&gt; &lt;option value = ""24""&gt; 24 &lt;/ option&gt; &lt;option value = ""25""&gt; 25 &lt;/ option&gt; &lt;option value = ""26""&gt; 26 &lt;/ option&gt; &lt;option value = ""27""&gt; 27 "&amp;"&lt;/ option&gt; &lt;option value = ""28""&gt; 28 &lt;/ option&gt; &lt;option value = ""29""&gt; 29 &lt;/ option&gt; &lt;option value = ""30""&gt; 30 &lt;/ option&gt; &lt;option value = ""31""&gt; 31 &lt;/ option&gt; &lt;/ select&gt; &lt;select tabindex = ""- 1"" class = ""airy-age-gate-year""&gt; &lt;option value = ""2019"&amp;"""&gt; 2019 &lt;/ option&gt; &lt; option value = ""2018""&gt; 2018 &lt;/ option&gt; &lt;option value = ""2017""&gt; 2017 &lt;/ option&gt; &lt;option value = ""2016""&gt; ​​2016 &lt;/ option&gt; &lt;option value = ""2015""&gt; 2015 &lt;/ option &gt; &lt;option value = ""2014""&gt; 2014 &lt;/ option&gt; &lt;option value = ""201"&amp;"3""&gt; 2013 &lt;/ option&gt; &lt;option value = ""2012""&gt; 2012 &lt;/ option&gt; &lt;option value = ""2011""&gt; 2011 &lt; / option&gt; &lt;option value = ""2010""&gt; 2010 &lt;/ option&gt; &lt;option value = ""2009""&gt; 2009 &lt;/ option&gt; &lt;option value = ""2008""&gt; 2008 &lt;/ option&gt; &lt;option value = ""2007"&amp;"""&gt; 2007 &lt;/ option&gt; &lt;option value = ""2006""&gt; 2006 &lt;/ option&gt; &lt;option value = ""2005""&gt; 2005 &lt;/ option&gt; &lt;option value = ""2004""&gt; 2004 &lt;/ option&gt; &lt;option value = ""2003 ""&gt; 2003 &lt;/ option&gt; &lt;option value ="" 2002 ""&gt; 2002 &lt;/ option&gt; &lt;option value ="" 2001 "&amp;"""&gt; 2001 &lt;/ option&gt; &lt;option value ="" 2000 ""&gt; 2000 &lt;/ option&gt; &lt;option value = ""1999""&gt; 1999 &lt;/ option&gt; &lt;option value = ""1998""&gt; 1998 &lt;/ option&gt; &lt;option value = ""1997""&gt; 1997 &lt;/ option&gt; &lt;option value = ""1996""&gt; 1996 &lt;/ option&gt; &lt;option value = ""1995"""&amp;"&gt; 1995 &lt;/ option&gt; &lt;option value = ""1994""&gt; 1994 &lt;/ option&gt; &lt;option value = ""1993""&gt; 1993 &lt;/ option&gt; &lt;option value = ""1992""&gt; 1992 &lt;/ option&gt; &lt;option value = ""1991""&gt; 1991 &lt;/ option&gt; &lt;option value = ""1990""&gt; 1990 &lt;/ option&gt; &lt;option value = "" 1989 ""&gt;"&amp;" 1989 &lt;/ option&gt; &lt;option value ="" 1988 ""&gt; 1988 &lt;/ option&gt; &lt;option value ="" 1987 ""&gt; 1987 &lt;/ option&gt; &lt;option value ="" 1986 ""&gt; 1986 &lt;/ option&gt; &lt;option value = ""1985""&gt; 1985 &lt;/ option&gt; &lt;option value = ""1984""&gt; 1984 &lt;/ option&gt; &lt;option value = ""1983""&gt;"&amp;" 1983 &lt;/ option&gt; &lt;option value = ""1982""&gt; 1982 &lt;/ option&gt; &lt; option value = ""1981""&gt; 1981 &lt;/ option&gt; &lt;option value = ""1980""&gt; 1980 &lt;/ option&gt; &lt;option value = ""1979""&gt; 1979 &lt;/ option&gt; &lt;option value = ""1978""&gt; 1978 &lt;/ option &gt; &lt;option value = ""1977""&gt; "&amp;"1977 &lt;/ option&gt; &lt;option value = ""1976""&gt; 1976 &lt;/ option&gt; &lt;option value = ""1975""&gt; 1975 &lt;/ option&gt; &lt;option value = ""1974""&gt; 1974 &lt; / option&gt; &lt;option value = ""1973""&gt; 1973 &lt;/ option&gt; &lt;option value = ""1972""&gt; 1972 &lt;/ option&gt; &lt;option value = ""1971""&gt; 19"&amp;"71 &lt;/ option&gt; &lt;option value = ""1970""&gt; 1970 &lt;/ option&gt; &lt;option value = ""1969""&gt; 1969 &lt;/ option&gt; &lt;option value = ""1968""&gt; 1968 &lt;/ option&gt; &lt;option value = ""1967""&gt; 1967 &lt;/ option&gt; &lt;option value = ""1966 ""&gt; 1966 &lt;/ option&gt; &lt;option value ="" 1965 ""&gt; 196"&amp;"5 &lt;/ option&gt; &lt;option value ="" 1964 ""&gt; 1964 &lt;/ option&gt; &lt;option value ="" 1963 ""&gt; 1963 &lt;/ option&gt; &lt;option value = ""1962""&gt; 1962 &lt;/ option&gt; &lt;option value = ""1961""&gt; 1961 &lt;/ option&gt; &lt;option value = ""1960""&gt; 1960 &lt;/ op tion&gt; &lt;option value = ""1959""&gt; 195"&amp;"9 &lt;/ option&gt; &lt;option value = ""1958""&gt; 1958 &lt;/ option&gt; &lt;option value = ""1957""&gt; 1957 &lt;/ option&gt; &lt;option value = ""1956""&gt; 1956 &lt;/ option&gt; &lt;option value = ""1955""&gt; 1955 &lt;/ option&gt; &lt;option value = ""1954""&gt; 1954 &lt;/ option&gt; &lt;option value = ""1953""&gt; 1953 &lt;"&amp;"/ option&gt; &lt;option value = ""1952"" &gt; 1952 &lt;/ option&gt; &lt;option value = ""1951""&gt; 1951 &lt;/ option&gt; &lt;option value = ""1950""&gt; 1950 &lt;/ option&gt; &lt;option value = ""1949""&gt; 1949 &lt;/ option&gt; &lt;option value = "" 1948 ""&gt; 1948 &lt;/ option&gt; &lt;option value ="" 1947 ""&gt; 1947 "&amp;"&lt;/ option&gt; &lt;option value ="" 1946 ""&gt; 1946 &lt;/ option&gt; &lt;option value ="" 1945 ""&gt; 1945 &lt;/ option&gt; &lt;option value = ""1944""&gt; 1944 &lt;/ option&gt; &lt;option value = ""1943""&gt; 1943 &lt;/ option&gt; &lt;option value = ""1942""&gt; 1942 &lt;/ option&gt; &lt;option value = ""1941""&gt; 1941 &lt;"&amp;"/ option&gt; &lt; option value = ""1940""&gt; 1940 &lt;/ option&gt; &lt;option value = ""1939""&gt; 1939 &lt;/ option&gt; &lt;option value = ""1938""&gt; 1938 &lt;/ option&gt; &lt;option value = ""1937""&gt; 1937 &lt;/ option &gt; &lt;option value = ""1936""&gt; 1936 &lt;/ option&gt; &lt;option value = ""1935""&gt; 1935 &lt;/"&amp;" option&gt; &lt;option value = ""1934""&gt; 1934 &lt;/ option&gt; &lt;option value = ""1933""&gt; 1933 &lt; / option&gt; &lt;option value = ""1932""&gt; 1932 &lt;/ option&gt; &lt;option value = ""1931""&gt; 1931 &lt;/ option&gt; &lt;option v alue = ""1930""&gt; 1930 &lt;/ option&gt; &lt;option value = ""1929""&gt; 1929 &lt;/ "&amp;"option&gt; &lt;option value = ""1928""&gt; 1928 &lt;/ option&gt; &lt;option value = ""1927""&gt; 1927 &lt;/ option&gt; &lt;option value = ""1926""&gt; 1926 &lt;/ option&gt; &lt;option value = ""1925""&gt; 1925 &lt;/ option&gt; &lt;option value = ""1924""&gt; 1924 &lt;/ option&gt; &lt;option value = ""1923""&gt; 1923 &lt;/ opt"&amp;"ion&gt; &lt;option value = ""1922""&gt; 1922 &lt;/ option&gt; &lt;option value = ""1921""&gt; 1921 &lt;/ option&gt; &lt;option value = ""1920""&gt; 1920 &lt;/ option&gt; &lt;option value = ""1919""&gt; 1919 &lt;/ option&gt; &lt;option value = ""1918""&gt; 1918 &lt;/ option&gt; &lt;option value = ""1917""&gt; 1917 &lt;/ option"&amp;"&gt; &lt;option value = ""1916""&gt; 1916 &lt;/ option&gt; &lt;option value = ""1915"" &gt; 1915 &lt;/ option&gt; &lt;option value = ""1914""&gt; 1914 &lt;/ option&gt; &lt;option value = ""1913""&gt; 1913 &lt;/ option&gt; &lt;option value = ""1912""&gt; 1912 &lt;/ option&gt; &lt;option value = "" 1911 ""&gt; 1911 &lt;/ option"&amp;"&gt; &lt;option value ="" 1910 ""&gt; 1910 &lt;/ option&gt; &lt;option value ="" 1909 ""&gt; 1909 &lt;/ option&gt; &lt;option value ="" 1908 ""&gt; 1908 &lt;/ option&gt; &lt;option value = ""1907""&gt; 1907 &lt;/ option&gt; &lt;option value = ""1906""&gt; 1906 &lt;/ option&gt; &lt;option value = ""1905""&gt; 1905 &lt;/ option"&amp;"&gt; &lt;option value = ""1904""&gt; 1904 &lt;/ option&gt; &lt; option value = ""1903""&gt; 1903 &lt;/ option&gt; &lt;option value = ""1902""&gt; 1902 &lt;/ option&gt; &lt;option value = ""1901""&gt; 19 01 &lt;/ option&gt; &lt;option value = ""1900""&gt; 1900 &lt;/ option&gt; &lt;/ select&gt; &lt;div tabindex = ""- 1"" class "&amp;"= ""airy-age-gate-submit airy-submit-button airy airy-submit- disabled ""&gt; Submit &lt;/ div&gt; &lt;/ div&gt; &lt;/ div&gt; &lt;/ div&gt; &lt;/ div&gt; &lt;/ div&gt; &lt;div tabindex ="" - 1 ""class ="" airy-install-flash-dialog airy-course airy -Vertical-centering-table dialog airy-airy-denie"&amp;"d ""style ="" opacity: 0; visibility: hidden; ""&gt; &lt;div tabindex ="" - 1 ""class ="" airy-install-flash-vertical-centering-table-cell airy-vertical-centering-table-cell ""&gt; &lt;div tabindex ="" - 1 ""class = ""airy-vertical-centering-wrapper airy-install-flas"&amp;"h-elements-wrapper""&gt; &lt;div tabindex = ""- 1"" class = ""airy-install-flash-elements airy-dialog-elements""&gt; &lt;div tabindex = "" -1 ""class ="" airy-install-flash-prompt ""&gt; Adobe Flash Player is required to watch this video &lt;/ div&gt; &lt;div = tabindex."" - 1 "&amp;"""class ="" airy-install-flash-button-wrapper airy -dialog-inner-elements ""&gt; &lt;div tabindex ="" - 1 ""class ="" airy-install-flash-button airy-button ""&gt; install Flash Player &lt;/ div&gt; &lt;/ div&gt; &lt;/ div&gt; &lt;/ div&gt; &lt;/ div&gt; &lt;/ div&gt; &lt;div tabindex = ""- 1"" class = "&amp;"""airy-video-unsupported-dialog airy-course airy-vertical-centering table-airy-dialog airy-denied"" style = ""opacity: 0; visibility: hidden; ""&gt; &lt;div tabindex ="" - 1 ""class ="" airy-video-unsupported-vertical-centering-table-cell airy-vertical-centerin"&amp;"g-table-cell ""&gt; &lt;div tabindex ="" - 1 ""class = ""airy-vertical-centering-wrapper airy-video-unsupported-elements-wrapper""&gt; &lt;div tabindex = ""- 1"" class = ""airy-video-unsupported-elements airy-dialog-elements""&gt; &lt;div tabindex = "" -1 ""class ="" airy-"&amp;"video-unsupported-prompt ""&gt; &lt;/ div&gt; &lt;/ div&gt; &lt;/ div&gt; &lt;/ div&gt; &lt;/ div&gt; &lt;div tabindex ="" - 1 ""class ="" airy-loading- spinner-stage airy-stage ""&gt; &lt;div tabindex ="" - 1 ""class ="" airy-loading-spinner-vertical-centering-table-cell airy-vertical-centering-"&amp;"table-cell ""&gt; &lt;div tabindex ="" - 1 ""class ="" airy-loading-spinner container airy-scalable-hint-container ""&gt; &lt;div tabindex ="" - 1 ""class ="" airy-loading-spinner-dummy airy-scalable-dummy ""&gt; &lt;/ div&gt; &lt; div tabindex = ""- 1"" class = ""airy-loading-s"&amp;"pinner airy-hint"" style = ""visibility: hidden;""&gt; &lt;/ div&gt; &lt;/ div&gt; &lt;/ div&gt; &lt;/ div&gt; &lt;div tabindex = ""- 1 ""class ="" airy-ads-screen-size-toggle airy-screen-size-toggle airy-fullscreen ""style ="" visibility: hidden; ""&gt; &lt;/ div&gt; &lt;div tabindex = ""-1"" cl"&amp;"ass = ""airy-ad-prompt-container"" style = ""visibility: hidden;""&gt; &lt;div tabindex = ""- 1"" class = ""airy-ad-prompt-vertical-centering table-airy-vertical- centering-table ""&gt; &lt;div tabindex ="" - 1 ""class ="" airy-ad-prompt-vertical-centering-table-cell"&amp;" airy-vertical-centering-table-cell ""&gt; &lt;div tabindex ="" - 1 ""class = ""airy-ad-prompt-label""&gt; &lt;/ div&gt; &lt;/ div&gt; &lt;/ div&gt; &lt;/ div&gt; &lt;div tabindex = ""- 1"" class = ""airy-ads-controls-container"" style = ""visibility: hidden; ""&gt; &lt;div tabindex ="" - 1 ""cla"&amp;"ss ="" airy-ads-audio-toggle airy-audio-toggle airy-on ""style ="" visibility: hidden; ""&gt; &lt;/ div&gt; &lt;div tabindex ="" - 1 ""class ="" airy-time-remaining-label-container ""&gt; &lt;div tabindex ="" - 1 ""class ="" airy-time-remaining-vertical-centering table-air"&amp;"y-vertical-centering-table ""&gt; &lt;div tabindex = ""- 1"" class = ""airy-time-remaining-vertical-centering-table-cell airy-vertical-centering-table-cell""&gt; &lt;div tabindex = ""- 1"" class = ""airy-vertical-centering-wrapper airy-time-remaining-label-wrapper """&amp;"&gt; &lt;div tabindex ="" - 1 ""class ="" airy-time-remaining-label ""style ="" visibility: hidden; ""&gt; &lt;/ div&gt; &lt;div tabi ndex = ""- 1"" class = ""airy-ad-skip"" style = ""visibility: hidden;""&gt; &lt;/ div&gt; &lt;div tabindex = ""- 1"" class = ""airy-ad-end"" style = """&amp;"visibility: hidden; ""&gt; &lt;/ div&gt; &lt;/ div&gt; &lt;/ div&gt; &lt;/ div&gt; &lt;/ div&gt; &lt;div tabindex ="" - 1 ""class ="" airy-learn-more ""style ="" visibility: hidden; ""&gt; &lt;/ div&gt; &lt;/ div&gt; &lt;div tabindex = ""- 1"" class = ""airy-play-toggle-hint-stage airy-course airy-cursor""&gt; "&amp;"&lt;div tabindex = ""- 1"" class = ""airy-play -toggle-hint-vertical-centering-table-cell airy-vertical-centering-table-cell airy-cursor ""&gt; &lt;div tabindex ="" - 1 ""class ="" airy-play-toggle-hint-container airy-scalable- hint-container ""&gt; &lt;div tabindex ="""&amp;" - 1 ""class ="" airy-play-toggle-hint-dummy airy-scalable-dummy ""&gt; &lt;/ div&gt; &lt;div tabindex ="" - 1 ""class ="" airy-play -toggle airy-hint-hint-hint airy-play ""style ="" opacity: 1; visibility: visible; ""&gt; &lt;/ div&gt; &lt;/ div&gt; &lt;/ div&gt; &lt;/ div&gt; &lt;div tabindex ="&amp;""" - 1 ""class ="" airy-replay-hint-stage airy-stage ""style ="" visibility: hidden ; ""&gt; &lt;div tabindex ="" - 1 ""class ="" airy-replay-hint-vertical-centering-table-cell airy-vertical-centering-table-cell airy-cursor ""&gt; &lt;div tabindex ="" - 1 ""class = "&amp;"""airy-replay-hint-container airy-scalable-hint-container""&gt; &lt;div tabindex = ""- 1"" class = ""airy-replay-hint-dummy airy-scalable-dummy""&gt; &lt;/ div&gt; &lt;div tabindex = ""- 1"" class = ""airy-replay-hint airy-hint""&gt; &lt;/ div&gt; &lt;/ div&gt; &lt;/ div&gt; &lt;/ div&gt; &lt;div tabin"&amp;"dex = ""- 1"" class = ""airy-autoplay-hint -stage airy-stage ""style ="" visibility: hidden; ""&gt; &lt;div tabindex ="" - 1 ""class ="" airy-autoplay-hint-vertical-centering-table-cell airy-vertical-centering-table-cell airy- cursor ""&gt; &lt;div tabindex ="" - 1 "&amp;"""class ="" autoplay airy-airy-hint-container-scalable-hint-container ""&gt; &lt;div tabindex ="" - 1 ""class ="" airy-autoplay-hint-dummy airy- scalable-dummy ""&gt; &lt;/ div&gt; &lt;/ div&gt; &lt;/ div&gt; &lt;/ div&gt; &lt;/ div&gt; &lt;/ div&gt; &lt;input type ="" hidden ""name ="" ""value ="" htt"&amp;"ps: // pictures-eu .ssl-image amazon.com / images / I / A1ggK2hOinS.mp4 ""Class ="" video-url ""&gt; &lt;input type ="" hidden ""name ="" ""value ="" https://images-eu.ssl-images-amazon.com/images/I/919HnWnu0mS.png ""class ="" video-slate-img-url ""&gt; &amp; nbsp; Wa"&amp;"tch barely bought and already the second hand which hangs ..... not great !!! Forced to press the top button to loosen. Never in time it only delayed ... I make a return otherwise because of this show I'll me fired from my job to be there forever in time "&amp;":)")</f>
        <v>Beautiful watch but hs needle damage !!!! &lt;Div id = "video-block-R3MOGA2P2CLWS4" class = "a-section-spacing has-small-spacing-top video mini-block"&gt; &lt;div tabindex = "0" class = "airy airy-svg vmin- supported airy-skin-beacon "style =" background-color: rgb (0, 0, 0); position: relative; width: 100%; height: 100%; font-size: 0px; overflow: hidden; outline: none ; "&gt; &lt;div class =" airy-renderer-container "style =" position: relative; height: 100%; width: 100%; "&gt; &lt;video id =" 15 "preload =" auto "src =" https: //images-eu.ssl-images-amazon.com/images/I/A1ggK2hOinS.mp4 "style =" position: absolute; left: 0px; top: 0px; overflow: hidden; height: 1px; width: 1px; " &gt; &lt;/ video&gt; &lt;/ div&gt; &lt;div id = "airy-slate-preload" style = "background-color: rgb (0, 0, 0); background-image: url (&amp; quot; https: // images- eu.ssl-images-amazon.com/images/I/919HnWnu0mS.png&amp;quot;); background-size: contain; background-position: center center; background-repeat: no-repeat; position: absolute; top: 0px; left :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A1ggK2hOinS.mp4 "Class =" video-url "&gt; &lt;input type =" hidden "name =" "value =" https://images-eu.ssl-images-amazon.com/images/I/919HnWnu0mS.png "class =" video-slate-img-url "&gt; &amp; nbsp; Watch barely bought and already the second hand which hangs ..... not great !!! Forced to press the top button to loosen. Never in time it only delayed ... I make a return otherwise because of this show I'll me fired from my job to be there forever in time :)</v>
      </c>
    </row>
    <row r="14317">
      <c r="A14317" s="1">
        <v>1.0</v>
      </c>
      <c r="B14317" s="1" t="s">
        <v>14075</v>
      </c>
      <c r="C14317" t="str">
        <f>IFERROR(__xludf.DUMMYFUNCTION("GOOGLETRANSLATE(B14317, ""fr"", ""en"")"),"Not recognized my imprimente Although reference my printer appears in the lsite in the description, the cartridges are not recognized by the printer, produces bad that I do not recommend it at all I put a star because I can not put 0")</f>
        <v>Not recognized my imprimente Although reference my printer appears in the lsite in the description, the cartridges are not recognized by the printer, produces bad that I do not recommend it at all I put a star because I can not put 0</v>
      </c>
    </row>
    <row r="14318">
      <c r="A14318" s="1">
        <v>3.0</v>
      </c>
      <c r="B14318" s="1" t="s">
        <v>14076</v>
      </c>
      <c r="C14318" t="str">
        <f>IFERROR(__xludf.DUMMYFUNCTION("GOOGLETRANSLATE(B14318, ""fr"", ""en"")"),"Good ! but still a little disappointed in the ear In good but a little heavy compared to other brands. The sound is ok, nothing more to Bose.")</f>
        <v>Good ! but still a little disappointed in the ear In good but a little heavy compared to other brands. The sound is ok, nothing more to Bose.</v>
      </c>
    </row>
    <row r="14319">
      <c r="A14319" s="1">
        <v>4.0</v>
      </c>
      <c r="B14319" s="1" t="s">
        <v>14077</v>
      </c>
      <c r="C14319" t="str">
        <f>IFERROR(__xludf.DUMMYFUNCTION("GOOGLETRANSLATE(B14319, ""fr"", ""en"")"),"well good comfortable product up view heat is niquel colder to walk I just blame the impermeabilitée scheduled for market in a small tt flac water if the level exceeds ca Lase is more waterproof but otherwise very comfortable")</f>
        <v>well good comfortable product up view heat is niquel colder to walk I just blame the impermeabilitée scheduled for market in a small tt flac water if the level exceeds ca Lase is more waterproof but otherwise very comfortable</v>
      </c>
    </row>
    <row r="14320">
      <c r="A14320" s="1">
        <v>4.0</v>
      </c>
      <c r="B14320" s="1" t="s">
        <v>14078</v>
      </c>
      <c r="C14320" t="str">
        <f>IFERROR(__xludf.DUMMYFUNCTION("GOOGLETRANSLATE(B14320, ""fr"", ""en"")"),"Good Good quality but small")</f>
        <v>Good Good quality but small</v>
      </c>
    </row>
    <row r="14321">
      <c r="A14321" s="1">
        <v>4.0</v>
      </c>
      <c r="B14321" s="1" t="s">
        <v>14079</v>
      </c>
      <c r="C14321" t="str">
        <f>IFERROR(__xludf.DUMMYFUNCTION("GOOGLETRANSLATE(B14321, ""fr"", ""en"")"),"Good product Bought for a twelve o'clock DIN connection between a synth and my sound card harware. Cable diameter: 5 mm. Product delivered quickly and consistent with the description. Very good value for money.")</f>
        <v>Good product Bought for a twelve o'clock DIN connection between a synth and my sound card harware. Cable diameter: 5 mm. Product delivered quickly and consistent with the description. Very good value for money.</v>
      </c>
    </row>
    <row r="14322">
      <c r="A14322" s="1">
        <v>4.0</v>
      </c>
      <c r="B14322" s="1" t="s">
        <v>14080</v>
      </c>
      <c r="C14322" t="str">
        <f>IFERROR(__xludf.DUMMYFUNCTION("GOOGLETRANSLATE(B14322, ""fr"", ""en"")"),"produiy line with my expectations sound is ok considering the price charged.")</f>
        <v>produiy line with my expectations sound is ok considering the price charged.</v>
      </c>
    </row>
    <row r="14323">
      <c r="A14323" s="1">
        <v>4.0</v>
      </c>
      <c r="B14323" s="1" t="s">
        <v>14081</v>
      </c>
      <c r="C14323" t="str">
        <f>IFERROR(__xludf.DUMMYFUNCTION("GOOGLETRANSLATE(B14323, ""fr"", ""en"")"),"Good Mum product very happy Complies")</f>
        <v>Good Mum product very happy Complies</v>
      </c>
    </row>
    <row r="14324">
      <c r="A14324" s="1">
        <v>5.0</v>
      </c>
      <c r="B14324" s="1" t="s">
        <v>14082</v>
      </c>
      <c r="C14324" t="str">
        <f>IFERROR(__xludf.DUMMYFUNCTION("GOOGLETRANSLATE(B14324, ""fr"", ""en"")"),"Solid To extend the life of a leather strap watch. sustainable quality product")</f>
        <v>Solid To extend the life of a leather strap watch. sustainable quality product</v>
      </c>
    </row>
    <row r="14325">
      <c r="A14325" s="1">
        <v>5.0</v>
      </c>
      <c r="B14325" s="1" t="s">
        <v>14083</v>
      </c>
      <c r="C14325" t="str">
        <f>IFERROR(__xludf.DUMMYFUNCTION("GOOGLETRANSLATE(B14325, ""fr"", ""en"")"),"Bose what else? A clean sound Bose (you have to like) a very effective noise reduction headphones are very light and comfortable to wear. It seems that it is equivalent to the competitor Sony I wonder if the critics have actually tried the Sony because to"&amp;" have tested both the Bose is far ahead in terms of port, lightness, less than 22h autonomy and as I do not count wear my helmet 22h ... 30h Sony would have him.")</f>
        <v>Bose what else? A clean sound Bose (you have to like) a very effective noise reduction headphones are very light and comfortable to wear. It seems that it is equivalent to the competitor Sony I wonder if the critics have actually tried the Sony because to have tested both the Bose is far ahead in terms of port, lightness, less than 22h autonomy and as I do not count wear my helmet 22h ... 30h Sony would have him.</v>
      </c>
    </row>
    <row r="14326">
      <c r="A14326" s="1">
        <v>5.0</v>
      </c>
      <c r="B14326" s="1" t="s">
        <v>14084</v>
      </c>
      <c r="C14326" t="str">
        <f>IFERROR(__xludf.DUMMYFUNCTION("GOOGLETRANSLATE(B14326, ""fr"", ""en"")"),"Casio g shock reputation of g shock is no longer to make great product.")</f>
        <v>Casio g shock reputation of g shock is no longer to make great product.</v>
      </c>
    </row>
    <row r="14327">
      <c r="A14327" s="1">
        <v>5.0</v>
      </c>
      <c r="B14327" s="1" t="s">
        <v>14085</v>
      </c>
      <c r="C14327" t="str">
        <f>IFERROR(__xludf.DUMMYFUNCTION("GOOGLETRANSLATE(B14327, ""fr"", ""en"")"),"Good but . . EXPENSIVE !")</f>
        <v>Good but . . EXPENSIVE !</v>
      </c>
    </row>
    <row r="14328">
      <c r="A14328" s="1">
        <v>5.0</v>
      </c>
      <c r="B14328" s="1" t="s">
        <v>14086</v>
      </c>
      <c r="C14328" t="str">
        <f>IFERROR(__xludf.DUMMYFUNCTION("GOOGLETRANSLATE(B14328, ""fr"", ""en"")"),"very well and as I was mistaken in size there is one for me and one for my son ordered twice so there is one for a son to father")</f>
        <v>very well and as I was mistaken in size there is one for me and one for my son ordered twice so there is one for a son to father</v>
      </c>
    </row>
    <row r="14329">
      <c r="A14329" s="1">
        <v>5.0</v>
      </c>
      <c r="B14329" s="1" t="s">
        <v>14087</v>
      </c>
      <c r="C14329" t="str">
        <f>IFERROR(__xludf.DUMMYFUNCTION("GOOGLETRANSLATE(B14329, ""fr"", ""en"")"),"Very nice necklace Gift with Christmas. Book in a Box jewelry was rigid and stamped with the mark of the collar. Very nice presentation for a gift. Very pretty colors, consistent with photo and drawing attention of the gaze. Pretty metal even if it is not"&amp;" white gold, considering the price. Worn daily without problems.")</f>
        <v>Very nice necklace Gift with Christmas. Book in a Box jewelry was rigid and stamped with the mark of the collar. Very nice presentation for a gift. Very pretty colors, consistent with photo and drawing attention of the gaze. Pretty metal even if it is not white gold, considering the price. Worn daily without problems.</v>
      </c>
    </row>
    <row r="14330">
      <c r="A14330" s="1">
        <v>5.0</v>
      </c>
      <c r="B14330" s="1" t="s">
        <v>14088</v>
      </c>
      <c r="C14330" t="str">
        <f>IFERROR(__xludf.DUMMYFUNCTION("GOOGLETRANSLATE(B14330, ""fr"", ""en"")"),"Impeccable Works great with selphy cp1300. Pictures of very good qualities.")</f>
        <v>Impeccable Works great with selphy cp1300. Pictures of very good qualities.</v>
      </c>
    </row>
    <row r="14331">
      <c r="A14331" s="1">
        <v>5.0</v>
      </c>
      <c r="B14331" s="1" t="s">
        <v>14089</v>
      </c>
      <c r="C14331" t="str">
        <f>IFERROR(__xludf.DUMMYFUNCTION("GOOGLETRANSLATE(B14331, ""fr"", ""en"")"),"Good product Bought for jewelry, great !!")</f>
        <v>Good product Bought for jewelry, great !!</v>
      </c>
    </row>
    <row r="14332">
      <c r="A14332" s="1">
        <v>5.0</v>
      </c>
      <c r="B14332" s="1" t="s">
        <v>14090</v>
      </c>
      <c r="C14332" t="str">
        <f>IFERROR(__xludf.DUMMYFUNCTION("GOOGLETRANSLATE(B14332, ""fr"", ""en"")"),"Very pleasant scents Beautiful, lovely ... The set is beautifully presented! The small booklet with ideas of how to use various oils is really convenient!")</f>
        <v>Very pleasant scents Beautiful, lovely ... The set is beautifully presented! The small booklet with ideas of how to use various oils is really convenient!</v>
      </c>
    </row>
    <row r="14333">
      <c r="A14333" s="1">
        <v>5.0</v>
      </c>
      <c r="B14333" s="1" t="s">
        <v>14091</v>
      </c>
      <c r="C14333" t="str">
        <f>IFERROR(__xludf.DUMMYFUNCTION("GOOGLETRANSLATE(B14333, ""fr"", ""en"")"),"Good value The article makes shine to white shoes")</f>
        <v>Good value The article makes shine to white shoes</v>
      </c>
    </row>
    <row r="14334">
      <c r="A14334" s="1">
        <v>5.0</v>
      </c>
      <c r="B14334" s="1" t="s">
        <v>14092</v>
      </c>
      <c r="C14334" t="str">
        <f>IFERROR(__xludf.DUMMYFUNCTION("GOOGLETRANSLATE(B14334, ""fr"", ""en"")"),"A VGA cable perfect everything was more normal, it does its job perfectly, no problems found at this level")</f>
        <v>A VGA cable perfect everything was more normal, it does its job perfectly, no problems found at this level</v>
      </c>
    </row>
    <row r="14335">
      <c r="A14335" s="1">
        <v>5.0</v>
      </c>
      <c r="B14335" s="1" t="s">
        <v>14093</v>
      </c>
      <c r="C14335" t="str">
        <f>IFERROR(__xludf.DUMMYFUNCTION("GOOGLETRANSLATE(B14335, ""fr"", ""en"")"),"For Aquabike I bought these shoes to practice Aquabike. They carve it right and are unobtrusive as transparent. They are slightly difficult to put on, but at least after they no longer move. I recommend.")</f>
        <v>For Aquabike I bought these shoes to practice Aquabike. They carve it right and are unobtrusive as transparent. They are slightly difficult to put on, but at least after they no longer move. I recommend.</v>
      </c>
    </row>
    <row r="14336">
      <c r="A14336" s="1">
        <v>5.0</v>
      </c>
      <c r="B14336" s="1" t="s">
        <v>14094</v>
      </c>
      <c r="C14336" t="str">
        <f>IFERROR(__xludf.DUMMYFUNCTION("GOOGLETRANSLATE(B14336, ""fr"", ""en"")"),"My sound told me thank you! My amp and my speakers I said thank you! no more power effort with my amp. the sound gains in energy and transcription.")</f>
        <v>My sound told me thank you! My amp and my speakers I said thank you! no more power effort with my amp. the sound gains in energy and transcription.</v>
      </c>
    </row>
    <row r="14337">
      <c r="A14337" s="1">
        <v>5.0</v>
      </c>
      <c r="B14337" s="1" t="s">
        <v>14095</v>
      </c>
      <c r="C14337" t="str">
        <f>IFERROR(__xludf.DUMMYFUNCTION("GOOGLETRANSLATE(B14337, ""fr"", ""en"")"),"Ras My nephew made the top mau")</f>
        <v>Ras My nephew made the top mau</v>
      </c>
    </row>
    <row r="14338">
      <c r="A14338" s="1">
        <v>5.0</v>
      </c>
      <c r="B14338" s="1" t="s">
        <v>14096</v>
      </c>
      <c r="C14338" t="str">
        <f>IFERROR(__xludf.DUMMYFUNCTION("GOOGLETRANSLATE(B14338, ""fr"", ""en"")"),"Just what I needed I make my home products myself: dishwashing liquid, household cleaner, detergent, fabric softener, floor cleaner .... In short, I use a lot of essential oils. This pack covers the major perfume I use not to mention eucalyptus that we wi"&amp;"ll soon be used for colds. And in addition I like the bottles that have a nice look.")</f>
        <v>Just what I needed I make my home products myself: dishwashing liquid, household cleaner, detergent, fabric softener, floor cleaner .... In short, I use a lot of essential oils. This pack covers the major perfume I use not to mention eucalyptus that we will soon be used for colds. And in addition I like the bottles that have a nice look.</v>
      </c>
    </row>
    <row r="14339">
      <c r="A14339" s="1">
        <v>2.0</v>
      </c>
      <c r="B14339" s="1" t="s">
        <v>14097</v>
      </c>
      <c r="C14339" t="str">
        <f>IFERROR(__xludf.DUMMYFUNCTION("GOOGLETRANSLATE(B14339, ""fr"", ""en"")"),"not the right product live it is unfortunately not depointed average but very fine !! it should specify because we were seeking emoyenne and impossible to complaint via amazon")</f>
        <v>not the right product live it is unfortunately not depointed average but very fine !! it should specify because we were seeking emoyenne and impossible to complaint via amazon</v>
      </c>
    </row>
    <row r="14340">
      <c r="A14340" s="1">
        <v>1.0</v>
      </c>
      <c r="B14340" s="1" t="s">
        <v>14098</v>
      </c>
      <c r="C14340" t="str">
        <f>IFERROR(__xludf.DUMMYFUNCTION("GOOGLETRANSLATE(B14340, ""fr"", ""en"")"),"dry cartridge! achetee in March 2019, and kept in stock to open there are 15 days ... and already down on the black so I did not print more than 20 pages. Too late I suppose for a refund.")</f>
        <v>dry cartridge! achetee in March 2019, and kept in stock to open there are 15 days ... and already down on the black so I did not print more than 20 pages. Too late I suppose for a refund.</v>
      </c>
    </row>
    <row r="14341">
      <c r="A14341" s="1">
        <v>3.0</v>
      </c>
      <c r="B14341" s="1" t="s">
        <v>14099</v>
      </c>
      <c r="C14341" t="str">
        <f>IFERROR(__xludf.DUMMYFUNCTION("GOOGLETRANSLATE(B14341, ""fr"", ""en"")"),"Buying interest very correct helmet for the price.")</f>
        <v>Buying interest very correct helmet for the price.</v>
      </c>
    </row>
    <row r="14342">
      <c r="A14342" s="1">
        <v>3.0</v>
      </c>
      <c r="B14342" s="1" t="s">
        <v>14100</v>
      </c>
      <c r="C14342" t="str">
        <f>IFERROR(__xludf.DUMMYFUNCTION("GOOGLETRANSLATE(B14342, ""fr"", ""en"")"),"Too cute gift. Satisfied for future mom gift")</f>
        <v>Too cute gift. Satisfied for future mom gift</v>
      </c>
    </row>
    <row r="14343">
      <c r="A14343" s="1">
        <v>4.0</v>
      </c>
      <c r="B14343" s="1" t="s">
        <v>14101</v>
      </c>
      <c r="C14343" t="str">
        <f>IFERROR(__xludf.DUMMYFUNCTION("GOOGLETRANSLATE(B14343, ""fr"", ""en"")"),"Light and comfortable Parcel received very quickly! Consistent with the description. I worked with 9 they are comfortable, however, I had little pain in the feet at the end but I do not need puts on the shoe :) I took the 41 and it was big enough, thank y"&amp;"ou providing me with socks")</f>
        <v>Light and comfortable Parcel received very quickly! Consistent with the description. I worked with 9 they are comfortable, however, I had little pain in the feet at the end but I do not need puts on the shoe :) I took the 41 and it was big enough, thank you providing me with socks</v>
      </c>
    </row>
    <row r="14344">
      <c r="A14344" s="1">
        <v>4.0</v>
      </c>
      <c r="B14344" s="1" t="s">
        <v>14102</v>
      </c>
      <c r="C14344" t="str">
        <f>IFERROR(__xludf.DUMMYFUNCTION("GOOGLETRANSLATE(B14344, ""fr"", ""en"")"),"Okay relaxation")</f>
        <v>Okay relaxation</v>
      </c>
    </row>
    <row r="14345">
      <c r="A14345" s="1">
        <v>4.0</v>
      </c>
      <c r="B14345" s="1" t="s">
        <v>14103</v>
      </c>
      <c r="C14345" t="str">
        <f>IFERROR(__xludf.DUMMYFUNCTION("GOOGLETRANSLATE(B14345, ""fr"", ""en"")"),"brassiere nike very good you will not be disappointed ideal for comfortable and stylish sports both ease of maintenance")</f>
        <v>brassiere nike very good you will not be disappointed ideal for comfortable and stylish sports both ease of maintenance</v>
      </c>
    </row>
    <row r="14346">
      <c r="A14346" s="1">
        <v>4.0</v>
      </c>
      <c r="B14346" s="1" t="s">
        <v>14104</v>
      </c>
      <c r="C14346" t="str">
        <f>IFERROR(__xludf.DUMMYFUNCTION("GOOGLETRANSLATE(B14346, ""fr"", ""en"")"),"Not for anyone. I hesitated to put as much money in a helmet but in light of recent games, audio comfort has become necessary. But to simply make this headset does not suit anyone, for a very simple reason: its size. Frankly, it's a juggernaut, an impress"&amp;"ive lightness but yet it takes just over my head, and yet I have the large head. The wireless is nice but as soon as I look, the helmet with hand often, which can sometimes, in addition to risk dropping it, change controls dials her ... it's a bit painful"&amp;". Nothing dramatic in itself, but for the teen or girls, this is a helmet avoided me. Beyond remains a classic + / -: The +: impeccable aesthetic quality of its impressive setting for even the same pleasant helmet if it takes time to adapt before you can "&amp;"manage well, customization of sounds via Synapse (Razer software), the impressive battery life ... the -: the size that can be suitable for any audience, and light - for the quality of the microphone that would be expected something more ""real"" quality "&amp;"n is not bad in itself but the rendering is a priori not perfect. All in all for 150 € is a good investment and I trust Razer for longevity. One last little bit of friendly face to Razer: pity, finish with your software ""Synapse"" is in beta for two year"&amp;"s and continues to plant itself regularly ...")</f>
        <v>Not for anyone. I hesitated to put as much money in a helmet but in light of recent games, audio comfort has become necessary. But to simply make this headset does not suit anyone, for a very simple reason: its size. Frankly, it's a juggernaut, an impressive lightness but yet it takes just over my head, and yet I have the large head. The wireless is nice but as soon as I look, the helmet with hand often, which can sometimes, in addition to risk dropping it, change controls dials her ... it's a bit painful. Nothing dramatic in itself, but for the teen or girls, this is a helmet avoided me. Beyond remains a classic + / -: The +: impeccable aesthetic quality of its impressive setting for even the same pleasant helmet if it takes time to adapt before you can manage well, customization of sounds via Synapse (Razer software), the impressive battery life ... the -: the size that can be suitable for any audience, and light - for the quality of the microphone that would be expected something more "real" quality n is not bad in itself but the rendering is a priori not perfect. All in all for 150 € is a good investment and I trust Razer for longevity. One last little bit of friendly face to Razer: pity, finish with your software "Synapse" is in beta for two years and continues to plant itself regularly ...</v>
      </c>
    </row>
    <row r="14347">
      <c r="A14347" s="1">
        <v>5.0</v>
      </c>
      <c r="B14347" s="1" t="s">
        <v>14105</v>
      </c>
      <c r="C14347" t="str">
        <f>IFERROR(__xludf.DUMMYFUNCTION("GOOGLETRANSLATE(B14347, ""fr"", ""en"")"),"Fan of the first hour of the first Disney kind that I already loved the movies !!!! I already had the collector version on DVD but I wanted to see what gave the 3D not disappointed at all! The 3D Blu-ray sublime cartoon. I still think it takes the book to"&amp;" fans or those who do not have Blu-ray or DVD. A must-have in a Disney video library.")</f>
        <v>Fan of the first hour of the first Disney kind that I already loved the movies !!!! I already had the collector version on DVD but I wanted to see what gave the 3D not disappointed at all! The 3D Blu-ray sublime cartoon. I still think it takes the book to fans or those who do not have Blu-ray or DVD. A must-have in a Disney video library.</v>
      </c>
    </row>
    <row r="14348">
      <c r="A14348" s="1">
        <v>5.0</v>
      </c>
      <c r="B14348" s="1" t="s">
        <v>14106</v>
      </c>
      <c r="C14348" t="str">
        <f>IFERROR(__xludf.DUMMYFUNCTION("GOOGLETRANSLATE(B14348, ""fr"", ""en"")"),"Superb quality shoes from all points of view. Very comfortable but rigid enough to maintain good foot. I tested them for 3 matches. (Almost) Nothing to say. I highly recommend. Only slight disadvantage (for some). Their weight. And yet, I quibble a bit .."&amp;".")</f>
        <v>Superb quality shoes from all points of view. Very comfortable but rigid enough to maintain good foot. I tested them for 3 matches. (Almost) Nothing to say. I highly recommend. Only slight disadvantage (for some). Their weight. And yet, I quibble a bit ...</v>
      </c>
    </row>
    <row r="14349">
      <c r="A14349" s="1">
        <v>5.0</v>
      </c>
      <c r="B14349" s="1" t="s">
        <v>14107</v>
      </c>
      <c r="C14349" t="str">
        <f>IFERROR(__xludf.DUMMYFUNCTION("GOOGLETRANSLATE(B14349, ""fr"", ""en"")"),"Cartridge Cartridge practice received. Easy to use, can be stored for long.")</f>
        <v>Cartridge Cartridge practice received. Easy to use, can be stored for long.</v>
      </c>
    </row>
    <row r="14350">
      <c r="A14350" s="1">
        <v>5.0</v>
      </c>
      <c r="B14350" s="1" t="s">
        <v>14108</v>
      </c>
      <c r="C14350" t="str">
        <f>IFERROR(__xludf.DUMMYFUNCTION("GOOGLETRANSLATE(B14350, ""fr"", ""en"")"),"Delighted to buy a present for my son, light shows, class, really delighted.")</f>
        <v>Delighted to buy a present for my son, light shows, class, really delighted.</v>
      </c>
    </row>
    <row r="14351">
      <c r="A14351" s="1">
        <v>5.0</v>
      </c>
      <c r="B14351" s="1" t="s">
        <v>14109</v>
      </c>
      <c r="C14351" t="str">
        <f>IFERROR(__xludf.DUMMYFUNCTION("GOOGLETRANSLATE(B14351, ""fr"", ""en"")"),"Pretty Pretty")</f>
        <v>Pretty Pretty</v>
      </c>
    </row>
    <row r="14352">
      <c r="A14352" s="1">
        <v>5.0</v>
      </c>
      <c r="B14352" s="1" t="s">
        <v>14110</v>
      </c>
      <c r="C14352" t="str">
        <f>IFERROR(__xludf.DUMMYFUNCTION("GOOGLETRANSLATE(B14352, ""fr"", ""en"")"),"Super item Super massager shoulder and neck margin with an outlet or cigarette lighter in the car, several different modes, space for hands to hold the camera, super quality and cheap for a massage so, really great.")</f>
        <v>Super item Super massager shoulder and neck margin with an outlet or cigarette lighter in the car, several different modes, space for hands to hold the camera, super quality and cheap for a massage so, really great.</v>
      </c>
    </row>
    <row r="14353">
      <c r="A14353" s="1">
        <v>5.0</v>
      </c>
      <c r="B14353" s="1" t="s">
        <v>14111</v>
      </c>
      <c r="C14353" t="str">
        <f>IFERROR(__xludf.DUMMYFUNCTION("GOOGLETRANSLATE(B14353, ""fr"", ""en"")"),"Jolie shows, design and ease of use I already had one, which still works well after a dozen years!, I am commissioned a second series of the bracelet clasp that sold, I was recommend!, and fast delivery as always.")</f>
        <v>Jolie shows, design and ease of use I already had one, which still works well after a dozen years!, I am commissioned a second series of the bracelet clasp that sold, I was recommend!, and fast delivery as always.</v>
      </c>
    </row>
    <row r="14354">
      <c r="A14354" s="1">
        <v>5.0</v>
      </c>
      <c r="B14354" s="1" t="s">
        <v>14112</v>
      </c>
      <c r="C14354" t="str">
        <f>IFERROR(__xludf.DUMMYFUNCTION("GOOGLETRANSLATE(B14354, ""fr"", ""en"")"),"The product size and nature of the textile. Christmas Gift popular")</f>
        <v>The product size and nature of the textile. Christmas Gift popular</v>
      </c>
    </row>
    <row r="14355">
      <c r="A14355" s="1">
        <v>5.0</v>
      </c>
      <c r="B14355" s="1" t="s">
        <v>14113</v>
      </c>
      <c r="C14355" t="str">
        <f>IFERROR(__xludf.DUMMYFUNCTION("GOOGLETRANSLATE(B14355, ""fr"", ""en"")"),"my daughter is thrilled !!! line with our expectations, perfectly sized (38) just give them time to do so because the leather is hard enough")</f>
        <v>my daughter is thrilled !!! line with our expectations, perfectly sized (38) just give them time to do so because the leather is hard enough</v>
      </c>
    </row>
    <row r="14356">
      <c r="A14356" s="1">
        <v>5.0</v>
      </c>
      <c r="B14356" s="1" t="s">
        <v>14114</v>
      </c>
      <c r="C14356" t="str">
        <f>IFERROR(__xludf.DUMMYFUNCTION("GOOGLETRANSLATE(B14356, ""fr"", ""en"")"),"pretty Perfect")</f>
        <v>pretty Perfect</v>
      </c>
    </row>
    <row r="14357">
      <c r="A14357" s="1">
        <v>5.0</v>
      </c>
      <c r="B14357" s="1" t="s">
        <v>14115</v>
      </c>
      <c r="C14357" t="str">
        <f>IFERROR(__xludf.DUMMYFUNCTION("GOOGLETRANSLATE(B14357, ""fr"", ""en"")"),"Original and practical I already had a cat, here I am with a brown fox. Always nice to relieve my sore neck ... never used in cooling mode")</f>
        <v>Original and practical I already had a cat, here I am with a brown fox. Always nice to relieve my sore neck ... never used in cooling mode</v>
      </c>
    </row>
    <row r="14358">
      <c r="A14358" s="1">
        <v>5.0</v>
      </c>
      <c r="B14358" s="1" t="s">
        <v>14116</v>
      </c>
      <c r="C14358" t="str">
        <f>IFERROR(__xludf.DUMMYFUNCTION("GOOGLETRANSLATE(B14358, ""fr"", ""en"")"),"Very good quality and as pretty as the picture they are just great. Very nice sneakers consistent with the picture. I recommend")</f>
        <v>Very good quality and as pretty as the picture they are just great. Very nice sneakers consistent with the picture. I recommend</v>
      </c>
    </row>
    <row r="14359">
      <c r="A14359" s="1">
        <v>5.0</v>
      </c>
      <c r="B14359" s="1" t="s">
        <v>14117</v>
      </c>
      <c r="C14359" t="str">
        <f>IFERROR(__xludf.DUMMYFUNCTION("GOOGLETRANSLATE(B14359, ""fr"", ""en"")"),"Very good quality Very good quality, perfect for what I wanted to do: pyrography the names of my children on the round, and varnish.")</f>
        <v>Very good quality Very good quality, perfect for what I wanted to do: pyrography the names of my children on the round, and varnish.</v>
      </c>
    </row>
    <row r="14360">
      <c r="A14360" s="1">
        <v>5.0</v>
      </c>
      <c r="B14360" s="1" t="s">
        <v>14118</v>
      </c>
      <c r="C14360" t="str">
        <f>IFERROR(__xludf.DUMMYFUNCTION("GOOGLETRANSLATE(B14360, ""fr"", ""en"")"),"Results flawless reception without particular difficulty getting started following the instructions well. My advice for OUT and IN temperature. The price is right")</f>
        <v>Results flawless reception without particular difficulty getting started following the instructions well. My advice for OUT and IN temperature. The price is right</v>
      </c>
    </row>
    <row r="14361">
      <c r="A14361" s="1">
        <v>5.0</v>
      </c>
      <c r="B14361" s="1" t="s">
        <v>14119</v>
      </c>
      <c r="C14361" t="str">
        <f>IFERROR(__xludf.DUMMYFUNCTION("GOOGLETRANSLATE(B14361, ""fr"", ""en"")"),"Ravi is best to remove moisture I am delighted with this product, my bathroom was very damp with mold it works very well the difference you can feel!")</f>
        <v>Ravi is best to remove moisture I am delighted with this product, my bathroom was very damp with mold it works very well the difference you can feel!</v>
      </c>
    </row>
    <row r="14362">
      <c r="A14362" s="1">
        <v>5.0</v>
      </c>
      <c r="B14362" s="1" t="s">
        <v>14120</v>
      </c>
      <c r="C14362" t="str">
        <f>IFERROR(__xludf.DUMMYFUNCTION("GOOGLETRANSLATE(B14362, ""fr"", ""en"")"),"Headphones perfect for racing I was annoyed with the thread of my old headphones when I would run, these headphones are just perfect! The ergonomics are perfect for keeping the ear The sound is top, like living the live concert! Plus they are intuitive, s"&amp;"imple step to change the music to pause! Finally the charging case is really convenient!")</f>
        <v>Headphones perfect for racing I was annoyed with the thread of my old headphones when I would run, these headphones are just perfect! The ergonomics are perfect for keeping the ear The sound is top, like living the live concert! Plus they are intuitive, simple step to change the music to pause! Finally the charging case is really convenient!</v>
      </c>
    </row>
    <row r="14363">
      <c r="A14363" s="1">
        <v>2.0</v>
      </c>
      <c r="B14363" s="1" t="s">
        <v>14121</v>
      </c>
      <c r="C14363" t="str">
        <f>IFERROR(__xludf.DUMMYFUNCTION("GOOGLETRANSLATE(B14363, ""fr"", ""en"")"),"Poor This article does not meet the standards of the Canon brand. Rather low end, adaptable models are superior.")</f>
        <v>Poor This article does not meet the standards of the Canon brand. Rather low end, adaptable models are superior.</v>
      </c>
    </row>
    <row r="14364">
      <c r="A14364" s="1">
        <v>1.0</v>
      </c>
      <c r="B14364" s="1" t="s">
        <v>14122</v>
      </c>
      <c r="C14364" t="str">
        <f>IFERROR(__xludf.DUMMYFUNCTION("GOOGLETRANSLATE(B14364, ""fr"", ""en"")"),"Keys not working Hello, I received the watch and keys 7 - 8 - 9 do not work, how can I do to make the 3 buttons function. thank you")</f>
        <v>Keys not working Hello, I received the watch and keys 7 - 8 - 9 do not work, how can I do to make the 3 buttons function. thank you</v>
      </c>
    </row>
    <row r="14365">
      <c r="A14365" s="1">
        <v>1.0</v>
      </c>
      <c r="B14365" s="1" t="s">
        <v>14123</v>
      </c>
      <c r="C14365" t="str">
        <f>IFERROR(__xludf.DUMMYFUNCTION("GOOGLETRANSLATE(B14365, ""fr"", ""en"")"),"Size beaucouip too big I usually do a 34 but the S size is too large and does not maintain all the chest in my case. It's a shame because the price was very attractive.")</f>
        <v>Size beaucouip too big I usually do a 34 but the S size is too large and does not maintain all the chest in my case. It's a shame because the price was very attractive.</v>
      </c>
    </row>
    <row r="14366">
      <c r="A14366" s="1">
        <v>3.0</v>
      </c>
      <c r="B14366" s="1" t="s">
        <v>14124</v>
      </c>
      <c r="C14366" t="str">
        <f>IFERROR(__xludf.DUMMYFUNCTION("GOOGLETRANSLATE(B14366, ""fr"", ""en"")"),"well after waterproofing of the shoe, use is satisfactory, they glide by against the plastic sole is hard so be careful hiking and on wet rocks. It's a shame the AIGLE brand is renowned yet.")</f>
        <v>well after waterproofing of the shoe, use is satisfactory, they glide by against the plastic sole is hard so be careful hiking and on wet rocks. It's a shame the AIGLE brand is renowned yet.</v>
      </c>
    </row>
    <row r="14367">
      <c r="A14367" s="1">
        <v>3.0</v>
      </c>
      <c r="B14367" s="1" t="s">
        <v>14125</v>
      </c>
      <c r="C14367" t="str">
        <f>IFERROR(__xludf.DUMMYFUNCTION("GOOGLETRANSLATE(B14367, ""fr"", ""en"")"),"Good product I starts in the mix and this board seems to give a lot of possibilities. However, it is delivered without connecting cable to the PC USB / Type-B without Jack adapter 6.3mm / 3.5mm, and without notice paper whether for software or platinum .."&amp;".")</f>
        <v>Good product I starts in the mix and this board seems to give a lot of possibilities. However, it is delivered without connecting cable to the PC USB / Type-B without Jack adapter 6.3mm / 3.5mm, and without notice paper whether for software or platinum ...</v>
      </c>
    </row>
    <row r="14368">
      <c r="A14368" s="1">
        <v>4.0</v>
      </c>
      <c r="B14368" s="1" t="s">
        <v>14126</v>
      </c>
      <c r="C14368" t="str">
        <f>IFERROR(__xludf.DUMMYFUNCTION("GOOGLETRANSLATE(B14368, ""fr"", ""en"")"),"fast and very comfortable control command received quickly, correctly sized, the intèrieur sole is very comfortable, not too heavy, I work in a warehouse I walk a lot and no pain in feet end of the day, to see the time now")</f>
        <v>fast and very comfortable control command received quickly, correctly sized, the intèrieur sole is very comfortable, not too heavy, I work in a warehouse I walk a lot and no pain in feet end of the day, to see the time now</v>
      </c>
    </row>
    <row r="14369">
      <c r="A14369" s="1">
        <v>4.0</v>
      </c>
      <c r="B14369" s="1" t="s">
        <v>14127</v>
      </c>
      <c r="C14369" t="str">
        <f>IFERROR(__xludf.DUMMYFUNCTION("GOOGLETRANSLATE(B14369, ""fr"", ""en"")"),"Simple operation - moderately aesthetic Commissioning / off immediate. The power seems respected. Quite bulky and light / medium aesthetics. Corresponds to what is advertised in the data sheet.")</f>
        <v>Simple operation - moderately aesthetic Commissioning / off immediate. The power seems respected. Quite bulky and light / medium aesthetics. Corresponds to what is advertised in the data sheet.</v>
      </c>
    </row>
    <row r="14370">
      <c r="A14370" s="1">
        <v>4.0</v>
      </c>
      <c r="B14370" s="1" t="s">
        <v>14128</v>
      </c>
      <c r="C14370" t="str">
        <f>IFERROR(__xludf.DUMMYFUNCTION("GOOGLETRANSLATE(B14370, ""fr"", ""en"")"),"Did everything expected of him ... just the thus receive not a big back on experience but very good quality .. good quality and beautiful colors (dark brown) .. couples easily over the phone (galaxy S7 for me) is dedicated as an application on Google stor"&amp;"e to make adjustments. otherwise the noise reduction looks interesting .. the aussi..très comfortable power also. TAF will do very well without spending its 380th like Bose or Sony .. which for me even if they are proven are rather proud purchases .. 3/4 "&amp;"speak of it as sound engineers .. I 😂 Board headphones")</f>
        <v>Did everything expected of him ... just the thus receive not a big back on experience but very good quality .. good quality and beautiful colors (dark brown) .. couples easily over the phone (galaxy S7 for me) is dedicated as an application on Google store to make adjustments. otherwise the noise reduction looks interesting .. the aussi..très comfortable power also. TAF will do very well without spending its 380th like Bose or Sony .. which for me even if they are proven are rather proud purchases .. 3/4 speak of it as sound engineers .. I 😂 Board headphones</v>
      </c>
    </row>
    <row r="14371">
      <c r="A14371" s="1">
        <v>4.0</v>
      </c>
      <c r="B14371" s="1" t="s">
        <v>14129</v>
      </c>
      <c r="C14371" t="str">
        <f>IFERROR(__xludf.DUMMYFUNCTION("GOOGLETRANSLATE(B14371, ""fr"", ""en"")"),"WELL This helmet is almost perfect, it lacks a more significant adjustment, the power difference between the minimum and the maximum is too low. The cable length is ideal, 6 m are very convenient to watch TV away from the station and enjoy the sound. In s"&amp;"ummary good but Philips could have done better on the sound quality.")</f>
        <v>WELL This helmet is almost perfect, it lacks a more significant adjustment, the power difference between the minimum and the maximum is too low. The cable length is ideal, 6 m are very convenient to watch TV away from the station and enjoy the sound. In summary good but Philips could have done better on the sound quality.</v>
      </c>
    </row>
    <row r="14372">
      <c r="A14372" s="1">
        <v>5.0</v>
      </c>
      <c r="B14372" s="1" t="s">
        <v>14130</v>
      </c>
      <c r="C14372" t="str">
        <f>IFERROR(__xludf.DUMMYFUNCTION("GOOGLETRANSLATE(B14372, ""fr"", ""en"")"),"Excelent Excelent sweat, I took the xxs size it corresponds perfectly to there size of my 12 years, corresponds perfectly to my expectations, thick enough, there I Caught flowing gray, just like in the foto , I am glad")</f>
        <v>Excelent Excelent sweat, I took the xxs size it corresponds perfectly to there size of my 12 years, corresponds perfectly to my expectations, thick enough, there I Caught flowing gray, just like in the foto , I am glad</v>
      </c>
    </row>
    <row r="14373">
      <c r="A14373" s="1">
        <v>5.0</v>
      </c>
      <c r="B14373" s="1" t="s">
        <v>14131</v>
      </c>
      <c r="C14373" t="str">
        <f>IFERROR(__xludf.DUMMYFUNCTION("GOOGLETRANSLATE(B14373, ""fr"", ""en"")"),"Awesome Shoes consistent with the picture and description. The size is perfect (37), and it's always a pleasure to fit even after a long work day so they are light and comfortable. Product to recommend without hesitation.")</f>
        <v>Awesome Shoes consistent with the picture and description. The size is perfect (37), and it's always a pleasure to fit even after a long work day so they are light and comfortable. Product to recommend without hesitation.</v>
      </c>
    </row>
    <row r="14374">
      <c r="A14374" s="1">
        <v>5.0</v>
      </c>
      <c r="B14374" s="1" t="s">
        <v>14132</v>
      </c>
      <c r="C14374" t="str">
        <f>IFERROR(__xludf.DUMMYFUNCTION("GOOGLETRANSLATE(B14374, ""fr"", ""en"")"),"Great sound I use it for jogging or for my walks in the forest. The sound is better than I would have thought. I am more than satisfied.")</f>
        <v>Great sound I use it for jogging or for my walks in the forest. The sound is better than I would have thought. I am more than satisfied.</v>
      </c>
    </row>
    <row r="14375">
      <c r="A14375" s="1">
        <v>5.0</v>
      </c>
      <c r="B14375" s="1" t="s">
        <v>14133</v>
      </c>
      <c r="C14375" t="str">
        <f>IFERROR(__xludf.DUMMYFUNCTION("GOOGLETRANSLATE(B14375, ""fr"", ""en"")"),"Perfect Bottle warmer / pot handy. Do not take too much space and heats super fast. Little more and not least, it stops by itself when the steam has done its job!")</f>
        <v>Perfect Bottle warmer / pot handy. Do not take too much space and heats super fast. Little more and not least, it stops by itself when the steam has done its job!</v>
      </c>
    </row>
    <row r="14376">
      <c r="A14376" s="1">
        <v>5.0</v>
      </c>
      <c r="B14376" s="1" t="s">
        <v>14134</v>
      </c>
      <c r="C14376" t="str">
        <f>IFERROR(__xludf.DUMMYFUNCTION("GOOGLETRANSLATE(B14376, ""fr"", ""en"")"),"must timberland Very satisfied with my order corresponds exactly to my order, I had the same before and the quality has not changed")</f>
        <v>must timberland Very satisfied with my order corresponds exactly to my order, I had the same before and the quality has not changed</v>
      </c>
    </row>
    <row r="14377">
      <c r="A14377" s="1">
        <v>5.0</v>
      </c>
      <c r="B14377" s="1" t="s">
        <v>14135</v>
      </c>
      <c r="C14377" t="str">
        <f>IFERROR(__xludf.DUMMYFUNCTION("GOOGLETRANSLATE(B14377, ""fr"", ""en"")"),"I recommend Very nice beach shoe. Size perfect, very comfortable in it.")</f>
        <v>I recommend Very nice beach shoe. Size perfect, very comfortable in it.</v>
      </c>
    </row>
    <row r="14378">
      <c r="A14378" s="1">
        <v>5.0</v>
      </c>
      <c r="B14378" s="1" t="s">
        <v>14136</v>
      </c>
      <c r="C14378" t="str">
        <f>IFERROR(__xludf.DUMMYFUNCTION("GOOGLETRANSLATE(B14378, ""fr"", ""en"")"),"Super awesome ! Convenient to paste (I pass even without cloth). Labels are beautiful. It's very clean and it holds very well")</f>
        <v>Super awesome ! Convenient to paste (I pass even without cloth). Labels are beautiful. It's very clean and it holds very well</v>
      </c>
    </row>
    <row r="14379">
      <c r="A14379" s="1">
        <v>5.0</v>
      </c>
      <c r="B14379" s="1" t="s">
        <v>14137</v>
      </c>
      <c r="C14379" t="str">
        <f>IFERROR(__xludf.DUMMYFUNCTION("GOOGLETRANSLATE(B14379, ""fr"", ""en"")"),"Great product Gift")</f>
        <v>Great product Gift</v>
      </c>
    </row>
    <row r="14380">
      <c r="A14380" s="1">
        <v>5.0</v>
      </c>
      <c r="B14380" s="1" t="s">
        <v>14138</v>
      </c>
      <c r="C14380" t="str">
        <f>IFERROR(__xludf.DUMMYFUNCTION("GOOGLETRANSLATE(B14380, ""fr"", ""en"")"),"Very cool is comfortable in for good home taille42 despite the comments I read")</f>
        <v>Very cool is comfortable in for good home taille42 despite the comments I read</v>
      </c>
    </row>
    <row r="14381">
      <c r="A14381" s="1">
        <v>5.0</v>
      </c>
      <c r="B14381" s="1" t="s">
        <v>14139</v>
      </c>
      <c r="C14381" t="str">
        <f>IFERROR(__xludf.DUMMYFUNCTION("GOOGLETRANSLATE(B14381, ""fr"", ""en"")"),"Very practical interior is very dry, very useful during heavy rains or winter, we do not have to put the soaked shoes! Easy to carry. One of the two is not always light, but it's hot.")</f>
        <v>Very practical interior is very dry, very useful during heavy rains or winter, we do not have to put the soaked shoes! Easy to carry. One of the two is not always light, but it's hot.</v>
      </c>
    </row>
    <row r="14382">
      <c r="A14382" s="1">
        <v>5.0</v>
      </c>
      <c r="B14382" s="1" t="s">
        <v>14140</v>
      </c>
      <c r="C14382" t="str">
        <f>IFERROR(__xludf.DUMMYFUNCTION("GOOGLETRANSLATE(B14382, ""fr"", ""en"")"),"Perfect Very practical works fine I recommend this product")</f>
        <v>Perfect Very practical works fine I recommend this product</v>
      </c>
    </row>
    <row r="14383">
      <c r="A14383" s="1">
        <v>5.0</v>
      </c>
      <c r="B14383" s="1" t="s">
        <v>14141</v>
      </c>
      <c r="C14383" t="str">
        <f>IFERROR(__xludf.DUMMYFUNCTION("GOOGLETRANSLATE(B14383, ""fr"", ""en"")"),"This brand very well and the ""natural"" range are very good quality, more expensive than what you find in the supermarket, these products have a longer life and offer good comfort for baby use and no concern leak.")</f>
        <v>This brand very well and the "natural" range are very good quality, more expensive than what you find in the supermarket, these products have a longer life and offer good comfort for baby use and no concern leak.</v>
      </c>
    </row>
    <row r="14384">
      <c r="A14384" s="1">
        <v>5.0</v>
      </c>
      <c r="B14384" s="1" t="s">
        <v>14142</v>
      </c>
      <c r="C14384" t="str">
        <f>IFERROR(__xludf.DUMMYFUNCTION("GOOGLETRANSLATE(B14384, ""fr"", ""en"")"),"very practical and economical and ecological ;-)")</f>
        <v>very practical and economical and ecological ;-)</v>
      </c>
    </row>
    <row r="14385">
      <c r="A14385" s="1">
        <v>5.0</v>
      </c>
      <c r="B14385" s="1" t="s">
        <v>14143</v>
      </c>
      <c r="C14385" t="str">
        <f>IFERROR(__xludf.DUMMYFUNCTION("GOOGLETRANSLATE(B14385, ""fr"", ""en"")"),"Superrr Good products")</f>
        <v>Superrr Good products</v>
      </c>
    </row>
    <row r="14386">
      <c r="A14386" s="1">
        <v>5.0</v>
      </c>
      <c r="B14386" s="1" t="s">
        <v>14144</v>
      </c>
      <c r="C14386" t="str">
        <f>IFERROR(__xludf.DUMMYFUNCTION("GOOGLETRANSLATE(B14386, ""fr"", ""en"")"),"nice collection my little son, on the border of adolescence, love this collection, funny and yet explanatory")</f>
        <v>nice collection my little son, on the border of adolescence, love this collection, funny and yet explanatory</v>
      </c>
    </row>
    <row r="14387">
      <c r="A14387" s="1">
        <v>2.0</v>
      </c>
      <c r="B14387" s="1" t="s">
        <v>14145</v>
      </c>
      <c r="C14387" t="str">
        <f>IFERROR(__xludf.DUMMYFUNCTION("GOOGLETRANSLATE(B14387, ""fr"", ""en"")"),"Support sore throat I purchased this product in several sizes (Cup D and E). They were sore in the shoulder and crushed my chest. Yet I had made the right measurements. Badly cut for the price it costs.")</f>
        <v>Support sore throat I purchased this product in several sizes (Cup D and E). They were sore in the shoulder and crushed my chest. Yet I had made the right measurements. Badly cut for the price it costs.</v>
      </c>
    </row>
    <row r="14388">
      <c r="A14388" s="1">
        <v>1.0</v>
      </c>
      <c r="B14388" s="1" t="s">
        <v>14146</v>
      </c>
      <c r="C14388" t="str">
        <f>IFERROR(__xludf.DUMMYFUNCTION("GOOGLETRANSLATE(B14388, ""fr"", ""en"")"),"this is more perfect can not hear anything in it !!!!!! well at first; Now that the returns are not possible it does not work from 74.99 € LOST AMAZON CAN YOU MAKE AN INTERVENTION TO THE SELLER DO NOT KNOW EVEN IF IT'S GUARANTEED ?????? PLEASE REPLY")</f>
        <v>this is more perfect can not hear anything in it !!!!!! well at first; Now that the returns are not possible it does not work from 74.99 € LOST AMAZON CAN YOU MAKE AN INTERVENTION TO THE SELLER DO NOT KNOW EVEN IF IT'S GUARANTEED ?????? PLEASE REPLY</v>
      </c>
    </row>
    <row r="14389">
      <c r="A14389" s="1">
        <v>1.0</v>
      </c>
      <c r="B14389" s="1" t="s">
        <v>14147</v>
      </c>
      <c r="C14389" t="str">
        <f>IFERROR(__xludf.DUMMYFUNCTION("GOOGLETRANSLATE(B14389, ""fr"", ""en"")"),"2nd mistake .. I am furious: 2 times Amazon has made a mistake (for 1 kdo and more!). The shoes are brown instead of blue. I try one last time, but with delivery at home (instead of home to my daughter). I request the reimbursement of shipping if by chanc"&amp;"e the shoes (3rd purchase ..) are the right color.")</f>
        <v>2nd mistake .. I am furious: 2 times Amazon has made a mistake (for 1 kdo and more!). The shoes are brown instead of blue. I try one last time, but with delivery at home (instead of home to my daughter). I request the reimbursement of shipping if by chance the shoes (3rd purchase ..) are the right color.</v>
      </c>
    </row>
    <row r="14390">
      <c r="A14390" s="1">
        <v>3.0</v>
      </c>
      <c r="B14390" s="1" t="s">
        <v>14148</v>
      </c>
      <c r="C14390" t="str">
        <f>IFERROR(__xludf.DUMMYFUNCTION("GOOGLETRANSLATE(B14390, ""fr"", ""en"")"),"Short-lived Very nice finish, necklace end, discreet and beautiful small pendant. Worn only a few hours per day, the clasp has broken no reason, it opened in 2 pieces so no serviceable ...")</f>
        <v>Short-lived Very nice finish, necklace end, discreet and beautiful small pendant. Worn only a few hours per day, the clasp has broken no reason, it opened in 2 pieces so no serviceable ...</v>
      </c>
    </row>
    <row r="14391">
      <c r="A14391" s="1">
        <v>3.0</v>
      </c>
      <c r="B14391" s="1" t="s">
        <v>14149</v>
      </c>
      <c r="C14391" t="str">
        <f>IFERROR(__xludf.DUMMYFUNCTION("GOOGLETRANSLATE(B14391, ""fr"", ""en"")"),"unusable after three months Update September 18: Following my opinion signaling malfunctions due to faulty switches, the VAS manufacturer sent me an article replacement. I test her outfit over time now. Sound quality: OK Ambient Noise Reduction System: OK"&amp;" Construction: the switches are so poor that after 2 ½ months I can no longer turn the box so that empty battery while it is stored in its drawer. A force to maneuver the I sometimes still happens to extinguish it ... Then it's almost impossible to turn i"&amp;"t back! It's fun ... that kind of loop. clear: the quality is terrible. I bought two helmets, one for me and one for my son ... every 2 with the same problem. Reported to the vendor, this one sent me back A helmet ONLY! They practice the guarantee as they"&amp;" want ... The ear tip just waiting to fall if you accidentally pull on the cable with the headphones in your ears, you will lose me as the rubber tips because they will ""jump"" or they want. In transport it is the insured loss! I am not satisfied and I D"&amp;"O NOT RECOMMEND these headphones for all these quality problems. Too bad the sound was good, but my 2 helmets become unusable left in the trash after 3 months!")</f>
        <v>unusable after three months Update September 18: Following my opinion signaling malfunctions due to faulty switches, the VAS manufacturer sent me an article replacement. I test her outfit over time now. Sound quality: OK Ambient Noise Reduction System: OK Construction: the switches are so poor that after 2 ½ months I can no longer turn the box so that empty battery while it is stored in its drawer. A force to maneuver the I sometimes still happens to extinguish it ... Then it's almost impossible to turn it back! It's fun ... that kind of loop. clear: the quality is terrible. I bought two helmets, one for me and one for my son ... every 2 with the same problem. Reported to the vendor, this one sent me back A helmet ONLY! They practice the guarantee as they want ... The ear tip just waiting to fall if you accidentally pull on the cable with the headphones in your ears, you will lose me as the rubber tips because they will "jump" or they want. In transport it is the insured loss! I am not satisfied and I DO NOT RECOMMEND these headphones for all these quality problems. Too bad the sound was good, but my 2 helmets become unusable left in the trash after 3 months!</v>
      </c>
    </row>
    <row r="14392">
      <c r="A14392" s="1">
        <v>4.0</v>
      </c>
      <c r="B14392" s="1" t="s">
        <v>14150</v>
      </c>
      <c r="C14392" t="str">
        <f>IFERROR(__xludf.DUMMYFUNCTION("GOOGLETRANSLATE(B14392, ""fr"", ""en"")"),"Size small Warning size very small, too small for an M 40 Take a size bigger Otherwise this nice white with purple writing")</f>
        <v>Size small Warning size very small, too small for an M 40 Take a size bigger Otherwise this nice white with purple writing</v>
      </c>
    </row>
    <row r="14393">
      <c r="A14393" s="1">
        <v>4.0</v>
      </c>
      <c r="B14393" s="1" t="s">
        <v>14151</v>
      </c>
      <c r="C14393" t="str">
        <f>IFERROR(__xludf.DUMMYFUNCTION("GOOGLETRANSLATE(B14393, ""fr"", ""en"")"),"Comfortable I wear these shoes every day, they are very comfortable")</f>
        <v>Comfortable I wear these shoes every day, they are very comfortable</v>
      </c>
    </row>
    <row r="14394">
      <c r="A14394" s="1">
        <v>4.0</v>
      </c>
      <c r="B14394" s="1" t="s">
        <v>14152</v>
      </c>
      <c r="C14394" t="str">
        <f>IFERROR(__xludf.DUMMYFUNCTION("GOOGLETRANSLATE(B14394, ""fr"", ""en"")"),"rather pretty solid and practical I recommend at this price point. good value quite handy price open, close, carry enough aesthetic even if the finishes are passable")</f>
        <v>rather pretty solid and practical I recommend at this price point. good value quite handy price open, close, carry enough aesthetic even if the finishes are passable</v>
      </c>
    </row>
    <row r="14395">
      <c r="A14395" s="1">
        <v>4.0</v>
      </c>
      <c r="B14395" s="1" t="s">
        <v>14153</v>
      </c>
      <c r="C14395" t="str">
        <f>IFERROR(__xludf.DUMMYFUNCTION("GOOGLETRANSLATE(B14395, ""fr"", ""en"")"),"good product. Very good value for money. The watch is always my wrist, showering and even diving (snorkeling and bottle)")</f>
        <v>good product. Very good value for money. The watch is always my wrist, showering and even diving (snorkeling and bottle)</v>
      </c>
    </row>
    <row r="14396">
      <c r="A14396" s="1">
        <v>5.0</v>
      </c>
      <c r="B14396" s="1" t="s">
        <v>14154</v>
      </c>
      <c r="C14396" t="str">
        <f>IFERROR(__xludf.DUMMYFUNCTION("GOOGLETRANSLATE(B14396, ""fr"", ""en"")"),"Quality extra driver training.")</f>
        <v>Quality extra driver training.</v>
      </c>
    </row>
    <row r="14397">
      <c r="A14397" s="1">
        <v>5.0</v>
      </c>
      <c r="B14397" s="1" t="s">
        <v>14155</v>
      </c>
      <c r="C14397" t="str">
        <f>IFERROR(__xludf.DUMMYFUNCTION("GOOGLETRANSLATE(B14397, ""fr"", ""en"")"),"I liked this great product smells like leather which is not unpleasant to me")</f>
        <v>I liked this great product smells like leather which is not unpleasant to me</v>
      </c>
    </row>
    <row r="14398">
      <c r="A14398" s="1">
        <v>5.0</v>
      </c>
      <c r="B14398" s="1" t="s">
        <v>14156</v>
      </c>
      <c r="C14398" t="str">
        <f>IFERROR(__xludf.DUMMYFUNCTION("GOOGLETRANSLATE(B14398, ""fr"", ""en"")"),"The true French Charentais handmade! The house Rondinaud Chablis specializes in charentaires slippers and other for generations, and everything is handmade, high quality guarantee. So you have no reason not to offer these wonders to your little feet! Espe"&amp;"cially with all the styles available you can find your look! Please note that the size is just right, if your feet tend to swell or are between sizes, choose the top")</f>
        <v>The true French Charentais handmade! The house Rondinaud Chablis specializes in charentaires slippers and other for generations, and everything is handmade, high quality guarantee. So you have no reason not to offer these wonders to your little feet! Especially with all the styles available you can find your look! Please note that the size is just right, if your feet tend to swell or are between sizes, choose the top</v>
      </c>
    </row>
    <row r="14399">
      <c r="A14399" s="1">
        <v>5.0</v>
      </c>
      <c r="B14399" s="1" t="s">
        <v>14157</v>
      </c>
      <c r="C14399" t="str">
        <f>IFERROR(__xludf.DUMMYFUNCTION("GOOGLETRANSLATE(B14399, ""fr"", ""en"")"),"Good oil to moisturize the skin. I highly recommend it. Hydrate well the skin, quickly absorbed and leaves no trace of fat. Very satisfied. I highly recommend this purchase, before, I used the oil, Argan.")</f>
        <v>Good oil to moisturize the skin. I highly recommend it. Hydrate well the skin, quickly absorbed and leaves no trace of fat. Very satisfied. I highly recommend this purchase, before, I used the oil, Argan.</v>
      </c>
    </row>
    <row r="14400">
      <c r="A14400" s="1">
        <v>5.0</v>
      </c>
      <c r="B14400" s="1" t="s">
        <v>14158</v>
      </c>
      <c r="C14400" t="str">
        <f>IFERROR(__xludf.DUMMYFUNCTION("GOOGLETRANSLATE(B14400, ""fr"", ""en"")"),"Impeccable very well. Comes with a day in advance. I find the teats 6+ deform more easily under the effect of sucking baby but handles well for 5 and a half months so great. Soft teat and quality. I'm surprised when I see some comments but good to see ove"&amp;"r time.")</f>
        <v>Impeccable very well. Comes with a day in advance. I find the teats 6+ deform more easily under the effect of sucking baby but handles well for 5 and a half months so great. Soft teat and quality. I'm surprised when I see some comments but good to see over time.</v>
      </c>
    </row>
    <row r="14401">
      <c r="A14401" s="1">
        <v>5.0</v>
      </c>
      <c r="B14401" s="1" t="s">
        <v>14159</v>
      </c>
      <c r="C14401" t="str">
        <f>IFERROR(__xludf.DUMMYFUNCTION("GOOGLETRANSLATE(B14401, ""fr"", ""en"")"),"Although well. Except the cover that I think should hold a little better.")</f>
        <v>Although well. Except the cover that I think should hold a little better.</v>
      </c>
    </row>
    <row r="14402">
      <c r="A14402" s="1">
        <v>5.0</v>
      </c>
      <c r="B14402" s="1" t="s">
        <v>14160</v>
      </c>
      <c r="C14402" t="str">
        <f>IFERROR(__xludf.DUMMYFUNCTION("GOOGLETRANSLATE(B14402, ""fr"", ""en"")"),"Ankle Bracelet Very pretty solid and can expensive")</f>
        <v>Ankle Bracelet Very pretty solid and can expensive</v>
      </c>
    </row>
    <row r="14403">
      <c r="A14403" s="1">
        <v>5.0</v>
      </c>
      <c r="B14403" s="1" t="s">
        <v>14161</v>
      </c>
      <c r="C14403" t="str">
        <f>IFERROR(__xludf.DUMMYFUNCTION("GOOGLETRANSLATE(B14403, ""fr"", ""en"")"),"Sock puma top of the top. I hadere completely, I recommend the same product. A little pricey for the amount of socks but very comfortable and pretty")</f>
        <v>Sock puma top of the top. I hadere completely, I recommend the same product. A little pricey for the amount of socks but very comfortable and pretty</v>
      </c>
    </row>
    <row r="14404">
      <c r="A14404" s="1">
        <v>5.0</v>
      </c>
      <c r="B14404" s="1" t="s">
        <v>14162</v>
      </c>
      <c r="C14404" t="str">
        <f>IFERROR(__xludf.DUMMYFUNCTION("GOOGLETRANSLATE(B14404, ""fr"", ""en"")"),"Very good product It's been several months since I got my massage table and I am No not at all disappointed. I've used the fifty times and it is still like new.")</f>
        <v>Very good product It's been several months since I got my massage table and I am No not at all disappointed. I've used the fifty times and it is still like new.</v>
      </c>
    </row>
    <row r="14405">
      <c r="A14405" s="1">
        <v>5.0</v>
      </c>
      <c r="B14405" s="1" t="s">
        <v>14163</v>
      </c>
      <c r="C14405" t="str">
        <f>IFERROR(__xludf.DUMMYFUNCTION("GOOGLETRANSLATE(B14405, ""fr"", ""en"")"),"Quality product No surprise with this technical clothing brand Odlo. Come to replace the one I use for over 10 years (need to change size). I can only recommend this product (preferably for one with a zip at the neck to regulate temperature).")</f>
        <v>Quality product No surprise with this technical clothing brand Odlo. Come to replace the one I use for over 10 years (need to change size). I can only recommend this product (preferably for one with a zip at the neck to regulate temperature).</v>
      </c>
    </row>
    <row r="14406">
      <c r="A14406" s="1">
        <v>5.0</v>
      </c>
      <c r="B14406" s="1" t="s">
        <v>14164</v>
      </c>
      <c r="C14406" t="str">
        <f>IFERROR(__xludf.DUMMYFUNCTION("GOOGLETRANSLATE(B14406, ""fr"", ""en"")"),"Too beautiful glass changes color depending on the angle beautiful blue color quality sublime figures")</f>
        <v>Too beautiful glass changes color depending on the angle beautiful blue color quality sublime figures</v>
      </c>
    </row>
    <row r="14407">
      <c r="A14407" s="1">
        <v>5.0</v>
      </c>
      <c r="B14407" s="1" t="s">
        <v>14165</v>
      </c>
      <c r="C14407" t="str">
        <f>IFERROR(__xludf.DUMMYFUNCTION("GOOGLETRANSLATE(B14407, ""fr"", ""en"")"),"Top that I can not stand the loops. I put them for family meals, and no itching. I recommend to see in time for quality. But otherwise the small case much pleasure :)")</f>
        <v>Top that I can not stand the loops. I put them for family meals, and no itching. I recommend to see in time for quality. But otherwise the small case much pleasure :)</v>
      </c>
    </row>
    <row r="14408">
      <c r="A14408" s="1">
        <v>5.0</v>
      </c>
      <c r="B14408" s="1" t="s">
        <v>14166</v>
      </c>
      <c r="C14408" t="str">
        <f>IFERROR(__xludf.DUMMYFUNCTION("GOOGLETRANSLATE(B14408, ""fr"", ""en"")"),"Top Cute and practical. Ball feel but the smell is not unpleasant (except for people living under glass with Harpic toilet like deodorant), so it feels flax ball, remove the small bag to put it in the microwave oven ( follow the instructions) and then bac"&amp;"k into his house, he exudes a very safe friendly heat for one hour. Ideal also for lower back pain (there is the shoulder view). A good product can offer.")</f>
        <v>Top Cute and practical. Ball feel but the smell is not unpleasant (except for people living under glass with Harpic toilet like deodorant), so it feels flax ball, remove the small bag to put it in the microwave oven ( follow the instructions) and then back into his house, he exudes a very safe friendly heat for one hour. Ideal also for lower back pain (there is the shoulder view). A good product can offer.</v>
      </c>
    </row>
    <row r="14409">
      <c r="A14409" s="1">
        <v>5.0</v>
      </c>
      <c r="B14409" s="1" t="s">
        <v>14167</v>
      </c>
      <c r="C14409" t="str">
        <f>IFERROR(__xludf.DUMMYFUNCTION("GOOGLETRANSLATE(B14409, ""fr"", ""en"")"),"Goes with everything! Very class is doing with any sports clothing, leggings, a little dress, jeans. The only negative for me is that if you walk to the widest attention to forcing bulbs to put a bandage whenever er not to make too long distance too. But "&amp;"this is personal. If I put all day!")</f>
        <v>Goes with everything! Very class is doing with any sports clothing, leggings, a little dress, jeans. The only negative for me is that if you walk to the widest attention to forcing bulbs to put a bandage whenever er not to make too long distance too. But this is personal. If I put all day!</v>
      </c>
    </row>
    <row r="14410">
      <c r="A14410" s="1">
        <v>5.0</v>
      </c>
      <c r="B14410" s="1" t="s">
        <v>14168</v>
      </c>
      <c r="C14410" t="str">
        <f>IFERROR(__xludf.DUMMYFUNCTION("GOOGLETRANSLATE(B14410, ""fr"", ""en"")"),"Good product Although it's expensive, it's great for shining shoes, it gives a beautiful shine and it feeds well leather")</f>
        <v>Good product Although it's expensive, it's great for shining shoes, it gives a beautiful shine and it feeds well leather</v>
      </c>
    </row>
    <row r="14411">
      <c r="A14411" s="1">
        <v>2.0</v>
      </c>
      <c r="B14411" s="1" t="s">
        <v>14169</v>
      </c>
      <c r="C14411" t="str">
        <f>IFERROR(__xludf.DUMMYFUNCTION("GOOGLETRANSLATE(B14411, ""fr"", ""en"")"),"Not suitable for driving product not suited to a vehicle. There are dangerous to install it on a seat. hyper-muscular massage that doing wrong more than anything! I return as early! Too bad")</f>
        <v>Not suitable for driving product not suited to a vehicle. There are dangerous to install it on a seat. hyper-muscular massage that doing wrong more than anything! I return as early! Too bad</v>
      </c>
    </row>
    <row r="14412">
      <c r="A14412" s="1">
        <v>1.0</v>
      </c>
      <c r="B14412" s="1" t="s">
        <v>14170</v>
      </c>
      <c r="C14412" t="str">
        <f>IFERROR(__xludf.DUMMYFUNCTION("GOOGLETRANSLATE(B14412, ""fr"", ""en"")"),"Distended After several washes, the tissue relaxes quickly because having no elasticity of the sock down to the heel and it is very unpleasant to the reassembled each time.")</f>
        <v>Distended After several washes, the tissue relaxes quickly because having no elasticity of the sock down to the heel and it is very unpleasant to the reassembled each time.</v>
      </c>
    </row>
    <row r="14413">
      <c r="A14413" s="1">
        <v>1.0</v>
      </c>
      <c r="B14413" s="1" t="s">
        <v>14171</v>
      </c>
      <c r="C14413" t="str">
        <f>IFERROR(__xludf.DUMMYFUNCTION("GOOGLETRANSLATE(B14413, ""fr"", ""en"")"),"damage obliged to return the does not match people with glaucoma, which is not my case so try can not give notice of")</f>
        <v>damage obliged to return the does not match people with glaucoma, which is not my case so try can not give notice of</v>
      </c>
    </row>
    <row r="14414">
      <c r="A14414" s="1">
        <v>3.0</v>
      </c>
      <c r="B14414" s="1" t="s">
        <v>14172</v>
      </c>
      <c r="C14414" t="str">
        <f>IFERROR(__xludf.DUMMYFUNCTION("GOOGLETRANSLATE(B14414, ""fr"", ""en"")"),"Correct Some nice little care for the summer")</f>
        <v>Correct Some nice little care for the summer</v>
      </c>
    </row>
    <row r="14415">
      <c r="A14415" s="1">
        <v>4.0</v>
      </c>
      <c r="B14415" s="1" t="s">
        <v>14173</v>
      </c>
      <c r="C14415" t="str">
        <f>IFERROR(__xludf.DUMMYFUNCTION("GOOGLETRANSLATE(B14415, ""fr"", ""en"")"),"Good value Pleasantly surprised sound quality for that price. Very good value for money. Only drawback, the time a little long delivery especially when you can not enjoy his music in public transport and we just want them to receive faster ...")</f>
        <v>Good value Pleasantly surprised sound quality for that price. Very good value for money. Only drawback, the time a little long delivery especially when you can not enjoy his music in public transport and we just want them to receive faster ...</v>
      </c>
    </row>
    <row r="14416">
      <c r="A14416" s="1">
        <v>4.0</v>
      </c>
      <c r="B14416" s="1" t="s">
        <v>14174</v>
      </c>
      <c r="C14416" t="str">
        <f>IFERROR(__xludf.DUMMYFUNCTION("GOOGLETRANSLATE(B14416, ""fr"", ""en"")"),"Vraiiment bie A must when baby arrives. Really good. The only problem, this is the height. Certe, sterilization is no longer recommended today but when my son is sick, I like his sterilize teats and bottles once it is no longer a cold but inevitably the 3"&amp;"30 ml bottles will not fit. This is not the only model. The 330 ml not fit into any sterilizer. ..")</f>
        <v>Vraiiment bie A must when baby arrives. Really good. The only problem, this is the height. Certe, sterilization is no longer recommended today but when my son is sick, I like his sterilize teats and bottles once it is no longer a cold but inevitably the 330 ml bottles will not fit. This is not the only model. The 330 ml not fit into any sterilizer. ..</v>
      </c>
    </row>
    <row r="14417">
      <c r="A14417" s="1">
        <v>4.0</v>
      </c>
      <c r="B14417" s="1" t="s">
        <v>14175</v>
      </c>
      <c r="C14417" t="str">
        <f>IFERROR(__xludf.DUMMYFUNCTION("GOOGLETRANSLATE(B14417, ""fr"", ""en"")"),"Listen correct but not possible voice recording. To listen to music or other media (radio), that's okay. By cons I do not use the microphone of the headset to record a voice message while I get with wired headsets which are also equipped with a microphone"&amp;". I have not yet had the opportunity to use the headset to a phone call.")</f>
        <v>Listen correct but not possible voice recording. To listen to music or other media (radio), that's okay. By cons I do not use the microphone of the headset to record a voice message while I get with wired headsets which are also equipped with a microphone. I have not yet had the opportunity to use the headset to a phone call.</v>
      </c>
    </row>
    <row r="14418">
      <c r="A14418" s="1">
        <v>4.0</v>
      </c>
      <c r="B14418" s="1" t="s">
        <v>14176</v>
      </c>
      <c r="C14418" t="str">
        <f>IFERROR(__xludf.DUMMYFUNCTION("GOOGLETRANSLATE(B14418, ""fr"", ""en"")"),"sober sober but shows no aesthetic concern until now despite several passing underwater. the price is perfect small flat needles are not phosphorescent.")</f>
        <v>sober sober but shows no aesthetic concern until now despite several passing underwater. the price is perfect small flat needles are not phosphorescent.</v>
      </c>
    </row>
    <row r="14419">
      <c r="A14419" s="1">
        <v>5.0</v>
      </c>
      <c r="B14419" s="1" t="s">
        <v>14177</v>
      </c>
      <c r="C14419" t="str">
        <f>IFERROR(__xludf.DUMMYFUNCTION("GOOGLETRANSLATE(B14419, ""fr"", ""en"")"),"Very good very good value for money. Easy connection, very good performance load.")</f>
        <v>Very good very good value for money. Easy connection, very good performance load.</v>
      </c>
    </row>
    <row r="14420">
      <c r="A14420" s="1">
        <v>5.0</v>
      </c>
      <c r="B14420" s="1" t="s">
        <v>14178</v>
      </c>
      <c r="C14420" t="str">
        <f>IFERROR(__xludf.DUMMYFUNCTION("GOOGLETRANSLATE(B14420, ""fr"", ""en"")"),"Okay Gifts birthday child 8 years. He adores. Perfect to discover the organs and bones. Roof discards. It opens and you can take out the bones and organs. And everything into place.La material bodies is super c is soft. And with a nice book. Thank you for"&amp;" the little lovers of discovery.")</f>
        <v>Okay Gifts birthday child 8 years. He adores. Perfect to discover the organs and bones. Roof discards. It opens and you can take out the bones and organs. And everything into place.La material bodies is super c is soft. And with a nice book. Thank you for the little lovers of discovery.</v>
      </c>
    </row>
    <row r="14421">
      <c r="A14421" s="1">
        <v>5.0</v>
      </c>
      <c r="B14421" s="1" t="s">
        <v>14179</v>
      </c>
      <c r="C14421" t="str">
        <f>IFERROR(__xludf.DUMMYFUNCTION("GOOGLETRANSLATE(B14421, ""fr"", ""en"")"),"Solid practical and beautiful design it has everything! practical and timeless, compartments large enough to accommodate the necessary papers etc. I recommend")</f>
        <v>Solid practical and beautiful design it has everything! practical and timeless, compartments large enough to accommodate the necessary papers etc. I recommend</v>
      </c>
    </row>
    <row r="14422">
      <c r="A14422" s="1">
        <v>5.0</v>
      </c>
      <c r="B14422" s="1" t="s">
        <v>14180</v>
      </c>
      <c r="C14422" t="str">
        <f>IFERROR(__xludf.DUMMYFUNCTION("GOOGLETRANSLATE(B14422, ""fr"", ""en"")"),"Watch to the original, arrived in a nice box, very beautiful gift that appealed enormously shows very beautiful and original")</f>
        <v>Watch to the original, arrived in a nice box, very beautiful gift that appealed enormously shows very beautiful and original</v>
      </c>
    </row>
    <row r="14423">
      <c r="A14423" s="1">
        <v>5.0</v>
      </c>
      <c r="B14423" s="1" t="s">
        <v>14181</v>
      </c>
      <c r="C14423" t="str">
        <f>IFERROR(__xludf.DUMMYFUNCTION("GOOGLETRANSLATE(B14423, ""fr"", ""en"")"),"Perfect. Perfect in every way. Tested and approved by a large stress. I highly recommend.")</f>
        <v>Perfect. Perfect in every way. Tested and approved by a large stress. I highly recommend.</v>
      </c>
    </row>
    <row r="14424">
      <c r="A14424" s="1">
        <v>5.0</v>
      </c>
      <c r="B14424" s="1" t="s">
        <v>14182</v>
      </c>
      <c r="C14424" t="str">
        <f>IFERROR(__xludf.DUMMYFUNCTION("GOOGLETRANSLATE(B14424, ""fr"", ""en"")"),"To feet rather large, comfortable, very soft Very nice, very soft colors, adapted well to the shape of my feet comfortable I am excited about my slippers!")</f>
        <v>To feet rather large, comfortable, very soft Very nice, very soft colors, adapted well to the shape of my feet comfortable I am excited about my slippers!</v>
      </c>
    </row>
    <row r="14425">
      <c r="A14425" s="1">
        <v>5.0</v>
      </c>
      <c r="B14425" s="1" t="s">
        <v>14183</v>
      </c>
      <c r="C14425" t="str">
        <f>IFERROR(__xludf.DUMMYFUNCTION("GOOGLETRANSLATE(B14425, ""fr"", ""en"")"),"Delighted! Bracelet seems quality, beads are beautiful and you feel they are doing some weight! Sending in a velvet pouch, all in a small jewelry box with a pearl and the spare wire. See resistance in time, if it is not too fragile for I intend to put eve"&amp;"ry day.")</f>
        <v>Delighted! Bracelet seems quality, beads are beautiful and you feel they are doing some weight! Sending in a velvet pouch, all in a small jewelry box with a pearl and the spare wire. See resistance in time, if it is not too fragile for I intend to put every day.</v>
      </c>
    </row>
    <row r="14426">
      <c r="A14426" s="1">
        <v>5.0</v>
      </c>
      <c r="B14426" s="1" t="s">
        <v>14184</v>
      </c>
      <c r="C14426" t="str">
        <f>IFERROR(__xludf.DUMMYFUNCTION("GOOGLETRANSLATE(B14426, ""fr"", ""en"")"),"Super super quality shoes Christmas Gift")</f>
        <v>Super super quality shoes Christmas Gift</v>
      </c>
    </row>
    <row r="14427">
      <c r="A14427" s="1">
        <v>5.0</v>
      </c>
      <c r="B14427" s="1" t="s">
        <v>14185</v>
      </c>
      <c r="C14427" t="str">
        <f>IFERROR(__xludf.DUMMYFUNCTION("GOOGLETRANSLATE(B14427, ""fr"", ""en"")"),"Unbeatable value for money Size good, very comfortable shoes. Waterproof, strong, not too heavy walking. Purchased to keep my ankle, they saved her up several times. The Solomon quality is by appointment.")</f>
        <v>Unbeatable value for money Size good, very comfortable shoes. Waterproof, strong, not too heavy walking. Purchased to keep my ankle, they saved her up several times. The Solomon quality is by appointment.</v>
      </c>
    </row>
    <row r="14428">
      <c r="A14428" s="1">
        <v>5.0</v>
      </c>
      <c r="B14428" s="1" t="s">
        <v>14186</v>
      </c>
      <c r="C14428" t="str">
        <f>IFERROR(__xludf.DUMMYFUNCTION("GOOGLETRANSLATE(B14428, ""fr"", ""en"")"),"quality product for my son, what I liked the look, the vintage side, the quality of leather.")</f>
        <v>quality product for my son, what I liked the look, the vintage side, the quality of leather.</v>
      </c>
    </row>
    <row r="14429">
      <c r="A14429" s="1">
        <v>5.0</v>
      </c>
      <c r="B14429" s="1" t="s">
        <v>14187</v>
      </c>
      <c r="C14429" t="str">
        <f>IFERROR(__xludf.DUMMYFUNCTION("GOOGLETRANSLATE(B14429, ""fr"", ""en"")"),"Karaoke microphone Offered a girl of 6 years ... This was happiness")</f>
        <v>Karaoke microphone Offered a girl of 6 years ... This was happiness</v>
      </c>
    </row>
    <row r="14430">
      <c r="A14430" s="1">
        <v>5.0</v>
      </c>
      <c r="B14430" s="1" t="s">
        <v>14188</v>
      </c>
      <c r="C14430" t="str">
        <f>IFERROR(__xludf.DUMMYFUNCTION("GOOGLETRANSLATE(B14430, ""fr"", ""en"")"),"very good value for money my husband was looking for safety shoes but prices are very high in stores. We thought of Amazon, and is very pleased with his choice. very good quality and convenience for an attractive price .. a delay of a day .. what is not i"&amp;"mportant, but what I want to stress; c is that we have been warned. The delivery man was very friendly and professional.")</f>
        <v>very good value for money my husband was looking for safety shoes but prices are very high in stores. We thought of Amazon, and is very pleased with his choice. very good quality and convenience for an attractive price .. a delay of a day .. what is not important, but what I want to stress; c is that we have been warned. The delivery man was very friendly and professional.</v>
      </c>
    </row>
    <row r="14431">
      <c r="A14431" s="1">
        <v>5.0</v>
      </c>
      <c r="B14431" s="1" t="s">
        <v>14189</v>
      </c>
      <c r="C14431" t="str">
        <f>IFERROR(__xludf.DUMMYFUNCTION("GOOGLETRANSLATE(B14431, ""fr"", ""en"")"),"Nice but the instructions are very basic Pairing is not always easy when the pods are not synchronized must get them out of the box, they will be automatically turned on, and press simultaneously on their two buttons up that they go out (keep a close near"&amp;"ly 5/6 seconds), then release and re-press and hold for 6-7 seconds until the two lights flash the same color (blue / red very fast) after the phone recognizes as one unit and not two.")</f>
        <v>Nice but the instructions are very basic Pairing is not always easy when the pods are not synchronized must get them out of the box, they will be automatically turned on, and press simultaneously on their two buttons up that they go out (keep a close nearly 5/6 seconds), then release and re-press and hold for 6-7 seconds until the two lights flash the same color (blue / red very fast) after the phone recognizes as one unit and not two.</v>
      </c>
    </row>
    <row r="14432">
      <c r="A14432" s="1">
        <v>5.0</v>
      </c>
      <c r="B14432" s="1" t="s">
        <v>14190</v>
      </c>
      <c r="C14432" t="str">
        <f>IFERROR(__xludf.DUMMYFUNCTION("GOOGLETRANSLATE(B14432, ""fr"", ""en"")"),"Earrings goldfish Génial..trop marrant..j'adore ..")</f>
        <v>Earrings goldfish Génial..trop marrant..j'adore ..</v>
      </c>
    </row>
    <row r="14433">
      <c r="A14433" s="1">
        <v>5.0</v>
      </c>
      <c r="B14433" s="1" t="s">
        <v>14191</v>
      </c>
      <c r="C14433" t="str">
        <f>IFERROR(__xludf.DUMMYFUNCTION("GOOGLETRANSLATE(B14433, ""fr"", ""en"")"),"Fast delivery and good product! Good product, seems to be resistant, very easy to put up with the tool included, arrived in good time. Well recommended!")</f>
        <v>Fast delivery and good product! Good product, seems to be resistant, very easy to put up with the tool included, arrived in good time. Well recommended!</v>
      </c>
    </row>
    <row r="14434">
      <c r="A14434" s="1">
        <v>2.0</v>
      </c>
      <c r="B14434" s="1" t="s">
        <v>14192</v>
      </c>
      <c r="C14434" t="str">
        <f>IFERROR(__xludf.DUMMYFUNCTION("GOOGLETRANSLATE(B14434, ""fr"", ""en"")"),"Disappointed! I met a trouble with my coffee purchased in July. It suddenly stopped working while she is in very good external condition. The start / stop button no longer seems to work. After a few months of use (infrequently moreover) it seems rather un"&amp;"usual. I'm disapointed. I contacted the seller who referred me to Amazon (while the kettle is supposed to be guaranteed for 2 years). However, unable to contact Amazon ... I ended up with a kettle that no longer works, and no way to do exchange / refund ."&amp;"..")</f>
        <v>Disappointed! I met a trouble with my coffee purchased in July. It suddenly stopped working while she is in very good external condition. The start / stop button no longer seems to work. After a few months of use (infrequently moreover) it seems rather unusual. I'm disapointed. I contacted the seller who referred me to Amazon (while the kettle is supposed to be guaranteed for 2 years). However, unable to contact Amazon ... I ended up with a kettle that no longer works, and no way to do exchange / refund ...</v>
      </c>
    </row>
    <row r="14435">
      <c r="A14435" s="1">
        <v>1.0</v>
      </c>
      <c r="B14435" s="1" t="s">
        <v>14193</v>
      </c>
      <c r="C14435" t="str">
        <f>IFERROR(__xludf.DUMMYFUNCTION("GOOGLETRANSLATE(B14435, ""fr"", ""en"")"),"To flee ! After many positive reviews I decided to buy your ink cartridges ... or attractive prices but .... It cost me my printer! Your cartridges have screwed up my printer, ink black everywhere ... So advice, buy the brand cartridges of your printer if"&amp;" it is not your printers you screwed up. I am disgusted to have purchased from you.")</f>
        <v>To flee ! After many positive reviews I decided to buy your ink cartridges ... or attractive prices but .... It cost me my printer! Your cartridges have screwed up my printer, ink black everywhere ... So advice, buy the brand cartridges of your printer if it is not your printers you screwed up. I am disgusted to have purchased from you.</v>
      </c>
    </row>
    <row r="14436">
      <c r="A14436" s="1">
        <v>3.0</v>
      </c>
      <c r="B14436" s="1" t="s">
        <v>14194</v>
      </c>
      <c r="C14436" t="str">
        <f>IFERROR(__xludf.DUMMYFUNCTION("GOOGLETRANSLATE(B14436, ""fr"", ""en"")"),"Attention to size. Nothing special to say except that I ordered to see anything that does not suit me and this is my cousin who suddenly.")</f>
        <v>Attention to size. Nothing special to say except that I ordered to see anything that does not suit me and this is my cousin who suddenly.</v>
      </c>
    </row>
    <row r="14437">
      <c r="A14437" s="1">
        <v>3.0</v>
      </c>
      <c r="B14437" s="1" t="s">
        <v>14195</v>
      </c>
      <c r="C14437" t="str">
        <f>IFERROR(__xludf.DUMMYFUNCTION("GOOGLETRANSLATE(B14437, ""fr"", ""en"")"),"No lesser quality thick enough. Tears easily which is very annoying and dirty")</f>
        <v>No lesser quality thick enough. Tears easily which is very annoying and dirty</v>
      </c>
    </row>
    <row r="14438">
      <c r="A14438" s="1">
        <v>4.0</v>
      </c>
      <c r="B14438" s="1" t="s">
        <v>14196</v>
      </c>
      <c r="C14438" t="str">
        <f>IFERROR(__xludf.DUMMYFUNCTION("GOOGLETRANSLATE(B14438, ""fr"", ""en"")"),"My most ""work &amp; nbsp; colors ""&amp; nbsp; Product corresponds with my work educator interactive jobs reproductive colors as the original. I advise to use HP brand cartridges For optimum.")</f>
        <v>My most "work &amp; nbsp; colors "&amp; nbsp; Product corresponds with my work educator interactive jobs reproductive colors as the original. I advise to use HP brand cartridges For optimum.</v>
      </c>
    </row>
    <row r="14439">
      <c r="A14439" s="1">
        <v>4.0</v>
      </c>
      <c r="B14439" s="1" t="s">
        <v>14197</v>
      </c>
      <c r="C14439" t="str">
        <f>IFERROR(__xludf.DUMMYFUNCTION("GOOGLETRANSLATE(B14439, ""fr"", ""en"")"),"curious but effective system is rather curious because it is small pellets ... but it also proves quite effective if I believe the first washing. The scent is very ""classic"" and some chemical, but there is an idea to develop. Anyway, it brings me a real"&amp;" ... more")</f>
        <v>curious but effective system is rather curious because it is small pellets ... but it also proves quite effective if I believe the first washing. The scent is very "classic" and some chemical, but there is an idea to develop. Anyway, it brings me a real ... more</v>
      </c>
    </row>
    <row r="14440">
      <c r="A14440" s="1">
        <v>4.0</v>
      </c>
      <c r="B14440" s="1" t="s">
        <v>14198</v>
      </c>
      <c r="C14440" t="str">
        <f>IFERROR(__xludf.DUMMYFUNCTION("GOOGLETRANSLATE(B14440, ""fr"", ""en"")"),"Happy. Okay, heats well and long on only catch a pop horn smell")</f>
        <v>Happy. Okay, heats well and long on only catch a pop horn smell</v>
      </c>
    </row>
    <row r="14441">
      <c r="A14441" s="1">
        <v>4.0</v>
      </c>
      <c r="B14441" s="1" t="s">
        <v>14199</v>
      </c>
      <c r="C14441" t="str">
        <f>IFERROR(__xludf.DUMMYFUNCTION("GOOGLETRANSLATE(B14441, ""fr"", ""en"")"),"good quality bags with beautiful rendering")</f>
        <v>good quality bags with beautiful rendering</v>
      </c>
    </row>
    <row r="14442">
      <c r="A14442" s="1">
        <v>5.0</v>
      </c>
      <c r="B14442" s="1" t="s">
        <v>14200</v>
      </c>
      <c r="C14442" t="str">
        <f>IFERROR(__xludf.DUMMYFUNCTION("GOOGLETRANSLATE(B14442, ""fr"", ""en"")"),"Converse still converse shoes burgundy color that I just received. I have received in advance of the estimated date and from britain. The shoes carve some great can be, I took the 39EU my normal size and I almost half size too. Nevertheless attention to f"&amp;"eet swell as the ""height"" is the converse and no greater although it may vary slightly with the laces. I'm satisfied for now, I can not say anything about the long term. Parcel arrived against signing by DHL (it was not clear when I placed the order).")</f>
        <v>Converse still converse shoes burgundy color that I just received. I have received in advance of the estimated date and from britain. The shoes carve some great can be, I took the 39EU my normal size and I almost half size too. Nevertheless attention to feet swell as the "height" is the converse and no greater although it may vary slightly with the laces. I'm satisfied for now, I can not say anything about the long term. Parcel arrived against signing by DHL (it was not clear when I placed the order).</v>
      </c>
    </row>
    <row r="14443">
      <c r="A14443" s="1">
        <v>5.0</v>
      </c>
      <c r="B14443" s="1" t="s">
        <v>14201</v>
      </c>
      <c r="C14443" t="str">
        <f>IFERROR(__xludf.DUMMYFUNCTION("GOOGLETRANSLATE(B14443, ""fr"", ""en"")"),"Although comfortable Bought for my 10 year old son. She is delighted, she is also very comfortable, good quality finishes. The only small - I find these book without the box.")</f>
        <v>Although comfortable Bought for my 10 year old son. She is delighted, she is also very comfortable, good quality finishes. The only small - I find these book without the box.</v>
      </c>
    </row>
    <row r="14444">
      <c r="A14444" s="1">
        <v>5.0</v>
      </c>
      <c r="B14444" s="1" t="s">
        <v>14202</v>
      </c>
      <c r="C14444" t="str">
        <f>IFERROR(__xludf.DUMMYFUNCTION("GOOGLETRANSLATE(B14444, ""fr"", ""en"")"),"Very nice sweater awful frightfully beautiful sweater which helped win the support of the ugliest sweater at Christmas!")</f>
        <v>Very nice sweater awful frightfully beautiful sweater which helped win the support of the ugliest sweater at Christmas!</v>
      </c>
    </row>
    <row r="14445">
      <c r="A14445" s="1">
        <v>5.0</v>
      </c>
      <c r="B14445" s="1" t="s">
        <v>14203</v>
      </c>
      <c r="C14445" t="str">
        <f>IFERROR(__xludf.DUMMYFUNCTION("GOOGLETRANSLATE(B14445, ""fr"", ""en"")"),"Perfect product, delivery and packaging. Impeccable!")</f>
        <v>Perfect product, delivery and packaging. Impeccable!</v>
      </c>
    </row>
    <row r="14446">
      <c r="A14446" s="1">
        <v>5.0</v>
      </c>
      <c r="B14446" s="1" t="s">
        <v>14204</v>
      </c>
      <c r="C14446" t="str">
        <f>IFERROR(__xludf.DUMMYFUNCTION("GOOGLETRANSLATE(B14446, ""fr"", ""en"")"),"Great product I was looking for a headset of this type to listen to music and watch TV at night without disturbing sleeping children. I'm really pleased sound with bass as it should. We're really isolated when worn. It is easily adjusted and does not inte"&amp;"rfere at all in the long term. Moreover, its case is really handy when not in use, it is safe. Recommend this product without problem")</f>
        <v>Great product I was looking for a headset of this type to listen to music and watch TV at night without disturbing sleeping children. I'm really pleased sound with bass as it should. We're really isolated when worn. It is easily adjusted and does not interfere at all in the long term. Moreover, its case is really handy when not in use, it is safe. Recommend this product without problem</v>
      </c>
    </row>
    <row r="14447">
      <c r="A14447" s="1">
        <v>5.0</v>
      </c>
      <c r="B14447" s="1" t="s">
        <v>14205</v>
      </c>
      <c r="C14447" t="str">
        <f>IFERROR(__xludf.DUMMYFUNCTION("GOOGLETRANSLATE(B14447, ""fr"", ""en"")"),"Practical and beautiful I take her everywhere when I travel with baby, I can put a bib, two small pots, milk doses and a block of ice, everything is fresh, it's perfect. And she is very beautiful!")</f>
        <v>Practical and beautiful I take her everywhere when I travel with baby, I can put a bib, two small pots, milk doses and a block of ice, everything is fresh, it's perfect. And she is very beautiful!</v>
      </c>
    </row>
    <row r="14448">
      <c r="A14448" s="1">
        <v>5.0</v>
      </c>
      <c r="B14448" s="1" t="s">
        <v>14206</v>
      </c>
      <c r="C14448" t="str">
        <f>IFERROR(__xludf.DUMMYFUNCTION("GOOGLETRANSLATE(B14448, ""fr"", ""en"")"),"Well Received certainly late but received mostly A seller who answers it is scarce just fine when the product is very consistent with the description I am quite satisfied")</f>
        <v>Well Received certainly late but received mostly A seller who answers it is scarce just fine when the product is very consistent with the description I am quite satisfied</v>
      </c>
    </row>
    <row r="14449">
      <c r="A14449" s="1">
        <v>5.0</v>
      </c>
      <c r="B14449" s="1" t="s">
        <v>14207</v>
      </c>
      <c r="C14449" t="str">
        <f>IFERROR(__xludf.DUMMYFUNCTION("GOOGLETRANSLATE(B14449, ""fr"", ""en"")"),"very good turn metering boxes Finally, a tower equipped with 4 pots transparent and not opaque like other brands. € 6.90 Bought a very decent rate. They can contain more than 18 teaspoons of 30 ml of milk powder each. So large capacity enough, we can do 4"&amp;" bottles of 330ml. Tower equipped with spout, so easy to use, but fragile at the leg which holds this plug, it will be seen over time. They fit together into each other and closed by screw effect.")</f>
        <v>very good turn metering boxes Finally, a tower equipped with 4 pots transparent and not opaque like other brands. € 6.90 Bought a very decent rate. They can contain more than 18 teaspoons of 30 ml of milk powder each. So large capacity enough, we can do 4 bottles of 330ml. Tower equipped with spout, so easy to use, but fragile at the leg which holds this plug, it will be seen over time. They fit together into each other and closed by screw effect.</v>
      </c>
    </row>
    <row r="14450">
      <c r="A14450" s="1">
        <v>5.0</v>
      </c>
      <c r="B14450" s="1" t="s">
        <v>14208</v>
      </c>
      <c r="C14450" t="str">
        <f>IFERROR(__xludf.DUMMYFUNCTION("GOOGLETRANSLATE(B14450, ""fr"", ""en"")"),"good laundry, I recommend I confess to being quite surprised by the use of the laundry. I favor the washing powder because usually I'm allergic reactions to liquid detergents. After full use charging, I did not notice itching or redness plates. At the odo"&amp;"r, it is fresh and it is rather pleasant. The machine seems to wash properly. I love the packaging and the fact that it takes months instead of a can. It is highly likely that I bought.")</f>
        <v>good laundry, I recommend I confess to being quite surprised by the use of the laundry. I favor the washing powder because usually I'm allergic reactions to liquid detergents. After full use charging, I did not notice itching or redness plates. At the odor, it is fresh and it is rather pleasant. The machine seems to wash properly. I love the packaging and the fact that it takes months instead of a can. It is highly likely that I bought.</v>
      </c>
    </row>
    <row r="14451">
      <c r="A14451" s="1">
        <v>5.0</v>
      </c>
      <c r="B14451" s="1" t="s">
        <v>14209</v>
      </c>
      <c r="C14451" t="str">
        <f>IFERROR(__xludf.DUMMYFUNCTION("GOOGLETRANSLATE(B14451, ""fr"", ""en"")"),"Good product before I bought original cartridges, since I discovered this JIMIGO brand, I am very satisfied with the longevity and quality, when I change my printer cartridge does not recognize this model, I still a bit, and everything is in order. it's t"&amp;"he second time I order this brand.")</f>
        <v>Good product before I bought original cartridges, since I discovered this JIMIGO brand, I am very satisfied with the longevity and quality, when I change my printer cartridge does not recognize this model, I still a bit, and everything is in order. it's the second time I order this brand.</v>
      </c>
    </row>
    <row r="14452">
      <c r="A14452" s="1">
        <v>5.0</v>
      </c>
      <c r="B14452" s="1" t="s">
        <v>14210</v>
      </c>
      <c r="C14452" t="str">
        <f>IFERROR(__xludf.DUMMYFUNCTION("GOOGLETRANSLATE(B14452, ""fr"", ""en"")"),"Adapting milk + thick thick My son take the milk over age 1 to better digest and avoid colic, these nipples are perfect because they let in the milk without having to open it.")</f>
        <v>Adapting milk + thick thick My son take the milk over age 1 to better digest and avoid colic, these nipples are perfect because they let in the milk without having to open it.</v>
      </c>
    </row>
    <row r="14453">
      <c r="A14453" s="1">
        <v>5.0</v>
      </c>
      <c r="B14453" s="1" t="s">
        <v>14211</v>
      </c>
      <c r="C14453" t="str">
        <f>IFERROR(__xludf.DUMMYFUNCTION("GOOGLETRANSLATE(B14453, ""fr"", ""en"")"),"I just love it !! I love, I wear it all day, every day and keeps it right. Just the straps a bit too much but otherwise nickel !!")</f>
        <v>I just love it !! I love, I wear it all day, every day and keeps it right. Just the straps a bit too much but otherwise nickel !!</v>
      </c>
    </row>
    <row r="14454">
      <c r="A14454" s="1">
        <v>5.0</v>
      </c>
      <c r="B14454" s="1" t="s">
        <v>14212</v>
      </c>
      <c r="C14454" t="str">
        <f>IFERROR(__xludf.DUMMYFUNCTION("GOOGLETRANSLATE(B14454, ""fr"", ""en"")"),"1 Size nice little small for xl 1. I'd say it's 42/44 1. I love the color the same as the photo. I put my cell phone in the pocket.")</f>
        <v>1 Size nice little small for xl 1. I'd say it's 42/44 1. I love the color the same as the photo. I put my cell phone in the pocket.</v>
      </c>
    </row>
    <row r="14455">
      <c r="A14455" s="1">
        <v>5.0</v>
      </c>
      <c r="B14455" s="1" t="s">
        <v>14213</v>
      </c>
      <c r="C14455" t="str">
        <f>IFERROR(__xludf.DUMMYFUNCTION("GOOGLETRANSLATE(B14455, ""fr"", ""en"")"),"Super super product that leaves skin perfectly smooth and soft. Having a very dry skin is the first product I'm satisfied.")</f>
        <v>Super super product that leaves skin perfectly smooth and soft. Having a very dry skin is the first product I'm satisfied.</v>
      </c>
    </row>
    <row r="14456">
      <c r="A14456" s="1">
        <v>5.0</v>
      </c>
      <c r="B14456" s="1" t="s">
        <v>14214</v>
      </c>
      <c r="C14456" t="str">
        <f>IFERROR(__xludf.DUMMYFUNCTION("GOOGLETRANSLATE(B14456, ""fr"", ""en"")"),"This wellbeing massage pillow is very comfortable. After a day of work, I went home to lie down on the pillow and open the switch, which gave me a wonderful feeling, which allowed me to eliminate fatigue of the day. I found that this pillow not only massa"&amp;"ging the neck, but other body parts such as thighs, arms, etc.")</f>
        <v>This wellbeing massage pillow is very comfortable. After a day of work, I went home to lie down on the pillow and open the switch, which gave me a wonderful feeling, which allowed me to eliminate fatigue of the day. I found that this pillow not only massaging the neck, but other body parts such as thighs, arms, etc.</v>
      </c>
    </row>
    <row r="14457">
      <c r="A14457" s="1">
        <v>2.0</v>
      </c>
      <c r="B14457" s="1" t="s">
        <v>14215</v>
      </c>
      <c r="C14457" t="str">
        <f>IFERROR(__xludf.DUMMYFUNCTION("GOOGLETRANSLATE(B14457, ""fr"", ""en"")"),"Poor Very fine, do not deserve to bear the name of Nike!")</f>
        <v>Poor Very fine, do not deserve to bear the name of Nike!</v>
      </c>
    </row>
    <row r="14458">
      <c r="A14458" s="1">
        <v>1.0</v>
      </c>
      <c r="B14458" s="1" t="s">
        <v>14216</v>
      </c>
      <c r="C14458" t="str">
        <f>IFERROR(__xludf.DUMMYFUNCTION("GOOGLETRANSLATE(B14458, ""fr"", ""en"")"),"Really good !!! ...... but ... but ... but 5 stars for beautiful watch in a beautiful box. Quality / price !!! Back after a few weeks of use: - 4 stars because it does not work properly despite the battery replacement in jewelry !!! The second hand works "&amp;"and stops without explanation and lap times dials are in the cabbage !!!!")</f>
        <v>Really good !!! ...... but ... but ... but 5 stars for beautiful watch in a beautiful box. Quality / price !!! Back after a few weeks of use: - 4 stars because it does not work properly despite the battery replacement in jewelry !!! The second hand works and stops without explanation and lap times dials are in the cabbage !!!!</v>
      </c>
    </row>
    <row r="14459">
      <c r="A14459" s="1">
        <v>1.0</v>
      </c>
      <c r="B14459" s="1" t="s">
        <v>14217</v>
      </c>
      <c r="C14459" t="str">
        <f>IFERROR(__xludf.DUMMYFUNCTION("GOOGLETRANSLATE(B14459, ""fr"", ""en"")"),"Omg Poor quality")</f>
        <v>Omg Poor quality</v>
      </c>
    </row>
    <row r="14460">
      <c r="A14460" s="1">
        <v>3.0</v>
      </c>
      <c r="B14460" s="1" t="s">
        <v>14218</v>
      </c>
      <c r="C14460" t="str">
        <f>IFERROR(__xludf.DUMMYFUNCTION("GOOGLETRANSLATE(B14460, ""fr"", ""en"")"),"Bad As a comment pointed out, the passage of the head and arms is quite complicated, the sweater is not the stretch or flexible all. The pass inside not used much and is quite unsightly. Color is Bcp more flashy and tends to turquoise. A little disappoint"&amp;"ed with the product.")</f>
        <v>Bad As a comment pointed out, the passage of the head and arms is quite complicated, the sweater is not the stretch or flexible all. The pass inside not used much and is quite unsightly. Color is Bcp more flashy and tends to turquoise. A little disappointed with the product.</v>
      </c>
    </row>
    <row r="14461">
      <c r="A14461" s="1">
        <v>3.0</v>
      </c>
      <c r="B14461" s="1" t="s">
        <v>14219</v>
      </c>
      <c r="C14461" t="str">
        <f>IFERROR(__xludf.DUMMYFUNCTION("GOOGLETRANSLATE(B14461, ""fr"", ""en"")"),"Not bad for the price! a little rough and steep 😩 massage. But as I use it in my bed, perhaps relies too much on it! ... I'll try on a chair. But at least for the neck and neck, it's really nice because in addition it heats. Often I fall asleep 😴😴😴")</f>
        <v>Not bad for the price! a little rough and steep 😩 massage. But as I use it in my bed, perhaps relies too much on it! ... I'll try on a chair. But at least for the neck and neck, it's really nice because in addition it heats. Often I fall asleep 😴😴😴</v>
      </c>
    </row>
    <row r="14462">
      <c r="A14462" s="1">
        <v>4.0</v>
      </c>
      <c r="B14462" s="1" t="s">
        <v>14220</v>
      </c>
      <c r="C14462" t="str">
        <f>IFERROR(__xludf.DUMMYFUNCTION("GOOGLETRANSLATE(B14462, ""fr"", ""en"")"),"More responsible choice than other leading brands The lot is economical, tissues are soft and durable as advertised. They are certified to contain 100% virgin fibers from ""sources responsible"" (logo FSC). The packet format is standard (not the mini size"&amp;"). They are grayish color due to their raw material and -appears you il- no whitening chemical treatment. In short, not bad at all.")</f>
        <v>More responsible choice than other leading brands The lot is economical, tissues are soft and durable as advertised. They are certified to contain 100% virgin fibers from "sources responsible" (logo FSC). The packet format is standard (not the mini size). They are grayish color due to their raw material and -appears you il- no whitening chemical treatment. In short, not bad at all.</v>
      </c>
    </row>
    <row r="14463">
      <c r="A14463" s="1">
        <v>4.0</v>
      </c>
      <c r="B14463" s="1" t="s">
        <v>14221</v>
      </c>
      <c r="C14463" t="str">
        <f>IFERROR(__xludf.DUMMYFUNCTION("GOOGLETRANSLATE(B14463, ""fr"", ""en"")"),"Just wow loved and delivery on time")</f>
        <v>Just wow loved and delivery on time</v>
      </c>
    </row>
    <row r="14464">
      <c r="A14464" s="1">
        <v>4.0</v>
      </c>
      <c r="B14464" s="1" t="s">
        <v>14222</v>
      </c>
      <c r="C14464" t="str">
        <f>IFERROR(__xludf.DUMMYFUNCTION("GOOGLETRANSLATE(B14464, ""fr"", ""en"")"),"The quality NB fan NB. By going against my order I was wrong model. Never mind. I do not like them too but it's still of course comfortable.")</f>
        <v>The quality NB fan NB. By going against my order I was wrong model. Never mind. I do not like them too but it's still of course comfortable.</v>
      </c>
    </row>
    <row r="14465">
      <c r="A14465" s="1">
        <v>4.0</v>
      </c>
      <c r="B14465" s="1" t="s">
        <v>14223</v>
      </c>
      <c r="C14465" t="str">
        <f>IFERROR(__xludf.DUMMYFUNCTION("GOOGLETRANSLATE(B14465, ""fr"", ""en"")"),"very cheap. Good.")</f>
        <v>very cheap. Good.</v>
      </c>
    </row>
    <row r="14466">
      <c r="A14466" s="1">
        <v>4.0</v>
      </c>
      <c r="B14466" s="1" t="s">
        <v>14224</v>
      </c>
      <c r="C14466" t="str">
        <f>IFERROR(__xludf.DUMMYFUNCTION("GOOGLETRANSLATE(B14466, ""fr"", ""en"")"),"Very good product I use this to replace the pads for the dishwasher, the result is perfect. The product was well packaged and delivered quickly.")</f>
        <v>Very good product I use this to replace the pads for the dishwasher, the result is perfect. The product was well packaged and delivered quickly.</v>
      </c>
    </row>
    <row r="14467">
      <c r="A14467" s="1">
        <v>5.0</v>
      </c>
      <c r="B14467" s="1" t="s">
        <v>14225</v>
      </c>
      <c r="C14467" t="str">
        <f>IFERROR(__xludf.DUMMYFUNCTION("GOOGLETRANSLATE(B14467, ""fr"", ""en"")"),"very good very good, thick enough consistent with the description, it's fine with me. Only downside is the charm of buying the same brand that does not fit?")</f>
        <v>very good very good, thick enough consistent with the description, it's fine with me. Only downside is the charm of buying the same brand that does not fit?</v>
      </c>
    </row>
    <row r="14468">
      <c r="A14468" s="1">
        <v>5.0</v>
      </c>
      <c r="B14468" s="1" t="s">
        <v>14226</v>
      </c>
      <c r="C14468" t="str">
        <f>IFERROR(__xludf.DUMMYFUNCTION("GOOGLETRANSLATE(B14468, ""fr"", ""en"")"),"Good value very soft toilet paper Good value")</f>
        <v>Good value very soft toilet paper Good value</v>
      </c>
    </row>
    <row r="14469">
      <c r="A14469" s="1">
        <v>5.0</v>
      </c>
      <c r="B14469" s="1" t="s">
        <v>14227</v>
      </c>
      <c r="C14469" t="str">
        <f>IFERROR(__xludf.DUMMYFUNCTION("GOOGLETRANSLATE(B14469, ""fr"", ""en"")"),"... essential ... for watercolor artists who want to avoid the tedious drawing gum that often use difficult to remove when you had to wait too long")</f>
        <v>... essential ... for watercolor artists who want to avoid the tedious drawing gum that often use difficult to remove when you had to wait too long</v>
      </c>
    </row>
    <row r="14470">
      <c r="A14470" s="1">
        <v>5.0</v>
      </c>
      <c r="B14470" s="1" t="s">
        <v>14228</v>
      </c>
      <c r="C14470" t="str">
        <f>IFERROR(__xludf.DUMMYFUNCTION("GOOGLETRANSLATE(B14470, ""fr"", ""en"")"),"Very nice flip flops Super purchase. Quick delivery. I read the tips in the comments left for the size (I had a 39 for a 37-38) and nickel. Very nice model. No complaints. I am delighted with my order.")</f>
        <v>Very nice flip flops Super purchase. Quick delivery. I read the tips in the comments left for the size (I had a 39 for a 37-38) and nickel. Very nice model. No complaints. I am delighted with my order.</v>
      </c>
    </row>
    <row r="14471">
      <c r="A14471" s="1">
        <v>5.0</v>
      </c>
      <c r="B14471" s="1" t="s">
        <v>14229</v>
      </c>
      <c r="C14471" t="str">
        <f>IFERROR(__xludf.DUMMYFUNCTION("GOOGLETRANSLATE(B14471, ""fr"", ""en"")"),"Excellent collection to learn to read Our son learned to read at the moment and this collection is really good, this is the first time my son can read for itself and it is through this same collection that really progressed and he starts reading his first"&amp;" books alone. I could not believe and yet they were the trigger for him. I recommend to all parents who wish to see their children grow in the magical world of reading. They are very inexpensive, it is not a risky investment but you will see real change a"&amp;"nd rapid progress! I recommend these books and thank the seller for fast delivery. I received an item quickly and when I opened the package I found articles of quality and especially of great value! Thanks for that !")</f>
        <v>Excellent collection to learn to read Our son learned to read at the moment and this collection is really good, this is the first time my son can read for itself and it is through this same collection that really progressed and he starts reading his first books alone. I could not believe and yet they were the trigger for him. I recommend to all parents who wish to see their children grow in the magical world of reading. They are very inexpensive, it is not a risky investment but you will see real change and rapid progress! I recommend these books and thank the seller for fast delivery. I received an item quickly and when I opened the package I found articles of quality and especially of great value! Thanks for that !</v>
      </c>
    </row>
    <row r="14472">
      <c r="A14472" s="1">
        <v>5.0</v>
      </c>
      <c r="B14472" s="1" t="s">
        <v>14230</v>
      </c>
      <c r="C14472" t="str">
        <f>IFERROR(__xludf.DUMMYFUNCTION("GOOGLETRANSLATE(B14472, ""fr"", ""en"")"),"bag shoulder strap very happy with my purchase, at that price I 'd one can fear for the quality, but nothing to say very good product that I recommend to buy if you need a bag man for 20/20")</f>
        <v>bag shoulder strap very happy with my purchase, at that price I 'd one can fear for the quality, but nothing to say very good product that I recommend to buy if you need a bag man for 20/20</v>
      </c>
    </row>
    <row r="14473">
      <c r="A14473" s="1">
        <v>5.0</v>
      </c>
      <c r="B14473" s="1" t="s">
        <v>14231</v>
      </c>
      <c r="C14473" t="str">
        <f>IFERROR(__xludf.DUMMYFUNCTION("GOOGLETRANSLATE(B14473, ""fr"", ""en"")"),"My beautiful girlfriend has appécié :)))")</f>
        <v>My beautiful girlfriend has appécié :)))</v>
      </c>
    </row>
    <row r="14474">
      <c r="A14474" s="1">
        <v>5.0</v>
      </c>
      <c r="B14474" s="1" t="s">
        <v>14232</v>
      </c>
      <c r="C14474" t="str">
        <f>IFERROR(__xludf.DUMMYFUNCTION("GOOGLETRANSLATE(B14474, ""fr"", ""en"")"),"Flexibility lovely shoes, soft. We will not leave, it feels like slippers. Corresponds to my expectations. I put on the 34 and the 35 is just fine with tennis socks.")</f>
        <v>Flexibility lovely shoes, soft. We will not leave, it feels like slippers. Corresponds to my expectations. I put on the 34 and the 35 is just fine with tennis socks.</v>
      </c>
    </row>
    <row r="14475">
      <c r="A14475" s="1">
        <v>5.0</v>
      </c>
      <c r="B14475" s="1" t="s">
        <v>14233</v>
      </c>
      <c r="C14475" t="str">
        <f>IFERROR(__xludf.DUMMYFUNCTION("GOOGLETRANSLATE(B14475, ""fr"", ""en"")"),"Super quite suit my need: beach and garden Wed.")</f>
        <v>Super quite suit my need: beach and garden Wed.</v>
      </c>
    </row>
    <row r="14476">
      <c r="A14476" s="1">
        <v>5.0</v>
      </c>
      <c r="B14476" s="1" t="s">
        <v>14234</v>
      </c>
      <c r="C14476" t="str">
        <f>IFERROR(__xludf.DUMMYFUNCTION("GOOGLETRANSLATE(B14476, ""fr"", ""en"")"),"Surprisingly good indicator that the noise reduction headsets deemed costing at least one round trip US and Chinese product design in electronics were often very effective I took the risk to buy this headset for € 70. At first glance the difference with a"&amp;"nd without seemed RBA cut only serious, but finally the holidays and a real situation (4 &amp; nbsp; 737-800 hours). Very comfortable, easy to connect to an iPhone and pleasant on media like cinema. Worn on a terrace by the sea by strong wind perfect silence."&amp;" Connecting to Samsung TV (Option his &amp; nbsp ;: Bluetooth speakers ups) ""pairing"" almost immediate. It reconnects automatically with a click. It remains only to test its durability. It will be much more demand than I thought.")</f>
        <v>Surprisingly good indicator that the noise reduction headsets deemed costing at least one round trip US and Chinese product design in electronics were often very effective I took the risk to buy this headset for € 70. At first glance the difference with and without seemed RBA cut only serious, but finally the holidays and a real situation (4 &amp; nbsp; 737-800 hours). Very comfortable, easy to connect to an iPhone and pleasant on media like cinema. Worn on a terrace by the sea by strong wind perfect silence. Connecting to Samsung TV (Option his &amp; nbsp ;: Bluetooth speakers ups) "pairing" almost immediate. It reconnects automatically with a click. It remains only to test its durability. It will be much more demand than I thought.</v>
      </c>
    </row>
    <row r="14477">
      <c r="A14477" s="1">
        <v>5.0</v>
      </c>
      <c r="B14477" s="1" t="s">
        <v>14235</v>
      </c>
      <c r="C14477" t="str">
        <f>IFERROR(__xludf.DUMMYFUNCTION("GOOGLETRANSLATE(B14477, ""fr"", ""en"")"),"Nothing wrong Perfect in size, neither too big nor too small, size it properly. AMAZON purchased for much cheaper than shop or website DocMarteens, which make them affordable with good value for money Good colors, product fully in line with description, I"&amp;" recommend without hesitation.")</f>
        <v>Nothing wrong Perfect in size, neither too big nor too small, size it properly. AMAZON purchased for much cheaper than shop or website DocMarteens, which make them affordable with good value for money Good colors, product fully in line with description, I recommend without hesitation.</v>
      </c>
    </row>
    <row r="14478">
      <c r="A14478" s="1">
        <v>5.0</v>
      </c>
      <c r="B14478" s="1" t="s">
        <v>14236</v>
      </c>
      <c r="C14478" t="str">
        <f>IFERROR(__xludf.DUMMYFUNCTION("GOOGLETRANSLATE(B14478, ""fr"", ""en"")"),"Matches the description Delivery and the correct description leggings")</f>
        <v>Matches the description Delivery and the correct description leggings</v>
      </c>
    </row>
    <row r="14479">
      <c r="A14479" s="1">
        <v>5.0</v>
      </c>
      <c r="B14479" s="1" t="s">
        <v>14237</v>
      </c>
      <c r="C14479" t="str">
        <f>IFERROR(__xludf.DUMMYFUNCTION("GOOGLETRANSLATE(B14479, ""fr"", ""en"")"),"Comfortable It's really comfortable. Whether the sound quality is excellent or holding in the ears, a treat. The housing is also very stylish and allow recharging the headphones. Really cool.")</f>
        <v>Comfortable It's really comfortable. Whether the sound quality is excellent or holding in the ears, a treat. The housing is also very stylish and allow recharging the headphones. Really cool.</v>
      </c>
    </row>
    <row r="14480">
      <c r="A14480" s="1">
        <v>5.0</v>
      </c>
      <c r="B14480" s="1" t="s">
        <v>14238</v>
      </c>
      <c r="C14480" t="str">
        <f>IFERROR(__xludf.DUMMYFUNCTION("GOOGLETRANSLATE(B14480, ""fr"", ""en"")"),"Super convenient and reliable super convenient and reliable, we have had others before and this one is better quality. I recommend this product.")</f>
        <v>Super convenient and reliable super convenient and reliable, we have had others before and this one is better quality. I recommend this product.</v>
      </c>
    </row>
    <row r="14481">
      <c r="A14481" s="1">
        <v>5.0</v>
      </c>
      <c r="B14481" s="1" t="s">
        <v>14239</v>
      </c>
      <c r="C14481" t="str">
        <f>IFERROR(__xludf.DUMMYFUNCTION("GOOGLETRANSLATE(B14481, ""fr"", ""en"")"),"beautiful Perfect")</f>
        <v>beautiful Perfect</v>
      </c>
    </row>
    <row r="14482">
      <c r="A14482" s="1">
        <v>2.0</v>
      </c>
      <c r="B14482" s="1" t="s">
        <v>14240</v>
      </c>
      <c r="C14482" t="str">
        <f>IFERROR(__xludf.DUMMYFUNCTION("GOOGLETRANSLATE(B14482, ""fr"", ""en"")"),"Failure on the inside seams THE seam pockets inside does not")</f>
        <v>Failure on the inside seams THE seam pockets inside does not</v>
      </c>
    </row>
    <row r="14483">
      <c r="A14483" s="1">
        <v>1.0</v>
      </c>
      <c r="B14483" s="1" t="s">
        <v>14241</v>
      </c>
      <c r="C14483" t="str">
        <f>IFERROR(__xludf.DUMMYFUNCTION("GOOGLETRANSLATE(B14483, ""fr"", ""en"")"),"The cushion defective product was not working after 2 months away")</f>
        <v>The cushion defective product was not working after 2 months away</v>
      </c>
    </row>
    <row r="14484">
      <c r="A14484" s="1">
        <v>1.0</v>
      </c>
      <c r="B14484" s="1" t="s">
        <v>14242</v>
      </c>
      <c r="C14484" t="str">
        <f>IFERROR(__xludf.DUMMYFUNCTION("GOOGLETRANSLATE(B14484, ""fr"", ""en"")"),"sweater Material The material of the sweater is not at all wool is the same material as a sports jersey not nice at all")</f>
        <v>sweater Material The material of the sweater is not at all wool is the same material as a sports jersey not nice at all</v>
      </c>
    </row>
    <row r="14485">
      <c r="A14485" s="1">
        <v>3.0</v>
      </c>
      <c r="B14485" s="1" t="s">
        <v>14243</v>
      </c>
      <c r="C14485" t="str">
        <f>IFERROR(__xludf.DUMMYFUNCTION("GOOGLETRANSLATE(B14485, ""fr"", ""en"")"),"Nice I like the ergonomics of this bottle that easily takes over. I also like the fact that it is made of glass, it goes better as bottle warmers as the second beep. He has good capacity and easy to clean.")</f>
        <v>Nice I like the ergonomics of this bottle that easily takes over. I also like the fact that it is made of glass, it goes better as bottle warmers as the second beep. He has good capacity and easy to clean.</v>
      </c>
    </row>
    <row r="14486">
      <c r="A14486" s="1">
        <v>3.0</v>
      </c>
      <c r="B14486" s="1" t="s">
        <v>14244</v>
      </c>
      <c r="C14486" t="str">
        <f>IFERROR(__xludf.DUMMYFUNCTION("GOOGLETRANSLATE(B14486, ""fr"", ""en"")"),"Owl Very nice but very long for light outside as inside right material but very very long and 1m65")</f>
        <v>Owl Very nice but very long for light outside as inside right material but very very long and 1m65</v>
      </c>
    </row>
    <row r="14487">
      <c r="A14487" s="1">
        <v>4.0</v>
      </c>
      <c r="B14487" s="1" t="s">
        <v>14245</v>
      </c>
      <c r="C14487" t="str">
        <f>IFERROR(__xludf.DUMMYFUNCTION("GOOGLETRANSLATE(B14487, ""fr"", ""en"")"),"A diffuser evil has extinguished when nothing more in it")</f>
        <v>A diffuser evil has extinguished when nothing more in it</v>
      </c>
    </row>
    <row r="14488">
      <c r="A14488" s="1">
        <v>4.0</v>
      </c>
      <c r="B14488" s="1" t="s">
        <v>14246</v>
      </c>
      <c r="C14488" t="str">
        <f>IFERROR(__xludf.DUMMYFUNCTION("GOOGLETRANSLATE(B14488, ""fr"", ""en"")"),"Good Good product. Just a little too hard at first but after a few days just fine. Value for money well")</f>
        <v>Good Good product. Just a little too hard at first but after a few days just fine. Value for money well</v>
      </c>
    </row>
    <row r="14489">
      <c r="A14489" s="1">
        <v>4.0</v>
      </c>
      <c r="B14489" s="1" t="s">
        <v>14247</v>
      </c>
      <c r="C14489" t="str">
        <f>IFERROR(__xludf.DUMMYFUNCTION("GOOGLETRANSLATE(B14489, ""fr"", ""en"")"),"👌👌👌 Super beautiful thinner than I thought")</f>
        <v>👌👌👌 Super beautiful thinner than I thought</v>
      </c>
    </row>
    <row r="14490">
      <c r="A14490" s="1">
        <v>4.0</v>
      </c>
      <c r="B14490" s="1" t="s">
        <v>14248</v>
      </c>
      <c r="C14490" t="str">
        <f>IFERROR(__xludf.DUMMYFUNCTION("GOOGLETRANSLATE(B14490, ""fr"", ""en"")"),"Kettle easy and useful practical and pretty. Nothing to report after one week of use.")</f>
        <v>Kettle easy and useful practical and pretty. Nothing to report after one week of use.</v>
      </c>
    </row>
    <row r="14491">
      <c r="A14491" s="1">
        <v>5.0</v>
      </c>
      <c r="B14491" s="1" t="s">
        <v>14249</v>
      </c>
      <c r="C14491" t="str">
        <f>IFERROR(__xludf.DUMMYFUNCTION("GOOGLETRANSLATE(B14491, ""fr"", ""en"")"),"DELIVERED ink cartridges in 2 days nothing wrong Works very well on my PIXMA MP240 there is a color cartridge and a black in the box")</f>
        <v>DELIVERED ink cartridges in 2 days nothing wrong Works very well on my PIXMA MP240 there is a color cartridge and a black in the box</v>
      </c>
    </row>
    <row r="14492">
      <c r="A14492" s="1">
        <v>5.0</v>
      </c>
      <c r="B14492" s="1" t="s">
        <v>14250</v>
      </c>
      <c r="C14492" t="str">
        <f>IFERROR(__xludf.DUMMYFUNCTION("GOOGLETRANSLATE(B14492, ""fr"", ""en"")"),"strong and easy to cut more - easy to cut - solid - transparent and therefore practical to stick a label on a carton for example, or to not conceal an inscription on a Less packaging: - None")</f>
        <v>strong and easy to cut more - easy to cut - solid - transparent and therefore practical to stick a label on a carton for example, or to not conceal an inscription on a Less packaging: - None</v>
      </c>
    </row>
    <row r="14493">
      <c r="A14493" s="1">
        <v>5.0</v>
      </c>
      <c r="B14493" s="1" t="s">
        <v>14251</v>
      </c>
      <c r="C14493" t="str">
        <f>IFERROR(__xludf.DUMMYFUNCTION("GOOGLETRANSLATE(B14493, ""fr"", ""en"")"),"new product new product")</f>
        <v>new product new product</v>
      </c>
    </row>
    <row r="14494">
      <c r="A14494" s="1">
        <v>5.0</v>
      </c>
      <c r="B14494" s="1" t="s">
        <v>14252</v>
      </c>
      <c r="C14494" t="str">
        <f>IFERROR(__xludf.DUMMYFUNCTION("GOOGLETRANSLATE(B14494, ""fr"", ""en"")"),"Powerful J'adore! It smells so good, I love, I also put to repel mosquitoes, it works fine, I also put in the diffuser. My naturopath recommended me to buy for my eczema is very effective I dilute in a jojoba oil 30ml and I applied to the skin directly.")</f>
        <v>Powerful J'adore! It smells so good, I love, I also put to repel mosquitoes, it works fine, I also put in the diffuser. My naturopath recommended me to buy for my eczema is very effective I dilute in a jojoba oil 30ml and I applied to the skin directly.</v>
      </c>
    </row>
    <row r="14495">
      <c r="A14495" s="1">
        <v>5.0</v>
      </c>
      <c r="B14495" s="1" t="s">
        <v>14253</v>
      </c>
      <c r="C14495" t="str">
        <f>IFERROR(__xludf.DUMMYFUNCTION("GOOGLETRANSLATE(B14495, ""fr"", ""en"")"),"Quality Very beautiful stone well pruned and beautiful qualité.tres good idea, which supports wallet. Perfect .")</f>
        <v>Quality Very beautiful stone well pruned and beautiful qualité.tres good idea, which supports wallet. Perfect .</v>
      </c>
    </row>
    <row r="14496">
      <c r="A14496" s="1">
        <v>5.0</v>
      </c>
      <c r="B14496" s="1" t="s">
        <v>14254</v>
      </c>
      <c r="C14496" t="str">
        <f>IFERROR(__xludf.DUMMYFUNCTION("GOOGLETRANSLATE(B14496, ""fr"", ""en"")"),"I recommend this good legging leggings, it is opaque and the size is also good for me (I'm usually a 38 and I took a million). The plus is these side pockets that allow to slip her phone!")</f>
        <v>I recommend this good legging leggings, it is opaque and the size is also good for me (I'm usually a 38 and I took a million). The plus is these side pockets that allow to slip her phone!</v>
      </c>
    </row>
    <row r="14497">
      <c r="A14497" s="1">
        <v>5.0</v>
      </c>
      <c r="B14497" s="1" t="s">
        <v>14255</v>
      </c>
      <c r="C14497" t="str">
        <f>IFERROR(__xludf.DUMMYFUNCTION("GOOGLETRANSLATE(B14497, ""fr"", ""en"")"),"Good product used for one week. Compliant with the same description and opinion to other users. Purchased replacement bottle warmer beaba that heated too random. Glad to purchase.")</f>
        <v>Good product used for one week. Compliant with the same description and opinion to other users. Purchased replacement bottle warmer beaba that heated too random. Glad to purchase.</v>
      </c>
    </row>
    <row r="14498">
      <c r="A14498" s="1">
        <v>5.0</v>
      </c>
      <c r="B14498" s="1" t="s">
        <v>14256</v>
      </c>
      <c r="C14498" t="str">
        <f>IFERROR(__xludf.DUMMYFUNCTION("GOOGLETRANSLATE(B14498, ""fr"", ""en"")"),"no nickel worries")</f>
        <v>no nickel worries</v>
      </c>
    </row>
    <row r="14499">
      <c r="A14499" s="1">
        <v>5.0</v>
      </c>
      <c r="B14499" s="1" t="s">
        <v>14257</v>
      </c>
      <c r="C14499" t="str">
        <f>IFERROR(__xludf.DUMMYFUNCTION("GOOGLETRANSLATE(B14499, ""fr"", ""en"")"),"Very easy to use Good quality. Easy to apply. Discreet. I liked it so much I ironed order. I recommend.")</f>
        <v>Very easy to use Good quality. Easy to apply. Discreet. I liked it so much I ironed order. I recommend.</v>
      </c>
    </row>
    <row r="14500">
      <c r="A14500" s="1">
        <v>5.0</v>
      </c>
      <c r="B14500" s="1" t="s">
        <v>14258</v>
      </c>
      <c r="C14500" t="str">
        <f>IFERROR(__xludf.DUMMYFUNCTION("GOOGLETRANSLATE(B14500, ""fr"", ""en"")"),"Comfortable I who have big problems with deforming arthritis in feet, I do not suffer wearing them.")</f>
        <v>Comfortable I who have big problems with deforming arthritis in feet, I do not suffer wearing them.</v>
      </c>
    </row>
    <row r="14501">
      <c r="A14501" s="1">
        <v>5.0</v>
      </c>
      <c r="B14501" s="1" t="s">
        <v>14259</v>
      </c>
      <c r="C14501" t="str">
        <f>IFERROR(__xludf.DUMMYFUNCTION("GOOGLETRANSLATE(B14501, ""fr"", ""en"")"),"Awesome: I recommend Excellent product: heater in seconds. The walls are warm but it is used with so no annoying loop (just be careful if children are nearby). Not very noisy. Easy storage: do not take too much space")</f>
        <v>Awesome: I recommend Excellent product: heater in seconds. The walls are warm but it is used with so no annoying loop (just be careful if children are nearby). Not very noisy. Easy storage: do not take too much space</v>
      </c>
    </row>
    <row r="14502">
      <c r="A14502" s="1">
        <v>5.0</v>
      </c>
      <c r="B14502" s="1" t="s">
        <v>14260</v>
      </c>
      <c r="C14502" t="str">
        <f>IFERROR(__xludf.DUMMYFUNCTION("GOOGLETRANSLATE(B14502, ""fr"", ""en"")"),"Unbeatable price / performance Frankly, at this price, great shows, the finish is really good. The cabinet is really perfect for a gift. The set is very well presented, Kariye guarantee booklet, cleaning cloth. The watch has a brown appearance bracelet """&amp;"pea fishing, which gives a rather chic. The only downside, I found the dial a little too thick, I usually prefer the very fine watches. But all this is that history of taste. Go for it, for the price, you will not be disappointed.")</f>
        <v>Unbeatable price / performance Frankly, at this price, great shows, the finish is really good. The cabinet is really perfect for a gift. The set is very well presented, Kariye guarantee booklet, cleaning cloth. The watch has a brown appearance bracelet "pea fishing, which gives a rather chic. The only downside, I found the dial a little too thick, I usually prefer the very fine watches. But all this is that history of taste. Go for it, for the price, you will not be disappointed.</v>
      </c>
    </row>
    <row r="14503">
      <c r="A14503" s="1">
        <v>5.0</v>
      </c>
      <c r="B14503" s="1" t="s">
        <v>14261</v>
      </c>
      <c r="C14503" t="str">
        <f>IFERROR(__xludf.DUMMYFUNCTION("GOOGLETRANSLATE(B14503, ""fr"", ""en"")"),"The Lion King My daughter has really enjoyed watching him. I recommend and also received a little early :)")</f>
        <v>The Lion King My daughter has really enjoyed watching him. I recommend and also received a little early :)</v>
      </c>
    </row>
    <row r="14504">
      <c r="A14504" s="1">
        <v>5.0</v>
      </c>
      <c r="B14504" s="1" t="s">
        <v>14262</v>
      </c>
      <c r="C14504" t="str">
        <f>IFERROR(__xludf.DUMMYFUNCTION("GOOGLETRANSLATE(B14504, ""fr"", ""en"")"),"Very nice Bought diffuser to install in the master bedroom, I searched for a broadcaster with a wood finish or wood effect. = &amp; Gt; First validated criteria. From experience, I know it must regularly fill out a broadcaster because of its low tank filling "&amp;"capacity: With 450 ml tank, it is part of the broadcaster with the largest tank. = &amp; Gt; 2nd validated criteria. Finally, the built-in timer, and 8 LED lights color and background intensity of dimmers THE diffuser that meets our criteria ... When it's lik"&amp;"e that, no need to hesitate any longer. I provided you some photos of the colors (unfortunately not the 8 for lack of time) and without essential oils (we do not yet agree on the oil to spread .... I recommend this diffuser with large capacity the reservo"&amp;"ir, and the light and timer functions, combined design ""Scandinavian"".")</f>
        <v>Very nice Bought diffuser to install in the master bedroom, I searched for a broadcaster with a wood finish or wood effect. = &amp; Gt; First validated criteria. From experience, I know it must regularly fill out a broadcaster because of its low tank filling capacity: With 450 ml tank, it is part of the broadcaster with the largest tank. = &amp; Gt; 2nd validated criteria. Finally, the built-in timer, and 8 LED lights color and background intensity of dimmers THE diffuser that meets our criteria ... When it's like that, no need to hesitate any longer. I provided you some photos of the colors (unfortunately not the 8 for lack of time) and without essential oils (we do not yet agree on the oil to spread .... I recommend this diffuser with large capacity the reservoir, and the light and timer functions, combined design "Scandinavian".</v>
      </c>
    </row>
    <row r="14505">
      <c r="A14505" s="1">
        <v>5.0</v>
      </c>
      <c r="B14505" s="1" t="s">
        <v>14263</v>
      </c>
      <c r="C14505" t="str">
        <f>IFERROR(__xludf.DUMMYFUNCTION("GOOGLETRANSLATE(B14505, ""fr"", ""en"")"),"Shoulder Strap man Super man, pretty and Practical. Many Zip and areas to hide business. Sorry my french we are originally from Switzerland.")</f>
        <v>Shoulder Strap man Super man, pretty and Practical. Many Zip and areas to hide business. Sorry my french we are originally from Switzerland.</v>
      </c>
    </row>
    <row r="14506">
      <c r="A14506" s="1">
        <v>2.0</v>
      </c>
      <c r="B14506" s="1" t="s">
        <v>14264</v>
      </c>
      <c r="C14506" t="str">
        <f>IFERROR(__xludf.DUMMYFUNCTION("GOOGLETRANSLATE(B14506, ""fr"", ""en"")"),"Too heavy shoes are too heavy (1.5kg) and therefore not very flexible despite a good finish. Not at all suitable for a dock officer who is several kilometers to work.")</f>
        <v>Too heavy shoes are too heavy (1.5kg) and therefore not very flexible despite a good finish. Not at all suitable for a dock officer who is several kilometers to work.</v>
      </c>
    </row>
    <row r="14507">
      <c r="A14507" s="1">
        <v>1.0</v>
      </c>
      <c r="B14507" s="1" t="s">
        <v>14265</v>
      </c>
      <c r="C14507" t="str">
        <f>IFERROR(__xludf.DUMMYFUNCTION("GOOGLETRANSLATE(B14507, ""fr"", ""en"")"),"Shoes ever worn on receipt ?? Not satisfied! It was to offer and I get a pair of sneakers on which the soles were black (dirt) and inside neps black fabric ... nice for a gift !!!!")</f>
        <v>Shoes ever worn on receipt ?? Not satisfied! It was to offer and I get a pair of sneakers on which the soles were black (dirt) and inside neps black fabric ... nice for a gift !!!!</v>
      </c>
    </row>
    <row r="14508">
      <c r="A14508" s="1">
        <v>1.0</v>
      </c>
      <c r="B14508" s="1" t="s">
        <v>14266</v>
      </c>
      <c r="C14508" t="str">
        <f>IFERROR(__xludf.DUMMYFUNCTION("GOOGLETRANSLATE(B14508, ""fr"", ""en"")"),"Does not work on induction Not consistent with the description because does not work on induction hob")</f>
        <v>Does not work on induction Not consistent with the description because does not work on induction hob</v>
      </c>
    </row>
    <row r="14509">
      <c r="A14509" s="1">
        <v>3.0</v>
      </c>
      <c r="B14509" s="1" t="s">
        <v>14267</v>
      </c>
      <c r="C14509" t="str">
        <f>IFERROR(__xludf.DUMMYFUNCTION("GOOGLETRANSLATE(B14509, ""fr"", ""en"")"),"Quality and beautiful finishes fast delivery and good quality for the price. I think this shoe style is not suitable for intensive use but for a small daily walk. comfortable shoes")</f>
        <v>Quality and beautiful finishes fast delivery and good quality for the price. I think this shoe style is not suitable for intensive use but for a small daily walk. comfortable shoes</v>
      </c>
    </row>
    <row r="14510">
      <c r="A14510" s="1">
        <v>4.0</v>
      </c>
      <c r="B14510" s="1" t="s">
        <v>14268</v>
      </c>
      <c r="C14510" t="str">
        <f>IFERROR(__xludf.DUMMYFUNCTION("GOOGLETRANSLATE(B14510, ""fr"", ""en"")"),"A single just shows what it takes to manage time its adequate size allows very discreet use in a glance")</f>
        <v>A single just shows what it takes to manage time its adequate size allows very discreet use in a glance</v>
      </c>
    </row>
    <row r="14511">
      <c r="A14511" s="1">
        <v>4.0</v>
      </c>
      <c r="B14511" s="1" t="s">
        <v>14269</v>
      </c>
      <c r="C14511" t="str">
        <f>IFERROR(__xludf.DUMMYFUNCTION("GOOGLETRANSLATE(B14511, ""fr"", ""en"")"),"ninasun good life Good product I highly recommend to all for me is an agreement jewelry with our attentions. g L")</f>
        <v>ninasun good life Good product I highly recommend to all for me is an agreement jewelry with our attentions. g L</v>
      </c>
    </row>
    <row r="14512">
      <c r="A14512" s="1">
        <v>4.0</v>
      </c>
      <c r="B14512" s="1" t="s">
        <v>14270</v>
      </c>
      <c r="C14512" t="str">
        <f>IFERROR(__xludf.DUMMYFUNCTION("GOOGLETRANSLATE(B14512, ""fr"", ""en"")"),"Good hygienic paper When he had to go back to another mark temporarily as Lotus Comfort were out, it was a disaster at home! We must believe that this part of our body is more comfortable than you may think ...;)")</f>
        <v>Good hygienic paper When he had to go back to another mark temporarily as Lotus Comfort were out, it was a disaster at home! We must believe that this part of our body is more comfortable than you may think ...;)</v>
      </c>
    </row>
    <row r="14513">
      <c r="A14513" s="1">
        <v>4.0</v>
      </c>
      <c r="B14513" s="1" t="s">
        <v>14271</v>
      </c>
      <c r="C14513" t="str">
        <f>IFERROR(__xludf.DUMMYFUNCTION("GOOGLETRANSLATE(B14513, ""fr"", ""en"")"),"Complies The cable is good, but not entirely copper part is metal, still works for my Home Theater")</f>
        <v>Complies The cable is good, but not entirely copper part is metal, still works for my Home Theater</v>
      </c>
    </row>
    <row r="14514">
      <c r="A14514" s="1">
        <v>5.0</v>
      </c>
      <c r="B14514" s="1" t="s">
        <v>14272</v>
      </c>
      <c r="C14514" t="str">
        <f>IFERROR(__xludf.DUMMYFUNCTION("GOOGLETRANSLATE(B14514, ""fr"", ""en"")"),"Maxi agenda mini Super agenda full price extremely cheap: The two pages are one A3 page. The advantages: The cover is flexible, pages are solid and thick (this prevents the pen crosses), we can put annotations bottom of the page and on the right, the appo"&amp;"intments are from 8 am to 21j ago even a small directory and all school holidays and public holidays (as indicated several languages ​​at the same time, the letter of the country is done on the same day for his holiday and school holidays are indicated in"&amp;" early agend")</f>
        <v>Maxi agenda mini Super agenda full price extremely cheap: The two pages are one A3 page. The advantages: The cover is flexible, pages are solid and thick (this prevents the pen crosses), we can put annotations bottom of the page and on the right, the appointments are from 8 am to 21j ago even a small directory and all school holidays and public holidays (as indicated several languages ​​at the same time, the letter of the country is done on the same day for his holiday and school holidays are indicated in early agend</v>
      </c>
    </row>
    <row r="14515">
      <c r="A14515" s="1">
        <v>5.0</v>
      </c>
      <c r="B14515" s="1" t="s">
        <v>14273</v>
      </c>
      <c r="C14515" t="str">
        <f>IFERROR(__xludf.DUMMYFUNCTION("GOOGLETRANSLATE(B14515, ""fr"", ""en"")"),"Perfect Perfect, tape that sticks and cheap.")</f>
        <v>Perfect Perfect, tape that sticks and cheap.</v>
      </c>
    </row>
    <row r="14516">
      <c r="A14516" s="1">
        <v>5.0</v>
      </c>
      <c r="B14516" s="1" t="s">
        <v>14274</v>
      </c>
      <c r="C14516" t="str">
        <f>IFERROR(__xludf.DUMMYFUNCTION("GOOGLETRANSLATE(B14516, ""fr"", ""en"")"),"As usual TB Here are several times that I take this to maintain my septic system, this product does what is expected of him and is especially Bio")</f>
        <v>As usual TB Here are several times that I take this to maintain my septic system, this product does what is expected of him and is especially Bio</v>
      </c>
    </row>
    <row r="14517">
      <c r="A14517" s="1">
        <v>5.0</v>
      </c>
      <c r="B14517" s="1" t="s">
        <v>14275</v>
      </c>
      <c r="C14517" t="str">
        <f>IFERROR(__xludf.DUMMYFUNCTION("GOOGLETRANSLATE(B14517, ""fr"", ""en"")"),"Still good Every year I bought the same calendar template that contains essentially taking up minimal space in the bag. The cover resists all year and the pages do not get damaged if gum.")</f>
        <v>Still good Every year I bought the same calendar template that contains essentially taking up minimal space in the bag. The cover resists all year and the pages do not get damaged if gum.</v>
      </c>
    </row>
    <row r="14518">
      <c r="A14518" s="1">
        <v>5.0</v>
      </c>
      <c r="B14518" s="1" t="s">
        <v>14276</v>
      </c>
      <c r="C14518" t="str">
        <f>IFERROR(__xludf.DUMMYFUNCTION("GOOGLETRANSLATE(B14518, ""fr"", ""en"")"),"The pleasure of fragrance &lt;div id = ""video-block-R29T0HI3PXNCNS"" class = ""a-section-spacing-small in-spacing-top mini video-block""&gt; &lt;div tabindex = ""0"" class = ""airy airy -svg vmin-unsupported airy-skin-beacon ""style ="" background-color: rgb (0, "&amp;"0, 0); position: relative; width: 100%; height: 100%; font-size: 0px; overflow: hidden ; outline: none; ""&gt; &lt;div class ="" airy-renderer-container ""style ="" position: relative; height: 100%; width: 100%; ""&gt; &lt;video id ="" 30 ""preload ="" auto ""src = "&amp;"""https://images-eu.ssl-images-amazon.com/images/I/A1uDWIhkNLS.mp4"" style = ""position: absolute; left: 0px; top: 0px; overflow: hidden; height: 1px; width : 1px; ""&gt; &lt;/ video&gt; &lt;/ div&gt; &lt;div id ="" airy-slate-preload ""style ="" background-color: rgb (0, "&amp;"0, 0); background-image: url (&amp; quot; https: //images-eu.ssl-images-amazon.com/images/I/91DcKLF9YRS.png&amp;quot;); background-size: contain; background-position: center center; background-repeat: no-repeat; position: absolute; top : 0px; left: 0px; visibilit"&amp;"y: visible; width: 100%; height: 100% ""&gt; &lt;/ div&gt; &lt;iframe scr Olling = ""no"" frameborder = ""0"" src = ""about: blank"" style = ""display: none;""&gt; &lt;/ iframe&gt; &lt;div tabindex = ""- 1"" class = ""airy-controls-container"" style = "" opacity: 0; visibility: "&amp;"hidden; ""&gt; &lt;div tabindex ="" - 1 ""class ="" airy-screen-size-toggle airy-fullscreen ""&gt; &lt;/ div&gt; &lt;div tabindex ="" - 1 ""class ="" airy-container-bottom "" &gt; &lt;div tabindex = ""- 1"" class = ""airy-track-bar spacer-left"" style = ""width: 11px;""&gt; &lt;/ div&gt;"&amp;" &lt;div tabindex = ""- 1"" class = ""airy-play- toggle airy-play ""style ="" width: 12px; margin-right: 12px; ""&gt; &lt;/ div&gt; &lt;div tabindex ="" - 1 ""class ="" airy-audio-elements ""style ="" float: right; width: 34px; ""&gt; &lt;div tabindex ="" - 1 ""class ="" airy"&amp;"-audio-toggle airy-on ""&gt; &lt;/ div&gt; &lt;div tabindex ="" - 1 ""class ="" airy-audio-container ""style = ""opacity: 0; visibility: hidden; ""&gt; &lt;div tabindex ="" - 1 ""class ="" airy-audio-track-bar ""style ="" height: 80%; ""&gt; &lt;div tabindex ="" - 1 ""class ="" "&amp;"airy-audio- scrubber bar ""style ="" height: 85% ""&gt; &lt;/ div&gt; &lt;div tabindex ="" - 1 ""class ="" airy-audio-scrubber ""style ="" height: 12px; bottom: 85% ""&gt; &lt;/ div&gt; &lt;/ div&gt; &lt;/ div&gt; &lt;/ div&gt; &lt;div tabindex ="" - 1 ""class ="" airy-duration-label ""style ="" "&amp;"float: right; width: 26px; margin-right: 4px; text-align: center; ""&gt; 0:00 &lt;/ div&gt; &lt;div tabindex ="" - 1 ""class ="" airy-track-bar spacer-right ""style ="" float: right; width: 11px; ""&gt; &lt;/ div&gt; &lt;div tabindex ="" - 1 ""class ="" airy-track-bar-container "&amp;"""style ="" margin-left: 35px; margin-right: 75px; ""&gt; &lt;div tabindex ="" - 1 ""class ="" airy-airy-track-bar vertical-centering-table ""&gt; &lt;div tabindex ="" - 1 ""class ="" airy-vertical-centering- table-cell ""&gt; &lt;div tabindex ="" - 1 ""class ="" airy-trac"&amp;"k-bar elements ""&gt; &lt;div tabindex ="" - 1 ""class ="" airy-progress bar ""&gt; &lt;/ div&gt; &lt;div tabindex = ""- 1"" class = ""airy-scrubber bar""&gt; &lt;/ div&gt; &lt;div tabindex = ""- 1"" class = ""airy-scrubber""&gt; &lt;div tabindex = ""- 1"" class = ""airy-scrubber- icon ""&gt; "&amp;"&lt;/ div&gt; &lt;div tabindex ="" - 1 ""class ="" airy-adjusted-aui-tooltip ""style ="" opacity: 0; visibility: hidden; ""&gt; &lt;div tabindex ="" - 1 ""class ="" airy-adjusted-aui-tooltip-inner ""&gt; &lt;div tabindex ="" - 1 ""class ="" airy-current-time-label ""&gt; 0 00 &lt;/"&amp;" div&gt; &lt;/ div&gt; &lt;div tabindex = ""- 1"" class = ""airy-adjusted-aui-arrow-border""&gt; &lt;div tabindex = ""- 1"" class = ""airy-adjusted-aui-arrow"" &gt; &lt;/ div&gt; &lt;/ div&gt; &lt;/ div&gt; &lt;/ div&gt; &lt;/ div&gt; &lt;/ div&gt; &lt;/ div&gt; &lt;/ div&gt; &lt;/ div&gt; &lt;/ div&gt; &lt;div tabindex = ""- 1"" class ="&amp;" ""airy-airy-age-gate course airy-vertical-centering table-airy-dialog"" style = ""opacity: 0; visibility: hidden; ""&gt; &lt;div tabindex ="" - 1 ""class ="" airy-age-gate-vertical-centering-table-cell airy-vertical-centering-table-cell ""&gt; &lt;div tabindex ="" -"&amp;" 1 ""class = ""airy-vertical-centering-wrapper airy-age-gate-elements-wrapper""&gt; &lt;div tabindex = ""- 1"" class = ""airy-age-gate-elements airy-dialog-elements""&gt; &lt;div tabindex = "" -1 ""class ="" airy-age-gate-prompt ""&gt; This video is not Intended for all"&amp;" audiences What time were you born &lt;/ div&gt; &lt;div tabindex =.?"" - 1 ""class ="" airy-age-gate -inputs airy-dialog-inner-elements ""&gt; &lt;select tabindex ="" - 1 ""class ="" airy-age-gate-month ""&gt; &lt;option value ="" 1 ""&gt; January &lt;/ option&gt; &lt;option value ="" 2"&amp;" ""&gt; February &lt;/ option&gt; &lt;option value ="" 3 ""&gt; March &lt;/ option&gt; &lt;option value ="" 4 ""&gt; April &lt;/ option&gt; &lt;option value ="" 5 ""&gt; May &lt;/ option&gt; &lt;option value = ""6""&gt; June &lt;/ option&gt; &lt;option value = ""7""&gt; July &lt;/ option&gt; &lt;option value = ""8""&gt; August &lt;"&amp;"/ option&gt; &lt;option value = ""9""&gt; September &lt;/ option&gt; &lt;option value = ""10""&gt; October &lt;/ option&gt; &lt;option value = ""11""&gt; November &lt;/ option&gt; &lt;option value = ""12""&gt; December &lt;/ option&gt; &lt;/ select&gt; &lt;select tabindex = ""- 1"" class = ""airy-age-gate-day""&gt; &lt;"&amp;"opti = One value ""1""&gt; 1 &lt;/ option&gt; &lt;option value = ""2""&gt; 2 &lt;/ option&gt; &lt;option value = ""3""&gt; 3 &lt;/ option&gt; &lt;option value = ""4""&gt; 4 &lt;/ option &gt; &lt;option value = ""5""&gt; 5 &lt;/ option&gt; &lt;option value = ""6""&gt; 6 &lt;/ option&gt; &lt;option value = ""7""&gt; 7 &lt;/ option&gt; &lt;"&amp;"option value = ""8""&gt; 8 &lt; / option&gt; &lt;option value = ""9""&gt; 9 &lt;/ option&gt; &lt;option value = ""10""&gt; 10 &lt;/ option&gt; &lt;option value = ""11""&gt; 11 &lt;/ option&gt; &lt;option value = ""12""&gt; 12 &lt;/ option&gt; &lt;option value = ""13""&gt; 13 &lt;/ option&gt; &lt;option value = ""14""&gt; 14 &lt;/ o"&amp;"ption&gt; &lt;option value = ""15""&gt; 15 &lt;/ option&gt; &lt;option value = ""16 ""&gt; 16 &lt;/ option&gt; &lt;option value ="" 17 ""&gt; 17 &lt;/ option&gt; &lt;option value ="" 18 ""&gt; 18 &lt;/ option&gt; &lt;option value ="" 19 ""&gt; 19 &lt;/ option&gt; &lt;option value = ""20""&gt; 20 &lt;/ option&gt; &lt;option value = "&amp;"""21""&gt; 21 &lt;/ option&gt; &lt;option value = ""22""&gt; 22 &lt;/ option&gt; &lt;option value = ""23""&gt; 23 &lt;/ option&gt; &lt;option value = ""24""&gt; 24 &lt;/ option&gt; &lt;option value = ""25""&gt; 25 &lt;/ option&gt; &lt;option value = ""26""&gt; 26 &lt;/ option&gt; &lt;option value = ""27""&gt; 27 &lt;/ option&gt; &lt;opti"&amp;"on value = ""28""&gt; 28 &lt;/ option&gt; &lt;option value = ""29""&gt; 29 &lt;/ option&gt; &lt;option value = ""30""&gt; 30 &lt;/ option&gt; &lt;option value = ""31""&gt; 31 &lt;/ option&gt; &lt;/ select&gt; &lt;select tabindex = ""- 1"" class = ""airy-age-gate-year""&gt; &lt;option value = ""2019""&gt; 2019 &lt;/ opti"&amp;"on&gt; &lt; option value = ""2018""&gt; 2018 &lt;/ option&gt; &lt;option value = ""2017""&gt; 2017 &lt;/ option&gt; &lt;option value = ""2016""&gt; ​​2016 &lt;/ option&gt; &lt;option value = ""2015""&gt; 2015 &lt;/ option &gt; &lt;option value = ""2014""&gt; 2014 &lt;/ option&gt; &lt;option value = ""2013""&gt; 2013 &lt;/ opt"&amp;"ion&gt; &lt;option value = ""2012""&gt; 2012 &lt;/ option&gt; &lt;option value = ""2011""&gt; 2011 &lt; / option&gt; &lt;option value = ""2010""&gt; 2010 &lt;/ option&gt; &lt;option value = ""2009""&gt; 2009 &lt;/ option&gt; &lt;option value = ""2008""&gt; 2008 &lt;/ option&gt; &lt;option value = ""2007""&gt; 2007 &lt;/ optio"&amp;"n&gt; &lt;option value = ""2006""&gt; 2006 &lt;/ option&gt; &lt;option value = ""2005""&gt; 2005 &lt;/ option&gt; &lt;option value = ""2004""&gt; 2004 &lt;/ option&gt; &lt;option value = ""2003 ""&gt; 2003 &lt;/ option&gt; &lt;option value ="" 2002 ""&gt; 2002 &lt;/ option&gt; &lt;option value ="" 2001 ""&gt; 2001 &lt;/ optio"&amp;"n&gt; &lt;option value ="" 2000 ""&gt; 2000 &lt;/ option&gt; &lt;option value = ""1999""&gt; 1999 &lt;/ option&gt; &lt;option value = ""1998""&gt; 1998 &lt;/ option&gt; &lt;option value = ""1997""&gt; 1997 &lt;/ option&gt; &lt;option value = ""1996""&gt; 1996 &lt;/ option&gt; &lt;option value = ""1995""&gt; 1995 &lt;/ option&gt;"&amp;" &lt;option value = ""1994""&gt; 1994 &lt;/ option&gt; &lt;option value = ""1993""&gt; 1993 &lt;/ option&gt; &lt;option value = ""1992""&gt; 1992 &lt;/ option&gt; &lt;option value = ""1991""&gt; 1991 &lt;/ option&gt; &lt;option value = ""1990""&gt; 1990 &lt;/ option&gt; &lt;option value = "" 1989 ""&gt; 1989 &lt;/ option&gt; "&amp;"&lt;option value ="" 1988 ""&gt; 1988 &lt;/ option&gt; &lt;option value ="" 1987 ""&gt; 1987 &lt;/ option&gt; &lt;option value ="" 1986 ""&gt; 1986 &lt;/ option&gt; &lt;option value = ""1985""&gt; 1985 &lt;/ option&gt; &lt;option value = ""1984""&gt; 1984 &lt;/ option&gt; &lt;option value = ""1983""&gt; 1983 &lt;/ option&gt; "&amp;"&lt;option value = ""1982""&gt; 1982 &lt;/ option&gt; &lt; option value = ""1981""&gt; 1981 &lt;/ option&gt; &lt;option value = ""1980""&gt; 1980 &lt;/ option&gt; &lt;option value = ""1979""&gt; 1979 &lt;/ option&gt; &lt;option value = ""1978""&gt; 1978 &lt;/ option &gt; &lt;option value = ""1977""&gt; 1977 &lt;/ option&gt; &lt;"&amp;"option value = ""1976""&gt; 1976 &lt;/ option&gt; &lt;option value = ""1975""&gt; 1975 &lt;/ option&gt; &lt;option value = ""1974""&gt; 1974 &lt; / option&gt; &lt;option value = ""1973""&gt; 1973 &lt;/ option&gt; &lt;option value = ""1972""&gt; 1972 &lt;/ option&gt; &lt;option value = ""1971""&gt; 1971 &lt;/ option&gt; &lt;op"&amp;"tion value = ""1970""&gt; 1970 &lt;/ option&gt; &lt;option value = ""1969""&gt; 1969 &lt;/ option&gt; &lt;option value = ""1968""&gt; 1968 &lt;/ option&gt; &lt;option value = ""1967""&gt; 1967 &lt;/ option&gt; &lt;option value = ""1966 ""&gt; 1966 &lt;/ option&gt; &lt;option value ="" 1965 ""&gt; 1965 &lt;/ option&gt; &lt;opt"&amp;"ion value ="" 1964 ""&gt; 1964 &lt;/ option&gt; &lt;option value ="" 1963 ""&gt; 1963 &lt;/ option&gt; &lt;option value = ""1962""&gt; 1962 &lt;/ option&gt; &lt;option value = ""1961""&gt; 1961 &lt;/ option&gt; &lt;option value = ""1960""&gt; 1960 &lt;/ op tion&gt; &lt;option value = ""1959""&gt; 1959 &lt;/ option&gt; &lt;opt"&amp;"ion value = ""1958""&gt; 1958 &lt;/ option&gt; &lt;option value = ""1957""&gt; 1957 &lt;/ option&gt; &lt;option value = ""1956""&gt; 1956 &lt;/ option&gt; &lt;option value = ""1955""&gt; 1955 &lt;/ option&gt; &lt;option value = ""1954""&gt; 1954 &lt;/ option&gt; &lt;option value = ""1953""&gt; 1953 &lt;/ option&gt; &lt;option"&amp;" value = ""1952"" &gt; 1952 &lt;/ option&gt; &lt;option value = ""1951""&gt; 1951 &lt;/ option&gt; &lt;option value = ""1950""&gt; 1950 &lt;/ option&gt; &lt;option value = ""1949""&gt; 1949 &lt;/ option&gt; &lt;option value = "" 1948 ""&gt; 1948 &lt;/ option&gt; &lt;option value ="" 1947 ""&gt; 1947 &lt;/ option&gt; &lt;optio"&amp;"n value ="" 1946 ""&gt; 1946 &lt;/ option&gt; &lt;option value ="" 1945 ""&gt; 1945 &lt;/ option&gt; &lt;option value = ""1944""&gt; 1944 &lt;/ option&gt; &lt;option value = ""1943""&gt; 1943 &lt;/ option&gt; &lt;option value = ""1942""&gt; 1942 &lt;/ option&gt; &lt;option value = ""1941""&gt; 1941 &lt;/ option&gt; &lt; optio"&amp;"n value = ""1940""&gt; 1940 &lt;/ option&gt; &lt;option value = ""1939""&gt; 1939 &lt;/ option&gt; &lt;option value = ""1938""&gt; 1938 &lt;/ option&gt; &lt;option value = ""1937""&gt; 1937 &lt;/ option &gt; &lt;option value = ""1936""&gt; 1936 &lt;/ option&gt; &lt;option value = ""1935""&gt; 1935 &lt;/ option&gt; &lt;option "&amp;"value = ""1934""&gt; 1934 &lt;/ option&gt; &lt;option value = ""1933""&gt; 1933 &lt; / option&gt; &lt;option value = ""1932""&gt; 1932 &lt;/ option&gt; &lt;option value = ""1931""&gt; 1931 &lt;/ option&gt; &lt;option v alue = ""1930""&gt; 1930 &lt;/ option&gt; &lt;option value = ""1929""&gt; 1929 &lt;/ option&gt; &lt;option v"&amp;"alue = ""1928""&gt; 1928 &lt;/ option&gt; &lt;option value = ""1927""&gt; 1927 &lt;/ option&gt; &lt;option value = ""1926""&gt; 1926 &lt;/ option&gt; &lt;option value = ""1925""&gt; 1925 &lt;/ option&gt; &lt;option value = ""1924""&gt; 1924 &lt;/ option&gt; &lt;option value = ""1923""&gt; 1923 &lt;/ option&gt; &lt;option valu"&amp;"e = ""1922""&gt; 1922 &lt;/ option&gt; &lt;option value = ""1921""&gt; 1921 &lt;/ option&gt; &lt;option value = ""1920""&gt; 1920 &lt;/ option&gt; &lt;option value = ""1919""&gt; 1919 &lt;/ option&gt; &lt;option value = ""1918""&gt; 1918 &lt;/ option&gt; &lt;option value = ""1917""&gt; 1917 &lt;/ option&gt; &lt;option value ="&amp;" ""1916""&gt; 1916 &lt;/ option&gt; &lt;option value = ""1915"" &gt; 1915 &lt;/ option&gt; &lt;option value = ""1914""&gt; 1914 &lt;/ option&gt; &lt;option value = ""1913""&gt; 1913 &lt;/ option&gt; &lt;option value = ""1912""&gt; 1912 &lt;/ option&gt; &lt;option value = "" 1911 ""&gt; 1911 &lt;/ option&gt; &lt;option value ="&amp;""" 1910 ""&gt; 1910 &lt;/ option&gt; &lt;option value ="" 1909 ""&gt; 1909 &lt;/ option&gt; &lt;option value ="" 1908 ""&gt; 1908 &lt;/ option&gt; &lt;option value = ""1907""&gt; 1907 &lt;/ option&gt; &lt;option value = ""1906""&gt; 1906 &lt;/ option&gt; &lt;option value = ""1905""&gt; 1905 &lt;/ option&gt; &lt;option value ="&amp;" ""1904""&gt; 1904 &lt;/ option&gt; &lt; option value = ""1903""&gt; 1903 &lt;/ option&gt; &lt;option value = ""1902""&gt; 1902 &lt;/ option&gt; &lt;option value = ""1901""&gt; 19 01 &lt;/ option&gt; &lt;option value = ""1900""&gt; 1900 &lt;/ option&gt; &lt;/ select&gt; &lt;div tabindex = ""- 1"" class = ""airy-age-gate"&amp;"-submit airy-submit-button airy airy-submit- disabled ""&gt; Submit &lt;/ div&gt; &lt;/ div&gt; &lt;/ div&gt; &lt;/ div&gt; &lt;/ div&gt; &lt;/ div&gt; &lt;div tabindex ="" - 1 ""class ="" airy-install-flash-dialog airy-course airy -Vertical-centering-table dialog airy-airy-denied ""style ="" opa"&amp;"city: 0; visibility: hidden; ""&gt; &lt;div tabindex ="" - 1 ""class ="" airy-install-flash-vertical-centering-table-cell airy-vertical-centering-table-cell ""&gt; &lt;div tabindex ="" - 1 ""class = ""airy-vertical-centering-wrapper airy-install-flash-elements-wrappe"&amp;"r""&gt; &lt;div tabindex = ""- 1"" class = ""airy-install-flash-elements airy-dialog-elements""&gt; &lt;div tabindex = "" -1 ""class ="" airy-install-flash-prompt ""&gt; Adobe Flash Player is required to watch this video &lt;/ div&gt; &lt;div = tabindex."" - 1 ""class ="" airy-i"&amp;"nstall-flash-button-wrapper airy -dialog-inner-elements ""&gt; &lt;div tabindex ="" - 1 ""class ="" airy-install-flash-button airy-button ""&gt; install Flash Player &lt;/ div&gt; &lt;/ div&gt; &lt;/ div&gt; &lt;/ div&gt; &lt;/ div&gt; &lt;/ div&gt; &lt;div tabindex = ""- 1"" class = ""airy-video-unsup"&amp;"ported-dialog airy-course airy-vertical-centering table-airy-dialog airy-denied"" style = ""opacity: 0; visibility: hidden; ""&gt; &lt;div tabindex ="" - 1 ""class ="" airy-video-unsupported-vertical-centering-table-cell airy-vertical-centering-table-cell ""&gt; &lt;"&amp;"div tabindex ="" - 1 ""class = ""airy-vertical-centering-wrapper airy-video-unsupported-elements-wrapper""&gt; &lt;div tabindex = ""- 1"" class = ""airy-video-unsupported-elements airy-dialog-elements""&gt; &lt;div tabindex = "" -1 ""class ="" airy-video-unsupported-"&amp;"prompt ""&gt; &lt;/ div&gt; &lt;/ div&gt; &lt;/ div&gt; &lt;/ div&gt; &lt;/ div&gt; &lt;div tabindex ="" - 1 ""class ="" airy-loading- spinner-stage airy-stage ""&gt; &lt;div tabindex ="" - 1 ""class ="" airy-loading-spinner-vertical-centering-table-cell airy-vertical-centering-table-cell ""&gt; &lt;di"&amp;"v tabindex ="" - 1 ""class ="" airy-loading-spinner container airy-scalable-hint-container ""&gt; &lt;div tabindex ="" - 1 ""class ="" airy-loading-spinner-dummy airy-scalable-dummy ""&gt; &lt;/ div&gt; &lt; div tabindex = ""- 1"" class = ""airy-loading-spinner airy-hint"""&amp;" style = ""visibility: hidden;""&gt; &lt;/ div&gt; &lt;/ div&gt; &lt;/ div&gt; &lt;/ div&gt; &lt;div tabindex = ""- 1 ""class ="" airy-ads-screen-size-toggle airy-screen-size-toggle airy-fullscreen ""style ="" visibility: hidden; ""&gt; &lt;/ div&gt; &lt;div tabindex = ""-1"" class = ""airy-ad-pr"&amp;"ompt-container"" style = ""visibility: hidden;""&gt; &lt;div tabindex = ""- 1"" class = ""airy-ad-prompt-vertical-centering table-airy-vertical- centering-table ""&gt; &lt;div tabindex ="" - 1 ""class ="" airy-ad-prompt-vertical-centering-table-cell airy-vertical-cen"&amp;"tering-table-cell ""&gt; &lt;div tabindex ="" - 1 ""class = ""airy-ad-prompt-label""&gt; &lt;/ div&gt; &lt;/ div&gt; &lt;/ div&gt; &lt;/ div&gt; &lt;div tabindex = ""- 1"" class = ""airy-ads-controls-container"" style = ""visibility: hidden; ""&gt; &lt;div tabindex ="" - 1 ""class ="" airy-ads-au"&amp;"dio-toggle airy-audio-toggle airy-on ""style ="" visibility: hidden; ""&gt; &lt;/ div&gt; &lt;div tabindex ="" - 1 ""class ="" airy-time-remaining-label-container ""&gt; &lt;div tabindex ="" - 1 ""class ="" airy-time-remaining-vertical-centering table-airy-vertical-centeri"&amp;"ng-table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hidde"&amp;"n; ""&gt; &lt;/ div&gt; &lt;/ div&gt; &lt;/ div&gt; &lt;/ div&gt; &lt;/ div&gt; &lt;div tabindex ="" - 1 ""class ="" airy-learn-more ""style ="" visibility: hidden; ""&gt; &lt;/ div&gt; &lt;/ div&gt; &lt;div tabindex = ""- 1"" class = ""airy-play-toggle-hint-stage airy-course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 airy-hint-hint-hint airy-play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pictures-eu"&amp;" .ssl-image amazon.com / images / I / A1uDWIhkNLS.mp4 ""Class ="" video-url ""&gt; &lt;input type ="" hidden ""name ="" ""value ="" https://images-eu.ssl-images-amazon.com/images/I/91DcKLF9YRS.png ""class ="" video-slate-img-url ""&gt; &amp; nbsp; it's very nice to di"&amp;"still perfume exotic scent with this essential oil diffuser. Its compact size is matched only by its quality. It is small just to be forgotten. The 120ml capacity is sufficient for operation of several hours. And no problem when there is more water it wil"&amp;"l stop automatically. The zen simply.")</f>
        <v>The pleasure of fragrance &lt;div id = "video-block-R29T0HI3PXNCNS" class = "a-section-spacing-small in-spacing-top mini video-block"&gt; &lt;div tabindex = "0" class = "airy airy -svg vmin-unsupported airy-skin-beacon "style =" background-color: rgb (0, 0, 0); position: relative; width: 100%; height: 100%; font-size: 0px; overflow: hidden ; outline: none; "&gt; &lt;div class =" airy-renderer-container "style =" position: relative; height: 100%; width: 100%; "&gt; &lt;video id =" 30 "preload =" auto "src = "https://images-eu.ssl-images-amazon.com/images/I/A1uDWIhkNLS.mp4" style = "position: absolute; left: 0px; top: 0px; overflow: hidden; height: 1px; width : 1px; "&gt; &lt;/ video&gt; &lt;/ div&gt; &lt;div id =" airy-slate-preload "style =" background-color: rgb (0, 0, 0); background-image: url (&amp; quot; https: //images-eu.ssl-images-amazon.com/images/I/91DcKLF9YRS.png&amp;quot;); background-size: contain; background-position: center center; background-repeat: no-repeat; position: absolute; top : 0px; left: 0px; visibility: visible; width: 100%; height: 100% "&gt; &lt;/ div&gt; &lt;iframe scr Olling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A1uDWIhkNLS.mp4 "Class =" video-url "&gt; &lt;input type =" hidden "name =" "value =" https://images-eu.ssl-images-amazon.com/images/I/91DcKLF9YRS.png "class =" video-slate-img-url "&gt; &amp; nbsp; it's very nice to distill perfume exotic scent with this essential oil diffuser. Its compact size is matched only by its quality. It is small just to be forgotten. The 120ml capacity is sufficient for operation of several hours. And no problem when there is more water it will stop automatically. The zen simply.</v>
      </c>
    </row>
    <row r="14519">
      <c r="A14519" s="1">
        <v>5.0</v>
      </c>
      <c r="B14519" s="1" t="s">
        <v>14277</v>
      </c>
      <c r="C14519" t="str">
        <f>IFERROR(__xludf.DUMMYFUNCTION("GOOGLETRANSLATE(B14519, ""fr"", ""en"")"),"Perfect Received very quickly, I recommend")</f>
        <v>Perfect Received very quickly, I recommend</v>
      </c>
    </row>
    <row r="14520">
      <c r="A14520" s="1">
        <v>5.0</v>
      </c>
      <c r="B14520" s="1" t="s">
        <v>14278</v>
      </c>
      <c r="C14520" t="str">
        <f>IFERROR(__xludf.DUMMYFUNCTION("GOOGLETRANSLATE(B14520, ""fr"", ""en"")"),"identical to the very pretty picture")</f>
        <v>identical to the very pretty picture</v>
      </c>
    </row>
    <row r="14521">
      <c r="A14521" s="1">
        <v>5.0</v>
      </c>
      <c r="B14521" s="1" t="s">
        <v>14279</v>
      </c>
      <c r="C14521" t="str">
        <f>IFERROR(__xludf.DUMMYFUNCTION("GOOGLETRANSLATE(B14521, ""fr"", ""en"")"),"TOP class this toaster, everything has been said, a beautiful device with 2 slots, the grid breads, it has a function to defrost very effective at setting level, plus he has the class (very stylish) it a heating mode, etc etc, I recommend really happy to "&amp;"see our grill or toast our bread SUPER!")</f>
        <v>TOP class this toaster, everything has been said, a beautiful device with 2 slots, the grid breads, it has a function to defrost very effective at setting level, plus he has the class (very stylish) it a heating mode, etc etc, I recommend really happy to see our grill or toast our bread SUPER!</v>
      </c>
    </row>
    <row r="14522">
      <c r="A14522" s="1">
        <v>5.0</v>
      </c>
      <c r="B14522" s="1" t="s">
        <v>14280</v>
      </c>
      <c r="C14522" t="str">
        <f>IFERROR(__xludf.DUMMYFUNCTION("GOOGLETRANSLATE(B14522, ""fr"", ""en"")"),"301 hp really great very affordable")</f>
        <v>301 hp really great very affordable</v>
      </c>
    </row>
    <row r="14523">
      <c r="A14523" s="1">
        <v>5.0</v>
      </c>
      <c r="B14523" s="1" t="s">
        <v>14281</v>
      </c>
      <c r="C14523" t="str">
        <f>IFERROR(__xludf.DUMMYFUNCTION("GOOGLETRANSLATE(B14523, ""fr"", ""en"")"),"awesome thank you as usual Nothing to say I'm still happy with this brand")</f>
        <v>awesome thank you as usual Nothing to say I'm still happy with this brand</v>
      </c>
    </row>
    <row r="14524">
      <c r="A14524" s="1">
        <v>5.0</v>
      </c>
      <c r="B14524" s="1" t="s">
        <v>14282</v>
      </c>
      <c r="C14524" t="str">
        <f>IFERROR(__xludf.DUMMYFUNCTION("GOOGLETRANSLATE(B14524, ""fr"", ""en"")"),"This watch shows good meets all my expectations, not only in terms of price but also in quality. The leather strap only needs to add a bit more to make you feel good when you wear it. For those who sometimes like to spoil, I think it's a great present.")</f>
        <v>This watch shows good meets all my expectations, not only in terms of price but also in quality. The leather strap only needs to add a bit more to make you feel good when you wear it. For those who sometimes like to spoil, I think it's a great present.</v>
      </c>
    </row>
    <row r="14525">
      <c r="A14525" s="1">
        <v>5.0</v>
      </c>
      <c r="B14525" s="1" t="s">
        <v>14283</v>
      </c>
      <c r="C14525" t="str">
        <f>IFERROR(__xludf.DUMMYFUNCTION("GOOGLETRANSLATE(B14525, ""fr"", ""en"")"),"Pretty Bracelet Very pretty shiny strap well as it should nice effect but for a rather large handful")</f>
        <v>Pretty Bracelet Very pretty shiny strap well as it should nice effect but for a rather large handful</v>
      </c>
    </row>
    <row r="14526">
      <c r="A14526" s="1">
        <v>5.0</v>
      </c>
      <c r="B14526" s="1" t="s">
        <v>14284</v>
      </c>
      <c r="C14526" t="str">
        <f>IFERROR(__xludf.DUMMYFUNCTION("GOOGLETRANSLATE(B14526, ""fr"", ""en"")"),"Recommended liquid percentage thick indeed highly recommended for thick liquids. I wanted to buy these nipples to give chocolate breakfast cereal and soup at night. But my son finally prefers nipples 6 month + since they will run too fast. Finally it make"&amp;"s me look good teats which I take as the bottle I am therefore less convenient for me. It's your BB that will tell you what he likes, but they are very good. I recommend this purchase.")</f>
        <v>Recommended liquid percentage thick indeed highly recommended for thick liquids. I wanted to buy these nipples to give chocolate breakfast cereal and soup at night. But my son finally prefers nipples 6 month + since they will run too fast. Finally it makes me look good teats which I take as the bottle I am therefore less convenient for me. It's your BB that will tell you what he likes, but they are very good. I recommend this purchase.</v>
      </c>
    </row>
    <row r="14527">
      <c r="A14527" s="1">
        <v>5.0</v>
      </c>
      <c r="B14527" s="1" t="s">
        <v>14285</v>
      </c>
      <c r="C14527" t="str">
        <f>IFERROR(__xludf.DUMMYFUNCTION("GOOGLETRANSLATE(B14527, ""fr"", ""en"")"),"Pretty cool, cool")</f>
        <v>Pretty cool, cool</v>
      </c>
    </row>
    <row r="14528">
      <c r="A14528" s="1">
        <v>5.0</v>
      </c>
      <c r="B14528" s="1" t="s">
        <v>14286</v>
      </c>
      <c r="C14528" t="str">
        <f>IFERROR(__xludf.DUMMYFUNCTION("GOOGLETRANSLATE(B14528, ""fr"", ""en"")"),"Great product as usual being a loyal brand I'm not disappointed, cardio is not very accurate at first but is refined at progressively exits surely a kind of calibration. I appreciate his size that I n'st not a big handle is discreet enough can wear every "&amp;"day. Bluetooth is a real plus. I recommend")</f>
        <v>Great product as usual being a loyal brand I'm not disappointed, cardio is not very accurate at first but is refined at progressively exits surely a kind of calibration. I appreciate his size that I n'st not a big handle is discreet enough can wear every day. Bluetooth is a real plus. I recommend</v>
      </c>
    </row>
    <row r="14529">
      <c r="A14529" s="1">
        <v>2.0</v>
      </c>
      <c r="B14529" s="1" t="s">
        <v>14287</v>
      </c>
      <c r="C14529" t="str">
        <f>IFERROR(__xludf.DUMMYFUNCTION("GOOGLETRANSLATE(B14529, ""fr"", ""en"")"),"practical product but not good quality. practical product which is characterized by a crank allowing to rotate the brush inside the bottles. However wears very quickly and after two months for me have bumps dessoudées their sleeves. Too bad because the co"&amp;"lors are nice and fast delivery ....")</f>
        <v>practical product but not good quality. practical product which is characterized by a crank allowing to rotate the brush inside the bottles. However wears very quickly and after two months for me have bumps dessoudées their sleeves. Too bad because the colors are nice and fast delivery ....</v>
      </c>
    </row>
    <row r="14530">
      <c r="A14530" s="1">
        <v>1.0</v>
      </c>
      <c r="B14530" s="1" t="s">
        <v>14288</v>
      </c>
      <c r="C14530" t="str">
        <f>IFERROR(__xludf.DUMMYFUNCTION("GOOGLETRANSLATE(B14530, ""fr"", ""en"")"),"Not good at all ! Quality and poor product expected worse than expected! Uncomfortable!")</f>
        <v>Not good at all ! Quality and poor product expected worse than expected! Uncomfortable!</v>
      </c>
    </row>
    <row r="14531">
      <c r="A14531" s="1">
        <v>3.0</v>
      </c>
      <c r="B14531" s="1" t="s">
        <v>14289</v>
      </c>
      <c r="C14531" t="str">
        <f>IFERROR(__xludf.DUMMYFUNCTION("GOOGLETRANSLATE(B14531, ""fr"", ""en"")"),"Not just too much size .Color inconsistent with the picture we see no military colors. But hot damage")</f>
        <v>Not just too much size .Color inconsistent with the picture we see no military colors. But hot damage</v>
      </c>
    </row>
    <row r="14532">
      <c r="A14532" s="1">
        <v>3.0</v>
      </c>
      <c r="B14532" s="1" t="s">
        <v>14290</v>
      </c>
      <c r="C14532" t="str">
        <f>IFERROR(__xludf.DUMMYFUNCTION("GOOGLETRANSLATE(B14532, ""fr"", ""en"")"),"OK except for the noise reduction Most: several sizes should be appropriate for almost any ear headphones tight fit, no worries for sports with such lightweight accessory and cheap work normally passive when n 'are over the battery -: the big problems is "&amp;"the efficiency of active noise reduction (tested by train, bus, airplane etc.), a joke (compared to eg Bose was not buying. for it. ear somewhat difficult / painful to insert in my case, or so I'm really not good")</f>
        <v>OK except for the noise reduction Most: several sizes should be appropriate for almost any ear headphones tight fit, no worries for sports with such lightweight accessory and cheap work normally passive when n 'are over the battery -: the big problems is the efficiency of active noise reduction (tested by train, bus, airplane etc.), a joke (compared to eg Bose was not buying. for it. ear somewhat difficult / painful to insert in my case, or so I'm really not good</v>
      </c>
    </row>
    <row r="14533">
      <c r="A14533" s="1">
        <v>4.0</v>
      </c>
      <c r="B14533" s="1" t="s">
        <v>14291</v>
      </c>
      <c r="C14533" t="str">
        <f>IFERROR(__xludf.DUMMYFUNCTION("GOOGLETRANSLATE(B14533, ""fr"", ""en"")"),"To advise Great price")</f>
        <v>To advise Great price</v>
      </c>
    </row>
    <row r="14534">
      <c r="A14534" s="1">
        <v>4.0</v>
      </c>
      <c r="B14534" s="1" t="s">
        <v>14292</v>
      </c>
      <c r="C14534" t="str">
        <f>IFERROR(__xludf.DUMMYFUNCTION("GOOGLETRANSLATE(B14534, ""fr"", ""en"")"),"Quality, delivery delay compliant product, a little big size")</f>
        <v>Quality, delivery delay compliant product, a little big size</v>
      </c>
    </row>
    <row r="14535">
      <c r="A14535" s="1">
        <v>4.0</v>
      </c>
      <c r="B14535" s="1" t="s">
        <v>14293</v>
      </c>
      <c r="C14535" t="str">
        <f>IFERROR(__xludf.DUMMYFUNCTION("GOOGLETRANSLATE(B14535, ""fr"", ""en"")"),"Attention to the size Please make sure to take one size bigger I have ordered a bigger size for a perfect")</f>
        <v>Attention to the size Please make sure to take one size bigger I have ordered a bigger size for a perfect</v>
      </c>
    </row>
    <row r="14536">
      <c r="A14536" s="1">
        <v>4.0</v>
      </c>
      <c r="B14536" s="1" t="s">
        <v>14294</v>
      </c>
      <c r="C14536" t="str">
        <f>IFERROR(__xludf.DUMMYFUNCTION("GOOGLETRANSLATE(B14536, ""fr"", ""en"")"),"Excellent micro material that gives a deep sense of quality. Very functional which gives a clear and precise listening. Tested and approved for 1 year. Sending clean and fast")</f>
        <v>Excellent micro material that gives a deep sense of quality. Very functional which gives a clear and precise listening. Tested and approved for 1 year. Sending clean and fast</v>
      </c>
    </row>
    <row r="14537">
      <c r="A14537" s="1">
        <v>5.0</v>
      </c>
      <c r="B14537" s="1" t="s">
        <v>14295</v>
      </c>
      <c r="C14537" t="str">
        <f>IFERROR(__xludf.DUMMYFUNCTION("GOOGLETRANSLATE(B14537, ""fr"", ""en"")"),"I recommend Product consistent with the description. warm and soft jacket. red wine chosen just sublime.")</f>
        <v>I recommend Product consistent with the description. warm and soft jacket. red wine chosen just sublime.</v>
      </c>
    </row>
    <row r="14538">
      <c r="A14538" s="1">
        <v>5.0</v>
      </c>
      <c r="B14538" s="1" t="s">
        <v>14296</v>
      </c>
      <c r="C14538" t="str">
        <f>IFERROR(__xludf.DUMMYFUNCTION("GOOGLETRANSLATE(B14538, ""fr"", ""en"")"),"Okay heater quickly and correctly, by steam. The amount of water to be indicated on the device is perfect. Nothing to add. Very good product, I highly recommend.")</f>
        <v>Okay heater quickly and correctly, by steam. The amount of water to be indicated on the device is perfect. Nothing to add. Very good product, I highly recommend.</v>
      </c>
    </row>
    <row r="14539">
      <c r="A14539" s="1">
        <v>5.0</v>
      </c>
      <c r="B14539" s="1" t="s">
        <v>14297</v>
      </c>
      <c r="C14539" t="str">
        <f>IFERROR(__xludf.DUMMYFUNCTION("GOOGLETRANSLATE(B14539, ""fr"", ""en"")"),"Matches the description Hello products matching the lightweight quality description I'm very happy I recommend and I bought another pair for my brother he was happy in addition it offers a pair of socks c ' is nice of them thank you")</f>
        <v>Matches the description Hello products matching the lightweight quality description I'm very happy I recommend and I bought another pair for my brother he was happy in addition it offers a pair of socks c ' is nice of them thank you</v>
      </c>
    </row>
    <row r="14540">
      <c r="A14540" s="1">
        <v>5.0</v>
      </c>
      <c r="B14540" s="1" t="s">
        <v>14298</v>
      </c>
      <c r="C14540" t="str">
        <f>IFERROR(__xludf.DUMMYFUNCTION("GOOGLETRANSLATE(B14540, ""fr"", ""en"")"),"Perfectly perfect Beautiful jewelry after 1 month of daily use (even in the shower) adornment of my daughter n has not budged always golden and shiny. The earrings are perfect, the stem is long (I have had problem with children because stem loops often to"&amp;"o short) My daughter is happy. For the price I think it's great !!!!!")</f>
        <v>Perfectly perfect Beautiful jewelry after 1 month of daily use (even in the shower) adornment of my daughter n has not budged always golden and shiny. The earrings are perfect, the stem is long (I have had problem with children because stem loops often too short) My daughter is happy. For the price I think it's great !!!!!</v>
      </c>
    </row>
    <row r="14541">
      <c r="A14541" s="1">
        <v>5.0</v>
      </c>
      <c r="B14541" s="1" t="s">
        <v>14299</v>
      </c>
      <c r="C14541" t="str">
        <f>IFERROR(__xludf.DUMMYFUNCTION("GOOGLETRANSLATE(B14541, ""fr"", ""en"")"),"Comfortable and quality very happy with my purchase. Let's be honest, the quality is not as good as on my old headphones € 160, but the value for money is much better, I was not expecting to have a sound so good. The headphones are very comfortable, even "&amp;"on prolonged use Hold tight to the ears, does not fall short when I when I'm cycling I recommend!")</f>
        <v>Comfortable and quality very happy with my purchase. Let's be honest, the quality is not as good as on my old headphones € 160, but the value for money is much better, I was not expecting to have a sound so good. The headphones are very comfortable, even on prolonged use Hold tight to the ears, does not fall short when I when I'm cycling I recommend!</v>
      </c>
    </row>
    <row r="14542">
      <c r="A14542" s="1">
        <v>5.0</v>
      </c>
      <c r="B14542" s="1" t="s">
        <v>14300</v>
      </c>
      <c r="C14542" t="str">
        <f>IFERROR(__xludf.DUMMYFUNCTION("GOOGLETRANSLATE(B14542, ""fr"", ""en"")"),"good but a little big present was an old train")</f>
        <v>good but a little big present was an old train</v>
      </c>
    </row>
    <row r="14543">
      <c r="A14543" s="1">
        <v>5.0</v>
      </c>
      <c r="B14543" s="1" t="s">
        <v>14301</v>
      </c>
      <c r="C14543" t="str">
        <f>IFERROR(__xludf.DUMMYFUNCTION("GOOGLETRANSLATE(B14543, ""fr"", ""en"")"),"at the top it's been several months since I the door, and she is really more beautiful than the picture. no worries, I do not regret that choice.")</f>
        <v>at the top it's been several months since I the door, and she is really more beautiful than the picture. no worries, I do not regret that choice.</v>
      </c>
    </row>
    <row r="14544">
      <c r="A14544" s="1">
        <v>5.0</v>
      </c>
      <c r="B14544" s="1" t="s">
        <v>14302</v>
      </c>
      <c r="C14544" t="str">
        <f>IFERROR(__xludf.DUMMYFUNCTION("GOOGLETRANSLATE(B14544, ""fr"", ""en"")"),"very good product very very comfortable bo, detached quality")</f>
        <v>very good product very very comfortable bo, detached quality</v>
      </c>
    </row>
    <row r="14545">
      <c r="A14545" s="1">
        <v>5.0</v>
      </c>
      <c r="B14545" s="1" t="s">
        <v>14303</v>
      </c>
      <c r="C14545" t="str">
        <f>IFERROR(__xludf.DUMMYFUNCTION("GOOGLETRANSLATE(B14545, ""fr"", ""en"")"),"Pretty Good and very pretty great for grandpa. the class")</f>
        <v>Pretty Good and very pretty great for grandpa. the class</v>
      </c>
    </row>
    <row r="14546">
      <c r="A14546" s="1">
        <v>5.0</v>
      </c>
      <c r="B14546" s="1" t="s">
        <v>14304</v>
      </c>
      <c r="C14546" t="str">
        <f>IFERROR(__xludf.DUMMYFUNCTION("GOOGLETRANSLATE(B14546, ""fr"", ""en"")"),"Perfect Very effective for scabies pasta and chicken feathers")</f>
        <v>Perfect Very effective for scabies pasta and chicken feathers</v>
      </c>
    </row>
    <row r="14547">
      <c r="A14547" s="1">
        <v>5.0</v>
      </c>
      <c r="B14547" s="1" t="s">
        <v>14305</v>
      </c>
      <c r="C14547" t="str">
        <f>IFERROR(__xludf.DUMMYFUNCTION("GOOGLETRANSLATE(B14547, ""fr"", ""en"")"),"Only high quality Micro noise 5dBA (extremely low) really great, be sure the power supply 48v Phantom;) I use with my singer and the sound is very clear nothing wrong. I recommend")</f>
        <v>Only high quality Micro noise 5dBA (extremely low) really great, be sure the power supply 48v Phantom;) I use with my singer and the sound is very clear nothing wrong. I recommend</v>
      </c>
    </row>
    <row r="14548">
      <c r="A14548" s="1">
        <v>5.0</v>
      </c>
      <c r="B14548" s="1" t="s">
        <v>14306</v>
      </c>
      <c r="C14548" t="str">
        <f>IFERROR(__xludf.DUMMYFUNCTION("GOOGLETRANSLATE(B14548, ""fr"", ""en"")"),"well cut and comfortable material cut")</f>
        <v>well cut and comfortable material cut</v>
      </c>
    </row>
    <row r="14549">
      <c r="A14549" s="1">
        <v>5.0</v>
      </c>
      <c r="B14549" s="1" t="s">
        <v>14307</v>
      </c>
      <c r="C14549" t="str">
        <f>IFERROR(__xludf.DUMMYFUNCTION("GOOGLETRANSLATE(B14549, ""fr"", ""en"")"),"A beautiful poetic story to prepare for Christmas")</f>
        <v>A beautiful poetic story to prepare for Christmas</v>
      </c>
    </row>
    <row r="14550">
      <c r="A14550" s="1">
        <v>5.0</v>
      </c>
      <c r="B14550" s="1" t="s">
        <v>14308</v>
      </c>
      <c r="C14550" t="str">
        <f>IFERROR(__xludf.DUMMYFUNCTION("GOOGLETRANSLATE(B14550, ""fr"", ""en"")"),"Excellent! The product is exactly what I expected, namely shoes Latin dance inside. They are comfortable, cut relatively well, are adapted to slightly wider feet (a bit cowardly to foot for this). Once you understand the operation of the loop fastener, it"&amp;" is found really handy. I ordered for a group of dancers, I lack a pair, delivered later than the others, I do not understand; for those that have already been delivered to me, they even arrived before the date! I just do not understand the pricing of pos"&amp;"tage, but they are not very expensive compared to other sites, it's not very serious. I recommend!")</f>
        <v>Excellent! The product is exactly what I expected, namely shoes Latin dance inside. They are comfortable, cut relatively well, are adapted to slightly wider feet (a bit cowardly to foot for this). Once you understand the operation of the loop fastener, it is found really handy. I ordered for a group of dancers, I lack a pair, delivered later than the others, I do not understand; for those that have already been delivered to me, they even arrived before the date! I just do not understand the pricing of postage, but they are not very expensive compared to other sites, it's not very serious. I recommend!</v>
      </c>
    </row>
    <row r="14551">
      <c r="A14551" s="1">
        <v>5.0</v>
      </c>
      <c r="B14551" s="1" t="s">
        <v>14309</v>
      </c>
      <c r="C14551" t="str">
        <f>IFERROR(__xludf.DUMMYFUNCTION("GOOGLETRANSLATE(B14551, ""fr"", ""en"")"),"Perfect Command past 6 December and received today December 8 shipping so fast. Jogging is just perfect. I took a size S and size very well. Darling will be happy with his Christmas present. I recommend without hesitation.")</f>
        <v>Perfect Command past 6 December and received today December 8 shipping so fast. Jogging is just perfect. I took a size S and size very well. Darling will be happy with his Christmas present. I recommend without hesitation.</v>
      </c>
    </row>
    <row r="14552">
      <c r="A14552" s="1">
        <v>5.0</v>
      </c>
      <c r="B14552" s="1" t="s">
        <v>14310</v>
      </c>
      <c r="C14552" t="str">
        <f>IFERROR(__xludf.DUMMYFUNCTION("GOOGLETRANSLATE(B14552, ""fr"", ""en"")"),"Excellent coffee. I was looking for a kettle for my mother, who wanted a model that is practical, design and sustainable. Tefal This model was also preferred over other brands because the 1.2 liter fuel tank offers an ideal compromise between weight and c"&amp;"apacity. I chose Tefal for the memory of a similar product that has done its job for very long. In use, no defect found. So kettle on which we can rely.")</f>
        <v>Excellent coffee. I was looking for a kettle for my mother, who wanted a model that is practical, design and sustainable. Tefal This model was also preferred over other brands because the 1.2 liter fuel tank offers an ideal compromise between weight and capacity. I chose Tefal for the memory of a similar product that has done its job for very long. In use, no defect found. So kettle on which we can rely.</v>
      </c>
    </row>
    <row r="14553">
      <c r="A14553" s="1">
        <v>2.0</v>
      </c>
      <c r="B14553" s="1" t="s">
        <v>14311</v>
      </c>
      <c r="C14553" t="str">
        <f>IFERROR(__xludf.DUMMYFUNCTION("GOOGLETRANSLATE(B14553, ""fr"", ""en"")"),"Expensive but consistent no choice because it was asked at the last minute but 15 euros ouch it hurts to paper")</f>
        <v>Expensive but consistent no choice because it was asked at the last minute but 15 euros ouch it hurts to paper</v>
      </c>
    </row>
    <row r="14554">
      <c r="A14554" s="1">
        <v>1.0</v>
      </c>
      <c r="B14554" s="1" t="s">
        <v>14312</v>
      </c>
      <c r="C14554" t="str">
        <f>IFERROR(__xludf.DUMMYFUNCTION("GOOGLETRANSLATE(B14554, ""fr"", ""en"")"),"No effective and chemical smell really need any ke empty bottle for a little odor except lemon. Very disappointed for this purchase")</f>
        <v>No effective and chemical smell really need any ke empty bottle for a little odor except lemon. Very disappointed for this purchase</v>
      </c>
    </row>
    <row r="14555">
      <c r="A14555" s="1">
        <v>1.0</v>
      </c>
      <c r="B14555" s="1" t="s">
        <v>14313</v>
      </c>
      <c r="C14555" t="str">
        <f>IFERROR(__xludf.DUMMYFUNCTION("GOOGLETRANSLATE(B14555, ""fr"", ""en"")"),"Excellent liquid but not the right cap! The detergent's great but cons have to buy it with the cap which is foamed (also available on Amazon almost the same price). With the simple opening penalty in the liquid is emptied a week and it really does not was"&amp;"h well!")</f>
        <v>Excellent liquid but not the right cap! The detergent's great but cons have to buy it with the cap which is foamed (also available on Amazon almost the same price). With the simple opening penalty in the liquid is emptied a week and it really does not wash well!</v>
      </c>
    </row>
    <row r="14556">
      <c r="A14556" s="1">
        <v>3.0</v>
      </c>
      <c r="B14556" s="1" t="s">
        <v>14314</v>
      </c>
      <c r="C14556" t="str">
        <f>IFERROR(__xludf.DUMMYFUNCTION("GOOGLETRANSLATE(B14556, ""fr"", ""en"")"),"Strength of zippers A zippered laché by sliding several times reaches the hand but it is not solid Damage")</f>
        <v>Strength of zippers A zippered laché by sliding several times reaches the hand but it is not solid Damage</v>
      </c>
    </row>
    <row r="14557">
      <c r="A14557" s="1">
        <v>3.0</v>
      </c>
      <c r="B14557" s="1" t="s">
        <v>14315</v>
      </c>
      <c r="C14557" t="str">
        <f>IFERROR(__xludf.DUMMYFUNCTION("GOOGLETRANSLATE(B14557, ""fr"", ""en"")"),"Real Leather I just installed this bracelet to my shows easily with the tool provided .The leather and not too thick it may sound good and well finished and looks solid")</f>
        <v>Real Leather I just installed this bracelet to my shows easily with the tool provided .The leather and not too thick it may sound good and well finished and looks solid</v>
      </c>
    </row>
    <row r="14558">
      <c r="A14558" s="1">
        <v>4.0</v>
      </c>
      <c r="B14558" s="1" t="s">
        <v>14316</v>
      </c>
      <c r="C14558" t="str">
        <f>IFERROR(__xludf.DUMMYFUNCTION("GOOGLETRANSLATE(B14558, ""fr"", ""en"")"),"Correct little fragrance this particular softener. No known perfume. Softens clothes (yes) OK")</f>
        <v>Correct little fragrance this particular softener. No known perfume. Softens clothes (yes) OK</v>
      </c>
    </row>
    <row r="14559">
      <c r="A14559" s="1">
        <v>4.0</v>
      </c>
      <c r="B14559" s="1" t="s">
        <v>14317</v>
      </c>
      <c r="C14559" t="str">
        <f>IFERROR(__xludf.DUMMYFUNCTION("GOOGLETRANSLATE(B14559, ""fr"", ""en"")"),"Very good buy very practical, ideal for cleaning teats and teat taffy milk. To see in the time but I recommend this article")</f>
        <v>Very good buy very practical, ideal for cleaning teats and teat taffy milk. To see in the time but I recommend this article</v>
      </c>
    </row>
    <row r="14560">
      <c r="A14560" s="1">
        <v>4.0</v>
      </c>
      <c r="B14560" s="1" t="s">
        <v>14318</v>
      </c>
      <c r="C14560" t="str">
        <f>IFERROR(__xludf.DUMMYFUNCTION("GOOGLETRANSLATE(B14560, ""fr"", ""en"")"),"so the size is very important delivery is faster but at the size thank you")</f>
        <v>so the size is very important delivery is faster but at the size thank you</v>
      </c>
    </row>
    <row r="14561">
      <c r="A14561" s="1">
        <v>4.0</v>
      </c>
      <c r="B14561" s="1" t="s">
        <v>14319</v>
      </c>
      <c r="C14561" t="str">
        <f>IFERROR(__xludf.DUMMYFUNCTION("GOOGLETRANSLATE(B14561, ""fr"", ""en"")"),"Very Good Shoes received in 2 days thanks to Amazon Prime, a strong new smell was held at the opening but did not stay long, I've seen comments announcing a squeak of shoes, indeed it is now strong enough at the beginning when they are trying in our vacuu"&amp;"m chamber, then they disappear quickly, outside means nothing, or it should not be noise and listen. Very satisfied. Flat, the box arrived with a damaged corner, really not much good but it proves the non-respect of the carriers that swing packages in tru"&amp;"cks or elsewhere. (Shoes without damage)")</f>
        <v>Very Good Shoes received in 2 days thanks to Amazon Prime, a strong new smell was held at the opening but did not stay long, I've seen comments announcing a squeak of shoes, indeed it is now strong enough at the beginning when they are trying in our vacuum chamber, then they disappear quickly, outside means nothing, or it should not be noise and listen. Very satisfied. Flat, the box arrived with a damaged corner, really not much good but it proves the non-respect of the carriers that swing packages in trucks or elsewhere. (Shoes without damage)</v>
      </c>
    </row>
    <row r="14562">
      <c r="A14562" s="1">
        <v>5.0</v>
      </c>
      <c r="B14562" s="1" t="s">
        <v>14320</v>
      </c>
      <c r="C14562" t="str">
        <f>IFERROR(__xludf.DUMMYFUNCTION("GOOGLETRANSLATE(B14562, ""fr"", ""en"")"),"HP cartridges Ordered emergency as usual, when one falls cartridge failure. Fast delivery (2 days) for a quality product.")</f>
        <v>HP cartridges Ordered emergency as usual, when one falls cartridge failure. Fast delivery (2 days) for a quality product.</v>
      </c>
    </row>
    <row r="14563">
      <c r="A14563" s="1">
        <v>5.0</v>
      </c>
      <c r="B14563" s="1" t="s">
        <v>14321</v>
      </c>
      <c r="C14563" t="str">
        <f>IFERROR(__xludf.DUMMYFUNCTION("GOOGLETRANSLATE(B14563, ""fr"", ""en"")"),"Very good product J was very skeptical about this and have ordered 2 for the shot. 1 for each voiture.Livraison 8 day before the date. Nickel. I was afraid this is a gadget and then actually no, this magnet is super powerful and very very good like my pho"&amp;"ne. I highly recommend .")</f>
        <v>Very good product J was very skeptical about this and have ordered 2 for the shot. 1 for each voiture.Livraison 8 day before the date. Nickel. I was afraid this is a gadget and then actually no, this magnet is super powerful and very very good like my phone. I highly recommend .</v>
      </c>
    </row>
    <row r="14564">
      <c r="A14564" s="1">
        <v>5.0</v>
      </c>
      <c r="B14564" s="1" t="s">
        <v>14322</v>
      </c>
      <c r="C14564" t="str">
        <f>IFERROR(__xludf.DUMMYFUNCTION("GOOGLETRANSLATE(B14564, ""fr"", ""en"")"),"A great brand My sister found the perfect bottle for her baby 8 months We are accustomed to use this brand The ergonomics of this bottle is really a key point because it fits into any position. Teat imitating the shape of the breasts or for the passage of"&amp;" alternating breastfeeding. More colic - but previous bottles also had this quality. Easy to clean due to so wide neck. In short many qualities for a healthy and convenient bottle.")</f>
        <v>A great brand My sister found the perfect bottle for her baby 8 months We are accustomed to use this brand The ergonomics of this bottle is really a key point because it fits into any position. Teat imitating the shape of the breasts or for the passage of alternating breastfeeding. More colic - but previous bottles also had this quality. Easy to clean due to so wide neck. In short many qualities for a healthy and convenient bottle.</v>
      </c>
    </row>
    <row r="14565">
      <c r="A14565" s="1">
        <v>5.0</v>
      </c>
      <c r="B14565" s="1" t="s">
        <v>14323</v>
      </c>
      <c r="C14565" t="str">
        <f>IFERROR(__xludf.DUMMYFUNCTION("GOOGLETRANSLATE(B14565, ""fr"", ""en"")"),"Genuine product I buy the camel color model in daky but it was not the black model so I ordered on Amazon product is exactly the same size as well as quality.")</f>
        <v>Genuine product I buy the camel color model in daky but it was not the black model so I ordered on Amazon product is exactly the same size as well as quality.</v>
      </c>
    </row>
    <row r="14566">
      <c r="A14566" s="1">
        <v>5.0</v>
      </c>
      <c r="B14566" s="1" t="s">
        <v>14324</v>
      </c>
      <c r="C14566" t="str">
        <f>IFERROR(__xludf.DUMMYFUNCTION("GOOGLETRANSLATE(B14566, ""fr"", ""en"")"),"A pars bors top jadore super super nice by against the inner edge of the top its not easy to clean or I love")</f>
        <v>A pars bors top jadore super super nice by against the inner edge of the top its not easy to clean or I love</v>
      </c>
    </row>
    <row r="14567">
      <c r="A14567" s="1">
        <v>5.0</v>
      </c>
      <c r="B14567" s="1" t="s">
        <v>14325</v>
      </c>
      <c r="C14567" t="str">
        <f>IFERROR(__xludf.DUMMYFUNCTION("GOOGLETRANSLATE(B14567, ""fr"", ""en"")"),"Strength Finally slippers that will last well over a year. A thick sole, solid manufacture and comfort. I took my waist and it suited me. Very good article.")</f>
        <v>Strength Finally slippers that will last well over a year. A thick sole, solid manufacture and comfort. I took my waist and it suited me. Very good article.</v>
      </c>
    </row>
    <row r="14568">
      <c r="A14568" s="1">
        <v>5.0</v>
      </c>
      <c r="B14568" s="1" t="s">
        <v>14326</v>
      </c>
      <c r="C14568" t="str">
        <f>IFERROR(__xludf.DUMMYFUNCTION("GOOGLETRANSLATE(B14568, ""fr"", ""en"")"),"Perfect product fully compliant and arrived in perfect condition, it's great! (The paper is matte, very similar to a machine paper, you can write or draw on it without problems)")</f>
        <v>Perfect product fully compliant and arrived in perfect condition, it's great! (The paper is matte, very similar to a machine paper, you can write or draw on it without problems)</v>
      </c>
    </row>
    <row r="14569">
      <c r="A14569" s="1">
        <v>5.0</v>
      </c>
      <c r="B14569" s="1" t="s">
        <v>14327</v>
      </c>
      <c r="C14569" t="str">
        <f>IFERROR(__xludf.DUMMYFUNCTION("GOOGLETRANSLATE(B14569, ""fr"", ""en"")"),"SUPER LEGGING LEGGING 1 RECEIVED QUICKLY MEET THE PRODUCT DESCRIPTION WELL GOOD OPAQUE CUP AND NICE DESIGN MEETS SUPER SIZE EFFECT ON SELF IN J AM VERY PLEASED I THINK EVEN RECOMMEND ONE 2ND")</f>
        <v>SUPER LEGGING LEGGING 1 RECEIVED QUICKLY MEET THE PRODUCT DESCRIPTION WELL GOOD OPAQUE CUP AND NICE DESIGN MEETS SUPER SIZE EFFECT ON SELF IN J AM VERY PLEASED I THINK EVEN RECOMMEND ONE 2ND</v>
      </c>
    </row>
    <row r="14570">
      <c r="A14570" s="1">
        <v>5.0</v>
      </c>
      <c r="B14570" s="1" t="s">
        <v>14328</v>
      </c>
      <c r="C14570" t="str">
        <f>IFERROR(__xludf.DUMMYFUNCTION("GOOGLETRANSLATE(B14570, ""fr"", ""en"")"),"small series of books Book nice small and easy to read for children learning to read, effective method, I recommend and history are diverse")</f>
        <v>small series of books Book nice small and easy to read for children learning to read, effective method, I recommend and history are diverse</v>
      </c>
    </row>
    <row r="14571">
      <c r="A14571" s="1">
        <v>5.0</v>
      </c>
      <c r="B14571" s="1" t="s">
        <v>14329</v>
      </c>
      <c r="C14571" t="str">
        <f>IFERROR(__xludf.DUMMYFUNCTION("GOOGLETRANSLATE(B14571, ""fr"", ""en"")"),"Top Very good value for money the only problem is that c c is very messy.")</f>
        <v>Top Very good value for money the only problem is that c c is very messy.</v>
      </c>
    </row>
    <row r="14572">
      <c r="A14572" s="1">
        <v>5.0</v>
      </c>
      <c r="B14572" s="1" t="s">
        <v>14330</v>
      </c>
      <c r="C14572" t="str">
        <f>IFERROR(__xludf.DUMMYFUNCTION("GOOGLETRANSLATE(B14572, ""fr"", ""en"")"),"Very aesthetic end, pretty")</f>
        <v>Very aesthetic end, pretty</v>
      </c>
    </row>
    <row r="14573">
      <c r="A14573" s="1">
        <v>5.0</v>
      </c>
      <c r="B14573" s="1" t="s">
        <v>14331</v>
      </c>
      <c r="C14573" t="str">
        <f>IFERROR(__xludf.DUMMYFUNCTION("GOOGLETRANSLATE(B14573, ""fr"", ""en"")"),"Excellent Quality Very good quality and perfect aesthetics contains A4 documents without problems so perfect for working papers. A gift that has been much appreciated.")</f>
        <v>Excellent Quality Very good quality and perfect aesthetics contains A4 documents without problems so perfect for working papers. A gift that has been much appreciated.</v>
      </c>
    </row>
    <row r="14574">
      <c r="A14574" s="1">
        <v>5.0</v>
      </c>
      <c r="B14574" s="1" t="s">
        <v>14332</v>
      </c>
      <c r="C14574" t="str">
        <f>IFERROR(__xludf.DUMMYFUNCTION("GOOGLETRANSLATE(B14574, ""fr"", ""en"")"),"Simply Elegant Excellent! A bag that slides between the sweater and jacket that is not seen ... very thin and zipper pocket allows both open to not to drop objects")</f>
        <v>Simply Elegant Excellent! A bag that slides between the sweater and jacket that is not seen ... very thin and zipper pocket allows both open to not to drop objects</v>
      </c>
    </row>
    <row r="14575">
      <c r="A14575" s="1">
        <v>5.0</v>
      </c>
      <c r="B14575" s="1" t="s">
        <v>14333</v>
      </c>
      <c r="C14575" t="str">
        <f>IFERROR(__xludf.DUMMYFUNCTION("GOOGLETRANSLATE(B14575, ""fr"", ""en"")"),"I liked Pretty")</f>
        <v>I liked Pretty</v>
      </c>
    </row>
    <row r="14576">
      <c r="A14576" s="1">
        <v>5.0</v>
      </c>
      <c r="B14576" s="1" t="s">
        <v>14334</v>
      </c>
      <c r="C14576" t="str">
        <f>IFERROR(__xludf.DUMMYFUNCTION("GOOGLETRANSLATE(B14576, ""fr"", ""en"")"),"Beautiful design Very happy with my purchase. The imitation wood design is very nice in my living room Several program possible: 1h / 3h / 6h or while the water tank is supplied with a measuring cup for easy filling. I used it with a lavender aroma (4 dro"&amp;"ps only) and well flavored lounge about 30m2")</f>
        <v>Beautiful design Very happy with my purchase. The imitation wood design is very nice in my living room Several program possible: 1h / 3h / 6h or while the water tank is supplied with a measuring cup for easy filling. I used it with a lavender aroma (4 drops only) and well flavored lounge about 30m2</v>
      </c>
    </row>
    <row r="14577">
      <c r="A14577" s="1">
        <v>2.0</v>
      </c>
      <c r="B14577" s="1" t="s">
        <v>14335</v>
      </c>
      <c r="C14577" t="str">
        <f>IFERROR(__xludf.DUMMYFUNCTION("GOOGLETRANSLATE(B14577, ""fr"", ""en"")"),"Unusable stench so strong that it smells like chemicals. Relegated to the cellar ...")</f>
        <v>Unusable stench so strong that it smells like chemicals. Relegated to the cellar ...</v>
      </c>
    </row>
    <row r="14578">
      <c r="A14578" s="1">
        <v>1.0</v>
      </c>
      <c r="B14578" s="1" t="s">
        <v>14336</v>
      </c>
      <c r="C14578" t="str">
        <f>IFERROR(__xludf.DUMMYFUNCTION("GOOGLETRANSLATE(B14578, ""fr"", ""en"")"),"That of course there is no guarantee ... buying not expensive. His destination was the wrist watch ....... lasted 3 weeks and more analogique..article has withdraw from sale ... mine to rebut..dommage")</f>
        <v>That of course there is no guarantee ... buying not expensive. His destination was the wrist watch ....... lasted 3 weeks and more analogique..article has withdraw from sale ... mine to rebut..dommage</v>
      </c>
    </row>
    <row r="14579">
      <c r="A14579" s="1">
        <v>1.0</v>
      </c>
      <c r="B14579" s="1" t="s">
        <v>14337</v>
      </c>
      <c r="C14579" t="str">
        <f>IFERROR(__xludf.DUMMYFUNCTION("GOOGLETRANSLATE(B14579, ""fr"", ""en"")"),"Functional quality not top on the start but the start button defective and wrong stop contacts I returned the")</f>
        <v>Functional quality not top on the start but the start button defective and wrong stop contacts I returned the</v>
      </c>
    </row>
    <row r="14580">
      <c r="A14580" s="1">
        <v>3.0</v>
      </c>
      <c r="B14580" s="1" t="s">
        <v>14338</v>
      </c>
      <c r="C14580" t="str">
        <f>IFERROR(__xludf.DUMMYFUNCTION("GOOGLETRANSLATE(B14580, ""fr"", ""en"")"),"Mouiai A cord has broken The Morning After Tj not win anything luck lol")</f>
        <v>Mouiai A cord has broken The Morning After Tj not win anything luck lol</v>
      </c>
    </row>
    <row r="14581">
      <c r="A14581" s="1">
        <v>4.0</v>
      </c>
      <c r="B14581" s="1" t="s">
        <v>14339</v>
      </c>
      <c r="C14581" t="str">
        <f>IFERROR(__xludf.DUMMYFUNCTION("GOOGLETRANSLATE(B14581, ""fr"", ""en"")"),"Audio quality")</f>
        <v>Audio quality</v>
      </c>
    </row>
    <row r="14582">
      <c r="A14582" s="1">
        <v>4.0</v>
      </c>
      <c r="B14582" s="1" t="s">
        <v>14340</v>
      </c>
      <c r="C14582" t="str">
        <f>IFERROR(__xludf.DUMMYFUNCTION("GOOGLETRANSLATE(B14582, ""fr"", ""en"")"),"Excellent quality / price ratio Excellent product for the winter, warm and comfortable, only downside: the laces were damaged at reception but nothing serious like the pants covers")</f>
        <v>Excellent quality / price ratio Excellent product for the winter, warm and comfortable, only downside: the laces were damaged at reception but nothing serious like the pants covers</v>
      </c>
    </row>
    <row r="14583">
      <c r="A14583" s="1">
        <v>4.0</v>
      </c>
      <c r="B14583" s="1" t="s">
        <v>14341</v>
      </c>
      <c r="C14583" t="str">
        <f>IFERROR(__xludf.DUMMYFUNCTION("GOOGLETRANSLATE(B14583, ""fr"", ""en"")"),"Size but just .... So yes sizes are met I ordered the M size is right but but the sleeves serves ca ca is really")</f>
        <v>Size but just .... So yes sizes are met I ordered the M size is right but but the sleeves serves ca ca is really</v>
      </c>
    </row>
    <row r="14584">
      <c r="A14584" s="1">
        <v>4.0</v>
      </c>
      <c r="B14584" s="1" t="s">
        <v>14342</v>
      </c>
      <c r="C14584" t="str">
        <f>IFERROR(__xludf.DUMMYFUNCTION("GOOGLETRANSLATE(B14584, ""fr"", ""en"")"),"the quality has nothing to say ... I was among those very thin, your socks are perfect but not yours calf, thank you ......")</f>
        <v>the quality has nothing to say ... I was among those very thin, your socks are perfect but not yours calf, thank you ......</v>
      </c>
    </row>
    <row r="14585">
      <c r="A14585" s="1">
        <v>5.0</v>
      </c>
      <c r="B14585" s="1" t="s">
        <v>14343</v>
      </c>
      <c r="C14585" t="str">
        <f>IFERROR(__xludf.DUMMYFUNCTION("GOOGLETRANSLATE(B14585, ""fr"", ""en"")"),"Pleasantly surprised by the quality of finish Looks solid well with a glass that seems resistant to scratches? We will see the use. That said the price is unbeatable for such a finish. A classic watch, metal strap ... Seiko. For 30 euro ... to shorten the"&amp;" bracelet, the system is different. But there are tutorials on you tube that will show you how to do it yourself, without special tools.")</f>
        <v>Pleasantly surprised by the quality of finish Looks solid well with a glass that seems resistant to scratches? We will see the use. That said the price is unbeatable for such a finish. A classic watch, metal strap ... Seiko. For 30 euro ... to shorten the bracelet, the system is different. But there are tutorials on you tube that will show you how to do it yourself, without special tools.</v>
      </c>
    </row>
    <row r="14586">
      <c r="A14586" s="1">
        <v>5.0</v>
      </c>
      <c r="B14586" s="1" t="s">
        <v>14344</v>
      </c>
      <c r="C14586" t="str">
        <f>IFERROR(__xludf.DUMMYFUNCTION("GOOGLETRANSLATE(B14586, ""fr"", ""en"")"),"impeccable Super")</f>
        <v>impeccable Super</v>
      </c>
    </row>
    <row r="14587">
      <c r="A14587" s="1">
        <v>5.0</v>
      </c>
      <c r="B14587" s="1" t="s">
        <v>14345</v>
      </c>
      <c r="C14587" t="str">
        <f>IFERROR(__xludf.DUMMYFUNCTION("GOOGLETRANSLATE(B14587, ""fr"", ""en"")"),"Do it Conforms to wait and comfortable.")</f>
        <v>Do it Conforms to wait and comfortable.</v>
      </c>
    </row>
    <row r="14588">
      <c r="A14588" s="1">
        <v>5.0</v>
      </c>
      <c r="B14588" s="1" t="s">
        <v>14346</v>
      </c>
      <c r="C14588" t="str">
        <f>IFERROR(__xludf.DUMMYFUNCTION("GOOGLETRANSLATE(B14588, ""fr"", ""en"")"),"Good watchband bracelet, looks good and perfect to replace my bracelet original!")</f>
        <v>Good watchband bracelet, looks good and perfect to replace my bracelet original!</v>
      </c>
    </row>
    <row r="14589">
      <c r="A14589" s="1">
        <v>5.0</v>
      </c>
      <c r="B14589" s="1" t="s">
        <v>14347</v>
      </c>
      <c r="C14589" t="str">
        <f>IFERROR(__xludf.DUMMYFUNCTION("GOOGLETRANSLATE(B14589, ""fr"", ""en"")"),"Okay shoe very comfortable and light. Not regret my purchase.")</f>
        <v>Okay shoe very comfortable and light. Not regret my purchase.</v>
      </c>
    </row>
    <row r="14590">
      <c r="A14590" s="1">
        <v>5.0</v>
      </c>
      <c r="B14590" s="1" t="s">
        <v>14348</v>
      </c>
      <c r="C14590" t="str">
        <f>IFERROR(__xludf.DUMMYFUNCTION("GOOGLETRANSLATE(B14590, ""fr"", ""en"")"),"Features and Efficiency bed bed bed lights, light guidance and focusing a month without interruption, it's very effective. Both lamps were fully consistent with the description of vendeur.Malgré its length, corrugated metal pipe poses no problem to hold t"&amp;"he lamp in place.LED produces a very clear and cold light, the beam provides uniform lighting, product packaging is perfect, the delivery time is adhered to buy!")</f>
        <v>Features and Efficiency bed bed bed lights, light guidance and focusing a month without interruption, it's very effective. Both lamps were fully consistent with the description of vendeur.Malgré its length, corrugated metal pipe poses no problem to hold the lamp in place.LED produces a very clear and cold light, the beam provides uniform lighting, product packaging is perfect, the delivery time is adhered to buy!</v>
      </c>
    </row>
    <row r="14591">
      <c r="A14591" s="1">
        <v>5.0</v>
      </c>
      <c r="B14591" s="1" t="s">
        <v>14349</v>
      </c>
      <c r="C14591" t="str">
        <f>IFERROR(__xludf.DUMMYFUNCTION("GOOGLETRANSLATE(B14591, ""fr"", ""en"")"),"a gift for christmas hot, light, perfect size, color expected, this model is superb and my beautiful daughter was delighted with his gift ...")</f>
        <v>a gift for christmas hot, light, perfect size, color expected, this model is superb and my beautiful daughter was delighted with his gift ...</v>
      </c>
    </row>
    <row r="14592">
      <c r="A14592" s="1">
        <v>5.0</v>
      </c>
      <c r="B14592" s="1" t="s">
        <v>14350</v>
      </c>
      <c r="C14592" t="str">
        <f>IFERROR(__xludf.DUMMYFUNCTION("GOOGLETRANSLATE(B14592, ""fr"", ""en"")"),"Basketball comfortable Bought for my son, it is satisfied with his pair of sneakers. The size corresponds exactly to his size. It is perfectly cut, lightweight, stylish and comfortable Satisfied with my purchase.")</f>
        <v>Basketball comfortable Bought for my son, it is satisfied with his pair of sneakers. The size corresponds exactly to his size. It is perfectly cut, lightweight, stylish and comfortable Satisfied with my purchase.</v>
      </c>
    </row>
    <row r="14593">
      <c r="A14593" s="1">
        <v>5.0</v>
      </c>
      <c r="B14593" s="1" t="s">
        <v>14351</v>
      </c>
      <c r="C14593" t="str">
        <f>IFERROR(__xludf.DUMMYFUNCTION("GOOGLETRANSLATE(B14593, ""fr"", ""en"")"),"Perfect Nothing to say, the product delivered on time and works very well")</f>
        <v>Perfect Nothing to say, the product delivered on time and works very well</v>
      </c>
    </row>
    <row r="14594">
      <c r="A14594" s="1">
        <v>5.0</v>
      </c>
      <c r="B14594" s="1" t="s">
        <v>14352</v>
      </c>
      <c r="C14594" t="str">
        <f>IFERROR(__xludf.DUMMYFUNCTION("GOOGLETRANSLATE(B14594, ""fr"", ""en"")"),"Comfortable. For my daughter, she loved this because it is comfortable, durable with good design.")</f>
        <v>Comfortable. For my daughter, she loved this because it is comfortable, durable with good design.</v>
      </c>
    </row>
    <row r="14595">
      <c r="A14595" s="1">
        <v>5.0</v>
      </c>
      <c r="B14595" s="1" t="s">
        <v>14353</v>
      </c>
      <c r="C14595" t="str">
        <f>IFERROR(__xludf.DUMMYFUNCTION("GOOGLETRANSLATE(B14595, ""fr"", ""en"")"),"Very well! Size perfect, beautiful and wearable.")</f>
        <v>Very well! Size perfect, beautiful and wearable.</v>
      </c>
    </row>
    <row r="14596">
      <c r="A14596" s="1">
        <v>5.0</v>
      </c>
      <c r="B14596" s="1" t="s">
        <v>14354</v>
      </c>
      <c r="C14596" t="str">
        <f>IFERROR(__xludf.DUMMYFUNCTION("GOOGLETRANSLATE(B14596, ""fr"", ""en"")"),"Nicely thought! 😊 this fossil! It's a great model! Elegant and easy to use. I highly recommend ! 😁 The design is well thought out, that's class!")</f>
        <v>Nicely thought! 😊 this fossil! It's a great model! Elegant and easy to use. I highly recommend ! 😁 The design is well thought out, that's class!</v>
      </c>
    </row>
    <row r="14597">
      <c r="A14597" s="1">
        <v>5.0</v>
      </c>
      <c r="B14597" s="1" t="s">
        <v>14355</v>
      </c>
      <c r="C14597" t="str">
        <f>IFERROR(__xludf.DUMMYFUNCTION("GOOGLETRANSLATE(B14597, ""fr"", ""en"")"),"VERY GOOD PRODUCT USE VERY COMFORTABLE EXCELLENT QUALITY COMPLIANT")</f>
        <v>VERY GOOD PRODUCT USE VERY COMFORTABLE EXCELLENT QUALITY COMPLIANT</v>
      </c>
    </row>
    <row r="14598">
      <c r="A14598" s="1">
        <v>5.0</v>
      </c>
      <c r="B14598" s="1" t="s">
        <v>14356</v>
      </c>
      <c r="C14598" t="str">
        <f>IFERROR(__xludf.DUMMYFUNCTION("GOOGLETRANSLATE(B14598, ""fr"", ""en"")"),"Super Super headset gaming. The super human mode is top The headset is comfortable good battery life")</f>
        <v>Super Super headset gaming. The super human mode is top The headset is comfortable good battery life</v>
      </c>
    </row>
    <row r="14599">
      <c r="A14599" s="1">
        <v>5.0</v>
      </c>
      <c r="B14599" s="1" t="s">
        <v>14357</v>
      </c>
      <c r="C14599" t="str">
        <f>IFERROR(__xludf.DUMMYFUNCTION("GOOGLETRANSLATE(B14599, ""fr"", ""en"")"),"Super Kettle This kettle 1.7L is perfect, the water is boiling rapidly, its design is very pretty with its blue LED. It cleans easily and is anti-limestone. To have at home!")</f>
        <v>Super Kettle This kettle 1.7L is perfect, the water is boiling rapidly, its design is very pretty with its blue LED. It cleans easily and is anti-limestone. To have at home!</v>
      </c>
    </row>
    <row r="14600">
      <c r="A14600" s="1">
        <v>2.0</v>
      </c>
      <c r="B14600" s="1" t="s">
        <v>14358</v>
      </c>
      <c r="C14600" t="str">
        <f>IFERROR(__xludf.DUMMYFUNCTION("GOOGLETRANSLATE(B14600, ""fr"", ""en"")"),"Disappointed The shoe is rigid, uncomfortable and appearance is more plastic than leather, nothing to do with the low Tarmac purchased previously from the same brand. Disappointed!...")</f>
        <v>Disappointed The shoe is rigid, uncomfortable and appearance is more plastic than leather, nothing to do with the low Tarmac purchased previously from the same brand. Disappointed!...</v>
      </c>
    </row>
    <row r="14601">
      <c r="A14601" s="1">
        <v>1.0</v>
      </c>
      <c r="B14601" s="1" t="s">
        <v>14359</v>
      </c>
      <c r="C14601" t="str">
        <f>IFERROR(__xludf.DUMMYFUNCTION("GOOGLETRANSLATE(B14601, ""fr"", ""en"")"),"Taste of chemical As told by another customer: the kettle gives odor and chemical taste to beverages (especially on coffee and hot chocolate). Despite several cleanings, drinks are undrinkable, and I am surprised not to see more customers complain! I came"&amp;" back to my good old pot and there, no problem. Perhaps this is about the fact that the water heater is in contact with parts that seem to be plastic (?)")</f>
        <v>Taste of chemical As told by another customer: the kettle gives odor and chemical taste to beverages (especially on coffee and hot chocolate). Despite several cleanings, drinks are undrinkable, and I am surprised not to see more customers complain! I came back to my good old pot and there, no problem. Perhaps this is about the fact that the water heater is in contact with parts that seem to be plastic (?)</v>
      </c>
    </row>
    <row r="14602">
      <c r="A14602" s="1">
        <v>3.0</v>
      </c>
      <c r="B14602" s="1" t="s">
        <v>14360</v>
      </c>
      <c r="C14602" t="str">
        <f>IFERROR(__xludf.DUMMYFUNCTION("GOOGLETRANSLATE(B14602, ""fr"", ""en"")"),"Purchased moderate satisfaction because it has a metal bracelet that will not let me in 18 months as the plastic bracelets, but the tilt button 12 or 24 is too sensitive and I frequently found in 12h mode.")</f>
        <v>Purchased moderate satisfaction because it has a metal bracelet that will not let me in 18 months as the plastic bracelets, but the tilt button 12 or 24 is too sensitive and I frequently found in 12h mode.</v>
      </c>
    </row>
    <row r="14603">
      <c r="A14603" s="1">
        <v>3.0</v>
      </c>
      <c r="B14603" s="1" t="s">
        <v>14361</v>
      </c>
      <c r="C14603" t="str">
        <f>IFERROR(__xludf.DUMMYFUNCTION("GOOGLETRANSLATE(B14603, ""fr"", ""en"")"),"Bluffing Meets description. Actually the design is stunning to resume breast shape. I read in a comment that it was adjusting the bottles Advent Hence my purchase. I am very disappointed because yes it happens is the same diameter, but the air does not pa"&amp;"ss (punishment for baby). It takes bottles of the same brand.")</f>
        <v>Bluffing Meets description. Actually the design is stunning to resume breast shape. I read in a comment that it was adjusting the bottles Advent Hence my purchase. I am very disappointed because yes it happens is the same diameter, but the air does not pass (punishment for baby). It takes bottles of the same brand.</v>
      </c>
    </row>
    <row r="14604">
      <c r="A14604" s="1">
        <v>4.0</v>
      </c>
      <c r="B14604" s="1" t="s">
        <v>14362</v>
      </c>
      <c r="C14604" t="str">
        <f>IFERROR(__xludf.DUMMYFUNCTION("GOOGLETRANSLATE(B14604, ""fr"", ""en"")"),"Tong Nike Good good quality product and reasonable price for the comfort and aesthetics of the article. I recommend.")</f>
        <v>Tong Nike Good good quality product and reasonable price for the comfort and aesthetics of the article. I recommend.</v>
      </c>
    </row>
    <row r="14605">
      <c r="A14605" s="1">
        <v>4.0</v>
      </c>
      <c r="B14605" s="1" t="s">
        <v>14363</v>
      </c>
      <c r="C14605" t="str">
        <f>IFERROR(__xludf.DUMMYFUNCTION("GOOGLETRANSLATE(B14605, ""fr"", ""en"")"),"3 cartridges to 108 pictures Compared with the reference ""RP"" (instead of KP) KP 3 cartridges but are not the same, it can only make 36 pictures. In 2 cases the cartridges used to make 108 photos in total (with kp are the changes more often). N There is"&amp;" no place to stick a stamp on the back of paper. I therefore find no difference to RP (if n is that to change the cartridge less often is more convenient with RP ... RP and less expensive).")</f>
        <v>3 cartridges to 108 pictures Compared with the reference "RP" (instead of KP) KP 3 cartridges but are not the same, it can only make 36 pictures. In 2 cases the cartridges used to make 108 photos in total (with kp are the changes more often). N There is no place to stick a stamp on the back of paper. I therefore find no difference to RP (if n is that to change the cartridge less often is more convenient with RP ... RP and less expensive).</v>
      </c>
    </row>
    <row r="14606">
      <c r="A14606" s="1">
        <v>4.0</v>
      </c>
      <c r="B14606" s="1" t="s">
        <v>14364</v>
      </c>
      <c r="C14606" t="str">
        <f>IFERROR(__xludf.DUMMYFUNCTION("GOOGLETRANSLATE(B14606, ""fr"", ""en"")"),"Very cute nice cushion, consistent with the picture. It is indeed not very big but enough to go around the neck (unless you have a trucker neck). Do not however expect it to do the complete tour as a scarf. Comes in a beautiful box, making it an ideal obj"&amp;"ect to offer.")</f>
        <v>Very cute nice cushion, consistent with the picture. It is indeed not very big but enough to go around the neck (unless you have a trucker neck). Do not however expect it to do the complete tour as a scarf. Comes in a beautiful box, making it an ideal object to offer.</v>
      </c>
    </row>
    <row r="14607">
      <c r="A14607" s="1">
        <v>4.0</v>
      </c>
      <c r="B14607" s="1" t="s">
        <v>14365</v>
      </c>
      <c r="C14607" t="str">
        <f>IFERROR(__xludf.DUMMYFUNCTION("GOOGLETRANSLATE(B14607, ""fr"", ""en"")"),"Super model good shoe, quality appointment")</f>
        <v>Super model good shoe, quality appointment</v>
      </c>
    </row>
    <row r="14608">
      <c r="A14608" s="1">
        <v>4.0</v>
      </c>
      <c r="B14608" s="1" t="s">
        <v>14366</v>
      </c>
      <c r="C14608" t="str">
        <f>IFERROR(__xludf.DUMMYFUNCTION("GOOGLETRANSLATE(B14608, ""fr"", ""en"")"),"Good product A small downside to the color level: reflection a little green.")</f>
        <v>Good product A small downside to the color level: reflection a little green.</v>
      </c>
    </row>
    <row r="14609">
      <c r="A14609" s="1">
        <v>5.0</v>
      </c>
      <c r="B14609" s="1" t="s">
        <v>14367</v>
      </c>
      <c r="C14609" t="str">
        <f>IFERROR(__xludf.DUMMYFUNCTION("GOOGLETRANSLATE(B14609, ""fr"", ""en"")"),"A little heavy Nice design but a little heavy. If it suits me !!")</f>
        <v>A little heavy Nice design but a little heavy. If it suits me !!</v>
      </c>
    </row>
    <row r="14610">
      <c r="A14610" s="1">
        <v>5.0</v>
      </c>
      <c r="B14610" s="1" t="s">
        <v>14368</v>
      </c>
      <c r="C14610" t="str">
        <f>IFERROR(__xludf.DUMMYFUNCTION("GOOGLETRANSLATE(B14610, ""fr"", ""en"")"),"Beautiful book beautiful book, which is full of information. Perfect for learning fun.")</f>
        <v>Beautiful book beautiful book, which is full of information. Perfect for learning fun.</v>
      </c>
    </row>
    <row r="14611">
      <c r="A14611" s="1">
        <v>5.0</v>
      </c>
      <c r="B14611" s="1" t="s">
        <v>7060</v>
      </c>
      <c r="C14611" t="str">
        <f>IFERROR(__xludf.DUMMYFUNCTION("GOOGLETRANSLATE(B14611, ""fr"", ""en"")"),"Basketball Great")</f>
        <v>Basketball Great</v>
      </c>
    </row>
    <row r="14612">
      <c r="A14612" s="1">
        <v>5.0</v>
      </c>
      <c r="B14612" s="1" t="s">
        <v>14369</v>
      </c>
      <c r="C14612" t="str">
        <f>IFERROR(__xludf.DUMMYFUNCTION("GOOGLETRANSLATE(B14612, ""fr"", ""en"")"),"Comfortable and lightweight sneakers lightweight and comfortable. Comfortable to wear all day and allow a little jogging at lunch on the time of the lunch break without forgetting the evening running to catch the bus!")</f>
        <v>Comfortable and lightweight sneakers lightweight and comfortable. Comfortable to wear all day and allow a little jogging at lunch on the time of the lunch break without forgetting the evening running to catch the bus!</v>
      </c>
    </row>
    <row r="14613">
      <c r="A14613" s="1">
        <v>5.0</v>
      </c>
      <c r="B14613" s="1" t="s">
        <v>14370</v>
      </c>
      <c r="C14613" t="str">
        <f>IFERROR(__xludf.DUMMYFUNCTION("GOOGLETRANSLATE(B14613, ""fr"", ""en"")"),"The class is true that it is suitable for small wrists. But what style! Easy access for regulars, it can be confusing for those used to watches needles. Legere, good finishes, readable. By cons i thought at the beginning that the keys did not work, but it"&amp;" was due to the 12/24 to modify oneself (as programmed in the UK).")</f>
        <v>The class is true that it is suitable for small wrists. But what style! Easy access for regulars, it can be confusing for those used to watches needles. Legere, good finishes, readable. By cons i thought at the beginning that the keys did not work, but it was due to the 12/24 to modify oneself (as programmed in the UK).</v>
      </c>
    </row>
    <row r="14614">
      <c r="A14614" s="1">
        <v>5.0</v>
      </c>
      <c r="B14614" s="1" t="s">
        <v>14371</v>
      </c>
      <c r="C14614" t="str">
        <f>IFERROR(__xludf.DUMMYFUNCTION("GOOGLETRANSLATE(B14614, ""fr"", ""en"")"),"shoe very well")</f>
        <v>shoe very well</v>
      </c>
    </row>
    <row r="14615">
      <c r="A14615" s="1">
        <v>5.0</v>
      </c>
      <c r="B14615" s="1" t="s">
        <v>14372</v>
      </c>
      <c r="C14615" t="str">
        <f>IFERROR(__xludf.DUMMYFUNCTION("GOOGLETRANSLATE(B14615, ""fr"", ""en"")"),"Upscale really perfect, a texture quality well above average, the lightning upscale closures, many pockets, I am delighted and certain that he also enchant many other buyers.")</f>
        <v>Upscale really perfect, a texture quality well above average, the lightning upscale closures, many pockets, I am delighted and certain that he also enchant many other buyers.</v>
      </c>
    </row>
    <row r="14616">
      <c r="A14616" s="1">
        <v>5.0</v>
      </c>
      <c r="B14616" s="1" t="s">
        <v>14373</v>
      </c>
      <c r="C14616" t="str">
        <f>IFERROR(__xludf.DUMMYFUNCTION("GOOGLETRANSLATE(B14616, ""fr"", ""en"")"),"The strength for the hike")</f>
        <v>The strength for the hike</v>
      </c>
    </row>
    <row r="14617">
      <c r="A14617" s="1">
        <v>5.0</v>
      </c>
      <c r="B14617" s="1" t="s">
        <v>14374</v>
      </c>
      <c r="C14617" t="str">
        <f>IFERROR(__xludf.DUMMYFUNCTION("GOOGLETRANSLATE(B14617, ""fr"", ""en"")"),"Very convenient Save your footsteps walls")</f>
        <v>Very convenient Save your footsteps walls</v>
      </c>
    </row>
    <row r="14618">
      <c r="A14618" s="1">
        <v>5.0</v>
      </c>
      <c r="B14618" s="1" t="s">
        <v>14375</v>
      </c>
      <c r="C14618" t="str">
        <f>IFERROR(__xludf.DUMMYFUNCTION("GOOGLETRANSLATE(B14618, ""fr"", ""en"")"),"The best quality / price ratio on the market I am excited about this product, I ordered it because I wanted to test the usefulness of a connected watch. I think this is the best show connected for its price it's crazy all the features it has less than 25 "&amp;"euros. The user manual provided in French allowed me to quickly set the watch is automatic torque bluetooth my smartphone. The sound is very good, they even have a camera! I use a sd card for my music so I do not need my smartphone. I imagine the potentia"&amp;"l it has to do with a sim card. I advise all those who love technology and discover the connected watch cheap and all sports because it will be a great help to control your goals!")</f>
        <v>The best quality / price ratio on the market I am excited about this product, I ordered it because I wanted to test the usefulness of a connected watch. I think this is the best show connected for its price it's crazy all the features it has less than 25 euros. The user manual provided in French allowed me to quickly set the watch is automatic torque bluetooth my smartphone. The sound is very good, they even have a camera! I use a sd card for my music so I do not need my smartphone. I imagine the potential it has to do with a sim card. I advise all those who love technology and discover the connected watch cheap and all sports because it will be a great help to control your goals!</v>
      </c>
    </row>
    <row r="14619">
      <c r="A14619" s="1">
        <v>5.0</v>
      </c>
      <c r="B14619" s="1" t="s">
        <v>14376</v>
      </c>
      <c r="C14619" t="str">
        <f>IFERROR(__xludf.DUMMYFUNCTION("GOOGLETRANSLATE(B14619, ""fr"", ""en"")"),"But beautiful ...... These jackets are only made for small or thin women without breast; I've bought XL for me I have given them to my little girl 14 years they will him perfectly. Me with a 100 Do not buy chest.")</f>
        <v>But beautiful ...... These jackets are only made for small or thin women without breast; I've bought XL for me I have given them to my little girl 14 years they will him perfectly. Me with a 100 Do not buy chest.</v>
      </c>
    </row>
    <row r="14620">
      <c r="A14620" s="1">
        <v>5.0</v>
      </c>
      <c r="B14620" s="1" t="s">
        <v>14377</v>
      </c>
      <c r="C14620" t="str">
        <f>IFERROR(__xludf.DUMMYFUNCTION("GOOGLETRANSLATE(B14620, ""fr"", ""en"")"),"good compromise These socks are very pleasant without being too expensive. I use it for squash / tennis and it's perfect. They are very soft while being reinforced heel.")</f>
        <v>good compromise These socks are very pleasant without being too expensive. I use it for squash / tennis and it's perfect. They are very soft while being reinforced heel.</v>
      </c>
    </row>
    <row r="14621">
      <c r="A14621" s="1">
        <v>5.0</v>
      </c>
      <c r="B14621" s="1" t="s">
        <v>14378</v>
      </c>
      <c r="C14621" t="str">
        <f>IFERROR(__xludf.DUMMYFUNCTION("GOOGLETRANSLATE(B14621, ""fr"", ""en"")"),"I'm the same Lady guarantees that the product is excellent. Only small flat material and noisy. I like Very handy I advise to go this is a very good value for money.")</f>
        <v>I'm the same Lady guarantees that the product is excellent. Only small flat material and noisy. I like Very handy I advise to go this is a very good value for money.</v>
      </c>
    </row>
    <row r="14622">
      <c r="A14622" s="1">
        <v>5.0</v>
      </c>
      <c r="B14622" s="1" t="s">
        <v>14379</v>
      </c>
      <c r="C14622" t="str">
        <f>IFERROR(__xludf.DUMMYFUNCTION("GOOGLETRANSLATE(B14622, ""fr"", ""en"")"),"Size big Take a size smaller. The Converse brand asser large size in general. But otherwise timeless basketball. Always fashionable and happening with everything.")</f>
        <v>Size big Take a size smaller. The Converse brand asser large size in general. But otherwise timeless basketball. Always fashionable and happening with everything.</v>
      </c>
    </row>
    <row r="14623">
      <c r="A14623" s="1">
        <v>5.0</v>
      </c>
      <c r="B14623" s="1" t="s">
        <v>14380</v>
      </c>
      <c r="C14623" t="str">
        <f>IFERROR(__xludf.DUMMYFUNCTION("GOOGLETRANSLATE(B14623, ""fr"", ""en"")"),"Top Nickel")</f>
        <v>Top Nickel</v>
      </c>
    </row>
    <row r="14624">
      <c r="A14624" s="1">
        <v>2.0</v>
      </c>
      <c r="B14624" s="1" t="s">
        <v>14381</v>
      </c>
      <c r="C14624" t="str">
        <f>IFERROR(__xludf.DUMMYFUNCTION("GOOGLETRANSLATE(B14624, ""fr"", ""en"")"),"It works, but really nothing more First of all, to use it on my camera instead of the normal external microphone, I had to tinker a small adapter because the output level is about 20 times higher a microphone. Without this adapter, there is total saturati"&amp;"on. I measured the scope which is four to five meters is sufficient for my needs. The audio quality as poor.")</f>
        <v>It works, but really nothing more First of all, to use it on my camera instead of the normal external microphone, I had to tinker a small adapter because the output level is about 20 times higher a microphone. Without this adapter, there is total saturation. I measured the scope which is four to five meters is sufficient for my needs. The audio quality as poor.</v>
      </c>
    </row>
    <row r="14625">
      <c r="A14625" s="1">
        <v>1.0</v>
      </c>
      <c r="B14625" s="1" t="s">
        <v>14382</v>
      </c>
      <c r="C14625" t="str">
        <f>IFERROR(__xludf.DUMMYFUNCTION("GOOGLETRANSLATE(B14625, ""fr"", ""en"")"),"Avoided It does not want even without bag. No sound of any really wobbly avoided")</f>
        <v>Avoided It does not want even without bag. No sound of any really wobbly avoided</v>
      </c>
    </row>
    <row r="14626">
      <c r="A14626" s="1">
        <v>1.0</v>
      </c>
      <c r="B14626" s="1" t="s">
        <v>14383</v>
      </c>
      <c r="C14626" t="str">
        <f>IFERROR(__xludf.DUMMYFUNCTION("GOOGLETRANSLATE(B14626, ""fr"", ""en"")"),"Lamentable Do not like hot at all Also end a shirt, I strongly recommend")</f>
        <v>Lamentable Do not like hot at all Also end a shirt, I strongly recommend</v>
      </c>
    </row>
    <row r="14627">
      <c r="A14627" s="1">
        <v>3.0</v>
      </c>
      <c r="B14627" s="1" t="s">
        <v>14384</v>
      </c>
      <c r="C14627" t="str">
        <f>IFERROR(__xludf.DUMMYFUNCTION("GOOGLETRANSLATE(B14627, ""fr"", ""en"")"),"Provide a size and a half more easily ....... 43 to 42 1/3 after two failed purchases found the right size. otherwise clings well, foot comfort, now in time ....... ??? DESCRIPTION Conform.")</f>
        <v>Provide a size and a half more easily ....... 43 to 42 1/3 after two failed purchases found the right size. otherwise clings well, foot comfort, now in time ....... ??? DESCRIPTION Conform.</v>
      </c>
    </row>
    <row r="14628">
      <c r="A14628" s="1">
        <v>3.0</v>
      </c>
      <c r="B14628" s="1" t="s">
        <v>14385</v>
      </c>
      <c r="C14628" t="str">
        <f>IFERROR(__xludf.DUMMYFUNCTION("GOOGLETRANSLATE(B14628, ""fr"", ""en"")"),"Good product, but with things (essential) to see ... Nothing to say with the seller, the product complies with my request ... Regarding delivery (via DPD) is a disaster !! The deliveryman totally retarded notified me (via the Internet parcel tracking) nev"&amp;"er have found my address, but still found my mailbox to deposit the calling to get my point-package relay. What's wrong !! ... Calculator (very basic scientific) not too complicated to use. The manual is not (really) useful. The criticism that I make is t"&amp;"hat the screen printing of the facade was frankly poorly thought ... What idea of ​​having achieved the marking of keys (second function) in orange, while the calculator is green! Result: barely readable! Again, look for the error !! ...")</f>
        <v>Good product, but with things (essential) to see ... Nothing to say with the seller, the product complies with my request ... Regarding delivery (via DPD) is a disaster !! The deliveryman totally retarded notified me (via the Internet parcel tracking) never have found my address, but still found my mailbox to deposit the calling to get my point-package relay. What's wrong !! ... Calculator (very basic scientific) not too complicated to use. The manual is not (really) useful. The criticism that I make is that the screen printing of the facade was frankly poorly thought ... What idea of ​​having achieved the marking of keys (second function) in orange, while the calculator is green! Result: barely readable! Again, look for the error !! ...</v>
      </c>
    </row>
    <row r="14629">
      <c r="A14629" s="1">
        <v>4.0</v>
      </c>
      <c r="B14629" s="1" t="s">
        <v>14386</v>
      </c>
      <c r="C14629" t="str">
        <f>IFERROR(__xludf.DUMMYFUNCTION("GOOGLETRANSLATE(B14629, ""fr"", ""en"")"),"New year annual recharge. For the humorous block, I wanted more but my message was relayed to the supplier after sending ... I kept it because too many steps for the return, compared to the cost of the object.")</f>
        <v>New year annual recharge. For the humorous block, I wanted more but my message was relayed to the supplier after sending ... I kept it because too many steps for the return, compared to the cost of the object.</v>
      </c>
    </row>
    <row r="14630">
      <c r="A14630" s="1">
        <v>4.0</v>
      </c>
      <c r="B14630" s="1" t="s">
        <v>9156</v>
      </c>
      <c r="C14630" t="str">
        <f>IFERROR(__xludf.DUMMYFUNCTION("GOOGLETRANSLATE(B14630, ""fr"", ""en"")"),"Basketball offset Very light and comfortable enough")</f>
        <v>Basketball offset Very light and comfortable enough</v>
      </c>
    </row>
    <row r="14631">
      <c r="A14631" s="1">
        <v>4.0</v>
      </c>
      <c r="B14631" s="1" t="s">
        <v>14387</v>
      </c>
      <c r="C14631" t="str">
        <f>IFERROR(__xludf.DUMMYFUNCTION("GOOGLETRANSLATE(B14631, ""fr"", ""en"")"),"Too bad .. but;) Too bad because the quality is there, the bag itself is nice and in good order. Too bad for what then? A little disappointed by the size, I imagined more hair, the slot to store a laptop on the L size does not allow to put a PC 15.6 ""in "&amp;"the location provided for this effect. it still goes in the bag itself but the PC will not benefit from the ""foam protection."" still, I repeat, the quality seems to be the appointment and well made product, I believe not have been injured. A bit wider a"&amp;"nd it was just perfect :)")</f>
        <v>Too bad .. but;) Too bad because the quality is there, the bag itself is nice and in good order. Too bad for what then? A little disappointed by the size, I imagined more hair, the slot to store a laptop on the L size does not allow to put a PC 15.6 "in the location provided for this effect. it still goes in the bag itself but the PC will not benefit from the "foam protection." still, I repeat, the quality seems to be the appointment and well made product, I believe not have been injured. A bit wider and it was just perfect :)</v>
      </c>
    </row>
    <row r="14632">
      <c r="A14632" s="1">
        <v>4.0</v>
      </c>
      <c r="B14632" s="1" t="s">
        <v>14388</v>
      </c>
      <c r="C14632" t="str">
        <f>IFERROR(__xludf.DUMMYFUNCTION("GOOGLETRANSLATE(B14632, ""fr"", ""en"")"),"humidifier conforms to the description of the product easy to use just one regret it is not wood but just an imitation plastic ... shame")</f>
        <v>humidifier conforms to the description of the product easy to use just one regret it is not wood but just an imitation plastic ... shame</v>
      </c>
    </row>
    <row r="14633">
      <c r="A14633" s="1">
        <v>5.0</v>
      </c>
      <c r="B14633" s="1" t="s">
        <v>14389</v>
      </c>
      <c r="C14633" t="str">
        <f>IFERROR(__xludf.DUMMYFUNCTION("GOOGLETRANSLATE(B14633, ""fr"", ""en"")"),"Perfect RAS, delivery and nickel operation. Ideal for active moms camera enables better time management. Would recommend despite a fairly high rate.")</f>
        <v>Perfect RAS, delivery and nickel operation. Ideal for active moms camera enables better time management. Would recommend despite a fairly high rate.</v>
      </c>
    </row>
    <row r="14634">
      <c r="A14634" s="1">
        <v>5.0</v>
      </c>
      <c r="B14634" s="1" t="s">
        <v>1982</v>
      </c>
      <c r="C14634" t="str">
        <f>IFERROR(__xludf.DUMMYFUNCTION("GOOGLETRANSLATE(B14634, ""fr"", ""en"")"),"Basketball quality basketball quality, good size, comfortable from the user. delivery in time.")</f>
        <v>Basketball quality basketball quality, good size, comfortable from the user. delivery in time.</v>
      </c>
    </row>
    <row r="14635">
      <c r="A14635" s="1">
        <v>5.0</v>
      </c>
      <c r="B14635" s="1" t="s">
        <v>14390</v>
      </c>
      <c r="C14635" t="str">
        <f>IFERROR(__xludf.DUMMYFUNCTION("GOOGLETRANSLATE(B14635, ""fr"", ""en"")"),"Super I switched to speed 2 when my son was 1 month, as he went to milk thickened. Super pacifier. Mom is really a brand at the top")</f>
        <v>Super I switched to speed 2 when my son was 1 month, as he went to milk thickened. Super pacifier. Mom is really a brand at the top</v>
      </c>
    </row>
    <row r="14636">
      <c r="A14636" s="1">
        <v>5.0</v>
      </c>
      <c r="B14636" s="1" t="s">
        <v>14391</v>
      </c>
      <c r="C14636" t="str">
        <f>IFERROR(__xludf.DUMMYFUNCTION("GOOGLETRANSLATE(B14636, ""fr"", ""en"")"),"Top For the price I was expecting some uncomfortable shoes that did not take long, but finally after 2 months of work it are still intact, despite that I ask a lot of heavy things on it when I get tired. The comfort is very good also can be worn all day w"&amp;"ithout any problems, and I make days 13h on average.")</f>
        <v>Top For the price I was expecting some uncomfortable shoes that did not take long, but finally after 2 months of work it are still intact, despite that I ask a lot of heavy things on it when I get tired. The comfort is very good also can be worn all day without any problems, and I make days 13h on average.</v>
      </c>
    </row>
    <row r="14637">
      <c r="A14637" s="1">
        <v>5.0</v>
      </c>
      <c r="B14637" s="1" t="s">
        <v>14392</v>
      </c>
      <c r="C14637" t="str">
        <f>IFERROR(__xludf.DUMMYFUNCTION("GOOGLETRANSLATE(B14637, ""fr"", ""en"")"),"Attach with pleasure is the main diffuser of essential oils and mood lamp that is very nice")</f>
        <v>Attach with pleasure is the main diffuser of essential oils and mood lamp that is very nice</v>
      </c>
    </row>
    <row r="14638">
      <c r="A14638" s="1">
        <v>5.0</v>
      </c>
      <c r="B14638" s="1" t="s">
        <v>14393</v>
      </c>
      <c r="C14638" t="str">
        <f>IFERROR(__xludf.DUMMYFUNCTION("GOOGLETRANSLATE(B14638, ""fr"", ""en"")"),"Compliant as explained it is possible to attach the loops in different ways, and I have 3 of my shoes :) I valid. I'll probably order more me")</f>
        <v>Compliant as explained it is possible to attach the loops in different ways, and I have 3 of my shoes :) I valid. I'll probably order more me</v>
      </c>
    </row>
    <row r="14639">
      <c r="A14639" s="1">
        <v>5.0</v>
      </c>
      <c r="B14639" s="1" t="s">
        <v>14394</v>
      </c>
      <c r="C14639" t="str">
        <f>IFERROR(__xludf.DUMMYFUNCTION("GOOGLETRANSLATE(B14639, ""fr"", ""en"")"),"Strong and manoeuvrable A bit expensive for what it is but the quality is to go, I'm not afraid to attach an expensive microphone, you can count on.")</f>
        <v>Strong and manoeuvrable A bit expensive for what it is but the quality is to go, I'm not afraid to attach an expensive microphone, you can count on.</v>
      </c>
    </row>
    <row r="14640">
      <c r="A14640" s="1">
        <v>5.0</v>
      </c>
      <c r="B14640" s="1" t="s">
        <v>14395</v>
      </c>
      <c r="C14640" t="str">
        <f>IFERROR(__xludf.DUMMYFUNCTION("GOOGLETRANSLATE(B14640, ""fr"", ""en"")"),"Great headphones !!!! Personally very satisfied with this headset .. whether the price .. sound .. ... to carry the length of the line ... everything is perfect ..")</f>
        <v>Great headphones !!!! Personally very satisfied with this headset .. whether the price .. sound .. ... to carry the length of the line ... everything is perfect ..</v>
      </c>
    </row>
    <row r="14641">
      <c r="A14641" s="1">
        <v>5.0</v>
      </c>
      <c r="B14641" s="1" t="s">
        <v>14396</v>
      </c>
      <c r="C14641" t="str">
        <f>IFERROR(__xludf.DUMMYFUNCTION("GOOGLETRANSLATE(B14641, ""fr"", ""en"")"),"puma viz runner I just receive them in size 43, conforms to what I wanted in small or big socks I'm great at ease nothing to say we will see with time ,,, nickel sinnon")</f>
        <v>puma viz runner I just receive them in size 43, conforms to what I wanted in small or big socks I'm great at ease nothing to say we will see with time ,,, nickel sinnon</v>
      </c>
    </row>
    <row r="14642">
      <c r="A14642" s="1">
        <v>5.0</v>
      </c>
      <c r="B14642" s="1" t="s">
        <v>14397</v>
      </c>
      <c r="C14642" t="str">
        <f>IFERROR(__xludf.DUMMYFUNCTION("GOOGLETRANSLATE(B14642, ""fr"", ""en"")"),"houah! comfort bluffing and is a fighter tells you, walking with this is the ride slipper! To remove the laterite by cons, it sucks! but hey, that would be the case of most shoes.")</f>
        <v>houah! comfort bluffing and is a fighter tells you, walking with this is the ride slipper! To remove the laterite by cons, it sucks! but hey, that would be the case of most shoes.</v>
      </c>
    </row>
    <row r="14643">
      <c r="A14643" s="1">
        <v>5.0</v>
      </c>
      <c r="B14643" s="1" t="s">
        <v>14398</v>
      </c>
      <c r="C14643" t="str">
        <f>IFERROR(__xludf.DUMMYFUNCTION("GOOGLETRANSLATE(B14643, ""fr"", ""en"")"),"No worries Item received quickly, even faster than expected. The size corresponds very well. Check to make some sport and be comfortable at home.")</f>
        <v>No worries Item received quickly, even faster than expected. The size corresponds very well. Check to make some sport and be comfortable at home.</v>
      </c>
    </row>
    <row r="14644">
      <c r="A14644" s="1">
        <v>5.0</v>
      </c>
      <c r="B14644" s="1" t="s">
        <v>14399</v>
      </c>
      <c r="C14644" t="str">
        <f>IFERROR(__xludf.DUMMYFUNCTION("GOOGLETRANSLATE(B14644, ""fr"", ""en"")"),"Quality I have the habit of using the oil Hemp and I am delighted. This one is ++++ quality. I really advise")</f>
        <v>Quality I have the habit of using the oil Hemp and I am delighted. This one is ++++ quality. I really advise</v>
      </c>
    </row>
    <row r="14645">
      <c r="A14645" s="1">
        <v>5.0</v>
      </c>
      <c r="B14645" s="1" t="s">
        <v>14400</v>
      </c>
      <c r="C14645" t="str">
        <f>IFERROR(__xludf.DUMMYFUNCTION("GOOGLETRANSLATE(B14645, ""fr"", ""en"")"),"Good product Meets as needed.")</f>
        <v>Good product Meets as needed.</v>
      </c>
    </row>
    <row r="14646">
      <c r="A14646" s="1">
        <v>5.0</v>
      </c>
      <c r="B14646" s="1" t="s">
        <v>14401</v>
      </c>
      <c r="C14646" t="str">
        <f>IFERROR(__xludf.DUMMYFUNCTION("GOOGLETRANSLATE(B14646, ""fr"", ""en"")"),"good product for the first time I have order the black ink and color separately and c is quite satisfactory it can better track its perfect consumption")</f>
        <v>good product for the first time I have order the black ink and color separately and c is quite satisfactory it can better track its perfect consumption</v>
      </c>
    </row>
    <row r="14647">
      <c r="A14647" s="1">
        <v>5.0</v>
      </c>
      <c r="B14647" s="1" t="s">
        <v>14402</v>
      </c>
      <c r="C14647" t="str">
        <f>IFERROR(__xludf.DUMMYFUNCTION("GOOGLETRANSLATE(B14647, ""fr"", ""en"")"),"Perfect Finally a headset that has good resistance to ear, perfect sound and keeps well charge.Apres three purchases I highly recommend this model")</f>
        <v>Perfect Finally a headset that has good resistance to ear, perfect sound and keeps well charge.Apres three purchases I highly recommend this model</v>
      </c>
    </row>
    <row r="14648">
      <c r="A14648" s="1">
        <v>2.0</v>
      </c>
      <c r="B14648" s="1" t="s">
        <v>14403</v>
      </c>
      <c r="C14648" t="str">
        <f>IFERROR(__xludf.DUMMYFUNCTION("GOOGLETRANSLATE(B14648, ""fr"", ""en"")"),"Swet Hello, I find that the swit is hot but of poor quality when I received it I was a bit spoiled quite sad as it is beautiful")</f>
        <v>Swet Hello, I find that the swit is hot but of poor quality when I received it I was a bit spoiled quite sad as it is beautiful</v>
      </c>
    </row>
    <row r="14649">
      <c r="A14649" s="1">
        <v>1.0</v>
      </c>
      <c r="B14649" s="1" t="s">
        <v>14404</v>
      </c>
      <c r="C14649" t="str">
        <f>IFERROR(__xludf.DUMMYFUNCTION("GOOGLETRANSLATE(B14649, ""fr"", ""en"")"),"Naughty Naughty flee")</f>
        <v>Naughty Naughty flee</v>
      </c>
    </row>
    <row r="14650">
      <c r="A14650" s="1">
        <v>1.0</v>
      </c>
      <c r="B14650" s="1" t="s">
        <v>14405</v>
      </c>
      <c r="C14650" t="str">
        <f>IFERROR(__xludf.DUMMYFUNCTION("GOOGLETRANSLATE(B14650, ""fr"", ""en"")"),"THE RESULT TERRIBLE PAIN Coxarthrosis LEFT NO MATCH NO PAIN REDUCTION? I CONTINUE / FOR IDEM PAINGONE XL // alas not this brings me no relief sorry")</f>
        <v>THE RESULT TERRIBLE PAIN Coxarthrosis LEFT NO MATCH NO PAIN REDUCTION? I CONTINUE / FOR IDEM PAINGONE XL // alas not this brings me no relief sorry</v>
      </c>
    </row>
    <row r="14651">
      <c r="A14651" s="1">
        <v>3.0</v>
      </c>
      <c r="B14651" s="1" t="s">
        <v>14406</v>
      </c>
      <c r="C14651" t="str">
        <f>IFERROR(__xludf.DUMMYFUNCTION("GOOGLETRANSLATE(B14651, ""fr"", ""en"")"),"Good but can be better ... Nice design, which has m choose the product. The or it is complicated, c is the sound level, the kettle is super loud ... the cover hangs a little if 'in all for the price ca goes.")</f>
        <v>Good but can be better ... Nice design, which has m choose the product. The or it is complicated, c is the sound level, the kettle is super loud ... the cover hangs a little if 'in all for the price ca goes.</v>
      </c>
    </row>
    <row r="14652">
      <c r="A14652" s="1">
        <v>3.0</v>
      </c>
      <c r="B14652" s="1" t="s">
        <v>14407</v>
      </c>
      <c r="C14652" t="str">
        <f>IFERROR(__xludf.DUMMYFUNCTION("GOOGLETRANSLATE(B14652, ""fr"", ""en"")"),"Simple A little cheap compared to the model from Philips!")</f>
        <v>Simple A little cheap compared to the model from Philips!</v>
      </c>
    </row>
    <row r="14653">
      <c r="A14653" s="1">
        <v>4.0</v>
      </c>
      <c r="B14653" s="1" t="s">
        <v>14408</v>
      </c>
      <c r="C14653" t="str">
        <f>IFERROR(__xludf.DUMMYFUNCTION("GOOGLETRANSLATE(B14653, ""fr"", ""en"")"),"Quality / price ratio Excellent For the price nothing wrong, very fast product receipt, proper packaging, instructions in French. The look of the watch is nice but I would choose the green numbers. One complaint needles are not luminescent damage if not 5"&amp;" stars. I will test the tightness and s, there is a problem I would add the comment.")</f>
        <v>Quality / price ratio Excellent For the price nothing wrong, very fast product receipt, proper packaging, instructions in French. The look of the watch is nice but I would choose the green numbers. One complaint needles are not luminescent damage if not 5 stars. I will test the tightness and s, there is a problem I would add the comment.</v>
      </c>
    </row>
    <row r="14654">
      <c r="A14654" s="1">
        <v>4.0</v>
      </c>
      <c r="B14654" s="1" t="s">
        <v>14409</v>
      </c>
      <c r="C14654" t="str">
        <f>IFERROR(__xludf.DUMMYFUNCTION("GOOGLETRANSLATE(B14654, ""fr"", ""en"")"),"Leggings thick leggings rather thick and certainly not transparent. I am always fearful of buying textile on the Amazon niquel this is.")</f>
        <v>Leggings thick leggings rather thick and certainly not transparent. I am always fearful of buying textile on the Amazon niquel this is.</v>
      </c>
    </row>
    <row r="14655">
      <c r="A14655" s="1">
        <v>4.0</v>
      </c>
      <c r="B14655" s="1" t="s">
        <v>14410</v>
      </c>
      <c r="C14655" t="str">
        <f>IFERROR(__xludf.DUMMYFUNCTION("GOOGLETRANSLATE(B14655, ""fr"", ""en"")"),"Half size too big? By buying the product I had not seen it carved half size too big, except that when I tried it would be rather too large in size I would say.")</f>
        <v>Half size too big? By buying the product I had not seen it carved half size too big, except that when I tried it would be rather too large in size I would say.</v>
      </c>
    </row>
    <row r="14656">
      <c r="A14656" s="1">
        <v>4.0</v>
      </c>
      <c r="B14656" s="1" t="s">
        <v>14411</v>
      </c>
      <c r="C14656" t="str">
        <f>IFERROR(__xludf.DUMMYFUNCTION("GOOGLETRANSLATE(B14656, ""fr"", ""en"")"),"Although cut Perfect for a casual evening wear. Very comfortable and size XL suits me perfectly. Received scheduled time. Nothing to criticize about this product, I suggest that it would be good to have the choice of several colors. If I have made it 4 st"&amp;"ars is that unfortunately still a product made in China.")</f>
        <v>Although cut Perfect for a casual evening wear. Very comfortable and size XL suits me perfectly. Received scheduled time. Nothing to criticize about this product, I suggest that it would be good to have the choice of several colors. If I have made it 4 stars is that unfortunately still a product made in China.</v>
      </c>
    </row>
    <row r="14657">
      <c r="A14657" s="1">
        <v>5.0</v>
      </c>
      <c r="B14657" s="1" t="s">
        <v>14412</v>
      </c>
      <c r="C14657" t="str">
        <f>IFERROR(__xludf.DUMMYFUNCTION("GOOGLETRANSLATE(B14657, ""fr"", ""en"")"),"Super product Product according to the specification and is ideally suited for gear S2 Classic. Easy to put in place. Now just to test the quality over time but at the moment nothing wrong.")</f>
        <v>Super product Product according to the specification and is ideally suited for gear S2 Classic. Easy to put in place. Now just to test the quality over time but at the moment nothing wrong.</v>
      </c>
    </row>
    <row r="14658">
      <c r="A14658" s="1">
        <v>5.0</v>
      </c>
      <c r="B14658" s="1" t="s">
        <v>14413</v>
      </c>
      <c r="C14658" t="str">
        <f>IFERROR(__xludf.DUMMYFUNCTION("GOOGLETRANSLATE(B14658, ""fr"", ""en"")"),"Very nice watch good gift idea")</f>
        <v>Very nice watch good gift idea</v>
      </c>
    </row>
    <row r="14659">
      <c r="A14659" s="1">
        <v>5.0</v>
      </c>
      <c r="B14659" s="1" t="s">
        <v>14414</v>
      </c>
      <c r="C14659" t="str">
        <f>IFERROR(__xludf.DUMMYFUNCTION("GOOGLETRANSLATE(B14659, ""fr"", ""en"")"),"Very good practice for used lighters")</f>
        <v>Very good practice for used lighters</v>
      </c>
    </row>
    <row r="14660">
      <c r="A14660" s="1">
        <v>5.0</v>
      </c>
      <c r="B14660" s="1" t="s">
        <v>14415</v>
      </c>
      <c r="C14660" t="str">
        <f>IFERROR(__xludf.DUMMYFUNCTION("GOOGLETRANSLATE(B14660, ""fr"", ""en"")"),"RAS Currently no .Relativement intuitive worry so easy to use. For the photo I do not advise but I'm a photographer to share the silver ......... office nickel consumption level .The ink I can not say anything significant. What is certain for my professio"&amp;"nal activity it works well (editing invoice, sales receipt .......... For the rest see in time")</f>
        <v>RAS Currently no .Relativement intuitive worry so easy to use. For the photo I do not advise but I'm a photographer to share the silver ......... office nickel consumption level .The ink I can not say anything significant. What is certain for my professional activity it works well (editing invoice, sales receipt .......... For the rest see in time</v>
      </c>
    </row>
    <row r="14661">
      <c r="A14661" s="1">
        <v>5.0</v>
      </c>
      <c r="B14661" s="1" t="s">
        <v>14416</v>
      </c>
      <c r="C14661" t="str">
        <f>IFERROR(__xludf.DUMMYFUNCTION("GOOGLETRANSLATE(B14661, ""fr"", ""en"")"),"great gift Very beautiful necklace; even prettier than real picture. I recommand it !!!")</f>
        <v>great gift Very beautiful necklace; even prettier than real picture. I recommand it !!!</v>
      </c>
    </row>
    <row r="14662">
      <c r="A14662" s="1">
        <v>5.0</v>
      </c>
      <c r="B14662" s="1" t="s">
        <v>14417</v>
      </c>
      <c r="C14662" t="str">
        <f>IFERROR(__xludf.DUMMYFUNCTION("GOOGLETRANSLATE(B14662, ""fr"", ""en"")"),"Wow! I love them 😍")</f>
        <v>Wow! I love them 😍</v>
      </c>
    </row>
    <row r="14663">
      <c r="A14663" s="1">
        <v>5.0</v>
      </c>
      <c r="B14663" s="1" t="s">
        <v>14418</v>
      </c>
      <c r="C14663" t="str">
        <f>IFERROR(__xludf.DUMMYFUNCTION("GOOGLETRANSLATE(B14663, ""fr"", ""en"")"),"Impeccable They carve well, are a bit stiff and difficult to put on for small the first time but they soften after 2 or 3 passes machine.")</f>
        <v>Impeccable They carve well, are a bit stiff and difficult to put on for small the first time but they soften after 2 or 3 passes machine.</v>
      </c>
    </row>
    <row r="14664">
      <c r="A14664" s="1">
        <v>5.0</v>
      </c>
      <c r="B14664" s="1" t="s">
        <v>14419</v>
      </c>
      <c r="C14664" t="str">
        <f>IFERROR(__xludf.DUMMYFUNCTION("GOOGLETRANSLATE(B14664, ""fr"", ""en"")"),"shoes Product complies with descriptions and super comfortable when it's hot")</f>
        <v>shoes Product complies with descriptions and super comfortable when it's hot</v>
      </c>
    </row>
    <row r="14665">
      <c r="A14665" s="1">
        <v>5.0</v>
      </c>
      <c r="B14665" s="1" t="s">
        <v>14420</v>
      </c>
      <c r="C14665" t="str">
        <f>IFERROR(__xludf.DUMMYFUNCTION("GOOGLETRANSLATE(B14665, ""fr"", ""en"")"),"expensive but cheap product but quality, I do not regret my purchase. Even after several years it is very good that takes time")</f>
        <v>expensive but cheap product but quality, I do not regret my purchase. Even after several years it is very good that takes time</v>
      </c>
    </row>
    <row r="14666">
      <c r="A14666" s="1">
        <v>5.0</v>
      </c>
      <c r="B14666" s="1" t="s">
        <v>14421</v>
      </c>
      <c r="C14666" t="str">
        <f>IFERROR(__xludf.DUMMYFUNCTION("GOOGLETRANSLATE(B14666, ""fr"", ""en"")"),"Invicta 8926OB Subject consistent with the description, nice finish, and robust (tempered glass and stainless steel housing), the automatic movement to the precise air, and no sealing side problem is a very good price / quality ratio in comparison for exa"&amp;"mple with the brand of disposable Swiss watches ...")</f>
        <v>Invicta 8926OB Subject consistent with the description, nice finish, and robust (tempered glass and stainless steel housing), the automatic movement to the precise air, and no sealing side problem is a very good price / quality ratio in comparison for example with the brand of disposable Swiss watches ...</v>
      </c>
    </row>
    <row r="14667">
      <c r="A14667" s="1">
        <v>5.0</v>
      </c>
      <c r="B14667" s="1" t="s">
        <v>14422</v>
      </c>
      <c r="C14667" t="str">
        <f>IFERROR(__xludf.DUMMYFUNCTION("GOOGLETRANSLATE(B14667, ""fr"", ""en"")"),"Bracelet beautiful jewelry")</f>
        <v>Bracelet beautiful jewelry</v>
      </c>
    </row>
    <row r="14668">
      <c r="A14668" s="1">
        <v>5.0</v>
      </c>
      <c r="B14668" s="1" t="s">
        <v>14423</v>
      </c>
      <c r="C14668" t="str">
        <f>IFERROR(__xludf.DUMMYFUNCTION("GOOGLETRANSLATE(B14668, ""fr"", ""en"")"),"stickers just all kinds and all sizes; very good, I wish the big red circles to paste the posters of elections and transform our candidates with a clown nose!")</f>
        <v>stickers just all kinds and all sizes; very good, I wish the big red circles to paste the posters of elections and transform our candidates with a clown nose!</v>
      </c>
    </row>
    <row r="14669">
      <c r="A14669" s="1">
        <v>5.0</v>
      </c>
      <c r="B14669" s="1" t="s">
        <v>14424</v>
      </c>
      <c r="C14669" t="str">
        <f>IFERROR(__xludf.DUMMYFUNCTION("GOOGLETRANSLATE(B14669, ""fr"", ""en"")"),"lavender essential oil A bottle of essential oils handy for those who make their household or hygiene products themselves. As I specifically am using the ET lavender in my products. For the price I was a little afraid of the quality, but not it's perfect,"&amp;" we feel HE in cosmetics, and suddenly I also used in children to prevent lice shampoo etc .. . My daughter has very long hair and curly, and currently no lice on the horizon despite regular infestations in schools (fingers crossed). So I recommend!")</f>
        <v>lavender essential oil A bottle of essential oils handy for those who make their household or hygiene products themselves. As I specifically am using the ET lavender in my products. For the price I was a little afraid of the quality, but not it's perfect, we feel HE in cosmetics, and suddenly I also used in children to prevent lice shampoo etc .. . My daughter has very long hair and curly, and currently no lice on the horizon despite regular infestations in schools (fingers crossed). So I recommend!</v>
      </c>
    </row>
    <row r="14670">
      <c r="A14670" s="1">
        <v>5.0</v>
      </c>
      <c r="B14670" s="1" t="s">
        <v>14425</v>
      </c>
      <c r="C14670" t="str">
        <f>IFERROR(__xludf.DUMMYFUNCTION("GOOGLETRANSLATE(B14670, ""fr"", ""en"")"),"C. Received quickly for a gift")</f>
        <v>C. Received quickly for a gift</v>
      </c>
    </row>
    <row r="14671">
      <c r="A14671" s="1">
        <v>5.0</v>
      </c>
      <c r="B14671" s="1" t="s">
        <v>14426</v>
      </c>
      <c r="C14671" t="str">
        <f>IFERROR(__xludf.DUMMYFUNCTION("GOOGLETRANSLATE(B14671, ""fr"", ""en"")"),"Unbeatable Price Performance 👍👍👍 👍👍👍 Just great. Easy to use. All in one and rendering is magic: I dyed blue sky raven black !!! Also the price is unbeatable I bought two and I was able to revive the faded black clothes ebony black 👍")</f>
        <v>Unbeatable Price Performance 👍👍👍 👍👍👍 Just great. Easy to use. All in one and rendering is magic: I dyed blue sky raven black !!! Also the price is unbeatable I bought two and I was able to revive the faded black clothes ebony black 👍</v>
      </c>
    </row>
    <row r="14672">
      <c r="A14672" s="1">
        <v>2.0</v>
      </c>
      <c r="B14672" s="1" t="s">
        <v>14427</v>
      </c>
      <c r="C14672" t="str">
        <f>IFERROR(__xludf.DUMMYFUNCTION("GOOGLETRANSLATE(B14672, ""fr"", ""en"")"),"A doubt on the reduction of noise Headphones are too small to encompass not only good ears, so I have a big doubt on noise reduction. In short, it's a low-end model (for the bose) sizce if possible quietconfort 35 without hesitation by far!")</f>
        <v>A doubt on the reduction of noise Headphones are too small to encompass not only good ears, so I have a big doubt on noise reduction. In short, it's a low-end model (for the bose) sizce if possible quietconfort 35 without hesitation by far!</v>
      </c>
    </row>
    <row r="14673">
      <c r="A14673" s="1">
        <v>1.0</v>
      </c>
      <c r="B14673" s="1" t="s">
        <v>14428</v>
      </c>
      <c r="C14673" t="str">
        <f>IFERROR(__xludf.DUMMYFUNCTION("GOOGLETRANSLATE(B14673, ""fr"", ""en"")"),"Be careful not to overfill !!! Kettle overflowing easily. I put a little alcohol vinegar it overflowed result the kettle stopped working.")</f>
        <v>Be careful not to overfill !!! Kettle overflowing easily. I put a little alcohol vinegar it overflowed result the kettle stopped working.</v>
      </c>
    </row>
    <row r="14674">
      <c r="A14674" s="1">
        <v>1.0</v>
      </c>
      <c r="B14674" s="1" t="s">
        <v>14429</v>
      </c>
      <c r="C14674" t="str">
        <f>IFERROR(__xludf.DUMMYFUNCTION("GOOGLETRANSLATE(B14674, ""fr"", ""en"")"),"Do not stay warm. Regret having bought Bought to keep warm baby bottles. Absolutely does not have job")</f>
        <v>Do not stay warm. Regret having bought Bought to keep warm baby bottles. Absolutely does not have job</v>
      </c>
    </row>
    <row r="14675">
      <c r="A14675" s="1">
        <v>3.0</v>
      </c>
      <c r="B14675" s="1" t="s">
        <v>14430</v>
      </c>
      <c r="C14675" t="str">
        <f>IFERROR(__xludf.DUMMYFUNCTION("GOOGLETRANSLATE(B14675, ""fr"", ""en"")"),"Flexible A little late but for the price we expected, if not done the job")</f>
        <v>Flexible A little late but for the price we expected, if not done the job</v>
      </c>
    </row>
    <row r="14676">
      <c r="A14676" s="1">
        <v>4.0</v>
      </c>
      <c r="B14676" s="1" t="s">
        <v>14431</v>
      </c>
      <c r="C14676" t="str">
        <f>IFERROR(__xludf.DUMMYFUNCTION("GOOGLETRANSLATE(B14676, ""fr"", ""en"")"),"Good, but ... The sound is nice and clear, but it lacks bass for my taste. Headphones are lightweight but because of their size, they eventually become quickly uncomfortable, despite the testing of different tips provided.")</f>
        <v>Good, but ... The sound is nice and clear, but it lacks bass for my taste. Headphones are lightweight but because of their size, they eventually become quickly uncomfortable, despite the testing of different tips provided.</v>
      </c>
    </row>
    <row r="14677">
      <c r="A14677" s="1">
        <v>4.0</v>
      </c>
      <c r="B14677" s="1" t="s">
        <v>14432</v>
      </c>
      <c r="C14677" t="str">
        <f>IFERROR(__xludf.DUMMYFUNCTION("GOOGLETRANSLATE(B14677, ""fr"", ""en"")"),"The design Parfait top shoes and class")</f>
        <v>The design Parfait top shoes and class</v>
      </c>
    </row>
    <row r="14678">
      <c r="A14678" s="1">
        <v>4.0</v>
      </c>
      <c r="B14678" s="1" t="s">
        <v>14433</v>
      </c>
      <c r="C14678" t="str">
        <f>IFERROR(__xludf.DUMMYFUNCTION("GOOGLETRANSLATE(B14678, ""fr"", ""en"")"),"Conformed to the image I am happy with this watch on the aesthetical and generally, however the technical description lack of information such case? and waterproofness ?. The image, although satisfying the product does not allow a clear idea of ​​the dime"&amp;"nsions that are smaller in reality. (Watch for ""small"" man).")</f>
        <v>Conformed to the image I am happy with this watch on the aesthetical and generally, however the technical description lack of information such case? and waterproofness ?. The image, although satisfying the product does not allow a clear idea of ​​the dimensions that are smaller in reality. (Watch for "small" man).</v>
      </c>
    </row>
    <row r="14679">
      <c r="A14679" s="1">
        <v>4.0</v>
      </c>
      <c r="B14679" s="1" t="s">
        <v>14434</v>
      </c>
      <c r="C14679" t="str">
        <f>IFERROR(__xludf.DUMMYFUNCTION("GOOGLETRANSLATE(B14679, ""fr"", ""en"")"),"Although I bought them for the work the pair of sneakers is consistent with the picture, lightweight, good finishing and quality to do with time. Anyway at that price we can not have the best of the best.")</f>
        <v>Although I bought them for the work the pair of sneakers is consistent with the picture, lightweight, good finishing and quality to do with time. Anyway at that price we can not have the best of the best.</v>
      </c>
    </row>
    <row r="14680">
      <c r="A14680" s="1">
        <v>5.0</v>
      </c>
      <c r="B14680" s="1" t="s">
        <v>14435</v>
      </c>
      <c r="C14680" t="str">
        <f>IFERROR(__xludf.DUMMYFUNCTION("GOOGLETRANSLATE(B14680, ""fr"", ""en"")"),"Perfect ! Great value for money!")</f>
        <v>Perfect ! Great value for money!</v>
      </c>
    </row>
    <row r="14681">
      <c r="A14681" s="1">
        <v>5.0</v>
      </c>
      <c r="B14681" s="1" t="s">
        <v>14436</v>
      </c>
      <c r="C14681" t="str">
        <f>IFERROR(__xludf.DUMMYFUNCTION("GOOGLETRANSLATE(B14681, ""fr"", ""en"")"),"Comfortable I'm quite satisfied with these shoes are very comfortable, like slippers. It feels very good, they are easy to put on and pretty nice for walking shoes. Warning they carve big enough, I had been advised to take one size up for walking and luck"&amp;"ily I did not follow this advice because they are already high. The advantage is that we are not tight with thick socks. I recommend !")</f>
        <v>Comfortable I'm quite satisfied with these shoes are very comfortable, like slippers. It feels very good, they are easy to put on and pretty nice for walking shoes. Warning they carve big enough, I had been advised to take one size up for walking and luckily I did not follow this advice because they are already high. The advantage is that we are not tight with thick socks. I recommend !</v>
      </c>
    </row>
    <row r="14682">
      <c r="A14682" s="1">
        <v>5.0</v>
      </c>
      <c r="B14682" s="1" t="s">
        <v>14437</v>
      </c>
      <c r="C14682" t="str">
        <f>IFERROR(__xludf.DUMMYFUNCTION("GOOGLETRANSLATE(B14682, ""fr"", ""en"")"),"Good Buy helmet mainly for a round trip flight of 13H per flight, he went very good at reducing noise (being close to the aircraft engines), at its whether to listen music or watching movies the sound is superb. supplied accessories are welcomed. I recomm"&amp;"end.")</f>
        <v>Good Buy helmet mainly for a round trip flight of 13H per flight, he went very good at reducing noise (being close to the aircraft engines), at its whether to listen music or watching movies the sound is superb. supplied accessories are welcomed. I recommend.</v>
      </c>
    </row>
    <row r="14683">
      <c r="A14683" s="1">
        <v>5.0</v>
      </c>
      <c r="B14683" s="1" t="s">
        <v>14438</v>
      </c>
      <c r="C14683" t="str">
        <f>IFERROR(__xludf.DUMMYFUNCTION("GOOGLETRANSLATE(B14683, ""fr"", ""en"")"),"Good quality socks quality, well finished and comfortable to wear ... Following their use since qq months: do not deform and remain snug: I totally recommend!")</f>
        <v>Good quality socks quality, well finished and comfortable to wear ... Following their use since qq months: do not deform and remain snug: I totally recommend!</v>
      </c>
    </row>
    <row r="14684">
      <c r="A14684" s="1">
        <v>5.0</v>
      </c>
      <c r="B14684" s="1" t="s">
        <v>14439</v>
      </c>
      <c r="C14684" t="str">
        <f>IFERROR(__xludf.DUMMYFUNCTION("GOOGLETRANSLATE(B14684, ""fr"", ""en"")"),"the kid's dream has cheap excellent watch that brought back childhood and despite what your wife says it is convenient traveling with time zones")</f>
        <v>the kid's dream has cheap excellent watch that brought back childhood and despite what your wife says it is convenient traveling with time zones</v>
      </c>
    </row>
    <row r="14685">
      <c r="A14685" s="1">
        <v>5.0</v>
      </c>
      <c r="B14685" s="1" t="s">
        <v>14440</v>
      </c>
      <c r="C14685" t="str">
        <f>IFERROR(__xludf.DUMMYFUNCTION("GOOGLETRANSLATE(B14685, ""fr"", ""en"")"),"Purchase advisor Very nice and comfortable especially for people rather large foot; so I suggest a size less")</f>
        <v>Purchase advisor Very nice and comfortable especially for people rather large foot; so I suggest a size less</v>
      </c>
    </row>
    <row r="14686">
      <c r="A14686" s="1">
        <v>5.0</v>
      </c>
      <c r="B14686" s="1" t="s">
        <v>14441</v>
      </c>
      <c r="C14686" t="str">
        <f>IFERROR(__xludf.DUMMYFUNCTION("GOOGLETRANSLATE(B14686, ""fr"", ""en"")"),"beaume very effective")</f>
        <v>beaume very effective</v>
      </c>
    </row>
    <row r="14687">
      <c r="A14687" s="1">
        <v>5.0</v>
      </c>
      <c r="B14687" s="1" t="s">
        <v>14442</v>
      </c>
      <c r="C14687" t="str">
        <f>IFERROR(__xludf.DUMMYFUNCTION("GOOGLETRANSLATE(B14687, ""fr"", ""en"")"),"Okay, they are fine. Plain but fini.Reçut quickly. Perfect. Thank you")</f>
        <v>Okay, they are fine. Plain but fini.Reçut quickly. Perfect. Thank you</v>
      </c>
    </row>
    <row r="14688">
      <c r="A14688" s="1">
        <v>5.0</v>
      </c>
      <c r="B14688" s="1" t="s">
        <v>14443</v>
      </c>
      <c r="C14688" t="str">
        <f>IFERROR(__xludf.DUMMYFUNCTION("GOOGLETRANSLATE(B14688, ""fr"", ""en"")"),"BEAUTIFUL SHOES BEAUTIFUL SHOES, NICE COLOR AND COMFORTABLE AND LIGHT")</f>
        <v>BEAUTIFUL SHOES BEAUTIFUL SHOES, NICE COLOR AND COMFORTABLE AND LIGHT</v>
      </c>
    </row>
    <row r="14689">
      <c r="A14689" s="1">
        <v>5.0</v>
      </c>
      <c r="B14689" s="1" t="s">
        <v>14444</v>
      </c>
      <c r="C14689" t="str">
        <f>IFERROR(__xludf.DUMMYFUNCTION("GOOGLETRANSLATE(B14689, ""fr"", ""en"")"),"Very good quality, I recommend")</f>
        <v>Very good quality, I recommend</v>
      </c>
    </row>
    <row r="14690">
      <c r="A14690" s="1">
        <v>5.0</v>
      </c>
      <c r="B14690" s="1" t="s">
        <v>14445</v>
      </c>
      <c r="C14690" t="str">
        <f>IFERROR(__xludf.DUMMYFUNCTION("GOOGLETRANSLATE(B14690, ""fr"", ""en"")"),"Really beautiful, functional and wide capacity Perfect! Beautiful countenance! Automatically stops (including when empty to auto stop!) Stable with a cable that does not interfere!")</f>
        <v>Really beautiful, functional and wide capacity Perfect! Beautiful countenance! Automatically stops (including when empty to auto stop!) Stable with a cable that does not interfere!</v>
      </c>
    </row>
    <row r="14691">
      <c r="A14691" s="1">
        <v>5.0</v>
      </c>
      <c r="B14691" s="1" t="s">
        <v>14446</v>
      </c>
      <c r="C14691" t="str">
        <f>IFERROR(__xludf.DUMMYFUNCTION("GOOGLETRANSLATE(B14691, ""fr"", ""en"")"),"PHOTO + = PRODUCT DESCRIPTION practices Helmets and playful colors. my children can follow a film or listen to their music at the same time and without that we hear. the sound is not too loud even at maximum. and deer heads are adjustable. Suitable for ki"&amp;"ds from 2 years to 5 years for example.")</f>
        <v>PHOTO + = PRODUCT DESCRIPTION practices Helmets and playful colors. my children can follow a film or listen to their music at the same time and without that we hear. the sound is not too loud even at maximum. and deer heads are adjustable. Suitable for kids from 2 years to 5 years for example.</v>
      </c>
    </row>
    <row r="14692">
      <c r="A14692" s="1">
        <v>5.0</v>
      </c>
      <c r="B14692" s="1" t="s">
        <v>14447</v>
      </c>
      <c r="C14692" t="str">
        <f>IFERROR(__xludf.DUMMYFUNCTION("GOOGLETRANSLATE(B14692, ""fr"", ""en"")"),"Beautiful rings size is adhered to the command. The blue part is a little less clear, less garish and it's much better. Warning against by, it is a very hard alloy and if you give a blow on a glass table even inadvertently, glass table will have a pet!")</f>
        <v>Beautiful rings size is adhered to the command. The blue part is a little less clear, less garish and it's much better. Warning against by, it is a very hard alloy and if you give a blow on a glass table even inadvertently, glass table will have a pet!</v>
      </c>
    </row>
    <row r="14693">
      <c r="A14693" s="1">
        <v>5.0</v>
      </c>
      <c r="B14693" s="1" t="s">
        <v>14448</v>
      </c>
      <c r="C14693" t="str">
        <f>IFERROR(__xludf.DUMMYFUNCTION("GOOGLETRANSLATE(B14693, ""fr"", ""en"")"),"Good bag I deal with my grandfather for his birthday, he is counting. The bag is of good quality. Ps the picture we had taken before offering.")</f>
        <v>Good bag I deal with my grandfather for his birthday, he is counting. The bag is of good quality. Ps the picture we had taken before offering.</v>
      </c>
    </row>
    <row r="14694">
      <c r="A14694" s="1">
        <v>5.0</v>
      </c>
      <c r="B14694" s="1" t="s">
        <v>14449</v>
      </c>
      <c r="C14694" t="str">
        <f>IFERROR(__xludf.DUMMYFUNCTION("GOOGLETRANSLATE(B14694, ""fr"", ""en"")"),"Basketball safety Very good quality, the twisted laces are strange at first but once they took the habit are fine.")</f>
        <v>Basketball safety Very good quality, the twisted laces are strange at first but once they took the habit are fine.</v>
      </c>
    </row>
    <row r="14695">
      <c r="A14695" s="1">
        <v>2.0</v>
      </c>
      <c r="B14695" s="1" t="s">
        <v>14450</v>
      </c>
      <c r="C14695" t="str">
        <f>IFERROR(__xludf.DUMMYFUNCTION("GOOGLETRANSLATE(B14695, ""fr"", ""en"")"),"Good feelings, bad life. As could be expected, at this price, the product is not of high quality, leather is very hard and after a few weeks of daily use, it fades on contact points and begins to deform at the clasp. It was worth the money, if you change "&amp;"regularly bracelet then it is perfect.")</f>
        <v>Good feelings, bad life. As could be expected, at this price, the product is not of high quality, leather is very hard and after a few weeks of daily use, it fades on contact points and begins to deform at the clasp. It was worth the money, if you change regularly bracelet then it is perfect.</v>
      </c>
    </row>
    <row r="14696">
      <c r="A14696" s="1">
        <v>1.0</v>
      </c>
      <c r="B14696" s="1" t="s">
        <v>14451</v>
      </c>
      <c r="C14696" t="str">
        <f>IFERROR(__xludf.DUMMYFUNCTION("GOOGLETRANSLATE(B14696, ""fr"", ""en"")"),"Not satisfied I do not like at all, not wearable, grasping small size ..")</f>
        <v>Not satisfied I do not like at all, not wearable, grasping small size ..</v>
      </c>
    </row>
    <row r="14697">
      <c r="A14697" s="1">
        <v>3.0</v>
      </c>
      <c r="B14697" s="1" t="s">
        <v>14452</v>
      </c>
      <c r="C14697" t="str">
        <f>IFERROR(__xludf.DUMMYFUNCTION("GOOGLETRANSLATE(B14697, ""fr"", ""en"")"),"The slip did the job! I bought these socks in the idea of ​​having feet to warm without breaking my face on my floor. Only, too much rubber is felt, the fabric is too late for me: my teeth hurt after a while.")</f>
        <v>The slip did the job! I bought these socks in the idea of ​​having feet to warm without breaking my face on my floor. Only, too much rubber is felt, the fabric is too late for me: my teeth hurt after a while.</v>
      </c>
    </row>
    <row r="14698">
      <c r="A14698" s="1">
        <v>3.0</v>
      </c>
      <c r="B14698" s="1" t="s">
        <v>14453</v>
      </c>
      <c r="C14698" t="str">
        <f>IFERROR(__xludf.DUMMYFUNCTION("GOOGLETRANSLATE(B14698, ""fr"", ""en"")"),"For a smartphone connected to the microphone cable rode that could be included with the microphone")</f>
        <v>For a smartphone connected to the microphone cable rode that could be included with the microphone</v>
      </c>
    </row>
    <row r="14699">
      <c r="A14699" s="1">
        <v>4.0</v>
      </c>
      <c r="B14699" s="1" t="s">
        <v>14454</v>
      </c>
      <c r="C14699" t="str">
        <f>IFERROR(__xludf.DUMMYFUNCTION("GOOGLETRANSLATE(B14699, ""fr"", ""en"")"),"top and top")</f>
        <v>top and top</v>
      </c>
    </row>
    <row r="14700">
      <c r="A14700" s="1">
        <v>4.0</v>
      </c>
      <c r="B14700" s="1" t="s">
        <v>14455</v>
      </c>
      <c r="C14700" t="str">
        <f>IFERROR(__xludf.DUMMYFUNCTION("GOOGLETRANSLATE(B14700, ""fr"", ""en"")"),"received jeans beautiful shoe stone")</f>
        <v>received jeans beautiful shoe stone</v>
      </c>
    </row>
    <row r="14701">
      <c r="A14701" s="1">
        <v>4.0</v>
      </c>
      <c r="B14701" s="1" t="s">
        <v>14456</v>
      </c>
      <c r="C14701" t="str">
        <f>IFERROR(__xludf.DUMMYFUNCTION("GOOGLETRANSLATE(B14701, ""fr"", ""en"")"),"Style very good but sensitive to wear down Very good, faithful style to photos and very friendly, all in all comfortable and the right size for me. Fairly susceptible to wear, however, the seams stretch quick enough if you regularly wear as pajamas or jog"&amp;"ging to chill on Sunday :)")</f>
        <v>Style very good but sensitive to wear down Very good, faithful style to photos and very friendly, all in all comfortable and the right size for me. Fairly susceptible to wear, however, the seams stretch quick enough if you regularly wear as pajamas or jogging to chill on Sunday :)</v>
      </c>
    </row>
    <row r="14702">
      <c r="A14702" s="1">
        <v>4.0</v>
      </c>
      <c r="B14702" s="1" t="s">
        <v>14457</v>
      </c>
      <c r="C14702" t="str">
        <f>IFERROR(__xludf.DUMMYFUNCTION("GOOGLETRANSLATE(B14702, ""fr"", ""en"")"),"Vive Tchoupi I bought this book for my 2 year old daughter who starts the pot. She is a fan of Tchoupi! He has a solution for all problems of life. Besides it is plasticized so strong")</f>
        <v>Vive Tchoupi I bought this book for my 2 year old daughter who starts the pot. She is a fan of Tchoupi! He has a solution for all problems of life. Besides it is plasticized so strong</v>
      </c>
    </row>
    <row r="14703">
      <c r="A14703" s="1">
        <v>5.0</v>
      </c>
      <c r="B14703" s="1" t="s">
        <v>14458</v>
      </c>
      <c r="C14703" t="str">
        <f>IFERROR(__xludf.DUMMYFUNCTION("GOOGLETRANSLATE(B14703, ""fr"", ""en"")"),"Great product Excellent product, I even managed to remove stains that had several years of my seats! N hesitate to '' wet '' the entire fabric of the seat and scrub with a soft brush to clothes, it increases the effectiveness of the result!. Much more eff"&amp;"ective than the competition, even if it is a little more expensive.")</f>
        <v>Great product Excellent product, I even managed to remove stains that had several years of my seats! N hesitate to '' wet '' the entire fabric of the seat and scrub with a soft brush to clothes, it increases the effectiveness of the result!. Much more effective than the competition, even if it is a little more expensive.</v>
      </c>
    </row>
    <row r="14704">
      <c r="A14704" s="1">
        <v>5.0</v>
      </c>
      <c r="B14704" s="1" t="s">
        <v>14459</v>
      </c>
      <c r="C14704" t="str">
        <f>IFERROR(__xludf.DUMMYFUNCTION("GOOGLETRANSLATE(B14704, ""fr"", ""en"")"),"I love Really great to use LEDs provide a fun side to the kettle and there is an integrated filter spout allowing to directly tea leaves inside .top")</f>
        <v>I love Really great to use LEDs provide a fun side to the kettle and there is an integrated filter spout allowing to directly tea leaves inside .top</v>
      </c>
    </row>
    <row r="14705">
      <c r="A14705" s="1">
        <v>5.0</v>
      </c>
      <c r="B14705" s="1" t="s">
        <v>14460</v>
      </c>
      <c r="C14705" t="str">
        <f>IFERROR(__xludf.DUMMYFUNCTION("GOOGLETRANSLATE(B14705, ""fr"", ""en"")"),"Very well satisfied")</f>
        <v>Very well satisfied</v>
      </c>
    </row>
    <row r="14706">
      <c r="A14706" s="1">
        <v>5.0</v>
      </c>
      <c r="B14706" s="1" t="s">
        <v>14461</v>
      </c>
      <c r="C14706" t="str">
        <f>IFERROR(__xludf.DUMMYFUNCTION("GOOGLETRANSLATE(B14706, ""fr"", ""en"")"),"Adapter 6-pin to 8-pin I bought it to power a graphics card with a socket 8 pins, while my diet had a connector 6 pins. This works perfectly with this adapter. Nothing luxurious, but it does the job.")</f>
        <v>Adapter 6-pin to 8-pin I bought it to power a graphics card with a socket 8 pins, while my diet had a connector 6 pins. This works perfectly with this adapter. Nothing luxurious, but it does the job.</v>
      </c>
    </row>
    <row r="14707">
      <c r="A14707" s="1">
        <v>5.0</v>
      </c>
      <c r="B14707" s="1" t="s">
        <v>14462</v>
      </c>
      <c r="C14707" t="str">
        <f>IFERROR(__xludf.DUMMYFUNCTION("GOOGLETRANSLATE(B14707, ""fr"", ""en"")"),"Great design Finally a nice product for baby bottles and other baby materials! Nice color and great design! I also use it to drain the glasses or small dishes (adults!)")</f>
        <v>Great design Finally a nice product for baby bottles and other baby materials! Nice color and great design! I also use it to drain the glasses or small dishes (adults!)</v>
      </c>
    </row>
    <row r="14708">
      <c r="A14708" s="1">
        <v>5.0</v>
      </c>
      <c r="B14708" s="1" t="s">
        <v>14463</v>
      </c>
      <c r="C14708" t="str">
        <f>IFERROR(__xludf.DUMMYFUNCTION("GOOGLETRANSLATE(B14708, ""fr"", ""en"")"),"Men's Watch Casio Edifice EFR-539D-1A2VUEF ... BEAUTIFUL WATCH BUT CAUTION DO NOT FIT FOR SMALL WRIST OTHERWISE VERY NICE DESIGN AND BEAUTIFUL COLORS")</f>
        <v>Men's Watch Casio Edifice EFR-539D-1A2VUEF ... BEAUTIFUL WATCH BUT CAUTION DO NOT FIT FOR SMALL WRIST OTHERWISE VERY NICE DESIGN AND BEAUTIFUL COLORS</v>
      </c>
    </row>
    <row r="14709">
      <c r="A14709" s="1">
        <v>5.0</v>
      </c>
      <c r="B14709" s="1" t="s">
        <v>14464</v>
      </c>
      <c r="C14709" t="str">
        <f>IFERROR(__xludf.DUMMYFUNCTION("GOOGLETRANSLATE(B14709, ""fr"", ""en"")"),"Very very very good product. It is very well, he has a good support. I workout in the gym and really great. At first it's a little hard to put it and remove it, but we take the hand quickly. I immediately recommended in another color, so am glad this arti"&amp;"cle.")</f>
        <v>Very very very good product. It is very well, he has a good support. I workout in the gym and really great. At first it's a little hard to put it and remove it, but we take the hand quickly. I immediately recommended in another color, so am glad this article.</v>
      </c>
    </row>
    <row r="14710">
      <c r="A14710" s="1">
        <v>5.0</v>
      </c>
      <c r="B14710" s="1" t="s">
        <v>14465</v>
      </c>
      <c r="C14710" t="str">
        <f>IFERROR(__xludf.DUMMYFUNCTION("GOOGLETRANSLATE(B14710, ""fr"", ""en"")"),"Watch A watch with a perfect finish, it is very elegant and the color is perfect. I received it very quickly, with a nice little metal box.")</f>
        <v>Watch A watch with a perfect finish, it is very elegant and the color is perfect. I received it very quickly, with a nice little metal box.</v>
      </c>
    </row>
    <row r="14711">
      <c r="A14711" s="1">
        <v>5.0</v>
      </c>
      <c r="B14711" s="1" t="s">
        <v>14466</v>
      </c>
      <c r="C14711" t="str">
        <f>IFERROR(__xludf.DUMMYFUNCTION("GOOGLETRANSLATE(B14711, ""fr"", ""en"")"),"A small perfect kit for beginners As I make videos I wanted a microphone a little more powerful than my webcam but also without having to invest a fortune so I compared and finally decided to buy this kit which m ' looked good for the price and the view t"&amp;"hat I could find. I received it very quickly and I do a lot of testing to find the limits of the microphone and very sincerely he does the job as they say ... the kit is really complete with the XLR microphone cable via the jack arraigné media and even ar"&amp;"ms to set in my office. I do not regret this purchase and you advice if you want to get a good sound quality a lower cost.")</f>
        <v>A small perfect kit for beginners As I make videos I wanted a microphone a little more powerful than my webcam but also without having to invest a fortune so I compared and finally decided to buy this kit which m ' looked good for the price and the view that I could find. I received it very quickly and I do a lot of testing to find the limits of the microphone and very sincerely he does the job as they say ... the kit is really complete with the XLR microphone cable via the jack arraigné media and even arms to set in my office. I do not regret this purchase and you advice if you want to get a good sound quality a lower cost.</v>
      </c>
    </row>
    <row r="14712">
      <c r="A14712" s="1">
        <v>5.0</v>
      </c>
      <c r="B14712" s="1" t="s">
        <v>14467</v>
      </c>
      <c r="C14712" t="str">
        <f>IFERROR(__xludf.DUMMYFUNCTION("GOOGLETRANSLATE(B14712, ""fr"", ""en"")"),"Good unit 3 in 1 Roger device of good quality and is no off button to turn off so you simply unplugged for first use Waffle mode for the time not disappointed.")</f>
        <v>Good unit 3 in 1 Roger device of good quality and is no off button to turn off so you simply unplugged for first use Waffle mode for the time not disappointed.</v>
      </c>
    </row>
    <row r="14713">
      <c r="A14713" s="1">
        <v>5.0</v>
      </c>
      <c r="B14713" s="1" t="s">
        <v>14468</v>
      </c>
      <c r="C14713" t="str">
        <f>IFERROR(__xludf.DUMMYFUNCTION("GOOGLETRANSLATE(B14713, ""fr"", ""en"")"),"beautiful watch product totally matching the description, fast shipping good product and a bit expensive for the product weight because the shipping costs are often free from now")</f>
        <v>beautiful watch product totally matching the description, fast shipping good product and a bit expensive for the product weight because the shipping costs are often free from now</v>
      </c>
    </row>
    <row r="14714">
      <c r="A14714" s="1">
        <v>5.0</v>
      </c>
      <c r="B14714" s="1" t="s">
        <v>14469</v>
      </c>
      <c r="C14714" t="str">
        <f>IFERROR(__xludf.DUMMYFUNCTION("GOOGLETRANSLATE(B14714, ""fr"", ""en"")"),"Perfect Great width and good tear resistance.")</f>
        <v>Perfect Great width and good tear resistance.</v>
      </c>
    </row>
    <row r="14715">
      <c r="A14715" s="1">
        <v>5.0</v>
      </c>
      <c r="B14715" s="1" t="s">
        <v>14470</v>
      </c>
      <c r="C14715" t="str">
        <f>IFERROR(__xludf.DUMMYFUNCTION("GOOGLETRANSLATE(B14715, ""fr"", ""en"")"),"This cell found pleasure is what I expected, is noticeably improved compared to a basic cell (1st prize), which gives quite a facelift to my old, but oh so true!, turntable (Pioneer PL20D ). I'm not an expert, but I appreciate the precision instruments, t"&amp;"he return of the background music (jazz and classical music), and therefore a lot of fun ... since it is the goal!")</f>
        <v>This cell found pleasure is what I expected, is noticeably improved compared to a basic cell (1st prize), which gives quite a facelift to my old, but oh so true!, turntable (Pioneer PL20D ). I'm not an expert, but I appreciate the precision instruments, the return of the background music (jazz and classical music), and therefore a lot of fun ... since it is the goal!</v>
      </c>
    </row>
    <row r="14716">
      <c r="A14716" s="1">
        <v>5.0</v>
      </c>
      <c r="B14716" s="1" t="s">
        <v>14471</v>
      </c>
      <c r="C14716" t="str">
        <f>IFERROR(__xludf.DUMMYFUNCTION("GOOGLETRANSLATE(B14716, ""fr"", ""en"")"),"Earphones umi Okay suits me perfectly advisable seller")</f>
        <v>Earphones umi Okay suits me perfectly advisable seller</v>
      </c>
    </row>
    <row r="14717">
      <c r="A14717" s="1">
        <v>5.0</v>
      </c>
      <c r="B14717" s="1" t="s">
        <v>14472</v>
      </c>
      <c r="C14717" t="str">
        <f>IFERROR(__xludf.DUMMYFUNCTION("GOOGLETRANSLATE(B14717, ""fr"", ""en"")"),"Nike Air Max 90 The product is essential to my expectations, delivery on time and corresponds to the ad and prices within the range of other sites. I recommend it")</f>
        <v>Nike Air Max 90 The product is essential to my expectations, delivery on time and corresponds to the ad and prices within the range of other sites. I recommend it</v>
      </c>
    </row>
    <row r="14718">
      <c r="A14718" s="1">
        <v>2.0</v>
      </c>
      <c r="B14718" s="1" t="s">
        <v>14473</v>
      </c>
      <c r="C14718" t="str">
        <f>IFERROR(__xludf.DUMMYFUNCTION("GOOGLETRANSLATE(B14718, ""fr"", ""en"")"),"Disappointed My coli too Size sole before it takes off it errafle very quickly and gives the impression of having big feet however aesthetically beautiful")</f>
        <v>Disappointed My coli too Size sole before it takes off it errafle very quickly and gives the impression of having big feet however aesthetically beautiful</v>
      </c>
    </row>
    <row r="14719">
      <c r="A14719" s="1">
        <v>1.0</v>
      </c>
      <c r="B14719" s="1" t="s">
        <v>14474</v>
      </c>
      <c r="C14719" t="str">
        <f>IFERROR(__xludf.DUMMYFUNCTION("GOOGLETRANSLATE(B14719, ""fr"", ""en"")"),"Item not received item not received")</f>
        <v>Item not received item not received</v>
      </c>
    </row>
    <row r="14720">
      <c r="A14720" s="1">
        <v>1.0</v>
      </c>
      <c r="B14720" s="1" t="s">
        <v>14475</v>
      </c>
      <c r="C14720" t="str">
        <f>IFERROR(__xludf.DUMMYFUNCTION("GOOGLETRANSLATE(B14720, ""fr"", ""en"")"),"Caution delivered without cut zip Second time I order this product and the box comes without the zip cut, as saying that suddenly the product is irrelevant! I still have to return the item!")</f>
        <v>Caution delivered without cut zip Second time I order this product and the box comes without the zip cut, as saying that suddenly the product is irrelevant! I still have to return the item!</v>
      </c>
    </row>
    <row r="14721">
      <c r="A14721" s="1">
        <v>3.0</v>
      </c>
      <c r="B14721" s="1" t="s">
        <v>14476</v>
      </c>
      <c r="C14721" t="str">
        <f>IFERROR(__xludf.DUMMYFUNCTION("GOOGLETRANSLATE(B14721, ""fr"", ""en"")"),"Not too bad As former owner of a case falling to pieces, I made the move to this model. It looks good at the controls and keeps my papers in good condition. However, I wish that the two flaps are closed and not external one. I have a little doubt as to th"&amp;"e duration it will do but for that price it's worth it.")</f>
        <v>Not too bad As former owner of a case falling to pieces, I made the move to this model. It looks good at the controls and keeps my papers in good condition. However, I wish that the two flaps are closed and not external one. I have a little doubt as to the duration it will do but for that price it's worth it.</v>
      </c>
    </row>
    <row r="14722">
      <c r="A14722" s="1">
        <v>4.0</v>
      </c>
      <c r="B14722" s="1" t="s">
        <v>14477</v>
      </c>
      <c r="C14722" t="str">
        <f>IFERROR(__xludf.DUMMYFUNCTION("GOOGLETRANSLATE(B14722, ""fr"", ""en"")"),"Good footwear Walking")</f>
        <v>Good footwear Walking</v>
      </c>
    </row>
    <row r="14723">
      <c r="A14723" s="1">
        <v>4.0</v>
      </c>
      <c r="B14723" s="1" t="s">
        <v>14478</v>
      </c>
      <c r="C14723" t="str">
        <f>IFERROR(__xludf.DUMMYFUNCTION("GOOGLETRANSLATE(B14723, ""fr"", ""en"")"),"Good article, the top seller Bought for my sister because she suffers back pain for a long time. Article I received it quickly and in good condition, I even got a message from the seller, who sent me a pdf with exercises to relieve back pain. Compared to "&amp;"the mat, feeling very awkward at first, one feels an intense but pleasant heat, you get used pretty quickly.")</f>
        <v>Good article, the top seller Bought for my sister because she suffers back pain for a long time. Article I received it quickly and in good condition, I even got a message from the seller, who sent me a pdf with exercises to relieve back pain. Compared to the mat, feeling very awkward at first, one feels an intense but pleasant heat, you get used pretty quickly.</v>
      </c>
    </row>
    <row r="14724">
      <c r="A14724" s="1">
        <v>4.0</v>
      </c>
      <c r="B14724" s="1" t="s">
        <v>14479</v>
      </c>
      <c r="C14724" t="str">
        <f>IFERROR(__xludf.DUMMYFUNCTION("GOOGLETRANSLATE(B14724, ""fr"", ""en"")"),"Cartoyche cartridge with an unbeatable price compared to supermarkets. Everything stated in the description which allows to buy the right cartridge. Because the store is often lost if you know nothing")</f>
        <v>Cartoyche cartridge with an unbeatable price compared to supermarkets. Everything stated in the description which allows to buy the right cartridge. Because the store is often lost if you know nothing</v>
      </c>
    </row>
    <row r="14725">
      <c r="A14725" s="1">
        <v>4.0</v>
      </c>
      <c r="B14725" s="1" t="s">
        <v>14480</v>
      </c>
      <c r="C14725" t="str">
        <f>IFERROR(__xludf.DUMMYFUNCTION("GOOGLETRANSLATE(B14725, ""fr"", ""en"")"),"pretty comfortable slight Nice pair of sneakers, comfortable, lightweight foot. By cons messy")</f>
        <v>pretty comfortable slight Nice pair of sneakers, comfortable, lightweight foot. By cons messy</v>
      </c>
    </row>
    <row r="14726">
      <c r="A14726" s="1">
        <v>5.0</v>
      </c>
      <c r="B14726" s="1" t="s">
        <v>14481</v>
      </c>
      <c r="C14726" t="str">
        <f>IFERROR(__xludf.DUMMYFUNCTION("GOOGLETRANSLATE(B14726, ""fr"", ""en"")"),"Just great! Very good light, efficient, I served every morning ...")</f>
        <v>Just great! Very good light, efficient, I served every morning ...</v>
      </c>
    </row>
    <row r="14727">
      <c r="A14727" s="1">
        <v>5.0</v>
      </c>
      <c r="B14727" s="1" t="s">
        <v>14482</v>
      </c>
      <c r="C14727" t="str">
        <f>IFERROR(__xludf.DUMMYFUNCTION("GOOGLETRANSLATE(B14727, ""fr"", ""en"")"),"Super nice product. Lightweight, comfortable, convenient and perfect for treating neck. The highly recommend.")</f>
        <v>Super nice product. Lightweight, comfortable, convenient and perfect for treating neck. The highly recommend.</v>
      </c>
    </row>
    <row r="14728">
      <c r="A14728" s="1">
        <v>5.0</v>
      </c>
      <c r="B14728" s="1" t="s">
        <v>14483</v>
      </c>
      <c r="C14728" t="str">
        <f>IFERROR(__xludf.DUMMYFUNCTION("GOOGLETRANSLATE(B14728, ""fr"", ""en"")"),"Beautiful Paper Perfect for printing color front / back. A little rigid, it's rather pro. A bit pricey too, but we have something for nothing ...")</f>
        <v>Beautiful Paper Perfect for printing color front / back. A little rigid, it's rather pro. A bit pricey too, but we have something for nothing ...</v>
      </c>
    </row>
    <row r="14729">
      <c r="A14729" s="1">
        <v>5.0</v>
      </c>
      <c r="B14729" s="1" t="s">
        <v>14484</v>
      </c>
      <c r="C14729" t="str">
        <f>IFERROR(__xludf.DUMMYFUNCTION("GOOGLETRANSLATE(B14729, ""fr"", ""en"")"),"beautiful product delivery respected product of the oririne")</f>
        <v>beautiful product delivery respected product of the oririne</v>
      </c>
    </row>
    <row r="14730">
      <c r="A14730" s="1">
        <v>5.0</v>
      </c>
      <c r="B14730" s="1" t="s">
        <v>14485</v>
      </c>
      <c r="C14730" t="str">
        <f>IFERROR(__xludf.DUMMYFUNCTION("GOOGLETRANSLATE(B14730, ""fr"", ""en"")"),"Matches the description corresponds to the description")</f>
        <v>Matches the description corresponds to the description</v>
      </c>
    </row>
    <row r="14731">
      <c r="A14731" s="1">
        <v>5.0</v>
      </c>
      <c r="B14731" s="1" t="s">
        <v>14486</v>
      </c>
      <c r="C14731" t="str">
        <f>IFERROR(__xludf.DUMMYFUNCTION("GOOGLETRANSLATE(B14731, ""fr"", ""en"")"),"Photo Paper KP 108 control and fast shipping. This is the only paper 10x15 with 3 cartridges for printing (thermal transfer) that are suitable for the printer Selphy CP 800 with a great price.")</f>
        <v>Photo Paper KP 108 control and fast shipping. This is the only paper 10x15 with 3 cartridges for printing (thermal transfer) that are suitable for the printer Selphy CP 800 with a great price.</v>
      </c>
    </row>
    <row r="14732">
      <c r="A14732" s="1">
        <v>5.0</v>
      </c>
      <c r="B14732" s="1" t="s">
        <v>14487</v>
      </c>
      <c r="C14732" t="str">
        <f>IFERROR(__xludf.DUMMYFUNCTION("GOOGLETRANSLATE(B14732, ""fr"", ""en"")"),"Good device! Very good sound. By cons am using a little ... But I do not have such a big head! The sensation disappears. I still like bcp. And j'le advise!")</f>
        <v>Good device! Very good sound. By cons am using a little ... But I do not have such a big head! The sensation disappears. I still like bcp. And j'le advise!</v>
      </c>
    </row>
    <row r="14733">
      <c r="A14733" s="1">
        <v>5.0</v>
      </c>
      <c r="B14733" s="1" t="s">
        <v>14488</v>
      </c>
      <c r="C14733" t="str">
        <f>IFERROR(__xludf.DUMMYFUNCTION("GOOGLETRANSLATE(B14733, ""fr"", ""en"")"),"Ink cartridge Quality product for OEM with the advantage for a few euros the possibility to print more than a regular cartridge.")</f>
        <v>Ink cartridge Quality product for OEM with the advantage for a few euros the possibility to print more than a regular cartridge.</v>
      </c>
    </row>
    <row r="14734">
      <c r="A14734" s="1">
        <v>5.0</v>
      </c>
      <c r="B14734" s="1" t="s">
        <v>1236</v>
      </c>
      <c r="C14734" t="str">
        <f>IFERROR(__xludf.DUMMYFUNCTION("GOOGLETRANSLATE(B14734, ""fr"", ""en"")"),"very well very well")</f>
        <v>very well very well</v>
      </c>
    </row>
    <row r="14735">
      <c r="A14735" s="1">
        <v>5.0</v>
      </c>
      <c r="B14735" s="1" t="s">
        <v>14489</v>
      </c>
      <c r="C14735" t="str">
        <f>IFERROR(__xludf.DUMMYFUNCTION("GOOGLETRANSLATE(B14735, ""fr"", ""en"")"),"Very original Cute but already broken after of one day. The shaft does not hold. A little glue is it will go again")</f>
        <v>Very original Cute but already broken after of one day. The shaft does not hold. A little glue is it will go again</v>
      </c>
    </row>
    <row r="14736">
      <c r="A14736" s="1">
        <v>5.0</v>
      </c>
      <c r="B14736" s="1" t="s">
        <v>14490</v>
      </c>
      <c r="C14736" t="str">
        <f>IFERROR(__xludf.DUMMYFUNCTION("GOOGLETRANSLATE(B14736, ""fr"", ""en"")"),"Very good Good quality. I use in a tank of 180 liters. The size is perfect, though a bit large. Would adapt in a tank of over 200 liters without problems. The plastic is thick enough.")</f>
        <v>Very good Good quality. I use in a tank of 180 liters. The size is perfect, though a bit large. Would adapt in a tank of over 200 liters without problems. The plastic is thick enough.</v>
      </c>
    </row>
    <row r="14737">
      <c r="A14737" s="1">
        <v>5.0</v>
      </c>
      <c r="B14737" s="1" t="s">
        <v>14491</v>
      </c>
      <c r="C14737" t="str">
        <f>IFERROR(__xludf.DUMMYFUNCTION("GOOGLETRANSLATE(B14737, ""fr"", ""en"")"),"Good size right size jacket. All interior soft. Book quickly. Bright color.")</f>
        <v>Good size right size jacket. All interior soft. Book quickly. Bright color.</v>
      </c>
    </row>
    <row r="14738">
      <c r="A14738" s="1">
        <v>5.0</v>
      </c>
      <c r="B14738" s="1" t="s">
        <v>14492</v>
      </c>
      <c r="C14738" t="str">
        <f>IFERROR(__xludf.DUMMYFUNCTION("GOOGLETRANSLATE(B14738, ""fr"", ""en"")"),"Excellent product! This foot is very good. I own the model for two screens, it remains very stable even on a desk with a glass top. The arms are strong, the setting is certainly complicated if we want to be very specific but once in place it does not move"&amp;". If you have two 24-inch screen, the arms will be very folded behind screens so that everything is two side by side in front of you. It is always possible to set foot on the right of the desk and have a screen in front and the other side. If this advice "&amp;"is useful, please click the button below, thanks:)")</f>
        <v>Excellent product! This foot is very good. I own the model for two screens, it remains very stable even on a desk with a glass top. The arms are strong, the setting is certainly complicated if we want to be very specific but once in place it does not move. If you have two 24-inch screen, the arms will be very folded behind screens so that everything is two side by side in front of you. It is always possible to set foot on the right of the desk and have a screen in front and the other side. If this advice is useful, please click the button below, thanks:)</v>
      </c>
    </row>
    <row r="14739">
      <c r="A14739" s="1">
        <v>5.0</v>
      </c>
      <c r="B14739" s="1" t="s">
        <v>14493</v>
      </c>
      <c r="C14739" t="str">
        <f>IFERROR(__xludf.DUMMYFUNCTION("GOOGLETRANSLATE(B14739, ""fr"", ""en"")"),"Very nice man sandals sandals Simple, unfussy, navy. Bought for my husband who wears them every night after work and on weekends. Washes easily under the spray of the shower. I recommend !")</f>
        <v>Very nice man sandals sandals Simple, unfussy, navy. Bought for my husband who wears them every night after work and on weekends. Washes easily under the spray of the shower. I recommend !</v>
      </c>
    </row>
    <row r="14740">
      <c r="A14740" s="1">
        <v>5.0</v>
      </c>
      <c r="B14740" s="1" t="s">
        <v>14494</v>
      </c>
      <c r="C14740" t="str">
        <f>IFERROR(__xludf.DUMMYFUNCTION("GOOGLETRANSLATE(B14740, ""fr"", ""en"")"),"Okay, that's what I was looking, I thought it was so sticker sheets for brilliant but suddenly they are dull but that does not bother me finally")</f>
        <v>Okay, that's what I was looking, I thought it was so sticker sheets for brilliant but suddenly they are dull but that does not bother me finally</v>
      </c>
    </row>
    <row r="14741">
      <c r="A14741" s="1">
        <v>5.0</v>
      </c>
      <c r="B14741" s="1" t="s">
        <v>14495</v>
      </c>
      <c r="C14741" t="str">
        <f>IFERROR(__xludf.DUMMYFUNCTION("GOOGLETRANSLATE(B14741, ""fr"", ""en"")"),"Really very light I use headphones to output the sound of the piano discreetly and I am very satisfied with the product. I highly recommend it.")</f>
        <v>Really very light I use headphones to output the sound of the piano discreetly and I am very satisfied with the product. I highly recommend it.</v>
      </c>
    </row>
    <row r="14742">
      <c r="A14742" s="1">
        <v>2.0</v>
      </c>
      <c r="B14742" s="1" t="s">
        <v>14496</v>
      </c>
      <c r="C14742" t="str">
        <f>IFERROR(__xludf.DUMMYFUNCTION("GOOGLETRANSLATE(B14742, ""fr"", ""en"")"),"Does not take too light well balanced with a heavy kind of micro Rode NT1 feet could be heavier to better stabilize the pole. the position of the boom locking system does not hold up well, really must tighten. I suggest that with a lightweight microphone.")</f>
        <v>Does not take too light well balanced with a heavy kind of micro Rode NT1 feet could be heavier to better stabilize the pole. the position of the boom locking system does not hold up well, really must tighten. I suggest that with a lightweight microphone.</v>
      </c>
    </row>
    <row r="14743">
      <c r="A14743" s="1">
        <v>1.0</v>
      </c>
      <c r="B14743" s="1" t="s">
        <v>14497</v>
      </c>
      <c r="C14743" t="str">
        <f>IFERROR(__xludf.DUMMYFUNCTION("GOOGLETRANSLATE(B14743, ""fr"", ""en"")"),"As well take a lesser amount for individuals! I bought a 62XL color cartridge there is 1 month and a half and have thought for a while but that's only 70% full now (about) it does not want to print in magenta (other colors are okay). All cleanups changes "&amp;"nothing. The print quality diagnostic page does not print the color square ... Goodbye magenta red color and bright yellow unreadable instead on documents :-( A board does not buy the XL cartridges if you do not have a professional print speed. take the c"&amp;"lassic 62 cartridges because you do not reach the end It gives the impression that the ink dries after a certain time ... I had had this printing the farmhouse spent on much longer I can take over the lot with black color more interesting fare 62 classic "&amp;"(which suited me well before retrying TRSE XL ... https:. // www.amazon.fr/HP-N9J71AE-Cartouches-Authentiques-Couleurs/dp/B01ARRTHUE/ref=sr_1_5?s=computers&amp;amp;ie=UTF8&amp;amp;qid=1553286255&amp;amp;sr=1-5")</f>
        <v>As well take a lesser amount for individuals! I bought a 62XL color cartridge there is 1 month and a half and have thought for a while but that's only 70% full now (about) it does not want to print in magenta (other colors are okay). All cleanups changes nothing. The print quality diagnostic page does not print the color square ... Goodbye magenta red color and bright yellow unreadable instead on documents :-( A board does not buy the XL cartridges if you do not have a professional print speed. take the classic 62 cartridges because you do not reach the end It gives the impression that the ink dries after a certain time ... I had had this printing the farmhouse spent on much longer I can take over the lot with black color more interesting fare 62 classic (which suited me well before retrying TRSE XL ... https:. // www.amazon.fr/HP-N9J71AE-Cartouches-Authentiques-Couleurs/dp/B01ARRTHUE/ref=sr_1_5?s=computers&amp;amp;ie=UTF8&amp;amp;qid=1553286255&amp;amp;sr=1-5</v>
      </c>
    </row>
    <row r="14744">
      <c r="A14744" s="1">
        <v>3.0</v>
      </c>
      <c r="B14744" s="1" t="s">
        <v>6658</v>
      </c>
      <c r="C14744" t="str">
        <f>IFERROR(__xludf.DUMMYFUNCTION("GOOGLETRANSLATE(B14744, ""fr"", ""en"")"),"Good quality product and size consistent good quality product and size in line for sneakers The top is very nice and not too messy Supplied with 2 pairs of white laces and gray see in time whether they will hold and will not come off. Well damped shocks f"&amp;"or long walk into town or driving, not to use for sports.")</f>
        <v>Good quality product and size consistent good quality product and size in line for sneakers The top is very nice and not too messy Supplied with 2 pairs of white laces and gray see in time whether they will hold and will not come off. Well damped shocks for long walk into town or driving, not to use for sports.</v>
      </c>
    </row>
    <row r="14745">
      <c r="A14745" s="1">
        <v>3.0</v>
      </c>
      <c r="B14745" s="1" t="s">
        <v>14498</v>
      </c>
      <c r="C14745" t="str">
        <f>IFERROR(__xludf.DUMMYFUNCTION("GOOGLETRANSLATE(B14745, ""fr"", ""en"")"),"S Do not erase well yesterday offered to my daughter. For she loves against the felt's not properly erased under water. It really dommagr")</f>
        <v>S Do not erase well yesterday offered to my daughter. For she loves against the felt's not properly erased under water. It really dommagr</v>
      </c>
    </row>
    <row r="14746">
      <c r="A14746" s="1">
        <v>4.0</v>
      </c>
      <c r="B14746" s="1" t="s">
        <v>14499</v>
      </c>
      <c r="C14746" t="str">
        <f>IFERROR(__xludf.DUMMYFUNCTION("GOOGLETRANSLATE(B14746, ""fr"", ""en"")"),"Brushes Brushes pleasant to use. Even for beginners.")</f>
        <v>Brushes Brushes pleasant to use. Even for beginners.</v>
      </c>
    </row>
    <row r="14747">
      <c r="A14747" s="1">
        <v>4.0</v>
      </c>
      <c r="B14747" s="1" t="s">
        <v>14500</v>
      </c>
      <c r="C14747" t="str">
        <f>IFERROR(__xludf.DUMMYFUNCTION("GOOGLETRANSLATE(B14747, ""fr"", ""en"")"),"I like bein received")</f>
        <v>I like bein received</v>
      </c>
    </row>
    <row r="14748">
      <c r="A14748" s="1">
        <v>4.0</v>
      </c>
      <c r="B14748" s="1" t="s">
        <v>14501</v>
      </c>
      <c r="C14748" t="str">
        <f>IFERROR(__xludf.DUMMYFUNCTION("GOOGLETRANSLATE(B14748, ""fr"", ""en"")"),"Perfect for my teen ... For my son who has large feet (49-50), this model is very suitable and likes it a lot.")</f>
        <v>Perfect for my teen ... For my son who has large feet (49-50), this model is very suitable and likes it a lot.</v>
      </c>
    </row>
    <row r="14749">
      <c r="A14749" s="1">
        <v>4.0</v>
      </c>
      <c r="B14749" s="1" t="s">
        <v>14502</v>
      </c>
      <c r="C14749" t="str">
        <f>IFERROR(__xludf.DUMMYFUNCTION("GOOGLETRANSLATE(B14749, ""fr"", ""en"")"),"very nice quality good")</f>
        <v>very nice quality good</v>
      </c>
    </row>
    <row r="14750">
      <c r="A14750" s="1">
        <v>4.0</v>
      </c>
      <c r="B14750" s="1" t="s">
        <v>14503</v>
      </c>
      <c r="C14750" t="str">
        <f>IFERROR(__xludf.DUMMYFUNCTION("GOOGLETRANSLATE(B14750, ""fr"", ""en"")"),"Economic Effective")</f>
        <v>Economic Effective</v>
      </c>
    </row>
    <row r="14751">
      <c r="A14751" s="1">
        <v>5.0</v>
      </c>
      <c r="B14751" s="1" t="s">
        <v>14504</v>
      </c>
      <c r="C14751" t="str">
        <f>IFERROR(__xludf.DUMMYFUNCTION("GOOGLETRANSLATE(B14751, ""fr"", ""en"")"),"Super convenient for myself")</f>
        <v>Super convenient for myself</v>
      </c>
    </row>
    <row r="14752">
      <c r="A14752" s="1">
        <v>5.0</v>
      </c>
      <c r="B14752" s="1" t="s">
        <v>14505</v>
      </c>
      <c r="C14752" t="str">
        <f>IFERROR(__xludf.DUMMYFUNCTION("GOOGLETRANSLATE(B14752, ""fr"", ""en"")"),"Basketball My son RAVI")</f>
        <v>Basketball My son RAVI</v>
      </c>
    </row>
    <row r="14753">
      <c r="A14753" s="1">
        <v>5.0</v>
      </c>
      <c r="B14753" s="1" t="s">
        <v>14506</v>
      </c>
      <c r="C14753" t="str">
        <f>IFERROR(__xludf.DUMMYFUNCTION("GOOGLETRANSLATE(B14753, ""fr"", ""en"")"),"Karaoke wireless microphone !! @ ""difficult to assess because the microphone can not be used since the document is in several languages ​​other than French if someone can provide me the manual in French I thank in advance to share this reproach delivery "&amp;"was perfect! @ ...")</f>
        <v>Karaoke wireless microphone !! @ "difficult to assess because the microphone can not be used since the document is in several languages ​​other than French if someone can provide me the manual in French I thank in advance to share this reproach delivery was perfect! @ ...</v>
      </c>
    </row>
    <row r="14754">
      <c r="A14754" s="1">
        <v>5.0</v>
      </c>
      <c r="B14754" s="1" t="s">
        <v>14507</v>
      </c>
      <c r="C14754" t="str">
        <f>IFERROR(__xludf.DUMMYFUNCTION("GOOGLETRANSLATE(B14754, ""fr"", ""en"")"),"no problem at all It's the cheapest you can find scotch. But it meets the basic application for the paper box. I do not understand in most cases why I'm buying the expensive scotch")</f>
        <v>no problem at all It's the cheapest you can find scotch. But it meets the basic application for the paper box. I do not understand in most cases why I'm buying the expensive scotch</v>
      </c>
    </row>
    <row r="14755">
      <c r="A14755" s="1">
        <v>5.0</v>
      </c>
      <c r="B14755" s="1" t="s">
        <v>14508</v>
      </c>
      <c r="C14755" t="str">
        <f>IFERROR(__xludf.DUMMYFUNCTION("GOOGLETRANSLATE(B14755, ""fr"", ""en"")"),"Super wireless headphones. It was very well packaged, the sound is perfect. The headphones that keeps very well, and there were several tip to change, and also provided cover for the box. Product received so far, not yet loaded, always full battery mode. "&amp;"The headphones box slightly, not heavy, and can charge our phone too. It's really very good wireless headset.")</f>
        <v>Super wireless headphones. It was very well packaged, the sound is perfect. The headphones that keeps very well, and there were several tip to change, and also provided cover for the box. Product received so far, not yet loaded, always full battery mode. The headphones box slightly, not heavy, and can charge our phone too. It's really very good wireless headset.</v>
      </c>
    </row>
    <row r="14756">
      <c r="A14756" s="1">
        <v>5.0</v>
      </c>
      <c r="B14756" s="1" t="s">
        <v>14509</v>
      </c>
      <c r="C14756" t="str">
        <f>IFERROR(__xludf.DUMMYFUNCTION("GOOGLETRANSLATE(B14756, ""fr"", ""en"")"),"Cartridge Printer Cartridge")</f>
        <v>Cartridge Printer Cartridge</v>
      </c>
    </row>
    <row r="14757">
      <c r="A14757" s="1">
        <v>5.0</v>
      </c>
      <c r="B14757" s="1" t="s">
        <v>14510</v>
      </c>
      <c r="C14757" t="str">
        <f>IFERROR(__xludf.DUMMYFUNCTION("GOOGLETRANSLATE(B14757, ""fr"", ""en"")"),"Shoes A beautiful shoe size and perfect")</f>
        <v>Shoes A beautiful shoe size and perfect</v>
      </c>
    </row>
    <row r="14758">
      <c r="A14758" s="1">
        <v>5.0</v>
      </c>
      <c r="B14758" s="1" t="s">
        <v>14511</v>
      </c>
      <c r="C14758" t="str">
        <f>IFERROR(__xludf.DUMMYFUNCTION("GOOGLETRANSLATE(B14758, ""fr"", ""en"")"),"C I EXCELLENT easy to insert, very useful when multiple drivers use the vehicle it protects the IC, I recommend this article")</f>
        <v>C I EXCELLENT easy to insert, very useful when multiple drivers use the vehicle it protects the IC, I recommend this article</v>
      </c>
    </row>
    <row r="14759">
      <c r="A14759" s="1">
        <v>5.0</v>
      </c>
      <c r="B14759" s="1" t="s">
        <v>14512</v>
      </c>
      <c r="C14759" t="str">
        <f>IFERROR(__xludf.DUMMYFUNCTION("GOOGLETRANSLATE(B14759, ""fr"", ""en"")"),"Super Simple beautiful solid and cheap, all at a reasonable price, I want more! And no more visible mark :-)")</f>
        <v>Super Simple beautiful solid and cheap, all at a reasonable price, I want more! And no more visible mark :-)</v>
      </c>
    </row>
    <row r="14760">
      <c r="A14760" s="1">
        <v>5.0</v>
      </c>
      <c r="B14760" s="1" t="s">
        <v>14513</v>
      </c>
      <c r="C14760" t="str">
        <f>IFERROR(__xludf.DUMMYFUNCTION("GOOGLETRANSLATE(B14760, ""fr"", ""en"")"),"Perfect &lt;div id = ""video-block-RJ3XTAQC8GLYM"" class = ""a-section-spacing-small in-spacing-top mini video-block""&gt; &lt;/ div&gt; &lt;input type = ""hidden"" name = """" value = ""https://images-eu.ssl-images-amazon.com/images/I/81eNJbGUE7S.mp4"" class = ""video-"&amp;"url""&gt; &lt;input type = ""hidden"" name = """" value = ""https : //images-eu.ssl-images-amazon.com/images/I/B1AJ6gV4MKS.png ""class ="" video-slate-img-url ""&gt; &amp; nbsp; This karaoke microphone is perfect. It is very easy to connect their smartphone bluetooth "&amp;"so you can listen to his music through the speaker microphone. It also has a play of light in order to put a little more atmosphere. There are also several buttons to adjust the volume and also to create an echo when you sing into the microphone. My 7 yea"&amp;"r old daughter loves it.")</f>
        <v>Perfect &lt;div id = "video-block-RJ3XTAQC8GLYM" class = "a-section-spacing-small in-spacing-top mini video-block"&gt; &lt;/ div&gt; &lt;input type = "hidden" name = "" value = "https://images-eu.ssl-images-amazon.com/images/I/81eNJbGUE7S.mp4" class = "video-url"&gt; &lt;input type = "hidden" name = "" value = "https : //images-eu.ssl-images-amazon.com/images/I/B1AJ6gV4MKS.png "class =" video-slate-img-url "&gt; &amp; nbsp; This karaoke microphone is perfect. It is very easy to connect their smartphone bluetooth so you can listen to his music through the speaker microphone. It also has a play of light in order to put a little more atmosphere. There are also several buttons to adjust the volume and also to create an echo when you sing into the microphone. My 7 year old daughter loves it.</v>
      </c>
    </row>
    <row r="14761">
      <c r="A14761" s="1">
        <v>5.0</v>
      </c>
      <c r="B14761" s="1" t="s">
        <v>14514</v>
      </c>
      <c r="C14761" t="str">
        <f>IFERROR(__xludf.DUMMYFUNCTION("GOOGLETRANSLATE(B14761, ""fr"", ""en"")"),"Man Carrying Despite its size slightly reduced, this bag for men is perfect for me because it is packed with useful and practical pockets. Thanks again. Sincerely YD")</f>
        <v>Man Carrying Despite its size slightly reduced, this bag for men is perfect for me because it is packed with useful and practical pockets. Thanks again. Sincerely YD</v>
      </c>
    </row>
    <row r="14762">
      <c r="A14762" s="1">
        <v>5.0</v>
      </c>
      <c r="B14762" s="1" t="s">
        <v>14515</v>
      </c>
      <c r="C14762" t="str">
        <f>IFERROR(__xludf.DUMMYFUNCTION("GOOGLETRANSLATE(B14762, ""fr"", ""en"")"),"Happy shopping Superb comfort and I know the brand for years but here the price exceeds all my expectations, benefited")</f>
        <v>Happy shopping Superb comfort and I know the brand for years but here the price exceeds all my expectations, benefited</v>
      </c>
    </row>
    <row r="14763">
      <c r="A14763" s="1">
        <v>5.0</v>
      </c>
      <c r="B14763" s="1" t="s">
        <v>14516</v>
      </c>
      <c r="C14763" t="str">
        <f>IFERROR(__xludf.DUMMYFUNCTION("GOOGLETRANSLATE(B14763, ""fr"", ""en"")"),"Good usage time course Print")</f>
        <v>Good usage time course Print</v>
      </c>
    </row>
    <row r="14764">
      <c r="A14764" s="1">
        <v>5.0</v>
      </c>
      <c r="B14764" s="1" t="s">
        <v>14517</v>
      </c>
      <c r="C14764" t="str">
        <f>IFERROR(__xludf.DUMMYFUNCTION("GOOGLETRANSLATE(B14764, ""fr"", ""en"")"),"Very good product. Easy to connect phones tablet devices, and with the loader very satisfied I will buy another ^. ^")</f>
        <v>Very good product. Easy to connect phones tablet devices, and with the loader very satisfied I will buy another ^. ^</v>
      </c>
    </row>
    <row r="14765">
      <c r="A14765" s="1">
        <v>5.0</v>
      </c>
      <c r="B14765" s="1" t="s">
        <v>14518</v>
      </c>
      <c r="C14765" t="str">
        <f>IFERROR(__xludf.DUMMYFUNCTION("GOOGLETRANSLATE(B14765, ""fr"", ""en"")"),"Super equipment I used to massage my scalp, it is perfect I recommend it! It loads quickly and make everyone happy!")</f>
        <v>Super equipment I used to massage my scalp, it is perfect I recommend it! It loads quickly and make everyone happy!</v>
      </c>
    </row>
    <row r="14766">
      <c r="A14766" s="1">
        <v>2.0</v>
      </c>
      <c r="B14766" s="1" t="s">
        <v>14519</v>
      </c>
      <c r="C14766" t="str">
        <f>IFERROR(__xludf.DUMMYFUNCTION("GOOGLETRANSLATE(B14766, ""fr"", ""en"")"),"Not for the night ... This clock is not backlit at night, so we do not see the time ... which is very inconvenient. Also if manipulates it begins to bleat or to the cuckoo, fun day only ... and rotating lights, yes for the day with alarm ... Too bad it mu"&amp;"ch if I liked.")</f>
        <v>Not for the night ... This clock is not backlit at night, so we do not see the time ... which is very inconvenient. Also if manipulates it begins to bleat or to the cuckoo, fun day only ... and rotating lights, yes for the day with alarm ... Too bad it much if I liked.</v>
      </c>
    </row>
    <row r="14767">
      <c r="A14767" s="1">
        <v>1.0</v>
      </c>
      <c r="B14767" s="1" t="s">
        <v>14520</v>
      </c>
      <c r="C14767" t="str">
        <f>IFERROR(__xludf.DUMMYFUNCTION("GOOGLETRANSLATE(B14767, ""fr"", ""en"")"),"Simple, but very uncomfortable very hard sole. Unable to walk long with. Not at all comfortable. I do not recommend these sneakers. Moreover I will never wear because they are really unpleasant to wear, as if the sole was made of wood.")</f>
        <v>Simple, but very uncomfortable very hard sole. Unable to walk long with. Not at all comfortable. I do not recommend these sneakers. Moreover I will never wear because they are really unpleasant to wear, as if the sole was made of wood.</v>
      </c>
    </row>
    <row r="14768">
      <c r="A14768" s="1">
        <v>1.0</v>
      </c>
      <c r="B14768" s="1" t="s">
        <v>14521</v>
      </c>
      <c r="C14768" t="str">
        <f>IFERROR(__xludf.DUMMYFUNCTION("GOOGLETRANSLATE(B14768, ""fr"", ""en"")"),"I too small is not controlled size, it needed a large but tamps it's me who's made the mistake I assume packaging")</f>
        <v>I too small is not controlled size, it needed a large but tamps it's me who's made the mistake I assume packaging</v>
      </c>
    </row>
    <row r="14769">
      <c r="A14769" s="1">
        <v>3.0</v>
      </c>
      <c r="B14769" s="1" t="s">
        <v>14522</v>
      </c>
      <c r="C14769" t="str">
        <f>IFERROR(__xludf.DUMMYFUNCTION("GOOGLETRANSLATE(B14769, ""fr"", ""en"")"),"Good quality A little heavy, what about strength?")</f>
        <v>Good quality A little heavy, what about strength?</v>
      </c>
    </row>
    <row r="14770">
      <c r="A14770" s="1">
        <v>3.0</v>
      </c>
      <c r="B14770" s="1" t="s">
        <v>14523</v>
      </c>
      <c r="C14770" t="str">
        <f>IFERROR(__xludf.DUMMYFUNCTION("GOOGLETRANSLATE(B14770, ""fr"", ""en"")"),"Cartridges perfect quality and long lasting These cartridges are definitely the best for my HP Pro 8600 And fortunately also saw their exorbitant price (80 euros the full game, it does not make me laugh, or else YELLOW !!) only BLACK item but size. I test"&amp;"ed the product cartridges WHITE ""compatible"". A disaster: approximate colors, lines and numerous spots. I saw RED so I am resolved to assassinate me my wallet to maintain print quality. The same but cheaper cartridges allow me to review printer life BLU"&amp;"E.")</f>
        <v>Cartridges perfect quality and long lasting These cartridges are definitely the best for my HP Pro 8600 And fortunately also saw their exorbitant price (80 euros the full game, it does not make me laugh, or else YELLOW !!) only BLACK item but size. I tested the product cartridges WHITE "compatible". A disaster: approximate colors, lines and numerous spots. I saw RED so I am resolved to assassinate me my wallet to maintain print quality. The same but cheaper cartridges allow me to review printer life BLUE.</v>
      </c>
    </row>
    <row r="14771">
      <c r="A14771" s="1">
        <v>4.0</v>
      </c>
      <c r="B14771" s="1" t="s">
        <v>14524</v>
      </c>
      <c r="C14771" t="str">
        <f>IFERROR(__xludf.DUMMYFUNCTION("GOOGLETRANSLATE(B14771, ""fr"", ""en"")"),"effective but painful massage This is not a Thai sweet, but a gross of Japanese sumo you chew the back and neck. Admittedly, it's effective, but not sensual .....")</f>
        <v>effective but painful massage This is not a Thai sweet, but a gross of Japanese sumo you chew the back and neck. Admittedly, it's effective, but not sensual .....</v>
      </c>
    </row>
    <row r="14772">
      <c r="A14772" s="1">
        <v>4.0</v>
      </c>
      <c r="B14772" s="1" t="s">
        <v>14525</v>
      </c>
      <c r="C14772" t="str">
        <f>IFERROR(__xludf.DUMMYFUNCTION("GOOGLETRANSLATE(B14772, ""fr"", ""en"")"),"Good product Product fine, like many in the ear, delivered quickly")</f>
        <v>Good product Product fine, like many in the ear, delivered quickly</v>
      </c>
    </row>
    <row r="14773">
      <c r="A14773" s="1">
        <v>4.0</v>
      </c>
      <c r="B14773" s="1" t="s">
        <v>14526</v>
      </c>
      <c r="C14773" t="str">
        <f>IFERROR(__xludf.DUMMYFUNCTION("GOOGLETRANSLATE(B14773, ""fr"", ""en"")"),"good price quality ratio very correct helmet in overall good sound; for the average comfort is a can hurt the ear if trot door a long time, I find the file to recharge the headset can short: proper autonomy, for the price I find very well headset.")</f>
        <v>good price quality ratio very correct helmet in overall good sound; for the average comfort is a can hurt the ear if trot door a long time, I find the file to recharge the headset can short: proper autonomy, for the price I find very well headset.</v>
      </c>
    </row>
    <row r="14774">
      <c r="A14774" s="1">
        <v>4.0</v>
      </c>
      <c r="B14774" s="1" t="s">
        <v>14527</v>
      </c>
      <c r="C14774" t="str">
        <f>IFERROR(__xludf.DUMMYFUNCTION("GOOGLETRANSLATE(B14774, ""fr"", ""en"")"),"Helmet aesthetically discreet but effective touch area very easy to handle and convenient to use. Very good battery life. compact than its predecessor when folded, the helmet still remains transportable traveling. Very good city noise reduction (Paris) an"&amp;"d plane. Ability to pair Bluetooth headset with internet-box to watch TV directly into the helmet san disturb others. I recommend this product without hesitation.")</f>
        <v>Helmet aesthetically discreet but effective touch area very easy to handle and convenient to use. Very good battery life. compact than its predecessor when folded, the helmet still remains transportable traveling. Very good city noise reduction (Paris) and plane. Ability to pair Bluetooth headset with internet-box to watch TV directly into the helmet san disturb others. I recommend this product without hesitation.</v>
      </c>
    </row>
    <row r="14775">
      <c r="A14775" s="1">
        <v>5.0</v>
      </c>
      <c r="B14775" s="1" t="s">
        <v>14528</v>
      </c>
      <c r="C14775" t="str">
        <f>IFERROR(__xludf.DUMMYFUNCTION("GOOGLETRANSLATE(B14775, ""fr"", ""en"")"),"Perfect to clean Honestly at the reception I said: oulala it smells bad! And finally burning it smells pretty good, ca me perfumes every room of my house, I recommend this product!")</f>
        <v>Perfect to clean Honestly at the reception I said: oulala it smells bad! And finally burning it smells pretty good, ca me perfumes every room of my house, I recommend this product!</v>
      </c>
    </row>
    <row r="14776">
      <c r="A14776" s="1">
        <v>5.0</v>
      </c>
      <c r="B14776" s="1" t="s">
        <v>14529</v>
      </c>
      <c r="C14776" t="str">
        <f>IFERROR(__xludf.DUMMYFUNCTION("GOOGLETRANSLATE(B14776, ""fr"", ""en"")"),"Perfect Excellent value for quantity of paper filings, good resistance (cardboard thick enough), bright colors. I would have liked an even heavier, but it's fine.")</f>
        <v>Perfect Excellent value for quantity of paper filings, good resistance (cardboard thick enough), bright colors. I would have liked an even heavier, but it's fine.</v>
      </c>
    </row>
    <row r="14777">
      <c r="A14777" s="1">
        <v>5.0</v>
      </c>
      <c r="B14777" s="1" t="s">
        <v>14530</v>
      </c>
      <c r="C14777" t="str">
        <f>IFERROR(__xludf.DUMMYFUNCTION("GOOGLETRANSLATE(B14777, ""fr"", ""en"")"),"Super Super satisfied")</f>
        <v>Super Super satisfied</v>
      </c>
    </row>
    <row r="14778">
      <c r="A14778" s="1">
        <v>5.0</v>
      </c>
      <c r="B14778" s="1" t="s">
        <v>14531</v>
      </c>
      <c r="C14778" t="str">
        <f>IFERROR(__xludf.DUMMYFUNCTION("GOOGLETRANSLATE(B14778, ""fr"", ""en"")"),"Not bad for the dark circles Rather invigorating when you put them in front, it was quite appeased my circles! It is best to wake up the look (nothing beats the gel masks) for dark circles but it's more efficient")</f>
        <v>Not bad for the dark circles Rather invigorating when you put them in front, it was quite appeased my circles! It is best to wake up the look (nothing beats the gel masks) for dark circles but it's more efficient</v>
      </c>
    </row>
    <row r="14779">
      <c r="A14779" s="1">
        <v>5.0</v>
      </c>
      <c r="B14779" s="1" t="s">
        <v>14532</v>
      </c>
      <c r="C14779" t="str">
        <f>IFERROR(__xludf.DUMMYFUNCTION("GOOGLETRANSLATE(B14779, ""fr"", ""en"")"),"Okay Super comfortable, suitable, happy with my purchase")</f>
        <v>Okay Super comfortable, suitable, happy with my purchase</v>
      </c>
    </row>
    <row r="14780">
      <c r="A14780" s="1">
        <v>5.0</v>
      </c>
      <c r="B14780" s="1" t="s">
        <v>14533</v>
      </c>
      <c r="C14780" t="str">
        <f>IFERROR(__xludf.DUMMYFUNCTION("GOOGLETRANSLATE(B14780, ""fr"", ""en"")"),"Sweat Levis size very well.")</f>
        <v>Sweat Levis size very well.</v>
      </c>
    </row>
    <row r="14781">
      <c r="A14781" s="1">
        <v>5.0</v>
      </c>
      <c r="B14781" s="1" t="s">
        <v>14534</v>
      </c>
      <c r="C14781" t="str">
        <f>IFERROR(__xludf.DUMMYFUNCTION("GOOGLETRANSLATE(B14781, ""fr"", ""en"")"),"Ok ok Tetines consistent with trade")</f>
        <v>Ok ok Tetines consistent with trade</v>
      </c>
    </row>
    <row r="14782">
      <c r="A14782" s="1">
        <v>5.0</v>
      </c>
      <c r="B14782" s="1" t="s">
        <v>14535</v>
      </c>
      <c r="C14782" t="str">
        <f>IFERROR(__xludf.DUMMYFUNCTION("GOOGLETRANSLATE(B14782, ""fr"", ""en"")"),"very good quality is too good, it sticks very well.")</f>
        <v>very good quality is too good, it sticks very well.</v>
      </c>
    </row>
    <row r="14783">
      <c r="A14783" s="1">
        <v>5.0</v>
      </c>
      <c r="B14783" s="1" t="s">
        <v>14536</v>
      </c>
      <c r="C14783" t="str">
        <f>IFERROR(__xludf.DUMMYFUNCTION("GOOGLETRANSLATE(B14783, ""fr"", ""en"")"),"Very nice indeed very very nice sweater sweet")</f>
        <v>Very nice indeed very very nice sweater sweet</v>
      </c>
    </row>
    <row r="14784">
      <c r="A14784" s="1">
        <v>5.0</v>
      </c>
      <c r="B14784" s="1" t="s">
        <v>14537</v>
      </c>
      <c r="C14784" t="str">
        <f>IFERROR(__xludf.DUMMYFUNCTION("GOOGLETRANSLATE(B14784, ""fr"", ""en"")"),"Just Perfect The product is of excellent craftsmanship. Very nice, neat finish. Really not disappointed purchase. I recommend it especially for the price. Thank you")</f>
        <v>Just Perfect The product is of excellent craftsmanship. Very nice, neat finish. Really not disappointed purchase. I recommend it especially for the price. Thank you</v>
      </c>
    </row>
    <row r="14785">
      <c r="A14785" s="1">
        <v>5.0</v>
      </c>
      <c r="B14785" s="1" t="s">
        <v>14538</v>
      </c>
      <c r="C14785" t="str">
        <f>IFERROR(__xludf.DUMMYFUNCTION("GOOGLETRANSLATE(B14785, ""fr"", ""en"")"),"Excellent product Perfect! Excellent quality (the atria are magnetized to hold goshawks neck. The sound quality is good. Really to recommend!")</f>
        <v>Excellent product Perfect! Excellent quality (the atria are magnetized to hold goshawks neck. The sound quality is good. Really to recommend!</v>
      </c>
    </row>
    <row r="14786">
      <c r="A14786" s="1">
        <v>5.0</v>
      </c>
      <c r="B14786" s="1" t="s">
        <v>14539</v>
      </c>
      <c r="C14786" t="str">
        <f>IFERROR(__xludf.DUMMYFUNCTION("GOOGLETRANSLATE(B14786, ""fr"", ""en"")"),"Okay, I recommend in this gift is perfect, beautiful presentation and good grain quality for use. Thank you")</f>
        <v>Okay, I recommend in this gift is perfect, beautiful presentation and good grain quality for use. Thank you</v>
      </c>
    </row>
    <row r="14787">
      <c r="A14787" s="1">
        <v>5.0</v>
      </c>
      <c r="B14787" s="1" t="s">
        <v>14540</v>
      </c>
      <c r="C14787" t="str">
        <f>IFERROR(__xludf.DUMMYFUNCTION("GOOGLETRANSLATE(B14787, ""fr"", ""en"")"),"The powerful product fits the description. The sound is okay for me, very fluid, good quality, and the bass are powerful, it connects just fine, nothing to say.")</f>
        <v>The powerful product fits the description. The sound is okay for me, very fluid, good quality, and the bass are powerful, it connects just fine, nothing to say.</v>
      </c>
    </row>
    <row r="14788">
      <c r="A14788" s="1">
        <v>5.0</v>
      </c>
      <c r="B14788" s="1" t="s">
        <v>14541</v>
      </c>
      <c r="C14788" t="str">
        <f>IFERROR(__xludf.DUMMYFUNCTION("GOOGLETRANSLATE(B14788, ""fr"", ""en"")"),"A G-Shock particularly well equipped! Beautiful g-shock, the white and black color contrasts well casing. Technology Multi band 6 and the solar recharging are more significant. For a little over 100 euros, a must have!")</f>
        <v>A G-Shock particularly well equipped! Beautiful g-shock, the white and black color contrasts well casing. Technology Multi band 6 and the solar recharging are more significant. For a little over 100 euros, a must have!</v>
      </c>
    </row>
    <row r="14789">
      <c r="A14789" s="1">
        <v>5.0</v>
      </c>
      <c r="B14789" s="1" t="s">
        <v>14542</v>
      </c>
      <c r="C14789" t="str">
        <f>IFERROR(__xludf.DUMMYFUNCTION("GOOGLETRANSLATE(B14789, ""fr"", ""en"")"),"super large size black suede good buy")</f>
        <v>super large size black suede good buy</v>
      </c>
    </row>
    <row r="14790">
      <c r="A14790" s="1">
        <v>2.0</v>
      </c>
      <c r="B14790" s="1" t="s">
        <v>14543</v>
      </c>
      <c r="C14790" t="str">
        <f>IFERROR(__xludf.DUMMYFUNCTION("GOOGLETRANSLATE(B14790, ""fr"", ""en"")"),"Original gray If you are looking for real, do not buy them at 14 €. Either false or defective (no serial number inside) laces too small compared to the real, unfinished interior (trace) and I'm not talking about the outside.")</f>
        <v>Original gray If you are looking for real, do not buy them at 14 €. Either false or defective (no serial number inside) laces too small compared to the real, unfinished interior (trace) and I'm not talking about the outside.</v>
      </c>
    </row>
    <row r="14791">
      <c r="A14791" s="1">
        <v>1.0</v>
      </c>
      <c r="B14791" s="1" t="s">
        <v>14544</v>
      </c>
      <c r="C14791" t="str">
        <f>IFERROR(__xludf.DUMMYFUNCTION("GOOGLETRANSLATE(B14791, ""fr"", ""en"")"),"The watch very fragile held 2 days I just scraped a wall: the knob broke and needles no longer hold (turn by themselves): 26 euros in the trash. To flee !!")</f>
        <v>The watch very fragile held 2 days I just scraped a wall: the knob broke and needles no longer hold (turn by themselves): 26 euros in the trash. To flee !!</v>
      </c>
    </row>
    <row r="14792">
      <c r="A14792" s="1">
        <v>1.0</v>
      </c>
      <c r="B14792" s="1" t="s">
        <v>14545</v>
      </c>
      <c r="C14792" t="str">
        <f>IFERROR(__xludf.DUMMYFUNCTION("GOOGLETRANSLATE(B14792, ""fr"", ""en"")"),"the product received is not the product ordered good product, but it's not the product that I ordered: received instead of a sweatshirt jacket")</f>
        <v>the product received is not the product ordered good product, but it's not the product that I ordered: received instead of a sweatshirt jacket</v>
      </c>
    </row>
    <row r="14793">
      <c r="A14793" s="1">
        <v>3.0</v>
      </c>
      <c r="B14793" s="1" t="s">
        <v>14546</v>
      </c>
      <c r="C14793" t="str">
        <f>IFERROR(__xludf.DUMMYFUNCTION("GOOGLETRANSLATE(B14793, ""fr"", ""en"")"),"Just for traînaller home !!! The size is adapted as expected, convenient to stay home. When the quality is no plan at this price.")</f>
        <v>Just for traînaller home !!! The size is adapted as expected, convenient to stay home. When the quality is no plan at this price.</v>
      </c>
    </row>
    <row r="14794">
      <c r="A14794" s="1">
        <v>3.0</v>
      </c>
      <c r="B14794" s="1" t="s">
        <v>14547</v>
      </c>
      <c r="C14794" t="str">
        <f>IFERROR(__xludf.DUMMYFUNCTION("GOOGLETRANSLATE(B14794, ""fr"", ""en"")"),"Very good gadget I bought food diversification to continue with my daughter. I bought it to begin its five months made. Super grip on her part, she immediately understood the concept and love. Only downside, the nipple is colored with some fruits, like wa"&amp;"termelon. Although it directly lava.")</f>
        <v>Very good gadget I bought food diversification to continue with my daughter. I bought it to begin its five months made. Super grip on her part, she immediately understood the concept and love. Only downside, the nipple is colored with some fruits, like watermelon. Although it directly lava.</v>
      </c>
    </row>
    <row r="14795">
      <c r="A14795" s="1">
        <v>4.0</v>
      </c>
      <c r="B14795" s="1" t="s">
        <v>14548</v>
      </c>
      <c r="C14795" t="str">
        <f>IFERROR(__xludf.DUMMYFUNCTION("GOOGLETRANSLATE(B14795, ""fr"", ""en"")"),"Important Problem ... Good evening, I received the Sony headset Saturday. -A comfortable use for plays until 5am max (for me after earaches) -A his close H9i, better than Beyer Custom, the MSR7 by far -the better noise reduction market bUT helmet creaked "&amp;"horribly !!! I was fine getting grease silicone plastic creaks etc. It is very unpleasant. Amazon does not want me so here I share with almost € 400 brought out the window! Congratulations good reputation ... I am extremely disappointed in any case if he "&amp;"is unusable at present, each head movement becomes unbearable ... It seems that the bow will break with all the crunch! Hopefully Sony will be able to do something as soon as possible ... Thanks for reading Amazon contacted me, I received the product the "&amp;"next day and everything goes well. It is in this kind of moment I'm happy to go through amazon. I put 4 stars because of the inconvenience anyway;)")</f>
        <v>Important Problem ... Good evening, I received the Sony headset Saturday. -A comfortable use for plays until 5am max (for me after earaches) -A his close H9i, better than Beyer Custom, the MSR7 by far -the better noise reduction market bUT helmet creaked horribly !!! I was fine getting grease silicone plastic creaks etc. It is very unpleasant. Amazon does not want me so here I share with almost € 400 brought out the window! Congratulations good reputation ... I am extremely disappointed in any case if he is unusable at present, each head movement becomes unbearable ... It seems that the bow will break with all the crunch! Hopefully Sony will be able to do something as soon as possible ... Thanks for reading Amazon contacted me, I received the product the next day and everything goes well. It is in this kind of moment I'm happy to go through amazon. I put 4 stars because of the inconvenience anyway;)</v>
      </c>
    </row>
    <row r="14796">
      <c r="A14796" s="1">
        <v>4.0</v>
      </c>
      <c r="B14796" s="1" t="s">
        <v>14549</v>
      </c>
      <c r="C14796" t="str">
        <f>IFERROR(__xludf.DUMMYFUNCTION("GOOGLETRANSLATE(B14796, ""fr"", ""en"")"),"Buying too new to see in time !!! Good first impression ...")</f>
        <v>Buying too new to see in time !!! Good first impression ...</v>
      </c>
    </row>
    <row r="14797">
      <c r="A14797" s="1">
        <v>4.0</v>
      </c>
      <c r="B14797" s="1" t="s">
        <v>14550</v>
      </c>
      <c r="C14797" t="str">
        <f>IFERROR(__xludf.DUMMYFUNCTION("GOOGLETRANSLATE(B14797, ""fr"", ""en"")"),"Very nice gift bcp My husband enjoyed this necklace")</f>
        <v>Very nice gift bcp My husband enjoyed this necklace</v>
      </c>
    </row>
    <row r="14798">
      <c r="A14798" s="1">
        <v>4.0</v>
      </c>
      <c r="B14798" s="1" t="s">
        <v>14551</v>
      </c>
      <c r="C14798" t="str">
        <f>IFERROR(__xludf.DUMMYFUNCTION("GOOGLETRANSLATE(B14798, ""fr"", ""en"")"),"Good quality / price product complies with the very reasonable price description. Goodies: Beautiful appearance, sealing, battery life, main functions. Cons: No leaflet in French but it is easily online. Alarm so discreet as to be almost unusable.")</f>
        <v>Good quality / price product complies with the very reasonable price description. Goodies: Beautiful appearance, sealing, battery life, main functions. Cons: No leaflet in French but it is easily online. Alarm so discreet as to be almost unusable.</v>
      </c>
    </row>
    <row r="14799">
      <c r="A14799" s="1">
        <v>5.0</v>
      </c>
      <c r="B14799" s="1" t="s">
        <v>14552</v>
      </c>
      <c r="C14799" t="str">
        <f>IFERROR(__xludf.DUMMYFUNCTION("GOOGLETRANSLATE(B14799, ""fr"", ""en"")"),"Bluffing for 1 year I put the stroller in the back for lack of safe large enough + baby vomit cleaned with water short ... it was time to clean this up !! The front after is bluffing. Product at the top")</f>
        <v>Bluffing for 1 year I put the stroller in the back for lack of safe large enough + baby vomit cleaned with water short ... it was time to clean this up !! The front after is bluffing. Product at the top</v>
      </c>
    </row>
    <row r="14800">
      <c r="A14800" s="1">
        <v>5.0</v>
      </c>
      <c r="B14800" s="1" t="s">
        <v>14553</v>
      </c>
      <c r="C14800" t="str">
        <f>IFERROR(__xludf.DUMMYFUNCTION("GOOGLETRANSLATE(B14800, ""fr"", ""en"")"),"A Perfect recommends. Magnificent. Identical to the photo.")</f>
        <v>A Perfect recommends. Magnificent. Identical to the photo.</v>
      </c>
    </row>
    <row r="14801">
      <c r="A14801" s="1">
        <v>5.0</v>
      </c>
      <c r="B14801" s="1" t="s">
        <v>14554</v>
      </c>
      <c r="C14801" t="str">
        <f>IFERROR(__xludf.DUMMYFUNCTION("GOOGLETRANSLATE(B14801, ""fr"", ""en"")"),"Very good headphones These headphones are good, it's a great quality / price ratio. They are comfortable to wear, they marry well the shape of the ear which allows them to hold even during physical exercise (I put them to run). The sound is very clean, go"&amp;"od quality, even when the volume is high. I find it super convenient little box provided for charging the headphones, it provides automatic reloading after use, and it can store the headphones without losing them! The battery is looks very good, not have "&amp;"to reload each time. The connection bluethoos with his phone and easy to do.")</f>
        <v>Very good headphones These headphones are good, it's a great quality / price ratio. They are comfortable to wear, they marry well the shape of the ear which allows them to hold even during physical exercise (I put them to run). The sound is very clean, good quality, even when the volume is high. I find it super convenient little box provided for charging the headphones, it provides automatic reloading after use, and it can store the headphones without losing them! The battery is looks very good, not have to reload each time. The connection bluethoos with his phone and easy to do.</v>
      </c>
    </row>
    <row r="14802">
      <c r="A14802" s="1">
        <v>5.0</v>
      </c>
      <c r="B14802" s="1" t="s">
        <v>204</v>
      </c>
      <c r="C14802" t="str">
        <f>IFERROR(__xludf.DUMMYFUNCTION("GOOGLETRANSLATE(B14802, ""fr"", ""en"")"),"Top Top")</f>
        <v>Top Top</v>
      </c>
    </row>
    <row r="14803">
      <c r="A14803" s="1">
        <v>5.0</v>
      </c>
      <c r="B14803" s="1" t="s">
        <v>14555</v>
      </c>
      <c r="C14803" t="str">
        <f>IFERROR(__xludf.DUMMYFUNCTION("GOOGLETRANSLATE(B14803, ""fr"", ""en"")"),"Do not hesitate! Trainers purchased for my 13 year old daughter who wants to customize their shoes with felt posca.Un single super password, the seller sends you a size above those ordered. For small size so do not worry if you do not receive the right ta"&amp;"ille.indiquée me if my review was helpful.")</f>
        <v>Do not hesitate! Trainers purchased for my 13 year old daughter who wants to customize their shoes with felt posca.Un single super password, the seller sends you a size above those ordered. For small size so do not worry if you do not receive the right taille.indiquée me if my review was helpful.</v>
      </c>
    </row>
    <row r="14804">
      <c r="A14804" s="1">
        <v>5.0</v>
      </c>
      <c r="B14804" s="1" t="s">
        <v>14556</v>
      </c>
      <c r="C14804" t="str">
        <f>IFERROR(__xludf.DUMMYFUNCTION("GOOGLETRANSLATE(B14804, ""fr"", ""en"")"),"Perfect Very comfortable")</f>
        <v>Perfect Very comfortable</v>
      </c>
    </row>
    <row r="14805">
      <c r="A14805" s="1">
        <v>5.0</v>
      </c>
      <c r="B14805" s="1" t="s">
        <v>14557</v>
      </c>
      <c r="C14805" t="str">
        <f>IFERROR(__xludf.DUMMYFUNCTION("GOOGLETRANSLATE(B14805, ""fr"", ""en"")"),"very good product, good quality")</f>
        <v>very good product, good quality</v>
      </c>
    </row>
    <row r="14806">
      <c r="A14806" s="1">
        <v>5.0</v>
      </c>
      <c r="B14806" s="1" t="s">
        <v>14558</v>
      </c>
      <c r="C14806" t="str">
        <f>IFERROR(__xludf.DUMMYFUNCTION("GOOGLETRANSLATE(B14806, ""fr"", ""en"")"),"Good quality and excellent product My old pair of headphones aillant dropped me, I needed a new pair that would hold the road! These headphones are nice colorful and sold with a matching bag for storage and with an assortment of tips following your ear ca"&amp;"nal, in a lovely round box. The product qulité is excellent. Well packed, with extra foam. a small carrying bag etc. But what is really good is the sound quality of these headphones. The sound is really good compared to the supplied headphones with my pho"&amp;"ne.")</f>
        <v>Good quality and excellent product My old pair of headphones aillant dropped me, I needed a new pair that would hold the road! These headphones are nice colorful and sold with a matching bag for storage and with an assortment of tips following your ear canal, in a lovely round box. The product qulité is excellent. Well packed, with extra foam. a small carrying bag etc. But what is really good is the sound quality of these headphones. The sound is really good compared to the supplied headphones with my phone.</v>
      </c>
    </row>
    <row r="14807">
      <c r="A14807" s="1">
        <v>5.0</v>
      </c>
      <c r="B14807" s="1" t="s">
        <v>14559</v>
      </c>
      <c r="C14807" t="str">
        <f>IFERROR(__xludf.DUMMYFUNCTION("GOOGLETRANSLATE(B14807, ""fr"", ""en"")"),"Perfect ! The kettle heats up quickly, the temperature maintenance is convenient and does can select the temperature of the latter is a real plus. Moreover, I feel that it calcareous deposits as fast as other stainless steel kettles as I could have. I use"&amp;" 6 to 10 times a day, and I do the cleaning once every 15 days in vinegar. It is not especially quiet, but it was not a dealbreaker for me. The envelope is warm when water boils inside, safe for clumsy hands.")</f>
        <v>Perfect ! The kettle heats up quickly, the temperature maintenance is convenient and does can select the temperature of the latter is a real plus. Moreover, I feel that it calcareous deposits as fast as other stainless steel kettles as I could have. I use 6 to 10 times a day, and I do the cleaning once every 15 days in vinegar. It is not especially quiet, but it was not a dealbreaker for me. The envelope is warm when water boils inside, safe for clumsy hands.</v>
      </c>
    </row>
    <row r="14808">
      <c r="A14808" s="1">
        <v>5.0</v>
      </c>
      <c r="B14808" s="1" t="s">
        <v>14560</v>
      </c>
      <c r="C14808" t="str">
        <f>IFERROR(__xludf.DUMMYFUNCTION("GOOGLETRANSLATE(B14808, ""fr"", ""en"")"),"Excellent price Excellent product value for money comfortable to wear For small handles Perfect operation")</f>
        <v>Excellent price Excellent product value for money comfortable to wear For small handles Perfect operation</v>
      </c>
    </row>
    <row r="14809">
      <c r="A14809" s="1">
        <v>5.0</v>
      </c>
      <c r="B14809" s="1" t="s">
        <v>14561</v>
      </c>
      <c r="C14809" t="str">
        <f>IFERROR(__xludf.DUMMYFUNCTION("GOOGLETRANSLATE(B14809, ""fr"", ""en"")"),"Superb quality paper Honestly this is really very good quality level, by posing against me worry is that the lot has fallen from € 14.88 to € 20.39 in very little time. It's a shame as very good.")</f>
        <v>Superb quality paper Honestly this is really very good quality level, by posing against me worry is that the lot has fallen from € 14.88 to € 20.39 in very little time. It's a shame as very good.</v>
      </c>
    </row>
    <row r="14810">
      <c r="A14810" s="1">
        <v>5.0</v>
      </c>
      <c r="B14810" s="1" t="s">
        <v>14562</v>
      </c>
      <c r="C14810" t="str">
        <f>IFERROR(__xludf.DUMMYFUNCTION("GOOGLETRANSLATE(B14810, ""fr"", ""en"")"),"Perfect really happy, perfectly")</f>
        <v>Perfect really happy, perfectly</v>
      </c>
    </row>
    <row r="14811">
      <c r="A14811" s="1">
        <v>5.0</v>
      </c>
      <c r="B14811" s="1" t="s">
        <v>14563</v>
      </c>
      <c r="C14811" t="str">
        <f>IFERROR(__xludf.DUMMYFUNCTION("GOOGLETRANSLATE(B14811, ""fr"", ""en"")"),"Most &amp; nbsp; interesting &amp; nbsp; buy The &amp; nbsp; table &amp; nbsp; is &amp; nbsp; very &amp; nbsp; beautiful &amp; nbsp; about &amp; nbsp; 15 &amp; nbsp; kg &amp; nbsp; with &amp; nbsp;. Accessories &amp; nbsp; &amp; nbsp; foam &amp; nbsp; is &amp; nbsp; thick &amp; nbsp; and &amp; nbsp;. Comfortable &amp; nbsp; S"&amp;"upport &amp; nbsp; easy &amp; nbsp; our &amp; nbsp ; two &amp; nbsp; 160kg, &amp; nbsp; the &amp; nbsp; bed &amp; nbsp; &amp; nbsp; massage &amp; nbsp; is &amp; nbsp; super &amp; nbsp; comfortable &amp; nbsp; very &amp; nbsp; light, &amp; nbsp; &amp; nbsp; very &amp; nbsp; good &amp; nbsp; quality, &amp; nbsp; the &amp; nbsp; pro"&amp;"duct &amp; nbsp; is &amp; nbsp; the &amp; nbsp; price &amp; nbsp ; the &amp; nbsp; top &amp; nbsp; price &amp; nbsp; &amp; nbsp; top &amp; nbsp; top &amp; nbsp; is &amp; nbsp; really &amp; nbsp; easy &amp; nbsp; &amp; nbsp; up &amp; nbsp; &amp; nbsp; 5 &amp; nbsp; minutes &amp; nbsp; very &amp; nbsp; comfortable &amp; nbsp; and &amp; nbs"&amp;"p; &amp; nbsp; very &amp; nbsp; good &amp; nbsp; as &amp; nbsp; I &amp; nbsp; will &amp; nbsp; have &amp; nbsp ; not &amp; nbsp; disappointed &amp; nbsp; that &amp; nbsp; this &amp; nbsp; help me &amp; nbsp;! Very &amp; nbsp; interesting &amp; nbsp; to purchase")</f>
        <v>Most &amp; nbsp; interesting &amp; nbsp; buy The &amp; nbsp; table &amp; nbsp; is &amp; nbsp; very &amp; nbsp; beautiful &amp; nbsp; about &amp; nbsp; 15 &amp; nbsp; kg &amp; nbsp; with &amp; nbsp;. Accessories &amp; nbsp; &amp; nbsp; foam &amp; nbsp; is &amp; nbsp; thick &amp; nbsp; and &amp; nbsp;. Comfortable &amp; nbsp; Support &amp; nbsp; easy &amp; nbsp; our &amp; nbsp ; two &amp; nbsp; 160kg, &amp; nbsp; the &amp; nbsp; bed &amp; nbsp; &amp; nbsp; massage &amp; nbsp; is &amp; nbsp; super &amp; nbsp; comfortable &amp; nbsp; very &amp; nbsp; light, &amp; nbsp; &amp; nbsp; very &amp; nbsp; good &amp; nbsp; quality, &amp; nbsp; the &amp; nbsp; product &amp; nbsp; is &amp; nbsp; the &amp; nbsp; price &amp; nbsp ; the &amp; nbsp; top &amp; nbsp; price &amp; nbsp; &amp; nbsp; top &amp; nbsp; top &amp; nbsp; is &amp; nbsp; really &amp; nbsp; easy &amp; nbsp; &amp; nbsp; up &amp; nbsp; &amp; nbsp; 5 &amp; nbsp; minutes &amp; nbsp; very &amp; nbsp; comfortable &amp; nbsp; and &amp; nbsp; &amp; nbsp; very &amp; nbsp; good &amp; nbsp; as &amp; nbsp; I &amp; nbsp; will &amp; nbsp; have &amp; nbsp ; not &amp; nbsp; disappointed &amp; nbsp; that &amp; nbsp; this &amp; nbsp; help me &amp; nbsp;! Very &amp; nbsp; interesting &amp; nbsp; to purchase</v>
      </c>
    </row>
    <row r="14812">
      <c r="A14812" s="1">
        <v>5.0</v>
      </c>
      <c r="B14812" s="1" t="s">
        <v>14564</v>
      </c>
      <c r="C14812" t="str">
        <f>IFERROR(__xludf.DUMMYFUNCTION("GOOGLETRANSLATE(B14812, ""fr"", ""en"")"),"Best I've had little time, but I confirm that the sound is really good (not at an external type zoom H4N recorder) For the record type ""story"" is all he need. Just keep in mind that captures the sound in almost any direction, it is not on directional mi"&amp;"crophone that will pick the person who speaks on camera, but that will capture many ambient sounds. Autonomy is so huge that I leave permanently on the day when I film (it keeps me from forgetting to turn it on when I restart my camera)")</f>
        <v>Best I've had little time, but I confirm that the sound is really good (not at an external type zoom H4N recorder) For the record type "story" is all he need. Just keep in mind that captures the sound in almost any direction, it is not on directional microphone that will pick the person who speaks on camera, but that will capture many ambient sounds. Autonomy is so huge that I leave permanently on the day when I film (it keeps me from forgetting to turn it on when I restart my camera)</v>
      </c>
    </row>
    <row r="14813">
      <c r="A14813" s="1">
        <v>5.0</v>
      </c>
      <c r="B14813" s="1" t="s">
        <v>14565</v>
      </c>
      <c r="C14813" t="str">
        <f>IFERROR(__xludf.DUMMYFUNCTION("GOOGLETRANSLATE(B14813, ""fr"", ""en"")"),"Excellent small price (promotion) Good value")</f>
        <v>Excellent small price (promotion) Good value</v>
      </c>
    </row>
    <row r="14814">
      <c r="A14814" s="1">
        <v>2.0</v>
      </c>
      <c r="B14814" s="1" t="s">
        <v>14566</v>
      </c>
      <c r="C14814" t="str">
        <f>IFERROR(__xludf.DUMMYFUNCTION("GOOGLETRANSLATE(B14814, ""fr"", ""en"")"),"Price quality Once is not custom disappointed the quality was not there")</f>
        <v>Price quality Once is not custom disappointed the quality was not there</v>
      </c>
    </row>
    <row r="14815">
      <c r="A14815" s="1">
        <v>1.0</v>
      </c>
      <c r="B14815" s="1" t="s">
        <v>14567</v>
      </c>
      <c r="C14815" t="str">
        <f>IFERROR(__xludf.DUMMYFUNCTION("GOOGLETRANSLATE(B14815, ""fr"", ""en"")"),"Disappointment for this article. Hello, I will send my purchase, very Joly ring at the base but arrived movais state, the plastic packaging as torn, and the ring inside the metal must be of good quality but completely twisted. The cardboard packaging from"&amp;" the outside in good condition.")</f>
        <v>Disappointment for this article. Hello, I will send my purchase, very Joly ring at the base but arrived movais state, the plastic packaging as torn, and the ring inside the metal must be of good quality but completely twisted. The cardboard packaging from the outside in good condition.</v>
      </c>
    </row>
    <row r="14816">
      <c r="A14816" s="1">
        <v>1.0</v>
      </c>
      <c r="B14816" s="1" t="s">
        <v>14568</v>
      </c>
      <c r="C14816" t="str">
        <f>IFERROR(__xludf.DUMMYFUNCTION("GOOGLETRANSLATE(B14816, ""fr"", ""en"")"),"Unsuitable Unsuitable foot foot model not recommended especially for fine foot, the foot is walking and is not stable over the wrong choice mule ..")</f>
        <v>Unsuitable Unsuitable foot foot model not recommended especially for fine foot, the foot is walking and is not stable over the wrong choice mule ..</v>
      </c>
    </row>
    <row r="14817">
      <c r="A14817" s="1">
        <v>3.0</v>
      </c>
      <c r="B14817" s="1" t="s">
        <v>14569</v>
      </c>
      <c r="C14817" t="str">
        <f>IFERROR(__xludf.DUMMYFUNCTION("GOOGLETRANSLATE(B14817, ""fr"", ""en"")"),"Moderately effective efficiency")</f>
        <v>Moderately effective efficiency</v>
      </c>
    </row>
    <row r="14818">
      <c r="A14818" s="1">
        <v>3.0</v>
      </c>
      <c r="B14818" s="1" t="s">
        <v>14570</v>
      </c>
      <c r="C14818" t="str">
        <f>IFERROR(__xludf.DUMMYFUNCTION("GOOGLETRANSLATE(B14818, ""fr"", ""en"")"),"pocket watch shows come early. it came with the pan broken and does not work I do not recommend")</f>
        <v>pocket watch shows come early. it came with the pan broken and does not work I do not recommend</v>
      </c>
    </row>
    <row r="14819">
      <c r="A14819" s="1">
        <v>4.0</v>
      </c>
      <c r="B14819" s="1" t="s">
        <v>14571</v>
      </c>
      <c r="C14819" t="str">
        <f>IFERROR(__xludf.DUMMYFUNCTION("GOOGLETRANSLATE(B14819, ""fr"", ""en"")"),"Good product good mass scalp")</f>
        <v>Good product good mass scalp</v>
      </c>
    </row>
    <row r="14820">
      <c r="A14820" s="1">
        <v>4.0</v>
      </c>
      <c r="B14820" s="1" t="s">
        <v>14572</v>
      </c>
      <c r="C14820" t="str">
        <f>IFERROR(__xludf.DUMMYFUNCTION("GOOGLETRANSLATE(B14820, ""fr"", ""en"")"),"Good value for money. Very nice boots. Pleasant on the bike in cold weather shoes of ✌️ I 42 and I took them at 42, it will well enough room to carry a large sock with.")</f>
        <v>Good value for money. Very nice boots. Pleasant on the bike in cold weather shoes of ✌️ I 42 and I took them at 42, it will well enough room to carry a large sock with.</v>
      </c>
    </row>
    <row r="14821">
      <c r="A14821" s="1">
        <v>4.0</v>
      </c>
      <c r="B14821" s="1" t="s">
        <v>14573</v>
      </c>
      <c r="C14821" t="str">
        <f>IFERROR(__xludf.DUMMYFUNCTION("GOOGLETRANSLATE(B14821, ""fr"", ""en"")"),"Pure clay mask The package was not great, a little broken. I was nervous in the opening. But the product itself was not broken. I use it 2 times a week and since my skin is very soft and less and less perfection.")</f>
        <v>Pure clay mask The package was not great, a little broken. I was nervous in the opening. But the product itself was not broken. I use it 2 times a week and since my skin is very soft and less and less perfection.</v>
      </c>
    </row>
    <row r="14822">
      <c r="A14822" s="1">
        <v>4.0</v>
      </c>
      <c r="B14822" s="1" t="s">
        <v>14574</v>
      </c>
      <c r="C14822" t="str">
        <f>IFERROR(__xludf.DUMMYFUNCTION("GOOGLETRANSLATE(B14822, ""fr"", ""en"")"),"Beautiful blue even shows I ordered this item because my husband had a similar watch that was defective in winders. So I offered him a new watch, surprise by opening the package the watch to a blue dial and not black as I wanted .... But it's nice so I di"&amp;"d not do back.")</f>
        <v>Beautiful blue even shows I ordered this item because my husband had a similar watch that was defective in winders. So I offered him a new watch, surprise by opening the package the watch to a blue dial and not black as I wanted .... But it's nice so I did not do back.</v>
      </c>
    </row>
    <row r="14823">
      <c r="A14823" s="1">
        <v>5.0</v>
      </c>
      <c r="B14823" s="1" t="s">
        <v>14575</v>
      </c>
      <c r="C14823" t="str">
        <f>IFERROR(__xludf.DUMMYFUNCTION("GOOGLETRANSLATE(B14823, ""fr"", ""en"")"),"Beautiful pouch pocket friendly and convenient. I like the design and material. It wide enough to put wallet card holder and paper car.")</f>
        <v>Beautiful pouch pocket friendly and convenient. I like the design and material. It wide enough to put wallet card holder and paper car.</v>
      </c>
    </row>
    <row r="14824">
      <c r="A14824" s="1">
        <v>5.0</v>
      </c>
      <c r="B14824" s="1" t="s">
        <v>14576</v>
      </c>
      <c r="C14824" t="str">
        <f>IFERROR(__xludf.DUMMYFUNCTION("GOOGLETRANSLATE(B14824, ""fr"", ""en"")"),"excellent product Perfect for what it was intended, namely feeding a surveillance camera from a Raspberry, feeding 12 V being to nearly 15m and final powers a 12V to 5V converter")</f>
        <v>excellent product Perfect for what it was intended, namely feeding a surveillance camera from a Raspberry, feeding 12 V being to nearly 15m and final powers a 12V to 5V converter</v>
      </c>
    </row>
    <row r="14825">
      <c r="A14825" s="1">
        <v>5.0</v>
      </c>
      <c r="B14825" s="1" t="s">
        <v>14577</v>
      </c>
      <c r="C14825" t="str">
        <f>IFERROR(__xludf.DUMMYFUNCTION("GOOGLETRANSLATE(B14825, ""fr"", ""en"")"),"no worries works perfectly with the purchased product. No complaints. Meets and description that was made on the site")</f>
        <v>no worries works perfectly with the purchased product. No complaints. Meets and description that was made on the site</v>
      </c>
    </row>
    <row r="14826">
      <c r="A14826" s="1">
        <v>5.0</v>
      </c>
      <c r="B14826" s="1" t="s">
        <v>14578</v>
      </c>
      <c r="C14826" t="str">
        <f>IFERROR(__xludf.DUMMYFUNCTION("GOOGLETRANSLATE(B14826, ""fr"", ""en"")"),"Nothing hooded sweatshirts to say that Article fits the description normally warm size for winter and comfortable fast delivery good price")</f>
        <v>Nothing hooded sweatshirts to say that Article fits the description normally warm size for winter and comfortable fast delivery good price</v>
      </c>
    </row>
    <row r="14827">
      <c r="A14827" s="1">
        <v>5.0</v>
      </c>
      <c r="B14827" s="1" t="s">
        <v>14579</v>
      </c>
      <c r="C14827" t="str">
        <f>IFERROR(__xludf.DUMMYFUNCTION("GOOGLETRANSLATE(B14827, ""fr"", ""en"")"),"comfortable boots. Good comfortable and fairly high boots.")</f>
        <v>comfortable boots. Good comfortable and fairly high boots.</v>
      </c>
    </row>
    <row r="14828">
      <c r="A14828" s="1">
        <v>5.0</v>
      </c>
      <c r="B14828" s="1" t="s">
        <v>14580</v>
      </c>
      <c r="C14828" t="str">
        <f>IFERROR(__xludf.DUMMYFUNCTION("GOOGLETRANSLATE(B14828, ""fr"", ""en"")"),"Good power there more attractive polishers to put in an entry but less resistant to wear this one I offered for Christmas because I have the same for 3 years which works very well when a prettier soon made the soul .... the only drawback liquid polish dis"&amp;"penser impractical and waxing blah ... better put its worth waxing then use the polisher.")</f>
        <v>Good power there more attractive polishers to put in an entry but less resistant to wear this one I offered for Christmas because I have the same for 3 years which works very well when a prettier soon made the soul .... the only drawback liquid polish dispenser impractical and waxing blah ... better put its worth waxing then use the polisher.</v>
      </c>
    </row>
    <row r="14829">
      <c r="A14829" s="1">
        <v>5.0</v>
      </c>
      <c r="B14829" s="1" t="s">
        <v>14581</v>
      </c>
      <c r="C14829" t="str">
        <f>IFERROR(__xludf.DUMMYFUNCTION("GOOGLETRANSLATE(B14829, ""fr"", ""en"")"),"Very good very good product. I know Aukey brand for some time. I saw on tests that the brand had launched without headphones son of very good quality and after me I think it's true that they are very good. Bass very present. An ingenious system for the lo"&amp;"ad so a very good autonomy. The wireless charging dock for headphones is also a plus")</f>
        <v>Very good very good product. I know Aukey brand for some time. I saw on tests that the brand had launched without headphones son of very good quality and after me I think it's true that they are very good. Bass very present. An ingenious system for the load so a very good autonomy. The wireless charging dock for headphones is also a plus</v>
      </c>
    </row>
    <row r="14830">
      <c r="A14830" s="1">
        <v>5.0</v>
      </c>
      <c r="B14830" s="1" t="s">
        <v>14582</v>
      </c>
      <c r="C14830" t="str">
        <f>IFERROR(__xludf.DUMMYFUNCTION("GOOGLETRANSLATE(B14830, ""fr"", ""en"")"),"Great article, very fast shipment, very satisfied For soundbar")</f>
        <v>Great article, very fast shipment, very satisfied For soundbar</v>
      </c>
    </row>
    <row r="14831">
      <c r="A14831" s="1">
        <v>5.0</v>
      </c>
      <c r="B14831" s="1" t="s">
        <v>14583</v>
      </c>
      <c r="C14831" t="str">
        <f>IFERROR(__xludf.DUMMYFUNCTION("GOOGLETRANSLATE(B14831, ""fr"", ""en"")"),"Very good very good quality for this canvas roll jute. Very happy with my purchase.")</f>
        <v>Very good very good quality for this canvas roll jute. Very happy with my purchase.</v>
      </c>
    </row>
    <row r="14832">
      <c r="A14832" s="1">
        <v>5.0</v>
      </c>
      <c r="B14832" s="1" t="s">
        <v>14584</v>
      </c>
      <c r="C14832" t="str">
        <f>IFERROR(__xludf.DUMMYFUNCTION("GOOGLETRANSLATE(B14832, ""fr"", ""en"")"),"Falke socks man received Monday 31 0ctober, very warm socks, very nice feet, I recommend a pair is to put in wooden clogs I bought a cobbler; +++++++ +")</f>
        <v>Falke socks man received Monday 31 0ctober, very warm socks, very nice feet, I recommend a pair is to put in wooden clogs I bought a cobbler; +++++++ +</v>
      </c>
    </row>
    <row r="14833">
      <c r="A14833" s="1">
        <v>5.0</v>
      </c>
      <c r="B14833" s="1" t="s">
        <v>14585</v>
      </c>
      <c r="C14833" t="str">
        <f>IFERROR(__xludf.DUMMYFUNCTION("GOOGLETRANSLATE(B14833, ""fr"", ""en"")"),"His strong, clear bluetooth wireless headsets was the thing that I really needed. I do weight training 5 times a week and I use them every time, especially when I do cardio. The sound is loud and clear. The battery is resistant. You can easily listen to m"&amp;"usic or watch a movie. Nothing to blame. 5 stars")</f>
        <v>His strong, clear bluetooth wireless headsets was the thing that I really needed. I do weight training 5 times a week and I use them every time, especially when I do cardio. The sound is loud and clear. The battery is resistant. You can easily listen to music or watch a movie. Nothing to blame. 5 stars</v>
      </c>
    </row>
    <row r="14834">
      <c r="A14834" s="1">
        <v>5.0</v>
      </c>
      <c r="B14834" s="1" t="s">
        <v>14586</v>
      </c>
      <c r="C14834" t="str">
        <f>IFERROR(__xludf.DUMMYFUNCTION("GOOGLETRANSLATE(B14834, ""fr"", ""en"")"),"Top Very good value !! effective massage, just right heater. If I have to give a negative, it would be the fzit that no battery so it must remain connected. BuT the son is long enough to use it freely. Small +; the car charger, for use in the car.")</f>
        <v>Top Very good value !! effective massage, just right heater. If I have to give a negative, it would be the fzit that no battery so it must remain connected. BuT the son is long enough to use it freely. Small +; the car charger, for use in the car.</v>
      </c>
    </row>
    <row r="14835">
      <c r="A14835" s="1">
        <v>5.0</v>
      </c>
      <c r="B14835" s="1" t="s">
        <v>14587</v>
      </c>
      <c r="C14835" t="str">
        <f>IFERROR(__xludf.DUMMYFUNCTION("GOOGLETRANSLATE(B14835, ""fr"", ""en"")"),"No need to be a nurse ... ... to wear Crocs! ""The attempt is to adopt"" as a slogan saying a bit overused but very suitable for them. /! \ Be careful because they very large.")</f>
        <v>No need to be a nurse ... ... to wear Crocs! "The attempt is to adopt" as a slogan saying a bit overused but very suitable for them. /! \ Be careful because they very large.</v>
      </c>
    </row>
    <row r="14836">
      <c r="A14836" s="1">
        <v>5.0</v>
      </c>
      <c r="B14836" s="1" t="s">
        <v>14588</v>
      </c>
      <c r="C14836" t="str">
        <f>IFERROR(__xludf.DUMMYFUNCTION("GOOGLETRANSLATE(B14836, ""fr"", ""en"")"),"Good product Top nothing to say")</f>
        <v>Good product Top nothing to say</v>
      </c>
    </row>
    <row r="14837">
      <c r="A14837" s="1">
        <v>5.0</v>
      </c>
      <c r="B14837" s="1" t="s">
        <v>14589</v>
      </c>
      <c r="C14837" t="str">
        <f>IFERROR(__xludf.DUMMYFUNCTION("GOOGLETRANSLATE(B14837, ""fr"", ""en"")"),"anniiversaire very nice gift")</f>
        <v>anniiversaire very nice gift</v>
      </c>
    </row>
    <row r="14838">
      <c r="A14838" s="1">
        <v>2.0</v>
      </c>
      <c r="B14838" s="1" t="s">
        <v>14590</v>
      </c>
      <c r="C14838" t="str">
        <f>IFERROR(__xludf.DUMMYFUNCTION("GOOGLETRANSLATE(B14838, ""fr"", ""en"")"),"Product inconsistent with the description of the file on Amazon The product received presents only one connection to a microphone in front while in the description there are two. So two portable microphones which one had a bad connection from the battery "&amp;"level, and only one connection on the front for wired microphone, or a maximum of three microphones at all while in the description there were two laptops and two front four opportunities which for me was the main factor in the purchase decision. The soun"&amp;"d quality is very average. So in the end, to avoid this kind of product to your catalog because the client is moderately pleased with his purchase. I keep the product still for another service and return to my usual supplier for the provision of sound equ"&amp;"ipment. Product resulted in appearance it does not surprise me because of the low quality sound system although the presentation of the product is good and he looks strong mechanically. Too bad he does not lack much for the product is good. Cordial greeti"&amp;"ngs.")</f>
        <v>Product inconsistent with the description of the file on Amazon The product received presents only one connection to a microphone in front while in the description there are two. So two portable microphones which one had a bad connection from the battery level, and only one connection on the front for wired microphone, or a maximum of three microphones at all while in the description there were two laptops and two front four opportunities which for me was the main factor in the purchase decision. The sound quality is very average. So in the end, to avoid this kind of product to your catalog because the client is moderately pleased with his purchase. I keep the product still for another service and return to my usual supplier for the provision of sound equipment. Product resulted in appearance it does not surprise me because of the low quality sound system although the presentation of the product is good and he looks strong mechanically. Too bad he does not lack much for the product is good. Cordial greetings.</v>
      </c>
    </row>
    <row r="14839">
      <c r="A14839" s="1">
        <v>1.0</v>
      </c>
      <c r="B14839" s="1" t="s">
        <v>14591</v>
      </c>
      <c r="C14839" t="str">
        <f>IFERROR(__xludf.DUMMYFUNCTION("GOOGLETRANSLATE(B14839, ""fr"", ""en"")"),"The closures break easily Very disappointed, after 15 days of use all closures broke! Disgusted!")</f>
        <v>The closures break easily Very disappointed, after 15 days of use all closures broke! Disgusted!</v>
      </c>
    </row>
    <row r="14840">
      <c r="A14840" s="1">
        <v>1.0</v>
      </c>
      <c r="B14840" s="1" t="s">
        <v>14592</v>
      </c>
      <c r="C14840" t="str">
        <f>IFERROR(__xludf.DUMMYFUNCTION("GOOGLETRANSLATE(B14840, ""fr"", ""en"")"),"Broken product unfortunately it off after 1min automatically, the ""change direction"" button does not work, the ""speed control"" button either, it's a shame! otherwise the product was very well packaged with a nice finish (conforms to the image)")</f>
        <v>Broken product unfortunately it off after 1min automatically, the "change direction" button does not work, the "speed control" button either, it's a shame! otherwise the product was very well packaged with a nice finish (conforms to the image)</v>
      </c>
    </row>
    <row r="14841">
      <c r="A14841" s="1">
        <v>3.0</v>
      </c>
      <c r="B14841" s="1" t="s">
        <v>14593</v>
      </c>
      <c r="C14841" t="str">
        <f>IFERROR(__xludf.DUMMYFUNCTION("GOOGLETRANSLATE(B14841, ""fr"", ""en"")"),"Consistent with the description I have had concerns parcel lost on this but Amazon still there and settle quickly the problem. Regarding the product itself: Good but it's a shame we can not adjust perfectly as an ""arm ergotron"" and must think carefully "&amp;"about where to put it without it is embarrassing to the screen. After for its price range it agree very well.")</f>
        <v>Consistent with the description I have had concerns parcel lost on this but Amazon still there and settle quickly the problem. Regarding the product itself: Good but it's a shame we can not adjust perfectly as an "arm ergotron" and must think carefully about where to put it without it is embarrassing to the screen. After for its price range it agree very well.</v>
      </c>
    </row>
    <row r="14842">
      <c r="A14842" s="1">
        <v>4.0</v>
      </c>
      <c r="B14842" s="1" t="s">
        <v>14594</v>
      </c>
      <c r="C14842" t="str">
        <f>IFERROR(__xludf.DUMMYFUNCTION("GOOGLETRANSLATE(B14842, ""fr"", ""en"")"),"Jolie Jolie basketball hoop. Bought for my 9 year old son loves. The smell of the shoe mind ""chemical"" 🤢 made in china")</f>
        <v>Jolie Jolie basketball hoop. Bought for my 9 year old son loves. The smell of the shoe mind "chemical" 🤢 made in china</v>
      </c>
    </row>
    <row r="14843">
      <c r="A14843" s="1">
        <v>4.0</v>
      </c>
      <c r="B14843" s="1" t="s">
        <v>14595</v>
      </c>
      <c r="C14843" t="str">
        <f>IFERROR(__xludf.DUMMYFUNCTION("GOOGLETRANSLATE(B14843, ""fr"", ""en"")"),"Good buy Very easy to use, large capacity, precise in its temperature and finish is pretty.")</f>
        <v>Good buy Very easy to use, large capacity, precise in its temperature and finish is pretty.</v>
      </c>
    </row>
    <row r="14844">
      <c r="A14844" s="1">
        <v>4.0</v>
      </c>
      <c r="B14844" s="1" t="s">
        <v>14596</v>
      </c>
      <c r="C14844" t="str">
        <f>IFERROR(__xludf.DUMMYFUNCTION("GOOGLETRANSLATE(B14844, ""fr"", ""en"")"),"solid Offered christmas there is already a year and a half, this bag is always impeccable and as it is very convenient nephew often used. Happy with my purchase.")</f>
        <v>solid Offered christmas there is already a year and a half, this bag is always impeccable and as it is very convenient nephew often used. Happy with my purchase.</v>
      </c>
    </row>
    <row r="14845">
      <c r="A14845" s="1">
        <v>4.0</v>
      </c>
      <c r="B14845" s="1" t="s">
        <v>14597</v>
      </c>
      <c r="C14845" t="str">
        <f>IFERROR(__xludf.DUMMYFUNCTION("GOOGLETRANSLATE(B14845, ""fr"", ""en"")"),"Good product Good value Easy to use, easy to handle, several massage heads, remains to be seen is the use of time if the product holds up")</f>
        <v>Good product Good value Easy to use, easy to handle, several massage heads, remains to be seen is the use of time if the product holds up</v>
      </c>
    </row>
    <row r="14846">
      <c r="A14846" s="1">
        <v>5.0</v>
      </c>
      <c r="B14846" s="1" t="s">
        <v>14598</v>
      </c>
      <c r="C14846" t="str">
        <f>IFERROR(__xludf.DUMMYFUNCTION("GOOGLETRANSLATE(B14846, ""fr"", ""en"")"),"These great product soda are well packed, there are three well in the lot, and they serve me well for my household homemade products. The quality is good, and the quality / price also, so I recommend it!")</f>
        <v>These great product soda are well packed, there are three well in the lot, and they serve me well for my household homemade products. The quality is good, and the quality / price also, so I recommend it!</v>
      </c>
    </row>
    <row r="14847">
      <c r="A14847" s="1">
        <v>5.0</v>
      </c>
      <c r="B14847" s="1" t="s">
        <v>14599</v>
      </c>
      <c r="C14847" t="str">
        <f>IFERROR(__xludf.DUMMYFUNCTION("GOOGLETRANSLATE(B14847, ""fr"", ""en"")"),"satisfied satisfied with this Article")</f>
        <v>satisfied satisfied with this Article</v>
      </c>
    </row>
    <row r="14848">
      <c r="A14848" s="1">
        <v>5.0</v>
      </c>
      <c r="B14848" s="1" t="s">
        <v>14600</v>
      </c>
      <c r="C14848" t="str">
        <f>IFERROR(__xludf.DUMMYFUNCTION("GOOGLETRANSLATE(B14848, ""fr"", ""en"")"),"Sterilizer Met my expectations great sterilizer much room to put several easy fast bibi of use o top")</f>
        <v>Sterilizer Met my expectations great sterilizer much room to put several easy fast bibi of use o top</v>
      </c>
    </row>
    <row r="14849">
      <c r="A14849" s="1">
        <v>5.0</v>
      </c>
      <c r="B14849" s="1" t="s">
        <v>14601</v>
      </c>
      <c r="C14849" t="str">
        <f>IFERROR(__xludf.DUMMYFUNCTION("GOOGLETRANSLATE(B14849, ""fr"", ""en"")"),"Good deal Faithful to the brand this lot is top")</f>
        <v>Good deal Faithful to the brand this lot is top</v>
      </c>
    </row>
    <row r="14850">
      <c r="A14850" s="1">
        <v>5.0</v>
      </c>
      <c r="B14850" s="1" t="s">
        <v>14602</v>
      </c>
      <c r="C14850" t="str">
        <f>IFERROR(__xludf.DUMMYFUNCTION("GOOGLETRANSLATE(B14850, ""fr"", ""en"")"),"Very good quality in the long term very good shoes closed. Useful for my insoles even if they lack a little heel.")</f>
        <v>Very good quality in the long term very good shoes closed. Useful for my insoles even if they lack a little heel.</v>
      </c>
    </row>
    <row r="14851">
      <c r="A14851" s="1">
        <v>5.0</v>
      </c>
      <c r="B14851" s="1" t="s">
        <v>14603</v>
      </c>
      <c r="C14851" t="str">
        <f>IFERROR(__xludf.DUMMYFUNCTION("GOOGLETRANSLATE(B14851, ""fr"", ""en"")"),"Thank you very happy with my purchase and very pretty fast heating and does not take up much space")</f>
        <v>Thank you very happy with my purchase and very pretty fast heating and does not take up much space</v>
      </c>
    </row>
    <row r="14852">
      <c r="A14852" s="1">
        <v>5.0</v>
      </c>
      <c r="B14852" s="1" t="s">
        <v>14604</v>
      </c>
      <c r="C14852" t="str">
        <f>IFERROR(__xludf.DUMMYFUNCTION("GOOGLETRANSLATE(B14852, ""fr"", ""en"")"),"Ideal for learning to take his bottle only Nikel true to the picture and my little already taking his bottle alone after a week. I strongly re rcommmande like this brand elsewhere.")</f>
        <v>Ideal for learning to take his bottle only Nikel true to the picture and my little already taking his bottle alone after a week. I strongly re rcommmande like this brand elsewhere.</v>
      </c>
    </row>
    <row r="14853">
      <c r="A14853" s="1">
        <v>5.0</v>
      </c>
      <c r="B14853" s="1" t="s">
        <v>14605</v>
      </c>
      <c r="C14853" t="str">
        <f>IFERROR(__xludf.DUMMYFUNCTION("GOOGLETRANSLATE(B14853, ""fr"", ""en"")"),"Very pretty colors a great offer. I am very satisfied with my purchase. The colors are very pretty and very good quality.")</f>
        <v>Very pretty colors a great offer. I am very satisfied with my purchase. The colors are very pretty and very good quality.</v>
      </c>
    </row>
    <row r="14854">
      <c r="A14854" s="1">
        <v>5.0</v>
      </c>
      <c r="B14854" s="1" t="s">
        <v>14606</v>
      </c>
      <c r="C14854" t="str">
        <f>IFERROR(__xludf.DUMMYFUNCTION("GOOGLETRANSLATE(B14854, ""fr"", ""en"")"),"Nickel Used for home theater 5.1, RAS product complies, I recommend")</f>
        <v>Nickel Used for home theater 5.1, RAS product complies, I recommend</v>
      </c>
    </row>
    <row r="14855">
      <c r="A14855" s="1">
        <v>5.0</v>
      </c>
      <c r="B14855" s="1" t="s">
        <v>14607</v>
      </c>
      <c r="C14855" t="str">
        <f>IFERROR(__xludf.DUMMYFUNCTION("GOOGLETRANSLATE(B14855, ""fr"", ""en"")"),"This elegant bracelet very feminine bracelet makes a great gift for my sister, it was long she was looking for a discreet bracelet, which matched him with this one it has been filled. Bracelet very good and with a nice pouch. very nice symbol. Delivery st"&amp;"iff, I recommend.")</f>
        <v>This elegant bracelet very feminine bracelet makes a great gift for my sister, it was long she was looking for a discreet bracelet, which matched him with this one it has been filled. Bracelet very good and with a nice pouch. very nice symbol. Delivery stiff, I recommend.</v>
      </c>
    </row>
    <row r="14856">
      <c r="A14856" s="1">
        <v>5.0</v>
      </c>
      <c r="B14856" s="1" t="s">
        <v>14608</v>
      </c>
      <c r="C14856" t="str">
        <f>IFERROR(__xludf.DUMMYFUNCTION("GOOGLETRANSLATE(B14856, ""fr"", ""en"")"),"Very good but not dicret I must say at the beginning I was rather pleasant surprise. They work well, quickly detects bluetooth, the sound is good and seems ca quality. The fact there is no button, but the touch areas is nice. However one of my first crite"&amp;"ria were the discretion. There I am quite disappointed, the rod is larger than bcp pods air, which gives effect earrings. this is without me.")</f>
        <v>Very good but not dicret I must say at the beginning I was rather pleasant surprise. They work well, quickly detects bluetooth, the sound is good and seems ca quality. The fact there is no button, but the touch areas is nice. However one of my first criteria were the discretion. There I am quite disappointed, the rod is larger than bcp pods air, which gives effect earrings. this is without me.</v>
      </c>
    </row>
    <row r="14857">
      <c r="A14857" s="1">
        <v>5.0</v>
      </c>
      <c r="B14857" s="1" t="s">
        <v>14609</v>
      </c>
      <c r="C14857" t="str">
        <f>IFERROR(__xludf.DUMMYFUNCTION("GOOGLETRANSLATE(B14857, ""fr"", ""en"")"),"Very good quality and a pure, clean sound microphones are of very good quality and pass 40/50 meters without problems. used with a video projector for karaoke, no problems. they plug directly into Jack on my amplified speaker and the gain adjustment is ma"&amp;"de on the receiver I pushed the experience a step further in the connectants on the mixer with XLR and there one can handle two microphones separately . I then tried the plug on microphones singstar my console have outputs XLE and again it works perfectly"&amp;" and it avoids having cables lying around on the floor or make knots etc ... I recommend + +")</f>
        <v>Very good quality and a pure, clean sound microphones are of very good quality and pass 40/50 meters without problems. used with a video projector for karaoke, no problems. they plug directly into Jack on my amplified speaker and the gain adjustment is made on the receiver I pushed the experience a step further in the connectants on the mixer with XLR and there one can handle two microphones separately . I then tried the plug on microphones singstar my console have outputs XLE and again it works perfectly and it avoids having cables lying around on the floor or make knots etc ... I recommend + +</v>
      </c>
    </row>
    <row r="14858">
      <c r="A14858" s="1">
        <v>5.0</v>
      </c>
      <c r="B14858" s="1" t="s">
        <v>14610</v>
      </c>
      <c r="C14858" t="str">
        <f>IFERROR(__xludf.DUMMYFUNCTION("GOOGLETRANSLATE(B14858, ""fr"", ""en"")"),"impaccable quality earphone. The sound is perfect and adjustable volume level directly on the helmet. The noise option works well and reduces outside noise very pleasant. Nickel when taking transport! Pleasant to be worn without ears hurt. easy Bluetooth "&amp;"connection.")</f>
        <v>impaccable quality earphone. The sound is perfect and adjustable volume level directly on the helmet. The noise option works well and reduces outside noise very pleasant. Nickel when taking transport! Pleasant to be worn without ears hurt. easy Bluetooth connection.</v>
      </c>
    </row>
    <row r="14859">
      <c r="A14859" s="1">
        <v>5.0</v>
      </c>
      <c r="B14859" s="1" t="s">
        <v>14611</v>
      </c>
      <c r="C14859" t="str">
        <f>IFERROR(__xludf.DUMMYFUNCTION("GOOGLETRANSLATE(B14859, ""fr"", ""en"")"),"Hygienic and very effective Bought for cleaning bottles of the same brand, it is perfect and washing well. Leger, compact and solid matter into '&amp; nbsp; &amp; nbsp gum, ""actually a very hygienic brush.")</f>
        <v>Hygienic and very effective Bought for cleaning bottles of the same brand, it is perfect and washing well. Leger, compact and solid matter into '&amp; nbsp; &amp; nbsp gum, "actually a very hygienic brush.</v>
      </c>
    </row>
    <row r="14860">
      <c r="A14860" s="1">
        <v>5.0</v>
      </c>
      <c r="B14860" s="1" t="s">
        <v>14612</v>
      </c>
      <c r="C14860" t="str">
        <f>IFERROR(__xludf.DUMMYFUNCTION("GOOGLETRANSLATE(B14860, ""fr"", ""en"")"),"Perfect. Compliant product. Product of very good quality with good readability of the week. TB format. solid black cover. Additional information well made.")</f>
        <v>Perfect. Compliant product. Product of very good quality with good readability of the week. TB format. solid black cover. Additional information well made.</v>
      </c>
    </row>
    <row r="14861">
      <c r="A14861" s="1">
        <v>2.0</v>
      </c>
      <c r="B14861" s="1" t="s">
        <v>14613</v>
      </c>
      <c r="C14861" t="str">
        <f>IFERROR(__xludf.DUMMYFUNCTION("GOOGLETRANSLATE(B14861, ""fr"", ""en"")"),"Beautiful but not solid stones are quickly fallen")</f>
        <v>Beautiful but not solid stones are quickly fallen</v>
      </c>
    </row>
    <row r="14862">
      <c r="A14862" s="1">
        <v>1.0</v>
      </c>
      <c r="B14862" s="1" t="s">
        <v>14614</v>
      </c>
      <c r="C14862" t="str">
        <f>IFERROR(__xludf.DUMMYFUNCTION("GOOGLETRANSLATE(B14862, ""fr"", ""en"")"),"Shabby quality pietre quality product, coating s abyss in moidre shock sole that slides enormously when the ground is wet which is really dangerous. Very uncomfortable, I did put that 2 days and then towards the completion closet for them! Very bad purcha"&amp;"se I regret it. I highly recommend for purchasing this product.")</f>
        <v>Shabby quality pietre quality product, coating s abyss in moidre shock sole that slides enormously when the ground is wet which is really dangerous. Very uncomfortable, I did put that 2 days and then towards the completion closet for them! Very bad purchase I regret it. I highly recommend for purchasing this product.</v>
      </c>
    </row>
    <row r="14863">
      <c r="A14863" s="1">
        <v>3.0</v>
      </c>
      <c r="B14863" s="1" t="s">
        <v>14615</v>
      </c>
      <c r="C14863" t="str">
        <f>IFERROR(__xludf.DUMMYFUNCTION("GOOGLETRANSLATE(B14863, ""fr"", ""en"")"),"WELL BUT average not very accurate installation in the results. Even for an approximation temperatures but no more.")</f>
        <v>WELL BUT average not very accurate installation in the results. Even for an approximation temperatures but no more.</v>
      </c>
    </row>
    <row r="14864">
      <c r="A14864" s="1">
        <v>3.0</v>
      </c>
      <c r="B14864" s="1" t="s">
        <v>14616</v>
      </c>
      <c r="C14864" t="str">
        <f>IFERROR(__xludf.DUMMYFUNCTION("GOOGLETRANSLATE(B14864, ""fr"", ""en"")"),"Good value small size. Do not take too hot and protects well.")</f>
        <v>Good value small size. Do not take too hot and protects well.</v>
      </c>
    </row>
    <row r="14865">
      <c r="A14865" s="1">
        <v>4.0</v>
      </c>
      <c r="B14865" s="1" t="s">
        <v>14617</v>
      </c>
      <c r="C14865" t="str">
        <f>IFERROR(__xludf.DUMMYFUNCTION("GOOGLETRANSLATE(B14865, ""fr"", ""en"")"),"Ring ring matching bracelet that makes a beautiful set delivery as agreed")</f>
        <v>Ring ring matching bracelet that makes a beautiful set delivery as agreed</v>
      </c>
    </row>
    <row r="14866">
      <c r="A14866" s="1">
        <v>4.0</v>
      </c>
      <c r="B14866" s="1" t="s">
        <v>14618</v>
      </c>
      <c r="C14866" t="str">
        <f>IFERROR(__xludf.DUMMYFUNCTION("GOOGLETRANSLATE(B14866, ""fr"", ""en"")"),"Cartridge HP Quick send the print cartridge recognize an original view duration.")</f>
        <v>Cartridge HP Quick send the print cartridge recognize an original view duration.</v>
      </c>
    </row>
    <row r="14867">
      <c r="A14867" s="1">
        <v>4.0</v>
      </c>
      <c r="B14867" s="1" t="s">
        <v>14619</v>
      </c>
      <c r="C14867" t="str">
        <f>IFERROR(__xludf.DUMMYFUNCTION("GOOGLETRANSLATE(B14867, ""fr"", ""en"")"),"Moderately satisfied The color is not very consistent with that shown but is just as pretty, with against leaves a mark at the slightest shock.")</f>
        <v>Moderately satisfied The color is not very consistent with that shown but is just as pretty, with against leaves a mark at the slightest shock.</v>
      </c>
    </row>
    <row r="14868">
      <c r="A14868" s="1">
        <v>4.0</v>
      </c>
      <c r="B14868" s="1" t="s">
        <v>14620</v>
      </c>
      <c r="C14868" t="str">
        <f>IFERROR(__xludf.DUMMYFUNCTION("GOOGLETRANSLATE(B14868, ""fr"", ""en"")"),"snugrugs Slippers Slippers qont quite resembling the picture, they are a little slipper shoes are nice and cnfortables")</f>
        <v>snugrugs Slippers Slippers qont quite resembling the picture, they are a little slipper shoes are nice and cnfortables</v>
      </c>
    </row>
    <row r="14869">
      <c r="A14869" s="1">
        <v>5.0</v>
      </c>
      <c r="B14869" s="1" t="s">
        <v>14621</v>
      </c>
      <c r="C14869" t="str">
        <f>IFERROR(__xludf.DUMMYFUNCTION("GOOGLETRANSLATE(B14869, ""fr"", ""en"")"),"The microphone is very sensitive and the sound is great. No besokn check autonomy for cable Karaoke night with friends")</f>
        <v>The microphone is very sensitive and the sound is great. No besokn check autonomy for cable Karaoke night with friends</v>
      </c>
    </row>
    <row r="14870">
      <c r="A14870" s="1">
        <v>5.0</v>
      </c>
      <c r="B14870" s="1" t="s">
        <v>14622</v>
      </c>
      <c r="C14870" t="str">
        <f>IFERROR(__xludf.DUMMYFUNCTION("GOOGLETRANSLATE(B14870, ""fr"", ""en"")"),"A hot water bottle Hot Water resistant happiness, I use the water bottle each day throughout the afternoon and at night it is resistant, it was only after a year it holds a little less heat. But with a very strong use frequency.")</f>
        <v>A hot water bottle Hot Water resistant happiness, I use the water bottle each day throughout the afternoon and at night it is resistant, it was only after a year it holds a little less heat. But with a very strong use frequency.</v>
      </c>
    </row>
    <row r="14871">
      <c r="A14871" s="1">
        <v>5.0</v>
      </c>
      <c r="B14871" s="1" t="s">
        <v>14623</v>
      </c>
      <c r="C14871" t="str">
        <f>IFERROR(__xludf.DUMMYFUNCTION("GOOGLETRANSLATE(B14871, ""fr"", ""en"")"),"Footwear Comfortable shoes to match my expectations, perfectly adapted to the foot. No surprise on color, gray is well represented.")</f>
        <v>Footwear Comfortable shoes to match my expectations, perfectly adapted to the foot. No surprise on color, gray is well represented.</v>
      </c>
    </row>
    <row r="14872">
      <c r="A14872" s="1">
        <v>5.0</v>
      </c>
      <c r="B14872" s="1" t="s">
        <v>14624</v>
      </c>
      <c r="C14872" t="str">
        <f>IFERROR(__xludf.DUMMYFUNCTION("GOOGLETRANSLATE(B14872, ""fr"", ""en"")"),"Good value very comfortable and lightweight shoes report provides a good foot certify the duration")</f>
        <v>Good value very comfortable and lightweight shoes report provides a good foot certify the duration</v>
      </c>
    </row>
    <row r="14873">
      <c r="A14873" s="1">
        <v>5.0</v>
      </c>
      <c r="B14873" s="1" t="s">
        <v>2457</v>
      </c>
      <c r="C14873" t="str">
        <f>IFERROR(__xludf.DUMMYFUNCTION("GOOGLETRANSLATE(B14873, ""fr"", ""en"")"),"Ok Ok")</f>
        <v>Ok Ok</v>
      </c>
    </row>
    <row r="14874">
      <c r="A14874" s="1">
        <v>5.0</v>
      </c>
      <c r="B14874" s="1" t="s">
        <v>14625</v>
      </c>
      <c r="C14874" t="str">
        <f>IFERROR(__xludf.DUMMYFUNCTION("GOOGLETRANSLATE(B14874, ""fr"", ""en"")"),"Good product good product in a nice case, I recommend")</f>
        <v>Good product good product in a nice case, I recommend</v>
      </c>
    </row>
    <row r="14875">
      <c r="A14875" s="1">
        <v>5.0</v>
      </c>
      <c r="B14875" s="1" t="s">
        <v>14626</v>
      </c>
      <c r="C14875" t="str">
        <f>IFERROR(__xludf.DUMMYFUNCTION("GOOGLETRANSLATE(B14875, ""fr"", ""en"")"),"Great! Article true to the description, suitable for jogging, light and practical, suits me well, I recommend!")</f>
        <v>Great! Article true to the description, suitable for jogging, light and practical, suits me well, I recommend!</v>
      </c>
    </row>
    <row r="14876">
      <c r="A14876" s="1">
        <v>5.0</v>
      </c>
      <c r="B14876" s="1" t="s">
        <v>14627</v>
      </c>
      <c r="C14876" t="str">
        <f>IFERROR(__xludf.DUMMYFUNCTION("GOOGLETRANSLATE(B14876, ""fr"", ""en"")"),"Very pretty curls for a little girl very pretty earrings that go great with my 7 year old daughter. Be careful though because the rings are really small so rather for a little girl. See their duration in time ...")</f>
        <v>Very pretty curls for a little girl very pretty earrings that go great with my 7 year old daughter. Be careful though because the rings are really small so rather for a little girl. See their duration in time ...</v>
      </c>
    </row>
    <row r="14877">
      <c r="A14877" s="1">
        <v>5.0</v>
      </c>
      <c r="B14877" s="1" t="s">
        <v>14628</v>
      </c>
      <c r="C14877" t="str">
        <f>IFERROR(__xludf.DUMMYFUNCTION("GOOGLETRANSLATE(B14877, ""fr"", ""en"")"),"good value for the left mix jet purchase controller to have a feeling of non-virtual obliged controller mix a good product ons recognizes the upscale Numark very good in playeurs also seraito litte happens only under the Windows in so 64 bit virtual versi"&amp;"on 8 passes in 32 bits has lëssai 1 month and for more virtual it pays.")</f>
        <v>good value for the left mix jet purchase controller to have a feeling of non-virtual obliged controller mix a good product ons recognizes the upscale Numark very good in playeurs also seraito litte happens only under the Windows in so 64 bit virtual version 8 passes in 32 bits has lëssai 1 month and for more virtual it pays.</v>
      </c>
    </row>
    <row r="14878">
      <c r="A14878" s="1">
        <v>5.0</v>
      </c>
      <c r="B14878" s="1" t="s">
        <v>1288</v>
      </c>
      <c r="C14878" t="str">
        <f>IFERROR(__xludf.DUMMYFUNCTION("GOOGLETRANSLATE(B14878, ""fr"", ""en"")"),"perfect perfect")</f>
        <v>perfect perfect</v>
      </c>
    </row>
    <row r="14879">
      <c r="A14879" s="1">
        <v>5.0</v>
      </c>
      <c r="B14879" s="1" t="s">
        <v>14629</v>
      </c>
      <c r="C14879" t="str">
        <f>IFERROR(__xludf.DUMMYFUNCTION("GOOGLETRANSLATE(B14879, ""fr"", ""en"")"),"BRACELET IN TOP !!! Guaranteed effect! The bracelet is beautiful! Upon receipt of the order, the bracelet was too small for me. I contacted the seller, who asked me to return it to the article to enlarge it to the desired size. Operation performed quickly"&amp;" without any additional charge. Very pleased with the final result. Excellent value. Quick delivery. I recommend the product and the seller, very responsive to customer needs. very positive exchanges. Thank you ARMONY ... I acquired two other bracelets in"&amp;" ARMONY.")</f>
        <v>BRACELET IN TOP !!! Guaranteed effect! The bracelet is beautiful! Upon receipt of the order, the bracelet was too small for me. I contacted the seller, who asked me to return it to the article to enlarge it to the desired size. Operation performed quickly without any additional charge. Very pleased with the final result. Excellent value. Quick delivery. I recommend the product and the seller, very responsive to customer needs. very positive exchanges. Thank you ARMONY ... I acquired two other bracelets in ARMONY.</v>
      </c>
    </row>
    <row r="14880">
      <c r="A14880" s="1">
        <v>5.0</v>
      </c>
      <c r="B14880" s="1" t="s">
        <v>14630</v>
      </c>
      <c r="C14880" t="str">
        <f>IFERROR(__xludf.DUMMYFUNCTION("GOOGLETRANSLATE(B14880, ""fr"", ""en"")"),"Perfect Very correct")</f>
        <v>Perfect Very correct</v>
      </c>
    </row>
    <row r="14881">
      <c r="A14881" s="1">
        <v>5.0</v>
      </c>
      <c r="B14881" s="1" t="s">
        <v>14631</v>
      </c>
      <c r="C14881" t="str">
        <f>IFERROR(__xludf.DUMMYFUNCTION("GOOGLETRANSLATE(B14881, ""fr"", ""en"")"),"Perfectly suitable for running - Very good battery life - impeccable quality I use these earphones to listen to music during my running sessions. I am quite satisfied: the headphones fit perfectly, whatever the nature of the soil or the magnitude of the s"&amp;"teps. I run regularly in the rain and wind, without negative impact on the earpieces. The charging case is really small: it fits everywhere, and it was really the atria with you everywhere! For sound, I'm used to listening to music with trimmings ""rights"&amp;""" at home and on the very neutral material. Here we immediately recognize the Bose signature, with very pronounced bass and a marked channel decomposition, but in the context of sport, it does not bother me at all! I recommend buying this product!")</f>
        <v>Perfectly suitable for running - Very good battery life - impeccable quality I use these earphones to listen to music during my running sessions. I am quite satisfied: the headphones fit perfectly, whatever the nature of the soil or the magnitude of the steps. I run regularly in the rain and wind, without negative impact on the earpieces. The charging case is really small: it fits everywhere, and it was really the atria with you everywhere! For sound, I'm used to listening to music with trimmings "rights" at home and on the very neutral material. Here we immediately recognize the Bose signature, with very pronounced bass and a marked channel decomposition, but in the context of sport, it does not bother me at all! I recommend buying this product!</v>
      </c>
    </row>
    <row r="14882">
      <c r="A14882" s="1">
        <v>5.0</v>
      </c>
      <c r="B14882" s="1" t="s">
        <v>14632</v>
      </c>
      <c r="C14882" t="str">
        <f>IFERROR(__xludf.DUMMYFUNCTION("GOOGLETRANSLATE(B14882, ""fr"", ""en"")"),"Super Just perfect, I usually made of L, but I love having the sleeves too long for this kind of sweater")</f>
        <v>Super Just perfect, I usually made of L, but I love having the sleeves too long for this kind of sweater</v>
      </c>
    </row>
    <row r="14883">
      <c r="A14883" s="1">
        <v>5.0</v>
      </c>
      <c r="B14883" s="1" t="s">
        <v>14633</v>
      </c>
      <c r="C14883" t="str">
        <f>IFERROR(__xludf.DUMMYFUNCTION("GOOGLETRANSLATE(B14883, ""fr"", ""en"")"),"Foot tap for ultra nice, for the length is impeccable I took the size of my normal foot: 39 - this says for a little more fleshy feet, chubby, they may tighten a little - I have a walk very thin and they keep me really well, so to see for the most swollen"&amp;" feet ...")</f>
        <v>Foot tap for ultra nice, for the length is impeccable I took the size of my normal foot: 39 - this says for a little more fleshy feet, chubby, they may tighten a little - I have a walk very thin and they keep me really well, so to see for the most swollen feet ...</v>
      </c>
    </row>
    <row r="14884">
      <c r="A14884" s="1">
        <v>2.0</v>
      </c>
      <c r="B14884" s="1" t="s">
        <v>14634</v>
      </c>
      <c r="C14884" t="str">
        <f>IFERROR(__xludf.DUMMYFUNCTION("GOOGLETRANSLATE(B14884, ""fr"", ""en"")"),"Shows basic I received this product after the first adjustment I found that it does not offer the 12/24 so I returned immediately.")</f>
        <v>Shows basic I received this product after the first adjustment I found that it does not offer the 12/24 so I returned immediately.</v>
      </c>
    </row>
    <row r="14885">
      <c r="A14885" s="1">
        <v>1.0</v>
      </c>
      <c r="B14885" s="1" t="s">
        <v>14635</v>
      </c>
      <c r="C14885" t="str">
        <f>IFERROR(__xludf.DUMMYFUNCTION("GOOGLETRANSLATE(B14885, ""fr"", ""en"")"),"SHIT These headphones are zero! One can not connect one at a time! And quality level is very blah especially appeal !! As parasites!")</f>
        <v>SHIT These headphones are zero! One can not connect one at a time! And quality level is very blah especially appeal !! As parasites!</v>
      </c>
    </row>
    <row r="14886">
      <c r="A14886" s="1">
        <v>1.0</v>
      </c>
      <c r="B14886" s="1" t="s">
        <v>14636</v>
      </c>
      <c r="C14886" t="str">
        <f>IFERROR(__xludf.DUMMYFUNCTION("GOOGLETRANSLATE(B14886, ""fr"", ""en"")"),"No Never worked ....")</f>
        <v>No Never worked ....</v>
      </c>
    </row>
    <row r="14887">
      <c r="A14887" s="1">
        <v>3.0</v>
      </c>
      <c r="B14887" s="1" t="s">
        <v>14637</v>
      </c>
      <c r="C14887" t="str">
        <f>IFERROR(__xludf.DUMMYFUNCTION("GOOGLETRANSLATE(B14887, ""fr"", ""en"")"),"Pay attention to the accuracy of sizes. For work in industry I took a size larger and it is still just (47 instead of 46).")</f>
        <v>Pay attention to the accuracy of sizes. For work in industry I took a size larger and it is still just (47 instead of 46).</v>
      </c>
    </row>
    <row r="14888">
      <c r="A14888" s="1">
        <v>4.0</v>
      </c>
      <c r="B14888" s="1" t="s">
        <v>14638</v>
      </c>
      <c r="C14888" t="str">
        <f>IFERROR(__xludf.DUMMYFUNCTION("GOOGLETRANSLATE(B14888, ""fr"", ""en"")"),"Very beautiful colors The colors are beautiful but I was wrong I had not seen it was for 2+ years suddenly they are too big for my son 6 years (since I bought them for school)")</f>
        <v>Very beautiful colors The colors are beautiful but I was wrong I had not seen it was for 2+ years suddenly they are too big for my son 6 years (since I bought them for school)</v>
      </c>
    </row>
    <row r="14889">
      <c r="A14889" s="1">
        <v>4.0</v>
      </c>
      <c r="B14889" s="1" t="s">
        <v>14639</v>
      </c>
      <c r="C14889" t="str">
        <f>IFERROR(__xludf.DUMMYFUNCTION("GOOGLETRANSLATE(B14889, ""fr"", ""en"")"),"globe sword beautiful shoes I hope solid for it is less and less that in shoe skates j door for 25 years and its quality is less good I hope that the bubble will hold! that no vault good axion shoes (karim Kambel)")</f>
        <v>globe sword beautiful shoes I hope solid for it is less and less that in shoe skates j door for 25 years and its quality is less good I hope that the bubble will hold! that no vault good axion shoes (karim Kambel)</v>
      </c>
    </row>
    <row r="14890">
      <c r="A14890" s="1">
        <v>4.0</v>
      </c>
      <c r="B14890" s="1" t="s">
        <v>14640</v>
      </c>
      <c r="C14890" t="str">
        <f>IFERROR(__xludf.DUMMYFUNCTION("GOOGLETRANSLATE(B14890, ""fr"", ""en"")"),"Super satisfied bottle of transition to learn to drink. Baby age of 7 months to adopt the same if for now he plays with more he drinks because at the moment he chews the nipple instead of suck. The only downside I find the handle have been oval for a bett"&amp;"er grip")</f>
        <v>Super satisfied bottle of transition to learn to drink. Baby age of 7 months to adopt the same if for now he plays with more he drinks because at the moment he chews the nipple instead of suck. The only downside I find the handle have been oval for a better grip</v>
      </c>
    </row>
    <row r="14891">
      <c r="A14891" s="1">
        <v>4.0</v>
      </c>
      <c r="B14891" s="1" t="s">
        <v>14641</v>
      </c>
      <c r="C14891" t="str">
        <f>IFERROR(__xludf.DUMMYFUNCTION("GOOGLETRANSLATE(B14891, ""fr"", ""en"")"),"Very well !!! Very good, it's Levi's")</f>
        <v>Very well !!! Very good, it's Levi's</v>
      </c>
    </row>
    <row r="14892">
      <c r="A14892" s="1">
        <v>5.0</v>
      </c>
      <c r="B14892" s="1" t="s">
        <v>14642</v>
      </c>
      <c r="C14892" t="str">
        <f>IFERROR(__xludf.DUMMYFUNCTION("GOOGLETRANSLATE(B14892, ""fr"", ""en"")"),"SUper Super. very useful product")</f>
        <v>SUper Super. very useful product</v>
      </c>
    </row>
    <row r="14893">
      <c r="A14893" s="1">
        <v>5.0</v>
      </c>
      <c r="B14893" s="1" t="s">
        <v>14643</v>
      </c>
      <c r="C14893" t="str">
        <f>IFERROR(__xludf.DUMMYFUNCTION("GOOGLETRANSLATE(B14893, ""fr"", ""en"")"),"Sport Pants Super comfortable to wear, enough to end the summer arrives. Fits the description, good size")</f>
        <v>Sport Pants Super comfortable to wear, enough to end the summer arrives. Fits the description, good size</v>
      </c>
    </row>
    <row r="14894">
      <c r="A14894" s="1">
        <v>5.0</v>
      </c>
      <c r="B14894" s="1" t="s">
        <v>14644</v>
      </c>
      <c r="C14894" t="str">
        <f>IFERROR(__xludf.DUMMYFUNCTION("GOOGLETRANSLATE(B14894, ""fr"", ""en"")"),"Pure white When I took them, I thought they were well designed and the colors were very good. When I sweating during exercise, it was pure white, I am not fallen or stabilized.")</f>
        <v>Pure white When I took them, I thought they were well designed and the colors were very good. When I sweating during exercise, it was pure white, I am not fallen or stabilized.</v>
      </c>
    </row>
    <row r="14895">
      <c r="A14895" s="1">
        <v>5.0</v>
      </c>
      <c r="B14895" s="1" t="s">
        <v>14645</v>
      </c>
      <c r="C14895" t="str">
        <f>IFERROR(__xludf.DUMMYFUNCTION("GOOGLETRANSLATE(B14895, ""fr"", ""en"")"),"Cartridges original cartridges I use these for years without any problems. They are perfectly adapted and recognized by the printer unlike the cartridges that are not original. Preferred.")</f>
        <v>Cartridges original cartridges I use these for years without any problems. They are perfectly adapted and recognized by the printer unlike the cartridges that are not original. Preferred.</v>
      </c>
    </row>
    <row r="14896">
      <c r="A14896" s="1">
        <v>5.0</v>
      </c>
      <c r="B14896" s="1" t="s">
        <v>14646</v>
      </c>
      <c r="C14896" t="str">
        <f>IFERROR(__xludf.DUMMYFUNCTION("GOOGLETRANSLATE(B14896, ""fr"", ""en"")"),"Conforms Sandals that the strong air and aesthetic enough")</f>
        <v>Conforms Sandals that the strong air and aesthetic enough</v>
      </c>
    </row>
    <row r="14897">
      <c r="A14897" s="1">
        <v>5.0</v>
      </c>
      <c r="B14897" s="1" t="s">
        <v>14647</v>
      </c>
      <c r="C14897" t="str">
        <f>IFERROR(__xludf.DUMMYFUNCTION("GOOGLETRANSLATE(B14897, ""fr"", ""en"")"),"RAS Nothing to report. Quality product. Take this opportunity to have your feet in the air this summer =)")</f>
        <v>RAS Nothing to report. Quality product. Take this opportunity to have your feet in the air this summer =)</v>
      </c>
    </row>
    <row r="14898">
      <c r="A14898" s="1">
        <v>5.0</v>
      </c>
      <c r="B14898" s="1" t="s">
        <v>14648</v>
      </c>
      <c r="C14898" t="str">
        <f>IFERROR(__xludf.DUMMYFUNCTION("GOOGLETRANSLATE(B14898, ""fr"", ""en"")"),"Many Gommettes in significant numbers, ca should take long. Easily detachable and choice")</f>
        <v>Many Gommettes in significant numbers, ca should take long. Easily detachable and choice</v>
      </c>
    </row>
    <row r="14899">
      <c r="A14899" s="1">
        <v>5.0</v>
      </c>
      <c r="B14899" s="1" t="s">
        <v>14649</v>
      </c>
      <c r="C14899" t="str">
        <f>IFERROR(__xludf.DUMMYFUNCTION("GOOGLETRANSLATE(B14899, ""fr"", ""en"")"),"For solid laundry machine: efficient and complements the classical washing with detergent")</f>
        <v>For solid laundry machine: efficient and complements the classical washing with detergent</v>
      </c>
    </row>
    <row r="14900">
      <c r="A14900" s="1">
        <v>5.0</v>
      </c>
      <c r="B14900" s="1" t="s">
        <v>14650</v>
      </c>
      <c r="C14900" t="str">
        <f>IFERROR(__xludf.DUMMYFUNCTION("GOOGLETRANSLATE(B14900, ""fr"", ""en"")"),"Finally an intelligent bedside lamp Finally I found a handy lamp, I placed it on a wall bar, it fits perfectly, yellow or white light both are perfect and the model is neutral it goes for all styles I recommend this bedside lamp")</f>
        <v>Finally an intelligent bedside lamp Finally I found a handy lamp, I placed it on a wall bar, it fits perfectly, yellow or white light both are perfect and the model is neutral it goes for all styles I recommend this bedside lamp</v>
      </c>
    </row>
    <row r="14901">
      <c r="A14901" s="1">
        <v>5.0</v>
      </c>
      <c r="B14901" s="1" t="s">
        <v>14651</v>
      </c>
      <c r="C14901" t="str">
        <f>IFERROR(__xludf.DUMMYFUNCTION("GOOGLETRANSLATE(B14901, ""fr"", ""en"")"),"Converse T.39 product according to what is found in the store, correct size. Wearable e all types of outfits. Perfect !")</f>
        <v>Converse T.39 product according to what is found in the store, correct size. Wearable e all types of outfits. Perfect !</v>
      </c>
    </row>
    <row r="14902">
      <c r="A14902" s="1">
        <v>5.0</v>
      </c>
      <c r="B14902" s="1" t="s">
        <v>14652</v>
      </c>
      <c r="C14902" t="str">
        <f>IFERROR(__xludf.DUMMYFUNCTION("GOOGLETRANSLATE(B14902, ""fr"", ""en"")"),"A very good shoe. A good versatile shoe and comfortable Its design is simple and all-purpose I took black. I've worn almost every day no defects noted they have me very resistant air. Tested in the rain they are really tight I had dry socks. I have a lot "&amp;"of fun to walk with.")</f>
        <v>A very good shoe. A good versatile shoe and comfortable Its design is simple and all-purpose I took black. I've worn almost every day no defects noted they have me very resistant air. Tested in the rain they are really tight I had dry socks. I have a lot of fun to walk with.</v>
      </c>
    </row>
    <row r="14903">
      <c r="A14903" s="1">
        <v>5.0</v>
      </c>
      <c r="B14903" s="1" t="s">
        <v>14653</v>
      </c>
      <c r="C14903" t="str">
        <f>IFERROR(__xludf.DUMMYFUNCTION("GOOGLETRANSLATE(B14903, ""fr"", ""en"")"),"nice watch very pleased with this beautiful and elegant watch wrist as big tt I love just walking her great")</f>
        <v>nice watch very pleased with this beautiful and elegant watch wrist as big tt I love just walking her great</v>
      </c>
    </row>
    <row r="14904">
      <c r="A14904" s="1">
        <v>5.0</v>
      </c>
      <c r="B14904" s="1" t="s">
        <v>14654</v>
      </c>
      <c r="C14904" t="str">
        <f>IFERROR(__xludf.DUMMYFUNCTION("GOOGLETRANSLATE(B14904, ""fr"", ""en"")"),"Nickel for pdalboard Practice on a pedalboard with mini pedals.")</f>
        <v>Nickel for pdalboard Practice on a pedalboard with mini pedals.</v>
      </c>
    </row>
    <row r="14905">
      <c r="A14905" s="1">
        <v>5.0</v>
      </c>
      <c r="B14905" s="1" t="s">
        <v>14655</v>
      </c>
      <c r="C14905" t="str">
        <f>IFERROR(__xludf.DUMMYFUNCTION("GOOGLETRANSLATE(B14905, ""fr"", ""en"")"),"Ravi Raising a baby is easier when you have the right tools, the first thing that attracted me is the security that ensures our baby by giving him food at the right temperature with sterilized accessories with this tool, finished the alarm at any time to "&amp;"prepare baby bottles, we anticipate preparing bottles and they are kept at the right temperature all night, as a bonus, it comes with other accessories, I conquered")</f>
        <v>Ravi Raising a baby is easier when you have the right tools, the first thing that attracted me is the security that ensures our baby by giving him food at the right temperature with sterilized accessories with this tool, finished the alarm at any time to prepare baby bottles, we anticipate preparing bottles and they are kept at the right temperature all night, as a bonus, it comes with other accessories, I conquered</v>
      </c>
    </row>
    <row r="14906">
      <c r="A14906" s="1">
        <v>5.0</v>
      </c>
      <c r="B14906" s="1" t="s">
        <v>14656</v>
      </c>
      <c r="C14906" t="str">
        <f>IFERROR(__xludf.DUMMYFUNCTION("GOOGLETRANSLATE(B14906, ""fr"", ""en"")"),"discovery of the infinitesimal small digital microscope size but surprising in its effectiveness. great discovery of the infinitely small easy to use. my grandchildren were impressed by the magnification. adults enjoy themselves just as much. Here for a g"&amp;"ift that will be enjoyed by both children by the major Recommend")</f>
        <v>discovery of the infinitesimal small digital microscope size but surprising in its effectiveness. great discovery of the infinitely small easy to use. my grandchildren were impressed by the magnification. adults enjoy themselves just as much. Here for a gift that will be enjoyed by both children by the major Recommend</v>
      </c>
    </row>
    <row r="14907">
      <c r="A14907" s="1">
        <v>2.0</v>
      </c>
      <c r="B14907" s="1" t="s">
        <v>14657</v>
      </c>
      <c r="C14907" t="str">
        <f>IFERROR(__xludf.DUMMYFUNCTION("GOOGLETRANSLATE(B14907, ""fr"", ""en"")"),"Microphone wireless low quality wire Unfortunately I am very disappointed by this. Indeed, having no real comparative point, I decided to buy the TOSING 008 to give to my mother but result after 2 minutes test she asked me to send it back because there wa"&amp;"s a constant and very unpleasant beep sound output. I tried to make above settings to reduce the problem but could not find a proper solution. I have had the good method for half an hour was the beep. I reeled in all directions, I put it in the air, far a"&amp;"nd near as a phone-starved networks. While setting at some point I heard less but was still present and was still hear when my mother put her Cambodian music (its relatively heavy and powerful)")</f>
        <v>Microphone wireless low quality wire Unfortunately I am very disappointed by this. Indeed, having no real comparative point, I decided to buy the TOSING 008 to give to my mother but result after 2 minutes test she asked me to send it back because there was a constant and very unpleasant beep sound output. I tried to make above settings to reduce the problem but could not find a proper solution. I have had the good method for half an hour was the beep. I reeled in all directions, I put it in the air, far and near as a phone-starved networks. While setting at some point I heard less but was still present and was still hear when my mother put her Cambodian music (its relatively heavy and powerful)</v>
      </c>
    </row>
    <row r="14908">
      <c r="A14908" s="1">
        <v>1.0</v>
      </c>
      <c r="B14908" s="1" t="s">
        <v>14658</v>
      </c>
      <c r="C14908" t="str">
        <f>IFERROR(__xludf.DUMMYFUNCTION("GOOGLETRANSLATE(B14908, ""fr"", ""en"")"),"Deforms the 1st wash Very disappointed, pants relaxes progressively. It was perfect to buy but now it pocket.")</f>
        <v>Deforms the 1st wash Very disappointed, pants relaxes progressively. It was perfect to buy but now it pocket.</v>
      </c>
    </row>
    <row r="14909">
      <c r="A14909" s="1">
        <v>3.0</v>
      </c>
      <c r="B14909" s="1" t="s">
        <v>14659</v>
      </c>
      <c r="C14909" t="str">
        <f>IFERROR(__xludf.DUMMYFUNCTION("GOOGLETRANSLATE(B14909, ""fr"", ""en"")"),"Nice ... nice for a casual style, it can be associated with all our summer outfits. Only downside, the different strips which ""kink""")</f>
        <v>Nice ... nice for a casual style, it can be associated with all our summer outfits. Only downside, the different strips which "kink"</v>
      </c>
    </row>
    <row r="14910">
      <c r="A14910" s="1">
        <v>3.0</v>
      </c>
      <c r="B14910" s="1" t="s">
        <v>14660</v>
      </c>
      <c r="C14910" t="str">
        <f>IFERROR(__xludf.DUMMYFUNCTION("GOOGLETRANSLATE(B14910, ""fr"", ""en"")"),"opinion mixed the label is against my expectation by the cord is not as generous as in the photo, only 1.50m cord to 100 labels, I will be obliged to buy.")</f>
        <v>opinion mixed the label is against my expectation by the cord is not as generous as in the photo, only 1.50m cord to 100 labels, I will be obliged to buy.</v>
      </c>
    </row>
    <row r="14911">
      <c r="A14911" s="1">
        <v>4.0</v>
      </c>
      <c r="B14911" s="1" t="s">
        <v>14661</v>
      </c>
      <c r="C14911" t="str">
        <f>IFERROR(__xludf.DUMMYFUNCTION("GOOGLETRANSLATE(B14911, ""fr"", ""en"")"),"Jewelry Beads decked us good, really disappointed")</f>
        <v>Jewelry Beads decked us good, really disappointed</v>
      </c>
    </row>
    <row r="14912">
      <c r="A14912" s="1">
        <v>4.0</v>
      </c>
      <c r="B14912" s="1" t="s">
        <v>14662</v>
      </c>
      <c r="C14912" t="str">
        <f>IFERROR(__xludf.DUMMYFUNCTION("GOOGLETRANSLATE(B14912, ""fr"", ""en"")"),"Delighted Sends fast! I just remove a star waiting to see if it works because I just put it! Length just perfect no risk! I was a little scared by controlling seen some comments but I'm not disappointed!")</f>
        <v>Delighted Sends fast! I just remove a star waiting to see if it works because I just put it! Length just perfect no risk! I was a little scared by controlling seen some comments but I'm not disappointed!</v>
      </c>
    </row>
    <row r="14913">
      <c r="A14913" s="1">
        <v>4.0</v>
      </c>
      <c r="B14913" s="1" t="s">
        <v>14663</v>
      </c>
      <c r="C14913" t="str">
        <f>IFERROR(__xludf.DUMMYFUNCTION("GOOGLETRANSLATE(B14913, ""fr"", ""en"")"),"Good quality / price offered for a good birthday present quality / price ratio.")</f>
        <v>Good quality / price offered for a good birthday present quality / price ratio.</v>
      </c>
    </row>
    <row r="14914">
      <c r="A14914" s="1">
        <v>4.0</v>
      </c>
      <c r="B14914" s="1" t="s">
        <v>14664</v>
      </c>
      <c r="C14914" t="str">
        <f>IFERROR(__xludf.DUMMYFUNCTION("GOOGLETRANSLATE(B14914, ""fr"", ""en"")"),"This wireless microphone is a microphone that works very well and very easy to use. It should nevertheless buy a foam noise reduction for better sound quality. You can move up to 100m without problem! Very good product for the karaoke nights and DJ friend"&amp;"s.")</f>
        <v>This wireless microphone is a microphone that works very well and very easy to use. It should nevertheless buy a foam noise reduction for better sound quality. You can move up to 100m without problem! Very good product for the karaoke nights and DJ friends.</v>
      </c>
    </row>
    <row r="14915">
      <c r="A14915" s="1">
        <v>5.0</v>
      </c>
      <c r="B14915" s="1" t="s">
        <v>14665</v>
      </c>
      <c r="C14915" t="str">
        <f>IFERROR(__xludf.DUMMYFUNCTION("GOOGLETRANSLATE(B14915, ""fr"", ""en"")"),"Perfect ! Collar Top notch! Diamond arises well at the time, not ""&amp; nbsp; not turn ""&amp; nbsp; as some diamonds with the wire. It is of very good size, can be clearly seen in the more I love it!")</f>
        <v>Perfect ! Collar Top notch! Diamond arises well at the time, not "&amp; nbsp; not turn "&amp; nbsp; as some diamonds with the wire. It is of very good size, can be clearly seen in the more I love it!</v>
      </c>
    </row>
    <row r="14916">
      <c r="A14916" s="1">
        <v>5.0</v>
      </c>
      <c r="B14916" s="1" t="s">
        <v>14666</v>
      </c>
      <c r="C14916" t="str">
        <f>IFERROR(__xludf.DUMMYFUNCTION("GOOGLETRANSLATE(B14916, ""fr"", ""en"")"),"silver chain pretty fine chain, which seems pretty solid. It is well with my pendant. I recommend it.")</f>
        <v>silver chain pretty fine chain, which seems pretty solid. It is well with my pendant. I recommend it.</v>
      </c>
    </row>
    <row r="14917">
      <c r="A14917" s="1">
        <v>5.0</v>
      </c>
      <c r="B14917" s="1" t="s">
        <v>14667</v>
      </c>
      <c r="C14917" t="str">
        <f>IFERROR(__xludf.DUMMYFUNCTION("GOOGLETRANSLATE(B14917, ""fr"", ""en"")"),"Retro Come on love Superb watch retro look good, unbeatable value for money.")</f>
        <v>Retro Come on love Superb watch retro look good, unbeatable value for money.</v>
      </c>
    </row>
    <row r="14918">
      <c r="A14918" s="1">
        <v>5.0</v>
      </c>
      <c r="B14918" s="1" t="s">
        <v>14668</v>
      </c>
      <c r="C14918" t="str">
        <f>IFERROR(__xludf.DUMMYFUNCTION("GOOGLETRANSLATE(B14918, ""fr"", ""en"")"),"Size small I took my size 38 c is just a little damage.")</f>
        <v>Size small I took my size 38 c is just a little damage.</v>
      </c>
    </row>
    <row r="14919">
      <c r="A14919" s="1">
        <v>5.0</v>
      </c>
      <c r="B14919" s="1" t="s">
        <v>14669</v>
      </c>
      <c r="C14919" t="str">
        <f>IFERROR(__xludf.DUMMYFUNCTION("GOOGLETRANSLATE(B14919, ""fr"", ""en"")"),"Perfect Perfect! Silent, easy to use, Aesthetics")</f>
        <v>Perfect Perfect! Silent, easy to use, Aesthetics</v>
      </c>
    </row>
    <row r="14920">
      <c r="A14920" s="1">
        <v>5.0</v>
      </c>
      <c r="B14920" s="1" t="s">
        <v>14670</v>
      </c>
      <c r="C14920" t="str">
        <f>IFERROR(__xludf.DUMMYFUNCTION("GOOGLETRANSLATE(B14920, ""fr"", ""en"")"),"good product and cheap I recommend. This is a good product that is really not expensive !!!")</f>
        <v>good product and cheap I recommend. This is a good product that is really not expensive !!!</v>
      </c>
    </row>
    <row r="14921">
      <c r="A14921" s="1">
        <v>5.0</v>
      </c>
      <c r="B14921" s="1" t="s">
        <v>14671</v>
      </c>
      <c r="C14921" t="str">
        <f>IFERROR(__xludf.DUMMYFUNCTION("GOOGLETRANSLATE(B14921, ""fr"", ""en"")"),"Good buy I am satisfied with this article because I have ordered for the 2 nd time: fluffy slippers and a warm winter, beautiful production")</f>
        <v>Good buy I am satisfied with this article because I have ordered for the 2 nd time: fluffy slippers and a warm winter, beautiful production</v>
      </c>
    </row>
    <row r="14922">
      <c r="A14922" s="1">
        <v>5.0</v>
      </c>
      <c r="B14922" s="1" t="s">
        <v>14672</v>
      </c>
      <c r="C14922" t="str">
        <f>IFERROR(__xludf.DUMMYFUNCTION("GOOGLETRANSLATE(B14922, ""fr"", ""en"")"),"We'll see")</f>
        <v>We'll see</v>
      </c>
    </row>
    <row r="14923">
      <c r="A14923" s="1">
        <v>5.0</v>
      </c>
      <c r="B14923" s="1" t="s">
        <v>14673</v>
      </c>
      <c r="C14923" t="str">
        <f>IFERROR(__xludf.DUMMYFUNCTION("GOOGLETRANSLATE(B14923, ""fr"", ""en"")"),"good it was to offer the person was very happy")</f>
        <v>good it was to offer the person was very happy</v>
      </c>
    </row>
    <row r="14924">
      <c r="A14924" s="1">
        <v>5.0</v>
      </c>
      <c r="B14924" s="1" t="s">
        <v>14674</v>
      </c>
      <c r="C14924" t="str">
        <f>IFERROR(__xludf.DUMMYFUNCTION("GOOGLETRANSLATE(B14924, ""fr"", ""en"")"),"Simple &amp; amp; efficasse No complaints, perfectly adjusted, seems sturdy enough. Ideal for replacing my old bag who was 15. For this price, there is nothing to complain")</f>
        <v>Simple &amp; amp; efficasse No complaints, perfectly adjusted, seems sturdy enough. Ideal for replacing my old bag who was 15. For this price, there is nothing to complain</v>
      </c>
    </row>
    <row r="14925">
      <c r="A14925" s="1">
        <v>5.0</v>
      </c>
      <c r="B14925" s="1" t="s">
        <v>14675</v>
      </c>
      <c r="C14925" t="str">
        <f>IFERROR(__xludf.DUMMYFUNCTION("GOOGLETRANSLATE(B14925, ""fr"", ""en"")"),"Perfect Flow 1 is fast enough for a baby breastfeeding")</f>
        <v>Perfect Flow 1 is fast enough for a baby breastfeeding</v>
      </c>
    </row>
    <row r="14926">
      <c r="A14926" s="1">
        <v>5.0</v>
      </c>
      <c r="B14926" s="1" t="s">
        <v>14676</v>
      </c>
      <c r="C14926" t="str">
        <f>IFERROR(__xludf.DUMMYFUNCTION("GOOGLETRANSLATE(B14926, ""fr"", ""en"")"),"Good product very well to kick eclat my drawings")</f>
        <v>Good product very well to kick eclat my drawings</v>
      </c>
    </row>
    <row r="14927">
      <c r="A14927" s="1">
        <v>5.0</v>
      </c>
      <c r="B14927" s="1" t="s">
        <v>14677</v>
      </c>
      <c r="C14927" t="str">
        <f>IFERROR(__xludf.DUMMYFUNCTION("GOOGLETRANSLATE(B14927, ""fr"", ""en"")"),"beautiful beast !!! What a nice watch! I know this brand for some years and it is always high quality jewelry! No surprise with Fossil. And this one has even the illustration! It is a magnificent show in shades coffee / bronze. It is big enough, and fixed"&amp;" with a metal strap (can be adjusted by removing the links, any jeweler will ... It takes a few minutes ...) The clasp is convenient, simply engage with a button. The dial is solid, very masculine, but very refined simultaneously. So, the watch can be a b"&amp;"it heavy ... Another positive point is the case, Fossil still offers splendid! The box is original, metal, surprising! Faultless for this ""small"" jewel ...")</f>
        <v>beautiful beast !!! What a nice watch! I know this brand for some years and it is always high quality jewelry! No surprise with Fossil. And this one has even the illustration! It is a magnificent show in shades coffee / bronze. It is big enough, and fixed with a metal strap (can be adjusted by removing the links, any jeweler will ... It takes a few minutes ...) The clasp is convenient, simply engage with a button. The dial is solid, very masculine, but very refined simultaneously. So, the watch can be a bit heavy ... Another positive point is the case, Fossil still offers splendid! The box is original, metal, surprising! Faultless for this "small" jewel ...</v>
      </c>
    </row>
    <row r="14928">
      <c r="A14928" s="1">
        <v>5.0</v>
      </c>
      <c r="B14928" s="1" t="s">
        <v>14678</v>
      </c>
      <c r="C14928" t="str">
        <f>IFERROR(__xludf.DUMMYFUNCTION("GOOGLETRANSLATE(B14928, ""fr"", ""en"")"),"Not bad though as we like product especially noise level but I'm sure we can still do better. Led light pretty even if I do not see the usefulness. A little early to talk about longevity.")</f>
        <v>Not bad though as we like product especially noise level but I'm sure we can still do better. Led light pretty even if I do not see the usefulness. A little early to talk about longevity.</v>
      </c>
    </row>
    <row r="14929">
      <c r="A14929" s="1">
        <v>5.0</v>
      </c>
      <c r="B14929" s="1" t="s">
        <v>14679</v>
      </c>
      <c r="C14929" t="str">
        <f>IFERROR(__xludf.DUMMYFUNCTION("GOOGLETRANSLATE(B14929, ""fr"", ""en"")"),"jewelry I bought it because it is supposed to remove magnetic pain, in fact it's very pretty and I continually door")</f>
        <v>jewelry I bought it because it is supposed to remove magnetic pain, in fact it's very pretty and I continually door</v>
      </c>
    </row>
    <row r="14930">
      <c r="A14930" s="1">
        <v>5.0</v>
      </c>
      <c r="B14930" s="1" t="s">
        <v>14680</v>
      </c>
      <c r="C14930" t="str">
        <f>IFERROR(__xludf.DUMMYFUNCTION("GOOGLETRANSLATE(B14930, ""fr"", ""en"")"),"Delighted Not disappointed with this purchase. suitable size")</f>
        <v>Delighted Not disappointed with this purchase. suitable size</v>
      </c>
    </row>
    <row r="14931">
      <c r="A14931" s="1">
        <v>2.0</v>
      </c>
      <c r="B14931" s="1" t="s">
        <v>14681</v>
      </c>
      <c r="C14931" t="str">
        <f>IFERROR(__xludf.DUMMYFUNCTION("GOOGLETRANSLATE(B14931, ""fr"", ""en"")"),"prettier picture than in reality little bag, the closure system does not suit me, perfect for pickpockets, but not practice the use given the size of the bag. throughout the bag is finished sending is neat, really mini damage")</f>
        <v>prettier picture than in reality little bag, the closure system does not suit me, perfect for pickpockets, but not practice the use given the size of the bag. throughout the bag is finished sending is neat, really mini damage</v>
      </c>
    </row>
    <row r="14932">
      <c r="A14932" s="1">
        <v>1.0</v>
      </c>
      <c r="B14932" s="1" t="s">
        <v>14682</v>
      </c>
      <c r="C14932" t="str">
        <f>IFERROR(__xludf.DUMMYFUNCTION("GOOGLETRANSLATE(B14932, ""fr"", ""en"")"),"defective automatic opening after two months Automatic opening stopped working after 2 months (the kettle remains closed!). Unacceptable for a product of this price")</f>
        <v>defective automatic opening after two months Automatic opening stopped working after 2 months (the kettle remains closed!). Unacceptable for a product of this price</v>
      </c>
    </row>
    <row r="14933">
      <c r="A14933" s="1">
        <v>1.0</v>
      </c>
      <c r="B14933" s="1" t="s">
        <v>14683</v>
      </c>
      <c r="C14933" t="str">
        <f>IFERROR(__xludf.DUMMYFUNCTION("GOOGLETRANSLATE(B14933, ""fr"", ""en"")"),"TROUBLE after 3 months Easy to use but value for money to be reviewed. fails after 3 months of use .... Really disappointed brand certainly")</f>
        <v>TROUBLE after 3 months Easy to use but value for money to be reviewed. fails after 3 months of use .... Really disappointed brand certainly</v>
      </c>
    </row>
    <row r="14934">
      <c r="A14934" s="1">
        <v>3.0</v>
      </c>
      <c r="B14934" s="1" t="s">
        <v>14684</v>
      </c>
      <c r="C14934" t="str">
        <f>IFERROR(__xludf.DUMMYFUNCTION("GOOGLETRANSLATE(B14934, ""fr"", ""en"")"),"Meets picture fast delivery The bag is a bit bigger than I thought, however, it is identical to the photo. I'm happy with my purchase.")</f>
        <v>Meets picture fast delivery The bag is a bit bigger than I thought, however, it is identical to the photo. I'm happy with my purchase.</v>
      </c>
    </row>
    <row r="14935">
      <c r="A14935" s="1">
        <v>3.0</v>
      </c>
      <c r="B14935" s="1" t="s">
        <v>14685</v>
      </c>
      <c r="C14935" t="str">
        <f>IFERROR(__xludf.DUMMYFUNCTION("GOOGLETRANSLATE(B14935, ""fr"", ""en"")"),"solid Practice")</f>
        <v>solid Practice</v>
      </c>
    </row>
    <row r="14936">
      <c r="A14936" s="1">
        <v>4.0</v>
      </c>
      <c r="B14936" s="1" t="s">
        <v>14686</v>
      </c>
      <c r="C14936" t="str">
        <f>IFERROR(__xludf.DUMMYFUNCTION("GOOGLETRANSLATE(B14936, ""fr"", ""en"")"),"Very good product! This controller is already well it works perfectly. For that is not the license virtual dj, you must create an account or log in on the Numark website and activate the controller and the key to virtual dj LE will be provided. The LE vir"&amp;"tual dj means LMIITED EDITION = limited edition.")</f>
        <v>Very good product! This controller is already well it works perfectly. For that is not the license virtual dj, you must create an account or log in on the Numark website and activate the controller and the key to virtual dj LE will be provided. The LE virtual dj means LMIITED EDITION = limited edition.</v>
      </c>
    </row>
    <row r="14937">
      <c r="A14937" s="1">
        <v>4.0</v>
      </c>
      <c r="B14937" s="1" t="s">
        <v>14687</v>
      </c>
      <c r="C14937" t="str">
        <f>IFERROR(__xludf.DUMMYFUNCTION("GOOGLETRANSLATE(B14937, ""fr"", ""en"")"),"Warm and well finished Thicket fleece is very warm, windproof and finished the plui well. The end of the sleeves tends to come out but it's going we can forgive easily. Matches my expectations.")</f>
        <v>Warm and well finished Thicket fleece is very warm, windproof and finished the plui well. The end of the sleeves tends to come out but it's going we can forgive easily. Matches my expectations.</v>
      </c>
    </row>
    <row r="14938">
      <c r="A14938" s="1">
        <v>4.0</v>
      </c>
      <c r="B14938" s="1" t="s">
        <v>14688</v>
      </c>
      <c r="C14938" t="str">
        <f>IFERROR(__xludf.DUMMYFUNCTION("GOOGLETRANSLATE(B14938, ""fr"", ""en"")"),"Good quality pendant Superb finish, I'm very happy with my purchase, good quality. My girlfriend the door for about 1 year and the pendant did not move.")</f>
        <v>Good quality pendant Superb finish, I'm very happy with my purchase, good quality. My girlfriend the door for about 1 year and the pendant did not move.</v>
      </c>
    </row>
    <row r="14939">
      <c r="A14939" s="1">
        <v>4.0</v>
      </c>
      <c r="B14939" s="1" t="s">
        <v>14689</v>
      </c>
      <c r="C14939" t="str">
        <f>IFERROR(__xludf.DUMMYFUNCTION("GOOGLETRANSLATE(B14939, ""fr"", ""en"")"),"GOOD PRODUCT It corresponds exactly to my request.")</f>
        <v>GOOD PRODUCT It corresponds exactly to my request.</v>
      </c>
    </row>
    <row r="14940">
      <c r="A14940" s="1">
        <v>4.0</v>
      </c>
      <c r="B14940" s="1" t="s">
        <v>14690</v>
      </c>
      <c r="C14940" t="str">
        <f>IFERROR(__xludf.DUMMYFUNCTION("GOOGLETRANSLATE(B14940, ""fr"", ""en"")"),"Very nice Beautiful dress beautiful fabrics but too big for me ...")</f>
        <v>Very nice Beautiful dress beautiful fabrics but too big for me ...</v>
      </c>
    </row>
    <row r="14941">
      <c r="A14941" s="1">
        <v>5.0</v>
      </c>
      <c r="B14941" s="1" t="s">
        <v>14691</v>
      </c>
      <c r="C14941" t="str">
        <f>IFERROR(__xludf.DUMMYFUNCTION("GOOGLETRANSLATE(B14941, ""fr"", ""en"")"),"Still active series of different flavors is varied and very pleasant to use. I use it daily and I am fully satisfied!")</f>
        <v>Still active series of different flavors is varied and very pleasant to use. I use it daily and I am fully satisfied!</v>
      </c>
    </row>
    <row r="14942">
      <c r="A14942" s="1">
        <v>5.0</v>
      </c>
      <c r="B14942" s="1" t="s">
        <v>14692</v>
      </c>
      <c r="C14942" t="str">
        <f>IFERROR(__xludf.DUMMYFUNCTION("GOOGLETRANSLATE(B14942, ""fr"", ""en"")"),"my order Rave told bag for my purchase")</f>
        <v>my order Rave told bag for my purchase</v>
      </c>
    </row>
    <row r="14943">
      <c r="A14943" s="1">
        <v>5.0</v>
      </c>
      <c r="B14943" s="1" t="s">
        <v>14693</v>
      </c>
      <c r="C14943" t="str">
        <f>IFERROR(__xludf.DUMMYFUNCTION("GOOGLETRANSLATE(B14943, ""fr"", ""en"")"),"Perfect official HP cartridge, top quality and perfectly compatible with my printer. Quick, I advise.")</f>
        <v>Perfect official HP cartridge, top quality and perfectly compatible with my printer. Quick, I advise.</v>
      </c>
    </row>
    <row r="14944">
      <c r="A14944" s="1">
        <v>5.0</v>
      </c>
      <c r="B14944" s="1" t="s">
        <v>14694</v>
      </c>
      <c r="C14944" t="str">
        <f>IFERROR(__xludf.DUMMYFUNCTION("GOOGLETRANSLATE(B14944, ""fr"", ""en"")"),"I recommend Hello, stack bought for my balance is perfect, it works")</f>
        <v>I recommend Hello, stack bought for my balance is perfect, it works</v>
      </c>
    </row>
    <row r="14945">
      <c r="A14945" s="1">
        <v>5.0</v>
      </c>
      <c r="B14945" s="1" t="s">
        <v>14695</v>
      </c>
      <c r="C14945" t="str">
        <f>IFERROR(__xludf.DUMMYFUNCTION("GOOGLETRANSLATE(B14945, ""fr"", ""en"")"),"very useful is the type of item that you often need ... I have already noticed some moisture inside my cabinets (or even behind ...) And I do not have the benefit of an absorber classic. With these bags, it's a good compromise ... a little big, I find mor"&amp;"e sense to put them in the bottom of the cabinet, otherwise we see still a lot. For the moment no worries (no smell either ...) to see over time if they fulfill their role. For now it's fine. (For the price anyway)")</f>
        <v>very useful is the type of item that you often need ... I have already noticed some moisture inside my cabinets (or even behind ...) And I do not have the benefit of an absorber classic. With these bags, it's a good compromise ... a little big, I find more sense to put them in the bottom of the cabinet, otherwise we see still a lot. For the moment no worries (no smell either ...) to see over time if they fulfill their role. For now it's fine. (For the price anyway)</v>
      </c>
    </row>
    <row r="14946">
      <c r="A14946" s="1">
        <v>5.0</v>
      </c>
      <c r="B14946" s="1" t="s">
        <v>14696</v>
      </c>
      <c r="C14946" t="str">
        <f>IFERROR(__xludf.DUMMYFUNCTION("GOOGLETRANSLATE(B14946, ""fr"", ""en"")"),"Shoes Just what type of shoe that I needed for outdoor and garden maintenance. The package arrived at the scheduled date. I recommend this product.")</f>
        <v>Shoes Just what type of shoe that I needed for outdoor and garden maintenance. The package arrived at the scheduled date. I recommend this product.</v>
      </c>
    </row>
    <row r="14947">
      <c r="A14947" s="1">
        <v>5.0</v>
      </c>
      <c r="B14947" s="1" t="s">
        <v>14697</v>
      </c>
      <c r="C14947" t="str">
        <f>IFERROR(__xludf.DUMMYFUNCTION("GOOGLETRANSLATE(B14947, ""fr"", ""en"")"),"The beautiful custom bracelet is truly beautiful. Engraving is very successful. I order rose gold color and is beautiful. Received prior to the date")</f>
        <v>The beautiful custom bracelet is truly beautiful. Engraving is very successful. I order rose gold color and is beautiful. Received prior to the date</v>
      </c>
    </row>
    <row r="14948">
      <c r="A14948" s="1">
        <v>5.0</v>
      </c>
      <c r="B14948" s="1" t="s">
        <v>14698</v>
      </c>
      <c r="C14948" t="str">
        <f>IFERROR(__xludf.DUMMYFUNCTION("GOOGLETRANSLATE(B14948, ""fr"", ""en"")"),"Perfect nothing to say about this product, I use it Jujuitsu Brazilian, it does not move for months. I am delighted with my purchase. In addition, the price is very well placed!")</f>
        <v>Perfect nothing to say about this product, I use it Jujuitsu Brazilian, it does not move for months. I am delighted with my purchase. In addition, the price is very well placed!</v>
      </c>
    </row>
    <row r="14949">
      <c r="A14949" s="1">
        <v>5.0</v>
      </c>
      <c r="B14949" s="1" t="s">
        <v>14699</v>
      </c>
      <c r="C14949" t="str">
        <f>IFERROR(__xludf.DUMMYFUNCTION("GOOGLETRANSLATE(B14949, ""fr"", ""en"")"),"Black shoes I took my shoe size. NICKEL size. Very comfortable. Pretty. satisfied")</f>
        <v>Black shoes I took my shoe size. NICKEL size. Very comfortable. Pretty. satisfied</v>
      </c>
    </row>
    <row r="14950">
      <c r="A14950" s="1">
        <v>5.0</v>
      </c>
      <c r="B14950" s="1" t="s">
        <v>14700</v>
      </c>
      <c r="C14950" t="str">
        <f>IFERROR(__xludf.DUMMYFUNCTION("GOOGLETRANSLATE(B14950, ""fr"", ""en"")"),"Yes and no nothing to say about the quality / price ratio. For 12 euros, top, the sound is good stereo and adjusts easily. However, as the wire is very long, it twists and occu ... désentortiller precisely. But to buy eyes closed.")</f>
        <v>Yes and no nothing to say about the quality / price ratio. For 12 euros, top, the sound is good stereo and adjusts easily. However, as the wire is very long, it twists and occu ... désentortiller precisely. But to buy eyes closed.</v>
      </c>
    </row>
    <row r="14951">
      <c r="A14951" s="1">
        <v>5.0</v>
      </c>
      <c r="B14951" s="1" t="s">
        <v>14701</v>
      </c>
      <c r="C14951" t="str">
        <f>IFERROR(__xludf.DUMMYFUNCTION("GOOGLETRANSLATE(B14951, ""fr"", ""en"")"),"My daily essential I know the moist toilet paper Lotus recently but I passed very quickly and it became my daily essential. It is easy to use, the smell is pleasant, it is gentle to the skin and does not tear. Since the beginning of my pregnancy I use it "&amp;"and I can not do without me.")</f>
        <v>My daily essential I know the moist toilet paper Lotus recently but I passed very quickly and it became my daily essential. It is easy to use, the smell is pleasant, it is gentle to the skin and does not tear. Since the beginning of my pregnancy I use it and I can not do without me.</v>
      </c>
    </row>
    <row r="14952">
      <c r="A14952" s="1">
        <v>5.0</v>
      </c>
      <c r="B14952" s="1" t="s">
        <v>14702</v>
      </c>
      <c r="C14952" t="str">
        <f>IFERROR(__xludf.DUMMYFUNCTION("GOOGLETRANSLATE(B14952, ""fr"", ""en"")"),"I love Gorgeous pouch")</f>
        <v>I love Gorgeous pouch</v>
      </c>
    </row>
    <row r="14953">
      <c r="A14953" s="1">
        <v>5.0</v>
      </c>
      <c r="B14953" s="1" t="s">
        <v>14703</v>
      </c>
      <c r="C14953" t="str">
        <f>IFERROR(__xludf.DUMMYFUNCTION("GOOGLETRANSLATE(B14953, ""fr"", ""en"")"),"Satisfied Very good shoe size correctly.")</f>
        <v>Satisfied Very good shoe size correctly.</v>
      </c>
    </row>
    <row r="14954">
      <c r="A14954" s="1">
        <v>5.0</v>
      </c>
      <c r="B14954" s="1" t="s">
        <v>14704</v>
      </c>
      <c r="C14954" t="str">
        <f>IFERROR(__xludf.DUMMYFUNCTION("GOOGLETRANSLATE(B14954, ""fr"", ""en"")"),"At the top pairs of classic shoes, which have proven themselves for years! I recommend you to go with almost any clothes for afternoon relaxing walk in the park, etc.")</f>
        <v>At the top pairs of classic shoes, which have proven themselves for years! I recommend you to go with almost any clothes for afternoon relaxing walk in the park, etc.</v>
      </c>
    </row>
    <row r="14955">
      <c r="A14955" s="1">
        <v>5.0</v>
      </c>
      <c r="B14955" s="1" t="s">
        <v>14705</v>
      </c>
      <c r="C14955" t="str">
        <f>IFERROR(__xludf.DUMMYFUNCTION("GOOGLETRANSLATE(B14955, ""fr"", ""en"")"),"Identical in quality with the original, Bought for my Canon Pixma TS8050, I see no difference in quality and quantity, compared to original cartridges, except the price of course !! Tested in office printing and glossy photos, really great, very satisfied"&amp;". I have already redone another command.")</f>
        <v>Identical in quality with the original, Bought for my Canon Pixma TS8050, I see no difference in quality and quantity, compared to original cartridges, except the price of course !! Tested in office printing and glossy photos, really great, very satisfied. I have already redone another command.</v>
      </c>
    </row>
    <row r="14956">
      <c r="A14956" s="1">
        <v>2.0</v>
      </c>
      <c r="B14956" s="1" t="s">
        <v>14706</v>
      </c>
      <c r="C14956" t="str">
        <f>IFERROR(__xludf.DUMMYFUNCTION("GOOGLETRANSLATE(B14956, ""fr"", ""en"")"),"So-so...")</f>
        <v>So-so...</v>
      </c>
    </row>
    <row r="14957">
      <c r="A14957" s="1">
        <v>1.0</v>
      </c>
      <c r="B14957" s="1" t="s">
        <v>14707</v>
      </c>
      <c r="C14957" t="str">
        <f>IFERROR(__xludf.DUMMYFUNCTION("GOOGLETRANSLATE(B14957, ""fr"", ""en"")"),"SIZE ZERO TOO TOO SMALL MADE IN CHINA")</f>
        <v>SIZE ZERO TOO TOO SMALL MADE IN CHINA</v>
      </c>
    </row>
    <row r="14958">
      <c r="A14958" s="1">
        <v>1.0</v>
      </c>
      <c r="B14958" s="1" t="s">
        <v>14708</v>
      </c>
      <c r="C14958" t="str">
        <f>IFERROR(__xludf.DUMMYFUNCTION("GOOGLETRANSLATE(B14958, ""fr"", ""en"")"),"Too bad no longer works after three months Worked fine initially and Wood 3 months one of the atria no longer load, impossible to continue using the product. This is unfortunate and more impossible to get a refund where exchange.")</f>
        <v>Too bad no longer works after three months Worked fine initially and Wood 3 months one of the atria no longer load, impossible to continue using the product. This is unfortunate and more impossible to get a refund where exchange.</v>
      </c>
    </row>
    <row r="14959">
      <c r="A14959" s="1">
        <v>3.0</v>
      </c>
      <c r="B14959" s="1" t="s">
        <v>14709</v>
      </c>
      <c r="C14959" t="str">
        <f>IFERROR(__xludf.DUMMYFUNCTION("GOOGLETRANSLATE(B14959, ""fr"", ""en"")"),"The feeling that the pins are in the comfortable insole but the effect of the pins under the feet not too much for me Not to put any foot I think")</f>
        <v>The feeling that the pins are in the comfortable insole but the effect of the pins under the feet not too much for me Not to put any foot I think</v>
      </c>
    </row>
    <row r="14960">
      <c r="A14960" s="1">
        <v>3.0</v>
      </c>
      <c r="B14960" s="1" t="s">
        <v>14710</v>
      </c>
      <c r="C14960" t="str">
        <f>IFERROR(__xludf.DUMMYFUNCTION("GOOGLETRANSLATE(B14960, ""fr"", ""en"")"),"Not enough non-slip I bought for my fitness classes, too bad the non-slip do not go to the toes")</f>
        <v>Not enough non-slip I bought for my fitness classes, too bad the non-slip do not go to the toes</v>
      </c>
    </row>
    <row r="14961">
      <c r="A14961" s="1">
        <v>4.0</v>
      </c>
      <c r="B14961" s="1" t="s">
        <v>14711</v>
      </c>
      <c r="C14961" t="str">
        <f>IFERROR(__xludf.DUMMYFUNCTION("GOOGLETRANSLATE(B14961, ""fr"", ""en"")"),"Consistent with the description consistent with the description. He is very agreeable. May require massage with or without this heater. A little noise but it's very reasonable. The only downside is the correct installation to massage the neck.")</f>
        <v>Consistent with the description consistent with the description. He is very agreeable. May require massage with or without this heater. A little noise but it's very reasonable. The only downside is the correct installation to massage the neck.</v>
      </c>
    </row>
    <row r="14962">
      <c r="A14962" s="1">
        <v>4.0</v>
      </c>
      <c r="B14962" s="1" t="s">
        <v>14712</v>
      </c>
      <c r="C14962" t="str">
        <f>IFERROR(__xludf.DUMMYFUNCTION("GOOGLETRANSLATE(B14962, ""fr"", ""en"")"),"Aspi table Now children clean their tables.")</f>
        <v>Aspi table Now children clean their tables.</v>
      </c>
    </row>
    <row r="14963">
      <c r="A14963" s="1">
        <v>4.0</v>
      </c>
      <c r="B14963" s="1" t="s">
        <v>14713</v>
      </c>
      <c r="C14963" t="str">
        <f>IFERROR(__xludf.DUMMYFUNCTION("GOOGLETRANSLATE(B14963, ""fr"", ""en"")"),"Very well corresponds well to the model I wanted and very wearable. quality competitive price. I would recommend but another color")</f>
        <v>Very well corresponds well to the model I wanted and very wearable. quality competitive price. I would recommend but another color</v>
      </c>
    </row>
    <row r="14964">
      <c r="A14964" s="1">
        <v>4.0</v>
      </c>
      <c r="B14964" s="1" t="s">
        <v>369</v>
      </c>
      <c r="C14964" t="str">
        <f>IFERROR(__xludf.DUMMYFUNCTION("GOOGLETRANSLATE(B14964, ""fr"", ""en"")"),"Good product Good product")</f>
        <v>Good product Good product</v>
      </c>
    </row>
    <row r="14965">
      <c r="A14965" s="1">
        <v>5.0</v>
      </c>
      <c r="B14965" s="1" t="s">
        <v>14714</v>
      </c>
      <c r="C14965" t="str">
        <f>IFERROR(__xludf.DUMMYFUNCTION("GOOGLETRANSLATE(B14965, ""fr"", ""en"")"),"essential and nice pants ⚠️ review after use ⚠️ I make water retention in the lower limbs and I handed me the sport recently. So I decided to buy this patanlon and I'm not disappointed on the contrary! High waist pants. ➡️ Positives: - The pants are comfo"&amp;"rtable to wear and easy to put on - Matter is special but provides excellent support - It transpires from the lower abdomen to the lower limbs without much effort - it is so comfortable that I from the uses that I am at home doing chores or even the couch"&amp;". The also used for biking and walking! - I play 38-40 and I had to buy XL. I suggest you refer to the guide of brand sizes in the pictures! ⚠️ - The pocket on the high waist pants are best to put her phone to me - the material is very strong and will las"&amp;"t over time - Received a bag and training examples by email following the purchase 🙂 - Belt resserage of ➡️ Areas for improvement: - the style of pants is basic but nothing crazy - the smell out of the box is surprising surment due to its material but re"&amp;"st assured you ➡️ I highly recommend it disappears sweat pants all the girls (women) that make water retention I see the days the days improvements! I'm delighted it worth hoping that this will be useful if that's the case let me know please 😊⤵️🙏 coordi"&amp;"alement Anne")</f>
        <v>essential and nice pants ⚠️ review after use ⚠️ I make water retention in the lower limbs and I handed me the sport recently. So I decided to buy this patanlon and I'm not disappointed on the contrary! High waist pants. ➡️ Positives: - The pants are comfortable to wear and easy to put on - Matter is special but provides excellent support - It transpires from the lower abdomen to the lower limbs without much effort - it is so comfortable that I from the uses that I am at home doing chores or even the couch. The also used for biking and walking! - I play 38-40 and I had to buy XL. I suggest you refer to the guide of brand sizes in the pictures! ⚠️ - The pocket on the high waist pants are best to put her phone to me - the material is very strong and will last over time - Received a bag and training examples by email following the purchase 🙂 - Belt resserage of ➡️ Areas for improvement: - the style of pants is basic but nothing crazy - the smell out of the box is surprising surment due to its material but rest assured you ➡️ I highly recommend it disappears sweat pants all the girls (women) that make water retention I see the days the days improvements! I'm delighted it worth hoping that this will be useful if that's the case let me know please 😊⤵️🙏 coordialement Anne</v>
      </c>
    </row>
    <row r="14966">
      <c r="A14966" s="1">
        <v>5.0</v>
      </c>
      <c r="B14966" s="1" t="s">
        <v>14715</v>
      </c>
      <c r="C14966" t="str">
        <f>IFERROR(__xludf.DUMMYFUNCTION("GOOGLETRANSLATE(B14966, ""fr"", ""en"")"),"Buy excellent value for driving, they are perfect.")</f>
        <v>Buy excellent value for driving, they are perfect.</v>
      </c>
    </row>
    <row r="14967">
      <c r="A14967" s="1">
        <v>5.0</v>
      </c>
      <c r="B14967" s="1" t="s">
        <v>14716</v>
      </c>
      <c r="C14967" t="str">
        <f>IFERROR(__xludf.DUMMYFUNCTION("GOOGLETRANSLATE(B14967, ""fr"", ""en"")"),"Good image quality I am very happy with this projector where value for money is very correct. I use both at home and at work. Children are delighted to be able to film sessions at home. The picture quality is good. Ideally should be limited ambient light "&amp;"to make the most of the details and contrast but nothing special to report at this level. The size limit is thereby transport the device easily. The product arrived quickly and in a neat package. I recommend this product that has the features expected for"&amp;" a projector of this level range. The accessories provided are sufficient. Think also to equip a canvas to project even if a smooth white wall may suffice if necessary.")</f>
        <v>Good image quality I am very happy with this projector where value for money is very correct. I use both at home and at work. Children are delighted to be able to film sessions at home. The picture quality is good. Ideally should be limited ambient light to make the most of the details and contrast but nothing special to report at this level. The size limit is thereby transport the device easily. The product arrived quickly and in a neat package. I recommend this product that has the features expected for a projector of this level range. The accessories provided are sufficient. Think also to equip a canvas to project even if a smooth white wall may suffice if necessary.</v>
      </c>
    </row>
    <row r="14968">
      <c r="A14968" s="1">
        <v>5.0</v>
      </c>
      <c r="B14968" s="1" t="s">
        <v>14717</v>
      </c>
      <c r="C14968" t="str">
        <f>IFERROR(__xludf.DUMMYFUNCTION("GOOGLETRANSLATE(B14968, ""fr"", ""en"")"),"Convenient, good face, very happy I ve used this wax to make wraps. She is perfect. The small beads melt very well at 85 degrees. With half of the bag I was able to make a quiz zaine medium wraps over some smaller circles.")</f>
        <v>Convenient, good face, very happy I ve used this wax to make wraps. She is perfect. The small beads melt very well at 85 degrees. With half of the bag I was able to make a quiz zaine medium wraps over some smaller circles.</v>
      </c>
    </row>
    <row r="14969">
      <c r="A14969" s="1">
        <v>5.0</v>
      </c>
      <c r="B14969" s="1" t="s">
        <v>14718</v>
      </c>
      <c r="C14969" t="str">
        <f>IFERROR(__xludf.DUMMYFUNCTION("GOOGLETRANSLATE(B14969, ""fr"", ""en"")"),"Excellent product! Excellent product! Consistent with the description! Works perfectly ! Nothing to say! Thank you!")</f>
        <v>Excellent product! Excellent product! Consistent with the description! Works perfectly ! Nothing to say! Thank you!</v>
      </c>
    </row>
    <row r="14970">
      <c r="A14970" s="1">
        <v>5.0</v>
      </c>
      <c r="B14970" s="1" t="s">
        <v>14719</v>
      </c>
      <c r="C14970" t="str">
        <f>IFERROR(__xludf.DUMMYFUNCTION("GOOGLETRANSLATE(B14970, ""fr"", ""en"")"),"Super Hi, I found this micro very easy to use! Additionally it has a pleasant appearance to look, I love the fact that there may be a Bluetooth connection.")</f>
        <v>Super Hi, I found this micro very easy to use! Additionally it has a pleasant appearance to look, I love the fact that there may be a Bluetooth connection.</v>
      </c>
    </row>
    <row r="14971">
      <c r="A14971" s="1">
        <v>5.0</v>
      </c>
      <c r="B14971" s="1" t="s">
        <v>14720</v>
      </c>
      <c r="C14971" t="str">
        <f>IFERROR(__xludf.DUMMYFUNCTION("GOOGLETRANSLATE(B14971, ""fr"", ""en"")"),"Very good buy Excellen value.")</f>
        <v>Very good buy Excellen value.</v>
      </c>
    </row>
    <row r="14972">
      <c r="A14972" s="1">
        <v>5.0</v>
      </c>
      <c r="B14972" s="1" t="s">
        <v>14721</v>
      </c>
      <c r="C14972" t="str">
        <f>IFERROR(__xludf.DUMMYFUNCTION("GOOGLETRANSLATE(B14972, ""fr"", ""en"")"),"Very well! I am very happy of these converses. They are comfortable, beautiful ..... I am also very happy the site is certain, I recommend it.")</f>
        <v>Very well! I am very happy of these converses. They are comfortable, beautiful ..... I am also very happy the site is certain, I recommend it.</v>
      </c>
    </row>
    <row r="14973">
      <c r="A14973" s="1">
        <v>5.0</v>
      </c>
      <c r="B14973" s="1" t="s">
        <v>14722</v>
      </c>
      <c r="C14973" t="str">
        <f>IFERROR(__xludf.DUMMYFUNCTION("GOOGLETRANSLATE(B14973, ""fr"", ""en"")"),"For hospitals Perfect for me. The color is really like a red pepper. I ordered a 38/39 but I find some great small size (I would say 39 but rather 40) suddenly it comes out as 39/40. Otherwise very well.")</f>
        <v>For hospitals Perfect for me. The color is really like a red pepper. I ordered a 38/39 but I find some great small size (I would say 39 but rather 40) suddenly it comes out as 39/40. Otherwise very well.</v>
      </c>
    </row>
    <row r="14974">
      <c r="A14974" s="1">
        <v>5.0</v>
      </c>
      <c r="B14974" s="1" t="s">
        <v>14723</v>
      </c>
      <c r="C14974" t="str">
        <f>IFERROR(__xludf.DUMMYFUNCTION("GOOGLETRANSLATE(B14974, ""fr"", ""en"")"),"Precision! Perfect for my daughter drawing with specific traits and purpose. Several points, very interesting!")</f>
        <v>Precision! Perfect for my daughter drawing with specific traits and purpose. Several points, very interesting!</v>
      </c>
    </row>
    <row r="14975">
      <c r="A14975" s="1">
        <v>5.0</v>
      </c>
      <c r="B14975" s="1" t="s">
        <v>14724</v>
      </c>
      <c r="C14975" t="str">
        <f>IFERROR(__xludf.DUMMYFUNCTION("GOOGLETRANSLATE(B14975, ""fr"", ""en"")"),"Just one word: MAGICAL. I was skeptical at first because I already bought and tested many creams (or gel) for back pain my spouse that proved quite ineffective. But ... This gel is MAGIC. It quickly penetrates the skin, smells good and above is very effec"&amp;"tive for muscle pain. I met 2 times a day on the back of my spouse and pains have really decreased. I look forward to seeing the improvements in the long term! Anyway, I really recommend this gel.")</f>
        <v>Just one word: MAGICAL. I was skeptical at first because I already bought and tested many creams (or gel) for back pain my spouse that proved quite ineffective. But ... This gel is MAGIC. It quickly penetrates the skin, smells good and above is very effective for muscle pain. I met 2 times a day on the back of my spouse and pains have really decreased. I look forward to seeing the improvements in the long term! Anyway, I really recommend this gel.</v>
      </c>
    </row>
    <row r="14976">
      <c r="A14976" s="1">
        <v>5.0</v>
      </c>
      <c r="B14976" s="1" t="s">
        <v>14725</v>
      </c>
      <c r="C14976" t="str">
        <f>IFERROR(__xludf.DUMMYFUNCTION("GOOGLETRANSLATE(B14976, ""fr"", ""en"")"),"Paper Armenia Ras compliant")</f>
        <v>Paper Armenia Ras compliant</v>
      </c>
    </row>
    <row r="14977">
      <c r="A14977" s="1">
        <v>5.0</v>
      </c>
      <c r="B14977" s="1" t="s">
        <v>14726</v>
      </c>
      <c r="C14977" t="str">
        <f>IFERROR(__xludf.DUMMYFUNCTION("GOOGLETRANSLATE(B14977, ""fr"", ""en"")"),"Very good microphone A quality / excellent price. Between use the microphone with his camera and microphone, there is a world. This is perfect to start the cheap video.")</f>
        <v>Very good microphone A quality / excellent price. Between use the microphone with his camera and microphone, there is a world. This is perfect to start the cheap video.</v>
      </c>
    </row>
    <row r="14978">
      <c r="A14978" s="1">
        <v>5.0</v>
      </c>
      <c r="B14978" s="1" t="s">
        <v>14727</v>
      </c>
      <c r="C14978" t="str">
        <f>IFERROR(__xludf.DUMMYFUNCTION("GOOGLETRANSLATE(B14978, ""fr"", ""en"")"),"Perfect perfect product because its purpose is to be helpful to maintain the microphone Good quality is easily installed not need to be a DIY genis I strongly advice why spend more")</f>
        <v>Perfect perfect product because its purpose is to be helpful to maintain the microphone Good quality is easily installed not need to be a DIY genis I strongly advice why spend more</v>
      </c>
    </row>
    <row r="14979">
      <c r="A14979" s="1">
        <v>5.0</v>
      </c>
      <c r="B14979" s="1" t="s">
        <v>14728</v>
      </c>
      <c r="C14979" t="str">
        <f>IFERROR(__xludf.DUMMYFUNCTION("GOOGLETRANSLATE(B14979, ""fr"", ""en"")"),"Super My 6 month old son will loose the most, especially since he cut his teeth, he n not stop to chew")</f>
        <v>Super My 6 month old son will loose the most, especially since he cut his teeth, he n not stop to chew</v>
      </c>
    </row>
    <row r="14980">
      <c r="A14980" s="1">
        <v>2.0</v>
      </c>
      <c r="B14980" s="1" t="s">
        <v>14729</v>
      </c>
      <c r="C14980" t="str">
        <f>IFERROR(__xludf.DUMMYFUNCTION("GOOGLETRANSLATE(B14980, ""fr"", ""en"")"),"This is not cotton I ordered the item, as this is indicated in the description that the leggings contains 87% cotton. But once the item received, it says 87% nylon. I'm disapointed. Moreover the elastic at waist level is not good. So when moving the leggi"&amp;"ng does not take too much.")</f>
        <v>This is not cotton I ordered the item, as this is indicated in the description that the leggings contains 87% cotton. But once the item received, it says 87% nylon. I'm disapointed. Moreover the elastic at waist level is not good. So when moving the legging does not take too much.</v>
      </c>
    </row>
    <row r="14981">
      <c r="A14981" s="1">
        <v>1.0</v>
      </c>
      <c r="B14981" s="1" t="s">
        <v>14730</v>
      </c>
      <c r="C14981" t="str">
        <f>IFERROR(__xludf.DUMMYFUNCTION("GOOGLETRANSLATE(B14981, ""fr"", ""en"")"),"Disappointed I am disappointed I had a similar soap detaching it worked great on all the tasks that will loose nothing ......")</f>
        <v>Disappointed I am disappointed I had a similar soap detaching it worked great on all the tasks that will loose nothing ......</v>
      </c>
    </row>
    <row r="14982">
      <c r="A14982" s="1">
        <v>1.0</v>
      </c>
      <c r="B14982" s="1" t="s">
        <v>14731</v>
      </c>
      <c r="C14982" t="str">
        <f>IFERROR(__xludf.DUMMYFUNCTION("GOOGLETRANSLATE(B14982, ""fr"", ""en"")"),"Resistant ? All bags were cracked with ease when I left them out of my garbage. These bags are not worth more than the first prize bags, no need to put such a price!")</f>
        <v>Resistant ? All bags were cracked with ease when I left them out of my garbage. These bags are not worth more than the first prize bags, no need to put such a price!</v>
      </c>
    </row>
    <row r="14983">
      <c r="A14983" s="1">
        <v>3.0</v>
      </c>
      <c r="B14983" s="1" t="s">
        <v>14732</v>
      </c>
      <c r="C14983" t="str">
        <f>IFERROR(__xludf.DUMMYFUNCTION("GOOGLETRANSLATE(B14983, ""fr"", ""en"")"),"It remains to be seen Cool nothing to say")</f>
        <v>It remains to be seen Cool nothing to say</v>
      </c>
    </row>
    <row r="14984">
      <c r="A14984" s="1">
        <v>4.0</v>
      </c>
      <c r="B14984" s="1" t="s">
        <v>14733</v>
      </c>
      <c r="C14984" t="str">
        <f>IFERROR(__xludf.DUMMYFUNCTION("GOOGLETRANSLATE(B14984, ""fr"", ""en"")"),"The color and design practice")</f>
        <v>The color and design practice</v>
      </c>
    </row>
    <row r="14985">
      <c r="A14985" s="1">
        <v>4.0</v>
      </c>
      <c r="B14985" s="1" t="s">
        <v>14734</v>
      </c>
      <c r="C14985" t="str">
        <f>IFERROR(__xludf.DUMMYFUNCTION("GOOGLETRANSLATE(B14985, ""fr"", ""en"")"),"Shoes Roger safety and well qua packs more tries")</f>
        <v>Shoes Roger safety and well qua packs more tries</v>
      </c>
    </row>
    <row r="14986">
      <c r="A14986" s="1">
        <v>4.0</v>
      </c>
      <c r="B14986" s="1" t="s">
        <v>14735</v>
      </c>
      <c r="C14986" t="str">
        <f>IFERROR(__xludf.DUMMYFUNCTION("GOOGLETRANSLATE(B14986, ""fr"", ""en"")"),"Good value for money Good value for money especially when there are specials. This is the Lotus quality has a very soft price. I will be ordering again.")</f>
        <v>Good value for money Good value for money especially when there are specials. This is the Lotus quality has a very soft price. I will be ordering again.</v>
      </c>
    </row>
    <row r="14987">
      <c r="A14987" s="1">
        <v>4.0</v>
      </c>
      <c r="B14987" s="1" t="s">
        <v>14736</v>
      </c>
      <c r="C14987" t="str">
        <f>IFERROR(__xludf.DUMMYFUNCTION("GOOGLETRANSLATE(B14987, ""fr"", ""en"")"),"aesthetic and boots especially comfortable boots aesthetic and particularly comfortable the damping device anti-fatigue of the sole works well, the price is quite reasonable.")</f>
        <v>aesthetic and boots especially comfortable boots aesthetic and particularly comfortable the damping device anti-fatigue of the sole works well, the price is quite reasonable.</v>
      </c>
    </row>
    <row r="14988">
      <c r="A14988" s="1">
        <v>5.0</v>
      </c>
      <c r="B14988" s="1" t="s">
        <v>14737</v>
      </c>
      <c r="C14988" t="str">
        <f>IFERROR(__xludf.DUMMYFUNCTION("GOOGLETRANSLATE(B14988, ""fr"", ""en"")"),"Okay Super..confortable !!!!")</f>
        <v>Okay Super..confortable !!!!</v>
      </c>
    </row>
    <row r="14989">
      <c r="A14989" s="1">
        <v>5.0</v>
      </c>
      <c r="B14989" s="1" t="s">
        <v>14738</v>
      </c>
      <c r="C14989" t="str">
        <f>IFERROR(__xludf.DUMMYFUNCTION("GOOGLETRANSLATE(B14989, ""fr"", ""en"")"),"satisfied perfect")</f>
        <v>satisfied perfect</v>
      </c>
    </row>
    <row r="14990">
      <c r="A14990" s="1">
        <v>5.0</v>
      </c>
      <c r="B14990" s="1" t="s">
        <v>14739</v>
      </c>
      <c r="C14990" t="str">
        <f>IFERROR(__xludf.DUMMYFUNCTION("GOOGLETRANSLATE(B14990, ""fr"", ""en"")"),"My house smells great diffuser and beautiful I love too")</f>
        <v>My house smells great diffuser and beautiful I love too</v>
      </c>
    </row>
    <row r="14991">
      <c r="A14991" s="1">
        <v>5.0</v>
      </c>
      <c r="B14991" s="1" t="s">
        <v>14740</v>
      </c>
      <c r="C14991" t="str">
        <f>IFERROR(__xludf.DUMMYFUNCTION("GOOGLETRANSLATE(B14991, ""fr"", ""en"")"),"Although Ras")</f>
        <v>Although Ras</v>
      </c>
    </row>
    <row r="14992">
      <c r="A14992" s="1">
        <v>5.0</v>
      </c>
      <c r="B14992" s="1" t="s">
        <v>14741</v>
      </c>
      <c r="C14992" t="str">
        <f>IFERROR(__xludf.DUMMYFUNCTION("GOOGLETRANSLATE(B14992, ""fr"", ""en"")"),"Consistent with the description Received and complies with desrcitpiton. Instead I took a half size smaller because the reviews said they were too large. I am a 39 i took a 38.5. That suits me but a 39 would have been fine too .. for me it sized properly.")</f>
        <v>Consistent with the description Received and complies with desrcitpiton. Instead I took a half size smaller because the reviews said they were too large. I am a 39 i took a 38.5. That suits me but a 39 would have been fine too .. for me it sized properly.</v>
      </c>
    </row>
    <row r="14993">
      <c r="A14993" s="1">
        <v>5.0</v>
      </c>
      <c r="B14993" s="1" t="s">
        <v>14742</v>
      </c>
      <c r="C14993" t="str">
        <f>IFERROR(__xludf.DUMMYFUNCTION("GOOGLETRANSLATE(B14993, ""fr"", ""en"")"),"Beautiful 7mm bead, beautiful packaging Hello, It was the first time I buy a necklace internet. I fell for this model on sale flash: given the promotion, I was afraid of being in the case of negative opinions. Certainly there was a problem when the first "&amp;"shipment (not arrived, paid), but I finally get it. I even recommended (more expensive this time) for the birthday of a friend, for my two purchases, the pearl is beautiful size is about 7mm, and I find it very beautiful. The necklace comes in a box, and "&amp;"there is a small cloth bag to protect the necklace. Only downside: the box has become smaller between my first and second purchase ... After a month worn every day, necklaces did not move. And mine, I carry with two nodes in the chain to shorten (tidal ne"&amp;"ck): the chain is still intact (it has not broken). I also bought some earrings and one necklace at J. Dew, I am also happy. So I recommend without reservation this necklace.")</f>
        <v>Beautiful 7mm bead, beautiful packaging Hello, It was the first time I buy a necklace internet. I fell for this model on sale flash: given the promotion, I was afraid of being in the case of negative opinions. Certainly there was a problem when the first shipment (not arrived, paid), but I finally get it. I even recommended (more expensive this time) for the birthday of a friend, for my two purchases, the pearl is beautiful size is about 7mm, and I find it very beautiful. The necklace comes in a box, and there is a small cloth bag to protect the necklace. Only downside: the box has become smaller between my first and second purchase ... After a month worn every day, necklaces did not move. And mine, I carry with two nodes in the chain to shorten (tidal neck): the chain is still intact (it has not broken). I also bought some earrings and one necklace at J. Dew, I am also happy. So I recommend without reservation this necklace.</v>
      </c>
    </row>
    <row r="14994">
      <c r="A14994" s="1">
        <v>5.0</v>
      </c>
      <c r="B14994" s="1" t="s">
        <v>14743</v>
      </c>
      <c r="C14994" t="str">
        <f>IFERROR(__xludf.DUMMYFUNCTION("GOOGLETRANSLATE(B14994, ""fr"", ""en"")"),"Bluetooth earpiece top Bought for my wife I just tested on a running output. Nothing to say hold perfectly in my ears with the tip set by default. Supplied with 3 other sizes tip. Take better in my current ears than others of a great brand ... The sound i"&amp;"s very good no complaints. We must take control of juggling with touch earphones to increase or lower the sound, change its music ect ... All is well explained in the manual. The green LED / blue on earphones are the most beautiful effect. The box shows t"&amp;"he percentage of remaining battery headphones. In a large capacity can charge several times the headphones without problems. Very happy with this purchase")</f>
        <v>Bluetooth earpiece top Bought for my wife I just tested on a running output. Nothing to say hold perfectly in my ears with the tip set by default. Supplied with 3 other sizes tip. Take better in my current ears than others of a great brand ... The sound is very good no complaints. We must take control of juggling with touch earphones to increase or lower the sound, change its music ect ... All is well explained in the manual. The green LED / blue on earphones are the most beautiful effect. The box shows the percentage of remaining battery headphones. In a large capacity can charge several times the headphones without problems. Very happy with this purchase</v>
      </c>
    </row>
    <row r="14995">
      <c r="A14995" s="1">
        <v>5.0</v>
      </c>
      <c r="B14995" s="1" t="s">
        <v>14744</v>
      </c>
      <c r="C14995" t="str">
        <f>IFERROR(__xludf.DUMMYFUNCTION("GOOGLETRANSLATE(B14995, ""fr"", ""en"")"),"Good product R.A.S.")</f>
        <v>Good product R.A.S.</v>
      </c>
    </row>
    <row r="14996">
      <c r="A14996" s="1">
        <v>5.0</v>
      </c>
      <c r="B14996" s="1" t="s">
        <v>14745</v>
      </c>
      <c r="C14996" t="str">
        <f>IFERROR(__xludf.DUMMYFUNCTION("GOOGLETRANSLATE(B14996, ""fr"", ""en"")"),"genial I know that it is sold ray woman but I've taken for my teenager and he is delighted !!! Good quality, fast reception. I took voluntarily bigger, it will last and as he loves combis .... She is stylish")</f>
        <v>genial I know that it is sold ray woman but I've taken for my teenager and he is delighted !!! Good quality, fast reception. I took voluntarily bigger, it will last and as he loves combis .... She is stylish</v>
      </c>
    </row>
    <row r="14997">
      <c r="A14997" s="1">
        <v>5.0</v>
      </c>
      <c r="B14997" s="1" t="s">
        <v>14746</v>
      </c>
      <c r="C14997" t="str">
        <f>IFERROR(__xludf.DUMMYFUNCTION("GOOGLETRANSLATE(B14997, ""fr"", ""en"")"),"Top Quality / unbeatable price. Surely other purchases of the same model in the future. Resistant and will not fade in the first wash.")</f>
        <v>Top Quality / unbeatable price. Surely other purchases of the same model in the future. Resistant and will not fade in the first wash.</v>
      </c>
    </row>
    <row r="14998">
      <c r="A14998" s="1">
        <v>5.0</v>
      </c>
      <c r="B14998" s="1" t="s">
        <v>14747</v>
      </c>
      <c r="C14998" t="str">
        <f>IFERROR(__xludf.DUMMYFUNCTION("GOOGLETRANSLATE(B14998, ""fr"", ""en"")"),"A product to top This is a very good product, compatible with a soundlike bose. I received it very quickly. Very satisfied, it is as good as the Bose charger !!")</f>
        <v>A product to top This is a very good product, compatible with a soundlike bose. I received it very quickly. Very satisfied, it is as good as the Bose charger !!</v>
      </c>
    </row>
    <row r="14999">
      <c r="A14999" s="1">
        <v>5.0</v>
      </c>
      <c r="B14999" s="1" t="s">
        <v>14748</v>
      </c>
      <c r="C14999" t="str">
        <f>IFERROR(__xludf.DUMMYFUNCTION("GOOGLETRANSLATE(B14999, ""fr"", ""en"")"),"perfect fast seller very well packaged good although stable product that rule height very easily and makes the happiness of the whole family")</f>
        <v>perfect fast seller very well packaged good although stable product that rule height very easily and makes the happiness of the whole family</v>
      </c>
    </row>
    <row r="15000">
      <c r="A15000" s="1">
        <v>5.0</v>
      </c>
      <c r="B15000" s="1" t="s">
        <v>14749</v>
      </c>
      <c r="C15000" t="str">
        <f>IFERROR(__xludf.DUMMYFUNCTION("GOOGLETRANSLATE(B15000, ""fr"", ""en"")"),"pacifier I already know this brand that I bought in the past in a baby specialty store. Nothing to say. They are the same. perfect, and the price is much cheaper")</f>
        <v>pacifier I already know this brand that I bought in the past in a baby specialty store. Nothing to say. They are the same. perfect, and the price is much cheaper</v>
      </c>
    </row>
    <row r="15001">
      <c r="A15001" s="1">
        <v>5.0</v>
      </c>
      <c r="B15001" s="1" t="s">
        <v>14750</v>
      </c>
      <c r="C15001" t="str">
        <f>IFERROR(__xludf.DUMMYFUNCTION("GOOGLETRANSLATE(B15001, ""fr"", ""en"")"),"Notice black jogging pants very comfortable with a very nice design and very classy. It will include playing sports!")</f>
        <v>Notice black jogging pants very comfortable with a very nice design and very classy. It will include playing sports!</v>
      </c>
    </row>
    <row r="15002">
      <c r="A15002" s="1">
        <v>5.0</v>
      </c>
      <c r="B15002" s="1" t="s">
        <v>14751</v>
      </c>
      <c r="C15002" t="str">
        <f>IFERROR(__xludf.DUMMYFUNCTION("GOOGLETRANSLATE(B15002, ""fr"", ""en"")"),"Simple and practical Super practical for office storage")</f>
        <v>Simple and practical Super practical for office storage</v>
      </c>
    </row>
    <row r="15003">
      <c r="A15003" s="1">
        <v>2.0</v>
      </c>
      <c r="B15003" s="1" t="s">
        <v>14752</v>
      </c>
      <c r="C15003" t="str">
        <f>IFERROR(__xludf.DUMMYFUNCTION("GOOGLETRANSLATE(B15003, ""fr"", ""en"")"),"With this headset, I can share my music with my colleagues! rather poor quality headphones. We can not ask too much not considering the price, but still. At its very small (about 20%), colleagues beside you (desk in front of you and beside) plan as well a"&amp;"s your music. It's really interesting to share my music, but at that time, so put speakers on the desktop, it returned to the same. The sound quality, meanwhile, is stifled, while the helmet is opened. Listening is not very pleasant. The only quality I've"&amp;" found is mobility. The helmet is very handy. I do not recommend this headset. I rather advise you to put € 20 more, and you have a helmet much better and with better internal and external insulation.")</f>
        <v>With this headset, I can share my music with my colleagues! rather poor quality headphones. We can not ask too much not considering the price, but still. At its very small (about 20%), colleagues beside you (desk in front of you and beside) plan as well as your music. It's really interesting to share my music, but at that time, so put speakers on the desktop, it returned to the same. The sound quality, meanwhile, is stifled, while the helmet is opened. Listening is not very pleasant. The only quality I've found is mobility. The helmet is very handy. I do not recommend this headset. I rather advise you to put € 20 more, and you have a helmet much better and with better internal and external insulation.</v>
      </c>
    </row>
    <row r="15004">
      <c r="A15004" s="1">
        <v>1.0</v>
      </c>
      <c r="B15004" s="1" t="s">
        <v>14753</v>
      </c>
      <c r="C15004" t="str">
        <f>IFERROR(__xludf.DUMMYFUNCTION("GOOGLETRANSLATE(B15004, ""fr"", ""en"")"),"Very poor! Too bad we can not put any stars! Bought a pair for each of my two teenagers who were the nice and were super disappointed when we realized that in just 4 weeks soles had holes at the foot arch. Back to Amazon customer service m repaid the two "&amp;"pairs, because the other could not be ....")</f>
        <v>Very poor! Too bad we can not put any stars! Bought a pair for each of my two teenagers who were the nice and were super disappointed when we realized that in just 4 weeks soles had holes at the foot arch. Back to Amazon customer service m repaid the two pairs, because the other could not be ....</v>
      </c>
    </row>
    <row r="15005">
      <c r="A15005" s="1">
        <v>3.0</v>
      </c>
      <c r="B15005" s="1" t="s">
        <v>14754</v>
      </c>
      <c r="C15005" t="str">
        <f>IFERROR(__xludf.DUMMYFUNCTION("GOOGLETRANSLATE(B15005, ""fr"", ""en"")"),"Beautiful bag and light but too much padding This bag is very comfortable to wear but I find that too much padding as different storage compartments are too just to unpack.")</f>
        <v>Beautiful bag and light but too much padding This bag is very comfortable to wear but I find that too much padding as different storage compartments are too just to unpack.</v>
      </c>
    </row>
    <row r="15006">
      <c r="A15006" s="1">
        <v>3.0</v>
      </c>
      <c r="B15006" s="1" t="s">
        <v>14755</v>
      </c>
      <c r="C15006" t="str">
        <f>IFERROR(__xludf.DUMMYFUNCTION("GOOGLETRANSLATE(B15006, ""fr"", ""en"")"),"Mr. Clean ""Magic Eraser"" or sponge 'against-indications ... Following the release of' Spot Pub ' ""Mr. Clean Magic Eraser"" I had a hurry to buy a supermarket in my bowl :) no, he had not yet received :( Wow, Amazon offers me to TEST a package; p I know"&amp;" the Mr. Clean brand, brand that I had rather a GOOD OPINION. that is, I left with a 'priori very positive' of the product. However, as my colleagues Testers are indicated, the cons-indications are really 'Phew!' not this, not this, risk allergic problems"&amp;" ... Seriously, dear Mr. Clean it gets rid of all possible judicial proceedings Taking my 'courage', I seized a sponge ""Mr. Clean Magic Eraser"" (without &amp; nbsp;! &lt;a data- hook = ""product-link-linked"" class = ""link-to-normal"" href = ""/ gloves / dp /"&amp;" B007VWKF64 / ref = ie = UTF8 cm_cr_getr_d_rvw_txt?""&gt; gloves &lt;/a&gt;) &amp; amp; parties rub my sink enameled ago 50 years (that will not do much except bulky). lol There are traces of limestone, green traces (my &amp; nbsp; &lt;a data-hook = ""product-link-linked"" c"&amp;"lass = ""a-link-normal"" href = ""/ Listerine / dp / B0052EBFGC / ref = ie = UTF8 cm_cr_getr_d_rvw_txt ""&gt; Listerine &lt;/a&gt;) &amp; amp; other traces ... I wet the towel in hot water and I rub, I rub like a patient for 10 minutes! And I must admit that I have re"&amp;"covered very well the IMMACULATE WHITE My old sink. My tap INOX has also regained its former glory. After rinsing the ""Magic Eraser"" 2 between friction, I just wiped everything. In just 10 minutes, the gum is already cracked ALL !!! Too generous, I offe"&amp;"r my ""Magic Eraser"" to my mother for more ... lol² doubtful she might make its Bathroom. 15 minutes later, she held to do all the bathrooms of the house! A FEAT !!! When finished, the Eraser already looks like nothing more &amp; amp; joined directly GARBAGE"&amp;"! I then informed my mother of the 'against-indications' of the product. It tells me that his hands itch ... ouaih ... I have not personally had a problem on my hands. And I must admit to have had excellent results with the ""Magic Eraser"". But would I n"&amp;"ot have even a drop of &amp; nbsp; &lt;a data-hook = ""product-link-linked"" class = ""a-link-normal"" href = ""/ Cif / dp / B00763A64E / ref = cm_cr_getr_d_rvw_txt ? ie = UTF8 ""&gt; Cif &lt;/a&gt; &amp; nbsp; &amp; amp; my &amp; nbsp; &lt;a data-hook=""product-link-linked"" class=""a"&amp;"-link-normal"" href=""/éponge-habituelle/dp/B007VL5X2Q/ref=cm_cr_getr_d_rvw_txt?ie=UTF8""&gt; usual sponge &lt;/ a &gt; &amp; nbsp ;? I did not have less work with the ""Magic Eraser"", I have to put as much elbow grease, but with the fear of reaction on our Health &amp; "&amp;"amp; I know I would not dare use his Black sink my, my work plan kitchen, etc. In conclusion, despite an undeniable result Traces &amp; amp; Limestone also, I prefer to stay on SAFE and SOUND VALUES which have proven themselves for decades!")</f>
        <v>Mr. Clean "Magic Eraser" or sponge 'against-indications ... Following the release of' Spot Pub ' "Mr. Clean Magic Eraser" I had a hurry to buy a supermarket in my bowl :) no, he had not yet received :( Wow, Amazon offers me to TEST a package; p I know the Mr. Clean brand, brand that I had rather a GOOD OPINION. that is, I left with a 'priori very positive' of the product. However, as my colleagues Testers are indicated, the cons-indications are really 'Phew!' not this, not this, risk allergic problems ... Seriously, dear Mr. Clean it gets rid of all possible judicial proceedings Taking my 'courage', I seized a sponge "Mr. Clean Magic Eraser" (without &amp; nbsp;! &lt;a data- hook = "product-link-linked" class = "link-to-normal" href = "/ gloves / dp / B007VWKF64 / ref = ie = UTF8 cm_cr_getr_d_rvw_txt?"&gt; gloves &lt;/a&gt;) &amp; amp; parties rub my sink enameled ago 50 years (that will not do much except bulky). lol There are traces of limestone, green traces (my &amp; nbsp; &lt;a data-hook = "product-link-linked" class = "a-link-normal" href = "/ Listerine / dp / B0052EBFGC / ref = ie = UTF8 cm_cr_getr_d_rvw_txt "&gt; Listerine &lt;/a&gt;) &amp; amp; other traces ... I wet the towel in hot water and I rub, I rub like a patient for 10 minutes! And I must admit that I have recovered very well the IMMACULATE WHITE My old sink. My tap INOX has also regained its former glory. After rinsing the "Magic Eraser" 2 between friction, I just wiped everything. In just 10 minutes, the gum is already cracked ALL !!! Too generous, I offer my "Magic Eraser" to my mother for more ... lol² doubtful she might make its Bathroom. 15 minutes later, she held to do all the bathrooms of the house! A FEAT !!! When finished, the Eraser already looks like nothing more &amp; amp; joined directly GARBAGE! I then informed my mother of the 'against-indications' of the product. It tells me that his hands itch ... ouaih ... I have not personally had a problem on my hands. And I must admit to have had excellent results with the "Magic Eraser". But would I not have even a drop of &amp; nbsp; &lt;a data-hook = "product-link-linked" class = "a-link-normal" href = "/ Cif / dp / B00763A64E / ref = cm_cr_getr_d_rvw_txt ? ie = UTF8 "&gt; Cif &lt;/a&gt; &amp; nbsp; &amp; amp; my &amp; nbsp; &lt;a data-hook="product-link-linked" class="a-link-normal" href="/éponge-habituelle/dp/B007VL5X2Q/ref=cm_cr_getr_d_rvw_txt?ie=UTF8"&gt; usual sponge &lt;/ a &gt; &amp; nbsp ;? I did not have less work with the "Magic Eraser", I have to put as much elbow grease, but with the fear of reaction on our Health &amp; amp; I know I would not dare use his Black sink my, my work plan kitchen, etc. In conclusion, despite an undeniable result Traces &amp; amp; Limestone also, I prefer to stay on SAFE and SOUND VALUES which have proven themselves for decades!</v>
      </c>
    </row>
    <row r="15007">
      <c r="A15007" s="1">
        <v>4.0</v>
      </c>
      <c r="B15007" s="1" t="s">
        <v>14756</v>
      </c>
      <c r="C15007" t="str">
        <f>IFERROR(__xludf.DUMMYFUNCTION("GOOGLETRANSLATE(B15007, ""fr"", ""en"")"),"Product line with expectations product line with expectations")</f>
        <v>Product line with expectations product line with expectations</v>
      </c>
    </row>
    <row r="15008">
      <c r="A15008" s="1">
        <v>4.0</v>
      </c>
      <c r="B15008" s="1" t="s">
        <v>14757</v>
      </c>
      <c r="C15008" t="str">
        <f>IFERROR(__xludf.DUMMYFUNCTION("GOOGLETRANSLATE(B15008, ""fr"", ""en"")"),"Bracelet G-Shock G Shock strap It is very suitable for repair of an old watch that I have found at the bottom of a drawer.")</f>
        <v>Bracelet G-Shock G Shock strap It is very suitable for repair of an old watch that I have found at the bottom of a drawer.</v>
      </c>
    </row>
    <row r="15009">
      <c r="A15009" s="1">
        <v>4.0</v>
      </c>
      <c r="B15009" s="1" t="s">
        <v>14758</v>
      </c>
      <c r="C15009" t="str">
        <f>IFERROR(__xludf.DUMMYFUNCTION("GOOGLETRANSLATE(B15009, ""fr"", ""en"")"),"The stone colors may vary ... Labradorite / sodalite Delivery was longer than expected, however the bracelet with semi precious stones, labradorite / sodalite is pretty. Its color can vary, for labradorite can be transparent, a tendency to gray green or m"&amp;"ore blue. As for my purchase, the bracelet is transparent gray.")</f>
        <v>The stone colors may vary ... Labradorite / sodalite Delivery was longer than expected, however the bracelet with semi precious stones, labradorite / sodalite is pretty. Its color can vary, for labradorite can be transparent, a tendency to gray green or more blue. As for my purchase, the bracelet is transparent gray.</v>
      </c>
    </row>
    <row r="15010">
      <c r="A15010" s="1">
        <v>4.0</v>
      </c>
      <c r="B15010" s="1" t="s">
        <v>14759</v>
      </c>
      <c r="C15010" t="str">
        <f>IFERROR(__xludf.DUMMYFUNCTION("GOOGLETRANSLATE(B15010, ""fr"", ""en"")"),"Very nice and cozy Super thin and comfortable to wear")</f>
        <v>Very nice and cozy Super thin and comfortable to wear</v>
      </c>
    </row>
    <row r="15011">
      <c r="A15011" s="1">
        <v>5.0</v>
      </c>
      <c r="B15011" s="1" t="s">
        <v>14760</v>
      </c>
      <c r="C15011" t="str">
        <f>IFERROR(__xludf.DUMMYFUNCTION("GOOGLETRANSLATE(B15011, ""fr"", ""en"")"),"Ink Cartridge HP This is an HP cartridge that works fine with my HP all in one printer, good value, I recommend")</f>
        <v>Ink Cartridge HP This is an HP cartridge that works fine with my HP all in one printer, good value, I recommend</v>
      </c>
    </row>
    <row r="15012">
      <c r="A15012" s="1">
        <v>5.0</v>
      </c>
      <c r="B15012" s="1" t="s">
        <v>14761</v>
      </c>
      <c r="C15012" t="str">
        <f>IFERROR(__xludf.DUMMYFUNCTION("GOOGLETRANSLATE(B15012, ""fr"", ""en"")"),"Article Delighted at the top of my order, great size and super comfortable")</f>
        <v>Article Delighted at the top of my order, great size and super comfortable</v>
      </c>
    </row>
    <row r="15013">
      <c r="A15013" s="1">
        <v>5.0</v>
      </c>
      <c r="B15013" s="1" t="s">
        <v>14762</v>
      </c>
      <c r="C15013" t="str">
        <f>IFERROR(__xludf.DUMMYFUNCTION("GOOGLETRANSLATE(B15013, ""fr"", ""en"")"),"Very handy product is really convenient and widely can cover a day of travel. no complaints about the level of quality that is by appointment. I recommend eyes closed.")</f>
        <v>Very handy product is really convenient and widely can cover a day of travel. no complaints about the level of quality that is by appointment. I recommend eyes closed.</v>
      </c>
    </row>
    <row r="15014">
      <c r="A15014" s="1">
        <v>5.0</v>
      </c>
      <c r="B15014" s="1" t="s">
        <v>14763</v>
      </c>
      <c r="C15014" t="str">
        <f>IFERROR(__xludf.DUMMYFUNCTION("GOOGLETRANSLATE(B15014, ""fr"", ""en"")"),"No faults No faults to report on two cable 10 meters that I have purchased. The connectors look strong despite frequent handling.")</f>
        <v>No faults No faults to report on two cable 10 meters that I have purchased. The connectors look strong despite frequent handling.</v>
      </c>
    </row>
    <row r="15015">
      <c r="A15015" s="1">
        <v>5.0</v>
      </c>
      <c r="B15015" s="1" t="s">
        <v>14764</v>
      </c>
      <c r="C15015" t="str">
        <f>IFERROR(__xludf.DUMMYFUNCTION("GOOGLETRANSLATE(B15015, ""fr"", ""en"")"),"very well unfortunately I ordered 4 sweatshirt thinking it was the same quality but not anything to see the sweat received are too small carved evil and horrible material control remains my arms because Chinese suppliers therefore costs Retout are more ex"&amp;"pensive than Article")</f>
        <v>very well unfortunately I ordered 4 sweatshirt thinking it was the same quality but not anything to see the sweat received are too small carved evil and horrible material control remains my arms because Chinese suppliers therefore costs Retout are more expensive than Article</v>
      </c>
    </row>
    <row r="15016">
      <c r="A15016" s="1">
        <v>5.0</v>
      </c>
      <c r="B15016" s="1" t="s">
        <v>14765</v>
      </c>
      <c r="C15016" t="str">
        <f>IFERROR(__xludf.DUMMYFUNCTION("GOOGLETRANSLATE(B15016, ""fr"", ""en"")"),"I love this brand Always satisfied as I recommend this brand")</f>
        <v>I love this brand Always satisfied as I recommend this brand</v>
      </c>
    </row>
    <row r="15017">
      <c r="A15017" s="1">
        <v>5.0</v>
      </c>
      <c r="B15017" s="1" t="s">
        <v>14766</v>
      </c>
      <c r="C15017" t="str">
        <f>IFERROR(__xludf.DUMMYFUNCTION("GOOGLETRANSLATE(B15017, ""fr"", ""en"")"),"At the top .... thank you and thank you for the note !!! Very enjoyable and sorry only comment now but the job that ..... Thank you too Pascal and Margaret")</f>
        <v>At the top .... thank you and thank you for the note !!! Very enjoyable and sorry only comment now but the job that ..... Thank you too Pascal and Margaret</v>
      </c>
    </row>
    <row r="15018">
      <c r="A15018" s="1">
        <v>5.0</v>
      </c>
      <c r="B15018" s="1" t="s">
        <v>14767</v>
      </c>
      <c r="C15018" t="str">
        <f>IFERROR(__xludf.DUMMYFUNCTION("GOOGLETRANSLATE(B15018, ""fr"", ""en"")"),"Superb pair of sneakers Sneakers Beautiful but too big! Take half size see one size smaller if not beautiful product!")</f>
        <v>Superb pair of sneakers Sneakers Beautiful but too big! Take half size see one size smaller if not beautiful product!</v>
      </c>
    </row>
    <row r="15019">
      <c r="A15019" s="1">
        <v>5.0</v>
      </c>
      <c r="B15019" s="1" t="s">
        <v>14768</v>
      </c>
      <c r="C15019" t="str">
        <f>IFERROR(__xludf.DUMMYFUNCTION("GOOGLETRANSLATE(B15019, ""fr"", ""en"")"),"Perfect stylish and I love them. Very 90's 00's. Gives a style. They are strong and comfortable throughout the day. I walked with every day on vacation. perfect")</f>
        <v>Perfect stylish and I love them. Very 90's 00's. Gives a style. They are strong and comfortable throughout the day. I walked with every day on vacation. perfect</v>
      </c>
    </row>
    <row r="15020">
      <c r="A15020" s="1">
        <v>5.0</v>
      </c>
      <c r="B15020" s="1" t="s">
        <v>14769</v>
      </c>
      <c r="C15020" t="str">
        <f>IFERROR(__xludf.DUMMYFUNCTION("GOOGLETRANSLATE(B15020, ""fr"", ""en"")"),"Choosing the right teat Ideal size L for milk with cereals or soups baby .... my son largely takes less time to drink his bottle because the nipple is well suited to what I am his.")</f>
        <v>Choosing the right teat Ideal size L for milk with cereals or soups baby .... my son largely takes less time to drink his bottle because the nipple is well suited to what I am his.</v>
      </c>
    </row>
    <row r="15021">
      <c r="A15021" s="1">
        <v>5.0</v>
      </c>
      <c r="B15021" s="1" t="s">
        <v>14770</v>
      </c>
      <c r="C15021" t="str">
        <f>IFERROR(__xludf.DUMMYFUNCTION("GOOGLETRANSLATE(B15021, ""fr"", ""en"")"),"well, fast and consistent value for money at the top. There was a wide range of color and length. and fast delivery was really fast. Perfect")</f>
        <v>well, fast and consistent value for money at the top. There was a wide range of color and length. and fast delivery was really fast. Perfect</v>
      </c>
    </row>
    <row r="15022">
      <c r="A15022" s="1">
        <v>5.0</v>
      </c>
      <c r="B15022" s="1" t="s">
        <v>14771</v>
      </c>
      <c r="C15022" t="str">
        <f>IFERROR(__xludf.DUMMYFUNCTION("GOOGLETRANSLATE(B15022, ""fr"", ""en"")"),"Top Super product received very quickly. Much cheaper that store")</f>
        <v>Top Super product received very quickly. Much cheaper that store</v>
      </c>
    </row>
    <row r="15023">
      <c r="A15023" s="1">
        <v>5.0</v>
      </c>
      <c r="B15023" s="1" t="s">
        <v>10897</v>
      </c>
      <c r="C15023" t="str">
        <f>IFERROR(__xludf.DUMMYFUNCTION("GOOGLETRANSLATE(B15023, ""fr"", ""en"")"),"At the top on top")</f>
        <v>At the top on top</v>
      </c>
    </row>
    <row r="15024">
      <c r="A15024" s="1">
        <v>5.0</v>
      </c>
      <c r="B15024" s="1" t="s">
        <v>14772</v>
      </c>
      <c r="C15024" t="str">
        <f>IFERROR(__xludf.DUMMYFUNCTION("GOOGLETRANSLATE(B15024, ""fr"", ""en"")"),"Awesome!!! I am a school teacher and I practice home school. This sponge is truly magical. I use it to clean all whiteboards and slates Velleda. Often traces remain on the tables, everything starts with this gum !!!")</f>
        <v>Awesome!!! I am a school teacher and I practice home school. This sponge is truly magical. I use it to clean all whiteboards and slates Velleda. Often traces remain on the tables, everything starts with this gum !!!</v>
      </c>
    </row>
    <row r="15025">
      <c r="A15025" s="1">
        <v>5.0</v>
      </c>
      <c r="B15025" s="1" t="s">
        <v>14773</v>
      </c>
      <c r="C15025" t="str">
        <f>IFERROR(__xludf.DUMMYFUNCTION("GOOGLETRANSLATE(B15025, ""fr"", ""en"")"),"Very good quality very good confortable..la size boot for the garden .... very robust very comfortable excellent price I advise.")</f>
        <v>Very good quality very good confortable..la size boot for the garden .... very robust very comfortable excellent price I advise.</v>
      </c>
    </row>
    <row r="15026">
      <c r="A15026" s="1">
        <v>2.0</v>
      </c>
      <c r="B15026" s="1" t="s">
        <v>14774</v>
      </c>
      <c r="C15026" t="str">
        <f>IFERROR(__xludf.DUMMYFUNCTION("GOOGLETRANSLATE(B15026, ""fr"", ""en"")"),"c / o pump suction lack of details why this article does not mention the number of liter suction ?? This is however an essential precision for this type of material !!")</f>
        <v>c / o pump suction lack of details why this article does not mention the number of liter suction ?? This is however an essential precision for this type of material !!</v>
      </c>
    </row>
    <row r="15027">
      <c r="A15027" s="1">
        <v>1.0</v>
      </c>
      <c r="B15027" s="1" t="s">
        <v>14775</v>
      </c>
      <c r="C15027" t="str">
        <f>IFERROR(__xludf.DUMMYFUNCTION("GOOGLETRANSLATE(B15027, ""fr"", ""en"")"),"VERY DISAPPOINTED PUTTING TOO SMALL SMALL 40 MORE DAMAGE WHEN YOU WANT SIZE OVER THE PRICE IS NOT THE SAME AT ALL THE COUP I DO NOT CHANGE THE SHOE")</f>
        <v>VERY DISAPPOINTED PUTTING TOO SMALL SMALL 40 MORE DAMAGE WHEN YOU WANT SIZE OVER THE PRICE IS NOT THE SAME AT ALL THE COUP I DO NOT CHANGE THE SHOE</v>
      </c>
    </row>
    <row r="15028">
      <c r="A15028" s="1">
        <v>1.0</v>
      </c>
      <c r="B15028" s="1" t="s">
        <v>14776</v>
      </c>
      <c r="C15028" t="str">
        <f>IFERROR(__xludf.DUMMYFUNCTION("GOOGLETRANSLATE(B15028, ""fr"", ""en"")"),"Do not buy this product !! I advise them not. Upon first use, after 5 minutes of listening, the listener right gave no sound. It's a scam. Do not buy this product !!")</f>
        <v>Do not buy this product !! I advise them not. Upon first use, after 5 minutes of listening, the listener right gave no sound. It's a scam. Do not buy this product !!</v>
      </c>
    </row>
    <row r="15029">
      <c r="A15029" s="1">
        <v>3.0</v>
      </c>
      <c r="B15029" s="1" t="s">
        <v>14777</v>
      </c>
      <c r="C15029" t="str">
        <f>IFERROR(__xludf.DUMMYFUNCTION("GOOGLETRANSLATE(B15029, ""fr"", ""en"")"),"Good and beautiful bag of good quality bag. I like a magnet closure and coloring, although it quickly takes a worn look. A handle on the top would have been nice. Addendum: a tendency to do battle with time, and faulty zipper recent weeks. In final beauti"&amp;"ful bag but do not like the road in the case of daily use, especially since it is not given.")</f>
        <v>Good and beautiful bag of good quality bag. I like a magnet closure and coloring, although it quickly takes a worn look. A handle on the top would have been nice. Addendum: a tendency to do battle with time, and faulty zipper recent weeks. In final beautiful bag but do not like the road in the case of daily use, especially since it is not given.</v>
      </c>
    </row>
    <row r="15030">
      <c r="A15030" s="1">
        <v>3.0</v>
      </c>
      <c r="B15030" s="1" t="s">
        <v>14778</v>
      </c>
      <c r="C15030" t="str">
        <f>IFERROR(__xludf.DUMMYFUNCTION("GOOGLETRANSLATE(B15030, ""fr"", ""en"")"),"Command incomplete .... I ordered the agenda 01.02.2014 Civil Italnote black 8,8x17cm .. It is a product that I use for over 10 years at delivery I realize that is incomplete, lacking the directory alphabétique..qui me is very important to me for my updat"&amp;"es. Is this a mistake on your part ...? In anticipation of that Ci, I thank you in advance. Cdlt.")</f>
        <v>Command incomplete .... I ordered the agenda 01.02.2014 Civil Italnote black 8,8x17cm .. It is a product that I use for over 10 years at delivery I realize that is incomplete, lacking the directory alphabétique..qui me is very important to me for my updates. Is this a mistake on your part ...? In anticipation of that Ci, I thank you in advance. Cdlt.</v>
      </c>
    </row>
    <row r="15031">
      <c r="A15031" s="1">
        <v>4.0</v>
      </c>
      <c r="B15031" s="1" t="s">
        <v>14779</v>
      </c>
      <c r="C15031" t="str">
        <f>IFERROR(__xludf.DUMMYFUNCTION("GOOGLETRANSLATE(B15031, ""fr"", ""en"")"),"No surprise with the Converse I am a fan of Converse long. No (bad) surprise on quality. Having worn taupe, khaki, etc .. I chose a classic black / white model. The product complies with the photo!")</f>
        <v>No surprise with the Converse I am a fan of Converse long. No (bad) surprise on quality. Having worn taupe, khaki, etc .. I chose a classic black / white model. The product complies with the photo!</v>
      </c>
    </row>
    <row r="15032">
      <c r="A15032" s="1">
        <v>4.0</v>
      </c>
      <c r="B15032" s="1" t="s">
        <v>14780</v>
      </c>
      <c r="C15032" t="str">
        <f>IFERROR(__xludf.DUMMYFUNCTION("GOOGLETRANSLATE(B15032, ""fr"", ""en"")"),"Of Leather Shoes not very expensive.")</f>
        <v>Of Leather Shoes not very expensive.</v>
      </c>
    </row>
    <row r="15033">
      <c r="A15033" s="1">
        <v>4.0</v>
      </c>
      <c r="B15033" s="1" t="s">
        <v>14781</v>
      </c>
      <c r="C15033" t="str">
        <f>IFERROR(__xludf.DUMMYFUNCTION("GOOGLETRANSLATE(B15033, ""fr"", ""en"")"),"Very nice bangle bracelets correspond to the photo, they are beautiful and I enjoy wearing them. I removed one star because although I rather thin wrists bracelets are very tight and let me marks on piognet. C ""is really the only thing I can fault them.")</f>
        <v>Very nice bangle bracelets correspond to the photo, they are beautiful and I enjoy wearing them. I removed one star because although I rather thin wrists bracelets are very tight and let me marks on piognet. C "is really the only thing I can fault them.</v>
      </c>
    </row>
    <row r="15034">
      <c r="A15034" s="1">
        <v>4.0</v>
      </c>
      <c r="B15034" s="1" t="s">
        <v>14782</v>
      </c>
      <c r="C15034" t="str">
        <f>IFERROR(__xludf.DUMMYFUNCTION("GOOGLETRANSLATE(B15034, ""fr"", ""en"")"),"Warm and comfortable quality appears appointment (to confirm it for it will take several washings) Warning I have the impression that this size a little big but. E is not a real concern for c type of clothing")</f>
        <v>Warm and comfortable quality appears appointment (to confirm it for it will take several washings) Warning I have the impression that this size a little big but. E is not a real concern for c type of clothing</v>
      </c>
    </row>
    <row r="15035">
      <c r="A15035" s="1">
        <v>5.0</v>
      </c>
      <c r="B15035" s="1" t="s">
        <v>14783</v>
      </c>
      <c r="C15035" t="str">
        <f>IFERROR(__xludf.DUMMYFUNCTION("GOOGLETRANSLATE(B15035, ""fr"", ""en"")"),"My daughter loves the brilliant and the price is really interesting")</f>
        <v>My daughter loves the brilliant and the price is really interesting</v>
      </c>
    </row>
    <row r="15036">
      <c r="A15036" s="1">
        <v>5.0</v>
      </c>
      <c r="B15036" s="1" t="s">
        <v>14784</v>
      </c>
      <c r="C15036" t="str">
        <f>IFERROR(__xludf.DUMMYFUNCTION("GOOGLETRANSLATE(B15036, ""fr"", ""en"")"),"Here I used the cold to me to bring my fresh breast milk bottles was my nanny. Perfect")</f>
        <v>Here I used the cold to me to bring my fresh breast milk bottles was my nanny. Perfect</v>
      </c>
    </row>
    <row r="15037">
      <c r="A15037" s="1">
        <v>5.0</v>
      </c>
      <c r="B15037" s="1" t="s">
        <v>14785</v>
      </c>
      <c r="C15037" t="str">
        <f>IFERROR(__xludf.DUMMYFUNCTION("GOOGLETRANSLATE(B15037, ""fr"", ""en"")"),"Perfect I love")</f>
        <v>Perfect I love</v>
      </c>
    </row>
    <row r="15038">
      <c r="A15038" s="1">
        <v>5.0</v>
      </c>
      <c r="B15038" s="1" t="s">
        <v>14786</v>
      </c>
      <c r="C15038" t="str">
        <f>IFERROR(__xludf.DUMMYFUNCTION("GOOGLETRANSLATE(B15038, ""fr"", ""en"")"),"The true historical Crocs No surprise with this replaces my old pair that were 5 or 6 years old, worn through the real Crocs in which one does not sweat, comfortable and with which we pass the summer months")</f>
        <v>The true historical Crocs No surprise with this replaces my old pair that were 5 or 6 years old, worn through the real Crocs in which one does not sweat, comfortable and with which we pass the summer months</v>
      </c>
    </row>
    <row r="15039">
      <c r="A15039" s="1">
        <v>5.0</v>
      </c>
      <c r="B15039" s="1" t="s">
        <v>14787</v>
      </c>
      <c r="C15039" t="str">
        <f>IFERROR(__xludf.DUMMYFUNCTION("GOOGLETRANSLATE(B15039, ""fr"", ""en"")"),"Super happy happy! I could hang my 4 Ribba executives at IKEA including two large format I feared a lot! Finally Eastern fast and perfect adherance. Very happy for the moment but to see over time if it want it! A 5m roll I could do the 4 frames. After I'v"&amp;"e put dose !! I recommend and I will return control if it continues.")</f>
        <v>Super happy happy! I could hang my 4 Ribba executives at IKEA including two large format I feared a lot! Finally Eastern fast and perfect adherance. Very happy for the moment but to see over time if it want it! A 5m roll I could do the 4 frames. After I've put dose !! I recommend and I will return control if it continues.</v>
      </c>
    </row>
    <row r="15040">
      <c r="A15040" s="1">
        <v>5.0</v>
      </c>
      <c r="B15040" s="1" t="s">
        <v>14788</v>
      </c>
      <c r="C15040" t="str">
        <f>IFERROR(__xludf.DUMMYFUNCTION("GOOGLETRANSLATE(B15040, ""fr"", ""en"")"),"Good product Good product works correctly and is nice")</f>
        <v>Good product Good product works correctly and is nice</v>
      </c>
    </row>
    <row r="15041">
      <c r="A15041" s="1">
        <v>5.0</v>
      </c>
      <c r="B15041" s="1" t="s">
        <v>14789</v>
      </c>
      <c r="C15041" t="str">
        <f>IFERROR(__xludf.DUMMYFUNCTION("GOOGLETRANSLATE(B15041, ""fr"", ""en"")"),"Very very good septic when my order but actually quite surprised! Everything seems to quality, noise level is very correct for the price, frankly nothing wrong!")</f>
        <v>Very very good septic when my order but actually quite surprised! Everything seems to quality, noise level is very correct for the price, frankly nothing wrong!</v>
      </c>
    </row>
    <row r="15042">
      <c r="A15042" s="1">
        <v>5.0</v>
      </c>
      <c r="B15042" s="1" t="s">
        <v>14790</v>
      </c>
      <c r="C15042" t="str">
        <f>IFERROR(__xludf.DUMMYFUNCTION("GOOGLETRANSLATE(B15042, ""fr"", ""en"")"),"Frankly perfect for the price nothing to say. Ideal for my job.")</f>
        <v>Frankly perfect for the price nothing to say. Ideal for my job.</v>
      </c>
    </row>
    <row r="15043">
      <c r="A15043" s="1">
        <v>5.0</v>
      </c>
      <c r="B15043" s="1" t="s">
        <v>14791</v>
      </c>
      <c r="C15043" t="str">
        <f>IFERROR(__xludf.DUMMYFUNCTION("GOOGLETRANSLATE(B15043, ""fr"", ""en"")"),"Very good teapot Nothing negative to say about this product, a variety of tea possibilities that spread very well in this teapot. The capacity is large enough.")</f>
        <v>Very good teapot Nothing negative to say about this product, a variety of tea possibilities that spread very well in this teapot. The capacity is large enough.</v>
      </c>
    </row>
    <row r="15044">
      <c r="A15044" s="1">
        <v>5.0</v>
      </c>
      <c r="B15044" s="1" t="s">
        <v>14792</v>
      </c>
      <c r="C15044" t="str">
        <f>IFERROR(__xludf.DUMMYFUNCTION("GOOGLETRANSLATE(B15044, ""fr"", ""en"")"),"Perfect Very nice jacket with hood. Very pleasant. The size is perfect. I recommend it for Naruto fans.")</f>
        <v>Perfect Very nice jacket with hood. Very pleasant. The size is perfect. I recommend it for Naruto fans.</v>
      </c>
    </row>
    <row r="15045">
      <c r="A15045" s="1">
        <v>5.0</v>
      </c>
      <c r="B15045" s="1" t="s">
        <v>14793</v>
      </c>
      <c r="C15045" t="str">
        <f>IFERROR(__xludf.DUMMYFUNCTION("GOOGLETRANSLATE(B15045, ""fr"", ""en"")"),"very well ! Excellent value. Teats that last, are well wash, will not fade. In short a great mark of confidence. I recommend !")</f>
        <v>very well ! Excellent value. Teats that last, are well wash, will not fade. In short a great mark of confidence. I recommend !</v>
      </c>
    </row>
    <row r="15046">
      <c r="A15046" s="1">
        <v>5.0</v>
      </c>
      <c r="B15046" s="1" t="s">
        <v>14794</v>
      </c>
      <c r="C15046" t="str">
        <f>IFERROR(__xludf.DUMMYFUNCTION("GOOGLETRANSLATE(B15046, ""fr"", ""en"")"),"Beware sizes This bra is very comfortable. Notice to all pregnant women who have sore breasts, this is a miracle! In addition, without reinforcement, it can be worn at night. By cons, beware of sizes! My little jig with my busty 90D (not pregnant) does no"&amp;"t correspond to the sizes described. I adopted the M size that suits me fine.")</f>
        <v>Beware sizes This bra is very comfortable. Notice to all pregnant women who have sore breasts, this is a miracle! In addition, without reinforcement, it can be worn at night. By cons, beware of sizes! My little jig with my busty 90D (not pregnant) does not correspond to the sizes described. I adopted the M size that suits me fine.</v>
      </c>
    </row>
    <row r="15047">
      <c r="A15047" s="1">
        <v>5.0</v>
      </c>
      <c r="B15047" s="1" t="s">
        <v>14795</v>
      </c>
      <c r="C15047" t="str">
        <f>IFERROR(__xludf.DUMMYFUNCTION("GOOGLETRANSLATE(B15047, ""fr"", ""en"")"),"Meets Compliance with the description, very good value for money, I am very satisfied")</f>
        <v>Meets Compliance with the description, very good value for money, I am very satisfied</v>
      </c>
    </row>
    <row r="15048">
      <c r="A15048" s="1">
        <v>5.0</v>
      </c>
      <c r="B15048" s="1" t="s">
        <v>14796</v>
      </c>
      <c r="C15048" t="str">
        <f>IFERROR(__xludf.DUMMYFUNCTION("GOOGLETRANSLATE(B15048, ""fr"", ""en"")"),"SUPER Good quality, like the picture")</f>
        <v>SUPER Good quality, like the picture</v>
      </c>
    </row>
    <row r="15049">
      <c r="A15049" s="1">
        <v>5.0</v>
      </c>
      <c r="B15049" s="1" t="s">
        <v>14797</v>
      </c>
      <c r="C15049" t="str">
        <f>IFERROR(__xludf.DUMMYFUNCTION("GOOGLETRANSLATE(B15049, ""fr"", ""en"")"),"effective Ok")</f>
        <v>effective Ok</v>
      </c>
    </row>
    <row r="15050">
      <c r="A15050" s="1">
        <v>2.0</v>
      </c>
      <c r="B15050" s="1" t="s">
        <v>14798</v>
      </c>
      <c r="C15050" t="str">
        <f>IFERROR(__xludf.DUMMYFUNCTION("GOOGLETRANSLATE(B15050, ""fr"", ""en"")"),"Why balm orange NOT AND RED Roger but I'm disappointed because the balm is orange and much less effective than red. Yet it is noted Tiger Balm RED")</f>
        <v>Why balm orange NOT AND RED Roger but I'm disappointed because the balm is orange and much less effective than red. Yet it is noted Tiger Balm RED</v>
      </c>
    </row>
    <row r="15051">
      <c r="A15051" s="1">
        <v>1.0</v>
      </c>
      <c r="B15051" s="1" t="s">
        <v>14799</v>
      </c>
      <c r="C15051" t="str">
        <f>IFERROR(__xludf.DUMMYFUNCTION("GOOGLETRANSLATE(B15051, ""fr"", ""en"")"),"(Very) large defects Product very disappointing. Several criteria have guided my choice: glass bowl (inert material) and programmable temperature. Everything else (small LEDs) is superfluous! Large defects: -In fact, the programmer does not work: whatever"&amp;" the chosen temperature, water boil ... eventually! So do not. -In addition the unit is turned off only if it is put to ""off"". This is tricky: when we heated water and that is the bowl rests on its base, it starts to heat up. Now, if it is empty, it wil"&amp;"l break !!! -the automatic shutdown of the machine ( ""off"" but it no longer remains on blue heating) is carried out in itself after a time can be very emitting three beeps. One wonders why !??? Does not deserve zero points because it heats the water. Bu"&amp;"t I expect to find one another. I obviously do not recommend ...")</f>
        <v>(Very) large defects Product very disappointing. Several criteria have guided my choice: glass bowl (inert material) and programmable temperature. Everything else (small LEDs) is superfluous! Large defects: -In fact, the programmer does not work: whatever the chosen temperature, water boil ... eventually! So do not. -In addition the unit is turned off only if it is put to "off". This is tricky: when we heated water and that is the bowl rests on its base, it starts to heat up. Now, if it is empty, it will break !!! -the automatic shutdown of the machine ( "off" but it no longer remains on blue heating) is carried out in itself after a time can be very emitting three beeps. One wonders why !??? Does not deserve zero points because it heats the water. But I expect to find one another. I obviously do not recommend ...</v>
      </c>
    </row>
    <row r="15052">
      <c r="A15052" s="1">
        <v>1.0</v>
      </c>
      <c r="B15052" s="1" t="s">
        <v>14800</v>
      </c>
      <c r="C15052" t="str">
        <f>IFERROR(__xludf.DUMMYFUNCTION("GOOGLETRANSLATE(B15052, ""fr"", ""en"")"),"After no less, and vendor product HS unreachable. Too bad it is more time to send them back. To flee.")</f>
        <v>After no less, and vendor product HS unreachable. Too bad it is more time to send them back. To flee.</v>
      </c>
    </row>
    <row r="15053">
      <c r="A15053" s="1">
        <v>3.0</v>
      </c>
      <c r="B15053" s="1" t="s">
        <v>14801</v>
      </c>
      <c r="C15053" t="str">
        <f>IFERROR(__xludf.DUMMYFUNCTION("GOOGLETRANSLATE(B15053, ""fr"", ""en"")"),"Done the job, but ... does the job, but ... ... if wrist strap too short and not strong link in +. But relatively light and in good order. Casio correct and the blue background is beautiful.")</f>
        <v>Done the job, but ... does the job, but ... ... if wrist strap too short and not strong link in +. But relatively light and in good order. Casio correct and the blue background is beautiful.</v>
      </c>
    </row>
    <row r="15054">
      <c r="A15054" s="1">
        <v>4.0</v>
      </c>
      <c r="B15054" s="1" t="s">
        <v>14802</v>
      </c>
      <c r="C15054" t="str">
        <f>IFERROR(__xludf.DUMMYFUNCTION("GOOGLETRANSLATE(B15054, ""fr"", ""en"")"),"Purchase kettle Riviera Bar and Fast Shipping. I am fully satisfied with my purchase, the temperature rise is very fast and saves a lot of time. So much that I use to prepare my boiling water to cook. Great, I recommend it in a small kitchen plus it fits "&amp;"perfectly.")</f>
        <v>Purchase kettle Riviera Bar and Fast Shipping. I am fully satisfied with my purchase, the temperature rise is very fast and saves a lot of time. So much that I use to prepare my boiling water to cook. Great, I recommend it in a small kitchen plus it fits perfectly.</v>
      </c>
    </row>
    <row r="15055">
      <c r="A15055" s="1">
        <v>4.0</v>
      </c>
      <c r="B15055" s="1" t="s">
        <v>14803</v>
      </c>
      <c r="C15055" t="str">
        <f>IFERROR(__xludf.DUMMYFUNCTION("GOOGLETRANSLATE(B15055, ""fr"", ""en"")"),"sony headphones black (no mic) Music is essential for me during my long trips by bus and tram and my headphones have decided not to cooperate with my phone, I decided to buy a helmet. This perfectly suits my expectations: not too big, not too small, cover"&amp;"ing much outside noise, good sound quality for the price, which is more pliable, a long cord but not too much and tangling not a sober color and extremely fast delivery. I do not put 5 stars, however for the somewhat cheap plastic and due to the impressio"&amp;"n that the folding, it will just break completely ... I recommend this helmet.")</f>
        <v>sony headphones black (no mic) Music is essential for me during my long trips by bus and tram and my headphones have decided not to cooperate with my phone, I decided to buy a helmet. This perfectly suits my expectations: not too big, not too small, covering much outside noise, good sound quality for the price, which is more pliable, a long cord but not too much and tangling not a sober color and extremely fast delivery. I do not put 5 stars, however for the somewhat cheap plastic and due to the impression that the folding, it will just break completely ... I recommend this helmet.</v>
      </c>
    </row>
    <row r="15056">
      <c r="A15056" s="1">
        <v>4.0</v>
      </c>
      <c r="B15056" s="1" t="s">
        <v>14804</v>
      </c>
      <c r="C15056" t="str">
        <f>IFERROR(__xludf.DUMMYFUNCTION("GOOGLETRANSLATE(B15056, ""fr"", ""en"")"),"Good Quality Brand is true to itself for many years. The dodie bottles are always of excellent quality for an affordable price")</f>
        <v>Good Quality Brand is true to itself for many years. The dodie bottles are always of excellent quality for an affordable price</v>
      </c>
    </row>
    <row r="15057">
      <c r="A15057" s="1">
        <v>4.0</v>
      </c>
      <c r="B15057" s="1" t="s">
        <v>14805</v>
      </c>
      <c r="C15057" t="str">
        <f>IFERROR(__xludf.DUMMYFUNCTION("GOOGLETRANSLATE(B15057, ""fr"", ""en"")"),"To discover but a little light fun activity to do with children. A watch especially if they are small in order to prevent it skids ... nice box, why not find out. But I found the meager contents. At most a hair more expensive but with more material and ac"&amp;"cessories would be perfect. For regulars it's still attractive to children.")</f>
        <v>To discover but a little light fun activity to do with children. A watch especially if they are small in order to prevent it skids ... nice box, why not find out. But I found the meager contents. At most a hair more expensive but with more material and accessories would be perfect. For regulars it's still attractive to children.</v>
      </c>
    </row>
    <row r="15058">
      <c r="A15058" s="1">
        <v>5.0</v>
      </c>
      <c r="B15058" s="1" t="s">
        <v>14806</v>
      </c>
      <c r="C15058" t="str">
        <f>IFERROR(__xludf.DUMMYFUNCTION("GOOGLETRANSLATE(B15058, ""fr"", ""en"")"),"Too good to be true ... Except it's true Very very good sound for the price (too high) With the reduction of € 15 I had the pods for 14 €. Delivered in one day, own packaging, housing almost luxurious, the charger is only regrettable that not sinking comp"&amp;"letely in the tip but that does not diminish the quality of the product. A 5 stars for me.")</f>
        <v>Too good to be true ... Except it's true Very very good sound for the price (too high) With the reduction of € 15 I had the pods for 14 €. Delivered in one day, own packaging, housing almost luxurious, the charger is only regrettable that not sinking completely in the tip but that does not diminish the quality of the product. A 5 stars for me.</v>
      </c>
    </row>
    <row r="15059">
      <c r="A15059" s="1">
        <v>5.0</v>
      </c>
      <c r="B15059" s="1" t="s">
        <v>14807</v>
      </c>
      <c r="C15059" t="str">
        <f>IFERROR(__xludf.DUMMYFUNCTION("GOOGLETRANSLATE(B15059, ""fr"", ""en"")"),"lots of charm with this retro style tea kettle Our being dead, we chose this new model because of the retro style to go with our coffee maker and toaster black Obviously this was not the only criterion, it is pretty fast , effective")</f>
        <v>lots of charm with this retro style tea kettle Our being dead, we chose this new model because of the retro style to go with our coffee maker and toaster black Obviously this was not the only criterion, it is pretty fast , effective</v>
      </c>
    </row>
    <row r="15060">
      <c r="A15060" s="1">
        <v>5.0</v>
      </c>
      <c r="B15060" s="1" t="s">
        <v>14808</v>
      </c>
      <c r="C15060" t="str">
        <f>IFERROR(__xludf.DUMMYFUNCTION("GOOGLETRANSLATE(B15060, ""fr"", ""en"")"),"top!! I just love it. practical very satisfied. simply top !!! I was skeptical seen some comments and made very happy! I'll order gourds plus.merci amazon !!")</f>
        <v>top!! I just love it. practical very satisfied. simply top !!! I was skeptical seen some comments and made very happy! I'll order gourds plus.merci amazon !!</v>
      </c>
    </row>
    <row r="15061">
      <c r="A15061" s="1">
        <v>5.0</v>
      </c>
      <c r="B15061" s="1" t="s">
        <v>14809</v>
      </c>
      <c r="C15061" t="str">
        <f>IFERROR(__xludf.DUMMYFUNCTION("GOOGLETRANSLATE(B15061, ""fr"", ""en"")"),"Good quality and very comfortable, I really feel the difference between Landa and these socks. I use them on all occasions, running, walking, and daily. I also bought for my son who daily suffer from leg pain and since he used the socks, it is completely "&amp;"satisfied. I recommend it.")</f>
        <v>Good quality and very comfortable, I really feel the difference between Landa and these socks. I use them on all occasions, running, walking, and daily. I also bought for my son who daily suffer from leg pain and since he used the socks, it is completely satisfied. I recommend it.</v>
      </c>
    </row>
    <row r="15062">
      <c r="A15062" s="1">
        <v>5.0</v>
      </c>
      <c r="B15062" s="1" t="s">
        <v>14810</v>
      </c>
      <c r="C15062" t="str">
        <f>IFERROR(__xludf.DUMMYFUNCTION("GOOGLETRANSLATE(B15062, ""fr"", ""en"")"),"Beautiful shoes lovely shoes besides being super comfortable. Adapts well to a classic outfit as a more casual. Hyper breathable for those who have feet that sweat easily. I recommended it to a close friend who is equally satisfied.")</f>
        <v>Beautiful shoes lovely shoes besides being super comfortable. Adapts well to a classic outfit as a more casual. Hyper breathable for those who have feet that sweat easily. I recommended it to a close friend who is equally satisfied.</v>
      </c>
    </row>
    <row r="15063">
      <c r="A15063" s="1">
        <v>5.0</v>
      </c>
      <c r="B15063" s="1" t="s">
        <v>14811</v>
      </c>
      <c r="C15063" t="str">
        <f>IFERROR(__xludf.DUMMYFUNCTION("GOOGLETRANSLATE(B15063, ""fr"", ""en"")"),"perfect perfect!")</f>
        <v>perfect perfect!</v>
      </c>
    </row>
    <row r="15064">
      <c r="A15064" s="1">
        <v>5.0</v>
      </c>
      <c r="B15064" s="1" t="s">
        <v>14812</v>
      </c>
      <c r="C15064" t="str">
        <f>IFERROR(__xludf.DUMMYFUNCTION("GOOGLETRANSLATE(B15064, ""fr"", ""en"")"),"great I recommend the purchase of this lovely tea in my kitchen and efficient")</f>
        <v>great I recommend the purchase of this lovely tea in my kitchen and efficient</v>
      </c>
    </row>
    <row r="15065">
      <c r="A15065" s="1">
        <v>5.0</v>
      </c>
      <c r="B15065" s="1" t="s">
        <v>14813</v>
      </c>
      <c r="C15065" t="str">
        <f>IFERROR(__xludf.DUMMYFUNCTION("GOOGLETRANSLATE(B15065, ""fr"", ""en"")"),"Useful and comprehensive I use it to my son's room. It is super happy to have a clock, time, radio and even a night on the same subject.")</f>
        <v>Useful and comprehensive I use it to my son's room. It is super happy to have a clock, time, radio and even a night on the same subject.</v>
      </c>
    </row>
    <row r="15066">
      <c r="A15066" s="1">
        <v>5.0</v>
      </c>
      <c r="B15066" s="1" t="s">
        <v>14814</v>
      </c>
      <c r="C15066" t="str">
        <f>IFERROR(__xludf.DUMMYFUNCTION("GOOGLETRANSLATE(B15066, ""fr"", ""en"")"),"Very nice indeed Breastshields very good. I bought several lots, because I do not reuse if possible twice the same for consecutive feedings. And I wash the while taking in the evening. My daughter had a very well used from the 3rd day because I crevices. "&amp;"And I have not left them, although it is advisable to come back in. It is much easier for baby to catch the slippery nipple Nipple.")</f>
        <v>Very nice indeed Breastshields very good. I bought several lots, because I do not reuse if possible twice the same for consecutive feedings. And I wash the while taking in the evening. My daughter had a very well used from the 3rd day because I crevices. And I have not left them, although it is advisable to come back in. It is much easier for baby to catch the slippery nipple Nipple.</v>
      </c>
    </row>
    <row r="15067">
      <c r="A15067" s="1">
        <v>5.0</v>
      </c>
      <c r="B15067" s="1" t="s">
        <v>14815</v>
      </c>
      <c r="C15067" t="str">
        <f>IFERROR(__xludf.DUMMYFUNCTION("GOOGLETRANSLATE(B15067, ""fr"", ""en"")"),"its Pretty")</f>
        <v>its Pretty</v>
      </c>
    </row>
    <row r="15068">
      <c r="A15068" s="1">
        <v>5.0</v>
      </c>
      <c r="B15068" s="1" t="s">
        <v>14816</v>
      </c>
      <c r="C15068" t="str">
        <f>IFERROR(__xludf.DUMMYFUNCTION("GOOGLETRANSLATE(B15068, ""fr"", ""en"")"),"good quality socks. good quality socks and very comfortable. The fabric is resistant. Moreover, they are stylish.")</f>
        <v>good quality socks. good quality socks and very comfortable. The fabric is resistant. Moreover, they are stylish.</v>
      </c>
    </row>
    <row r="15069">
      <c r="A15069" s="1">
        <v>5.0</v>
      </c>
      <c r="B15069" s="1" t="s">
        <v>14817</v>
      </c>
      <c r="C15069" t="str">
        <f>IFERROR(__xludf.DUMMYFUNCTION("GOOGLETRANSLATE(B15069, ""fr"", ""en"")"),"Top! Great!!! My son will loose more! He is 13 years old! For once, I have chosen his gift ann!")</f>
        <v>Top! Great!!! My son will loose more! He is 13 years old! For once, I have chosen his gift ann!</v>
      </c>
    </row>
    <row r="15070">
      <c r="A15070" s="1">
        <v>5.0</v>
      </c>
      <c r="B15070" s="1" t="s">
        <v>14818</v>
      </c>
      <c r="C15070" t="str">
        <f>IFERROR(__xludf.DUMMYFUNCTION("GOOGLETRANSLATE(B15070, ""fr"", ""en"")"),"I recommend. Very pretty. Very comfortable. I just love it.")</f>
        <v>I recommend. Very pretty. Very comfortable. I just love it.</v>
      </c>
    </row>
    <row r="15071">
      <c r="A15071" s="1">
        <v>5.0</v>
      </c>
      <c r="B15071" s="1" t="s">
        <v>14819</v>
      </c>
      <c r="C15071" t="str">
        <f>IFERROR(__xludf.DUMMYFUNCTION("GOOGLETRANSLATE(B15071, ""fr"", ""en"")"),"Warm for winter super happy with my purchase !! I wanted a shoe with padding inside for small jobs outside. I just wear them for 1 week with a temperature of about 1-2 degrees and seriously I have not had a single cold once the foot! I am pleased")</f>
        <v>Warm for winter super happy with my purchase !! I wanted a shoe with padding inside for small jobs outside. I just wear them for 1 week with a temperature of about 1-2 degrees and seriously I have not had a single cold once the foot! I am pleased</v>
      </c>
    </row>
    <row r="15072">
      <c r="A15072" s="1">
        <v>5.0</v>
      </c>
      <c r="B15072" s="1" t="s">
        <v>14820</v>
      </c>
      <c r="C15072" t="str">
        <f>IFERROR(__xludf.DUMMYFUNCTION("GOOGLETRANSLATE(B15072, ""fr"", ""en"")"),"He's satisfied is of a very nice set of brushes has chaussures..bon value price premium first ... I have not tried heads but pretty good")</f>
        <v>He's satisfied is of a very nice set of brushes has chaussures..bon value price premium first ... I have not tried heads but pretty good</v>
      </c>
    </row>
    <row r="15073">
      <c r="A15073" s="1">
        <v>2.0</v>
      </c>
      <c r="B15073" s="1" t="s">
        <v>14821</v>
      </c>
      <c r="C15073" t="str">
        <f>IFERROR(__xludf.DUMMYFUNCTION("GOOGLETRANSLATE(B15073, ""fr"", ""en"")"),"Not bad It works not too bad. Big problems, the volume starts has background in commissioning. It is not the top.")</f>
        <v>Not bad It works not too bad. Big problems, the volume starts has background in commissioning. It is not the top.</v>
      </c>
    </row>
    <row r="15074">
      <c r="A15074" s="1">
        <v>1.0</v>
      </c>
      <c r="B15074" s="1" t="s">
        <v>14822</v>
      </c>
      <c r="C15074" t="str">
        <f>IFERROR(__xludf.DUMMYFUNCTION("GOOGLETRANSLATE(B15074, ""fr"", ""en"")"),"very poor quality, completely open on all sides suitable 4 months normal use as dress shoes, the shoes are open on all sides, and the seller told me that he can not do anything!")</f>
        <v>very poor quality, completely open on all sides suitable 4 months normal use as dress shoes, the shoes are open on all sides, and the seller told me that he can not do anything!</v>
      </c>
    </row>
    <row r="15075">
      <c r="A15075" s="1">
        <v>3.0</v>
      </c>
      <c r="B15075" s="1" t="s">
        <v>14823</v>
      </c>
      <c r="C15075" t="str">
        <f>IFERROR(__xludf.DUMMYFUNCTION("GOOGLETRANSLATE(B15075, ""fr"", ""en"")"),"size error: it was a 37/38 EU (not Brazilian) in the wording of the product description controlled, it is well specified ""US 39/40 (37/38 Brazillian)"". Making 39 French, 39 EU therefore, normal that I control this model. Upon receipt, it's a 37 (very sm"&amp;"all 38) ... EU. Really too small for me, I offered the pair a friend who made the French 37. Logically, the right size should have been engraved on the thong, and registered in the Amazon description (manufacturing error?): ""US 37/38 (35/36 Brazillian)"""&amp;". For proof, refer to the various tables of official correspondence (consulted too late for me!)")</f>
        <v>size error: it was a 37/38 EU (not Brazilian) in the wording of the product description controlled, it is well specified "US 39/40 (37/38 Brazillian)". Making 39 French, 39 EU therefore, normal that I control this model. Upon receipt, it's a 37 (very small 38) ... EU. Really too small for me, I offered the pair a friend who made the French 37. Logically, the right size should have been engraved on the thong, and registered in the Amazon description (manufacturing error?): "US 37/38 (35/36 Brazillian)". For proof, refer to the various tables of official correspondence (consulted too late for me!)</v>
      </c>
    </row>
    <row r="15076">
      <c r="A15076" s="1">
        <v>3.0</v>
      </c>
      <c r="B15076" s="1" t="s">
        <v>14824</v>
      </c>
      <c r="C15076" t="str">
        <f>IFERROR(__xludf.DUMMYFUNCTION("GOOGLETRANSLATE(B15076, ""fr"", ""en"")"),"Non-compliant is that I was expecting not to my taste")</f>
        <v>Non-compliant is that I was expecting not to my taste</v>
      </c>
    </row>
    <row r="15077">
      <c r="A15077" s="1">
        <v>4.0</v>
      </c>
      <c r="B15077" s="1" t="s">
        <v>14825</v>
      </c>
      <c r="C15077" t="str">
        <f>IFERROR(__xludf.DUMMYFUNCTION("GOOGLETRANSLATE(B15077, ""fr"", ""en"")"),"Good product, poor logistics mailing. Shipment by Private Coli from Amazon. I think I have no complaints about the quality of the product but which is, in my case, disastrous, it is the shipping date keeps changing by shifting each time for several days ."&amp;" In anticipation of the package, I would come change later my note-if the said package arrives undamaged and on time this time.")</f>
        <v>Good product, poor logistics mailing. Shipment by Private Coli from Amazon. I think I have no complaints about the quality of the product but which is, in my case, disastrous, it is the shipping date keeps changing by shifting each time for several days . In anticipation of the package, I would come change later my note-if the said package arrives undamaged and on time this time.</v>
      </c>
    </row>
    <row r="15078">
      <c r="A15078" s="1">
        <v>4.0</v>
      </c>
      <c r="B15078" s="1" t="s">
        <v>14826</v>
      </c>
      <c r="C15078" t="str">
        <f>IFERROR(__xludf.DUMMYFUNCTION("GOOGLETRANSLATE(B15078, ""fr"", ""en"")"),"very well nothing to say in line")</f>
        <v>very well nothing to say in line</v>
      </c>
    </row>
    <row r="15079">
      <c r="A15079" s="1">
        <v>4.0</v>
      </c>
      <c r="B15079" s="1" t="s">
        <v>14827</v>
      </c>
      <c r="C15079" t="str">
        <f>IFERROR(__xludf.DUMMYFUNCTION("GOOGLETRANSLATE(B15079, ""fr"", ""en"")"),"Super Roller 2nd jade roller control for me, the first broke quickly and suddenly I ordered another a little more expensive. I chose it because I like the fact of having one single roll over, to change simply unscrew it and put the second roll provides. I"&amp;" keep it in the fridge overnight and I use it in the morning. It is a real pleasure, it's fresh and it feels good. By cons, not sure of the effectiveness of wrinkles but flawless for many decongest puffiness. See over time but this roller me looks solid :"&amp;")")</f>
        <v>Super Roller 2nd jade roller control for me, the first broke quickly and suddenly I ordered another a little more expensive. I chose it because I like the fact of having one single roll over, to change simply unscrew it and put the second roll provides. I keep it in the fridge overnight and I use it in the morning. It is a real pleasure, it's fresh and it feels good. By cons, not sure of the effectiveness of wrinkles but flawless for many decongest puffiness. See over time but this roller me looks solid :)</v>
      </c>
    </row>
    <row r="15080">
      <c r="A15080" s="1">
        <v>4.0</v>
      </c>
      <c r="B15080" s="1" t="s">
        <v>14828</v>
      </c>
      <c r="C15080" t="str">
        <f>IFERROR(__xludf.DUMMYFUNCTION("GOOGLETRANSLATE(B15080, ""fr"", ""en"")"),"Really good Superb")</f>
        <v>Really good Superb</v>
      </c>
    </row>
    <row r="15081">
      <c r="A15081" s="1">
        <v>4.0</v>
      </c>
      <c r="B15081" s="1" t="s">
        <v>14829</v>
      </c>
      <c r="C15081" t="str">
        <f>IFERROR(__xludf.DUMMYFUNCTION("GOOGLETRANSLATE(B15081, ""fr"", ""en"")"),"hello bag, the bag is good but it is too small compared to the image on the site.")</f>
        <v>hello bag, the bag is good but it is too small compared to the image on the site.</v>
      </c>
    </row>
    <row r="15082">
      <c r="A15082" s="1">
        <v>5.0</v>
      </c>
      <c r="B15082" s="1" t="s">
        <v>14830</v>
      </c>
      <c r="C15082" t="str">
        <f>IFERROR(__xludf.DUMMYFUNCTION("GOOGLETRANSLATE(B15082, ""fr"", ""en"")"),"perfect R.a.s")</f>
        <v>perfect R.a.s</v>
      </c>
    </row>
    <row r="15083">
      <c r="A15083" s="1">
        <v>5.0</v>
      </c>
      <c r="B15083" s="1" t="s">
        <v>14831</v>
      </c>
      <c r="C15083" t="str">
        <f>IFERROR(__xludf.DUMMYFUNCTION("GOOGLETRANSLATE(B15083, ""fr"", ""en"")"),"Super sweat Super sweat. Very beautiful and well cut. Size selected according to the grid of the mark. I recommend this article.")</f>
        <v>Super sweat Super sweat. Very beautiful and well cut. Size selected according to the grid of the mark. I recommend this article.</v>
      </c>
    </row>
    <row r="15084">
      <c r="A15084" s="1">
        <v>5.0</v>
      </c>
      <c r="B15084" s="1" t="s">
        <v>14832</v>
      </c>
      <c r="C15084" t="str">
        <f>IFERROR(__xludf.DUMMYFUNCTION("GOOGLETRANSLATE(B15084, ""fr"", ""en"")"),"I love it too much in and I love the style, small board just take your size, they cut big.")</f>
        <v>I love it too much in and I love the style, small board just take your size, they cut big.</v>
      </c>
    </row>
    <row r="15085">
      <c r="A15085" s="1">
        <v>5.0</v>
      </c>
      <c r="B15085" s="1" t="s">
        <v>14833</v>
      </c>
      <c r="C15085" t="str">
        <f>IFERROR(__xludf.DUMMYFUNCTION("GOOGLETRANSLATE(B15085, ""fr"", ""en"")"),"Good product great product unbeatable value for money Very good quality, very chic. very light and comfortable I'm happy with this purchase")</f>
        <v>Good product great product unbeatable value for money Very good quality, very chic. very light and comfortable I'm happy with this purchase</v>
      </c>
    </row>
    <row r="15086">
      <c r="A15086" s="1">
        <v>5.0</v>
      </c>
      <c r="B15086" s="1" t="s">
        <v>14834</v>
      </c>
      <c r="C15086" t="str">
        <f>IFERROR(__xludf.DUMMYFUNCTION("GOOGLETRANSLATE(B15086, ""fr"", ""en"")"),"Perfect perfect and in good condition, it works fine, quality is at the rendezvous, satisfied.")</f>
        <v>Perfect perfect and in good condition, it works fine, quality is at the rendezvous, satisfied.</v>
      </c>
    </row>
    <row r="15087">
      <c r="A15087" s="1">
        <v>5.0</v>
      </c>
      <c r="B15087" s="1" t="s">
        <v>14835</v>
      </c>
      <c r="C15087" t="str">
        <f>IFERROR(__xludf.DUMMYFUNCTION("GOOGLETRANSLATE(B15087, ""fr"", ""en"")"),"Perfectly fitting good performance wearable fabric Super running shoe I recommend to those who want to have fun, without getting hurt.")</f>
        <v>Perfectly fitting good performance wearable fabric Super running shoe I recommend to those who want to have fun, without getting hurt.</v>
      </c>
    </row>
    <row r="15088">
      <c r="A15088" s="1">
        <v>5.0</v>
      </c>
      <c r="B15088" s="1" t="s">
        <v>14836</v>
      </c>
      <c r="C15088" t="str">
        <f>IFERROR(__xludf.DUMMYFUNCTION("GOOGLETRANSLATE(B15088, ""fr"", ""en"")"),"Hot .. but not very well cut product very hot. Exactly what i wanted! But the cut is dated. Very slim. Parfaute to go to the countryside.")</f>
        <v>Hot .. but not very well cut product very hot. Exactly what i wanted! But the cut is dated. Very slim. Parfaute to go to the countryside.</v>
      </c>
    </row>
    <row r="15089">
      <c r="A15089" s="1">
        <v>5.0</v>
      </c>
      <c r="B15089" s="1" t="s">
        <v>14837</v>
      </c>
      <c r="C15089" t="str">
        <f>IFERROR(__xludf.DUMMYFUNCTION("GOOGLETRANSLATE(B15089, ""fr"", ""en"")"),"PERFECT Good shoes for snow. We live in the mountains, and no worries. I just add an insole inside to sweat.")</f>
        <v>PERFECT Good shoes for snow. We live in the mountains, and no worries. I just add an insole inside to sweat.</v>
      </c>
    </row>
    <row r="15090">
      <c r="A15090" s="1">
        <v>5.0</v>
      </c>
      <c r="B15090" s="1" t="s">
        <v>14838</v>
      </c>
      <c r="C15090" t="str">
        <f>IFERROR(__xludf.DUMMYFUNCTION("GOOGLETRANSLATE(B15090, ""fr"", ""en"")"),"Perfect Blue Yeti! I buy for my microphone Blue Yeti and perch holds very well the microphone despite being heavy I am very satisfied! I expected a bigger boom, it is smaller than I thought but it is precisely this that I had to stack it to the right size"&amp;", I recommend!")</f>
        <v>Perfect Blue Yeti! I buy for my microphone Blue Yeti and perch holds very well the microphone despite being heavy I am very satisfied! I expected a bigger boom, it is smaller than I thought but it is precisely this that I had to stack it to the right size, I recommend!</v>
      </c>
    </row>
    <row r="15091">
      <c r="A15091" s="1">
        <v>5.0</v>
      </c>
      <c r="B15091" s="1" t="s">
        <v>14839</v>
      </c>
      <c r="C15091" t="str">
        <f>IFERROR(__xludf.DUMMYFUNCTION("GOOGLETRANSLATE(B15091, ""fr"", ""en"")"),"Perfect After a purchase in July, and since heavy use, I can say that this legging is just perfect! To buy eyes closed.")</f>
        <v>Perfect After a purchase in July, and since heavy use, I can say that this legging is just perfect! To buy eyes closed.</v>
      </c>
    </row>
    <row r="15092">
      <c r="A15092" s="1">
        <v>5.0</v>
      </c>
      <c r="B15092" s="1" t="s">
        <v>14840</v>
      </c>
      <c r="C15092" t="str">
        <f>IFERROR(__xludf.DUMMYFUNCTION("GOOGLETRANSLATE(B15092, ""fr"", ""en"")"),"Article conforms to the flush description")</f>
        <v>Article conforms to the flush description</v>
      </c>
    </row>
    <row r="15093">
      <c r="A15093" s="1">
        <v>5.0</v>
      </c>
      <c r="B15093" s="1" t="s">
        <v>14841</v>
      </c>
      <c r="C15093" t="str">
        <f>IFERROR(__xludf.DUMMYFUNCTION("GOOGLETRANSLATE(B15093, ""fr"", ""en"")"),"Double-sided tape I pasted plates on walls and yet it resists very well.")</f>
        <v>Double-sided tape I pasted plates on walls and yet it resists very well.</v>
      </c>
    </row>
    <row r="15094">
      <c r="A15094" s="1">
        <v>5.0</v>
      </c>
      <c r="B15094" s="1" t="s">
        <v>14842</v>
      </c>
      <c r="C15094" t="str">
        <f>IFERROR(__xludf.DUMMYFUNCTION("GOOGLETRANSLATE(B15094, ""fr"", ""en"")"),"Practice good product, from birth. By cons can be cleaned with warm water.")</f>
        <v>Practice good product, from birth. By cons can be cleaned with warm water.</v>
      </c>
    </row>
    <row r="15095">
      <c r="A15095" s="1">
        <v>5.0</v>
      </c>
      <c r="B15095" s="1" t="s">
        <v>14843</v>
      </c>
      <c r="C15095" t="str">
        <f>IFERROR(__xludf.DUMMYFUNCTION("GOOGLETRANSLATE(B15095, ""fr"", ""en"")"),"Fast delivery high quality product that is entirely my expectations. Fast delivery for a product of high quality that easily integrates into any interior, the dissemination of essential oils is done with a small diffuse and changing very nice, I love")</f>
        <v>Fast delivery high quality product that is entirely my expectations. Fast delivery for a product of high quality that easily integrates into any interior, the dissemination of essential oils is done with a small diffuse and changing very nice, I love</v>
      </c>
    </row>
    <row r="15096">
      <c r="A15096" s="1">
        <v>5.0</v>
      </c>
      <c r="B15096" s="1" t="s">
        <v>14844</v>
      </c>
      <c r="C15096" t="str">
        <f>IFERROR(__xludf.DUMMYFUNCTION("GOOGLETRANSLATE(B15096, ""fr"", ""en"")"),"In very well for me, and given the place I had this item for me. I do not know why there were 2 x this article but I think it will do for someone else, so I care!")</f>
        <v>In very well for me, and given the place I had this item for me. I do not know why there were 2 x this article but I think it will do for someone else, so I care!</v>
      </c>
    </row>
    <row r="15097">
      <c r="A15097" s="1">
        <v>5.0</v>
      </c>
      <c r="B15097" s="1" t="s">
        <v>14845</v>
      </c>
      <c r="C15097" t="str">
        <f>IFERROR(__xludf.DUMMYFUNCTION("GOOGLETRANSLATE(B15097, ""fr"", ""en"")"),"apertured plastic pouches solid cover, easy to put records dedant")</f>
        <v>apertured plastic pouches solid cover, easy to put records dedant</v>
      </c>
    </row>
    <row r="15098">
      <c r="A15098" s="1">
        <v>2.0</v>
      </c>
      <c r="B15098" s="1" t="s">
        <v>14846</v>
      </c>
      <c r="C15098" t="str">
        <f>IFERROR(__xludf.DUMMYFUNCTION("GOOGLETRANSLATE(B15098, ""fr"", ""en"")"),"But highly effective chemical !!! An admittedly very effective product for the toilet, but a strong chemical smell that makes me question me about safety for my family and for nature ...")</f>
        <v>But highly effective chemical !!! An admittedly very effective product for the toilet, but a strong chemical smell that makes me question me about safety for my family and for nature ...</v>
      </c>
    </row>
    <row r="15099">
      <c r="A15099" s="1">
        <v>1.0</v>
      </c>
      <c r="B15099" s="1" t="s">
        <v>14847</v>
      </c>
      <c r="C15099" t="str">
        <f>IFERROR(__xludf.DUMMYFUNCTION("GOOGLETRANSLATE(B15099, ""fr"", ""en"")"),"not solid Used daily to work after only 2 months the fabric inside at the heel is completely torn !!! I absolutely do not recommend, especially as the soles are hard like concrete !!! In addition, no way to make a complaint so 60 euros thrown out the wind"&amp;"ow !!!!")</f>
        <v>not solid Used daily to work after only 2 months the fabric inside at the heel is completely torn !!! I absolutely do not recommend, especially as the soles are hard like concrete !!! In addition, no way to make a complaint so 60 euros thrown out the window !!!!</v>
      </c>
    </row>
    <row r="15100">
      <c r="A15100" s="1">
        <v>1.0</v>
      </c>
      <c r="B15100" s="1" t="s">
        <v>14848</v>
      </c>
      <c r="C15100" t="str">
        <f>IFERROR(__xludf.DUMMYFUNCTION("GOOGLETRANSLATE(B15100, ""fr"", ""en"")"),"Do Broken working on his arrival")</f>
        <v>Do Broken working on his arrival</v>
      </c>
    </row>
    <row r="15101">
      <c r="A15101" s="1">
        <v>3.0</v>
      </c>
      <c r="B15101" s="1" t="s">
        <v>14849</v>
      </c>
      <c r="C15101" t="str">
        <f>IFERROR(__xludf.DUMMYFUNCTION("GOOGLETRANSLATE(B15101, ""fr"", ""en"")"),"too bad The idea is good, the design also unfortunately the balls inside are very hard and it hurts too much, even after persist, thinking get used .. not for me! my back more bruised than before!")</f>
        <v>too bad The idea is good, the design also unfortunately the balls inside are very hard and it hurts too much, even after persist, thinking get used .. not for me! my back more bruised than before!</v>
      </c>
    </row>
    <row r="15102">
      <c r="A15102" s="1">
        <v>3.0</v>
      </c>
      <c r="B15102" s="1" t="s">
        <v>14850</v>
      </c>
      <c r="C15102" t="str">
        <f>IFERROR(__xludf.DUMMYFUNCTION("GOOGLETRANSLATE(B15102, ""fr"", ""en"")"),"Text a little short C is the 5th book of the same collection that I bought for my daughter. The collection is best for my night, but I put only 3 stars because the texts are very short especially compared to the Sami list or PC Sami")</f>
        <v>Text a little short C is the 5th book of the same collection that I bought for my daughter. The collection is best for my night, but I put only 3 stars because the texts are very short especially compared to the Sami list or PC Sami</v>
      </c>
    </row>
    <row r="15103">
      <c r="A15103" s="1">
        <v>4.0</v>
      </c>
      <c r="B15103" s="1" t="s">
        <v>14851</v>
      </c>
      <c r="C15103" t="str">
        <f>IFERROR(__xludf.DUMMYFUNCTION("GOOGLETRANSLATE(B15103, ""fr"", ""en"")"),"Very nice happy with this product. Jo me easy to use")</f>
        <v>Very nice happy with this product. Jo me easy to use</v>
      </c>
    </row>
    <row r="15104">
      <c r="A15104" s="1">
        <v>4.0</v>
      </c>
      <c r="B15104" s="1" t="s">
        <v>14852</v>
      </c>
      <c r="C15104" t="str">
        <f>IFERROR(__xludf.DUMMYFUNCTION("GOOGLETRANSLATE(B15104, ""fr"", ""en"")"),"first visible effect immediate effect from the first use (30min elliptical) the skin is smoothed, skin effect of the decreased very orange. very very satisfied with the result, I was confused before using this sweat pants on the promised effects. single f"&amp;"lat belt is a little wide, and have a size greater than that usually reach. I recommend product")</f>
        <v>first visible effect immediate effect from the first use (30min elliptical) the skin is smoothed, skin effect of the decreased very orange. very very satisfied with the result, I was confused before using this sweat pants on the promised effects. single flat belt is a little wide, and have a size greater than that usually reach. I recommend product</v>
      </c>
    </row>
    <row r="15105">
      <c r="A15105" s="1">
        <v>4.0</v>
      </c>
      <c r="B15105" s="1" t="s">
        <v>14853</v>
      </c>
      <c r="C15105" t="str">
        <f>IFERROR(__xludf.DUMMYFUNCTION("GOOGLETRANSLATE(B15105, ""fr"", ""en"")"),"GOOD PRODUCT only complaint is the blue color of the block WHY? The blue color of the block gives the water used a blue color is very difficult to clean especially that it is really advisable to throw in the toilet WATERS RESULTING of dehumidifiers, conta"&amp;"minated water, toxic moreover with the products here WEAR GLOVES tO BEWARE oF SCREENINGS THEN tHIS COLOR BLUE FRO I prefer brands in translucent basic side efficiency of course, nothing wrong If you have a question and I can help it will be with pleasure "&amp;"We have more alert when a person makes a remark comment therefore to ask a question you must: 1 / click comments, 2 / on the screen right there is a text box for the question ""Do you have any questions ? Get quick answers from other customers. """)</f>
        <v>GOOD PRODUCT only complaint is the blue color of the block WHY? The blue color of the block gives the water used a blue color is very difficult to clean especially that it is really advisable to throw in the toilet WATERS RESULTING of dehumidifiers, contaminated water, toxic moreover with the products here WEAR GLOVES tO BEWARE oF SCREENINGS THEN tHIS COLOR BLUE FRO I prefer brands in translucent basic side efficiency of course, nothing wrong If you have a question and I can help it will be with pleasure We have more alert when a person makes a remark comment therefore to ask a question you must: 1 / click comments, 2 / on the screen right there is a text box for the question "Do you have any questions ? Get quick answers from other customers. "</v>
      </c>
    </row>
    <row r="15106">
      <c r="A15106" s="1">
        <v>4.0</v>
      </c>
      <c r="B15106" s="1" t="s">
        <v>14854</v>
      </c>
      <c r="C15106" t="str">
        <f>IFERROR(__xludf.DUMMYFUNCTION("GOOGLETRANSLATE(B15106, ""fr"", ""en"")"),"Columbia jacket size consistent with the really light yet tested description is waiting to see the cold if she would like Hot")</f>
        <v>Columbia jacket size consistent with the really light yet tested description is waiting to see the cold if she would like Hot</v>
      </c>
    </row>
    <row r="15107">
      <c r="A15107" s="1">
        <v>5.0</v>
      </c>
      <c r="B15107" s="1" t="s">
        <v>14855</v>
      </c>
      <c r="C15107" t="str">
        <f>IFERROR(__xludf.DUMMYFUNCTION("GOOGLETRANSLATE(B15107, ""fr"", ""en"")"),"bluff At the beginning threw very disappointed because it emits no odors but i test it on my shoes knowing that I sweat a lot of walking so shoes that fuzzy too, and after 24 h ell smells a real miracle I recommend really do not know how it works but ca a"&amp;"sspire the smell and it's really good")</f>
        <v>bluff At the beginning threw very disappointed because it emits no odors but i test it on my shoes knowing that I sweat a lot of walking so shoes that fuzzy too, and after 24 h ell smells a real miracle I recommend really do not know how it works but ca asspire the smell and it's really good</v>
      </c>
    </row>
    <row r="15108">
      <c r="A15108" s="1">
        <v>5.0</v>
      </c>
      <c r="B15108" s="1" t="s">
        <v>14856</v>
      </c>
      <c r="C15108" t="str">
        <f>IFERROR(__xludf.DUMMYFUNCTION("GOOGLETRANSLATE(B15108, ""fr"", ""en"")"),"Ras Increase dilution for better use of paints")</f>
        <v>Ras Increase dilution for better use of paints</v>
      </c>
    </row>
    <row r="15109">
      <c r="A15109" s="1">
        <v>5.0</v>
      </c>
      <c r="B15109" s="1" t="s">
        <v>14857</v>
      </c>
      <c r="C15109" t="str">
        <f>IFERROR(__xludf.DUMMYFUNCTION("GOOGLETRANSLATE(B15109, ""fr"", ""en"")"),"OK compliant. Timeliness. Very satisfied. I recommend")</f>
        <v>OK compliant. Timeliness. Very satisfied. I recommend</v>
      </c>
    </row>
    <row r="15110">
      <c r="A15110" s="1">
        <v>5.0</v>
      </c>
      <c r="B15110" s="1" t="s">
        <v>14858</v>
      </c>
      <c r="C15110" t="str">
        <f>IFERROR(__xludf.DUMMYFUNCTION("GOOGLETRANSLATE(B15110, ""fr"", ""en"")"),"Super Awesome quality I m using it all the time and I recommend especially handy is a pot delivered with")</f>
        <v>Super Awesome quality I m using it all the time and I recommend especially handy is a pot delivered with</v>
      </c>
    </row>
    <row r="15111">
      <c r="A15111" s="1">
        <v>5.0</v>
      </c>
      <c r="B15111" s="1" t="s">
        <v>14859</v>
      </c>
      <c r="C15111" t="str">
        <f>IFERROR(__xludf.DUMMYFUNCTION("GOOGLETRANSLATE(B15111, ""fr"", ""en"")"),"Why spend more? Good overall, but not excellent.")</f>
        <v>Why spend more? Good overall, but not excellent.</v>
      </c>
    </row>
    <row r="15112">
      <c r="A15112" s="1">
        <v>5.0</v>
      </c>
      <c r="B15112" s="1" t="s">
        <v>14860</v>
      </c>
      <c r="C15112" t="str">
        <f>IFERROR(__xludf.DUMMYFUNCTION("GOOGLETRANSLATE(B15112, ""fr"", ""en"")"),"very completely satisfied exactly the picture and size and good")</f>
        <v>very completely satisfied exactly the picture and size and good</v>
      </c>
    </row>
    <row r="15113">
      <c r="A15113" s="1">
        <v>5.0</v>
      </c>
      <c r="B15113" s="1" t="s">
        <v>14861</v>
      </c>
      <c r="C15113" t="str">
        <f>IFERROR(__xludf.DUMMYFUNCTION("GOOGLETRANSLATE(B15113, ""fr"", ""en"")"),"for a feed as in Advent This bottle comes with a nipple and cap. to environmentalists, this bottle glass ""natural"" is a must; in addition, it allows heating bottle warmer (or microwave, evenly throughout the volume of milk Cleaning (very important) is f"&amp;"acilitated since there is no scratches risaues;. The nipple mimics the breast;... my little girl had no trouble passing the maternal breast to bottle the product is made in France the neutral color goes for girl or boy This test product is approved by bab"&amp;"y I absolutely recommend!")</f>
        <v>for a feed as in Advent This bottle comes with a nipple and cap. to environmentalists, this bottle glass "natural" is a must; in addition, it allows heating bottle warmer (or microwave, evenly throughout the volume of milk Cleaning (very important) is facilitated since there is no scratches risaues;. The nipple mimics the breast;... my little girl had no trouble passing the maternal breast to bottle the product is made in France the neutral color goes for girl or boy This test product is approved by baby I absolutely recommend!</v>
      </c>
    </row>
    <row r="15114">
      <c r="A15114" s="1">
        <v>5.0</v>
      </c>
      <c r="B15114" s="1" t="s">
        <v>14862</v>
      </c>
      <c r="C15114" t="str">
        <f>IFERROR(__xludf.DUMMYFUNCTION("GOOGLETRANSLATE(B15114, ""fr"", ""en"")"),"Good product Quick service nothing to say shoes impeccable")</f>
        <v>Good product Quick service nothing to say shoes impeccable</v>
      </c>
    </row>
    <row r="15115">
      <c r="A15115" s="1">
        <v>5.0</v>
      </c>
      <c r="B15115" s="1" t="s">
        <v>14863</v>
      </c>
      <c r="C15115" t="str">
        <f>IFERROR(__xludf.DUMMYFUNCTION("GOOGLETRANSLATE(B15115, ""fr"", ""en"")"),"Comfort I use these shoes in my work because I'm standing all day and I do not like to wear flat shoes")</f>
        <v>Comfort I use these shoes in my work because I'm standing all day and I do not like to wear flat shoes</v>
      </c>
    </row>
    <row r="15116">
      <c r="A15116" s="1">
        <v>5.0</v>
      </c>
      <c r="B15116" s="1" t="s">
        <v>14864</v>
      </c>
      <c r="C15116" t="str">
        <f>IFERROR(__xludf.DUMMYFUNCTION("GOOGLETRANSLATE(B15116, ""fr"", ""en"")"),"PERFECT Fast delivery. comfortable and pleasant to wear Product")</f>
        <v>PERFECT Fast delivery. comfortable and pleasant to wear Product</v>
      </c>
    </row>
    <row r="15117">
      <c r="A15117" s="1">
        <v>5.0</v>
      </c>
      <c r="B15117" s="1" t="s">
        <v>14865</v>
      </c>
      <c r="C15117" t="str">
        <f>IFERROR(__xludf.DUMMYFUNCTION("GOOGLETRANSLATE(B15117, ""fr"", ""en"")"),"Nothing to say I recommend skechers Skechers comfort and quality reliable brand 100% fine very comfortable shoe as usual I am never disappointed by the brand thank you")</f>
        <v>Nothing to say I recommend skechers Skechers comfort and quality reliable brand 100% fine very comfortable shoe as usual I am never disappointed by the brand thank you</v>
      </c>
    </row>
    <row r="15118">
      <c r="A15118" s="1">
        <v>5.0</v>
      </c>
      <c r="B15118" s="1" t="s">
        <v>14866</v>
      </c>
      <c r="C15118" t="str">
        <f>IFERROR(__xludf.DUMMYFUNCTION("GOOGLETRANSLATE(B15118, ""fr"", ""en"")"),"Hello Rapor value for use with a musical instrument Korg pa 700")</f>
        <v>Hello Rapor value for use with a musical instrument Korg pa 700</v>
      </c>
    </row>
    <row r="15119">
      <c r="A15119" s="1">
        <v>5.0</v>
      </c>
      <c r="B15119" s="1" t="s">
        <v>14867</v>
      </c>
      <c r="C15119" t="str">
        <f>IFERROR(__xludf.DUMMYFUNCTION("GOOGLETRANSLATE(B15119, ""fr"", ""en"")"),"Good product, good sound quality good small headset product, suitable for children. Its good. Good value for money.")</f>
        <v>Good product, good sound quality good small headset product, suitable for children. Its good. Good value for money.</v>
      </c>
    </row>
    <row r="15120">
      <c r="A15120" s="1">
        <v>5.0</v>
      </c>
      <c r="B15120" s="1" t="s">
        <v>14868</v>
      </c>
      <c r="C15120" t="str">
        <f>IFERROR(__xludf.DUMMYFUNCTION("GOOGLETRANSLATE(B15120, ""fr"", ""en"")"),"Very nice and works great very nice surprise to unpack my diffuser. It is very pretty with a nice shape and faux wood. The light is soft and pleasant. It gives a cocooning atmosphere in my living room. Operation is simple to understand, the timer is conve"&amp;"nient and the spout to fill is useful (Small details that make the difference). It goes perfectly in my deco. Very good product")</f>
        <v>Very nice and works great very nice surprise to unpack my diffuser. It is very pretty with a nice shape and faux wood. The light is soft and pleasant. It gives a cocooning atmosphere in my living room. Operation is simple to understand, the timer is convenient and the spout to fill is useful (Small details that make the difference). It goes perfectly in my deco. Very good product</v>
      </c>
    </row>
    <row r="15121">
      <c r="A15121" s="1">
        <v>5.0</v>
      </c>
      <c r="B15121" s="1" t="s">
        <v>14869</v>
      </c>
      <c r="C15121" t="str">
        <f>IFERROR(__xludf.DUMMYFUNCTION("GOOGLETRANSLATE(B15121, ""fr"", ""en"")"),"superb consistent")</f>
        <v>superb consistent</v>
      </c>
    </row>
    <row r="15122">
      <c r="A15122" s="1">
        <v>2.0</v>
      </c>
      <c r="B15122" s="1" t="s">
        <v>14870</v>
      </c>
      <c r="C15122" t="str">
        <f>IFERROR(__xludf.DUMMYFUNCTION("GOOGLETRANSLATE(B15122, ""fr"", ""en"")"),"parcel foot the narrow ... not wide enough in my case, and soon we sweat in")</f>
        <v>parcel foot the narrow ... not wide enough in my case, and soon we sweat in</v>
      </c>
    </row>
    <row r="15123">
      <c r="A15123" s="1">
        <v>1.0</v>
      </c>
      <c r="B15123" s="1" t="s">
        <v>14871</v>
      </c>
      <c r="C15123" t="str">
        <f>IFERROR(__xludf.DUMMYFUNCTION("GOOGLETRANSLATE(B15123, ""fr"", ""en"")"),"Poor It may be cheap, but the quality is terrible. The gold plating is like plastic.")</f>
        <v>Poor It may be cheap, but the quality is terrible. The gold plating is like plastic.</v>
      </c>
    </row>
    <row r="15124">
      <c r="A15124" s="1">
        <v>1.0</v>
      </c>
      <c r="B15124" s="1" t="s">
        <v>14872</v>
      </c>
      <c r="C15124" t="str">
        <f>IFERROR(__xludf.DUMMYFUNCTION("GOOGLETRANSLATE(B15124, ""fr"", ""en"")"),"What a disappointment This game is a real disappointment that the initial idea is interesting. In fact the pen is also a timer is a cool design, especially with his little noise countdown but nothing is led into a winning play. The duration of the timer i"&amp;"n the pen is much too short as 15 seconds this is not enough for children 8 even 10 years. Should be that we can at least go up to one minute so that children can have the time to think about what to draw and then to the drawing. In another definitions of"&amp;" words to draw can be much too complicated for children below 12 years. It is regrettable that the definition of cards do not offer different levels of difficulty because it is a real brake for the youngest. This game is not to offer a child under 12 year"&amp;"s and it's a shame 😕")</f>
        <v>What a disappointment This game is a real disappointment that the initial idea is interesting. In fact the pen is also a timer is a cool design, especially with his little noise countdown but nothing is led into a winning play. The duration of the timer in the pen is much too short as 15 seconds this is not enough for children 8 even 10 years. Should be that we can at least go up to one minute so that children can have the time to think about what to draw and then to the drawing. In another definitions of words to draw can be much too complicated for children below 12 years. It is regrettable that the definition of cards do not offer different levels of difficulty because it is a real brake for the youngest. This game is not to offer a child under 12 years and it's a shame 😕</v>
      </c>
    </row>
    <row r="15125">
      <c r="A15125" s="1">
        <v>3.0</v>
      </c>
      <c r="B15125" s="1" t="s">
        <v>14873</v>
      </c>
      <c r="C15125" t="str">
        <f>IFERROR(__xludf.DUMMYFUNCTION("GOOGLETRANSLATE(B15125, ""fr"", ""en"")"),"the color is not controlled I have buy several polar Hooded but there are several crayon turquoise and since c was for cheerleaders club I'm a little disappointed with my purchase")</f>
        <v>the color is not controlled I have buy several polar Hooded but there are several crayon turquoise and since c was for cheerleaders club I'm a little disappointed with my purchase</v>
      </c>
    </row>
    <row r="15126">
      <c r="A15126" s="1">
        <v>3.0</v>
      </c>
      <c r="B15126" s="1" t="s">
        <v>14874</v>
      </c>
      <c r="C15126" t="str">
        <f>IFERROR(__xludf.DUMMYFUNCTION("GOOGLETRANSLATE(B15126, ""fr"", ""en"")"),"Not very efficient I am a little disappointed in this product because it is not effective as a broadcaster. must be at least one meter to be able to feel the ET when I was broadcasters who arrived to spread throughout the room (18m2 room) and there nothin"&amp;"g so so. by against the design colors consistent with the description. I would not recommend this product")</f>
        <v>Not very efficient I am a little disappointed in this product because it is not effective as a broadcaster. must be at least one meter to be able to feel the ET when I was broadcasters who arrived to spread throughout the room (18m2 room) and there nothing so so. by against the design colors consistent with the description. I would not recommend this product</v>
      </c>
    </row>
    <row r="15127">
      <c r="A15127" s="1">
        <v>4.0</v>
      </c>
      <c r="B15127" s="1" t="s">
        <v>14875</v>
      </c>
      <c r="C15127" t="str">
        <f>IFERROR(__xludf.DUMMYFUNCTION("GOOGLETRANSLATE(B15127, ""fr"", ""en"")"),"Expensive but good longevity and quality This product, like all HP ink is expensive. However, the ink lasts longer and does not dry.")</f>
        <v>Expensive but good longevity and quality This product, like all HP ink is expensive. However, the ink lasts longer and does not dry.</v>
      </c>
    </row>
    <row r="15128">
      <c r="A15128" s="1">
        <v>4.0</v>
      </c>
      <c r="B15128" s="1" t="s">
        <v>14876</v>
      </c>
      <c r="C15128" t="str">
        <f>IFERROR(__xludf.DUMMYFUNCTION("GOOGLETRANSLATE(B15128, ""fr"", ""en"")"),"Excellent tip qualitée but wears faster Strengths: - The headphones are aesthetically well done and very pretty. - Sound quality is excellent better than many headphones, ideal for the gaming. - The cable is long enough. - Headphones are magnetized conven"&amp;"ient for storing in the cover (supplied). - Very well packed and many tip type 2 (classic or comfort x3 x3 has memory of form) of different sizes. - Ability to purchase additional caps separately. - Ideal for game like CS: GO, PUBG, Fortnite, etc. (for fo"&amp;"otsteps and his little useful). - Micro included - adapter jack port 1 to 2 (microphone and earphone) - Security 5 foncrionnement not negligible. Cons: - The comfort certe tips are ideal for the gaming and high comfort but or after 1 and a half months the"&amp;"y are already very worn. I have daily use and rather long but I admit 1 and a half months is still very light. - Heavy enough for headphones (but still reasonable). - 9,90 € for additional tip that makes an expensive can. Neutral point: - Price high to he"&amp;"adphones, however it is justified by the quality of the product very good and ESR can largely competed with helmets, can not find a helmet in the same price range with similar quality. To conclude I am very satisfied with his headphones to me they are of "&amp;"good quality / price ratio, I recommended to the gaming mostly, I often listen to music but am no expert on the musk are for so I can just invite you to do your own personal opinion I find it excellent for music also. I recommend.")</f>
        <v>Excellent tip qualitée but wears faster Strengths: - The headphones are aesthetically well done and very pretty. - Sound quality is excellent better than many headphones, ideal for the gaming. - The cable is long enough. - Headphones are magnetized convenient for storing in the cover (supplied). - Very well packed and many tip type 2 (classic or comfort x3 x3 has memory of form) of different sizes. - Ability to purchase additional caps separately. - Ideal for game like CS: GO, PUBG, Fortnite, etc. (for footsteps and his little useful). - Micro included - adapter jack port 1 to 2 (microphone and earphone) - Security 5 foncrionnement not negligible. Cons: - The comfort certe tips are ideal for the gaming and high comfort but or after 1 and a half months they are already very worn. I have daily use and rather long but I admit 1 and a half months is still very light. - Heavy enough for headphones (but still reasonable). - 9,90 € for additional tip that makes an expensive can. Neutral point: - Price high to headphones, however it is justified by the quality of the product very good and ESR can largely competed with helmets, can not find a helmet in the same price range with similar quality. To conclude I am very satisfied with his headphones to me they are of good quality / price ratio, I recommended to the gaming mostly, I often listen to music but am no expert on the musk are for so I can just invite you to do your own personal opinion I find it excellent for music also. I recommend.</v>
      </c>
    </row>
    <row r="15129">
      <c r="A15129" s="1">
        <v>4.0</v>
      </c>
      <c r="B15129" s="1" t="s">
        <v>14877</v>
      </c>
      <c r="C15129" t="str">
        <f>IFERROR(__xludf.DUMMYFUNCTION("GOOGLETRANSLATE(B15129, ""fr"", ""en"")"),"good sandals This is good sturdy shoes and comfortable. do not hesitate to take one size smaller than your usual size they Shoe big. What about others? Oh yes you can walk with, put socks or not if you want to give a little ridiculous (lemon yellow or app"&amp;"le green is not bad)")</f>
        <v>good sandals This is good sturdy shoes and comfortable. do not hesitate to take one size smaller than your usual size they Shoe big. What about others? Oh yes you can walk with, put socks or not if you want to give a little ridiculous (lemon yellow or apple green is not bad)</v>
      </c>
    </row>
    <row r="15130">
      <c r="A15130" s="1">
        <v>4.0</v>
      </c>
      <c r="B15130" s="1" t="s">
        <v>14878</v>
      </c>
      <c r="C15130" t="str">
        <f>IFERROR(__xludf.DUMMYFUNCTION("GOOGLETRANSLATE(B15130, ""fr"", ""en"")"),"Exquisite What difference properly hear his voice! I make several types of recording and the sound quality is different. We hear me very clearly and quietly. The ability to adjust in several modes, can be a return of votes Perfect! By cons, attention to t"&amp;"he paint that can quickly flake on impact or at the site of fixation antipop.")</f>
        <v>Exquisite What difference properly hear his voice! I make several types of recording and the sound quality is different. We hear me very clearly and quietly. The ability to adjust in several modes, can be a return of votes Perfect! By cons, attention to the paint that can quickly flake on impact or at the site of fixation antipop.</v>
      </c>
    </row>
    <row r="15131">
      <c r="A15131" s="1">
        <v>5.0</v>
      </c>
      <c r="B15131" s="1" t="s">
        <v>14879</v>
      </c>
      <c r="C15131" t="str">
        <f>IFERROR(__xludf.DUMMYFUNCTION("GOOGLETRANSLATE(B15131, ""fr"", ""en"")"),"Very convenient! Thermos to heat bottles and baby food jars handy, clever and less expensive than other more or less similar products on the market. Guard heat very well (after 4 hours, water was still boiling). Easy to take on trips, walks. Simply secure"&amp;"ly lock the plug with the positions on / off. I highly recommend this product!")</f>
        <v>Very convenient! Thermos to heat bottles and baby food jars handy, clever and less expensive than other more or less similar products on the market. Guard heat very well (after 4 hours, water was still boiling). Easy to take on trips, walks. Simply securely lock the plug with the positions on / off. I highly recommend this product!</v>
      </c>
    </row>
    <row r="15132">
      <c r="A15132" s="1">
        <v>5.0</v>
      </c>
      <c r="B15132" s="1" t="s">
        <v>14880</v>
      </c>
      <c r="C15132" t="str">
        <f>IFERROR(__xludf.DUMMYFUNCTION("GOOGLETRANSLATE(B15132, ""fr"", ""en"")"),"Consistent with the description consistent with the description. Good quality. OK size")</f>
        <v>Consistent with the description consistent with the description. Good quality. OK size</v>
      </c>
    </row>
    <row r="15133">
      <c r="A15133" s="1">
        <v>5.0</v>
      </c>
      <c r="B15133" s="1" t="s">
        <v>14881</v>
      </c>
      <c r="C15133" t="str">
        <f>IFERROR(__xludf.DUMMYFUNCTION("GOOGLETRANSLATE(B15133, ""fr"", ""en"")"),"I advice Very satisfied")</f>
        <v>I advice Very satisfied</v>
      </c>
    </row>
    <row r="15134">
      <c r="A15134" s="1">
        <v>5.0</v>
      </c>
      <c r="B15134" s="1" t="s">
        <v>14882</v>
      </c>
      <c r="C15134" t="str">
        <f>IFERROR(__xludf.DUMMYFUNCTION("GOOGLETRANSLATE(B15134, ""fr"", ""en"")"),"Pretty and comfortable to wear Very nice cap clean design! I am glad ! Is easily adjusted by sliding clamp. Its flexible and lightweight material makes it a nice item to wear! I recommend")</f>
        <v>Pretty and comfortable to wear Very nice cap clean design! I am glad ! Is easily adjusted by sliding clamp. Its flexible and lightweight material makes it a nice item to wear! I recommend</v>
      </c>
    </row>
    <row r="15135">
      <c r="A15135" s="1">
        <v>5.0</v>
      </c>
      <c r="B15135" s="1" t="s">
        <v>14883</v>
      </c>
      <c r="C15135" t="str">
        <f>IFERROR(__xludf.DUMMYFUNCTION("GOOGLETRANSLATE(B15135, ""fr"", ""en"")"),"Recommend eyes closed Very practical, the brush is design and does not ""&amp; nbsp; &amp; nbsp task;"" in the kitchen. The base will retrieve the water without putting everywhere. Very happy with my purchase")</f>
        <v>Recommend eyes closed Very practical, the brush is design and does not "&amp; nbsp; &amp; nbsp task;" in the kitchen. The base will retrieve the water without putting everywhere. Very happy with my purchase</v>
      </c>
    </row>
    <row r="15136">
      <c r="A15136" s="1">
        <v>5.0</v>
      </c>
      <c r="B15136" s="1" t="s">
        <v>14884</v>
      </c>
      <c r="C15136" t="str">
        <f>IFERROR(__xludf.DUMMYFUNCTION("GOOGLETRANSLATE(B15136, ""fr"", ""en"")"),"1 year and 7 months. A small jewelry that had me seemed expensive at the time but I do not regret your purchase! It is now 1 year and 7 months that I have and it is still fully functional and yet I give him no rest with an average use of 4 hours a day he "&amp;"does not flinch. The only thing I could possibly fault it would be the mute button that sometimes you re-press again for good or mute the microphone on again but it is not very disturbing. Go for it without hesitation and regardless of the use you make of"&amp;" it, players, youtubers, stream, or simply for long conversations with family, it is very good.")</f>
        <v>1 year and 7 months. A small jewelry that had me seemed expensive at the time but I do not regret your purchase! It is now 1 year and 7 months that I have and it is still fully functional and yet I give him no rest with an average use of 4 hours a day he does not flinch. The only thing I could possibly fault it would be the mute button that sometimes you re-press again for good or mute the microphone on again but it is not very disturbing. Go for it without hesitation and regardless of the use you make of it, players, youtubers, stream, or simply for long conversations with family, it is very good.</v>
      </c>
    </row>
    <row r="15137">
      <c r="A15137" s="1">
        <v>5.0</v>
      </c>
      <c r="B15137" s="1" t="s">
        <v>14885</v>
      </c>
      <c r="C15137" t="str">
        <f>IFERROR(__xludf.DUMMYFUNCTION("GOOGLETRANSLATE(B15137, ""fr"", ""en"")"),"Okay My son is delighted with his new pair of sneakers. They seem of good quality and size corresponds to the size.")</f>
        <v>Okay My son is delighted with his new pair of sneakers. They seem of good quality and size corresponds to the size.</v>
      </c>
    </row>
    <row r="15138">
      <c r="A15138" s="1">
        <v>5.0</v>
      </c>
      <c r="B15138" s="1" t="s">
        <v>14886</v>
      </c>
      <c r="C15138" t="str">
        <f>IFERROR(__xludf.DUMMYFUNCTION("GOOGLETRANSLATE(B15138, ""fr"", ""en"")"),"Practice for Sport Being a runner and did not like the wired earphones, I was tempted by these headphones. This is useful to have Bluetooth headphones without taking over the helmet in the movements of the race. They take the hassle ears. The product was "&amp;"shipped with a small hard case and round, handy for storing in the gym bag. The battery life is good. I still have not loaded the headphones after 3 hour sessions. Quality is in line with my expectations for headphones. One can listen to music without bei"&amp;"ng disturbed by sounds / noise / ... Regarding the design, it is still likely but tastes and colors are unique to chacun.J'aime well. I am satisfied with the product and recommend it.")</f>
        <v>Practice for Sport Being a runner and did not like the wired earphones, I was tempted by these headphones. This is useful to have Bluetooth headphones without taking over the helmet in the movements of the race. They take the hassle ears. The product was shipped with a small hard case and round, handy for storing in the gym bag. The battery life is good. I still have not loaded the headphones after 3 hour sessions. Quality is in line with my expectations for headphones. One can listen to music without being disturbed by sounds / noise / ... Regarding the design, it is still likely but tastes and colors are unique to chacun.J'aime well. I am satisfied with the product and recommend it.</v>
      </c>
    </row>
    <row r="15139">
      <c r="A15139" s="1">
        <v>5.0</v>
      </c>
      <c r="B15139" s="1" t="s">
        <v>14887</v>
      </c>
      <c r="C15139" t="str">
        <f>IFERROR(__xludf.DUMMYFUNCTION("GOOGLETRANSLATE(B15139, ""fr"", ""en"")"),"Beautiful color ... super comfortable ... beautiful! Beautiful shoes, very comfortable. I really like the color. The price is very attractive. I love them !")</f>
        <v>Beautiful color ... super comfortable ... beautiful! Beautiful shoes, very comfortable. I really like the color. The price is very attractive. I love them !</v>
      </c>
    </row>
    <row r="15140">
      <c r="A15140" s="1">
        <v>5.0</v>
      </c>
      <c r="B15140" s="1" t="s">
        <v>14888</v>
      </c>
      <c r="C15140" t="str">
        <f>IFERROR(__xludf.DUMMYFUNCTION("GOOGLETRANSLATE(B15140, ""fr"", ""en"")"),"Quality / Price impeccable! Received May 4, and frankly this cable has been manufactured with care and seriousness. Of suitable size, designed to connect three fans 4pins therefore ideal for PWM standard. I advice to the motherboard with little fan connec"&amp;"tors.")</f>
        <v>Quality / Price impeccable! Received May 4, and frankly this cable has been manufactured with care and seriousness. Of suitable size, designed to connect three fans 4pins therefore ideal for PWM standard. I advice to the motherboard with little fan connectors.</v>
      </c>
    </row>
    <row r="15141">
      <c r="A15141" s="1">
        <v>5.0</v>
      </c>
      <c r="B15141" s="1" t="s">
        <v>14889</v>
      </c>
      <c r="C15141" t="str">
        <f>IFERROR(__xludf.DUMMYFUNCTION("GOOGLETRANSLATE(B15141, ""fr"", ""en"")"),"nothing wrong is converse converse who does not know this is a must for many years when the size take a size smaller")</f>
        <v>nothing wrong is converse converse who does not know this is a must for many years when the size take a size smaller</v>
      </c>
    </row>
    <row r="15142">
      <c r="A15142" s="1">
        <v>5.0</v>
      </c>
      <c r="B15142" s="1" t="s">
        <v>14890</v>
      </c>
      <c r="C15142" t="str">
        <f>IFERROR(__xludf.DUMMYFUNCTION("GOOGLETRANSLATE(B15142, ""fr"", ""en"")"),"First nice thank you wrong size delivery, not the same as I ordered, received another thank you. Just remove one size compare to the table as a larger can otherwise very nice thank you")</f>
        <v>First nice thank you wrong size delivery, not the same as I ordered, received another thank you. Just remove one size compare to the table as a larger can otherwise very nice thank you</v>
      </c>
    </row>
    <row r="15143">
      <c r="A15143" s="1">
        <v>5.0</v>
      </c>
      <c r="B15143" s="1" t="s">
        <v>14891</v>
      </c>
      <c r="C15143" t="str">
        <f>IFERROR(__xludf.DUMMYFUNCTION("GOOGLETRANSLATE(B15143, ""fr"", ""en"")"),"Fast, quiet fast kettle, with the setting of the convenient temperature for tea lovers, silent. The fact she does Thermos is a real plus. Very happy with my purchase.")</f>
        <v>Fast, quiet fast kettle, with the setting of the convenient temperature for tea lovers, silent. The fact she does Thermos is a real plus. Very happy with my purchase.</v>
      </c>
    </row>
    <row r="15144">
      <c r="A15144" s="1">
        <v>5.0</v>
      </c>
      <c r="B15144" s="1" t="s">
        <v>14892</v>
      </c>
      <c r="C15144" t="str">
        <f>IFERROR(__xludf.DUMMYFUNCTION("GOOGLETRANSLATE(B15144, ""fr"", ""en"")"),"Shoe Very comfortable all day, hot, I buy a pair of different color every winter. Dark Navy Blue, perfect! Casual but also to work.")</f>
        <v>Shoe Very comfortable all day, hot, I buy a pair of different color every winter. Dark Navy Blue, perfect! Casual but also to work.</v>
      </c>
    </row>
    <row r="15145">
      <c r="A15145" s="1">
        <v>5.0</v>
      </c>
      <c r="B15145" s="1" t="s">
        <v>14893</v>
      </c>
      <c r="C15145" t="str">
        <f>IFERROR(__xludf.DUMMYFUNCTION("GOOGLETRANSLATE(B15145, ""fr"", ""en"")"),"Send quick Magnificent")</f>
        <v>Send quick Magnificent</v>
      </c>
    </row>
    <row r="15146">
      <c r="A15146" s="1">
        <v>2.0</v>
      </c>
      <c r="B15146" s="1" t="s">
        <v>14894</v>
      </c>
      <c r="C15146" t="str">
        <f>IFERROR(__xludf.DUMMYFUNCTION("GOOGLETRANSLATE(B15146, ""fr"", ""en"")"),"Box opened and damaged 2nd time I order this pack. The first time the box was slightly damaged but OK. The cartridges have done their job. Against by the second time, the carton is in terrible condition, open, with shocks several places of the box. I do n"&amp;"ot even know if the cartridges are in working order .. In short very disappointed.")</f>
        <v>Box opened and damaged 2nd time I order this pack. The first time the box was slightly damaged but OK. The cartridges have done their job. Against by the second time, the carton is in terrible condition, open, with shocks several places of the box. I do not even know if the cartridges are in working order .. In short very disappointed.</v>
      </c>
    </row>
    <row r="15147">
      <c r="A15147" s="1">
        <v>1.0</v>
      </c>
      <c r="B15147" s="1" t="s">
        <v>14895</v>
      </c>
      <c r="C15147" t="str">
        <f>IFERROR(__xludf.DUMMYFUNCTION("GOOGLETRANSLATE(B15147, ""fr"", ""en"")"),"Article damaged item damaged right foot visibly crushed !!!")</f>
        <v>Article damaged item damaged right foot visibly crushed !!!</v>
      </c>
    </row>
    <row r="15148">
      <c r="A15148" s="1">
        <v>1.0</v>
      </c>
      <c r="B15148" s="1" t="s">
        <v>14896</v>
      </c>
      <c r="C15148" t="str">
        <f>IFERROR(__xludf.DUMMYFUNCTION("GOOGLETRANSLATE(B15148, ""fr"", ""en"")"),"earrings Not enough showy, too small!")</f>
        <v>earrings Not enough showy, too small!</v>
      </c>
    </row>
    <row r="15149">
      <c r="A15149" s="1">
        <v>3.0</v>
      </c>
      <c r="B15149" s="1" t="s">
        <v>14897</v>
      </c>
      <c r="C15149" t="str">
        <f>IFERROR(__xludf.DUMMYFUNCTION("GOOGLETRANSLATE(B15149, ""fr"", ""en"")"),"A mixed reception I was pretty happy because they are nice but after the assets put only two times they have changed color! So I can not bring them because it is not pretty. So disappointed for that")</f>
        <v>A mixed reception I was pretty happy because they are nice but after the assets put only two times they have changed color! So I can not bring them because it is not pretty. So disappointed for that</v>
      </c>
    </row>
    <row r="15150">
      <c r="A15150" s="1">
        <v>4.0</v>
      </c>
      <c r="B15150" s="1" t="s">
        <v>14898</v>
      </c>
      <c r="C15150" t="str">
        <f>IFERROR(__xludf.DUMMYFUNCTION("GOOGLETRANSLATE(B15150, ""fr"", ""en"")"),"Good quality socks beautiful bill, glides well in the feet, the material is quite soft There are consistent with my waiting")</f>
        <v>Good quality socks beautiful bill, glides well in the feet, the material is quite soft There are consistent with my waiting</v>
      </c>
    </row>
    <row r="15151">
      <c r="A15151" s="1">
        <v>4.0</v>
      </c>
      <c r="B15151" s="1" t="s">
        <v>14899</v>
      </c>
      <c r="C15151" t="str">
        <f>IFERROR(__xludf.DUMMYFUNCTION("GOOGLETRANSLATE(B15151, ""fr"", ""en"")"),"You want the stereo with your ear, that s'passe here Very good quality / price ratio, the document is only in Chinese, but you have the manual in English available on the net. for the ""STEREO"" must be manipulated to synchronize first the left atrium to "&amp;"the right one, and only then synchronize Bluetooth headset straight to your smartphone. For a tutorial video on youtube")</f>
        <v>You want the stereo with your ear, that s'passe here Very good quality / price ratio, the document is only in Chinese, but you have the manual in English available on the net. for the "STEREO" must be manipulated to synchronize first the left atrium to the right one, and only then synchronize Bluetooth headset straight to your smartphone. For a tutorial video on youtube</v>
      </c>
    </row>
    <row r="15152">
      <c r="A15152" s="1">
        <v>4.0</v>
      </c>
      <c r="B15152" s="1" t="s">
        <v>14900</v>
      </c>
      <c r="C15152" t="str">
        <f>IFERROR(__xludf.DUMMYFUNCTION("GOOGLETRANSLATE(B15152, ""fr"", ""en"")"),"Gift Idea make nice gifts. Resists time.")</f>
        <v>Gift Idea make nice gifts. Resists time.</v>
      </c>
    </row>
    <row r="15153">
      <c r="A15153" s="1">
        <v>4.0</v>
      </c>
      <c r="B15153" s="1" t="s">
        <v>14901</v>
      </c>
      <c r="C15153" t="str">
        <f>IFERROR(__xludf.DUMMYFUNCTION("GOOGLETRANSLATE(B15153, ""fr"", ""en"")"),"Okay ... but less comfortable what the previous model of the brand, these shoes are very pretty and the AMAZON price is great! Like always.")</f>
        <v>Okay ... but less comfortable what the previous model of the brand, these shoes are very pretty and the AMAZON price is great! Like always.</v>
      </c>
    </row>
    <row r="15154">
      <c r="A15154" s="1">
        <v>5.0</v>
      </c>
      <c r="B15154" s="1" t="s">
        <v>14902</v>
      </c>
      <c r="C15154" t="str">
        <f>IFERROR(__xludf.DUMMYFUNCTION("GOOGLETRANSLATE(B15154, ""fr"", ""en"")"),"lightweight and well I was tired of taking my brush to the fireplace, ditto for the barbecue. I am part of that very light .aspirarateur which sucks out the ashes .j waited that they cool by cons. for party blower c is sufficient to collect the ashes avoi"&amp;"ding it too collapses faster everywhere. After c is a pity that he didn wheels .certe there the weight is light, but sometimes the wheels may be utiles.bon value for money")</f>
        <v>lightweight and well I was tired of taking my brush to the fireplace, ditto for the barbecue. I am part of that very light .aspirarateur which sucks out the ashes .j waited that they cool by cons. for party blower c is sufficient to collect the ashes avoiding it too collapses faster everywhere. After c is a pity that he didn wheels .certe there the weight is light, but sometimes the wheels may be utiles.bon value for money</v>
      </c>
    </row>
    <row r="15155">
      <c r="A15155" s="1">
        <v>5.0</v>
      </c>
      <c r="B15155" s="1" t="s">
        <v>14903</v>
      </c>
      <c r="C15155" t="str">
        <f>IFERROR(__xludf.DUMMYFUNCTION("GOOGLETRANSLATE(B15155, ""fr"", ""en"")"),"It sticks ! Basic scotch Lot of good quality, not too late. Satisfied with my purchase because I use a lot. Interesting price")</f>
        <v>It sticks ! Basic scotch Lot of good quality, not too late. Satisfied with my purchase because I use a lot. Interesting price</v>
      </c>
    </row>
    <row r="15156">
      <c r="A15156" s="1">
        <v>5.0</v>
      </c>
      <c r="B15156" s="1" t="s">
        <v>14904</v>
      </c>
      <c r="C15156" t="str">
        <f>IFERROR(__xludf.DUMMYFUNCTION("GOOGLETRANSLATE(B15156, ""fr"", ""en"")"),"Plush soft sounds very sweet An adorable teddy toutedouce, not too big nor too small. The advantage small sounds are not hard to the ears of our children. One important thing the machine run and possible because the system with batteries abducted s plush.")</f>
        <v>Plush soft sounds very sweet An adorable teddy toutedouce, not too big nor too small. The advantage small sounds are not hard to the ears of our children. One important thing the machine run and possible because the system with batteries abducted s plush.</v>
      </c>
    </row>
    <row r="15157">
      <c r="A15157" s="1">
        <v>5.0</v>
      </c>
      <c r="B15157" s="1" t="s">
        <v>14905</v>
      </c>
      <c r="C15157" t="str">
        <f>IFERROR(__xludf.DUMMYFUNCTION("GOOGLETRANSLATE(B15157, ""fr"", ""en"")"),"Trustworthy seller. Good equips semi professional.")</f>
        <v>Trustworthy seller. Good equips semi professional.</v>
      </c>
    </row>
    <row r="15158">
      <c r="A15158" s="1">
        <v>5.0</v>
      </c>
      <c r="B15158" s="1" t="s">
        <v>14906</v>
      </c>
      <c r="C15158" t="str">
        <f>IFERROR(__xludf.DUMMYFUNCTION("GOOGLETRANSLATE(B15158, ""fr"", ""en"")"),"Class Very nice watch, bracelet thick leather. Dress Watch, suitable for all occasions")</f>
        <v>Class Very nice watch, bracelet thick leather. Dress Watch, suitable for all occasions</v>
      </c>
    </row>
    <row r="15159">
      <c r="A15159" s="1">
        <v>5.0</v>
      </c>
      <c r="B15159" s="1" t="s">
        <v>14907</v>
      </c>
      <c r="C15159" t="str">
        <f>IFERROR(__xludf.DUMMYFUNCTION("GOOGLETRANSLATE(B15159, ""fr"", ""en"")"),"Simple and practical Super easy and very adherent on the walls clean and in good condition")</f>
        <v>Simple and practical Super easy and very adherent on the walls clean and in good condition</v>
      </c>
    </row>
    <row r="15160">
      <c r="A15160" s="1">
        <v>5.0</v>
      </c>
      <c r="B15160" s="1" t="s">
        <v>14908</v>
      </c>
      <c r="C15160" t="str">
        <f>IFERROR(__xludf.DUMMYFUNCTION("GOOGLETRANSLATE(B15160, ""fr"", ""en"")"),"Although Jolie")</f>
        <v>Although Jolie</v>
      </c>
    </row>
    <row r="15161">
      <c r="A15161" s="1">
        <v>5.0</v>
      </c>
      <c r="B15161" s="1" t="s">
        <v>14909</v>
      </c>
      <c r="C15161" t="str">
        <f>IFERROR(__xludf.DUMMYFUNCTION("GOOGLETRANSLATE(B15161, ""fr"", ""en"")"),"Necklace Good product")</f>
        <v>Necklace Good product</v>
      </c>
    </row>
    <row r="15162">
      <c r="A15162" s="1">
        <v>5.0</v>
      </c>
      <c r="B15162" s="1" t="s">
        <v>14910</v>
      </c>
      <c r="C15162" t="str">
        <f>IFERROR(__xludf.DUMMYFUNCTION("GOOGLETRANSLATE(B15162, ""fr"", ""en"")"),"Ideal pr answer questions from small Too early response issues")</f>
        <v>Ideal pr answer questions from small Too early response issues</v>
      </c>
    </row>
    <row r="15163">
      <c r="A15163" s="1">
        <v>5.0</v>
      </c>
      <c r="B15163" s="1" t="s">
        <v>14911</v>
      </c>
      <c r="C15163" t="str">
        <f>IFERROR(__xludf.DUMMYFUNCTION("GOOGLETRANSLATE(B15163, ""fr"", ""en"")"),"Wonderful scent I love The fragrance is beautiful I am very happy Product quality is fantastic scent is diffused in every room of my home")</f>
        <v>Wonderful scent I love The fragrance is beautiful I am very happy Product quality is fantastic scent is diffused in every room of my home</v>
      </c>
    </row>
    <row r="15164">
      <c r="A15164" s="1">
        <v>5.0</v>
      </c>
      <c r="B15164" s="1" t="s">
        <v>14912</v>
      </c>
      <c r="C15164" t="str">
        <f>IFERROR(__xludf.DUMMYFUNCTION("GOOGLETRANSLATE(B15164, ""fr"", ""en"")"),"Beautiful NB I am delighted and I recommend these shoes, lighter and much effect because the color is gorgeous. I can not do without it.")</f>
        <v>Beautiful NB I am delighted and I recommend these shoes, lighter and much effect because the color is gorgeous. I can not do without it.</v>
      </c>
    </row>
    <row r="15165">
      <c r="A15165" s="1">
        <v>5.0</v>
      </c>
      <c r="B15165" s="1" t="s">
        <v>14913</v>
      </c>
      <c r="C15165" t="str">
        <f>IFERROR(__xludf.DUMMYFUNCTION("GOOGLETRANSLATE(B15165, ""fr"", ""en"")"),"I adore converse")</f>
        <v>I adore converse</v>
      </c>
    </row>
    <row r="15166">
      <c r="A15166" s="1">
        <v>5.0</v>
      </c>
      <c r="B15166" s="1" t="s">
        <v>14914</v>
      </c>
      <c r="C15166" t="str">
        <f>IFERROR(__xludf.DUMMYFUNCTION("GOOGLETRANSLATE(B15166, ""fr"", ""en"")"),"attractive price Value Price")</f>
        <v>attractive price Value Price</v>
      </c>
    </row>
    <row r="15167">
      <c r="A15167" s="1">
        <v>5.0</v>
      </c>
      <c r="B15167" s="1" t="s">
        <v>14915</v>
      </c>
      <c r="C15167" t="str">
        <f>IFERROR(__xludf.DUMMYFUNCTION("GOOGLETRANSLATE(B15167, ""fr"", ""en"")"),"CASIO watch brand man very good product, good color beautiful invoice impeccable .....")</f>
        <v>CASIO watch brand man very good product, good color beautiful invoice impeccable .....</v>
      </c>
    </row>
    <row r="15168">
      <c r="A15168" s="1">
        <v>5.0</v>
      </c>
      <c r="B15168" s="1" t="s">
        <v>14916</v>
      </c>
      <c r="C15168" t="str">
        <f>IFERROR(__xludf.DUMMYFUNCTION("GOOGLETRANSLATE(B15168, ""fr"", ""en"")"),"Perfect No differences between those above and those bought in stores! Provide a size smaller (converse shoes a little bigger)")</f>
        <v>Perfect No differences between those above and those bought in stores! Provide a size smaller (converse shoes a little bigger)</v>
      </c>
    </row>
    <row r="15169">
      <c r="A15169" s="1">
        <v>2.0</v>
      </c>
      <c r="B15169" s="1" t="s">
        <v>14917</v>
      </c>
      <c r="C15169" t="str">
        <f>IFERROR(__xludf.DUMMYFUNCTION("GOOGLETRANSLATE(B15169, ""fr"", ""en"")"),"Much ado about nothing I have trouble understanding why the success of this scrub? On my skin no difference, maybe I do not use it you must come (in the shower)? Bizarre. Anyway I am not convinced.")</f>
        <v>Much ado about nothing I have trouble understanding why the success of this scrub? On my skin no difference, maybe I do not use it you must come (in the shower)? Bizarre. Anyway I am not convinced.</v>
      </c>
    </row>
    <row r="15170">
      <c r="A15170" s="1">
        <v>1.0</v>
      </c>
      <c r="B15170" s="1" t="s">
        <v>14918</v>
      </c>
      <c r="C15170" t="str">
        <f>IFERROR(__xludf.DUMMYFUNCTION("GOOGLETRANSLATE(B15170, ""fr"", ""en"")"),"2 cartridges on defective 4 I received my 4 cartridges HP 364 yesterday and I immediately used since I was out of ink. The magenta cartridge empty and tells me the printer button flashes and thus indicates the yellow cartridge half empty while I'm still n"&amp;"ot used it since the printer replacement cartridge. What to do. It would be sufficient to change only the defective cartridges 2 I can at least print in black. I already ordered several times without problem and I enjoyed the speed of delivery. But then I"&amp;" am disappointed Thanks for your reply Regards Ms. Small")</f>
        <v>2 cartridges on defective 4 I received my 4 cartridges HP 364 yesterday and I immediately used since I was out of ink. The magenta cartridge empty and tells me the printer button flashes and thus indicates the yellow cartridge half empty while I'm still not used it since the printer replacement cartridge. What to do. It would be sufficient to change only the defective cartridges 2 I can at least print in black. I already ordered several times without problem and I enjoyed the speed of delivery. But then I am disappointed Thanks for your reply Regards Ms. Small</v>
      </c>
    </row>
    <row r="15171">
      <c r="A15171" s="1">
        <v>3.0</v>
      </c>
      <c r="B15171" s="1" t="s">
        <v>14919</v>
      </c>
      <c r="C15171" t="str">
        <f>IFERROR(__xludf.DUMMYFUNCTION("GOOGLETRANSLATE(B15171, ""fr"", ""en"")"),"Comfortable I have been only 3 stars because if wearing them without socks, hello bulbs. If they are comfortable with wedge heel that is why I chose them because I can not walk completely flat. The cut might be refined as they are a little 'grandma', but "&amp;"good. The price is quite expensive too, so everybody can not afford them, unfortunately.")</f>
        <v>Comfortable I have been only 3 stars because if wearing them without socks, hello bulbs. If they are comfortable with wedge heel that is why I chose them because I can not walk completely flat. The cut might be refined as they are a little 'grandma', but good. The price is quite expensive too, so everybody can not afford them, unfortunately.</v>
      </c>
    </row>
    <row r="15172">
      <c r="A15172" s="1">
        <v>3.0</v>
      </c>
      <c r="B15172" s="1" t="s">
        <v>14920</v>
      </c>
      <c r="C15172" t="str">
        <f>IFERROR(__xludf.DUMMYFUNCTION("GOOGLETRANSLATE(B15172, ""fr"", ""en"")"),"Very chemical, but does its job! The grains dissolve well, so do not put much of course! I have a small dosing chamber of a former laundry and it's perfect, I put the powder in it and am running directly into the window with my machine, as it is directly "&amp;"in the heart of the action !! ^ _ ^ The smell is very nice, although it's still a good smell of laundry ""chemical"", but hey it's really fragrant so nice to sleep in clean sheets, wipe with a towel that smells good.")</f>
        <v>Very chemical, but does its job! The grains dissolve well, so do not put much of course! I have a small dosing chamber of a former laundry and it's perfect, I put the powder in it and am running directly into the window with my machine, as it is directly in the heart of the action !! ^ _ ^ The smell is very nice, although it's still a good smell of laundry "chemical", but hey it's really fragrant so nice to sleep in clean sheets, wipe with a towel that smells good.</v>
      </c>
    </row>
    <row r="15173">
      <c r="A15173" s="1">
        <v>4.0</v>
      </c>
      <c r="B15173" s="1" t="s">
        <v>14921</v>
      </c>
      <c r="C15173" t="str">
        <f>IFERROR(__xludf.DUMMYFUNCTION("GOOGLETRANSLATE(B15173, ""fr"", ""en"")"),"Whether it is a very good basketball For day")</f>
        <v>Whether it is a very good basketball For day</v>
      </c>
    </row>
    <row r="15174">
      <c r="A15174" s="1">
        <v>4.0</v>
      </c>
      <c r="B15174" s="1" t="s">
        <v>14922</v>
      </c>
      <c r="C15174" t="str">
        <f>IFERROR(__xludf.DUMMYFUNCTION("GOOGLETRANSLATE(B15174, ""fr"", ""en"")"),"Take one size smaller They are very pretty with their lacquered effect. Exactly like the picture but take one size smaller because they carve big")</f>
        <v>Take one size smaller They are very pretty with their lacquered effect. Exactly like the picture but take one size smaller because they carve big</v>
      </c>
    </row>
    <row r="15175">
      <c r="A15175" s="1">
        <v>4.0</v>
      </c>
      <c r="B15175" s="1" t="s">
        <v>14923</v>
      </c>
      <c r="C15175" t="str">
        <f>IFERROR(__xludf.DUMMYFUNCTION("GOOGLETRANSLATE(B15175, ""fr"", ""en"")"),"Nice nice and compliant")</f>
        <v>Nice nice and compliant</v>
      </c>
    </row>
    <row r="15176">
      <c r="A15176" s="1">
        <v>4.0</v>
      </c>
      <c r="B15176" s="1" t="s">
        <v>14924</v>
      </c>
      <c r="C15176" t="str">
        <f>IFERROR(__xludf.DUMMYFUNCTION("GOOGLETRANSLATE(B15176, ""fr"", ""en"")"),"That happiness Good diffuser Easy job I thought it would be larger (water tank) Made his job and I have two (bedroom and living room) Beautiful with these lights for a casual atmosphere")</f>
        <v>That happiness Good diffuser Easy job I thought it would be larger (water tank) Made his job and I have two (bedroom and living room) Beautiful with these lights for a casual atmosphere</v>
      </c>
    </row>
    <row r="15177">
      <c r="A15177" s="1">
        <v>5.0</v>
      </c>
      <c r="B15177" s="1" t="s">
        <v>14925</v>
      </c>
      <c r="C15177" t="str">
        <f>IFERROR(__xludf.DUMMYFUNCTION("GOOGLETRANSLATE(B15177, ""fr"", ""en"")"),"Exceptional BEAUTIFUL I'M CRAZY IN")</f>
        <v>Exceptional BEAUTIFUL I'M CRAZY IN</v>
      </c>
    </row>
    <row r="15178">
      <c r="A15178" s="1">
        <v>5.0</v>
      </c>
      <c r="B15178" s="1" t="s">
        <v>14926</v>
      </c>
      <c r="C15178" t="str">
        <f>IFERROR(__xludf.DUMMYFUNCTION("GOOGLETRANSLATE(B15178, ""fr"", ""en"")"),"beautiful my daughter loves")</f>
        <v>beautiful my daughter loves</v>
      </c>
    </row>
    <row r="15179">
      <c r="A15179" s="1">
        <v>5.0</v>
      </c>
      <c r="B15179" s="1" t="s">
        <v>14927</v>
      </c>
      <c r="C15179" t="str">
        <f>IFERROR(__xludf.DUMMYFUNCTION("GOOGLETRANSLATE(B15179, ""fr"", ""en"")"),"After using the product is superior to other brands mainly for comfort article of my expectations and delivered as planned perfectly fits my daily use compared to other brands")</f>
        <v>After using the product is superior to other brands mainly for comfort article of my expectations and delivered as planned perfectly fits my daily use compared to other brands</v>
      </c>
    </row>
    <row r="15180">
      <c r="A15180" s="1">
        <v>5.0</v>
      </c>
      <c r="B15180" s="1" t="s">
        <v>14928</v>
      </c>
      <c r="C15180" t="str">
        <f>IFERROR(__xludf.DUMMYFUNCTION("GOOGLETRANSLATE(B15180, ""fr"", ""en"")"),"ractice and original Super original, practical with great composure. Is quickly forgotten on the shoulder. in leather. A bit small, but that was expected. very nice and large so perfect capacity for several card checkbook, phone and other stuff bulky. Lea"&amp;"ther is very good evidenced by its rigidity ... we need the bag is done with time to be flexible")</f>
        <v>ractice and original Super original, practical with great composure. Is quickly forgotten on the shoulder. in leather. A bit small, but that was expected. very nice and large so perfect capacity for several card checkbook, phone and other stuff bulky. Leather is very good evidenced by its rigidity ... we need the bag is done with time to be flexible</v>
      </c>
    </row>
    <row r="15181">
      <c r="A15181" s="1">
        <v>5.0</v>
      </c>
      <c r="B15181" s="1" t="s">
        <v>14929</v>
      </c>
      <c r="C15181" t="str">
        <f>IFERROR(__xludf.DUMMYFUNCTION("GOOGLETRANSLATE(B15181, ""fr"", ""en"")"),"Tried very well once but sticks very well no complaints. Very suitable for children and adults for easy use")</f>
        <v>Tried very well once but sticks very well no complaints. Very suitable for children and adults for easy use</v>
      </c>
    </row>
    <row r="15182">
      <c r="A15182" s="1">
        <v>5.0</v>
      </c>
      <c r="B15182" s="1" t="s">
        <v>14930</v>
      </c>
      <c r="C15182" t="str">
        <f>IFERROR(__xludf.DUMMYFUNCTION("GOOGLETRANSLATE(B15182, ""fr"", ""en"")"),"magic water bottle for hot feet I am very satisfied with this electric kettle that heats quickly (10 minutes) I am delighted with this purchase even if the size is small enough to heat your 2 simultaneously feet with this water bottle over the feet cold m"&amp;"orning I recommend it warmly")</f>
        <v>magic water bottle for hot feet I am very satisfied with this electric kettle that heats quickly (10 minutes) I am delighted with this purchase even if the size is small enough to heat your 2 simultaneously feet with this water bottle over the feet cold morning I recommend it warmly</v>
      </c>
    </row>
    <row r="15183">
      <c r="A15183" s="1">
        <v>5.0</v>
      </c>
      <c r="B15183" s="1" t="s">
        <v>14931</v>
      </c>
      <c r="C15183" t="str">
        <f>IFERROR(__xludf.DUMMYFUNCTION("GOOGLETRANSLATE(B15183, ""fr"", ""en"")"),"very happy with my purchase I am very happy with my purchase, I quickly received and it is not a copy, the jewelry in question is approved by pandora (just take a turn on their site). I recommend. Sylvie")</f>
        <v>very happy with my purchase I am very happy with my purchase, I quickly received and it is not a copy, the jewelry in question is approved by pandora (just take a turn on their site). I recommend. Sylvie</v>
      </c>
    </row>
    <row r="15184">
      <c r="A15184" s="1">
        <v>5.0</v>
      </c>
      <c r="B15184" s="1" t="s">
        <v>14932</v>
      </c>
      <c r="C15184" t="str">
        <f>IFERROR(__xludf.DUMMYFUNCTION("GOOGLETRANSLATE(B15184, ""fr"", ""en"")"),"Very fast delivery Product of very good quality. J recommends")</f>
        <v>Very fast delivery Product of very good quality. J recommends</v>
      </c>
    </row>
    <row r="15185">
      <c r="A15185" s="1">
        <v>5.0</v>
      </c>
      <c r="B15185" s="1" t="s">
        <v>14933</v>
      </c>
      <c r="C15185" t="str">
        <f>IFERROR(__xludf.DUMMYFUNCTION("GOOGLETRANSLATE(B15185, ""fr"", ""en"")"),"Ras. Impeccable Ras. impeccable")</f>
        <v>Ras. Impeccable Ras. impeccable</v>
      </c>
    </row>
    <row r="15186">
      <c r="A15186" s="1">
        <v>5.0</v>
      </c>
      <c r="B15186" s="1" t="s">
        <v>14934</v>
      </c>
      <c r="C15186" t="str">
        <f>IFERROR(__xludf.DUMMYFUNCTION("GOOGLETRANSLATE(B15186, ""fr"", ""en"")"),"fast very fast time, I recommend!")</f>
        <v>fast very fast time, I recommend!</v>
      </c>
    </row>
    <row r="15187">
      <c r="A15187" s="1">
        <v>5.0</v>
      </c>
      <c r="B15187" s="1" t="s">
        <v>14935</v>
      </c>
      <c r="C15187" t="str">
        <f>IFERROR(__xludf.DUMMYFUNCTION("GOOGLETRANSLATE(B15187, ""fr"", ""en"")"),"LOT 18 18 XL cartridges Ink. Why pay so much cartridges while the cartridges fit very well on the Epson XP415. The colors are brilliant, do as I do: Save money with a good result. I always order this and finds no difference with original cartridges, so do"&amp;" not hesitate, do like me.")</f>
        <v>LOT 18 18 XL cartridges Ink. Why pay so much cartridges while the cartridges fit very well on the Epson XP415. The colors are brilliant, do as I do: Save money with a good result. I always order this and finds no difference with original cartridges, so do not hesitate, do like me.</v>
      </c>
    </row>
    <row r="15188">
      <c r="A15188" s="1">
        <v>5.0</v>
      </c>
      <c r="B15188" s="1" t="s">
        <v>14936</v>
      </c>
      <c r="C15188" t="str">
        <f>IFERROR(__xludf.DUMMYFUNCTION("GOOGLETRANSLATE(B15188, ""fr"", ""en"")"),"Delighted! That's all what I expected. small electric kettle and every perfect round for tea at work. I was sick to make use of the same machine as those who drink coffee, the drink still had a bitter taste ... Anyway, visual line with the announcement, r"&amp;"eceived quickly. Price very correct, in short, I'm thrilled!")</f>
        <v>Delighted! That's all what I expected. small electric kettle and every perfect round for tea at work. I was sick to make use of the same machine as those who drink coffee, the drink still had a bitter taste ... Anyway, visual line with the announcement, received quickly. Price very correct, in short, I'm thrilled!</v>
      </c>
    </row>
    <row r="15189">
      <c r="A15189" s="1">
        <v>5.0</v>
      </c>
      <c r="B15189" s="1" t="s">
        <v>14937</v>
      </c>
      <c r="C15189" t="str">
        <f>IFERROR(__xludf.DUMMYFUNCTION("GOOGLETRANSLATE(B15189, ""fr"", ""en"")"),"Ideal for beginners Just great for beginners in reading very well I really insists that it is to begin with against because otherwise it is a bit simple")</f>
        <v>Ideal for beginners Just great for beginners in reading very well I really insists that it is to begin with against because otherwise it is a bit simple</v>
      </c>
    </row>
    <row r="15190">
      <c r="A15190" s="1">
        <v>5.0</v>
      </c>
      <c r="B15190" s="1" t="s">
        <v>14938</v>
      </c>
      <c r="C15190" t="str">
        <f>IFERROR(__xludf.DUMMYFUNCTION("GOOGLETRANSLATE(B15190, ""fr"", ""en"")"),"Center stand very good value for very good quality. Some difficulties to ask in particular the return of spring, but with a little good will you get there. Beautiful savings compared to estimates of the concessionaire.")</f>
        <v>Center stand very good value for very good quality. Some difficulties to ask in particular the return of spring, but with a little good will you get there. Beautiful savings compared to estimates of the concessionaire.</v>
      </c>
    </row>
    <row r="15191">
      <c r="A15191" s="1">
        <v>5.0</v>
      </c>
      <c r="B15191" s="1" t="s">
        <v>14939</v>
      </c>
      <c r="C15191" t="str">
        <f>IFERROR(__xludf.DUMMYFUNCTION("GOOGLETRANSLATE(B15191, ""fr"", ""en"")"),"super bluetooth headphones Headphones are really great. They are very good with flawless finish well they fit in the ear as they are well maintained in the lobe. They are provided with caps of different sizes. They are not big so pleasant to endure and ae"&amp;"sthetically more beautiful. I enjoyed the headphones because I have no desire to listen to music by my jogging. The sound is great, you can not hear outside. Very easy to use, you just plug the supplied USB cable and start charging, then pair with the Blu"&amp;"etooth phone (provided in French Manual), then we can begin to enjoy music without wires! Delivered in a pretty box. Ideal for a gift especially at Christmas.")</f>
        <v>super bluetooth headphones Headphones are really great. They are very good with flawless finish well they fit in the ear as they are well maintained in the lobe. They are provided with caps of different sizes. They are not big so pleasant to endure and aesthetically more beautiful. I enjoyed the headphones because I have no desire to listen to music by my jogging. The sound is great, you can not hear outside. Very easy to use, you just plug the supplied USB cable and start charging, then pair with the Bluetooth phone (provided in French Manual), then we can begin to enjoy music without wires! Delivered in a pretty box. Ideal for a gift especially at Christmas.</v>
      </c>
    </row>
    <row r="15192">
      <c r="A15192" s="1">
        <v>2.0</v>
      </c>
      <c r="B15192" s="1" t="s">
        <v>14940</v>
      </c>
      <c r="C15192" t="str">
        <f>IFERROR(__xludf.DUMMYFUNCTION("GOOGLETRANSLATE(B15192, ""fr"", ""en"")"),"Too thin too thin pockets. I was expecting given the price premium. I am rather disappointed, the image does not match the product that I had chosen")</f>
        <v>Too thin too thin pockets. I was expecting given the price premium. I am rather disappointed, the image does not match the product that I had chosen</v>
      </c>
    </row>
    <row r="15193">
      <c r="A15193" s="1">
        <v>1.0</v>
      </c>
      <c r="B15193" s="1" t="s">
        <v>14941</v>
      </c>
      <c r="C15193" t="str">
        <f>IFERROR(__xludf.DUMMYFUNCTION("GOOGLETRANSLATE(B15193, ""fr"", ""en"")"),"Good mic if you live in the 1980s it was cheap. In the case 28euros 18euros is already too much. I had 10 euros helmets that had a better quality microphone around 2009. The sound? Pshaw even thoroughly this helmet is as powerful as older than 90 years tr"&amp;"ying to scream while he was cold. Really bad. It's just the flight.")</f>
        <v>Good mic if you live in the 1980s it was cheap. In the case 28euros 18euros is already too much. I had 10 euros helmets that had a better quality microphone around 2009. The sound? Pshaw even thoroughly this helmet is as powerful as older than 90 years trying to scream while he was cold. Really bad. It's just the flight.</v>
      </c>
    </row>
    <row r="15194">
      <c r="A15194" s="1">
        <v>1.0</v>
      </c>
      <c r="B15194" s="1" t="s">
        <v>14942</v>
      </c>
      <c r="C15194" t="str">
        <f>IFERROR(__xludf.DUMMYFUNCTION("GOOGLETRANSLATE(B15194, ""fr"", ""en"")"),"Dee I was delighted in receiving them but the outsole has held a month ...")</f>
        <v>Dee I was delighted in receiving them but the outsole has held a month ...</v>
      </c>
    </row>
    <row r="15195">
      <c r="A15195" s="1">
        <v>3.0</v>
      </c>
      <c r="B15195" s="1" t="s">
        <v>14943</v>
      </c>
      <c r="C15195" t="str">
        <f>IFERROR(__xludf.DUMMYFUNCTION("GOOGLETRANSLATE(B15195, ""fr"", ""en"")"),"Compatible diamond needle? needles compatible with platinum vintage Sony PS-LX 150 H, runs but easily picks but problem set with a ribbon end can paint that I can easily remove in case, or that of 3 star in my rating")</f>
        <v>Compatible diamond needle? needles compatible with platinum vintage Sony PS-LX 150 H, runs but easily picks but problem set with a ribbon end can paint that I can easily remove in case, or that of 3 star in my rating</v>
      </c>
    </row>
    <row r="15196">
      <c r="A15196" s="1">
        <v>3.0</v>
      </c>
      <c r="B15196" s="1" t="s">
        <v>14944</v>
      </c>
      <c r="C15196" t="str">
        <f>IFERROR(__xludf.DUMMYFUNCTION("GOOGLETRANSLATE(B15196, ""fr"", ""en"")"),"Contentment Gift")</f>
        <v>Contentment Gift</v>
      </c>
    </row>
    <row r="15197">
      <c r="A15197" s="1">
        <v>4.0</v>
      </c>
      <c r="B15197" s="1" t="s">
        <v>14945</v>
      </c>
      <c r="C15197" t="str">
        <f>IFERROR(__xludf.DUMMYFUNCTION("GOOGLETRANSLATE(B15197, ""fr"", ""en"")"),"Satisfied This model only works in Bluetooth and has no internal memory, so it can not be used alone as mp3 player or iPod. Aside from that it is very pleasant to use, the sound is in my opinion very well (no quality difference with Earphones). While a bi"&amp;"t expensive but the quality is at the rendezvous.")</f>
        <v>Satisfied This model only works in Bluetooth and has no internal memory, so it can not be used alone as mp3 player or iPod. Aside from that it is very pleasant to use, the sound is in my opinion very well (no quality difference with Earphones). While a bit expensive but the quality is at the rendezvous.</v>
      </c>
    </row>
    <row r="15198">
      <c r="A15198" s="1">
        <v>4.0</v>
      </c>
      <c r="B15198" s="1" t="s">
        <v>14946</v>
      </c>
      <c r="C15198" t="str">
        <f>IFERROR(__xludf.DUMMYFUNCTION("GOOGLETRANSLATE(B15198, ""fr"", ""en"")"),"Eagle Shoes exact size size and product line with my old shoes of the brand. I am very satisfied with this purchase.")</f>
        <v>Eagle Shoes exact size size and product line with my old shoes of the brand. I am very satisfied with this purchase.</v>
      </c>
    </row>
    <row r="15199">
      <c r="A15199" s="1">
        <v>4.0</v>
      </c>
      <c r="B15199" s="1" t="s">
        <v>14947</v>
      </c>
      <c r="C15199" t="str">
        <f>IFERROR(__xludf.DUMMYFUNCTION("GOOGLETRANSLATE(B15199, ""fr"", ""en"")"),"A conventional ink cartridge nothing more classic, I think it is quite profitable black and white draft printing, enough to administration.")</f>
        <v>A conventional ink cartridge nothing more classic, I think it is quite profitable black and white draft printing, enough to administration.</v>
      </c>
    </row>
    <row r="15200">
      <c r="A15200" s="1">
        <v>4.0</v>
      </c>
      <c r="B15200" s="1" t="s">
        <v>14948</v>
      </c>
      <c r="C15200" t="str">
        <f>IFERROR(__xludf.DUMMYFUNCTION("GOOGLETRANSLATE(B15200, ""fr"", ""en"")"),"Excellent quality / price Before buying I look at the comments of the lowest ratings (it is a habit) and receiving the product, I have trouble understanding that this judge wrong. Yes, the quality of plastics and the ANC technology are not at a BOSE QC35 "&amp;"(I also), but there is talk of a headset that is 8 times cheaper! For a price of about € 50, I find that the proposed provision is very good. The reproduced sound is good (good bass), the finishes are very honorable and ANC system allows both a reduction "&amp;"of ambient noise. The storage system is very helmet use is very simple thanks to the control buttons located on the atria. In short, I think it's an excellent price / quality ratio. In the design, I think TaoTronic was very ""influenced"" by the BOSE QC35"&amp;" headphones. I have both and I see a lot of similarity. The ToaTronic is a little less quality for sure (along BOSE is far ahead of everyone else) but with a price of 50 € (against 400 € for the BOSE), there is not much thought.")</f>
        <v>Excellent quality / price Before buying I look at the comments of the lowest ratings (it is a habit) and receiving the product, I have trouble understanding that this judge wrong. Yes, the quality of plastics and the ANC technology are not at a BOSE QC35 (I also), but there is talk of a headset that is 8 times cheaper! For a price of about € 50, I find that the proposed provision is very good. The reproduced sound is good (good bass), the finishes are very honorable and ANC system allows both a reduction of ambient noise. The storage system is very helmet use is very simple thanks to the control buttons located on the atria. In short, I think it's an excellent price / quality ratio. In the design, I think TaoTronic was very "influenced" by the BOSE QC35 headphones. I have both and I see a lot of similarity. The ToaTronic is a little less quality for sure (along BOSE is far ahead of everyone else) but with a price of 50 € (against 400 € for the BOSE), there is not much thought.</v>
      </c>
    </row>
    <row r="15201">
      <c r="A15201" s="1">
        <v>5.0</v>
      </c>
      <c r="B15201" s="1" t="s">
        <v>14949</v>
      </c>
      <c r="C15201" t="str">
        <f>IFERROR(__xludf.DUMMYFUNCTION("GOOGLETRANSLATE(B15201, ""fr"", ""en"")"),"product complies teats are numbered by step, simple and easy to follow baby's development. without chemical plastics (bisphenol ect). top")</f>
        <v>product complies teats are numbered by step, simple and easy to follow baby's development. without chemical plastics (bisphenol ect). top</v>
      </c>
    </row>
    <row r="15202">
      <c r="A15202" s="1">
        <v>5.0</v>
      </c>
      <c r="B15202" s="1" t="s">
        <v>14950</v>
      </c>
      <c r="C15202" t="str">
        <f>IFERROR(__xludf.DUMMYFUNCTION("GOOGLETRANSLATE(B15202, ""fr"", ""en"")"),"An excellent ""starter kit"" post-feeding or mixed feeding 3 lovely glass bib and a pacifier, here that starts quiet! This set is used by a young mother alternating breast and bottle feeding. The little doll is adapted teats sequence (nipples platforms th"&amp;"at facilitate breastfeeding the passage within and bib) and pass easily from one to the other. The bottles are friendly, easy to clean, and glass that remains top in terms of hygiene! The lollipop is a small ""plus"". It is discreet and adapted to the mou"&amp;"th of toddlers.")</f>
        <v>An excellent "starter kit" post-feeding or mixed feeding 3 lovely glass bib and a pacifier, here that starts quiet! This set is used by a young mother alternating breast and bottle feeding. The little doll is adapted teats sequence (nipples platforms that facilitate breastfeeding the passage within and bib) and pass easily from one to the other. The bottles are friendly, easy to clean, and glass that remains top in terms of hygiene! The lollipop is a small "plus". It is discreet and adapted to the mouth of toddlers.</v>
      </c>
    </row>
    <row r="15203">
      <c r="A15203" s="1">
        <v>5.0</v>
      </c>
      <c r="B15203" s="1" t="s">
        <v>14951</v>
      </c>
      <c r="C15203" t="str">
        <f>IFERROR(__xludf.DUMMYFUNCTION("GOOGLETRANSLATE(B15203, ""fr"", ""en"")"),"Extension Purpose good happens and compliant")</f>
        <v>Extension Purpose good happens and compliant</v>
      </c>
    </row>
    <row r="15204">
      <c r="A15204" s="1">
        <v>5.0</v>
      </c>
      <c r="B15204" s="1" t="s">
        <v>14952</v>
      </c>
      <c r="C15204" t="str">
        <f>IFERROR(__xludf.DUMMYFUNCTION("GOOGLETRANSLATE(B15204, ""fr"", ""en"")"),"Very good quality / price I am very satsfait this purchase. The headsets are comfortable, the sound is very good. They hold a charge well. All accessories are of good bills and seems to be solid. Personally I use it on my commute, office, on the tram etc."&amp;" The connection is fast and calls work fine. I can only recommend this purchase.")</f>
        <v>Very good quality / price I am very satsfait this purchase. The headsets are comfortable, the sound is very good. They hold a charge well. All accessories are of good bills and seems to be solid. Personally I use it on my commute, office, on the tram etc. The connection is fast and calls work fine. I can only recommend this purchase.</v>
      </c>
    </row>
    <row r="15205">
      <c r="A15205" s="1">
        <v>5.0</v>
      </c>
      <c r="B15205" s="1" t="s">
        <v>14953</v>
      </c>
      <c r="C15205" t="str">
        <f>IFERROR(__xludf.DUMMYFUNCTION("GOOGLETRANSLATE(B15205, ""fr"", ""en"")"),"GOOD VALUE / PRICE This is not my first purchase of Casio and have always been completely satisfied.")</f>
        <v>GOOD VALUE / PRICE This is not my first purchase of Casio and have always been completely satisfied.</v>
      </c>
    </row>
    <row r="15206">
      <c r="A15206" s="1">
        <v>5.0</v>
      </c>
      <c r="B15206" s="1" t="s">
        <v>14954</v>
      </c>
      <c r="C15206" t="str">
        <f>IFERROR(__xludf.DUMMYFUNCTION("GOOGLETRANSLATE(B15206, ""fr"", ""en"")"),"Very nice model CASIO Very nice watch according to photos visible on the site. Very fine, beautiful bracelet, black dial and gold makes it very chic. Very good value for money.")</f>
        <v>Very nice model CASIO Very nice watch according to photos visible on the site. Very fine, beautiful bracelet, black dial and gold makes it very chic. Very good value for money.</v>
      </c>
    </row>
    <row r="15207">
      <c r="A15207" s="1">
        <v>5.0</v>
      </c>
      <c r="B15207" s="1" t="s">
        <v>14955</v>
      </c>
      <c r="C15207" t="str">
        <f>IFERROR(__xludf.DUMMYFUNCTION("GOOGLETRANSLATE(B15207, ""fr"", ""en"")"),"❤️ Beautiful bracelet")</f>
        <v>❤️ Beautiful bracelet</v>
      </c>
    </row>
    <row r="15208">
      <c r="A15208" s="1">
        <v>5.0</v>
      </c>
      <c r="B15208" s="1" t="s">
        <v>14956</v>
      </c>
      <c r="C15208" t="str">
        <f>IFERROR(__xludf.DUMMYFUNCTION("GOOGLETRANSLATE(B15208, ""fr"", ""en"")"),"Parfair I gave my mother for her birthday and she was delighted, it perfectly diffuse the smell, it is very nice and serves the same decor, the little mist does not see color it changes depending on your desires, nothing more to say, this is a little gem")</f>
        <v>Parfair I gave my mother for her birthday and she was delighted, it perfectly diffuse the smell, it is very nice and serves the same decor, the little mist does not see color it changes depending on your desires, nothing more to say, this is a little gem</v>
      </c>
    </row>
    <row r="15209">
      <c r="A15209" s="1">
        <v>5.0</v>
      </c>
      <c r="B15209" s="1" t="s">
        <v>14957</v>
      </c>
      <c r="C15209" t="str">
        <f>IFERROR(__xludf.DUMMYFUNCTION("GOOGLETRANSLATE(B15209, ""fr"", ""en"")"),"Good product good desk lamp, bright enough but not dazzling. It's light and not too big, very practical!")</f>
        <v>Good product good desk lamp, bright enough but not dazzling. It's light and not too big, very practical!</v>
      </c>
    </row>
    <row r="15210">
      <c r="A15210" s="1">
        <v>5.0</v>
      </c>
      <c r="B15210" s="1" t="s">
        <v>14958</v>
      </c>
      <c r="C15210" t="str">
        <f>IFERROR(__xludf.DUMMYFUNCTION("GOOGLETRANSLATE(B15210, ""fr"", ""en"")"),"More accurate than a laser thermometer I must be reconciled with this new kind of thermometer. Indeed, the use of a laser type thermometer was absolutely not convinced me (too much variation in the temperature measurement) and I Fiais me that my rectal th"&amp;"ermometer. The ThermoScan 3 Braun offers significant advantages: - making rapid temperature - Hygienic (it should place a plastic tip if the thermometer does not fire) - precise temperatures - small and easy to store, to slide in a first aid kit or in the"&amp;" baby diaper bag - light - sound indicator when the temperature is too high Product tested only on adults, I do not know if it is easy to use with a toddler-age")</f>
        <v>More accurate than a laser thermometer I must be reconciled with this new kind of thermometer. Indeed, the use of a laser type thermometer was absolutely not convinced me (too much variation in the temperature measurement) and I Fiais me that my rectal thermometer. The ThermoScan 3 Braun offers significant advantages: - making rapid temperature - Hygienic (it should place a plastic tip if the thermometer does not fire) - precise temperatures - small and easy to store, to slide in a first aid kit or in the baby diaper bag - light - sound indicator when the temperature is too high Product tested only on adults, I do not know if it is easy to use with a toddler-age</v>
      </c>
    </row>
    <row r="15211">
      <c r="A15211" s="1">
        <v>5.0</v>
      </c>
      <c r="B15211" s="1" t="s">
        <v>14959</v>
      </c>
      <c r="C15211" t="str">
        <f>IFERROR(__xludf.DUMMYFUNCTION("GOOGLETRANSLATE(B15211, ""fr"", ""en"")"),"Very satisfied I recommend very nice in my kitchen and very hygienic functional because the platform stands just to clean the tank top and very good value for money")</f>
        <v>Very satisfied I recommend very nice in my kitchen and very hygienic functional because the platform stands just to clean the tank top and very good value for money</v>
      </c>
    </row>
    <row r="15212">
      <c r="A15212" s="1">
        <v>5.0</v>
      </c>
      <c r="B15212" s="1" t="s">
        <v>14960</v>
      </c>
      <c r="C15212" t="str">
        <f>IFERROR(__xludf.DUMMYFUNCTION("GOOGLETRANSLATE(B15212, ""fr"", ""en"")"),"Cable (double) section 1.5mm audio speaker 50 meters of cable for the price: Go for it! I used it to power a LED lighting on the ceiling. It's right it took. The only thing is that I was only fixing rounded horsemen and the cable is flat. On the site, I f"&amp;"ound the corresponding jumpers (6 mm), flat and with fixing by nail: Here: https://www.amazon.fr/gp/product/B011CZ6VN6/ref=oh_aui_detailpage_o00_s00?ie=UTF8&amp;amp;psc Warning = 1, there are also the same riders but double thickness for fixing two sets of ca"&amp;"bles. Riders above are reserved for a single cable thickness without ""floating"" said cable inside. Next support with a glue gun it must do so too.")</f>
        <v>Cable (double) section 1.5mm audio speaker 50 meters of cable for the price: Go for it! I used it to power a LED lighting on the ceiling. It's right it took. The only thing is that I was only fixing rounded horsemen and the cable is flat. On the site, I found the corresponding jumpers (6 mm), flat and with fixing by nail: Here: https://www.amazon.fr/gp/product/B011CZ6VN6/ref=oh_aui_detailpage_o00_s00?ie=UTF8&amp;amp;psc Warning = 1, there are also the same riders but double thickness for fixing two sets of cables. Riders above are reserved for a single cable thickness without "floating" said cable inside. Next support with a glue gun it must do so too.</v>
      </c>
    </row>
    <row r="15213">
      <c r="A15213" s="1">
        <v>5.0</v>
      </c>
      <c r="B15213" s="1" t="s">
        <v>14961</v>
      </c>
      <c r="C15213" t="str">
        <f>IFERROR(__xludf.DUMMYFUNCTION("GOOGLETRANSLATE(B15213, ""fr"", ""en"")"),"Very beautiful ... These crocs Yukon shoes are simply beautiful, with the kind nubuck yoke sewn on top. They have the look! The + of this model also lies in the adjustable velcro flap at the back of the foot: the shoes are very well maintained, and allow "&amp;"the coup to walk properly maintained so. My husband loves them, and virtually leaves them more! Article of very good quality.")</f>
        <v>Very beautiful ... These crocs Yukon shoes are simply beautiful, with the kind nubuck yoke sewn on top. They have the look! The + of this model also lies in the adjustable velcro flap at the back of the foot: the shoes are very well maintained, and allow the coup to walk properly maintained so. My husband loves them, and virtually leaves them more! Article of very good quality.</v>
      </c>
    </row>
    <row r="15214">
      <c r="A15214" s="1">
        <v>5.0</v>
      </c>
      <c r="B15214" s="1" t="s">
        <v>14962</v>
      </c>
      <c r="C15214" t="str">
        <f>IFERROR(__xludf.DUMMYFUNCTION("GOOGLETRANSLATE(B15214, ""fr"", ""en"")"),"Superb Meets the picture, I'm very happy with my purchase and would recommend it. My boyfriend was thrilled")</f>
        <v>Superb Meets the picture, I'm very happy with my purchase and would recommend it. My boyfriend was thrilled</v>
      </c>
    </row>
    <row r="15215">
      <c r="A15215" s="1">
        <v>5.0</v>
      </c>
      <c r="B15215" s="1" t="s">
        <v>14963</v>
      </c>
      <c r="C15215" t="str">
        <f>IFERROR(__xludf.DUMMYFUNCTION("GOOGLETRANSLATE(B15215, ""fr"", ""en"")"),"At the top on top.")</f>
        <v>At the top on top.</v>
      </c>
    </row>
    <row r="15216">
      <c r="A15216" s="1">
        <v>2.0</v>
      </c>
      <c r="B15216" s="1" t="s">
        <v>14964</v>
      </c>
      <c r="C15216" t="str">
        <f>IFERROR(__xludf.DUMMYFUNCTION("GOOGLETRANSLATE(B15216, ""fr"", ""en"")"),"Outdoor shows good but a big downside Very good watch, and I use it for just over a year (purchased in late November 2015), which like all these promises level finish quality, solidity of the whole. I had the opportunity to experience the show in a lot of"&amp;" situations, and it did not stumble, nothing broken, strap included. Just the LED display of plastic that takes scratches but nothing dramatic after one year of use. Another ""concern"" is 30m its tightness, thus resistant to rain and other splashing, but"&amp;" better avoid diving or prolonged immersion. The manufacturer gives to 10m snorkel on his website but makes no mention of certification ""Water resistant"" on the product, the site or boîtage. So it is better to avoid flooding, that I made for myself. The"&amp;" big downside of this watch: The STACK! Yet it is a big 3v, but she is already dead in barely more than a year of use, in normal use, time display the majority of the time, thermometer / barometer and lighting rarely enough (not the compass, I ' have a tr"&amp;"ue compass for that and gps for altimetry). I find it a bit light compared to my g-shock GA-100-1A1ER (certainly not all the functions of the core but much ...) who is 3 years old, known conditions much harder uses ( jungle and desert among others), and t"&amp;"he battery still hold (3v too). All for a watch fewer 100th .. In final, the Core is an excellent watch, it does its job and is a great strength. After all depends what you'll do if you're going to have a real utility functions that are not found on other"&amp;" models less expensive, and if you need a truly waterproof watch (even in the mountains, we can bring to end up in the water, I know what speak ..). Because in the end, these are strengths as weaknesses these features, because when we do not use more than"&amp;" that, it kills the battery more than anything unnecessarily reducing the autonomy greatly. So you have to weigh the pros of cons depending on the use to which is for the watch.")</f>
        <v>Outdoor shows good but a big downside Very good watch, and I use it for just over a year (purchased in late November 2015), which like all these promises level finish quality, solidity of the whole. I had the opportunity to experience the show in a lot of situations, and it did not stumble, nothing broken, strap included. Just the LED display of plastic that takes scratches but nothing dramatic after one year of use. Another "concern" is 30m its tightness, thus resistant to rain and other splashing, but better avoid diving or prolonged immersion. The manufacturer gives to 10m snorkel on his website but makes no mention of certification "Water resistant" on the product, the site or boîtage. So it is better to avoid flooding, that I made for myself. The big downside of this watch: The STACK! Yet it is a big 3v, but she is already dead in barely more than a year of use, in normal use, time display the majority of the time, thermometer / barometer and lighting rarely enough (not the compass, I ' have a true compass for that and gps for altimetry). I find it a bit light compared to my g-shock GA-100-1A1ER (certainly not all the functions of the core but much ...) who is 3 years old, known conditions much harder uses ( jungle and desert among others), and the battery still hold (3v too). All for a watch fewer 100th .. In final, the Core is an excellent watch, it does its job and is a great strength. After all depends what you'll do if you're going to have a real utility functions that are not found on other models less expensive, and if you need a truly waterproof watch (even in the mountains, we can bring to end up in the water, I know what speak ..). Because in the end, these are strengths as weaknesses these features, because when we do not use more than that, it kills the battery more than anything unnecessarily reducing the autonomy greatly. So you have to weigh the pros of cons depending on the use to which is for the watch.</v>
      </c>
    </row>
    <row r="15217">
      <c r="A15217" s="1">
        <v>1.0</v>
      </c>
      <c r="B15217" s="1" t="s">
        <v>14965</v>
      </c>
      <c r="C15217" t="str">
        <f>IFERROR(__xludf.DUMMYFUNCTION("GOOGLETRANSLATE(B15217, ""fr"", ""en"")"),"Disappointed Not averages tipped pens as shown fine but brief points I am not disappointed because I expected")</f>
        <v>Disappointed Not averages tipped pens as shown fine but brief points I am not disappointed because I expected</v>
      </c>
    </row>
    <row r="15218">
      <c r="A15218" s="1">
        <v>1.0</v>
      </c>
      <c r="B15218" s="1" t="s">
        <v>14966</v>
      </c>
      <c r="C15218" t="str">
        <f>IFERROR(__xludf.DUMMYFUNCTION("GOOGLETRANSLATE(B15218, ""fr"", ""en"")"),"Description and dishonest commentraires. uncomfortable helmet, he keeps very badly on the head (unusable for cardio) and forget if you have glasses, impossible to use in public because the sound is coming irradiate all your neighbors (it's not the headpho"&amp;"nes is mini speakers) and a higher price than the competition (between 6 € to 12 € more). A star for the cover, brittle (cheap) but practical and pretty. Sound quality seems wrong, it looks like 4.0 rather than 4.2. No French instructions. The worst part "&amp;"is the comments that appear to be written by communication companies in outsourcing, since when consumers simple lie to promote the characteristics of a product or to mitigate its shortcomings it makes no sense (a consumer will try to judge the product, n"&amp;"ot to sell it to his neighbor with a highlighting of price, design, packaging etc ...) unless it's commercial? And I do not mean uninteresting comments with 4-5 stars just to get the gift (bluethooth key handy 4.0 with a 4.2 headphones) ""offered"" with p"&amp;"urchase of the helmet. In short, beware of this immoral 2.0 communication that plays on breach of trust for know that a product with a lot of positive feedback automatically reflected on the front page and thus obtain a high visibility (= more sales) care"&amp;"ful as comm this technique. ( ""False influencers"") affects a large number of apparently Amazon and websites.")</f>
        <v>Description and dishonest commentraires. uncomfortable helmet, he keeps very badly on the head (unusable for cardio) and forget if you have glasses, impossible to use in public because the sound is coming irradiate all your neighbors (it's not the headphones is mini speakers) and a higher price than the competition (between 6 € to 12 € more). A star for the cover, brittle (cheap) but practical and pretty. Sound quality seems wrong, it looks like 4.0 rather than 4.2. No French instructions. The worst part is the comments that appear to be written by communication companies in outsourcing, since when consumers simple lie to promote the characteristics of a product or to mitigate its shortcomings it makes no sense (a consumer will try to judge the product, not to sell it to his neighbor with a highlighting of price, design, packaging etc ...) unless it's commercial? And I do not mean uninteresting comments with 4-5 stars just to get the gift (bluethooth key handy 4.0 with a 4.2 headphones) "offered" with purchase of the helmet. In short, beware of this immoral 2.0 communication that plays on breach of trust for know that a product with a lot of positive feedback automatically reflected on the front page and thus obtain a high visibility (= more sales) careful as comm this technique. ( "False influencers") affects a large number of apparently Amazon and websites.</v>
      </c>
    </row>
    <row r="15219">
      <c r="A15219" s="1">
        <v>3.0</v>
      </c>
      <c r="B15219" s="1" t="s">
        <v>14967</v>
      </c>
      <c r="C15219" t="str">
        <f>IFERROR(__xludf.DUMMYFUNCTION("GOOGLETRANSLATE(B15219, ""fr"", ""en"")"),"Although careful stitching ...... but after some time of use (2 months), it turns out that the seams décousent shame because otherwise it was a good product in terms of layout.")</f>
        <v>Although careful stitching ...... but after some time of use (2 months), it turns out that the seams décousent shame because otherwise it was a good product in terms of layout.</v>
      </c>
    </row>
    <row r="15220">
      <c r="A15220" s="1">
        <v>4.0</v>
      </c>
      <c r="B15220" s="1" t="s">
        <v>14968</v>
      </c>
      <c r="C15220" t="str">
        <f>IFERROR(__xludf.DUMMYFUNCTION("GOOGLETRANSLATE(B15220, ""fr"", ""en"")"),"Well finished Lightweight, compact at the base, well finished. The facade thermometer is a very nice option, I could do without it, one stop bit heated to the desired temperature and of course check the time remaining before boiling.")</f>
        <v>Well finished Lightweight, compact at the base, well finished. The facade thermometer is a very nice option, I could do without it, one stop bit heated to the desired temperature and of course check the time remaining before boiling.</v>
      </c>
    </row>
    <row r="15221">
      <c r="A15221" s="1">
        <v>4.0</v>
      </c>
      <c r="B15221" s="1" t="s">
        <v>14969</v>
      </c>
      <c r="C15221" t="str">
        <f>IFERROR(__xludf.DUMMYFUNCTION("GOOGLETRANSLATE(B15221, ""fr"", ""en"")"),"comfort I put my basketball to go indoors or biking I recommend")</f>
        <v>comfort I put my basketball to go indoors or biking I recommend</v>
      </c>
    </row>
    <row r="15222">
      <c r="A15222" s="1">
        <v>4.0</v>
      </c>
      <c r="B15222" s="1" t="s">
        <v>14970</v>
      </c>
      <c r="C15222" t="str">
        <f>IFERROR(__xludf.DUMMYFUNCTION("GOOGLETRANSLATE(B15222, ""fr"", ""en"")"),"Excellent perceived quality for the price very readable display. Suitable for swimming pool.")</f>
        <v>Excellent perceived quality for the price very readable display. Suitable for swimming pool.</v>
      </c>
    </row>
    <row r="15223">
      <c r="A15223" s="1">
        <v>4.0</v>
      </c>
      <c r="B15223" s="1" t="s">
        <v>14971</v>
      </c>
      <c r="C15223" t="str">
        <f>IFERROR(__xludf.DUMMYFUNCTION("GOOGLETRANSLATE(B15223, ""fr"", ""en"")"),"Quality perfect price perfect price Value. Good show. With basic function")</f>
        <v>Quality perfect price perfect price Value. Good show. With basic function</v>
      </c>
    </row>
    <row r="15224">
      <c r="A15224" s="1">
        <v>4.0</v>
      </c>
      <c r="B15224" s="1" t="s">
        <v>14972</v>
      </c>
      <c r="C15224" t="str">
        <f>IFERROR(__xludf.DUMMYFUNCTION("GOOGLETRANSLATE(B15224, ""fr"", ""en"")"),"beautiful colors are mixed (story can be reused for the next baby). The product conforms to what I was looking for. In short practical and useful. Also, it is very strong for me.")</f>
        <v>beautiful colors are mixed (story can be reused for the next baby). The product conforms to what I was looking for. In short practical and useful. Also, it is very strong for me.</v>
      </c>
    </row>
    <row r="15225">
      <c r="A15225" s="1">
        <v>5.0</v>
      </c>
      <c r="B15225" s="1" t="s">
        <v>2486</v>
      </c>
      <c r="C15225" t="str">
        <f>IFERROR(__xludf.DUMMYFUNCTION("GOOGLETRANSLATE(B15225, ""fr"", ""en"")"),"COMPLIANT RAS")</f>
        <v>COMPLIANT RAS</v>
      </c>
    </row>
    <row r="15226">
      <c r="A15226" s="1">
        <v>5.0</v>
      </c>
      <c r="B15226" s="1" t="s">
        <v>14973</v>
      </c>
      <c r="C15226" t="str">
        <f>IFERROR(__xludf.DUMMYFUNCTION("GOOGLETRANSLATE(B15226, ""fr"", ""en"")"),"Great product for my business")</f>
        <v>Great product for my business</v>
      </c>
    </row>
    <row r="15227">
      <c r="A15227" s="1">
        <v>5.0</v>
      </c>
      <c r="B15227" s="1" t="s">
        <v>14974</v>
      </c>
      <c r="C15227" t="str">
        <f>IFERROR(__xludf.DUMMYFUNCTION("GOOGLETRANSLATE(B15227, ""fr"", ""en"")"),"At the top I hearts")</f>
        <v>At the top I hearts</v>
      </c>
    </row>
    <row r="15228">
      <c r="A15228" s="1">
        <v>5.0</v>
      </c>
      <c r="B15228" s="1" t="s">
        <v>14975</v>
      </c>
      <c r="C15228" t="str">
        <f>IFERROR(__xludf.DUMMYFUNCTION("GOOGLETRANSLATE(B15228, ""fr"", ""en"")"),"Converse attractive, comfortable with their thick soles.")</f>
        <v>Converse attractive, comfortable with their thick soles.</v>
      </c>
    </row>
    <row r="15229">
      <c r="A15229" s="1">
        <v>5.0</v>
      </c>
      <c r="B15229" s="1" t="s">
        <v>14976</v>
      </c>
      <c r="C15229" t="str">
        <f>IFERROR(__xludf.DUMMYFUNCTION("GOOGLETRANSLATE(B15229, ""fr"", ""en"")"),"Proper slightly too small relative to the size announced, but it is still acceptable")</f>
        <v>Proper slightly too small relative to the size announced, but it is still acceptable</v>
      </c>
    </row>
    <row r="15230">
      <c r="A15230" s="1">
        <v>5.0</v>
      </c>
      <c r="B15230" s="1" t="s">
        <v>14977</v>
      </c>
      <c r="C15230" t="str">
        <f>IFERROR(__xludf.DUMMYFUNCTION("GOOGLETRANSLATE(B15230, ""fr"", ""en"")"),"good size and Lightest to do the walking I am very telling")</f>
        <v>good size and Lightest to do the walking I am very telling</v>
      </c>
    </row>
    <row r="15231">
      <c r="A15231" s="1">
        <v>5.0</v>
      </c>
      <c r="B15231" s="1" t="s">
        <v>14978</v>
      </c>
      <c r="C15231" t="str">
        <f>IFERROR(__xludf.DUMMYFUNCTION("GOOGLETRANSLATE(B15231, ""fr"", ""en"")"),"Unsurprisingly Nothing to say except that the cartridge change poses no problem. For del recycling a cartridge is a little more complicated.")</f>
        <v>Unsurprisingly Nothing to say except that the cartridge change poses no problem. For del recycling a cartridge is a little more complicated.</v>
      </c>
    </row>
    <row r="15232">
      <c r="A15232" s="1">
        <v>5.0</v>
      </c>
      <c r="B15232" s="1" t="s">
        <v>6483</v>
      </c>
      <c r="C15232" t="str">
        <f>IFERROR(__xludf.DUMMYFUNCTION("GOOGLETRANSLATE(B15232, ""fr"", ""en"")"),"nickel")</f>
        <v>nickel</v>
      </c>
    </row>
    <row r="15233">
      <c r="A15233" s="1">
        <v>5.0</v>
      </c>
      <c r="B15233" s="1" t="s">
        <v>14979</v>
      </c>
      <c r="C15233" t="str">
        <f>IFERROR(__xludf.DUMMYFUNCTION("GOOGLETRANSLATE(B15233, ""fr"", ""en"")"),"Very happy Christmas gift for my son, I tried it before offering it works, easy to use, manual in French, good sound, he will be delighted")</f>
        <v>Very happy Christmas gift for my son, I tried it before offering it works, easy to use, manual in French, good sound, he will be delighted</v>
      </c>
    </row>
    <row r="15234">
      <c r="A15234" s="1">
        <v>5.0</v>
      </c>
      <c r="B15234" s="1" t="s">
        <v>14980</v>
      </c>
      <c r="C15234" t="str">
        <f>IFERROR(__xludf.DUMMYFUNCTION("GOOGLETRANSLATE(B15234, ""fr"", ""en"")"),"Good Expected Delivery Saturday and I was delivered Saturday 9:15 ... Perfect 👌 I expected a smaller but very practical bag. Perfect to put your everyday objects purse, phone, vehicle paper tablet. Good solid. To see in time, but I believe it. I recommen"&amp;"d it to you")</f>
        <v>Good Expected Delivery Saturday and I was delivered Saturday 9:15 ... Perfect 👌 I expected a smaller but very practical bag. Perfect to put your everyday objects purse, phone, vehicle paper tablet. Good solid. To see in time, but I believe it. I recommend it to you</v>
      </c>
    </row>
    <row r="15235">
      <c r="A15235" s="1">
        <v>5.0</v>
      </c>
      <c r="B15235" s="1" t="s">
        <v>14981</v>
      </c>
      <c r="C15235" t="str">
        <f>IFERROR(__xludf.DUMMYFUNCTION("GOOGLETRANSLATE(B15235, ""fr"", ""en"")"),"Conforms to need Walking correctly. In the case of my machine Delonghi must fill with water while the tank with a dose and start the descaling program. Then the warning light will etteint.")</f>
        <v>Conforms to need Walking correctly. In the case of my machine Delonghi must fill with water while the tank with a dose and start the descaling program. Then the warning light will etteint.</v>
      </c>
    </row>
    <row r="15236">
      <c r="A15236" s="1">
        <v>5.0</v>
      </c>
      <c r="B15236" s="1" t="s">
        <v>14982</v>
      </c>
      <c r="C15236" t="str">
        <f>IFERROR(__xludf.DUMMYFUNCTION("GOOGLETRANSLATE(B15236, ""fr"", ""en"")"),"Very satisfied To begin with, I was surprised by the packaging. Very clean and neat, which is pleasant. I have used with a diffuser. And a few drops were enough. What is perfect, no need to pay the bottle to feel the smell, a few drops and voila. The oils"&amp;" are very concentrated. The smell'm feeling good, without attacking the nose, which is perfect. I had a big crush on eucalyptus. I recommend this product. I think to offer, because the uses are different, which makes it interesting gifts (especially at th"&amp;"is price)")</f>
        <v>Very satisfied To begin with, I was surprised by the packaging. Very clean and neat, which is pleasant. I have used with a diffuser. And a few drops were enough. What is perfect, no need to pay the bottle to feel the smell, a few drops and voila. The oils are very concentrated. The smell'm feeling good, without attacking the nose, which is perfect. I had a big crush on eucalyptus. I recommend this product. I think to offer, because the uses are different, which makes it interesting gifts (especially at this price)</v>
      </c>
    </row>
    <row r="15237">
      <c r="A15237" s="1">
        <v>5.0</v>
      </c>
      <c r="B15237" s="1" t="s">
        <v>14983</v>
      </c>
      <c r="C15237" t="str">
        <f>IFERROR(__xludf.DUMMYFUNCTION("GOOGLETRANSLATE(B15237, ""fr"", ""en"")"),"Consistent with the description Beautiful bracelet, tiger eye and another Lapis Lazuli, delivered in a small bag with a cloth micro fiber and elastic parts. Attention however to the circumference of your wrist, between 17 and 20 cm will be the ideal (see "&amp;"online how to measure your wrist) See in time to the quality of the stones")</f>
        <v>Consistent with the description Beautiful bracelet, tiger eye and another Lapis Lazuli, delivered in a small bag with a cloth micro fiber and elastic parts. Attention however to the circumference of your wrist, between 17 and 20 cm will be the ideal (see online how to measure your wrist) See in time to the quality of the stones</v>
      </c>
    </row>
    <row r="15238">
      <c r="A15238" s="1">
        <v>5.0</v>
      </c>
      <c r="B15238" s="1" t="s">
        <v>14984</v>
      </c>
      <c r="C15238" t="str">
        <f>IFERROR(__xludf.DUMMYFUNCTION("GOOGLETRANSLATE(B15238, ""fr"", ""en"")"),"Hello warranty, I bought this beautiful helmet in September and I use every day. However, following a slight shock, the volume buttons and change music no longer work. Would it be possible to run the 24 month warranty? Thank you")</f>
        <v>Hello warranty, I bought this beautiful helmet in September and I use every day. However, following a slight shock, the volume buttons and change music no longer work. Would it be possible to run the 24 month warranty? Thank you</v>
      </c>
    </row>
    <row r="15239">
      <c r="A15239" s="1">
        <v>5.0</v>
      </c>
      <c r="B15239" s="1" t="s">
        <v>14985</v>
      </c>
      <c r="C15239" t="str">
        <f>IFERROR(__xludf.DUMMYFUNCTION("GOOGLETRANSLATE(B15239, ""fr"", ""en"")"),"The clasp fine works very well, rendering is very aesthetical and malgrès have worn at work all suffered no visible scratches.")</f>
        <v>The clasp fine works very well, rendering is very aesthetical and malgrès have worn at work all suffered no visible scratches.</v>
      </c>
    </row>
    <row r="15240">
      <c r="A15240" s="1">
        <v>2.0</v>
      </c>
      <c r="B15240" s="1" t="s">
        <v>14986</v>
      </c>
      <c r="C15240" t="str">
        <f>IFERROR(__xludf.DUMMYFUNCTION("GOOGLETRANSLATE(B15240, ""fr"", ""en"")"),"Envelopes pretty good but just delivered without packing a papier so damaged enough quality envelopes but delivered without packing a just-so damaged papier. Furthermore it is only a banal cardboard which is not practical for storage. This automatically d"&amp;"eposit presents a better value.")</f>
        <v>Envelopes pretty good but just delivered without packing a papier so damaged enough quality envelopes but delivered without packing a just-so damaged papier. Furthermore it is only a banal cardboard which is not practical for storage. This automatically deposit presents a better value.</v>
      </c>
    </row>
    <row r="15241">
      <c r="A15241" s="1">
        <v>1.0</v>
      </c>
      <c r="B15241" s="1" t="s">
        <v>14987</v>
      </c>
      <c r="C15241" t="str">
        <f>IFERROR(__xludf.DUMMYFUNCTION("GOOGLETRANSLATE(B15241, ""fr"", ""en"")"),"Heater that down! The texture of the cover is generally nice but very inhomogeneous heating. The resistors are still low, so even turning several times the coverage, the result is very disappointing. Back quickly asked.")</f>
        <v>Heater that down! The texture of the cover is generally nice but very inhomogeneous heating. The resistors are still low, so even turning several times the coverage, the result is very disappointing. Back quickly asked.</v>
      </c>
    </row>
    <row r="15242">
      <c r="A15242" s="1">
        <v>3.0</v>
      </c>
      <c r="B15242" s="1" t="s">
        <v>14988</v>
      </c>
      <c r="C15242" t="str">
        <f>IFERROR(__xludf.DUMMYFUNCTION("GOOGLETRANSLATE(B15242, ""fr"", ""en"")"),"Good quality headphones, microphone away The headphones are of good quality, comfortable and well made. The failure of this headset is the microphone that transmits too much noise, even in a quiet environment, can not be used while walking, the parties he"&amp;"ar too much sizzle")</f>
        <v>Good quality headphones, microphone away The headphones are of good quality, comfortable and well made. The failure of this headset is the microphone that transmits too much noise, even in a quiet environment, can not be used while walking, the parties hear too much sizzle</v>
      </c>
    </row>
    <row r="15243">
      <c r="A15243" s="1">
        <v>3.0</v>
      </c>
      <c r="B15243" s="1" t="s">
        <v>14989</v>
      </c>
      <c r="C15243" t="str">
        <f>IFERROR(__xludf.DUMMYFUNCTION("GOOGLETRANSLATE(B15243, ""fr"", ""en"")"),"Dear Sold at 4x cheaper supermarket ... Works so small invasion")</f>
        <v>Dear Sold at 4x cheaper supermarket ... Works so small invasion</v>
      </c>
    </row>
    <row r="15244">
      <c r="A15244" s="1">
        <v>4.0</v>
      </c>
      <c r="B15244" s="1" t="s">
        <v>14990</v>
      </c>
      <c r="C15244" t="str">
        <f>IFERROR(__xludf.DUMMYFUNCTION("GOOGLETRANSLATE(B15244, ""fr"", ""en"")"),"briquette press I just received my press briquette that very well already use and makes beautiful briquette but beware it is only to make paper briquettes chop well not too hard pressed paperboard otherwise I recommend")</f>
        <v>briquette press I just received my press briquette that very well already use and makes beautiful briquette but beware it is only to make paper briquettes chop well not too hard pressed paperboard otherwise I recommend</v>
      </c>
    </row>
    <row r="15245">
      <c r="A15245" s="1">
        <v>4.0</v>
      </c>
      <c r="B15245" s="1" t="s">
        <v>14991</v>
      </c>
      <c r="C15245" t="str">
        <f>IFERROR(__xludf.DUMMYFUNCTION("GOOGLETRANSLATE(B15245, ""fr"", ""en"")"),"I love Very good size for 16 s perfect perfect color really nothing to say right sleeve seams just had a default but nothing serious")</f>
        <v>I love Very good size for 16 s perfect perfect color really nothing to say right sleeve seams just had a default but nothing serious</v>
      </c>
    </row>
    <row r="15246">
      <c r="A15246" s="1">
        <v>4.0</v>
      </c>
      <c r="B15246" s="1" t="s">
        <v>14992</v>
      </c>
      <c r="C15246" t="str">
        <f>IFERROR(__xludf.DUMMYFUNCTION("GOOGLETRANSLATE(B15246, ""fr"", ""en"")"),"Hs after 5 months use !!!! Very good product but failed after only 5 months used for running, very reassuring to hear background noise in addition to music few worries sync but after 5 months use, the controls do not respond, impossible to switch off the "&amp;"headset or manage spark pity but excellent after sales service, received a new helmet by the seller thank you")</f>
        <v>Hs after 5 months use !!!! Very good product but failed after only 5 months used for running, very reassuring to hear background noise in addition to music few worries sync but after 5 months use, the controls do not respond, impossible to switch off the headset or manage spark pity but excellent after sales service, received a new helmet by the seller thank you</v>
      </c>
    </row>
    <row r="15247">
      <c r="A15247" s="1">
        <v>4.0</v>
      </c>
      <c r="B15247" s="1" t="s">
        <v>14993</v>
      </c>
      <c r="C15247" t="str">
        <f>IFERROR(__xludf.DUMMYFUNCTION("GOOGLETRANSLATE(B15247, ""fr"", ""en"")"),"For me beautiful Creole")</f>
        <v>For me beautiful Creole</v>
      </c>
    </row>
    <row r="15248">
      <c r="A15248" s="1">
        <v>5.0</v>
      </c>
      <c r="B15248" s="1" t="s">
        <v>14994</v>
      </c>
      <c r="C15248" t="str">
        <f>IFERROR(__xludf.DUMMYFUNCTION("GOOGLETRANSLATE(B15248, ""fr"", ""en"")"),"Keeps well in hand I love this pacifier nibbler, my son can taste the fruits and vegetables to begin to separate tastes. It keeps well in small hands of a baby and easy to clean")</f>
        <v>Keeps well in hand I love this pacifier nibbler, my son can taste the fruits and vegetables to begin to separate tastes. It keeps well in small hands of a baby and easy to clean</v>
      </c>
    </row>
    <row r="15249">
      <c r="A15249" s="1">
        <v>5.0</v>
      </c>
      <c r="B15249" s="1" t="s">
        <v>14995</v>
      </c>
      <c r="C15249" t="str">
        <f>IFERROR(__xludf.DUMMYFUNCTION("GOOGLETRANSLATE(B15249, ""fr"", ""en"")"),"good product I bought these for my son converse, it's a great product, but beware, it larger than expected size, provide a size less.")</f>
        <v>good product I bought these for my son converse, it's a great product, but beware, it larger than expected size, provide a size less.</v>
      </c>
    </row>
    <row r="15250">
      <c r="A15250" s="1">
        <v>5.0</v>
      </c>
      <c r="B15250" s="1" t="s">
        <v>14996</v>
      </c>
      <c r="C15250" t="str">
        <f>IFERROR(__xludf.DUMMYFUNCTION("GOOGLETRANSLATE(B15250, ""fr"", ""en"")"),"Impec '! Product of excellent quality, robust. Has several pockets, which is convenient to store such key on one side, the laptop the other and center portfolio. Capacity properly. Suitable for both a man than a woman. However attention to color. Commissi"&amp;"oned in ""Midnight Blue"", the product received is darker than the picture which made it rather looks like a black light.")</f>
        <v>Impec '! Product of excellent quality, robust. Has several pockets, which is convenient to store such key on one side, the laptop the other and center portfolio. Capacity properly. Suitable for both a man than a woman. However attention to color. Commissioned in "Midnight Blue", the product received is darker than the picture which made it rather looks like a black light.</v>
      </c>
    </row>
    <row r="15251">
      <c r="A15251" s="1">
        <v>5.0</v>
      </c>
      <c r="B15251" s="1" t="s">
        <v>14997</v>
      </c>
      <c r="C15251" t="str">
        <f>IFERROR(__xludf.DUMMYFUNCTION("GOOGLETRANSLATE(B15251, ""fr"", ""en"")"),"They're beautiful beautiful 😍😍😍")</f>
        <v>They're beautiful beautiful 😍😍😍</v>
      </c>
    </row>
    <row r="15252">
      <c r="A15252" s="1">
        <v>5.0</v>
      </c>
      <c r="B15252" s="1" t="s">
        <v>14998</v>
      </c>
      <c r="C15252" t="str">
        <f>IFERROR(__xludf.DUMMYFUNCTION("GOOGLETRANSLATE(B15252, ""fr"", ""en"")"),"Super Very good quality and very beautiful earrings.")</f>
        <v>Super Very good quality and very beautiful earrings.</v>
      </c>
    </row>
    <row r="15253">
      <c r="A15253" s="1">
        <v>5.0</v>
      </c>
      <c r="B15253" s="1" t="s">
        <v>14999</v>
      </c>
      <c r="C15253" t="str">
        <f>IFERROR(__xludf.DUMMYFUNCTION("GOOGLETRANSLATE(B15253, ""fr"", ""en"")"),"My first girlfriend bottle age who has just given birth, uses these bottles for several feedings, all goes well, baby falls asleep very many it has finished. Pacifiers seem well suited, The box is pretty full with two 125 ml bottles of 260ml and two which"&amp;" have added a pacifier nipple and a washing brush all blue. This can be a very affordable and very useful gift")</f>
        <v>My first girlfriend bottle age who has just given birth, uses these bottles for several feedings, all goes well, baby falls asleep very many it has finished. Pacifiers seem well suited, The box is pretty full with two 125 ml bottles of 260ml and two which have added a pacifier nipple and a washing brush all blue. This can be a very affordable and very useful gift</v>
      </c>
    </row>
    <row r="15254">
      <c r="A15254" s="1">
        <v>5.0</v>
      </c>
      <c r="B15254" s="1" t="s">
        <v>15000</v>
      </c>
      <c r="C15254" t="str">
        <f>IFERROR(__xludf.DUMMYFUNCTION("GOOGLETRANSLATE(B15254, ""fr"", ""en"")"),"I love sneakers compensated mode they are great and stand well to foot ... chic color ... big thank you")</f>
        <v>I love sneakers compensated mode they are great and stand well to foot ... chic color ... big thank you</v>
      </c>
    </row>
    <row r="15255">
      <c r="A15255" s="1">
        <v>5.0</v>
      </c>
      <c r="B15255" s="1" t="s">
        <v>15001</v>
      </c>
      <c r="C15255" t="str">
        <f>IFERROR(__xludf.DUMMYFUNCTION("GOOGLETRANSLATE(B15255, ""fr"", ""en"")"),"Watch Perfect Thanks")</f>
        <v>Watch Perfect Thanks</v>
      </c>
    </row>
    <row r="15256">
      <c r="A15256" s="1">
        <v>5.0</v>
      </c>
      <c r="B15256" s="1" t="s">
        <v>15002</v>
      </c>
      <c r="C15256" t="str">
        <f>IFERROR(__xludf.DUMMYFUNCTION("GOOGLETRANSLATE(B15256, ""fr"", ""en"")"),"Style Beautiful Kettle, beautiful color. Heater fast. The handle is hot when the device is hot. Product quite expensive.")</f>
        <v>Style Beautiful Kettle, beautiful color. Heater fast. The handle is hot when the device is hot. Product quite expensive.</v>
      </c>
    </row>
    <row r="15257">
      <c r="A15257" s="1">
        <v>5.0</v>
      </c>
      <c r="B15257" s="1" t="s">
        <v>15003</v>
      </c>
      <c r="C15257" t="str">
        <f>IFERROR(__xludf.DUMMYFUNCTION("GOOGLETRANSLATE(B15257, ""fr"", ""en"")"),"My favorite laundry. I use this brand for a while for various household products and nothing to say bad for the laundry. It is environmentally friendly thanks to its lightweight and recyclable packaging, it smells and wash well. The placement price is cor"&amp;"rect.")</f>
        <v>My favorite laundry. I use this brand for a while for various household products and nothing to say bad for the laundry. It is environmentally friendly thanks to its lightweight and recyclable packaging, it smells and wash well. The placement price is correct.</v>
      </c>
    </row>
    <row r="15258">
      <c r="A15258" s="1">
        <v>5.0</v>
      </c>
      <c r="B15258" s="1" t="s">
        <v>15004</v>
      </c>
      <c r="C15258" t="str">
        <f>IFERROR(__xludf.DUMMYFUNCTION("GOOGLETRANSLATE(B15258, ""fr"", ""en"")"),"REPRESENTS MY WAITING Delivery scheduled between 01/12 and 04/12/2018, the reception 11/31/2018 (Bravo) perfect packaging. I recommend it The strap can be adjusted to your wrist (with small wrists and therefore difficult to have the right size and right t"&amp;"here R.A.S")</f>
        <v>REPRESENTS MY WAITING Delivery scheduled between 01/12 and 04/12/2018, the reception 11/31/2018 (Bravo) perfect packaging. I recommend it The strap can be adjusted to your wrist (with small wrists and therefore difficult to have the right size and right there R.A.S</v>
      </c>
    </row>
    <row r="15259">
      <c r="A15259" s="1">
        <v>5.0</v>
      </c>
      <c r="B15259" s="1" t="s">
        <v>15005</v>
      </c>
      <c r="C15259" t="str">
        <f>IFERROR(__xludf.DUMMYFUNCTION("GOOGLETRANSLATE(B15259, ""fr"", ""en"")"),"Perfect! These shoes are comfortable and lightweight. The design is simple and remains modern. The product fits my expectations. I recommend this product.")</f>
        <v>Perfect! These shoes are comfortable and lightweight. The design is simple and remains modern. The product fits my expectations. I recommend this product.</v>
      </c>
    </row>
    <row r="15260">
      <c r="A15260" s="1">
        <v>5.0</v>
      </c>
      <c r="B15260" s="1" t="s">
        <v>15006</v>
      </c>
      <c r="C15260" t="str">
        <f>IFERROR(__xludf.DUMMYFUNCTION("GOOGLETRANSLATE(B15260, ""fr"", ""en"")"),"Excellent product I ordered two helmets not knowing which one to choose: one (90 €) and the Sony MDR-ZX770BNB (114 €). After testing, I chose the Sennheiser: excellent sound quality, comfortable, foldable therefore easily transportable by public transport"&amp;". I regret a little size, but in terms of Bluetooth, it is normal that they are bigger than wired headsets. The Sony supposedly the noise reduction but honestly, there is no difference with it. I do not regret my purchase!")</f>
        <v>Excellent product I ordered two helmets not knowing which one to choose: one (90 €) and the Sony MDR-ZX770BNB (114 €). After testing, I chose the Sennheiser: excellent sound quality, comfortable, foldable therefore easily transportable by public transport. I regret a little size, but in terms of Bluetooth, it is normal that they are bigger than wired headsets. The Sony supposedly the noise reduction but honestly, there is no difference with it. I do not regret my purchase!</v>
      </c>
    </row>
    <row r="15261">
      <c r="A15261" s="1">
        <v>5.0</v>
      </c>
      <c r="B15261" s="1" t="s">
        <v>15007</v>
      </c>
      <c r="C15261" t="str">
        <f>IFERROR(__xludf.DUMMYFUNCTION("GOOGLETRANSLATE(B15261, ""fr"", ""en"")"),"helmet without wire product complies its good quality connection easy book quickly I recommend")</f>
        <v>helmet without wire product complies its good quality connection easy book quickly I recommend</v>
      </c>
    </row>
    <row r="15262">
      <c r="A15262" s="1">
        <v>5.0</v>
      </c>
      <c r="B15262" s="1" t="s">
        <v>15008</v>
      </c>
      <c r="C15262" t="str">
        <f>IFERROR(__xludf.DUMMYFUNCTION("GOOGLETRANSLATE(B15262, ""fr"", ""en"")"),"Adorable super cute ..")</f>
        <v>Adorable super cute ..</v>
      </c>
    </row>
    <row r="15263">
      <c r="A15263" s="1">
        <v>2.0</v>
      </c>
      <c r="B15263" s="1" t="s">
        <v>15009</v>
      </c>
      <c r="C15263" t="str">
        <f>IFERROR(__xludf.DUMMYFUNCTION("GOOGLETRANSLATE(B15263, ""fr"", ""en"")"),"color cartridges are low capacities I had to quickly change the color ink cartridges because they were quickly emptied ???? I do not understand I do mostly black copies and more")</f>
        <v>color cartridges are low capacities I had to quickly change the color ink cartridges because they were quickly emptied ???? I do not understand I do mostly black copies and more</v>
      </c>
    </row>
    <row r="15264">
      <c r="A15264" s="1">
        <v>1.0</v>
      </c>
      <c r="B15264" s="1" t="s">
        <v>15010</v>
      </c>
      <c r="C15264" t="str">
        <f>IFERROR(__xludf.DUMMYFUNCTION("GOOGLETRANSLATE(B15264, ""fr"", ""en"")"),"Remote HS after only 1 pea use After just one month of using a remote control no longer works ... And of course too late to request a return on amazon ... Very disappointed !!!")</f>
        <v>Remote HS after only 1 pea use After just one month of using a remote control no longer works ... And of course too late to request a return on amazon ... Very disappointed !!!</v>
      </c>
    </row>
    <row r="15265">
      <c r="A15265" s="1">
        <v>1.0</v>
      </c>
      <c r="B15265" s="1" t="s">
        <v>15011</v>
      </c>
      <c r="C15265" t="str">
        <f>IFERROR(__xludf.DUMMYFUNCTION("GOOGLETRANSLATE(B15265, ""fr"", ""en"")"),"BIG CONCERN For the first time I have received a cartridge leaking and thus killing all my impressions !! Black spots along the margin ...")</f>
        <v>BIG CONCERN For the first time I have received a cartridge leaking and thus killing all my impressions !! Black spots along the margin ...</v>
      </c>
    </row>
    <row r="15266">
      <c r="A15266" s="1">
        <v>3.0</v>
      </c>
      <c r="B15266" s="1" t="s">
        <v>15012</v>
      </c>
      <c r="C15266" t="str">
        <f>IFERROR(__xludf.DUMMYFUNCTION("GOOGLETRANSLATE(B15266, ""fr"", ""en"")"),"Beautiful but not comfortable at all Very poor soles not possible to work 8 hours")</f>
        <v>Beautiful but not comfortable at all Very poor soles not possible to work 8 hours</v>
      </c>
    </row>
    <row r="15267">
      <c r="A15267" s="1">
        <v>3.0</v>
      </c>
      <c r="B15267" s="1" t="s">
        <v>15013</v>
      </c>
      <c r="C15267" t="str">
        <f>IFERROR(__xludf.DUMMYFUNCTION("GOOGLETRANSLATE(B15267, ""fr"", ""en"")"),"Slips too .. So impossible to work with it are pretty shoes but in my case I have worn a day because they slide horribly .... Working in the catering ... It is impossible to walk without slipping (then my Goodyear Marshall virtually no slip) ... And even "&amp;"as shoe for the city .... They glide too much in case of wet soil")</f>
        <v>Slips too .. So impossible to work with it are pretty shoes but in my case I have worn a day because they slide horribly .... Working in the catering ... It is impossible to walk without slipping (then my Goodyear Marshall virtually no slip) ... And even as shoe for the city .... They glide too much in case of wet soil</v>
      </c>
    </row>
    <row r="15268">
      <c r="A15268" s="1">
        <v>4.0</v>
      </c>
      <c r="B15268" s="1" t="s">
        <v>15014</v>
      </c>
      <c r="C15268" t="str">
        <f>IFERROR(__xludf.DUMMYFUNCTION("GOOGLETRANSLATE(B15268, ""fr"", ""en"")"),"Complete kit including 2 small bottles for the birth and then recycled to water, 2 large bottles, pacifiers 1 + 1 bottle brush for cleaning. This accessory is a great idea. Ultra-lightweight bottles (plastic). There is also an anti colic valve delivered. "&amp;"It is difficult to judge the result of the latter. But the kit is complete which is great for ""start"".")</f>
        <v>Complete kit including 2 small bottles for the birth and then recycled to water, 2 large bottles, pacifiers 1 + 1 bottle brush for cleaning. This accessory is a great idea. Ultra-lightweight bottles (plastic). There is also an anti colic valve delivered. It is difficult to judge the result of the latter. But the kit is complete which is great for "start".</v>
      </c>
    </row>
    <row r="15269">
      <c r="A15269" s="1">
        <v>4.0</v>
      </c>
      <c r="B15269" s="1" t="s">
        <v>15015</v>
      </c>
      <c r="C15269" t="str">
        <f>IFERROR(__xludf.DUMMYFUNCTION("GOOGLETRANSLATE(B15269, ""fr"", ""en"")"),"Dress A little light otherwise fine")</f>
        <v>Dress A little light otherwise fine</v>
      </c>
    </row>
    <row r="15270">
      <c r="A15270" s="1">
        <v>4.0</v>
      </c>
      <c r="B15270" s="1" t="s">
        <v>15016</v>
      </c>
      <c r="C15270" t="str">
        <f>IFERROR(__xludf.DUMMYFUNCTION("GOOGLETRANSLATE(B15270, ""fr"", ""en"")"),"I do not know I do not know whether they change something in my case turn 2 year old son amused s well with lol")</f>
        <v>I do not know I do not know whether they change something in my case turn 2 year old son amused s well with lol</v>
      </c>
    </row>
    <row r="15271">
      <c r="A15271" s="1">
        <v>4.0</v>
      </c>
      <c r="B15271" s="1" t="s">
        <v>15017</v>
      </c>
      <c r="C15271" t="str">
        <f>IFERROR(__xludf.DUMMYFUNCTION("GOOGLETRANSLATE(B15271, ""fr"", ""en"")"),"Quality price! I use them for my son that night lights are just batteries. When you have to regularly change the batteries quickly becomes expensive. Very interesting for the price")</f>
        <v>Quality price! I use them for my son that night lights are just batteries. When you have to regularly change the batteries quickly becomes expensive. Very interesting for the price</v>
      </c>
    </row>
    <row r="15272">
      <c r="A15272" s="1">
        <v>5.0</v>
      </c>
      <c r="B15272" s="1" t="s">
        <v>15018</v>
      </c>
      <c r="C15272" t="str">
        <f>IFERROR(__xludf.DUMMYFUNCTION("GOOGLETRANSLATE(B15272, ""fr"", ""en"")"),"great product for youtubeurs herbs &lt;div id = ""video-block-R270MLLE57823B"" class = ""a-section-spacing-small in-spacing-top mini video-block""&gt; &lt;div tabindex = ""0"" class = ""airy airy-svg vmin-supported airy-skin-beacon"" style = ""background-color: rg"&amp;"b (0, 0, 0); position: relative; width: 100%; height: 100%; font-size: 0px ; overflow: hidden; outline: none; ""&gt; &lt;div class ="" airy-renderer-container ""style ="" position: relative; height: 100%; width: 100%; ""&gt; &lt;video id ="" 7 ""preload = ""auto"" sr"&amp;"c = ""https://images-eu.ssl-images-amazon.com/images/I/D1p6LtvSxsS.mp4"" style = ""position: absolute; left: 0px; top: 0px; overflow: hidden; height : 1px; width: 1px; ""&gt; &lt;/ video&gt; &lt;/ div&gt; &lt;div id ="" airy-slate-preload ""style ="" background-color: rgb "&amp;"(0, 0, 0); background-image: url ( &amp; quot; https: //images-eu.ssl-images-amazon.com/images/I/21sVfv5gUtS.png&amp;quot;); background-size: contain; background-position: center center; background-repeat: no-repeat; position : absolute; top: 0px; left: 0px; visi"&amp;"bility: visible; width: 100%; height: 100% ""&gt; &lt;/ div&gt; &lt;iframe scrolling ="" no ""frameborder ="" 0 ""src ="" about: blank ""style ="" display: none; ""&gt; &lt;/ iframe&gt; &lt;div tabindex ="" - 1 ""class = ""airy-controls-container"" style = ""opacity: 0; visibili"&amp;"ty: hidden; ""&gt; &lt;div tabindex ="" - 1 ""class ="" airy-screen-size-toggle airy-fullscreen ""&gt; &lt;/ div&gt; &lt;div tabindex ="" - 1 ""class ="" airy-container-bottom "" &gt; &lt;div tabindex = ""- 1"" class = ""airy-track-bar spacer-left"" style = ""width: 11px;""&gt; &lt;/ "&amp;"div&gt; &lt;div tabindex = ""- 1"" class = ""airy-play- toggle airy-play ""style ="" width: 12px; margin-right: 12px; ""&gt; &lt;/ div&gt; &lt;div tabindex ="" - 1 ""class ="" airy-audio-elements ""style ="" float: right; width: 34px; ""&gt; &lt;div tabindex ="" - 1 ""class ="" "&amp;"airy-audio-toggle airy-on ""&gt; &lt;/ div&gt; &lt;div tabindex ="" - 1 ""class ="" airy-audio-container ""style = ""opacity: 0; visibility: hidden; ""&gt; &lt;div tabindex ="" - 1 ""class ="" airy-audio-track-bar ""style ="" height: 80%; ""&gt; &lt;div tabindex ="" - 1 ""class "&amp;"="" airy-audio- scrubber bar ""style ="" height: 85% ""&gt; &lt;/ div&gt; &lt;div tabindex ="" - 1 ""class ="" airy-audio-scrubber ""style ="" height: 12px; bottom: 85% ""&gt; &lt;/ div&gt; &lt;/ div&gt; &lt;/ div&gt; &lt;/ div&gt; &lt;div tabindex ="" - 1 ""class ="" airy-duration-label ""style "&amp;"="" float: right; width: 26px; margin-right: 4px; text-align: center; ""&gt; 4:19 &lt;/ div&gt; &lt;div tabindex ="" - 1 ""class ="" airy-track-bar spacer-right ""style ="" float: right; width: 11px; ""&gt; &lt;/ div&gt; &lt;div tabindex ="" - 1 ""class ="" airy-track-bar-contai"&amp;"ner ""style ="" margin-left: 35px; margin-right: 75px; ""&gt; &lt;div tabindex ="" - 1 ""class ="" airy-airy-track-bar vertical-centering-table ""&gt; &lt;div tabindex ="" - 1 ""class ="" airy-vertical-centering- table-cell ""&gt; &lt;div tabindex ="" - 1 ""class ="" airy-"&amp;"track-bar elements ""&gt; &lt;div tabindex ="" - 1 ""class ="" airy-progress-bar ""style ="" width: 15.1036%; ""&gt; &lt;/ div&gt; &lt;div tabindex ="" - 1 ""class ="" airy-scrubber bar ""&gt; &lt;/ div&gt; &lt;div tabindex ="" - 1 ""class ="" airy-scrubber ""&gt; &lt;div tabindex ="" - 1 "&amp;"""class ="" airy-scrubber-icon ""&gt; &lt;/ div&gt; &lt;div tabindex ="" - 1 ""class ="" airy-adjusted-aui-tooltip ""style ="" opacity: 0; visibility: hidden; ""&gt; &lt;div tabindex ="" - 1 ""class ="" airy-adjusted-aui-tooltip-inner ""&gt; &lt;div tabindex ="" - 1 ""class ="" "&amp;"airy-current-time-label ""&gt; 0 00 &lt;/ div&gt; &lt;/ div&gt; &lt;div tabindex = ""- 1"" class = ""airy-adjusted-aui-arrow-border""&gt; &lt;div tabindex = ""- 1"" class = ""airy-adjusted-aui-arrow"" &gt; &lt;/ div&gt; &lt;/ div&gt; &lt;/ div&gt; &lt;/ div&gt; &lt;/ div&gt; &lt;/ div&gt; &lt;/ div&gt; &lt;/ div&gt; &lt;/ div&gt; &lt;/ d"&amp;"iv&gt; &lt;div tabindex = ""- 1"" class = ""airy-airy-age-gate course airy-vertical-centering table-airy-dialog"" style = ""opacity: 0; visibility: hidden; ""&gt; &lt;div tabindex ="" - 1 ""class ="" airy-age-gate-vertical-centering-table-cell airy-vertical-centering"&amp;"-table-cell ""&gt; &lt;div tabindex ="" - 1 ""class = ""airy-vertical-centering-wrapper airy-age-gate-elements-wrapper""&gt; &lt;div tabindex = ""- 1"" class = ""airy-age-gate-elements airy-dialog-elements""&gt; &lt;div tabindex = "" -1 ""class ="" airy-age-gate-prompt ""&gt;"&amp;" This video is not Intended for all audiences What time were you born &lt;/ div&gt; &lt;div tabindex =.?"" - 1 ""class ="" airy-age-gate -inputs airy-dialog-inner-elements ""&gt; &lt;select tabindex ="" - 1 ""class ="" airy-age-gate-month ""&gt; &lt;option value ="" 1 ""&gt; Jan"&amp;"uary &lt;/ option&gt; &lt;option value ="" 2 ""&gt; February &lt;/ option&gt; &lt;option value ="" 3 ""&gt; March &lt;/ option&gt; &lt;option value ="" 4 ""&gt; April &lt;/ option&gt; &lt;option value ="" 5 ""&gt; May &lt;/ option&gt; &lt;option value = ""6""&gt; June &lt;/ option&gt; &lt;option value = ""7""&gt; July &lt;/ opti"&amp;"on&gt; &lt;option value = ""8""&gt; August &lt;/ option&gt; &lt;option value = ""9""&gt; September &lt;/ option&gt; &lt;option value = ""10""&gt; October &lt;/ option&gt; &lt;option value = ""11""&gt; November &lt;/ option&gt; &lt;option value = ""12""&gt; December &lt;/ option&gt; &lt;/ select&gt; &lt;select tabindex = ""- 1"&amp;""" class = ""airy-age-gate-day""&gt; &lt;opti = One value ""1""&gt; 1 &lt;/ option&gt; &lt;option value = ""2""&gt; 2 &lt;/ option&gt; &lt;option value = ""3""&gt; 3 &lt;/ option&gt; &lt;option value = ""4""&gt; 4 &lt;/ option &gt; &lt;option value = ""5""&gt; 5 &lt;/ option&gt; &lt;option value = ""6""&gt; 6 &lt;/ option&gt; &lt;o"&amp;"ption value = ""7""&gt; 7 &lt;/ option&gt; &lt;option value = ""8""&gt; 8 &lt; / option&gt; &lt;option value = ""9""&gt; 9 &lt;/ option&gt; &lt;option value = ""10""&gt; 10 &lt;/ option&gt; &lt;option value = ""11""&gt; 11 &lt;/ option&gt; &lt;option value = ""12""&gt; 12 &lt;/ option&gt; &lt;option value = ""13""&gt; 13 &lt;/ opti"&amp;"on&gt; &lt;option value = ""14""&gt; 14 &lt;/ option&gt; &lt;option value = ""15""&gt; 15 &lt;/ option&gt; &lt;option value = ""16 ""&gt; 16 &lt;/ option&gt; &lt;option value ="" 17 ""&gt; 17 &lt;/ option&gt; &lt;option value ="" 18 ""&gt; 18 &lt;/ option&gt; &lt;option value ="" 19 ""&gt; 19 &lt;/ option&gt; &lt;option value = ""2"&amp;"0""&gt; 20 &lt;/ option&gt; &lt;option value = ""21""&gt; 21 &lt;/ option&gt; &lt;option value = ""22""&gt; 22 &lt;/ option&gt; &lt;option value = ""23""&gt; 23 &lt;/ option&gt; &lt;option value = ""24""&gt; 24 &lt;/ option&gt; &lt;option value = ""25""&gt; 25 &lt;/ option&gt; &lt;option value = ""26""&gt; 26 &lt;/ option&gt; &lt;option "&amp;"value = ""27""&gt; 27 &lt;/ option&gt; &lt;option value = ""28""&gt; 28 &lt;/ option&gt; &lt;option value = ""29""&gt; 29 &lt;/ option&gt; &lt;option value = ""30""&gt; 30 &lt;/ option&gt; &lt;option value = ""31""&gt; 31 &lt;/ option&gt; &lt;/ select&gt; &lt;select tabindex = ""- 1"" class = ""airy-age-gate-year""&gt; &lt;op"&amp;"tion value = ""2019""&gt; 2019 &lt;/ option&gt; &lt; option value = ""2018""&gt; 2018 &lt;/ option&gt; &lt;option value = ""2017""&gt; 2017 &lt;/ option&gt; &lt;option value = ""2016""&gt; ​​2016 &lt;/ option&gt; &lt;option value = ""2015""&gt; 2015 &lt;/ option &gt; &lt;option value = ""2014""&gt; 2014 &lt;/ option&gt; &lt;o"&amp;"ption value = ""2013""&gt; 2013 &lt;/ option&gt; &lt;option value = ""2012""&gt; 2012 &lt;/ option&gt; &lt;option value = ""2011""&gt; 2011 &lt; / option&gt; &lt;option value = ""2010""&gt; 2010 &lt;/ option&gt; &lt;option value = ""2009""&gt; 2009 &lt;/ option&gt; &lt;option value = ""2008""&gt; 2008 &lt;/ option&gt; &lt;opt"&amp;"ion value = ""2007""&gt; 2007 &lt;/ option&gt; &lt;option value = ""2006""&gt; 2006 &lt;/ option&gt; &lt;option value = ""2005""&gt; 2005 &lt;/ option&gt; &lt;option value = ""2004""&gt; 2004 &lt;/ option&gt; &lt;option value = ""2003 ""&gt; 2003 &lt;/ option&gt; &lt;option value ="" 2002 ""&gt; 2002 &lt;/ option&gt; &lt;opti"&amp;"on value ="" 2001 ""&gt; 2001 &lt;/ option&gt; &lt;option value ="" 2000 ""&gt; 2000 &lt;/ option&gt; &lt;option value = ""1999""&gt; 1999 &lt;/ option&gt; &lt;option value = ""1998""&gt; 1998 &lt;/ option&gt; &lt;option value = ""1997""&gt; 1997 &lt;/ option&gt; &lt;option value = ""1996""&gt; 1996 &lt;/ option&gt; &lt;optio"&amp;"n value = ""1995""&gt; 1995 &lt;/ option&gt; &lt;option value = ""1994""&gt; 1994 &lt;/ option&gt; &lt;option value = ""1993""&gt; 1993 &lt;/ option&gt; &lt;option value = ""1992""&gt; 1992 &lt;/ option&gt; &lt;option value = ""1991""&gt; 1991 &lt;/ option&gt; &lt;option value = ""1990""&gt; 1990 &lt;/ option&gt; &lt;option v"&amp;"alue = "" 1989 ""&gt; 1989 &lt;/ option&gt; &lt;option value ="" 1988 ""&gt; 1988 &lt;/ option&gt; &lt;option value ="" 1987 ""&gt; 1987 &lt;/ option&gt; &lt;option value ="" 1986 ""&gt; 1986 &lt;/ option&gt; &lt;option value = ""1985""&gt; 1985 &lt;/ option&gt; &lt;option value = ""1984""&gt; 1984 &lt;/ option&gt; &lt;option"&amp;" value = ""1983""&gt; 1983 &lt;/ option&gt; &lt;option value = ""1982""&gt; 1982 &lt;/ option&gt; &lt; option value = ""1981""&gt; 1981 &lt;/ option&gt; &lt;option value = ""1980""&gt; 1980 &lt;/ option&gt; &lt;option value = ""1979""&gt; 1979 &lt;/ option&gt; &lt;option value = ""1978""&gt; 1978 &lt;/ option &gt; &lt;option "&amp;"value = ""1977""&gt; 1977 &lt;/ option&gt; &lt;option value = ""1976""&gt; 1976 &lt;/ option&gt; &lt;option value = ""1975""&gt; 1975 &lt;/ option&gt; &lt;option value = ""1974""&gt; 1974 &lt; / option&gt; &lt;option value = ""1973""&gt; 1973 &lt;/ option&gt; &lt;option value = ""1972""&gt; 1972 &lt;/ option&gt; &lt;option va"&amp;"lue = ""1971""&gt; 1971 &lt;/ option&gt; &lt;option value = ""1970""&gt; 1970 &lt;/ option&gt; &lt;option value = ""1969""&gt; 1969 &lt;/ option&gt; &lt;option value = ""1968""&gt; 1968 &lt;/ option&gt; &lt;option value = ""1967""&gt; 1967 &lt;/ option&gt; &lt;option value = ""1966 ""&gt; 1966 &lt;/ option&gt; &lt;option valu"&amp;"e ="" 1965 ""&gt; 1965 &lt;/ option&gt; &lt;option value ="" 1964 ""&gt; 1964 &lt;/ option&gt; &lt;option value ="" 1963 ""&gt; 1963 &lt;/ option&gt; &lt;option value = ""1962""&gt; 1962 &lt;/ option&gt; &lt;option value = ""1961""&gt; 1961 &lt;/ option&gt; &lt;option value = ""1960""&gt; 1960 &lt;/ op tion&gt; &lt;option val"&amp;"ue = ""1959""&gt; 1959 &lt;/ option&gt; &lt;option value = ""1958""&gt; 1958 &lt;/ option&gt; &lt;option value = ""1957""&gt; 1957 &lt;/ option&gt; &lt;option value = ""1956""&gt; 1956 &lt;/ option&gt; &lt;option value = ""1955""&gt; 1955 &lt;/ option&gt; &lt;option value = ""1954""&gt; 1954 &lt;/ option&gt; &lt;option value "&amp;"= ""1953""&gt; 1953 &lt;/ option&gt; &lt;option value = ""1952"" &gt; 1952 &lt;/ option&gt; &lt;option value = ""1951""&gt; 1951 &lt;/ option&gt; &lt;option value = ""1950""&gt; 1950 &lt;/ option&gt; &lt;option value = ""1949""&gt; 1949 &lt;/ option&gt; &lt;option value = "" 1948 ""&gt; 1948 &lt;/ option&gt; &lt;option value "&amp;"="" 1947 ""&gt; 1947 &lt;/ option&gt; &lt;option value ="" 1946 ""&gt; 1946 &lt;/ option&gt; &lt;option value ="" 1945 ""&gt; 1945 &lt;/ option&gt; &lt;option value = ""1944""&gt; 1944 &lt;/ option&gt; &lt;option value = ""1943""&gt; 1943 &lt;/ option&gt; &lt;option value = ""1942""&gt; 1942 &lt;/ option&gt; &lt;option value "&amp;"= ""1941""&gt; 1941 &lt;/ option&gt; &lt; option value = ""1940""&gt; 1940 &lt;/ option&gt; &lt;option value = ""1939""&gt; 1939 &lt;/ option&gt; &lt;option value = ""1938""&gt; 1938 &lt;/ option&gt; &lt;option value = ""1937""&gt; 1937 &lt;/ option &gt; &lt;option value = ""1936""&gt; 1936 &lt;/ option&gt; &lt;option value ="&amp;" ""1935""&gt; 1935 &lt;/ option&gt; &lt;option value = ""1934""&gt; 1934 &lt;/ option&gt; &lt;option value = ""1933""&gt; 1933 &lt; / option&gt; &lt;option value = ""1932""&gt; 1932 &lt;/ option&gt; &lt;option value = ""1931""&gt; 1931 &lt;/ option&gt; &lt;option v alue = ""1930""&gt; 1930 &lt;/ option&gt; &lt;option value = "&amp;"""1929""&gt; 1929 &lt;/ option&gt; &lt;option value = ""1928""&gt; 1928 &lt;/ option&gt; &lt;option value = ""1927""&gt; 1927 &lt;/ option&gt; &lt;option value = ""1926""&gt; 1926 &lt;/ option&gt; &lt;option value = ""1925""&gt; 1925 &lt;/ option&gt; &lt;option value = ""1924""&gt; 1924 &lt;/ option&gt; &lt;option value = ""1"&amp;"923""&gt; 1923 &lt;/ option&gt; &lt;option value = ""1922""&gt; 1922 &lt;/ option&gt; &lt;option value = ""1921""&gt; 1921 &lt;/ option&gt; &lt;option value = ""1920""&gt; 1920 &lt;/ option&gt; &lt;option value = ""1919""&gt; 1919 &lt;/ option&gt; &lt;option value = ""1918""&gt; 1918 &lt;/ option&gt; &lt;option value = ""1917"&amp;"""&gt; 1917 &lt;/ option&gt; &lt;option value = ""1916""&gt; 1916 &lt;/ option&gt; &lt;option value = ""1915"" &gt; 1915 &lt;/ option&gt; &lt;option value = ""1914""&gt; 1914 &lt;/ option&gt; &lt;option value = ""1913""&gt; 1913 &lt;/ option&gt; &lt;option value = ""1912""&gt; 1912 &lt;/ option&gt; &lt;option value = "" 1911 "&amp;"""&gt; 1911 &lt;/ option&gt; &lt;option value ="" 1910 ""&gt; 1910 &lt;/ option&gt; &lt;option value ="" 1909 ""&gt; 1909 &lt;/ option&gt; &lt;option value ="" 1908 ""&gt; 1908 &lt;/ option&gt; &lt;option value = ""1907""&gt; 1907 &lt;/ option&gt; &lt;option value = ""1906""&gt; 1906 &lt;/ option&gt; &lt;option value = ""1905"&amp;"""&gt; 1905 &lt;/ option&gt; &lt;option value = ""1904""&gt; 1904 &lt;/ option&gt; &lt; option value = ""1903""&gt; 1903 &lt;/ option&gt; &lt;option value = ""1902""&gt; 1902 &lt;/ option&gt; &lt;option value = ""1901""&gt; 19 01 &lt;/ option&gt; &lt;option value = ""1900""&gt; 1900 &lt;/ option&gt; &lt;/ select&gt; &lt;div tabinde"&amp;"x = ""- 1"" class = ""airy-age-gate-submit airy-submit-button airy airy-submit- disabled ""&gt; Submit &lt;/ div&gt; &lt;/ div&gt; &lt;/ div&gt; &lt;/ div&gt; &lt;/ div&gt; &lt;/ div&gt; &lt;div tabindex ="" - 1 ""class ="" airy-install-flash-dialog airy-course airy -Vertical-centering-table dial"&amp;"og airy-airy-denied ""style ="" opacity: 0; visibility: hidden; ""&gt; &lt;div tabindex ="" - 1 ""class ="" airy-install-flash-vertical-centering-table-cell airy-vertical-centering-table-cell ""&gt; &lt;div tabindex ="" - 1 ""class = ""airy-vertical-centering-wrapper"&amp;" airy-install-flash-elements-wrapper""&gt; &lt;div tabindex = ""- 1"" class = ""airy-install-flash-elements airy-dialog-elements""&gt; &lt;div tabindex = "" -1 ""class ="" airy-install-flash-prompt ""&gt; Adobe Flash Player is required to watch this video &lt;/ div&gt; &lt;div ="&amp;" tabindex."" - 1 ""class ="" airy-install-flash-button-wrapper airy -dialog-inner-elements ""&gt; &lt;div tabindex ="" - 1 ""class ="" airy-install-flash-button airy-button ""&gt; install Flash Player &lt;/ div&gt; &lt;/ div&gt; &lt;/ div&gt; &lt;/ div&gt; &lt;/ div&gt; &lt;/ div&gt; &lt;div tabindex ="&amp;" ""- 1"" class = ""airy-video-unsupported-dialog airy-course airy-vertical-centering table-airy-dialog airy-denied"" style = ""opacity: 0; visibility: hidden; ""&gt; &lt;div tabindex ="" - 1 ""class ="" airy-video-unsupported-vertical-centering-table-cell airy-"&amp;"vertical-centering-table-cell ""&gt; &lt;div tabindex ="" - 1 ""class = ""airy-vertical-centering-wrapper airy-video-unsupported-elements-wrapper""&gt; &lt;div tabindex = ""- 1"" class = ""airy-video-unsupported-elements airy-dialog-elements""&gt; &lt;div tabindex = "" -1 "&amp;"""class ="" airy-video-unsupported-prompt ""&gt; &lt;/ div&gt; &lt;/ div&gt; &lt;/ div&gt; &lt;/ div&gt; &lt;/ div&gt; &lt;div tabindex ="" - 1 ""class ="" airy-loading- spinner-stage airy-stage ""&gt; &lt;div tabindex ="" - 1 ""class ="" airy-loading-spinner-vertical-centering-table-cell airy-ve"&amp;"rtical-centering-table-cell ""&gt; &lt;div tabindex ="" - 1 ""class ="" airy-loading-spinner container airy-scalable-hint-container ""&gt; &lt;div tabindex ="" - 1 ""class ="" airy-loading-spinner-dummy airy-scalable-dummy ""&gt; &lt;/ div&gt; &lt; div tabindex = ""- 1"" class ="&amp;" ""airy-loading-spinner airy-hint"" style = ""visibility: hidden;""&gt; &lt;/ div&gt; &lt;/ div&gt; &lt;/ div&gt; &lt;/ div&gt; &lt;div tabindex = ""- 1 ""class ="" airy-ads-screen-size-toggle airy-screen-size-toggle airy-fullscreen ""style ="" visibility: hidden; ""&gt; &lt;/ div&gt; &lt;div tab"&amp;"index = ""-1"" class = ""airy-ad-prompt-container"" style = ""visibility: hidden;""&gt; &lt;div tabindex = ""- 1"" class = ""airy-ad-prompt-vertical-centering table-airy-vertical- centering-table ""&gt; &lt;div tabindex ="" - 1 ""class ="" airy-ad-prompt-vertical-cen"&amp;"tering-table-cell airy-vertical-centering-table-cell ""&gt; &lt;div tabindex ="" - 1 ""class = ""airy-ad-prompt-label""&gt; &lt;/ div&gt; &lt;/ div&gt; &lt;/ div&gt; &lt;/ div&gt; &lt;div tabindex = ""- 1"" class = ""airy-ads-controls-container"" style = ""visibility: hidden; ""&gt; &lt;div tabin"&amp;"dex ="" - 1 ""class ="" airy-ads-audio-toggle airy-audio-toggle airy-on ""style ="" visibility: hidden; ""&gt; &lt;/ div&gt; &lt;div tabindex ="" - 1 ""class ="" airy-time-remaining-label-container ""&gt; &lt;div tabindex ="" - 1 ""class ="" airy-time-remaining-vertical-ce"&amp;"ntering table-airy-vertical-centering-table ""&gt; &lt;div tabindex = ""- 1"" class = ""airy-time-remaining-vertical-centering-table-cell airy-vertical-centering-table-cell""&gt; &lt;div tabindex = ""- 1"" class = ""airy-vertical-centering-wrapper airy-time-remaining"&amp;"-label-wrapper ""&gt; &lt;div tabindex ="" - 1 ""class ="" airy-time-remaining-label ""style ="" visibility: hidden; ""&gt; &lt;/ div&gt; &lt;div tabi ndex = ""- 1"" class = ""airy-ad-skip"" style = ""visibility: hidden;""&gt; &lt;/ div&gt; &lt;div tabindex = ""- 1"" class = ""airy-ad"&amp;"-end"" style = ""visibility: hidden; ""&gt; &lt;/ div&gt; &lt;/ div&gt; &lt;/ div&gt; &lt;/ div&gt; &lt;/ div&gt; &lt;div tabindex ="" - 1 ""class ="" airy-learn-more ""style ="" visibility: hidden; ""&gt; &lt;/ div&gt; &lt;/ div&gt; &lt;div tabindex = ""- 1"" class = ""airy-play-toggle-hint-stage airy-cours"&amp;"e airy-cursor""&gt; &lt;div tabindex = ""- 1"" class = ""airy-play -toggle-hint-vertical-centering-table-cell airy-vertical-centering-table-cell airy-cursor ""&gt; &lt;div tabindex ="" - 1 ""class ="" airy-play-toggle-hint-container airy-scalable- hint-container ""&gt; "&amp;"&lt;div tabindex ="" - 1 ""class ="" airy-play-toggle-hint-dummy airy-scalable-dummy ""&gt; &lt;/ div&gt; &lt;div tabindex ="" - 1 ""class ="" airy-play -toggle airy-hint-hint-hint airy-play ""style ="" opacity: 1; visibility: visible; ""&gt; &lt;/ div&gt; &lt;/ div&gt; &lt;/ div&gt; &lt;/ div"&amp;"&gt; &lt;div tabindex ="" - 1 ""class ="" airy-replay-hint-stage airy-stage ""style ="" visibility: hidden ; ""&gt; &lt;div tabindex ="" - 1 ""class ="" airy-replay-hint-vertical-centering-table-cell airy-vertical-centering-table-cell airy-cursor ""&gt; &lt;div tabindex ="&amp;""" - 1 ""class = ""airy-replay-hint-container airy-scalable-hint-container""&gt; &lt;div tabindex = ""- 1"" class = ""airy-replay-hint-dummy airy-scalable-dummy""&gt; &lt;/ div&gt; &lt;div tabindex = ""- 1"" class = ""airy-replay-hint airy-hint""&gt; &lt;/ div&gt; &lt;/ div&gt; &lt;/ div&gt; &lt;"&amp;"/ div&gt; &lt;div tabindex = ""- 1"" class = ""airy-autoplay-hint -stage airy-stage ""style ="" visibility: hidden; ""&gt; &lt;div tabindex ="" - 1 ""class ="" airy-autoplay-hint-vertical-centering-table-cell airy-vertical-centering-table-cell airy- cursor ""&gt; &lt;div t"&amp;"abindex ="" - 1 ""class ="" autoplay airy-airy-hint-container-scalable-hint-container ""&gt; &lt;div tabindex ="" - 1 ""class ="" airy-autoplay-hint-dummy airy- scalable-dummy ""&gt; &lt;/ div&gt; &lt;/ div&gt; &lt;/ div&gt; &lt;/ div&gt; &lt;/ div&gt; &lt;/ div&gt; &lt;input type ="" hidden ""name ="""&amp;" ""value ="" https: // pictures-eu .ssl-image amazon.com / images / I / D1p6LtvSxsS.mp4 ""Class ="" video-url ""&gt; &lt;input type ="" hidden ""name ="" ""value ="" https://images-eu.ssl-images-amazon.com/images/I/21sVfv5gUtS.png ""class ="" video-slate-img-ur"&amp;"l ""&gt; &amp; nbsp; great product that I highly recommend, it is of very good quality (metal) the record are great Furthermore the accompanying cables and accessories that are very convenient")</f>
        <v>great product for youtubeurs herbs &lt;div id = "video-block-R270MLLE57823B" class = "a-section-spacing-small in-spacing-top mini video-block"&gt; &lt;div tabindex = "0" class = "airy airy-svg vmin-supported airy-skin-beacon" style = "background-color: rgb (0, 0, 0); position: relative; width: 100%; height: 100%; font-size: 0px ; overflow: hidden; outline: none; "&gt; &lt;div class =" airy-renderer-container "style =" position: relative; height: 100%; width: 100%; "&gt; &lt;video id =" 7 "preload = "auto" src = "https://images-eu.ssl-images-amazon.com/images/I/D1p6LtvSxsS.mp4" style = "position: absolute; left: 0px; top: 0px; overflow: hidden; height : 1px; width: 1px; "&gt; &lt;/ video&gt; &lt;/ div&gt; &lt;div id =" airy-slate-preload "style =" background-color: rgb (0, 0, 0); background-image: url ( &amp; quot; https: //images-eu.ssl-images-amazon.com/images/I/21sVfv5gUtS.png&amp;quot;); background-size: contain; background-position: center center; background-repeat: no-repeat; position : absolute; top: 0px; left: 0px; visibility: visible; width: 100%; height: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4:19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airy-progress-bar "style =" width: 15.1036%; "&gt; &lt;/ div&gt; &lt;div tabindex =" - 1 "class =" airy-scrubber 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D1p6LtvSxsS.mp4 "Class =" video-url "&gt; &lt;input type =" hidden "name =" "value =" https://images-eu.ssl-images-amazon.com/images/I/21sVfv5gUtS.png "class =" video-slate-img-url "&gt; &amp; nbsp; great product that I highly recommend, it is of very good quality (metal) the record are great Furthermore the accompanying cables and accessories that are very convenient</v>
      </c>
    </row>
    <row r="15273">
      <c r="A15273" s="1">
        <v>5.0</v>
      </c>
      <c r="B15273" s="1" t="s">
        <v>15019</v>
      </c>
      <c r="C15273" t="str">
        <f>IFERROR(__xludf.DUMMYFUNCTION("GOOGLETRANSLATE(B15273, ""fr"", ""en"")"),"That's a nice sweater Christmas, I recommend. The tissue is correct quality it good size. The print quality is good brief for the price I recommend. This is a fairly light sweater, do not expect to get very hot with.")</f>
        <v>That's a nice sweater Christmas, I recommend. The tissue is correct quality it good size. The print quality is good brief for the price I recommend. This is a fairly light sweater, do not expect to get very hot with.</v>
      </c>
    </row>
    <row r="15274">
      <c r="A15274" s="1">
        <v>5.0</v>
      </c>
      <c r="B15274" s="1" t="s">
        <v>15020</v>
      </c>
      <c r="C15274" t="str">
        <f>IFERROR(__xludf.DUMMYFUNCTION("GOOGLETRANSLATE(B15274, ""fr"", ""en"")"),"STRICTLY ORIGINAL ARTICLE. No surprise for this article known. Rapid dispatch.")</f>
        <v>STRICTLY ORIGINAL ARTICLE. No surprise for this article known. Rapid dispatch.</v>
      </c>
    </row>
    <row r="15275">
      <c r="A15275" s="1">
        <v>5.0</v>
      </c>
      <c r="B15275" s="1" t="s">
        <v>15021</v>
      </c>
      <c r="C15275" t="str">
        <f>IFERROR(__xludf.DUMMYFUNCTION("GOOGLETRANSLATE(B15275, ""fr"", ""en"")"),"At the top it is in Super J ""LOVE")</f>
        <v>At the top it is in Super J "LOVE</v>
      </c>
    </row>
    <row r="15276">
      <c r="A15276" s="1">
        <v>5.0</v>
      </c>
      <c r="B15276" s="1" t="s">
        <v>15022</v>
      </c>
      <c r="C15276" t="str">
        <f>IFERROR(__xludf.DUMMYFUNCTION("GOOGLETRANSLATE(B15276, ""fr"", ""en"")"),"Not many nice paint used at the moment but very practical jars, pretty colors and texture nice. A priori easy to clean.")</f>
        <v>Not many nice paint used at the moment but very practical jars, pretty colors and texture nice. A priori easy to clean.</v>
      </c>
    </row>
    <row r="15277">
      <c r="A15277" s="1">
        <v>5.0</v>
      </c>
      <c r="B15277" s="1" t="s">
        <v>15023</v>
      </c>
      <c r="C15277" t="str">
        <f>IFERROR(__xludf.DUMMYFUNCTION("GOOGLETRANSLATE(B15277, ""fr"", ""en"")"),"Product in accordance with my order, perfectly packaged. VERY GOOD. The diffuser is very nice, though a slight noise to use can ""hinder"" the minimum for falling asleep when used in a room (that said, it is advisable to stop lying). I rated 5 stars becau"&amp;"se this is exactly what we wanted and the description made on the site. The downside was the delivery, but I think it is a ""concern"" with the carrier driver. In the countryside, it is sometimes not easy to find the right home. However, very fast deliver"&amp;"y. Am happy with my purchase and recommend Amazon around me (and for a long time)")</f>
        <v>Product in accordance with my order, perfectly packaged. VERY GOOD. The diffuser is very nice, though a slight noise to use can "hinder" the minimum for falling asleep when used in a room (that said, it is advisable to stop lying). I rated 5 stars because this is exactly what we wanted and the description made on the site. The downside was the delivery, but I think it is a "concern" with the carrier driver. In the countryside, it is sometimes not easy to find the right home. However, very fast delivery. Am happy with my purchase and recommend Amazon around me (and for a long time)</v>
      </c>
    </row>
    <row r="15278">
      <c r="A15278" s="1">
        <v>5.0</v>
      </c>
      <c r="B15278" s="1" t="s">
        <v>15024</v>
      </c>
      <c r="C15278" t="str">
        <f>IFERROR(__xludf.DUMMYFUNCTION("GOOGLETRANSLATE(B15278, ""fr"", ""en"")"),"Good quality for everyday wear")</f>
        <v>Good quality for everyday wear</v>
      </c>
    </row>
    <row r="15279">
      <c r="A15279" s="1">
        <v>5.0</v>
      </c>
      <c r="B15279" s="1" t="s">
        <v>15025</v>
      </c>
      <c r="C15279" t="str">
        <f>IFERROR(__xludf.DUMMYFUNCTION("GOOGLETRANSLATE(B15279, ""fr"", ""en"")"),"Practical Small kettle practice sufficient capacity for one or two people. I am very satisfied with my purchase.")</f>
        <v>Practical Small kettle practice sufficient capacity for one or two people. I am very satisfied with my purchase.</v>
      </c>
    </row>
    <row r="15280">
      <c r="A15280" s="1">
        <v>5.0</v>
      </c>
      <c r="B15280" s="1" t="s">
        <v>15026</v>
      </c>
      <c r="C15280" t="str">
        <f>IFERROR(__xludf.DUMMYFUNCTION("GOOGLETRANSLATE(B15280, ""fr"", ""en"")"),"Value for money satisfactory Sports")</f>
        <v>Value for money satisfactory Sports</v>
      </c>
    </row>
    <row r="15281">
      <c r="A15281" s="1">
        <v>5.0</v>
      </c>
      <c r="B15281" s="1" t="s">
        <v>15027</v>
      </c>
      <c r="C15281" t="str">
        <f>IFERROR(__xludf.DUMMYFUNCTION("GOOGLETRANSLATE(B15281, ""fr"", ""en"")"),"I have this watch for 3 years now, Good product, shame about the time change ""Winter / Summer"" is not automatic and that a synchronization does not exist with a specialized center for setting the time")</f>
        <v>I have this watch for 3 years now, Good product, shame about the time change "Winter / Summer" is not automatic and that a synchronization does not exist with a specialized center for setting the time</v>
      </c>
    </row>
    <row r="15282">
      <c r="A15282" s="1">
        <v>5.0</v>
      </c>
      <c r="B15282" s="1" t="s">
        <v>15028</v>
      </c>
      <c r="C15282" t="str">
        <f>IFERROR(__xludf.DUMMYFUNCTION("GOOGLETRANSLATE(B15282, ""fr"", ""en"")"),"great product I'm thrilled, I was right back at Black and Decker after years of hand vacuums that aspired strictly nothing, including major brands. One more: there 's no charger and obligation to break the wall to be a bulky support device is placed on th"&amp;"e floor or on a stool and you use it as a phone for just recharging with its wire . it suits me a lot again. So we can ask where we want the rest of the time. it was one of my criteria.")</f>
        <v>great product I'm thrilled, I was right back at Black and Decker after years of hand vacuums that aspired strictly nothing, including major brands. One more: there 's no charger and obligation to break the wall to be a bulky support device is placed on the floor or on a stool and you use it as a phone for just recharging with its wire . it suits me a lot again. So we can ask where we want the rest of the time. it was one of my criteria.</v>
      </c>
    </row>
    <row r="15283">
      <c r="A15283" s="1">
        <v>5.0</v>
      </c>
      <c r="B15283" s="1" t="s">
        <v>15029</v>
      </c>
      <c r="C15283" t="str">
        <f>IFERROR(__xludf.DUMMYFUNCTION("GOOGLETRANSLATE(B15283, ""fr"", ""en"")"),"Good value for money. Quite in line with what I wanted. Works well .")</f>
        <v>Good value for money. Quite in line with what I wanted. Works well .</v>
      </c>
    </row>
    <row r="15284">
      <c r="A15284" s="1">
        <v>5.0</v>
      </c>
      <c r="B15284" s="1" t="s">
        <v>15030</v>
      </c>
      <c r="C15284" t="str">
        <f>IFERROR(__xludf.DUMMYFUNCTION("GOOGLETRANSLATE(B15284, ""fr"", ""en"")"),"Finally finally finally .... A pair of headphones that take without species of small rubber rings are hoops that the trunk or that hurt Headphones that apairent on phone and tablet Easy to put headphones, to wear, comfortable, flawless sound reproduction "&amp;"caps foam comfortable short ... happiness")</f>
        <v>Finally finally finally .... A pair of headphones that take without species of small rubber rings are hoops that the trunk or that hurt Headphones that apairent on phone and tablet Easy to put headphones, to wear, comfortable, flawless sound reproduction caps foam comfortable short ... happiness</v>
      </c>
    </row>
    <row r="15285">
      <c r="A15285" s="1">
        <v>5.0</v>
      </c>
      <c r="B15285" s="1" t="s">
        <v>15031</v>
      </c>
      <c r="C15285" t="str">
        <f>IFERROR(__xludf.DUMMYFUNCTION("GOOGLETRANSLATE(B15285, ""fr"", ""en"")"),"Good shoe. Size a little big but frankly we are in slippers. She is also a bit hot for summer but suportable. In no way I would go back to the shoe secu low end given by the boxes of Acting.")</f>
        <v>Good shoe. Size a little big but frankly we are in slippers. She is also a bit hot for summer but suportable. In no way I would go back to the shoe secu low end given by the boxes of Acting.</v>
      </c>
    </row>
    <row r="15286">
      <c r="A15286" s="1">
        <v>5.0</v>
      </c>
      <c r="B15286" s="1" t="s">
        <v>15032</v>
      </c>
      <c r="C15286" t="str">
        <f>IFERROR(__xludf.DUMMYFUNCTION("GOOGLETRANSLATE(B15286, ""fr"", ""en"")"),"Pieces compliant Same origin.")</f>
        <v>Pieces compliant Same origin.</v>
      </c>
    </row>
    <row r="15287">
      <c r="A15287" s="1">
        <v>5.0</v>
      </c>
      <c r="B15287" s="1" t="s">
        <v>15033</v>
      </c>
      <c r="C15287" t="str">
        <f>IFERROR(__xludf.DUMMYFUNCTION("GOOGLETRANSLATE(B15287, ""fr"", ""en"")"),"Great No complaints")</f>
        <v>Great No complaints</v>
      </c>
    </row>
    <row r="15288">
      <c r="A15288" s="1">
        <v>2.0</v>
      </c>
      <c r="B15288" s="1" t="s">
        <v>15034</v>
      </c>
      <c r="C15288" t="str">
        <f>IFERROR(__xludf.DUMMYFUNCTION("GOOGLETRANSLATE(B15288, ""fr"", ""en"")"),"Size small size small take one size bigger")</f>
        <v>Size small size small take one size bigger</v>
      </c>
    </row>
    <row r="15289">
      <c r="A15289" s="1">
        <v>1.0</v>
      </c>
      <c r="B15289" s="1" t="s">
        <v>15035</v>
      </c>
      <c r="C15289" t="str">
        <f>IFERROR(__xludf.DUMMYFUNCTION("GOOGLETRANSLATE(B15289, ""fr"", ""en"")"),"Plus Damme that as Very disappointed man shows for Damme more than for men too finne")</f>
        <v>Plus Damme that as Very disappointed man shows for Damme more than for men too finne</v>
      </c>
    </row>
    <row r="15290">
      <c r="A15290" s="1">
        <v>1.0</v>
      </c>
      <c r="B15290" s="1" t="s">
        <v>15036</v>
      </c>
      <c r="C15290" t="str">
        <f>IFERROR(__xludf.DUMMYFUNCTION("GOOGLETRANSLATE(B15290, ""fr"", ""en"")"),"TAPE Adhesive VOID TAPE end and fragile.- tears constantly - each break, it's so complicated or even impossible to find the end of the tape, the entire roll going in the trash.")</f>
        <v>TAPE Adhesive VOID TAPE end and fragile.- tears constantly - each break, it's so complicated or even impossible to find the end of the tape, the entire roll going in the trash.</v>
      </c>
    </row>
    <row r="15291">
      <c r="A15291" s="1">
        <v>3.0</v>
      </c>
      <c r="B15291" s="1" t="s">
        <v>15037</v>
      </c>
      <c r="C15291" t="str">
        <f>IFERROR(__xludf.DUMMYFUNCTION("GOOGLETRANSLATE(B15291, ""fr"", ""en"")"),"These earrings woman earrings in silver are very pretty to wear. A little too big for my taste but good")</f>
        <v>These earrings woman earrings in silver are very pretty to wear. A little too big for my taste but good</v>
      </c>
    </row>
    <row r="15292">
      <c r="A15292" s="1">
        <v>3.0</v>
      </c>
      <c r="B15292" s="1" t="s">
        <v>15038</v>
      </c>
      <c r="C15292" t="str">
        <f>IFERROR(__xludf.DUMMYFUNCTION("GOOGLETRANSLATE(B15292, ""fr"", ""en"")"),"Dress khaki or blue lesser quality, black is top I'm not happy with the quality of the fabric of blue and khaki, compared to the black! The black dress is everything is true to the description, but the reception of 2 other colors, the fabric was not the s"&amp;"ame at all, a kind of thriller shoddy everything was as if someone had the wear.")</f>
        <v>Dress khaki or blue lesser quality, black is top I'm not happy with the quality of the fabric of blue and khaki, compared to the black! The black dress is everything is true to the description, but the reception of 2 other colors, the fabric was not the same at all, a kind of thriller shoddy everything was as if someone had the wear.</v>
      </c>
    </row>
    <row r="15293">
      <c r="A15293" s="1">
        <v>4.0</v>
      </c>
      <c r="B15293" s="1" t="s">
        <v>15039</v>
      </c>
      <c r="C15293" t="str">
        <f>IFERROR(__xludf.DUMMYFUNCTION("GOOGLETRANSLATE(B15293, ""fr"", ""en"")"),"Ecological pencils I bought these pencils primarily for my daughter to write on the tiles. I thought to use them for after college. They are very well overall, I think they are difficult to wash when writing a lot. If my message to you is useful, notify i"&amp;"t, thank you 😉!")</f>
        <v>Ecological pencils I bought these pencils primarily for my daughter to write on the tiles. I thought to use them for after college. They are very well overall, I think they are difficult to wash when writing a lot. If my message to you is useful, notify it, thank you 😉!</v>
      </c>
    </row>
    <row r="15294">
      <c r="A15294" s="1">
        <v>4.0</v>
      </c>
      <c r="B15294" s="1" t="s">
        <v>15040</v>
      </c>
      <c r="C15294" t="str">
        <f>IFERROR(__xludf.DUMMYFUNCTION("GOOGLETRANSLATE(B15294, ""fr"", ""en"")"),"RAS I is cold pus feet.")</f>
        <v>RAS I is cold pus feet.</v>
      </c>
    </row>
    <row r="15295">
      <c r="A15295" s="1">
        <v>4.0</v>
      </c>
      <c r="B15295" s="1" t="s">
        <v>15041</v>
      </c>
      <c r="C15295" t="str">
        <f>IFERROR(__xludf.DUMMYFUNCTION("GOOGLETRANSLATE(B15295, ""fr"", ""en"")"),"Product compliant Awakening matches the description which has been made. The grip is rather simple and easy to remember, the different colors of lights are nice. The light alarm clock is very nice, but in my case, it wakes me up after 10 minutes of light "&amp;"when it starts 30 minutes before the alarm time. Just make sure you calculate it off when not program it is too early. The only small problem is that the sound of music and the radio is strong, even at the lowest level. So, I do not use sound to wake up i"&amp;"n the morning.")</f>
        <v>Product compliant Awakening matches the description which has been made. The grip is rather simple and easy to remember, the different colors of lights are nice. The light alarm clock is very nice, but in my case, it wakes me up after 10 minutes of light when it starts 30 minutes before the alarm time. Just make sure you calculate it off when not program it is too early. The only small problem is that the sound of music and the radio is strong, even at the lowest level. So, I do not use sound to wake up in the morning.</v>
      </c>
    </row>
    <row r="15296">
      <c r="A15296" s="1">
        <v>4.0</v>
      </c>
      <c r="B15296" s="1" t="s">
        <v>15042</v>
      </c>
      <c r="C15296" t="str">
        <f>IFERROR(__xludf.DUMMYFUNCTION("GOOGLETRANSLATE(B15296, ""fr"", ""en"")"),"good price / quality these socks are of good quality can be cut a little big ?? (but I put on the 37 with a foot finet the pretty small for me they do not clamp the peid like some other models I've tried and it suits me meiux) but comfortable and they do "&amp;"not slip session pilates comfortable fast sending RAS")</f>
        <v>good price / quality these socks are of good quality can be cut a little big ?? (but I put on the 37 with a foot finet the pretty small for me they do not clamp the peid like some other models I've tried and it suits me meiux) but comfortable and they do not slip session pilates comfortable fast sending RAS</v>
      </c>
    </row>
    <row r="15297">
      <c r="A15297" s="1">
        <v>5.0</v>
      </c>
      <c r="B15297" s="1" t="s">
        <v>15043</v>
      </c>
      <c r="C15297" t="str">
        <f>IFERROR(__xludf.DUMMYFUNCTION("GOOGLETRANSLATE(B15297, ""fr"", ""en"")"),"Recommend Untie well handy with young children")</f>
        <v>Recommend Untie well handy with young children</v>
      </c>
    </row>
    <row r="15298">
      <c r="A15298" s="1">
        <v>5.0</v>
      </c>
      <c r="B15298" s="1" t="s">
        <v>15044</v>
      </c>
      <c r="C15298" t="str">
        <f>IFERROR(__xludf.DUMMYFUNCTION("GOOGLETRANSLATE(B15298, ""fr"", ""en"")"),"right cable I'm not a pro but it's wiring taf")</f>
        <v>right cable I'm not a pro but it's wiring taf</v>
      </c>
    </row>
    <row r="15299">
      <c r="A15299" s="1">
        <v>5.0</v>
      </c>
      <c r="B15299" s="1" t="s">
        <v>15045</v>
      </c>
      <c r="C15299" t="str">
        <f>IFERROR(__xludf.DUMMYFUNCTION("GOOGLETRANSLATE(B15299, ""fr"", ""en"")"),"Very nice bag to the right size for the tablet. Exactly the bag I wanted to offer. So I took one for me.")</f>
        <v>Very nice bag to the right size for the tablet. Exactly the bag I wanted to offer. So I took one for me.</v>
      </c>
    </row>
    <row r="15300">
      <c r="A15300" s="1">
        <v>5.0</v>
      </c>
      <c r="B15300" s="1" t="s">
        <v>15046</v>
      </c>
      <c r="C15300" t="str">
        <f>IFERROR(__xludf.DUMMYFUNCTION("GOOGLETRANSLATE(B15300, ""fr"", ""en"")"),"RAS These cups are very colorful and festive, perfect! They adapt to all the birthday decorations, no problem, thank you!")</f>
        <v>RAS These cups are very colorful and festive, perfect! They adapt to all the birthday decorations, no problem, thank you!</v>
      </c>
    </row>
    <row r="15301">
      <c r="A15301" s="1">
        <v>5.0</v>
      </c>
      <c r="B15301" s="1" t="s">
        <v>15047</v>
      </c>
      <c r="C15301" t="str">
        <f>IFERROR(__xludf.DUMMYFUNCTION("GOOGLETRANSLATE(B15301, ""fr"", ""en"")"),"Earpiece Samsung Top Current use works very well.")</f>
        <v>Earpiece Samsung Top Current use works very well.</v>
      </c>
    </row>
    <row r="15302">
      <c r="A15302" s="1">
        <v>5.0</v>
      </c>
      <c r="B15302" s="1" t="s">
        <v>15048</v>
      </c>
      <c r="C15302" t="str">
        <f>IFERROR(__xludf.DUMMYFUNCTION("GOOGLETRANSLATE(B15302, ""fr"", ""en"")"),"Well Perfect for college, for the price no hesitation in having, as with most calculators many functions would be necessary, but still suitable")</f>
        <v>Well Perfect for college, for the price no hesitation in having, as with most calculators many functions would be necessary, but still suitable</v>
      </c>
    </row>
    <row r="15303">
      <c r="A15303" s="1">
        <v>5.0</v>
      </c>
      <c r="B15303" s="1" t="s">
        <v>15049</v>
      </c>
      <c r="C15303" t="str">
        <f>IFERROR(__xludf.DUMMYFUNCTION("GOOGLETRANSLATE(B15303, ""fr"", ""en"")"),"Fast Very fast delivery and consistent product I recommend")</f>
        <v>Fast Very fast delivery and consistent product I recommend</v>
      </c>
    </row>
    <row r="15304">
      <c r="A15304" s="1">
        <v>5.0</v>
      </c>
      <c r="B15304" s="1" t="s">
        <v>15050</v>
      </c>
      <c r="C15304" t="str">
        <f>IFERROR(__xludf.DUMMYFUNCTION("GOOGLETRANSLATE(B15304, ""fr"", ""en"")"),"Top &lt;div id = ""video-block-R335PUN1LQZL4F"" class = ""a-section-spacing-small in-spacing-top mini video-block""&gt; &lt;div tabindex = ""0"" class = ""airy airy-svg vmin -supported airy-skin-beacon ""style ="" background-color: rgb (0, 0, 0); position: relativ"&amp;"e; width: 100%; height: 100%; font-size: 0px; overflow: hidden; outline: none; ""&gt; &lt;div class ="" airy-renderer-container ""style ="" position: relative; height: 100%; width: 100%; ""&gt; &lt;video id ="" 7 ""preload ="" auto ""src ="" https : //images-eu.ssl-i"&amp;"mages-amazon.com/images/I/71cCYpQfqVS.mp4 ""style ="" position: absolute; left: 0px; top: 0px; overflow: hidden; height: 1px; width: 1px; ""&gt; &lt;/ video&gt; &lt;/ div&gt; &lt;div id ="" airy-slate-preload ""style ="" background-color: rgb (0, 0, 0); background-image: u"&amp;"rl (&amp; quot; https: // pictures -eu.ssl-images-amazon.com/images/I/91Bc5eLsJwS.png&amp;quot;); background-size: contain; background-position: center center; background-repeat: no-repeat; position: absolute; top: 0px; left: 0px; visibility: visible; width: 100%"&amp;"; height: 100% ""&gt; &lt;/ div&gt; &lt;iframe scrolling ="" no ""framebor der = ""0"" src = ""about: blank"" style = ""display: none;""&gt; &lt;/ iframe&gt; &lt;div tabindex = ""- 1"" class = ""airy-controls-container"" style = ""opacity: 0; visibility: hidden; ""&gt; &lt;div tabinde"&amp;"x ="" - 1 ""class ="" airy-screen-size-toggle airy-fullscreen ""&gt; &lt;/ div&gt; &lt;div tabindex ="" - 1 ""class ="" airy-container-bottom "" &gt; &lt;div tabindex = ""- 1"" class = ""airy-track-bar spacer-left"" style = ""width: 11px;""&gt; &lt;/ div&gt; &lt;div tabindex = ""- 1"""&amp;" class = ""airy-play- toggle airy-play ""style ="" width: 12px; margin-right: 12px; ""&gt; &lt;/ div&gt; &lt;div tabindex ="" - 1 ""class ="" airy-audio-elements ""style ="" float: right; width: 34px; ""&gt; &lt;div tabindex ="" - 1 ""class ="" airy-audio-toggle airy-on """&amp;"&gt; &lt;/ div&gt; &lt;div tabindex ="" - 1 ""class ="" airy-audio-container ""style = ""opacity: 0; visibility: hidden; ""&gt; &lt;div tabindex ="" - 1 ""class ="" airy-audio-track-bar ""style ="" height: 80%; ""&gt; &lt;div tabindex ="" - 1 ""class ="" airy-audio- scrubber bar"&amp;" ""style ="" height: 85% ""&gt; &lt;/ div&gt; &lt;div tabindex ="" - 1 ""class ="" airy-audio-scrubber ""style ="" height: 12px; bottom: 85% ""&gt; &lt;/ div&gt; &lt;/ div&gt; &lt;/ div&gt; &lt;/ div&gt; &lt;div tabindex ="" - 1 ""class ="" airy-duration-label ""style ="" float: right; width: 26p"&amp;"x; margin-right: 4px; text-align: center; ""&gt; 0:04 &lt;/ div&gt; &lt;div tabindex ="" - 1 ""class ="" airy-track-bar spacer-right ""style ="" float: right; width: 11px; ""&gt; &lt;/ div&gt; &lt;div tabindex ="" - 1 ""class ="" airy-track-bar-container ""style ="" margin-left:"&amp;" 35px; margin-right: 75px; ""&gt; &lt;div tabindex ="" - 1 ""class ="" airy-airy-track-bar vertical-centering-table ""&gt; &lt;div tabindex ="" - 1 ""class ="" airy-vertical-centering- table-cell ""&gt; &lt;div tabindex ="" - 1 ""class ="" airy-track-bar elements ""&gt; &lt;div "&amp;"tabindex ="" - 1 ""class ="" airy-progress-bar ""style ="" width: 100%; ""&gt; &lt;/ div&gt; &lt;div tabindex ="" - 1 ""class ="" airy-scrubber bar ""&gt; &lt;/ div&gt; &lt;div tabindex ="" - 1 ""class ="" airy-scrubber ""&gt; &lt;div tabindex ="" - 1 ""class ="" airy-scrubber-icon """&amp;"&gt; &lt;/ div&gt; &lt;div tabindex ="" - 1 ""class ="" airy-adjusted-aui-tooltip ""style ="" opacity: 0; visibility: hidden; ""&gt; &lt;div tabindex ="" - 1 ""class ="" airy-adjusted-aui-tooltip-inner ""&gt; &lt;div tabindex ="" - 1 ""class ="" airy-current-time-label ""&gt; 0 00 "&amp;"&lt;/ div&gt; &lt;/ div&gt; &lt;div tabindex = ""- 1"" class = ""airy-adjusted-aui-arrow-border""&gt; &lt;div tabindex = ""- 1"" class = ""airy-adjusted-aui-arrow"" &gt; &lt;/ div&gt; &lt;/ div&gt; &lt;/ div&gt; &lt;/ div&gt; &lt;/ div&gt; &lt;/ div&gt; &lt;/ div&gt; &lt;/ div&gt; &lt;/ div&gt; &lt;/ div&gt; &lt;div tabindex = ""- 1"" class"&amp;" = ""airy-airy-age-gate course airy-vertical-centering table-airy-dialog"" style = ""opacity: 0; visibility: hidden; ""&gt; &lt;div tabindex ="" - 1 ""class ="" airy-age-gate-vertical-centering-table-cell airy-vertical-centering-table-cell ""&gt; &lt;div tabindex ="""&amp;" - 1 ""class = ""airy-vertical-centering-wrapper airy-age-gate-elements-wrapper""&gt; &lt;div tabindex = ""- 1"" class = ""airy-age-gate-elements airy-dialog-elements""&gt; &lt;div tabindex = "" -1 ""class ="" airy-age-gate-prompt ""&gt; This video is not Intended for a"&amp;"ll audiences What time were you born &lt;/ div&gt; &lt;div tabindex =.?"" - 1 ""class ="" airy-age-gate -inputs airy-dialog-inner-elements ""&gt; &lt;select tabindex ="" - 1 ""class ="" airy-age-gate-month ""&gt; &lt;option value ="" 1 ""&gt; January &lt;/ option&gt; &lt;option value ="""&amp;" 2 ""&gt; February &lt;/ option&gt; &lt;option value ="" 3 ""&gt; March &lt;/ option&gt; &lt;option value ="" 4 ""&gt; April &lt;/ option&gt; &lt;option value ="" 5 ""&gt; May &lt;/ option&gt; &lt;option value = ""6""&gt; June &lt;/ option&gt; &lt;option value = ""7""&gt; July &lt;/ option&gt; &lt;option value = ""8""&gt; August"&amp;" &lt;/ option&gt; &lt;option value = ""9""&gt; September &lt;/ option&gt; &lt;option value = ""10""&gt; October &lt;/ option&gt; &lt;option value = ""11""&gt; November &lt;/ option&gt; &lt;option value = ""12""&gt; December &lt;/ option&gt; &lt;/ select&gt; &lt;select tabindex = ""- 1"" class = ""airy-age-gate-day""&gt;"&amp;" &lt;opti = One value ""1""&gt; 1 &lt;/ option&gt; &lt;option value = ""2""&gt; 2 &lt;/ option&gt; &lt;option value = ""3""&gt; 3 &lt;/ option&gt; &lt;option value = ""4""&gt; 4 &lt;/ option &gt; &lt;option value = ""5""&gt; 5 &lt;/ option&gt; &lt;option value = ""6""&gt; 6 &lt;/ option&gt; &lt;option value = ""7""&gt; 7 &lt;/ option&gt;"&amp;" &lt;option value = ""8""&gt; 8 &lt; / option&gt; &lt;option value = ""9""&gt; 9 &lt;/ option&gt; &lt;option value = ""10""&gt; 10 &lt;/ option&gt; &lt;option value = ""11""&gt; 11 &lt;/ option&gt; &lt;option value = ""12""&gt; 12 &lt;/ option&gt; &lt;option value = ""13""&gt; 13 &lt;/ option&gt; &lt;option value = ""14""&gt; 14 &lt;/"&amp;" option&gt; &lt;option value = ""15""&gt; 15 &lt;/ option&gt; &lt;option value = ""16 ""&gt; 16 &lt;/ option&gt; &lt;option value ="" 17 ""&gt; 17 &lt;/ option&gt; &lt;option value ="" 18 ""&gt; 18 &lt;/ option&gt; &lt;option value ="" 19 ""&gt; 19 &lt;/ option&gt; &lt;option value = ""20""&gt; 20 &lt;/ option&gt; &lt;option value "&amp;"= ""21""&gt; 21 &lt;/ option&gt; &lt;option value = ""22""&gt; 22 &lt;/ option&gt; &lt;option value = ""23""&gt; 23 &lt;/ option&gt; &lt;option value = ""24""&gt; 24 &lt;/ option&gt; &lt;option value = ""25""&gt; 25 &lt;/ option&gt; &lt;option value = ""26""&gt; 26 &lt;/ option&gt; &lt;option value = ""27""&gt; 27 &lt;/ option&gt; &lt;op"&amp;"tion value = ""28""&gt; 28 &lt;/ option&gt; &lt;option value = ""29""&gt; 29 &lt;/ option&gt; &lt;option value = ""30""&gt; 30 &lt;/ option&gt; &lt;option value = ""31""&gt; 31 &lt;/ option&gt; &lt;/ select&gt; &lt;select tabindex = ""- 1"" class = ""airy-age-gate-year""&gt; &lt;option value = ""2019""&gt; 2019 &lt;/ op"&amp;"tion&gt; &lt; option value = ""2018""&gt; 2018 &lt;/ option&gt; &lt;option value = ""2017""&gt; 2017 &lt;/ option&gt; &lt;option value = ""2016""&gt; ​​2016 &lt;/ option&gt; &lt;option value = ""2015""&gt; 2015 &lt;/ option &gt; &lt;option value = ""2014""&gt; 2014 &lt;/ option&gt; &lt;option value = ""2013""&gt; 2013 &lt;/ o"&amp;"ption&gt; &lt;option value = ""2012""&gt; 2012 &lt;/ option&gt; &lt;option value = ""2011""&gt; 2011 &lt; / option&gt; &lt;option value = ""2010""&gt; 2010 &lt;/ option&gt; &lt;option value = ""2009""&gt; 2009 &lt;/ option&gt; &lt;option value = ""2008""&gt; 2008 &lt;/ option&gt; &lt;option value = ""2007""&gt; 2007 &lt;/ opt"&amp;"ion&gt; &lt;option value = ""2006""&gt; 2006 &lt;/ option&gt; &lt;option value = ""2005""&gt; 2005 &lt;/ option&gt; &lt;option value = ""2004""&gt; 2004 &lt;/ option&gt; &lt;option value = ""2003 ""&gt; 2003 &lt;/ option&gt; &lt;option value ="" 2002 ""&gt; 2002 &lt;/ option&gt; &lt;option value ="" 2001 ""&gt; 2001 &lt;/ opt"&amp;"ion&gt; &lt;option value ="" 2000 ""&gt; 2000 &lt;/ option&gt; &lt;option value = ""1999""&gt; 1999 &lt;/ option&gt; &lt;option value = ""1998""&gt; 1998 &lt;/ option&gt; &lt;option value = ""1997""&gt; 1997 &lt;/ option&gt; &lt;option value = ""1996""&gt; 1996 &lt;/ option&gt; &lt;option value = ""1995""&gt; 1995 &lt;/ optio"&amp;"n&gt; &lt;option value = ""1994""&gt; 1994 &lt;/ option&gt; &lt;option value = ""1993""&gt; 1993 &lt;/ option&gt; &lt;option value = ""1992""&gt; 1992 &lt;/ option&gt; &lt;option value = ""1991""&gt; 1991 &lt;/ option&gt; &lt;option value = ""1990""&gt; 1990 &lt;/ option&gt; &lt;option value = "" 1989 ""&gt; 1989 &lt;/ option"&amp;"&gt; &lt;option value ="" 1988 ""&gt; 1988 &lt;/ option&gt; &lt;option value ="" 1987 ""&gt; 1987 &lt;/ option&gt; &lt;option value ="" 1986 ""&gt; 1986 &lt;/ option&gt; &lt;option value = ""1985""&gt; 1985 &lt;/ option&gt; &lt;option value = ""1984""&gt; 1984 &lt;/ option&gt; &lt;option value = ""1983""&gt; 1983 &lt;/ option"&amp;"&gt; &lt;option value = ""1982""&gt; 1982 &lt;/ option&gt; &lt; option value = ""1981""&gt; 1981 &lt;/ option&gt; &lt;option value = ""1980""&gt; 1980 &lt;/ option&gt; &lt;option value = ""1979""&gt; 1979 &lt;/ option&gt; &lt;option value = ""1978""&gt; 1978 &lt;/ option &gt; &lt;option value = ""1977""&gt; 1977 &lt;/ option&gt;"&amp;" &lt;option value = ""1976""&gt; 1976 &lt;/ option&gt; &lt;option value = ""1975""&gt; 1975 &lt;/ option&gt; &lt;option value = ""1974""&gt; 1974 &lt; / option&gt; &lt;option value = ""1973""&gt; 1973 &lt;/ option&gt; &lt;option value = ""1972""&gt; 1972 &lt;/ option&gt; &lt;option value = ""1971""&gt; 1971 &lt;/ option&gt; &lt;"&amp;"option value = ""1970""&gt; 1970 &lt;/ option&gt; &lt;option value = ""1969""&gt; 1969 &lt;/ option&gt; &lt;option value = ""1968""&gt; 1968 &lt;/ option&gt; &lt;option value = ""1967""&gt; 1967 &lt;/ option&gt; &lt;option value = ""1966 ""&gt; 1966 &lt;/ option&gt; &lt;option value ="" 1965 ""&gt; 1965 &lt;/ option&gt; &lt;o"&amp;"ption value ="" 1964 ""&gt; 1964 &lt;/ option&gt; &lt;option value ="" 1963 ""&gt; 1963 &lt;/ option&gt; &lt;option value = ""1962""&gt; 1962 &lt;/ option&gt; &lt;option value = ""1961""&gt; 1961 &lt;/ option&gt; &lt;option value = ""1960""&gt; 1960 &lt;/ op tion&gt; &lt;option value = ""1959""&gt; 1959 &lt;/ option&gt; &lt;o"&amp;"ption value = ""1958""&gt; 1958 &lt;/ option&gt; &lt;option value = ""1957""&gt; 1957 &lt;/ option&gt; &lt;option value = ""1956""&gt; 1956 &lt;/ option&gt; &lt;option value = ""1955""&gt; 1955 &lt;/ option&gt; &lt;option value = ""1954""&gt; 1954 &lt;/ option&gt; &lt;option value = ""1953""&gt; 1953 &lt;/ option&gt; &lt;opti"&amp;"on value = ""1952"" &gt; 1952 &lt;/ option&gt; &lt;option value = ""1951""&gt; 1951 &lt;/ option&gt; &lt;option value = ""1950""&gt; 1950 &lt;/ option&gt; &lt;option value = ""1949""&gt; 1949 &lt;/ option&gt; &lt;option value = "" 1948 ""&gt; 1948 &lt;/ option&gt; &lt;option value ="" 1947 ""&gt; 1947 &lt;/ option&gt; &lt;opt"&amp;"ion value ="" 1946 ""&gt; 1946 &lt;/ option&gt; &lt;option value ="" 1945 ""&gt; 1945 &lt;/ option&gt; &lt;option value = ""1944""&gt; 1944 &lt;/ option&gt; &lt;option value = ""1943""&gt; 1943 &lt;/ option&gt; &lt;option value = ""1942""&gt; 1942 &lt;/ option&gt; &lt;option value = ""1941""&gt; 1941 &lt;/ option&gt; &lt; opt"&amp;"ion value = ""1940""&gt; 1940 &lt;/ option&gt; &lt;option value = ""1939""&gt; 1939 &lt;/ option&gt; &lt;option value = ""1938""&gt; 1938 &lt;/ option&gt; &lt;option value = ""1937""&gt; 1937 &lt;/ option &gt; &lt;option value = ""1936""&gt; 1936 &lt;/ option&gt; &lt;option value = ""1935""&gt; 1935 &lt;/ option&gt; &lt;optio"&amp;"n value = ""1934""&gt; 1934 &lt;/ option&gt; &lt;option value = ""1933""&gt; 1933 &lt; / option&gt; &lt;option value = ""1932""&gt; 1932 &lt;/ option&gt; &lt;option value = ""1931""&gt; 1931 &lt;/ option&gt; &lt;option v alue = ""1930""&gt; 1930 &lt;/ option&gt; &lt;option value = ""1929""&gt; 1929 &lt;/ option&gt; &lt;option"&amp;" value = ""1928""&gt; 1928 &lt;/ option&gt; &lt;option value = ""1927""&gt; 1927 &lt;/ option&gt; &lt;option value = ""1926""&gt; 1926 &lt;/ option&gt; &lt;option value = ""1925""&gt; 1925 &lt;/ option&gt; &lt;option value = ""1924""&gt; 1924 &lt;/ option&gt; &lt;option value = ""1923""&gt; 1923 &lt;/ option&gt; &lt;option va"&amp;"lue = ""1922""&gt; 1922 &lt;/ option&gt; &lt;option value = ""1921""&gt; 1921 &lt;/ option&gt; &lt;option value = ""1920""&gt; 1920 &lt;/ option&gt; &lt;option value = ""1919""&gt; 1919 &lt;/ option&gt; &lt;option value = ""1918""&gt; 1918 &lt;/ option&gt; &lt;option value = ""1917""&gt; 1917 &lt;/ option&gt; &lt;option value"&amp;" = ""1916""&gt; 1916 &lt;/ option&gt; &lt;option value = ""1915"" &gt; 1915 &lt;/ option&gt; &lt;option value = ""1914""&gt; 1914 &lt;/ option&gt; &lt;option value = ""1913""&gt; 1913 &lt;/ option&gt; &lt;option value = ""1912""&gt; 1912 &lt;/ option&gt; &lt;option value = "" 1911 ""&gt; 1911 &lt;/ option&gt; &lt;option value"&amp;" ="" 1910 ""&gt; 1910 &lt;/ option&gt; &lt;option value ="" 1909 ""&gt; 1909 &lt;/ option&gt; &lt;option value ="" 1908 ""&gt; 1908 &lt;/ option&gt; &lt;option value = ""1907""&gt; 1907 &lt;/ option&gt; &lt;option value = ""1906""&gt; 1906 &lt;/ option&gt; &lt;option value = ""1905""&gt; 1905 &lt;/ option&gt; &lt;option value"&amp;" = ""1904""&gt; 1904 &lt;/ option&gt; &lt; option value = ""1903""&gt; 1903 &lt;/ option&gt; &lt;option value = ""1902""&gt; 1902 &lt;/ option&gt; &lt;option value = ""1901""&gt; 19 01 &lt;/ option&gt; &lt;option value = ""1900""&gt; 1900 &lt;/ option&gt; &lt;/ select&gt; &lt;div tabindex = ""- 1"" class = ""airy-age-ga"&amp;"te-submit airy-submit-button airy airy-submit- disabled ""&gt; Submit &lt;/ div&gt; &lt;/ div&gt; &lt;/ div&gt; &lt;/ div&gt; &lt;/ div&gt; &lt;/ div&gt; &lt;div tabindex ="" - 1 ""class ="" airy-install-flash-dialog airy-course airy -Vertical-centering-table dialog airy-airy-denied ""style ="" o"&amp;"pacity: 0; visibility: hidden; ""&gt; &lt;div tabindex ="" - 1 ""class ="" airy-install-flash-vertical-centering-table-cell airy-vertical-centering-table-cell ""&gt; &lt;div tabindex ="" - 1 ""class = ""airy-vertical-centering-wrapper airy-install-flash-elements-wrap"&amp;"per""&gt; &lt;div tabindex = ""- 1"" class = ""airy-install-flash-elements airy-dialog-elements""&gt; &lt;div tabindex = "" -1 ""class ="" airy-install-flash-prompt ""&gt; Adobe Flash Player is required to watch this video &lt;/ div&gt; &lt;div = tabindex."" - 1 ""class ="" airy"&amp;"-install-flash-button-wrapper airy -dialog-inner-elements ""&gt; &lt;div tabindex ="" - 1 ""class ="" airy-install-flash-button airy-button ""&gt; install Flash Player &lt;/ div&gt; &lt;/ div&gt; &lt;/ div&gt; &lt;/ div&gt; &lt;/ div&gt; &lt;/ div&gt; &lt;div tabindex = ""- 1"" class = ""airy-video-uns"&amp;"upported-dialog airy-course airy-vertical-centering table-airy-dialog airy-denied"" style = ""opacity: 0; visibility: hidden; ""&gt; &lt;div tabindex ="" - 1 ""class ="" airy-video-unsupported-vertical-centering-table-cell airy-vertical-centering-table-cell ""&gt;"&amp;" &lt;div tabindex ="" - 1 ""class = ""airy-vertical-centering-wrapper airy-video-unsupported-elements-wrapper""&gt; &lt;div tabindex = ""- 1"" class = ""airy-video-unsupported-elements airy-dialog-elements""&gt; &lt;div tabindex = "" -1 ""class ="" airy-video-unsupporte"&amp;"d-prompt ""&gt; &lt;/ div&gt; &lt;/ div&gt; &lt;/ div&gt; &lt;/ div&gt; &lt;/ div&gt; &lt;div tabindex ="" - 1 ""class ="" airy-loading- spinner-stage airy-stage ""&gt; &lt;div tabindex ="" - 1 ""class ="" airy-loading-spinner-vertical-centering-table-cell airy-vertical-centering-table-cell ""&gt; &lt;"&amp;"div tabindex ="" - 1 ""class ="" airy-loading-spinner container airy-scalable-hint-container ""&gt; &lt;div tabindex ="" - 1 ""class ="" airy-loading-spinner-dummy airy-scalable-dummy ""&gt; &lt;/ div&gt; &lt; div tabindex = ""- 1"" class = ""airy-loading-spinner airy-hint"&amp;""" style = ""visibility: hidden;""&gt; &lt;/ div&gt; &lt;/ div&gt; &lt;/ div&gt; &lt;/ div&gt; &lt;div tabindex = ""- 1 ""class ="" airy-ads-screen-size-toggle airy-screen-size-toggle airy-fullscreen ""style ="" visibility: hidden; ""&gt; &lt;/ div&gt; &lt;div tabindex = ""-1"" class = ""airy-ad-"&amp;"prompt-container"" style = ""visibility: hidden;""&gt; &lt;div tabindex = ""- 1"" class = ""airy-ad-prompt-vertical-centering table-airy-vertical- centering-table ""&gt; &lt;div tabindex ="" - 1 ""class ="" airy-ad-prompt-vertical-centering-table-cell airy-vertical-c"&amp;"entering-table-cell ""&gt; &lt;div tabindex ="" - 1 ""class = ""airy-ad-prompt-label""&gt; &lt;/ div&gt; &lt;/ div&gt; &lt;/ div&gt; &lt;/ div&gt; &lt;div tabindex = ""- 1"" class = ""airy-ads-controls-container"" style = ""visibility: hidden; ""&gt; &lt;div tabindex ="" - 1 ""class ="" airy-ads-"&amp;"audio-toggle airy-audio-toggle airy-on ""style ="" visibility: hidden; ""&gt; &lt;/ div&gt; &lt;div tabindex ="" - 1 ""class ="" airy-time-remaining-label-container ""&gt; &lt;div tabindex ="" - 1 ""class ="" airy-time-remaining-vertical-centering table-airy-vertical-cente"&amp;"ring-table ""&gt; &lt;div tabindex = ""- 1"" class = ""airy-time-remaining-vertical-centering-table-cell airy-vertical-centering-table-cell""&gt; &lt;div tabindex = ""- 1"" class = ""airy-vertical-centering-wrapper airy-time-remaining-label-wrapper ""&gt; &lt;div tabindex "&amp;"="" - 1 ""class ="" airy-time-remaining-label ""style ="" visibility: hidden; ""&gt; &lt;/ div&gt; &lt;div tabi ndex = ""- 1"" class = ""airy-ad-skip"" style = ""visibility: hidden;""&gt; &lt;/ div&gt; &lt;div tabindex = ""- 1"" class = ""airy-ad-end"" style = ""visibility: hidd"&amp;"en; ""&gt; &lt;/ div&gt; &lt;/ div&gt; &lt;/ div&gt; &lt;/ div&gt; &lt;/ div&gt; &lt;div tabindex ="" - 1 ""class ="" airy-learn-more ""style ="" visibility: hidden; ""&gt; &lt;/ div&gt; &lt;/ div&gt; &lt;div tabindex = ""- 1"" class = ""airy-play-toggle-hint-stage airy-course airy-cursor""&gt; &lt;div tabindex = "&amp;"""- 1"" class = ""airy-play -toggle-hint-vertical-centering-table-cell airy-vertical-centering-table-cell airy-cursor ""&gt; &lt;div tabindex ="" - 1 ""class ="" airy-play-toggle-hint-container airy-scalable- hint-container ""&gt; &lt;div tabindex ="" - 1 ""class ="""&amp;" airy-play-toggle-hint-dummy airy-scalable-dummy ""&gt; &lt;/ div&gt; &lt;div tabindex ="" - 1 ""class ="" airy-play -toggle airy-hint-hint-hint airy-play ""style ="" opacity: 1; visibility: visible; ""&gt; &lt;/ div&gt; &lt;/ div&gt; &lt;/ div&gt; &lt;/ div&gt; &lt;div tabindex ="" - 1 ""class ="&amp;""" airy-replay-hint-stage airy-stage ""style ="" visibility: hidden ; ""&gt; &lt;div tabindex ="" - 1 ""class ="" airy-replay-hint-vertical-centering-table-cell airy-vertical-centering-table-cell airy-cursor ""&gt; &lt;div tabindex ="" - 1 ""class = ""airy-replay-hin"&amp;"t-container airy-scalable-hint-container""&gt; &lt;div tabindex = ""- 1"" class = ""airy-replay-hint-dummy airy-scalable-dummy""&gt; &lt;/ div&gt; &lt;div tabindex = ""- 1"" class = ""airy-replay-hint airy-hint""&gt; &lt;/ div&gt; &lt;/ div&gt; &lt;/ div&gt; &lt;/ div&gt; &lt;div tabindex = ""- 1"" cla"&amp;"ss = ""airy-autoplay-hint -stage airy-stage ""style ="" visibility: hidden; ""&gt; &lt;div tabindex ="" - 1 ""class ="" airy-autoplay-hint-vertical-centering-table-cell airy-vertical-centering-table-cell airy- cursor ""&gt; &lt;div tabindex ="" - 1 ""class ="" autopl"&amp;"ay airy-airy-hint-container-scalable-hint-container ""&gt; &lt;div tabindex ="" - 1 ""class ="" airy-autoplay-hint-dummy airy- scalable-dummy ""&gt; &lt;/ div&gt; &lt;/ div&gt; &lt;/ div&gt; &lt;/ div&gt; &lt;/ div&gt; &lt;/ div&gt; &lt;input type ="" hidden ""name ="" ""value ="" https: // pictures-eu"&amp;" .ssl-image amazon.com / images / I / 71cCYpQfqVS.mp4 ""Class ="" video-url ""&gt; &lt;input type ="" hidden ""name ="" ""value ="" https://images-eu.ssl-images-amazon.com/images/I/91Bc5eLsJwS.png ""class ="" video-slate-img-url ""&gt; &amp; nbsp; Good product. I use "&amp;"it to my videos. Really easily installed I speak only so I could not judge for singing Good product :)")</f>
        <v>Top &lt;div id = "video-block-R335PUN1LQZL4F" class = "a-section-spacing-small in-spacing-top mini video-block"&gt; &lt;div tabindex = "0" class = "airy airy-svg vmin -supported airy-skin-beacon "style =" background-color: rgb (0, 0, 0); position: relative; width: 100%; height: 100%; font-size: 0px; overflow: hidden; outline: none; "&gt; &lt;div class =" airy-renderer-container "style =" position: relative; height: 100%; width: 100%; "&gt; &lt;video id =" 7 "preload =" auto "src =" https : //images-eu.ssl-images-amazon.com/images/I/71cCYpQfqVS.mp4 "style =" position: absolute; left: 0px; top: 0px; overflow: hidden; height: 1px; width: 1px; "&gt; &lt;/ video&gt; &lt;/ div&gt; &lt;div id =" airy-slate-preload "style =" background-color: rgb (0, 0, 0); background-image: url (&amp; quot; https: // pictures -eu.ssl-images-amazon.com/images/I/91Bc5eLsJwS.png&amp;quot;); background-size: contain; background-position: center center; background-repeat: no-repeat; position: absolute; top: 0px; left: 0px; visibility: visible; width: 100%; height: 100% "&gt; &lt;/ div&gt; &lt;iframe scrolling =" no "framebor 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0:04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airy-progress-bar "style =" width: 100%; "&gt; &lt;/ div&gt; &lt;div tabindex =" - 1 "class =" airy-scrubber 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71cCYpQfqVS.mp4 "Class =" video-url "&gt; &lt;input type =" hidden "name =" "value =" https://images-eu.ssl-images-amazon.com/images/I/91Bc5eLsJwS.png "class =" video-slate-img-url "&gt; &amp; nbsp; Good product. I use it to my videos. Really easily installed I speak only so I could not judge for singing Good product :)</v>
      </c>
    </row>
    <row r="15305">
      <c r="A15305" s="1">
        <v>5.0</v>
      </c>
      <c r="B15305" s="1" t="s">
        <v>15051</v>
      </c>
      <c r="C15305" t="str">
        <f>IFERROR(__xludf.DUMMYFUNCTION("GOOGLETRANSLATE(B15305, ""fr"", ""en"")"),"Effective Very well. At first it's weird to receive small electric shocks. But since the use of the device, although it relieves the late afternoon legs after sitting all day.")</f>
        <v>Effective Very well. At first it's weird to receive small electric shocks. But since the use of the device, although it relieves the late afternoon legs after sitting all day.</v>
      </c>
    </row>
    <row r="15306">
      <c r="A15306" s="1">
        <v>5.0</v>
      </c>
      <c r="B15306" s="1" t="s">
        <v>15052</v>
      </c>
      <c r="C15306" t="str">
        <f>IFERROR(__xludf.DUMMYFUNCTION("GOOGLETRANSLATE(B15306, ""fr"", ""en"")"),"COMPLIANCE ARTICLE MEETS THE DESCRIPTION")</f>
        <v>COMPLIANCE ARTICLE MEETS THE DESCRIPTION</v>
      </c>
    </row>
    <row r="15307">
      <c r="A15307" s="1">
        <v>5.0</v>
      </c>
      <c r="B15307" s="1" t="s">
        <v>15053</v>
      </c>
      <c r="C15307" t="str">
        <f>IFERROR(__xludf.DUMMYFUNCTION("GOOGLETRANSLATE(B15307, ""fr"", ""en"")"),"small focus contrast to the reviews I've read, I who used this product for 30 years, I see no difference between that sold by amazon and commerce. The pellets dissolve completely and make their office properly. beat the price, I will not hesitate one seco"&amp;"nd to iron my order from amazon")</f>
        <v>small focus contrast to the reviews I've read, I who used this product for 30 years, I see no difference between that sold by amazon and commerce. The pellets dissolve completely and make their office properly. beat the price, I will not hesitate one second to iron my order from amazon</v>
      </c>
    </row>
    <row r="15308">
      <c r="A15308" s="1">
        <v>5.0</v>
      </c>
      <c r="B15308" s="1" t="s">
        <v>15054</v>
      </c>
      <c r="C15308" t="str">
        <f>IFERROR(__xludf.DUMMYFUNCTION("GOOGLETRANSLATE(B15308, ""fr"", ""en"")"),"Perfect for a gentle awakening Purchased 3 copies for each of my children (9, 10 and 11). Wake perfect (and the word is used). Perfect for us in the use, operation, style, choice of sounds and options. The children were quickly able to use it alone. They "&amp;"appreciate wake up gently with the desired sound (desired volume setting) and the selected brightness (setting the desired intensity). In the evening, they enjoy a quiet time with the night mode (soft music choice and brightness which gradually decreases)"&amp;".")</f>
        <v>Perfect for a gentle awakening Purchased 3 copies for each of my children (9, 10 and 11). Wake perfect (and the word is used). Perfect for us in the use, operation, style, choice of sounds and options. The children were quickly able to use it alone. They appreciate wake up gently with the desired sound (desired volume setting) and the selected brightness (setting the desired intensity). In the evening, they enjoy a quiet time with the night mode (soft music choice and brightness which gradually decreases).</v>
      </c>
    </row>
    <row r="15309">
      <c r="A15309" s="1">
        <v>5.0</v>
      </c>
      <c r="B15309" s="1" t="s">
        <v>15055</v>
      </c>
      <c r="C15309" t="str">
        <f>IFERROR(__xludf.DUMMYFUNCTION("GOOGLETRANSLATE(B15309, ""fr"", ""en"")"),"Great MAM bottles are really very good and this box is not expensive, they are perfect for my baby and in addition I received my package in advance, I recommend;)")</f>
        <v>Great MAM bottles are really very good and this box is not expensive, they are perfect for my baby and in addition I received my package in advance, I recommend;)</v>
      </c>
    </row>
    <row r="15310">
      <c r="A15310" s="1">
        <v>5.0</v>
      </c>
      <c r="B15310" s="1" t="s">
        <v>15056</v>
      </c>
      <c r="C15310" t="str">
        <f>IFERROR(__xludf.DUMMYFUNCTION("GOOGLETRANSLATE(B15310, ""fr"", ""en"")"),"Trainers impeccable Impeccable ... ..")</f>
        <v>Trainers impeccable Impeccable ... ..</v>
      </c>
    </row>
    <row r="15311">
      <c r="A15311" s="1">
        <v>5.0</v>
      </c>
      <c r="B15311" s="1" t="s">
        <v>15057</v>
      </c>
      <c r="C15311" t="str">
        <f>IFERROR(__xludf.DUMMYFUNCTION("GOOGLETRANSLATE(B15311, ""fr"", ""en"")"),"Good quality okay Delivery, product consistent with the description, normal size.")</f>
        <v>Good quality okay Delivery, product consistent with the description, normal size.</v>
      </c>
    </row>
    <row r="15312">
      <c r="A15312" s="1">
        <v>2.0</v>
      </c>
      <c r="B15312" s="1" t="s">
        <v>15058</v>
      </c>
      <c r="C15312" t="str">
        <f>IFERROR(__xludf.DUMMYFUNCTION("GOOGLETRANSLATE(B15312, ""fr"", ""en"")"),"not very fragrant ... These oils do not develop much aroma diffuser by evaporation Very disappointed with this purchase.")</f>
        <v>not very fragrant ... These oils do not develop much aroma diffuser by evaporation Very disappointed with this purchase.</v>
      </c>
    </row>
    <row r="15313">
      <c r="A15313" s="1">
        <v>1.0</v>
      </c>
      <c r="B15313" s="1" t="s">
        <v>15059</v>
      </c>
      <c r="C15313" t="str">
        <f>IFERROR(__xludf.DUMMYFUNCTION("GOOGLETRANSLATE(B15313, ""fr"", ""en"")"),"not suitable Contrary to what is written in the description, is not suitable for the HP2620. I'm not happy because the cartridge has been unpacked and removed his protective film, how to be reimbursed the purchase made following a bad sign? Pay attention "&amp;"to the model!")</f>
        <v>not suitable Contrary to what is written in the description, is not suitable for the HP2620. I'm not happy because the cartridge has been unpacked and removed his protective film, how to be reimbursed the purchase made following a bad sign? Pay attention to the model!</v>
      </c>
    </row>
    <row r="15314">
      <c r="A15314" s="1">
        <v>1.0</v>
      </c>
      <c r="B15314" s="1" t="s">
        <v>15060</v>
      </c>
      <c r="C15314" t="str">
        <f>IFERROR(__xludf.DUMMYFUNCTION("GOOGLETRANSLATE(B15314, ""fr"", ""en"")"),"Very disappointed. Do not match buy in stores. The trash elastic ESR less resistant and always ends at the bottom of my garbage. There is also a difference in color.")</f>
        <v>Very disappointed. Do not match buy in stores. The trash elastic ESR less resistant and always ends at the bottom of my garbage. There is also a difference in color.</v>
      </c>
    </row>
    <row r="15315">
      <c r="A15315" s="1">
        <v>3.0</v>
      </c>
      <c r="B15315" s="1" t="s">
        <v>15061</v>
      </c>
      <c r="C15315" t="str">
        <f>IFERROR(__xludf.DUMMYFUNCTION("GOOGLETRANSLATE(B15315, ""fr"", ""en"")"),"The pleasant smell perfume is quite original, it eliminates cooking odors. However, I do not find it so strong as that. Indeed, drawing on the links to get the full bag of garbage, the bag has holes!")</f>
        <v>The pleasant smell perfume is quite original, it eliminates cooking odors. However, I do not find it so strong as that. Indeed, drawing on the links to get the full bag of garbage, the bag has holes!</v>
      </c>
    </row>
    <row r="15316">
      <c r="A15316" s="1">
        <v>4.0</v>
      </c>
      <c r="B15316" s="1" t="s">
        <v>15062</v>
      </c>
      <c r="C15316" t="str">
        <f>IFERROR(__xludf.DUMMYFUNCTION("GOOGLETRANSLATE(B15316, ""fr"", ""en"")"),"Convinced! In recent weeks I have redness on the cheeks and the skin peeling and nothing is enough. I'm hydrated several times a day, it continues to peel. I tried this mask and I think I will continue a little while. At the opening, I found it felt stron"&amp;"g and chemical. Once placed on the face, it stings a bit and I almost stop everything. But it happens very quickly and the results have clearly been there. I applied the evening and the next day my skin was properly hydrated and has started to peel the da"&amp;"y after. What is a miracle because without this mask, go again several times a day.")</f>
        <v>Convinced! In recent weeks I have redness on the cheeks and the skin peeling and nothing is enough. I'm hydrated several times a day, it continues to peel. I tried this mask and I think I will continue a little while. At the opening, I found it felt strong and chemical. Once placed on the face, it stings a bit and I almost stop everything. But it happens very quickly and the results have clearly been there. I applied the evening and the next day my skin was properly hydrated and has started to peel the day after. What is a miracle because without this mask, go again several times a day.</v>
      </c>
    </row>
    <row r="15317">
      <c r="A15317" s="1">
        <v>4.0</v>
      </c>
      <c r="B15317" s="1" t="s">
        <v>15063</v>
      </c>
      <c r="C15317" t="str">
        <f>IFERROR(__xludf.DUMMYFUNCTION("GOOGLETRANSLATE(B15317, ""fr"", ""en"")"),"Earrings Blue Earrings are super nice color")</f>
        <v>Earrings Blue Earrings are super nice color</v>
      </c>
    </row>
    <row r="15318">
      <c r="A15318" s="1">
        <v>4.0</v>
      </c>
      <c r="B15318" s="1" t="s">
        <v>15064</v>
      </c>
      <c r="C15318" t="str">
        <f>IFERROR(__xludf.DUMMYFUNCTION("GOOGLETRANSLATE(B15318, ""fr"", ""en"")"),"good product conforms to the description")</f>
        <v>good product conforms to the description</v>
      </c>
    </row>
    <row r="15319">
      <c r="A15319" s="1">
        <v>4.0</v>
      </c>
      <c r="B15319" s="1" t="s">
        <v>15065</v>
      </c>
      <c r="C15319" t="str">
        <f>IFERROR(__xludf.DUMMYFUNCTION("GOOGLETRANSLATE(B15319, ""fr"", ""en"")"),"conformity are slippery sole attention to some soils")</f>
        <v>conformity are slippery sole attention to some soils</v>
      </c>
    </row>
    <row r="15320">
      <c r="A15320" s="1">
        <v>5.0</v>
      </c>
      <c r="B15320" s="1" t="s">
        <v>15066</v>
      </c>
      <c r="C15320" t="str">
        <f>IFERROR(__xludf.DUMMYFUNCTION("GOOGLETRANSLATE(B15320, ""fr"", ""en"")"),"Delivered on time and for the command Perfect")</f>
        <v>Delivered on time and for the command Perfect</v>
      </c>
    </row>
    <row r="15321">
      <c r="A15321" s="1">
        <v>5.0</v>
      </c>
      <c r="B15321" s="1" t="s">
        <v>15067</v>
      </c>
      <c r="C15321" t="str">
        <f>IFERROR(__xludf.DUMMYFUNCTION("GOOGLETRANSLATE(B15321, ""fr"", ""en"")"),"Good value for a disguise 20s Very nice indeed")</f>
        <v>Good value for a disguise 20s Very nice indeed</v>
      </c>
    </row>
    <row r="15322">
      <c r="A15322" s="1">
        <v>5.0</v>
      </c>
      <c r="B15322" s="1" t="s">
        <v>15068</v>
      </c>
      <c r="C15322" t="str">
        <f>IFERROR(__xludf.DUMMYFUNCTION("GOOGLETRANSLATE(B15322, ""fr"", ""en"")"),"SAV Top After 3 pairs of average quality headphones, I ordered those above that are nickels ,. First the packaging is neat, different nozzles allow to adapt to any ear, the sound is very good for a reasonable price model, but especially the Sav contacted "&amp;"due to incorrect contact output jack, is very responsive and solved my problem in less time than it takes to write !!! Bravo this young and innovative company which develops its products in the right direction !!!")</f>
        <v>SAV Top After 3 pairs of average quality headphones, I ordered those above that are nickels ,. First the packaging is neat, different nozzles allow to adapt to any ear, the sound is very good for a reasonable price model, but especially the Sav contacted due to incorrect contact output jack, is very responsive and solved my problem in less time than it takes to write !!! Bravo this young and innovative company which develops its products in the right direction !!!</v>
      </c>
    </row>
    <row r="15323">
      <c r="A15323" s="1">
        <v>5.0</v>
      </c>
      <c r="B15323" s="1" t="s">
        <v>15069</v>
      </c>
      <c r="C15323" t="str">
        <f>IFERROR(__xludf.DUMMYFUNCTION("GOOGLETRANSLATE(B15323, ""fr"", ""en"")"),"Consistent with the description Size S Men consistent, very happy with the purchase")</f>
        <v>Consistent with the description Size S Men consistent, very happy with the purchase</v>
      </c>
    </row>
    <row r="15324">
      <c r="A15324" s="1">
        <v>5.0</v>
      </c>
      <c r="B15324" s="1" t="s">
        <v>15070</v>
      </c>
      <c r="C15324" t="str">
        <f>IFERROR(__xludf.DUMMYFUNCTION("GOOGLETRANSLATE(B15324, ""fr"", ""en"")"),"Great product rediscovered after a fatal crash PC! I'll maybe make some smile, but for several years and especially during my professional life, I had removed from my office supplies purchasing this type of calendar, because everything was run on my PC wi"&amp;"th Outlook. Arriving in retirement, I continued on my progressive momentum, without thinking that the security device, my personal computer data, was significantly less effective at home or office. And it is an ugly ""disk crash"" that got the better of m"&amp;"y way ""modern"" to manage my agenda noting that after the irremediable crash the machine, I had lost all my appointments for the year and my thoughts-beasts. Thus, I decided to get back to good 'old paper diary ""by ordering this"" QUO VADIS ""(I already"&amp;" enjoyed a lot before the digital age). A hurry to get a paper calendar, I made a library tour ""My corner"" tower that proved unsuccessful, either because the product was no longer available or it was sold to a very prohibitive price (without reduction, "&amp;"although the first quarter of 2016 was passed). And so I consulted Amazon and found a price less than half what I had found in bookstores (discount was applied), the calendar model. No problem with the order, free shipping fee and a very correct delivery "&amp;"time. The product arrived in perfect condition in a protective bubble envelope. WARNING, this model is not A4. This is a 24 cm wide by 30 or more 3 cm in width, which can present a storage problem for people having storage bags formatted on products 21 x "&amp;"29.7. Personally, I appreciate the 24 cm wide, because it seems to me that the week is more readable and there are two columns of notes available for each week (one on each page). Upon receipt, after copying all my appointments and my animals think (the o"&amp;"nes I remember), everything is back to normal. The agenda is operational and me with. He follows me everywhere in my backpack. I am satisfied.")</f>
        <v>Great product rediscovered after a fatal crash PC! I'll maybe make some smile, but for several years and especially during my professional life, I had removed from my office supplies purchasing this type of calendar, because everything was run on my PC with Outlook. Arriving in retirement, I continued on my progressive momentum, without thinking that the security device, my personal computer data, was significantly less effective at home or office. And it is an ugly "disk crash" that got the better of my way "modern" to manage my agenda noting that after the irremediable crash the machine, I had lost all my appointments for the year and my thoughts-beasts. Thus, I decided to get back to good 'old paper diary "by ordering this" QUO VADIS "(I already enjoyed a lot before the digital age). A hurry to get a paper calendar, I made a library tour "My corner" tower that proved unsuccessful, either because the product was no longer available or it was sold to a very prohibitive price (without reduction, although the first quarter of 2016 was passed). And so I consulted Amazon and found a price less than half what I had found in bookstores (discount was applied), the calendar model. No problem with the order, free shipping fee and a very correct delivery time. The product arrived in perfect condition in a protective bubble envelope. WARNING, this model is not A4. This is a 24 cm wide by 30 or more 3 cm in width, which can present a storage problem for people having storage bags formatted on products 21 x 29.7. Personally, I appreciate the 24 cm wide, because it seems to me that the week is more readable and there are two columns of notes available for each week (one on each page). Upon receipt, after copying all my appointments and my animals think (the ones I remember), everything is back to normal. The agenda is operational and me with. He follows me everywhere in my backpack. I am satisfied.</v>
      </c>
    </row>
    <row r="15325">
      <c r="A15325" s="1">
        <v>5.0</v>
      </c>
      <c r="B15325" s="1" t="s">
        <v>15071</v>
      </c>
      <c r="C15325" t="str">
        <f>IFERROR(__xludf.DUMMYFUNCTION("GOOGLETRANSLATE(B15325, ""fr"", ""en"")"),"Product of the year Product description consistent with the description, delivery respects")</f>
        <v>Product of the year Product description consistent with the description, delivery respects</v>
      </c>
    </row>
    <row r="15326">
      <c r="A15326" s="1">
        <v>5.0</v>
      </c>
      <c r="B15326" s="1" t="s">
        <v>15072</v>
      </c>
      <c r="C15326" t="str">
        <f>IFERROR(__xludf.DUMMYFUNCTION("GOOGLETRANSLATE(B15326, ""fr"", ""en"")"),"Speed ​​compliant Product, reception in the RAS time")</f>
        <v>Speed ​​compliant Product, reception in the RAS time</v>
      </c>
    </row>
    <row r="15327">
      <c r="A15327" s="1">
        <v>5.0</v>
      </c>
      <c r="B15327" s="1" t="s">
        <v>15073</v>
      </c>
      <c r="C15327" t="str">
        <f>IFERROR(__xludf.DUMMYFUNCTION("GOOGLETRANSLATE(B15327, ""fr"", ""en"")"),"Nice finish for the price !!!! Daily use, nice finish, reliable Very happy with my purchase")</f>
        <v>Nice finish for the price !!!! Daily use, nice finish, reliable Very happy with my purchase</v>
      </c>
    </row>
    <row r="15328">
      <c r="A15328" s="1">
        <v>5.0</v>
      </c>
      <c r="B15328" s="1" t="s">
        <v>15074</v>
      </c>
      <c r="C15328" t="str">
        <f>IFERROR(__xludf.DUMMYFUNCTION("GOOGLETRANSLATE(B15328, ""fr"", ""en"")"),"A very good quality price rather good headphones as a whole. Simple and effective, has connected very quickly to a laptop in LV 4./0 without any problem. The design is consistent with the picture and appreciate that a modern side. In folded mode, it does "&amp;"not take much space and its pouch is included for the store. The sound quality is very good and isolation to external sounds very correct. a pretty good product for those wishing to listen to music or videos on PC without being connected by a cable.")</f>
        <v>A very good quality price rather good headphones as a whole. Simple and effective, has connected very quickly to a laptop in LV 4./0 without any problem. The design is consistent with the picture and appreciate that a modern side. In folded mode, it does not take much space and its pouch is included for the store. The sound quality is very good and isolation to external sounds very correct. a pretty good product for those wishing to listen to music or videos on PC without being connected by a cable.</v>
      </c>
    </row>
    <row r="15329">
      <c r="A15329" s="1">
        <v>5.0</v>
      </c>
      <c r="B15329" s="1" t="s">
        <v>15075</v>
      </c>
      <c r="C15329" t="str">
        <f>IFERROR(__xludf.DUMMYFUNCTION("GOOGLETRANSLATE(B15329, ""fr"", ""en"")"),"Super compliant and pretty. My daughter was delighted")</f>
        <v>Super compliant and pretty. My daughter was delighted</v>
      </c>
    </row>
    <row r="15330">
      <c r="A15330" s="1">
        <v>5.0</v>
      </c>
      <c r="B15330" s="1" t="s">
        <v>15076</v>
      </c>
      <c r="C15330" t="str">
        <f>IFERROR(__xludf.DUMMYFUNCTION("GOOGLETRANSLATE(B15330, ""fr"", ""en"")"),"seal fat hello, I already know what product I found for perfect leather care and t seems it is always the same ....")</f>
        <v>seal fat hello, I already know what product I found for perfect leather care and t seems it is always the same ....</v>
      </c>
    </row>
    <row r="15331">
      <c r="A15331" s="1">
        <v>5.0</v>
      </c>
      <c r="B15331" s="1" t="s">
        <v>15077</v>
      </c>
      <c r="C15331" t="str">
        <f>IFERROR(__xludf.DUMMYFUNCTION("GOOGLETRANSLATE(B15331, ""fr"", ""en"")"),"Baby thank you I can not tell you if these bottles are fun to use, but the baby happy. So I valid.")</f>
        <v>Baby thank you I can not tell you if these bottles are fun to use, but the baby happy. So I valid.</v>
      </c>
    </row>
    <row r="15332">
      <c r="A15332" s="1">
        <v>5.0</v>
      </c>
      <c r="B15332" s="1" t="s">
        <v>15078</v>
      </c>
      <c r="C15332" t="str">
        <f>IFERROR(__xludf.DUMMYFUNCTION("GOOGLETRANSLATE(B15332, ""fr"", ""en"")"),"The price was cheap and the format that does not discourage the child to finish reading the top story for reading small beginners. Fun and simple images that motivate the child to read to understand the history. My little fun to want to read and reread th"&amp;"ese stories. I bought several so they can go around and come back they do not tire. I hope that there will be new stories of this editor with the theme Discovering country, or for example some trades, or as the flora and fauna etc ...")</f>
        <v>The price was cheap and the format that does not discourage the child to finish reading the top story for reading small beginners. Fun and simple images that motivate the child to read to understand the history. My little fun to want to read and reread these stories. I bought several so they can go around and come back they do not tire. I hope that there will be new stories of this editor with the theme Discovering country, or for example some trades, or as the flora and fauna etc ...</v>
      </c>
    </row>
    <row r="15333">
      <c r="A15333" s="1">
        <v>5.0</v>
      </c>
      <c r="B15333" s="1" t="s">
        <v>15079</v>
      </c>
      <c r="C15333" t="str">
        <f>IFERROR(__xludf.DUMMYFUNCTION("GOOGLETRANSLATE(B15333, ""fr"", ""en"")"),"Perfect Super bottle")</f>
        <v>Perfect Super bottle</v>
      </c>
    </row>
    <row r="15334">
      <c r="A15334" s="1">
        <v>5.0</v>
      </c>
      <c r="B15334" s="1" t="s">
        <v>15080</v>
      </c>
      <c r="C15334" t="str">
        <f>IFERROR(__xludf.DUMMYFUNCTION("GOOGLETRANSLATE(B15334, ""fr"", ""en"")"),"Superb quality - no complaints on this model but still timeless classic model for my taste! Very comfortable, the product exudes quality workmanship. (I also bought a second pair)")</f>
        <v>Superb quality - no complaints on this model but still timeless classic model for my taste! Very comfortable, the product exudes quality workmanship. (I also bought a second pair)</v>
      </c>
    </row>
    <row r="15335">
      <c r="A15335" s="1">
        <v>2.0</v>
      </c>
      <c r="B15335" s="1" t="s">
        <v>15081</v>
      </c>
      <c r="C15335" t="str">
        <f>IFERROR(__xludf.DUMMYFUNCTION("GOOGLETRANSLATE(B15335, ""fr"", ""en"")"),"Unable to use Bluetooth Luckily I had, as requested, a 18650 lipo to power the receiver ... except I hack because of the battery compartment in the receiver that is poorly designed. Then it is the receiver who made the conversion FM-&amp; gt; Bluetooth, but c"&amp;"an not use the Bluetooth: The receiver is as a Bluetooth headset but it has a speaker and no microphone.")</f>
        <v>Unable to use Bluetooth Luckily I had, as requested, a 18650 lipo to power the receiver ... except I hack because of the battery compartment in the receiver that is poorly designed. Then it is the receiver who made the conversion FM-&amp; gt; Bluetooth, but can not use the Bluetooth: The receiver is as a Bluetooth headset but it has a speaker and no microphone.</v>
      </c>
    </row>
    <row r="15336">
      <c r="A15336" s="1">
        <v>1.0</v>
      </c>
      <c r="B15336" s="1" t="s">
        <v>15082</v>
      </c>
      <c r="C15336" t="str">
        <f>IFERROR(__xludf.DUMMYFUNCTION("GOOGLETRANSLATE(B15336, ""fr"", ""en"")"),"No no, no, no !!!!! Too long to heat a bottle !!!! approximately 13 minutes for a bottle of 120ml, stopwatch in hand ... we had to reinvest in another bottle warmer.")</f>
        <v>No no, no, no !!!!! Too long to heat a bottle !!!! approximately 13 minutes for a bottle of 120ml, stopwatch in hand ... we had to reinvest in another bottle warmer.</v>
      </c>
    </row>
    <row r="15337">
      <c r="A15337" s="1">
        <v>3.0</v>
      </c>
      <c r="B15337" s="1" t="s">
        <v>15083</v>
      </c>
      <c r="C15337" t="str">
        <f>IFERROR(__xludf.DUMMYFUNCTION("GOOGLETRANSLATE(B15337, ""fr"", ""en"")"),"good good, useful, but could do better in manufacturing, can not hold a microphone horizontally, otherwise tighten very hard the last screw up is hard to do a complete turn on his foot if it is not unscrewed almost thoroughly. and can be a bit short. othe"&amp;"rwise it does taff.")</f>
        <v>good good, useful, but could do better in manufacturing, can not hold a microphone horizontally, otherwise tighten very hard the last screw up is hard to do a complete turn on his foot if it is not unscrewed almost thoroughly. and can be a bit short. otherwise it does taff.</v>
      </c>
    </row>
    <row r="15338">
      <c r="A15338" s="1">
        <v>3.0</v>
      </c>
      <c r="B15338" s="1" t="s">
        <v>15084</v>
      </c>
      <c r="C15338" t="str">
        <f>IFERROR(__xludf.DUMMYFUNCTION("GOOGLETRANSLATE(B15338, ""fr"", ""en"")"),"😕 😶")</f>
        <v>😕 😶</v>
      </c>
    </row>
    <row r="15339">
      <c r="A15339" s="1">
        <v>4.0</v>
      </c>
      <c r="B15339" s="1" t="s">
        <v>15085</v>
      </c>
      <c r="C15339" t="str">
        <f>IFERROR(__xludf.DUMMYFUNCTION("GOOGLETRANSLATE(B15339, ""fr"", ""en"")"),"Carpets end and small but cheap. Carpet very fine and very small. Done however work as area rugs if you put it vertically.")</f>
        <v>Carpets end and small but cheap. Carpet very fine and very small. Done however work as area rugs if you put it vertically.</v>
      </c>
    </row>
    <row r="15340">
      <c r="A15340" s="1">
        <v>4.0</v>
      </c>
      <c r="B15340" s="1" t="s">
        <v>15086</v>
      </c>
      <c r="C15340" t="str">
        <f>IFERROR(__xludf.DUMMYFUNCTION("GOOGLETRANSLATE(B15340, ""fr"", ""en"")"),"Good product I know this brand very good model to have already purchased in the past")</f>
        <v>Good product I know this brand very good model to have already purchased in the past</v>
      </c>
    </row>
    <row r="15341">
      <c r="A15341" s="1">
        <v>4.0</v>
      </c>
      <c r="B15341" s="1" t="s">
        <v>15087</v>
      </c>
      <c r="C15341" t="str">
        <f>IFERROR(__xludf.DUMMYFUNCTION("GOOGLETRANSLATE(B15341, ""fr"", ""en"")"),"Loved by my little son! My little son after breastfeeding has struggled with bottles and those there are fine him! I think the nipple has changed her life! My daughter is very happy.")</f>
        <v>Loved by my little son! My little son after breastfeeding has struggled with bottles and those there are fine him! I think the nipple has changed her life! My daughter is very happy.</v>
      </c>
    </row>
    <row r="15342">
      <c r="A15342" s="1">
        <v>4.0</v>
      </c>
      <c r="B15342" s="1" t="s">
        <v>15088</v>
      </c>
      <c r="C15342" t="str">
        <f>IFERROR(__xludf.DUMMYFUNCTION("GOOGLETRANSLATE(B15342, ""fr"", ""en"")"),"Good product Good product, nice color, nice size as agreed. Just a little shaky at base level but a good detail.")</f>
        <v>Good product Good product, nice color, nice size as agreed. Just a little shaky at base level but a good detail.</v>
      </c>
    </row>
    <row r="15343">
      <c r="A15343" s="1">
        <v>5.0</v>
      </c>
      <c r="B15343" s="1" t="s">
        <v>15089</v>
      </c>
      <c r="C15343" t="str">
        <f>IFERROR(__xludf.DUMMYFUNCTION("GOOGLETRANSLATE(B15343, ""fr"", ""en"")"),"a bottle brush properly Cheap and convenient for cleaning bottles, pull Milk, nipples, storage jars .... The design is nice compared to other sprinklers. The price has been my criterion of choice but I do not regret")</f>
        <v>a bottle brush properly Cheap and convenient for cleaning bottles, pull Milk, nipples, storage jars .... The design is nice compared to other sprinklers. The price has been my criterion of choice but I do not regret</v>
      </c>
    </row>
    <row r="15344">
      <c r="A15344" s="1">
        <v>5.0</v>
      </c>
      <c r="B15344" s="1" t="s">
        <v>15090</v>
      </c>
      <c r="C15344" t="str">
        <f>IFERROR(__xludf.DUMMYFUNCTION("GOOGLETRANSLATE(B15344, ""fr"", ""en"")"),"Fun Pure Easy to use, is a very foolish. I have curls of pleasure and well-being so this device relaxes the neck and shoulders.")</f>
        <v>Fun Pure Easy to use, is a very foolish. I have curls of pleasure and well-being so this device relaxes the neck and shoulders.</v>
      </c>
    </row>
    <row r="15345">
      <c r="A15345" s="1">
        <v>5.0</v>
      </c>
      <c r="B15345" s="1" t="s">
        <v>15091</v>
      </c>
      <c r="C15345" t="str">
        <f>IFERROR(__xludf.DUMMYFUNCTION("GOOGLETRANSLATE(B15345, ""fr"", ""en"")"),"perfect Compliance")</f>
        <v>perfect Compliance</v>
      </c>
    </row>
    <row r="15346">
      <c r="A15346" s="1">
        <v>5.0</v>
      </c>
      <c r="B15346" s="1" t="s">
        <v>15092</v>
      </c>
      <c r="C15346" t="str">
        <f>IFERROR(__xludf.DUMMYFUNCTION("GOOGLETRANSLATE(B15346, ""fr"", ""en"")"),"Trying is believing ... I discovered these erasable pens with ""frixion"" for several years ... and since ... I can not do without me. Convenient, easy to use ... The only downside is the price, perhaps. If you write a lot, planning to buy many refills .."&amp;". Sometimes you have to force ""a little stronger"" when friction (erasing) ... but it depends on the media you use. Generally there are rarely problems ... Another little problem (but light) this pen resents ""the elongated writing."" It will then give y"&amp;"ou a seated position, at least tilt the pen, so that the ink flows properly again (be warned). Deeply they make us the combo: ""space pen"" + ""pen frixion"" ... then it will be perfect ;-)")</f>
        <v>Trying is believing ... I discovered these erasable pens with "frixion" for several years ... and since ... I can not do without me. Convenient, easy to use ... The only downside is the price, perhaps. If you write a lot, planning to buy many refills ... Sometimes you have to force "a little stronger" when friction (erasing) ... but it depends on the media you use. Generally there are rarely problems ... Another little problem (but light) this pen resents "the elongated writing." It will then give you a seated position, at least tilt the pen, so that the ink flows properly again (be warned). Deeply they make us the combo: "space pen" + "pen frixion" ... then it will be perfect ;-)</v>
      </c>
    </row>
    <row r="15347">
      <c r="A15347" s="1">
        <v>5.0</v>
      </c>
      <c r="B15347" s="1" t="s">
        <v>15093</v>
      </c>
      <c r="C15347" t="str">
        <f>IFERROR(__xludf.DUMMYFUNCTION("GOOGLETRANSLATE(B15347, ""fr"", ""en"")"),"Very comfortable I'm glad these socks after almost 4 months of use. It is cotton and it's comfortable. They are breathable. Good quality !")</f>
        <v>Very comfortable I'm glad these socks after almost 4 months of use. It is cotton and it's comfortable. They are breathable. Good quality !</v>
      </c>
    </row>
    <row r="15348">
      <c r="A15348" s="1">
        <v>5.0</v>
      </c>
      <c r="B15348" s="1" t="s">
        <v>15094</v>
      </c>
      <c r="C15348" t="str">
        <f>IFERROR(__xludf.DUMMYFUNCTION("GOOGLETRANSLATE(B15348, ""fr"", ""en"")"),"Very good quality fabric pleasant to wear all day.")</f>
        <v>Very good quality fabric pleasant to wear all day.</v>
      </c>
    </row>
    <row r="15349">
      <c r="A15349" s="1">
        <v>5.0</v>
      </c>
      <c r="B15349" s="1" t="s">
        <v>15095</v>
      </c>
      <c r="C15349" t="str">
        <f>IFERROR(__xludf.DUMMYFUNCTION("GOOGLETRANSLATE(B15349, ""fr"", ""en"")"),"The result! Quick results, brilliant and a firmness that comes quickly. One size but my wife came back in without too much trouble. The electrodes adhere well and the product work perfectly well.")</f>
        <v>The result! Quick results, brilliant and a firmness that comes quickly. One size but my wife came back in without too much trouble. The electrodes adhere well and the product work perfectly well.</v>
      </c>
    </row>
    <row r="15350">
      <c r="A15350" s="1">
        <v>5.0</v>
      </c>
      <c r="B15350" s="1" t="s">
        <v>15096</v>
      </c>
      <c r="C15350" t="str">
        <f>IFERROR(__xludf.DUMMYFUNCTION("GOOGLETRANSLATE(B15350, ""fr"", ""en"")"),"Too beautiful too beautiful!")</f>
        <v>Too beautiful too beautiful!</v>
      </c>
    </row>
    <row r="15351">
      <c r="A15351" s="1">
        <v>5.0</v>
      </c>
      <c r="B15351" s="1" t="s">
        <v>15097</v>
      </c>
      <c r="C15351" t="str">
        <f>IFERROR(__xludf.DUMMYFUNCTION("GOOGLETRANSLATE(B15351, ""fr"", ""en"")"),"Top Super")</f>
        <v>Top Super</v>
      </c>
    </row>
    <row r="15352">
      <c r="A15352" s="1">
        <v>5.0</v>
      </c>
      <c r="B15352" s="1" t="s">
        <v>15098</v>
      </c>
      <c r="C15352" t="str">
        <f>IFERROR(__xludf.DUMMYFUNCTION("GOOGLETRANSLATE(B15352, ""fr"", ""en"")"),"good quality for value and flexibility good finish")</f>
        <v>good quality for value and flexibility good finish</v>
      </c>
    </row>
    <row r="15353">
      <c r="A15353" s="1">
        <v>5.0</v>
      </c>
      <c r="B15353" s="1" t="s">
        <v>15099</v>
      </c>
      <c r="C15353" t="str">
        <f>IFERROR(__xludf.DUMMYFUNCTION("GOOGLETRANSLATE(B15353, ""fr"", ""en"")"),"warranty massage sensation because the balls are shaped pushes it's great I'm on disability because of my back and when the pain and too strong I did a little session of massage cushion which is great if I can not m 'thank you spend on Amazon")</f>
        <v>warranty massage sensation because the balls are shaped pushes it's great I'm on disability because of my back and when the pain and too strong I did a little session of massage cushion which is great if I can not m 'thank you spend on Amazon</v>
      </c>
    </row>
    <row r="15354">
      <c r="A15354" s="1">
        <v>5.0</v>
      </c>
      <c r="B15354" s="1" t="s">
        <v>15100</v>
      </c>
      <c r="C15354" t="str">
        <f>IFERROR(__xludf.DUMMYFUNCTION("GOOGLETRANSLATE(B15354, ""fr"", ""en"")"),"2 effective steps Two steps that allowed me to make a life jacket unused for 20 years. Less instructions are simple and effective products as shampoo as wax.")</f>
        <v>2 effective steps Two steps that allowed me to make a life jacket unused for 20 years. Less instructions are simple and effective products as shampoo as wax.</v>
      </c>
    </row>
    <row r="15355">
      <c r="A15355" s="1">
        <v>5.0</v>
      </c>
      <c r="B15355" s="1" t="s">
        <v>15101</v>
      </c>
      <c r="C15355" t="str">
        <f>IFERROR(__xludf.DUMMYFUNCTION("GOOGLETRANSLATE(B15355, ""fr"", ""en"")"),"This Super Micro beings must resolve not to hear the ambient sound are if needed but is very sensitive. Very good for the Voip but remains a microphone to record instruments and voice.")</f>
        <v>This Super Micro beings must resolve not to hear the ambient sound are if needed but is very sensitive. Very good for the Voip but remains a microphone to record instruments and voice.</v>
      </c>
    </row>
    <row r="15356">
      <c r="A15356" s="1">
        <v>5.0</v>
      </c>
      <c r="B15356" s="1" t="s">
        <v>15102</v>
      </c>
      <c r="C15356" t="str">
        <f>IFERROR(__xludf.DUMMYFUNCTION("GOOGLETRANSLATE(B15356, ""fr"", ""en"")"),"Super Excellent sweat! Consistent with the description! Very happy with my purchase it great size and is very good!")</f>
        <v>Super Excellent sweat! Consistent with the description! Very happy with my purchase it great size and is very good!</v>
      </c>
    </row>
    <row r="15357">
      <c r="A15357" s="1">
        <v>5.0</v>
      </c>
      <c r="B15357" s="1" t="s">
        <v>204</v>
      </c>
      <c r="C15357" t="str">
        <f>IFERROR(__xludf.DUMMYFUNCTION("GOOGLETRANSLATE(B15357, ""fr"", ""en"")"),"Top Top")</f>
        <v>Top Top</v>
      </c>
    </row>
    <row r="15358">
      <c r="A15358" s="1">
        <v>2.0</v>
      </c>
      <c r="B15358" s="1" t="s">
        <v>15103</v>
      </c>
      <c r="C15358" t="str">
        <f>IFERROR(__xludf.DUMMYFUNCTION("GOOGLETRANSLATE(B15358, ""fr"", ""en"")"),"disproportionate size Not very convinced by these earrings. They are much too big. This is really fake. I have relegated to the background my jewelry box and think never put them on. They would better suit a man.")</f>
        <v>disproportionate size Not very convinced by these earrings. They are much too big. This is really fake. I have relegated to the background my jewelry box and think never put them on. They would better suit a man.</v>
      </c>
    </row>
    <row r="15359">
      <c r="A15359" s="1">
        <v>1.0</v>
      </c>
      <c r="B15359" s="1" t="s">
        <v>15104</v>
      </c>
      <c r="C15359" t="str">
        <f>IFERROR(__xludf.DUMMYFUNCTION("GOOGLETRANSLATE(B15359, ""fr"", ""en"")"),"160 ml bottle mam I am very disappointed l.article arrived defective I miss the small white washers to the nipple how to get them")</f>
        <v>160 ml bottle mam I am very disappointed l.article arrived defective I miss the small white washers to the nipple how to get them</v>
      </c>
    </row>
    <row r="15360">
      <c r="A15360" s="1">
        <v>1.0</v>
      </c>
      <c r="B15360" s="1" t="s">
        <v>15105</v>
      </c>
      <c r="C15360" t="str">
        <f>IFERROR(__xludf.DUMMYFUNCTION("GOOGLETRANSLATE(B15360, ""fr"", ""en"")"),"Small price, small image For the price you can not expect anything other than a thumbnail, a small projection at short distance, it is my view in relation to my needs, should be just for a small room (dark )")</f>
        <v>Small price, small image For the price you can not expect anything other than a thumbnail, a small projection at short distance, it is my view in relation to my needs, should be just for a small room (dark )</v>
      </c>
    </row>
    <row r="15361">
      <c r="A15361" s="1">
        <v>3.0</v>
      </c>
      <c r="B15361" s="1" t="s">
        <v>15106</v>
      </c>
      <c r="C15361" t="str">
        <f>IFERROR(__xludf.DUMMYFUNCTION("GOOGLETRANSLATE(B15361, ""fr"", ""en"")"),"glad enough quality but decue color that pulls more towards the khaki otherwise good product and good quality")</f>
        <v>glad enough quality but decue color that pulls more towards the khaki otherwise good product and good quality</v>
      </c>
    </row>
    <row r="15362">
      <c r="A15362" s="1">
        <v>3.0</v>
      </c>
      <c r="B15362" s="1" t="s">
        <v>15107</v>
      </c>
      <c r="C15362" t="str">
        <f>IFERROR(__xludf.DUMMYFUNCTION("GOOGLETRANSLATE(B15362, ""fr"", ""en"")"),"Size large the product received is true to the picture is just a shame that the best large enough size that is to buy one size below the normal size")</f>
        <v>Size large the product received is true to the picture is just a shame that the best large enough size that is to buy one size below the normal size</v>
      </c>
    </row>
    <row r="15363">
      <c r="A15363" s="1">
        <v>4.0</v>
      </c>
      <c r="B15363" s="1" t="s">
        <v>15108</v>
      </c>
      <c r="C15363" t="str">
        <f>IFERROR(__xludf.DUMMYFUNCTION("GOOGLETRANSLATE(B15363, ""fr"", ""en"")"),"Pretty light sweet Held inside or casual")</f>
        <v>Pretty light sweet Held inside or casual</v>
      </c>
    </row>
    <row r="15364">
      <c r="A15364" s="1">
        <v>4.0</v>
      </c>
      <c r="B15364" s="1" t="s">
        <v>15109</v>
      </c>
      <c r="C15364" t="str">
        <f>IFERROR(__xludf.DUMMYFUNCTION("GOOGLETRANSLATE(B15364, ""fr"", ""en"")"),"Top Nothing to say. Really very good. Comfortable. The external sound is very well filtered. The sound from the headphones is also top. The highs and lows are well distributed. I highly recommend, especially with this price.")</f>
        <v>Top Nothing to say. Really very good. Comfortable. The external sound is very well filtered. The sound from the headphones is also top. The highs and lows are well distributed. I highly recommend, especially with this price.</v>
      </c>
    </row>
    <row r="15365">
      <c r="A15365" s="1">
        <v>4.0</v>
      </c>
      <c r="B15365" s="1" t="s">
        <v>15110</v>
      </c>
      <c r="C15365" t="str">
        <f>IFERROR(__xludf.DUMMYFUNCTION("GOOGLETRANSLATE(B15365, ""fr"", ""en"")"),"Okay, I could not use them in wet condition. they are very hot and not too heavy. size fits my size. I just love that back a little higher in the knee.")</f>
        <v>Okay, I could not use them in wet condition. they are very hot and not too heavy. size fits my size. I just love that back a little higher in the knee.</v>
      </c>
    </row>
    <row r="15366">
      <c r="A15366" s="1">
        <v>4.0</v>
      </c>
      <c r="B15366" s="1" t="s">
        <v>15111</v>
      </c>
      <c r="C15366" t="str">
        <f>IFERROR(__xludf.DUMMYFUNCTION("GOOGLETRANSLATE(B15366, ""fr"", ""en"")"),"Although Quality good price")</f>
        <v>Although Quality good price</v>
      </c>
    </row>
    <row r="15367">
      <c r="A15367" s="1">
        <v>4.0</v>
      </c>
      <c r="B15367" s="1" t="s">
        <v>15112</v>
      </c>
      <c r="C15367" t="str">
        <f>IFERROR(__xludf.DUMMYFUNCTION("GOOGLETRANSLATE(B15367, ""fr"", ""en"")"),"At the top Offered a friend who had seen mine and who found great ca. Following my purchase she came to buy two pairs for her two sisters delighted with the product.")</f>
        <v>At the top Offered a friend who had seen mine and who found great ca. Following my purchase she came to buy two pairs for her two sisters delighted with the product.</v>
      </c>
    </row>
    <row r="15368">
      <c r="A15368" s="1">
        <v>5.0</v>
      </c>
      <c r="B15368" s="1" t="s">
        <v>15113</v>
      </c>
      <c r="C15368" t="str">
        <f>IFERROR(__xludf.DUMMYFUNCTION("GOOGLETRANSLATE(B15368, ""fr"", ""en"")"),"I recommend I recommend shipments received the next day with a premium")</f>
        <v>I recommend I recommend shipments received the next day with a premium</v>
      </c>
    </row>
    <row r="15369">
      <c r="A15369" s="1">
        <v>5.0</v>
      </c>
      <c r="B15369" s="1" t="s">
        <v>15114</v>
      </c>
      <c r="C15369" t="str">
        <f>IFERROR(__xludf.DUMMYFUNCTION("GOOGLETRANSLATE(B15369, ""fr"", ""en"")"),"Sports Bra A buy absolutely .The product does not move to washing and this one is super confortable.Et color is superb")</f>
        <v>Sports Bra A buy absolutely .The product does not move to washing and this one is super confortable.Et color is superb</v>
      </c>
    </row>
    <row r="15370">
      <c r="A15370" s="1">
        <v>5.0</v>
      </c>
      <c r="B15370" s="1" t="s">
        <v>15115</v>
      </c>
      <c r="C15370" t="str">
        <f>IFERROR(__xludf.DUMMYFUNCTION("GOOGLETRANSLATE(B15370, ""fr"", ""en"")"),"This is not my first, and I am very satisfaite.Un very good value, I use it for sports, running and vtt.Les numbers are big enough, no need for glasses read, a big plus for presbyopic !!! And when you astray watches as I are delighted to its low price !!")</f>
        <v>This is not my first, and I am very satisfaite.Un very good value, I use it for sports, running and vtt.Les numbers are big enough, no need for glasses read, a big plus for presbyopic !!! And when you astray watches as I are delighted to its low price !!</v>
      </c>
    </row>
    <row r="15371">
      <c r="A15371" s="1">
        <v>5.0</v>
      </c>
      <c r="B15371" s="1" t="s">
        <v>15116</v>
      </c>
      <c r="C15371" t="str">
        <f>IFERROR(__xludf.DUMMYFUNCTION("GOOGLETRANSLATE(B15371, ""fr"", ""en"")"),"great product thank you great product thank you")</f>
        <v>great product thank you great product thank you</v>
      </c>
    </row>
    <row r="15372">
      <c r="A15372" s="1">
        <v>5.0</v>
      </c>
      <c r="B15372" s="1" t="s">
        <v>15117</v>
      </c>
      <c r="C15372" t="str">
        <f>IFERROR(__xludf.DUMMYFUNCTION("GOOGLETRANSLATE(B15372, ""fr"", ""en"")"),"Very comfortable to wear I flashed on that little wide a sweater that is very well to hide my belly and its pink color! The fabric is very light, very comfortable to wear this sweater really glad !!!")</f>
        <v>Very comfortable to wear I flashed on that little wide a sweater that is very well to hide my belly and its pink color! The fabric is very light, very comfortable to wear this sweater really glad !!!</v>
      </c>
    </row>
    <row r="15373">
      <c r="A15373" s="1">
        <v>5.0</v>
      </c>
      <c r="B15373" s="1" t="s">
        <v>15118</v>
      </c>
      <c r="C15373" t="str">
        <f>IFERROR(__xludf.DUMMYFUNCTION("GOOGLETRANSLATE(B15373, ""fr"", ""en"")"),"Excellent value ! &lt;Div id = ""video-block-R1JPYYS025VG9"" class = ""a-section-spacing-small in-spacing-top mini video-block""&gt; &lt;/ div&gt; &lt;input type = ""hidden"" name = """" value = ""https://images-eu.ssl-images-amazon.com/images/I/A1PBMiRElCS.mp4"" class "&amp;"= ""video-url""&gt; &lt;input type = ""hidden"" name = """" value = ""https: //images-eu.ssl-images-amazon.com/images/I/81SRDGEhACS.png ""class ="" video-slate-img-url ""&gt; &amp; nbsp; series Casio G-Shoc ... everything has already been said or almost. Ultra satisfi"&amp;"ed about me because after having taken one for one of my son, I fell for me (the first promo in the vicinity of 83 was already a good deal but the second at 68, it's downright good stroke). Purists will miss: pin the plastic but why not, because after 20 "&amp;"years, the bracelet will also unleashed as anyone resin ... when lighting, nickel needles but actually insufficient for display digital but better than some others I have on the shelves ... nothing beats the generations '' illuminator '' but alas lighting"&amp;" energy if used too and finally an angle not covered by upper glass hull 3/6 / 9/12, but it participates in charm. In short very satisfied with the product as a seller ...")</f>
        <v>Excellent value ! &lt;Div id = "video-block-R1JPYYS025VG9" class = "a-section-spacing-small in-spacing-top mini video-block"&gt; &lt;/ div&gt; &lt;input type = "hidden" name = "" value = "https://images-eu.ssl-images-amazon.com/images/I/A1PBMiRElCS.mp4" class = "video-url"&gt; &lt;input type = "hidden" name = "" value = "https: //images-eu.ssl-images-amazon.com/images/I/81SRDGEhACS.png "class =" video-slate-img-url "&gt; &amp; nbsp; series Casio G-Shoc ... everything has already been said or almost. Ultra satisfied about me because after having taken one for one of my son, I fell for me (the first promo in the vicinity of 83 was already a good deal but the second at 68, it's downright good stroke). Purists will miss: pin the plastic but why not, because after 20 years, the bracelet will also unleashed as anyone resin ... when lighting, nickel needles but actually insufficient for display digital but better than some others I have on the shelves ... nothing beats the generations '' illuminator '' but alas lighting energy if used too and finally an angle not covered by upper glass hull 3/6 / 9/12, but it participates in charm. In short very satisfied with the product as a seller ...</v>
      </c>
    </row>
    <row r="15374">
      <c r="A15374" s="1">
        <v>5.0</v>
      </c>
      <c r="B15374" s="1" t="s">
        <v>15119</v>
      </c>
      <c r="C15374" t="str">
        <f>IFERROR(__xludf.DUMMYFUNCTION("GOOGLETRANSLATE(B15374, ""fr"", ""en"")"),"Met my expectations You should know that Converse sneakers carve large enough. It should take a size below. Look for these timeless sneakers. Fast delivery, nickel package.")</f>
        <v>Met my expectations You should know that Converse sneakers carve large enough. It should take a size below. Look for these timeless sneakers. Fast delivery, nickel package.</v>
      </c>
    </row>
    <row r="15375">
      <c r="A15375" s="1">
        <v>5.0</v>
      </c>
      <c r="B15375" s="1" t="s">
        <v>15120</v>
      </c>
      <c r="C15375" t="str">
        <f>IFERROR(__xludf.DUMMYFUNCTION("GOOGLETRANSLATE(B15375, ""fr"", ""en"")"),"seriously good perfume long product")</f>
        <v>seriously good perfume long product</v>
      </c>
    </row>
    <row r="15376">
      <c r="A15376" s="1">
        <v>5.0</v>
      </c>
      <c r="B15376" s="1" t="s">
        <v>15121</v>
      </c>
      <c r="C15376" t="str">
        <f>IFERROR(__xludf.DUMMYFUNCTION("GOOGLETRANSLATE(B15376, ""fr"", ""en"")"),"Top Perfect .. Price interesting")</f>
        <v>Top Perfect .. Price interesting</v>
      </c>
    </row>
    <row r="15377">
      <c r="A15377" s="1">
        <v>5.0</v>
      </c>
      <c r="B15377" s="1" t="s">
        <v>15122</v>
      </c>
      <c r="C15377" t="str">
        <f>IFERROR(__xludf.DUMMYFUNCTION("GOOGLETRANSLATE(B15377, ""fr"", ""en"")"),"Beautiful gem The jewel is entirely consistent with the description below. Delivery neat and fast. I am very happy with my purchase, the Phoenix is ​​really beautiful.")</f>
        <v>Beautiful gem The jewel is entirely consistent with the description below. Delivery neat and fast. I am very happy with my purchase, the Phoenix is ​​really beautiful.</v>
      </c>
    </row>
    <row r="15378">
      <c r="A15378" s="1">
        <v>5.0</v>
      </c>
      <c r="B15378" s="1" t="s">
        <v>15123</v>
      </c>
      <c r="C15378" t="str">
        <f>IFERROR(__xludf.DUMMYFUNCTION("GOOGLETRANSLATE(B15378, ""fr"", ""en"")"),"Super Super zolie. Comfortable I do not regret. And like the photo.")</f>
        <v>Super Super zolie. Comfortable I do not regret. And like the photo.</v>
      </c>
    </row>
    <row r="15379">
      <c r="A15379" s="1">
        <v>5.0</v>
      </c>
      <c r="B15379" s="1" t="s">
        <v>15124</v>
      </c>
      <c r="C15379" t="str">
        <f>IFERROR(__xludf.DUMMYFUNCTION("GOOGLETRANSLATE(B15379, ""fr"", ""en"")"),"it fits very well! Nothing to say, that's what it takes, so here, happy with my purchase. I recommend this small price (less than 5 € Premium). So yes why not. After it is difficult to take off and the tape is wound, careful not to place it completely, so"&amp;" take carefully.")</f>
        <v>it fits very well! Nothing to say, that's what it takes, so here, happy with my purchase. I recommend this small price (less than 5 € Premium). So yes why not. After it is difficult to take off and the tape is wound, careful not to place it completely, so take carefully.</v>
      </c>
    </row>
    <row r="15380">
      <c r="A15380" s="1">
        <v>5.0</v>
      </c>
      <c r="B15380" s="1" t="s">
        <v>15125</v>
      </c>
      <c r="C15380" t="str">
        <f>IFERROR(__xludf.DUMMYFUNCTION("GOOGLETRANSLATE(B15380, ""fr"", ""en"")"),"Super headphones without son! These headphones are great. I always needed to listen to music, so I was using the traditional wired headphones for a while many people use headphones without son, except that given the price of the latter it does not worth i"&amp;"t to buy. I found these headphones and I am fully satisfied, they are great, the sound is very good, they stay in place and not moving, charging is easy, the battery keeps the carefree day, super easy to use. I recommend these headphones very much!")</f>
        <v>Super headphones without son! These headphones are great. I always needed to listen to music, so I was using the traditional wired headphones for a while many people use headphones without son, except that given the price of the latter it does not worth it to buy. I found these headphones and I am fully satisfied, they are great, the sound is very good, they stay in place and not moving, charging is easy, the battery keeps the carefree day, super easy to use. I recommend these headphones very much!</v>
      </c>
    </row>
    <row r="15381">
      <c r="A15381" s="1">
        <v>5.0</v>
      </c>
      <c r="B15381" s="1" t="s">
        <v>15126</v>
      </c>
      <c r="C15381" t="str">
        <f>IFERROR(__xludf.DUMMYFUNCTION("GOOGLETRANSLATE(B15381, ""fr"", ""en"")"),"Response quality Very good price / quality ratio respected Deadline")</f>
        <v>Response quality Very good price / quality ratio respected Deadline</v>
      </c>
    </row>
    <row r="15382">
      <c r="A15382" s="1">
        <v>5.0</v>
      </c>
      <c r="B15382" s="1" t="s">
        <v>15127</v>
      </c>
      <c r="C15382" t="str">
        <f>IFERROR(__xludf.DUMMYFUNCTION("GOOGLETRANSLATE(B15382, ""fr"", ""en"")"),"cold to very cold very good product")</f>
        <v>cold to very cold very good product</v>
      </c>
    </row>
    <row r="15383">
      <c r="A15383" s="1">
        <v>2.0</v>
      </c>
      <c r="B15383" s="1" t="s">
        <v>15128</v>
      </c>
      <c r="C15383" t="str">
        <f>IFERROR(__xludf.DUMMYFUNCTION("GOOGLETRANSLATE(B15383, ""fr"", ""en"")"),"incompatible with dragon unfortunately impossible to use with windows Dragon")</f>
        <v>incompatible with dragon unfortunately impossible to use with windows Dragon</v>
      </c>
    </row>
    <row r="15384">
      <c r="A15384" s="1">
        <v>1.0</v>
      </c>
      <c r="B15384" s="1" t="s">
        <v>15129</v>
      </c>
      <c r="C15384" t="str">
        <f>IFERROR(__xludf.DUMMYFUNCTION("GOOGLETRANSLATE(B15384, ""fr"", ""en"")"),"Felt fragile and short use! I'm happy with the purchase of the table menu to the use of these markers. But I am very disappointed by the short duration of use. The tips are fragile and they wear out quickly. I thought it was profitable to take the kit wit"&amp;"h many colors. Alas, it is not resistant felt and they can be used in the short term!")</f>
        <v>Felt fragile and short use! I'm happy with the purchase of the table menu to the use of these markers. But I am very disappointed by the short duration of use. The tips are fragile and they wear out quickly. I thought it was profitable to take the kit with many colors. Alas, it is not resistant felt and they can be used in the short term!</v>
      </c>
    </row>
    <row r="15385">
      <c r="A15385" s="1">
        <v>1.0</v>
      </c>
      <c r="B15385" s="1" t="s">
        <v>15130</v>
      </c>
      <c r="C15385" t="str">
        <f>IFERROR(__xludf.DUMMYFUNCTION("GOOGLETRANSLATE(B15385, ""fr"", ""en"")"),"Scam Alert! I ordered this cable 4mm² section 50 meters. Delivery in 48 hours: thank you Amazon. Except that it is registered with the sleeve 4mm² it is actually a 2.5 mm² cable. I measured and compared with other cables in my possession. They include in "&amp;"the cable diameter ... the sheath.")</f>
        <v>Scam Alert! I ordered this cable 4mm² section 50 meters. Delivery in 48 hours: thank you Amazon. Except that it is registered with the sleeve 4mm² it is actually a 2.5 mm² cable. I measured and compared with other cables in my possession. They include in the cable diameter ... the sheath.</v>
      </c>
    </row>
    <row r="15386">
      <c r="A15386" s="1">
        <v>3.0</v>
      </c>
      <c r="B15386" s="1" t="s">
        <v>15131</v>
      </c>
      <c r="C15386" t="str">
        <f>IFERROR(__xludf.DUMMYFUNCTION("GOOGLETRANSLATE(B15386, ""fr"", ""en"")"),"No MZL not detailed enough Though a bit simple. small")</f>
        <v>No MZL not detailed enough Though a bit simple. small</v>
      </c>
    </row>
    <row r="15387">
      <c r="A15387" s="1">
        <v>3.0</v>
      </c>
      <c r="B15387" s="1" t="s">
        <v>15132</v>
      </c>
      <c r="C15387" t="str">
        <f>IFERROR(__xludf.DUMMYFUNCTION("GOOGLETRANSLATE(B15387, ""fr"", ""en"")"),"writing hello I put the comment command received quickly by account that I do for my plasitifé leaves, mark it on the plastic sheet does not disappear why? I'm disappointed")</f>
        <v>writing hello I put the comment command received quickly by account that I do for my plasitifé leaves, mark it on the plastic sheet does not disappear why? I'm disappointed</v>
      </c>
    </row>
    <row r="15388">
      <c r="A15388" s="1">
        <v>4.0</v>
      </c>
      <c r="B15388" s="1" t="s">
        <v>15133</v>
      </c>
      <c r="C15388" t="str">
        <f>IFERROR(__xludf.DUMMYFUNCTION("GOOGLETRANSLATE(B15388, ""fr"", ""en"")"),"very good small laundry. economic, we put a small dose of glitter to the same machine and presto! That's it. no smell, no residue, she emerged well your soupline. the clothes are super soft. she washes great too well and this is one of two flats of the wa"&amp;"shing solution. she scours the machine, the colors quickly lose their chips. and above all it clogs enormously drum, also it is recommended on the package to alternate with another laundry, now I understand why! a small vote would be nice, thank you in ad"&amp;"vance.")</f>
        <v>very good small laundry. economic, we put a small dose of glitter to the same machine and presto! That's it. no smell, no residue, she emerged well your soupline. the clothes are super soft. she washes great too well and this is one of two flats of the washing solution. she scours the machine, the colors quickly lose their chips. and above all it clogs enormously drum, also it is recommended on the package to alternate with another laundry, now I understand why! a small vote would be nice, thank you in advance.</v>
      </c>
    </row>
    <row r="15389">
      <c r="A15389" s="1">
        <v>4.0</v>
      </c>
      <c r="B15389" s="1" t="s">
        <v>15134</v>
      </c>
      <c r="C15389" t="str">
        <f>IFERROR(__xludf.DUMMYFUNCTION("GOOGLETRANSLATE(B15389, ""fr"", ""en"")"),"very good very happy with the product to see if she would like in the time")</f>
        <v>very good very happy with the product to see if she would like in the time</v>
      </c>
    </row>
    <row r="15390">
      <c r="A15390" s="1">
        <v>4.0</v>
      </c>
      <c r="B15390" s="1" t="s">
        <v>15135</v>
      </c>
      <c r="C15390" t="str">
        <f>IFERROR(__xludf.DUMMYFUNCTION("GOOGLETRANSLATE(B15390, ""fr"", ""en"")"),"well this is my first teeth, and it's pretty comfortable. Only one problem, they make me sweat a lot, where a star less. Another problem is between two sizes, doing 37, I had to take the 37/38, I would have preferred a real 37, but hey, you can not have e"&amp;"verything. Another positive point is the small pimple on the insole have a ""scrub"" function that is nice")</f>
        <v>well this is my first teeth, and it's pretty comfortable. Only one problem, they make me sweat a lot, where a star less. Another problem is between two sizes, doing 37, I had to take the 37/38, I would have preferred a real 37, but hey, you can not have everything. Another positive point is the small pimple on the insole have a "scrub" function that is nice</v>
      </c>
    </row>
    <row r="15391">
      <c r="A15391" s="1">
        <v>4.0</v>
      </c>
      <c r="B15391" s="1" t="s">
        <v>15136</v>
      </c>
      <c r="C15391" t="str">
        <f>IFERROR(__xludf.DUMMYFUNCTION("GOOGLETRANSLATE(B15391, ""fr"", ""en"")"),"Practice shows that responds perfectly to what I expected with a bracelet that will last ... modular display for the days of the week .. in French, this is perfect")</f>
        <v>Practice shows that responds perfectly to what I expected with a bracelet that will last ... modular display for the days of the week .. in French, this is perfect</v>
      </c>
    </row>
    <row r="15392">
      <c r="A15392" s="1">
        <v>5.0</v>
      </c>
      <c r="B15392" s="1" t="s">
        <v>15137</v>
      </c>
      <c r="C15392" t="str">
        <f>IFERROR(__xludf.DUMMYFUNCTION("GOOGLETRANSLATE(B15392, ""fr"", ""en"")"),"facial massage Excellent. I do not know how to identify the jade stone, yet it does well masseur job. The two jade stones are also very good.")</f>
        <v>facial massage Excellent. I do not know how to identify the jade stone, yet it does well masseur job. The two jade stones are also very good.</v>
      </c>
    </row>
    <row r="15393">
      <c r="A15393" s="1">
        <v>5.0</v>
      </c>
      <c r="B15393" s="1" t="s">
        <v>15138</v>
      </c>
      <c r="C15393" t="str">
        <f>IFERROR(__xludf.DUMMYFUNCTION("GOOGLETRANSLATE(B15393, ""fr"", ""en"")"),"Very good Excellent Products")</f>
        <v>Very good Excellent Products</v>
      </c>
    </row>
    <row r="15394">
      <c r="A15394" s="1">
        <v>5.0</v>
      </c>
      <c r="B15394" s="1" t="s">
        <v>15139</v>
      </c>
      <c r="C15394" t="str">
        <f>IFERROR(__xludf.DUMMYFUNCTION("GOOGLETRANSLATE(B15394, ""fr"", ""en"")"),"ARTICLE really have to! Excellent bottle picker. I really recommend this purchase! the bottle is ready in two minutes (and yet) we put the bottle on the support of the bib picker, users press the power button. Water flows very hot, and then it stops. The "&amp;"manual says to retrieve the bottle, put the milk powder, and press again the power button to complete the dose. I r directly supports and puts the last powder. And it's just as perfect! and even faster elsewhere. Frankly my first child I tested other prod"&amp;"ucts, this one is really THE PREPARATOR to have! It's really nice at night when the baby wake was just a draw then hop pour milk powder (already prepared in a metered dose) and it's ready! when one is tired at night nothing more precious than minutes to w"&amp;"in to return quickly to bed lol !!!!")</f>
        <v>ARTICLE really have to! Excellent bottle picker. I really recommend this purchase! the bottle is ready in two minutes (and yet) we put the bottle on the support of the bib picker, users press the power button. Water flows very hot, and then it stops. The manual says to retrieve the bottle, put the milk powder, and press again the power button to complete the dose. I r directly supports and puts the last powder. And it's just as perfect! and even faster elsewhere. Frankly my first child I tested other products, this one is really THE PREPARATOR to have! It's really nice at night when the baby wake was just a draw then hop pour milk powder (already prepared in a metered dose) and it's ready! when one is tired at night nothing more precious than minutes to win to return quickly to bed lol !!!!</v>
      </c>
    </row>
    <row r="15395">
      <c r="A15395" s="1">
        <v>5.0</v>
      </c>
      <c r="B15395" s="1" t="s">
        <v>15140</v>
      </c>
      <c r="C15395" t="str">
        <f>IFERROR(__xludf.DUMMYFUNCTION("GOOGLETRANSLATE(B15395, ""fr"", ""en"")"),"Basketball Beautiful quality but too small for me")</f>
        <v>Basketball Beautiful quality but too small for me</v>
      </c>
    </row>
    <row r="15396">
      <c r="A15396" s="1">
        <v>5.0</v>
      </c>
      <c r="B15396" s="1" t="s">
        <v>15141</v>
      </c>
      <c r="C15396" t="str">
        <f>IFERROR(__xludf.DUMMYFUNCTION("GOOGLETRANSLATE(B15396, ""fr"", ""en"")"),"holds in place the sport legging suits me well, nice material, good cut, it goes well with the size and does not slip. The two side pockets are very convenient. it does not shine too which allows it to for the city too. PS I make 44 I took the XL and I'm "&amp;"1.74 high, perfect length")</f>
        <v>holds in place the sport legging suits me well, nice material, good cut, it goes well with the size and does not slip. The two side pockets are very convenient. it does not shine too which allows it to for the city too. PS I make 44 I took the XL and I'm 1.74 high, perfect length</v>
      </c>
    </row>
    <row r="15397">
      <c r="A15397" s="1">
        <v>5.0</v>
      </c>
      <c r="B15397" s="1" t="s">
        <v>15142</v>
      </c>
      <c r="C15397" t="str">
        <f>IFERROR(__xludf.DUMMYFUNCTION("GOOGLETRANSLATE(B15397, ""fr"", ""en"")"),"👏👏👏👏 😍")</f>
        <v>👏👏👏👏 😍</v>
      </c>
    </row>
    <row r="15398">
      <c r="A15398" s="1">
        <v>5.0</v>
      </c>
      <c r="B15398" s="1" t="s">
        <v>15143</v>
      </c>
      <c r="C15398" t="str">
        <f>IFERROR(__xludf.DUMMYFUNCTION("GOOGLETRANSLATE(B15398, ""fr"", ""en"")"),"Top careful to choose the language in the description")</f>
        <v>Top careful to choose the language in the description</v>
      </c>
    </row>
    <row r="15399">
      <c r="A15399" s="1">
        <v>5.0</v>
      </c>
      <c r="B15399" s="1" t="s">
        <v>15144</v>
      </c>
      <c r="C15399" t="str">
        <f>IFERROR(__xludf.DUMMYFUNCTION("GOOGLETRANSLATE(B15399, ""fr"", ""en"")"),"Produced at the top at the best price - Amazon Thanks • Quick and nickel package delivery • Less expensive than elsewhere for a top quality • Fully compliant with the description • I use my DELL G3 15pouces and exceeds barely 2cm therefore compatible 17po"&amp;"uces easily • Several possible inclinations • Range cable to the back, nice detail • Lightweight, compact, practical • Really no need to have a support with fans if you do not do the intense gaming would definitely recommend")</f>
        <v>Produced at the top at the best price - Amazon Thanks • Quick and nickel package delivery • Less expensive than elsewhere for a top quality • Fully compliant with the description • I use my DELL G3 15pouces and exceeds barely 2cm therefore compatible 17pouces easily • Several possible inclinations • Range cable to the back, nice detail • Lightweight, compact, practical • Really no need to have a support with fans if you do not do the intense gaming would definitely recommend</v>
      </c>
    </row>
    <row r="15400">
      <c r="A15400" s="1">
        <v>5.0</v>
      </c>
      <c r="B15400" s="1" t="s">
        <v>15145</v>
      </c>
      <c r="C15400" t="str">
        <f>IFERROR(__xludf.DUMMYFUNCTION("GOOGLETRANSLATE(B15400, ""fr"", ""en"")"),"TO TOP Quick delivery. excellent quality shoes. Light basketball style that allows us to bring the same to go in the race. They are comfortable and you would not think at all that these are safety shoes. The size 42 order size very well not need to take t"&amp;"he size up.")</f>
        <v>TO TOP Quick delivery. excellent quality shoes. Light basketball style that allows us to bring the same to go in the race. They are comfortable and you would not think at all that these are safety shoes. The size 42 order size very well not need to take the size up.</v>
      </c>
    </row>
    <row r="15401">
      <c r="A15401" s="1">
        <v>5.0</v>
      </c>
      <c r="B15401" s="1" t="s">
        <v>15146</v>
      </c>
      <c r="C15401" t="str">
        <f>IFERROR(__xludf.DUMMYFUNCTION("GOOGLETRANSLATE(B15401, ""fr"", ""en"")"),"aesthetic and efficient Kettle This kettle is very good, I am very satisfied")</f>
        <v>aesthetic and efficient Kettle This kettle is very good, I am very satisfied</v>
      </c>
    </row>
    <row r="15402">
      <c r="A15402" s="1">
        <v>5.0</v>
      </c>
      <c r="B15402" s="1" t="s">
        <v>15147</v>
      </c>
      <c r="C15402" t="str">
        <f>IFERROR(__xludf.DUMMYFUNCTION("GOOGLETRANSLATE(B15402, ""fr"", ""en"")"),"No comment Okay")</f>
        <v>No comment Okay</v>
      </c>
    </row>
    <row r="15403">
      <c r="A15403" s="1">
        <v>5.0</v>
      </c>
      <c r="B15403" s="1" t="s">
        <v>15148</v>
      </c>
      <c r="C15403" t="str">
        <f>IFERROR(__xludf.DUMMYFUNCTION("GOOGLETRANSLATE(B15403, ""fr"", ""en"")"),"A bomb purity It's been a little over 4 months since I bought this helmet (24 February 2016) I think therefore able to make a small criticism (I am not a professional sound and this is my first purchase ""upscale"" for audio). I write as if the helmet had"&amp;" cost me € 450 (original price) so just a quick note to the value before actually beginning the criticism: The helmet itself to the price at which I ' had (€ 170) is a real bomb and if I had one criticism with the price in mind it would be just perfect. W"&amp;"ell now turn to the real criticism I should point out that I bought the DAC Fiio E10k with Olympus. So I rarely connected the headset on my computer or my smartphone but I would speak after. Upon receipt of the helmet I was warned that it was a big fat br"&amp;"eak-in period for this truly realize its value, and it's true, I tested quickly (10 minutes, plugged into my computer) on some music and the sound was nothing special, the same limit that bought his helmet at the supermarket for 50 € (except specializatio"&amp;"n that input is impressive). So I told myself that the next day before leaving I was being a little meter playlist medium volume and do the same for 2 days (what I did) during this time I have not tested the headset . Following the two days (~ 30HS lappin"&amp;"g) the sound was just nothing to do, there was already low-which were not present preliminary but that's not all, mediums (ie the voice) was just beautiful without infringing any part of the audio spectrum, everything was harmonious and for me it was my f"&amp;"irst true stereo experience. The only complaint I would make him more was the fact that the bass lacked a bit of presence. Subsequently I received my Dac there and I did not even tested a second, but live set running 3 half days (~ 45hs) and I finally con"&amp;"nected the helmet on and put a piece of music 24 bit 92 khz that I had spun for the test. And I told myself that indeed the Dac is mandatory to enjoy this magnificent helmet, the sound was much better, much cleaner than on my computer and the small button"&amp;" to boost a little low is just perfect in combination with this helmet just lacking a little. Good is the story now turn to the qualities of the helmet - the helmet farts class! Not right this is a personal opinion but in midnight blue so I just beautiful"&amp;" and it is impressive! - Acute are clearly the highlight of the helmet, transcribed to perfection without any wheezing or no saturation. - Although acute are the strong point of this headset they do not crush the rest of the audio spectrum, and the voices"&amp;" are incredibly voluptuous, the bass is powerful and very deep. - The helmet is very comfortable to wear and not easily worn it for several hours listening. Now let's see the faults: - First of all the main and the only one really important: The fact that"&amp;" have to be forced to buy a dac / amp (or just amp) next to have real high and low penetrating! There are bass without dac / amp but they are a little behind and really lack of presence in a song like ""The Show Must Go On"" Famous Last Words it really fe"&amp;"els. (I recall that I do not take into account that I had these headphones for 170 € or there would be no default) - Small personal point but I have big ears and they hit just a little helmet background this is not really uncomfortable and had to say I di"&amp;"d not even pay attention at first but hey it's a small point that seems important to clarify. - Finally the last little flaw ridiculous: the cable is not super tough death that kills, I have inadvertently run over with my chair (yes, I take care of my bus"&amp;"iness) and the rubber is a bit nicked, nothing serious but that given the length will prevent the left-dragged by land.")</f>
        <v>A bomb purity It's been a little over 4 months since I bought this helmet (24 February 2016) I think therefore able to make a small criticism (I am not a professional sound and this is my first purchase "upscale" for audio). I write as if the helmet had cost me € 450 (original price) so just a quick note to the value before actually beginning the criticism: The helmet itself to the price at which I ' had (€ 170) is a real bomb and if I had one criticism with the price in mind it would be just perfect. Well now turn to the real criticism I should point out that I bought the DAC Fiio E10k with Olympus. So I rarely connected the headset on my computer or my smartphone but I would speak after. Upon receipt of the helmet I was warned that it was a big fat break-in period for this truly realize its value, and it's true, I tested quickly (10 minutes, plugged into my computer) on some music and the sound was nothing special, the same limit that bought his helmet at the supermarket for 50 € (except specialization that input is impressive). So I told myself that the next day before leaving I was being a little meter playlist medium volume and do the same for 2 days (what I did) during this time I have not tested the headset . Following the two days (~ 30HS lapping) the sound was just nothing to do, there was already low-which were not present preliminary but that's not all, mediums (ie the voice) was just beautiful without infringing any part of the audio spectrum, everything was harmonious and for me it was my first true stereo experience. The only complaint I would make him more was the fact that the bass lacked a bit of presence. Subsequently I received my Dac there and I did not even tested a second, but live set running 3 half days (~ 45hs) and I finally connected the helmet on and put a piece of music 24 bit 92 khz that I had spun for the test. And I told myself that indeed the Dac is mandatory to enjoy this magnificent helmet, the sound was much better, much cleaner than on my computer and the small button to boost a little low is just perfect in combination with this helmet just lacking a little. Good is the story now turn to the qualities of the helmet - the helmet farts class! Not right this is a personal opinion but in midnight blue so I just beautiful and it is impressive! - Acute are clearly the highlight of the helmet, transcribed to perfection without any wheezing or no saturation. - Although acute are the strong point of this headset they do not crush the rest of the audio spectrum, and the voices are incredibly voluptuous, the bass is powerful and very deep. - The helmet is very comfortable to wear and not easily worn it for several hours listening. Now let's see the faults: - First of all the main and the only one really important: The fact that have to be forced to buy a dac / amp (or just amp) next to have real high and low penetrating! There are bass without dac / amp but they are a little behind and really lack of presence in a song like "The Show Must Go On" Famous Last Words it really feels. (I recall that I do not take into account that I had these headphones for 170 € or there would be no default) - Small personal point but I have big ears and they hit just a little helmet background this is not really uncomfortable and had to say I did not even pay attention at first but hey it's a small point that seems important to clarify. - Finally the last little flaw ridiculous: the cable is not super tough death that kills, I have inadvertently run over with my chair (yes, I take care of my business) and the rubber is a bit nicked, nothing serious but that given the length will prevent the left-dragged by land.</v>
      </c>
    </row>
    <row r="15404">
      <c r="A15404" s="1">
        <v>5.0</v>
      </c>
      <c r="B15404" s="1" t="s">
        <v>15149</v>
      </c>
      <c r="C15404" t="str">
        <f>IFERROR(__xludf.DUMMYFUNCTION("GOOGLETRANSLATE(B15404, ""fr"", ""en"")"),"Does not work with iPhone Super X product that works with iphone thunder 6. By cons, without doubt this is due to the adapter that must now be put between SC4 and the Lightning port on the iPhone, the sound is almost inaudible when used with an iPhone X.")</f>
        <v>Does not work with iPhone Super X product that works with iphone thunder 6. By cons, without doubt this is due to the adapter that must now be put between SC4 and the Lightning port on the iPhone, the sound is almost inaudible when used with an iPhone X.</v>
      </c>
    </row>
    <row r="15405">
      <c r="A15405" s="1">
        <v>5.0</v>
      </c>
      <c r="B15405" s="1" t="s">
        <v>15150</v>
      </c>
      <c r="C15405" t="str">
        <f>IFERROR(__xludf.DUMMYFUNCTION("GOOGLETRANSLATE(B15405, ""fr"", ""en"")"),"Do not hesitate ! I always tend to take expensive thinking that the quality is better! I bought this table can be that less expensive value for money but frankly I find it excellent")</f>
        <v>Do not hesitate ! I always tend to take expensive thinking that the quality is better! I bought this table can be that less expensive value for money but frankly I find it excellent</v>
      </c>
    </row>
    <row r="15406">
      <c r="A15406" s="1">
        <v>5.0</v>
      </c>
      <c r="B15406" s="1" t="s">
        <v>15151</v>
      </c>
      <c r="C15406" t="str">
        <f>IFERROR(__xludf.DUMMYFUNCTION("GOOGLETRANSLATE(B15406, ""fr"", ""en"")"),"Impeccable Perfect! Very satisfied. Earring well supported by my ears hard. Any small as I expected Meets description I recommend")</f>
        <v>Impeccable Perfect! Very satisfied. Earring well supported by my ears hard. Any small as I expected Meets description I recommend</v>
      </c>
    </row>
    <row r="15407">
      <c r="A15407" s="1">
        <v>2.0</v>
      </c>
      <c r="B15407" s="1" t="s">
        <v>15152</v>
      </c>
      <c r="C15407" t="str">
        <f>IFERROR(__xludf.DUMMYFUNCTION("GOOGLETRANSLATE(B15407, ""fr"", ""en"")"),"Lamp very small very small I bought a lamp that looked identical but which was much larger and at the same price. A little disappointed .. knowing aue c was to offer")</f>
        <v>Lamp very small very small I bought a lamp that looked identical but which was much larger and at the same price. A little disappointed .. knowing aue c was to offer</v>
      </c>
    </row>
    <row r="15408">
      <c r="A15408" s="1">
        <v>1.0</v>
      </c>
      <c r="B15408" s="1" t="s">
        <v>15153</v>
      </c>
      <c r="C15408" t="str">
        <f>IFERROR(__xludf.DUMMYFUNCTION("GOOGLETRANSLATE(B15408, ""fr"", ""en"")"),"Products Do not shine as expected with this product")</f>
        <v>Products Do not shine as expected with this product</v>
      </c>
    </row>
    <row r="15409">
      <c r="A15409" s="1">
        <v>1.0</v>
      </c>
      <c r="B15409" s="1" t="s">
        <v>15154</v>
      </c>
      <c r="C15409" t="str">
        <f>IFERROR(__xludf.DUMMYFUNCTION("GOOGLETRANSLATE(B15409, ""fr"", ""en"")"),"Not stable at all not terrible")</f>
        <v>Not stable at all not terrible</v>
      </c>
    </row>
    <row r="15410">
      <c r="A15410" s="1">
        <v>3.0</v>
      </c>
      <c r="B15410" s="1" t="s">
        <v>15155</v>
      </c>
      <c r="C15410" t="str">
        <f>IFERROR(__xludf.DUMMYFUNCTION("GOOGLETRANSLATE(B15410, ""fr"", ""en"")"),"After 3 months of use So after 3 months of using the chair splits on the dimension ... Quality poor enough to pay attention. Edits: Amazon offer my return so I could recommend the same chair later.")</f>
        <v>After 3 months of use So after 3 months of using the chair splits on the dimension ... Quality poor enough to pay attention. Edits: Amazon offer my return so I could recommend the same chair later.</v>
      </c>
    </row>
    <row r="15411">
      <c r="A15411" s="1">
        <v>4.0</v>
      </c>
      <c r="B15411" s="1" t="s">
        <v>15156</v>
      </c>
      <c r="C15411" t="str">
        <f>IFERROR(__xludf.DUMMYFUNCTION("GOOGLETRANSLATE(B15411, ""fr"", ""en"")"),"Small and best bag The bag is very nice. I liked the color I chose. The material is very soft leather. This posed no problem even after use in the rain. No items were damaged. So I can easily use. less weight and enough space to store my articles.")</f>
        <v>Small and best bag The bag is very nice. I liked the color I chose. The material is very soft leather. This posed no problem even after use in the rain. No items were damaged. So I can easily use. less weight and enough space to store my articles.</v>
      </c>
    </row>
    <row r="15412">
      <c r="A15412" s="1">
        <v>4.0</v>
      </c>
      <c r="B15412" s="1" t="s">
        <v>15157</v>
      </c>
      <c r="C15412" t="str">
        <f>IFERROR(__xludf.DUMMYFUNCTION("GOOGLETRANSLATE(B15412, ""fr"", ""en"")"),"Good product but disappointing Very nice product, entirely conventional. However, I notice the use that the case is very fragile and the slightest shock abyss same light. I therefore conclude that the housing is plastic, which is very disappointing. Espec"&amp;"ially since the bracelet is steel.")</f>
        <v>Good product but disappointing Very nice product, entirely conventional. However, I notice the use that the case is very fragile and the slightest shock abyss same light. I therefore conclude that the housing is plastic, which is very disappointing. Especially since the bracelet is steel.</v>
      </c>
    </row>
    <row r="15413">
      <c r="A15413" s="1">
        <v>4.0</v>
      </c>
      <c r="B15413" s="1" t="s">
        <v>15158</v>
      </c>
      <c r="C15413" t="str">
        <f>IFERROR(__xludf.DUMMYFUNCTION("GOOGLETRANSLATE(B15413, ""fr"", ""en"")"),"Good quality but expensive too expensive")</f>
        <v>Good quality but expensive too expensive</v>
      </c>
    </row>
    <row r="15414">
      <c r="A15414" s="1">
        <v>4.0</v>
      </c>
      <c r="B15414" s="1" t="s">
        <v>15159</v>
      </c>
      <c r="C15414" t="str">
        <f>IFERROR(__xludf.DUMMYFUNCTION("GOOGLETRANSLATE(B15414, ""fr"", ""en"")"),"Shoulder bag Exactly what I was looking, not too big, not too small, not bulky, very functional for what I put into it.")</f>
        <v>Shoulder bag Exactly what I was looking, not too big, not too small, not bulky, very functional for what I put into it.</v>
      </c>
    </row>
    <row r="15415">
      <c r="A15415" s="1">
        <v>5.0</v>
      </c>
      <c r="B15415" s="1" t="s">
        <v>15160</v>
      </c>
      <c r="C15415" t="str">
        <f>IFERROR(__xludf.DUMMYFUNCTION("GOOGLETRANSLATE(B15415, ""fr"", ""en"")"),"awesome I wanted a lamp that can be fixed directly on my bed to save space. I have received the very quickly and I am very happy. There are 2 different colors of light and intensity is adjustable. Easy to use, sufficient length of cable, and have very str"&amp;"ong. Done perfectly what I wanted.")</f>
        <v>awesome I wanted a lamp that can be fixed directly on my bed to save space. I have received the very quickly and I am very happy. There are 2 different colors of light and intensity is adjustable. Easy to use, sufficient length of cable, and have very strong. Done perfectly what I wanted.</v>
      </c>
    </row>
    <row r="15416">
      <c r="A15416" s="1">
        <v>5.0</v>
      </c>
      <c r="B15416" s="1" t="s">
        <v>15161</v>
      </c>
      <c r="C15416" t="str">
        <f>IFERROR(__xludf.DUMMYFUNCTION("GOOGLETRANSLATE(B15416, ""fr"", ""en"")"),"impeccable The sterilizer is practical, functional, quick! It's all what you expect. Bravo, I have nothing else to add, late comments !!!")</f>
        <v>impeccable The sterilizer is practical, functional, quick! It's all what you expect. Bravo, I have nothing else to add, late comments !!!</v>
      </c>
    </row>
    <row r="15417">
      <c r="A15417" s="1">
        <v>5.0</v>
      </c>
      <c r="B15417" s="1" t="s">
        <v>15162</v>
      </c>
      <c r="C15417" t="str">
        <f>IFERROR(__xludf.DUMMYFUNCTION("GOOGLETRANSLATE(B15417, ""fr"", ""en"")"),"Samsung compliant quality product quality sound top A little sore ear cartilage of the size but not insurmountable")</f>
        <v>Samsung compliant quality product quality sound top A little sore ear cartilage of the size but not insurmountable</v>
      </c>
    </row>
    <row r="15418">
      <c r="A15418" s="1">
        <v>5.0</v>
      </c>
      <c r="B15418" s="1" t="s">
        <v>15163</v>
      </c>
      <c r="C15418" t="str">
        <f>IFERROR(__xludf.DUMMYFUNCTION("GOOGLETRANSLATE(B15418, ""fr"", ""en"")"),"Sublime funky and comfortable, I will leave more")</f>
        <v>Sublime funky and comfortable, I will leave more</v>
      </c>
    </row>
    <row r="15419">
      <c r="A15419" s="1">
        <v>5.0</v>
      </c>
      <c r="B15419" s="1" t="s">
        <v>15164</v>
      </c>
      <c r="C15419" t="str">
        <f>IFERROR(__xludf.DUMMYFUNCTION("GOOGLETRANSLATE(B15419, ""fr"", ""en"")"),"I recommend value used for walking, good adhesion, should be compensated at the front too.")</f>
        <v>I recommend value used for walking, good adhesion, should be compensated at the front too.</v>
      </c>
    </row>
    <row r="15420">
      <c r="A15420" s="1">
        <v>5.0</v>
      </c>
      <c r="B15420" s="1" t="s">
        <v>15165</v>
      </c>
      <c r="C15420" t="str">
        <f>IFERROR(__xludf.DUMMYFUNCTION("GOOGLETRANSLATE(B15420, ""fr"", ""en"")"),"Excellent price Qualie Interesting by its length, its price, the removable cushion ... and incredibly effective. Relaxation is miraculous, helps a lot to cruralgia type of pain, I repeatedly fell asleep on it! To advise all those who want to end the day /"&amp;" start the evening ... de-ten-due!")</f>
        <v>Excellent price Qualie Interesting by its length, its price, the removable cushion ... and incredibly effective. Relaxation is miraculous, helps a lot to cruralgia type of pain, I repeatedly fell asleep on it! To advise all those who want to end the day / start the evening ... de-ten-due!</v>
      </c>
    </row>
    <row r="15421">
      <c r="A15421" s="1">
        <v>5.0</v>
      </c>
      <c r="B15421" s="1" t="s">
        <v>15166</v>
      </c>
      <c r="C15421" t="str">
        <f>IFERROR(__xludf.DUMMYFUNCTION("GOOGLETRANSLATE(B15421, ""fr"", ""en"")"),"great bag for school taken primary solid lightweight and practical use he will make his return to good investment college because I no longer changes binder each back and more fashionable to be replaced when it is worn and apparently not tomorrow the day?"&amp;" its capacity is sufficient for academic purpose. very good quality")</f>
        <v>great bag for school taken primary solid lightweight and practical use he will make his return to good investment college because I no longer changes binder each back and more fashionable to be replaced when it is worn and apparently not tomorrow the day? its capacity is sufficient for academic purpose. very good quality</v>
      </c>
    </row>
    <row r="15422">
      <c r="A15422" s="1">
        <v>5.0</v>
      </c>
      <c r="B15422" s="1" t="s">
        <v>15167</v>
      </c>
      <c r="C15422" t="str">
        <f>IFERROR(__xludf.DUMMYFUNCTION("GOOGLETRANSLATE(B15422, ""fr"", ""en"")"),"Good highlighters The product conforms to its description. Highlighters have a very good life which is rare. Price is cheaper than in store.")</f>
        <v>Good highlighters The product conforms to its description. Highlighters have a very good life which is rare. Price is cheaper than in store.</v>
      </c>
    </row>
    <row r="15423">
      <c r="A15423" s="1">
        <v>5.0</v>
      </c>
      <c r="B15423" s="1" t="s">
        <v>15168</v>
      </c>
      <c r="C15423" t="str">
        <f>IFERROR(__xludf.DUMMYFUNCTION("GOOGLETRANSLATE(B15423, ""fr"", ""en"")"),"Absolutely perfect quality, good delivery and fast")</f>
        <v>Absolutely perfect quality, good delivery and fast</v>
      </c>
    </row>
    <row r="15424">
      <c r="A15424" s="1">
        <v>5.0</v>
      </c>
      <c r="B15424" s="1" t="s">
        <v>15169</v>
      </c>
      <c r="C15424" t="str">
        <f>IFERROR(__xludf.DUMMYFUNCTION("GOOGLETRANSLATE(B15424, ""fr"", ""en"")"),"toilet paper ca kills flaw that I put a comment for toilet paper! it's going great small buttocks are not irritated unlike the first prize toilet paper. privacy for sensitive this is for you ^ _ ^")</f>
        <v>toilet paper ca kills flaw that I put a comment for toilet paper! it's going great small buttocks are not irritated unlike the first prize toilet paper. privacy for sensitive this is for you ^ _ ^</v>
      </c>
    </row>
    <row r="15425">
      <c r="A15425" s="1">
        <v>5.0</v>
      </c>
      <c r="B15425" s="1" t="s">
        <v>15170</v>
      </c>
      <c r="C15425" t="str">
        <f>IFERROR(__xludf.DUMMYFUNCTION("GOOGLETRANSLATE(B15425, ""fr"", ""en"")"),"very well always practical classic sweater. Just received it difficult to assess the quality but the look I like.")</f>
        <v>very well always practical classic sweater. Just received it difficult to assess the quality but the look I like.</v>
      </c>
    </row>
    <row r="15426">
      <c r="A15426" s="1">
        <v>5.0</v>
      </c>
      <c r="B15426" s="1" t="s">
        <v>15171</v>
      </c>
      <c r="C15426" t="str">
        <f>IFERROR(__xludf.DUMMYFUNCTION("GOOGLETRANSLATE(B15426, ""fr"", ""en"")"),"Bravo for the display of the day in French I like the display of the day in French (several languages ​​available). The first shipment I received, the watch does not work (is not a good image for CASIO) but the second arrived in good condition. This is a "&amp;"medium sized shows remaining stylish for a digital display. I am not disappointed.")</f>
        <v>Bravo for the display of the day in French I like the display of the day in French (several languages ​​available). The first shipment I received, the watch does not work (is not a good image for CASIO) but the second arrived in good condition. This is a medium sized shows remaining stylish for a digital display. I am not disappointed.</v>
      </c>
    </row>
    <row r="15427">
      <c r="A15427" s="1">
        <v>5.0</v>
      </c>
      <c r="B15427" s="1" t="s">
        <v>15172</v>
      </c>
      <c r="C15427" t="str">
        <f>IFERROR(__xludf.DUMMYFUNCTION("GOOGLETRANSLATE(B15427, ""fr"", ""en"")"),"Price / Excellent Perfect, very competitive product")</f>
        <v>Price / Excellent Perfect, very competitive product</v>
      </c>
    </row>
    <row r="15428">
      <c r="A15428" s="1">
        <v>5.0</v>
      </c>
      <c r="B15428" s="1" t="s">
        <v>15173</v>
      </c>
      <c r="C15428" t="str">
        <f>IFERROR(__xludf.DUMMYFUNCTION("GOOGLETRANSLATE(B15428, ""fr"", ""en"")"),"Well Perfect for use all comers.")</f>
        <v>Well Perfect for use all comers.</v>
      </c>
    </row>
    <row r="15429">
      <c r="A15429" s="1">
        <v>5.0</v>
      </c>
      <c r="B15429" s="1" t="s">
        <v>15174</v>
      </c>
      <c r="C15429" t="str">
        <f>IFERROR(__xludf.DUMMYFUNCTION("GOOGLETRANSLATE(B15429, ""fr"", ""en"")"),"Very comfortable fit extra sports group. very comfortable")</f>
        <v>Very comfortable fit extra sports group. very comfortable</v>
      </c>
    </row>
    <row r="15430">
      <c r="A15430" s="1">
        <v>2.0</v>
      </c>
      <c r="B15430" s="1" t="s">
        <v>15175</v>
      </c>
      <c r="C15430" t="str">
        <f>IFERROR(__xludf.DUMMYFUNCTION("GOOGLETRANSLATE(B15430, ""fr"", ""en"")"),"Mastoque I wear these shoes every day for work! They are well adapted but a little ""mastoques"" and very hard at the beginning !!! Size a little big ....")</f>
        <v>Mastoque I wear these shoes every day for work! They are well adapted but a little "mastoques" and very hard at the beginning !!! Size a little big ....</v>
      </c>
    </row>
    <row r="15431">
      <c r="A15431" s="1">
        <v>1.0</v>
      </c>
      <c r="B15431" s="1" t="s">
        <v>15176</v>
      </c>
      <c r="C15431" t="str">
        <f>IFERROR(__xludf.DUMMYFUNCTION("GOOGLETRANSLATE(B15431, ""fr"", ""en"")"),"the article does not correspond to the sale section is not, camphor is only 11% instead of 25% as announced, next time I would order elsewhere. Disappointed mensongeaire sale.")</f>
        <v>the article does not correspond to the sale section is not, camphor is only 11% instead of 25% as announced, next time I would order elsewhere. Disappointed mensongeaire sale.</v>
      </c>
    </row>
    <row r="15432">
      <c r="A15432" s="1">
        <v>3.0</v>
      </c>
      <c r="B15432" s="1" t="s">
        <v>15177</v>
      </c>
      <c r="C15432" t="str">
        <f>IFERROR(__xludf.DUMMYFUNCTION("GOOGLETRANSLATE(B15432, ""fr"", ""en"")"),"A little bit a bit small but works well")</f>
        <v>A little bit a bit small but works well</v>
      </c>
    </row>
    <row r="15433">
      <c r="A15433" s="1">
        <v>3.0</v>
      </c>
      <c r="B15433" s="1" t="s">
        <v>15178</v>
      </c>
      <c r="C15433" t="str">
        <f>IFERROR(__xludf.DUMMYFUNCTION("GOOGLETRANSLATE(B15433, ""fr"", ""en"")"),"Bad Bags are fine but the closure is not solid. Two bags already broken after 2 manipulations.")</f>
        <v>Bad Bags are fine but the closure is not solid. Two bags already broken after 2 manipulations.</v>
      </c>
    </row>
    <row r="15434">
      <c r="A15434" s="1">
        <v>4.0</v>
      </c>
      <c r="B15434" s="1" t="s">
        <v>15179</v>
      </c>
      <c r="C15434" t="str">
        <f>IFERROR(__xludf.DUMMYFUNCTION("GOOGLETRANSLATE(B15434, ""fr"", ""en"")"),"Nice little practical bag. Convenient bag, neither too big nor too small for everyday use, can store safely his cards + t + key papers (ring) in a closed pocket with a zip under flap. large internal pocket for 2 to 3 packs of handkerchiefs glasses + + oth"&amp;"er accessories. Two zippered pockets outside has one on the front flap which allows to have at hand a large smartphone.")</f>
        <v>Nice little practical bag. Convenient bag, neither too big nor too small for everyday use, can store safely his cards + t + key papers (ring) in a closed pocket with a zip under flap. large internal pocket for 2 to 3 packs of handkerchiefs glasses + + other accessories. Two zippered pockets outside has one on the front flap which allows to have at hand a large smartphone.</v>
      </c>
    </row>
    <row r="15435">
      <c r="A15435" s="1">
        <v>4.0</v>
      </c>
      <c r="B15435" s="1" t="s">
        <v>15180</v>
      </c>
      <c r="C15435" t="str">
        <f>IFERROR(__xludf.DUMMYFUNCTION("GOOGLETRANSLATE(B15435, ""fr"", ""en"")"),"this product is of good quality, shipped very quickly under good conditions this product is of good quality, attention to this large size model for a 43. I place my order size 43 converted to 6-12 who do not check the size controlled .. A good sheepskin i"&amp;"nsole should solve the problem.")</f>
        <v>this product is of good quality, shipped very quickly under good conditions this product is of good quality, attention to this large size model for a 43. I place my order size 43 converted to 6-12 who do not check the size controlled .. A good sheepskin insole should solve the problem.</v>
      </c>
    </row>
    <row r="15436">
      <c r="A15436" s="1">
        <v>4.0</v>
      </c>
      <c r="B15436" s="1" t="s">
        <v>15181</v>
      </c>
      <c r="C15436" t="str">
        <f>IFERROR(__xludf.DUMMYFUNCTION("GOOGLETRANSLATE(B15436, ""fr"", ""en"")"),"Good quality ! Expensive for a calendar but the quality is there !!!!!!!!!! The presentation as I like! Ultra practical and times are good! One star less because it's still very expensive!")</f>
        <v>Good quality ! Expensive for a calendar but the quality is there !!!!!!!!!! The presentation as I like! Ultra practical and times are good! One star less because it's still very expensive!</v>
      </c>
    </row>
    <row r="15437">
      <c r="A15437" s="1">
        <v>4.0</v>
      </c>
      <c r="B15437" s="1" t="s">
        <v>15182</v>
      </c>
      <c r="C15437" t="str">
        <f>IFERROR(__xludf.DUMMYFUNCTION("GOOGLETRANSLATE(B15437, ""fr"", ""en"")"),"Made largely the job for the price I covered my move to a busy house 82m2 certainly bubbles s burst easily and often requires double the movie but appreciable value price and delivery lightning smoothly, I recommend widely")</f>
        <v>Made largely the job for the price I covered my move to a busy house 82m2 certainly bubbles s burst easily and often requires double the movie but appreciable value price and delivery lightning smoothly, I recommend widely</v>
      </c>
    </row>
    <row r="15438">
      <c r="A15438" s="1">
        <v>5.0</v>
      </c>
      <c r="B15438" s="1" t="s">
        <v>15183</v>
      </c>
      <c r="C15438" t="str">
        <f>IFERROR(__xludf.DUMMYFUNCTION("GOOGLETRANSLATE(B15438, ""fr"", ""en"")"),"I recommend Bought for a child 6 years. For now I myself rule clocks. It took some time before understanding for radio however it is done alone. Good product.")</f>
        <v>I recommend Bought for a child 6 years. For now I myself rule clocks. It took some time before understanding for radio however it is done alone. Good product.</v>
      </c>
    </row>
    <row r="15439">
      <c r="A15439" s="1">
        <v>5.0</v>
      </c>
      <c r="B15439" s="1" t="s">
        <v>15184</v>
      </c>
      <c r="C15439" t="str">
        <f>IFERROR(__xludf.DUMMYFUNCTION("GOOGLETRANSLATE(B15439, ""fr"", ""en"")"),"Satisfied Very good! Brush that fits all bottles. Its small brush is very convenient to effectively wash the bottom of the nipple.")</f>
        <v>Satisfied Very good! Brush that fits all bottles. Its small brush is very convenient to effectively wash the bottom of the nipple.</v>
      </c>
    </row>
    <row r="15440">
      <c r="A15440" s="1">
        <v>5.0</v>
      </c>
      <c r="B15440" s="1" t="s">
        <v>15185</v>
      </c>
      <c r="C15440" t="str">
        <f>IFERROR(__xludf.DUMMYFUNCTION("GOOGLETRANSLATE(B15440, ""fr"", ""en"")"),"Finally a quality product Bought for majority positive comments, I confirm the high quality of the product, because tired of ""Made in cheap."" While some still find fault, because the perfect product exists only on measurement. The size is perfect, and i"&amp;"f it had been more to satisfy some, others would have then found it too big blow. My glasses case fit perfectly and therefore caught volume to the bag rather flat, low vacuum. A little extra Kevlar reinforced housing for key would be even more top, but yo"&amp;"u can always use the small zippered top pocket if necessary, but I prefer to leave them in my pocket pants / jeans to avoid damaging the inside the bag, which the rest remains very strong. Almost perfect.")</f>
        <v>Finally a quality product Bought for majority positive comments, I confirm the high quality of the product, because tired of "Made in cheap." While some still find fault, because the perfect product exists only on measurement. The size is perfect, and if it had been more to satisfy some, others would have then found it too big blow. My glasses case fit perfectly and therefore caught volume to the bag rather flat, low vacuum. A little extra Kevlar reinforced housing for key would be even more top, but you can always use the small zippered top pocket if necessary, but I prefer to leave them in my pocket pants / jeans to avoid damaging the inside the bag, which the rest remains very strong. Almost perfect.</v>
      </c>
    </row>
    <row r="15441">
      <c r="A15441" s="1">
        <v>5.0</v>
      </c>
      <c r="B15441" s="1" t="s">
        <v>15186</v>
      </c>
      <c r="C15441" t="str">
        <f>IFERROR(__xludf.DUMMYFUNCTION("GOOGLETRANSLATE(B15441, ""fr"", ""en"")"),"Consistent with the description Good value.")</f>
        <v>Consistent with the description Good value.</v>
      </c>
    </row>
    <row r="15442">
      <c r="A15442" s="1">
        <v>5.0</v>
      </c>
      <c r="B15442" s="1" t="s">
        <v>15187</v>
      </c>
      <c r="C15442" t="str">
        <f>IFERROR(__xludf.DUMMYFUNCTION("GOOGLETRANSLATE(B15442, ""fr"", ""en"")"),"Okay Good quality, good sound, easy to use, taking load. The price is also very cheap. My children are very happy. Use it to sing. Recommended to buy.")</f>
        <v>Okay Good quality, good sound, easy to use, taking load. The price is also very cheap. My children are very happy. Use it to sing. Recommended to buy.</v>
      </c>
    </row>
    <row r="15443">
      <c r="A15443" s="1">
        <v>5.0</v>
      </c>
      <c r="B15443" s="1" t="s">
        <v>15188</v>
      </c>
      <c r="C15443" t="str">
        <f>IFERROR(__xludf.DUMMYFUNCTION("GOOGLETRANSLATE(B15443, ""fr"", ""en"")"),"Perfect Perfect works very well")</f>
        <v>Perfect Perfect works very well</v>
      </c>
    </row>
    <row r="15444">
      <c r="A15444" s="1">
        <v>5.0</v>
      </c>
      <c r="B15444" s="1" t="s">
        <v>15189</v>
      </c>
      <c r="C15444" t="str">
        <f>IFERROR(__xludf.DUMMYFUNCTION("GOOGLETRANSLATE(B15444, ""fr"", ""en"")"),"Nikel Matches exactly my expectations. Thanks to rhyme it stops only (and / or when there is more water in the tank).")</f>
        <v>Nikel Matches exactly my expectations. Thanks to rhyme it stops only (and / or when there is more water in the tank).</v>
      </c>
    </row>
    <row r="15445">
      <c r="A15445" s="1">
        <v>5.0</v>
      </c>
      <c r="B15445" s="1" t="s">
        <v>15190</v>
      </c>
      <c r="C15445" t="str">
        <f>IFERROR(__xludf.DUMMYFUNCTION("GOOGLETRANSLATE(B15445, ""fr"", ""en"")"),"Good product good service and good dialogue It is a good quality product. Sending fast enough. Warning apparently sizes of shoes largest converse. Instead of the 49 I had to take the 48. recommend")</f>
        <v>Good product good service and good dialogue It is a good quality product. Sending fast enough. Warning apparently sizes of shoes largest converse. Instead of the 49 I had to take the 48. recommend</v>
      </c>
    </row>
    <row r="15446">
      <c r="A15446" s="1">
        <v>5.0</v>
      </c>
      <c r="B15446" s="1" t="s">
        <v>15191</v>
      </c>
      <c r="C15446" t="str">
        <f>IFERROR(__xludf.DUMMYFUNCTION("GOOGLETRANSLATE(B15446, ""fr"", ""en"")"),"Can operate with a portable speaker I hesitated before buying this mic because opinions differed on connecting with a speaker. In fact, the mic comes with several adapters. So, I connect my Philips pregnant with the USB adapter and the microphone adapter."&amp;" That way I did not need to buy the battery pre amplifier and more. The sound is good enough to use in a room to be well understood by all. The packaging can be used as carry case later which is handy. The instructions are in French but fairly brief, just"&amp;" enough to grip. I recommended it to a colleague because it feels good job considering the price.")</f>
        <v>Can operate with a portable speaker I hesitated before buying this mic because opinions differed on connecting with a speaker. In fact, the mic comes with several adapters. So, I connect my Philips pregnant with the USB adapter and the microphone adapter. That way I did not need to buy the battery pre amplifier and more. The sound is good enough to use in a room to be well understood by all. The packaging can be used as carry case later which is handy. The instructions are in French but fairly brief, just enough to grip. I recommended it to a colleague because it feels good job considering the price.</v>
      </c>
    </row>
    <row r="15447">
      <c r="A15447" s="1">
        <v>5.0</v>
      </c>
      <c r="B15447" s="1" t="s">
        <v>15192</v>
      </c>
      <c r="C15447" t="str">
        <f>IFERROR(__xludf.DUMMYFUNCTION("GOOGLETRANSLATE(B15447, ""fr"", ""en"")"),"good quality, consistent with the picture Bought for my wife to make him a surprise gift. Very happy with these earrings that are consistent with the description and for a really affordable price. I recommend and I re-ordering more brand products on the o"&amp;"ccasion")</f>
        <v>good quality, consistent with the picture Bought for my wife to make him a surprise gift. Very happy with these earrings that are consistent with the description and for a really affordable price. I recommend and I re-ordering more brand products on the occasion</v>
      </c>
    </row>
    <row r="15448">
      <c r="A15448" s="1">
        <v>5.0</v>
      </c>
      <c r="B15448" s="1" t="s">
        <v>15193</v>
      </c>
      <c r="C15448" t="str">
        <f>IFERROR(__xludf.DUMMYFUNCTION("GOOGLETRANSLATE(B15448, ""fr"", ""en"")"),"Beautiful, quiet and convenient Beautiful Kettle, Quiet, boils water quickly. The different temperatures are ideal for hot beverages such as tea without burning the leaves. Superb.")</f>
        <v>Beautiful, quiet and convenient Beautiful Kettle, Quiet, boils water quickly. The different temperatures are ideal for hot beverages such as tea without burning the leaves. Superb.</v>
      </c>
    </row>
    <row r="15449">
      <c r="A15449" s="1">
        <v>5.0</v>
      </c>
      <c r="B15449" s="1" t="s">
        <v>15194</v>
      </c>
      <c r="C15449" t="str">
        <f>IFERROR(__xludf.DUMMYFUNCTION("GOOGLETRANSLATE(B15449, ""fr"", ""en"")"),"Acoustic insulation quality Used in a open space to isolate noise with or without music, the headphones are perfectly working. The sound quality is by appointment with a good return of power and a bass response interesting. As a bonus, delivered with a sm"&amp;"all storage pouch. Satisfied with these Sony headphones!")</f>
        <v>Acoustic insulation quality Used in a open space to isolate noise with or without music, the headphones are perfectly working. The sound quality is by appointment with a good return of power and a bass response interesting. As a bonus, delivered with a small storage pouch. Satisfied with these Sony headphones!</v>
      </c>
    </row>
    <row r="15450">
      <c r="A15450" s="1">
        <v>5.0</v>
      </c>
      <c r="B15450" s="1" t="s">
        <v>15195</v>
      </c>
      <c r="C15450" t="str">
        <f>IFERROR(__xludf.DUMMYFUNCTION("GOOGLETRANSLATE(B15450, ""fr"", ""en"")"),"Sympa Sympa these glues, especially with the monster heads and the metal box that accompanies. Product in accordance with its description.")</f>
        <v>Sympa Sympa these glues, especially with the monster heads and the metal box that accompanies. Product in accordance with its description.</v>
      </c>
    </row>
    <row r="15451">
      <c r="A15451" s="1">
        <v>5.0</v>
      </c>
      <c r="B15451" s="1" t="s">
        <v>15196</v>
      </c>
      <c r="C15451" t="str">
        <f>IFERROR(__xludf.DUMMYFUNCTION("GOOGLETRANSLATE(B15451, ""fr"", ""en"")"),"Ideal for gift This necklace is gorgeous, it weighs its weight, it looks like a real diamond !! Very nice for wedding, party or even as a gift to your wife.")</f>
        <v>Ideal for gift This necklace is gorgeous, it weighs its weight, it looks like a real diamond !! Very nice for wedding, party or even as a gift to your wife.</v>
      </c>
    </row>
    <row r="15452">
      <c r="A15452" s="1">
        <v>5.0</v>
      </c>
      <c r="B15452" s="1" t="s">
        <v>15197</v>
      </c>
      <c r="C15452" t="str">
        <f>IFERROR(__xludf.DUMMYFUNCTION("GOOGLETRANSLATE(B15452, ""fr"", ""en"")"),"Perfect ! Just flawless delivery and product !!")</f>
        <v>Perfect ! Just flawless delivery and product !!</v>
      </c>
    </row>
    <row r="15453">
      <c r="A15453" s="1">
        <v>2.0</v>
      </c>
      <c r="B15453" s="1" t="s">
        <v>15198</v>
      </c>
      <c r="C15453" t="str">
        <f>IFERROR(__xludf.DUMMYFUNCTION("GOOGLETRANSLATE(B15453, ""fr"", ""en"")"),"disagreeable odor and confection sloppy. linseed wet therefore unpleasant odor that lasts when the kettle is hot; seams that drop right out of the letting out the seeds, cheap clothing. Avoid for young children.")</f>
        <v>disagreeable odor and confection sloppy. linseed wet therefore unpleasant odor that lasts when the kettle is hot; seams that drop right out of the letting out the seeds, cheap clothing. Avoid for young children.</v>
      </c>
    </row>
    <row r="15454">
      <c r="A15454" s="1">
        <v>1.0</v>
      </c>
      <c r="B15454" s="1" t="s">
        <v>15199</v>
      </c>
      <c r="C15454" t="str">
        <f>IFERROR(__xludf.DUMMYFUNCTION("GOOGLETRANSLATE(B15454, ""fr"", ""en"")"),"That tight low-end front. Not very comfortable and the quality is poor. It shows k is really low-end ..")</f>
        <v>That tight low-end front. Not very comfortable and the quality is poor. It shows k is really low-end ..</v>
      </c>
    </row>
    <row r="15455">
      <c r="A15455" s="1">
        <v>1.0</v>
      </c>
      <c r="B15455" s="1" t="s">
        <v>15200</v>
      </c>
      <c r="C15455" t="str">
        <f>IFERROR(__xludf.DUMMYFUNCTION("GOOGLETRANSLATE(B15455, ""fr"", ""en"")"),"Not great at all! Very disappointed ! He is not padded at all !!! Yet it is written in the description!")</f>
        <v>Not great at all! Very disappointed ! He is not padded at all !!! Yet it is written in the description!</v>
      </c>
    </row>
    <row r="15456">
      <c r="A15456" s="1">
        <v>3.0</v>
      </c>
      <c r="B15456" s="1" t="s">
        <v>15201</v>
      </c>
      <c r="C15456" t="str">
        <f>IFERROR(__xludf.DUMMYFUNCTION("GOOGLETRANSLATE(B15456, ""fr"", ""en"")"),"Find the Shoe Fits whole problem is there. Shoes too narrow.")</f>
        <v>Find the Shoe Fits whole problem is there. Shoes too narrow.</v>
      </c>
    </row>
    <row r="15457">
      <c r="A15457" s="1">
        <v>3.0</v>
      </c>
      <c r="B15457" s="1" t="s">
        <v>15202</v>
      </c>
      <c r="C15457" t="str">
        <f>IFERROR(__xludf.DUMMYFUNCTION("GOOGLETRANSLATE(B15457, ""fr"", ""en"")"),"My daughter loves the Middle sweat, I find it very average. But for the price ...")</f>
        <v>My daughter loves the Middle sweat, I find it very average. But for the price ...</v>
      </c>
    </row>
    <row r="15458">
      <c r="A15458" s="1">
        <v>4.0</v>
      </c>
      <c r="B15458" s="1" t="s">
        <v>15203</v>
      </c>
      <c r="C15458" t="str">
        <f>IFERROR(__xludf.DUMMYFUNCTION("GOOGLETRANSLATE(B15458, ""fr"", ""en"")"),"No noise Packaging is very good and the speed of delivery is fast. The masseur is very quiet when running, without any noise. It is also possible to set different times and levels of intensity massage. This can meet the different needs of my family. I thi"&amp;"nk this product is very powerful and intelligent.")</f>
        <v>No noise Packaging is very good and the speed of delivery is fast. The masseur is very quiet when running, without any noise. It is also possible to set different times and levels of intensity massage. This can meet the different needs of my family. I think this product is very powerful and intelligent.</v>
      </c>
    </row>
    <row r="15459">
      <c r="A15459" s="1">
        <v>4.0</v>
      </c>
      <c r="B15459" s="1" t="s">
        <v>15204</v>
      </c>
      <c r="C15459" t="str">
        <f>IFERROR(__xludf.DUMMYFUNCTION("GOOGLETRANSLATE(B15459, ""fr"", ""en"")"),"Foot satisfied that perfectly fits the description, solid air microphone I had before that fits perfectly above.")</f>
        <v>Foot satisfied that perfectly fits the description, solid air microphone I had before that fits perfectly above.</v>
      </c>
    </row>
    <row r="15460">
      <c r="A15460" s="1">
        <v>4.0</v>
      </c>
      <c r="B15460" s="1" t="s">
        <v>15205</v>
      </c>
      <c r="C15460" t="str">
        <f>IFERROR(__xludf.DUMMYFUNCTION("GOOGLETRANSLATE(B15460, ""fr"", ""en"")"),"Fast and efficient This is really great for hanging pictures without holes or screws. By cons on large tables and large it really should not hesitate to put in many, if not station the fall ;-)")</f>
        <v>Fast and efficient This is really great for hanging pictures without holes or screws. By cons on large tables and large it really should not hesitate to put in many, if not station the fall ;-)</v>
      </c>
    </row>
    <row r="15461">
      <c r="A15461" s="1">
        <v>4.0</v>
      </c>
      <c r="B15461" s="1" t="s">
        <v>15206</v>
      </c>
      <c r="C15461" t="str">
        <f>IFERROR(__xludf.DUMMYFUNCTION("GOOGLETRANSLATE(B15461, ""fr"", ""en"")"),"Good quality This is a Christmas present for my son at first given the size is good and the quality is very beautiful to see after several wash")</f>
        <v>Good quality This is a Christmas present for my son at first given the size is good and the quality is very beautiful to see after several wash</v>
      </c>
    </row>
    <row r="15462">
      <c r="A15462" s="1">
        <v>5.0</v>
      </c>
      <c r="B15462" s="1" t="s">
        <v>15207</v>
      </c>
      <c r="C15462" t="str">
        <f>IFERROR(__xludf.DUMMYFUNCTION("GOOGLETRANSLATE(B15462, ""fr"", ""en"")"),"I recommend not disappointed with my purchase, essential oil diffuser is very beautiful and looks sturdy enough, easy to operate, quick to recommend ...")</f>
        <v>I recommend not disappointed with my purchase, essential oil diffuser is very beautiful and looks sturdy enough, easy to operate, quick to recommend ...</v>
      </c>
    </row>
    <row r="15463">
      <c r="A15463" s="1">
        <v>5.0</v>
      </c>
      <c r="B15463" s="1" t="s">
        <v>15208</v>
      </c>
      <c r="C15463" t="str">
        <f>IFERROR(__xludf.DUMMYFUNCTION("GOOGLETRANSLATE(B15463, ""fr"", ""en"")"),"Lovely bracelet nice bracelet gave my little girl")</f>
        <v>Lovely bracelet nice bracelet gave my little girl</v>
      </c>
    </row>
    <row r="15464">
      <c r="A15464" s="1">
        <v>5.0</v>
      </c>
      <c r="B15464" s="1" t="s">
        <v>15209</v>
      </c>
      <c r="C15464" t="str">
        <f>IFERROR(__xludf.DUMMYFUNCTION("GOOGLETRANSLATE(B15464, ""fr"", ""en"")"),"Awesome ! Self bottle warmer is extraordinary! The assembly consists of a Neoprene beautiful marine blue with green star with a convenient carrying handle and a bag case transparent. And it is that is the revolution! It is therefore necessary to torture t"&amp;"he bag that it delivers its heat and it works really well. By cons, to reactivate again must be sterilized by the so against going home. I suggest to buy a heating pad and more for a trip that requires two bottles ... I'm certainly impressed with this inn"&amp;"ovation in a sector where things are changing No not really!")</f>
        <v>Awesome ! Self bottle warmer is extraordinary! The assembly consists of a Neoprene beautiful marine blue with green star with a convenient carrying handle and a bag case transparent. And it is that is the revolution! It is therefore necessary to torture the bag that it delivers its heat and it works really well. By cons, to reactivate again must be sterilized by the so against going home. I suggest to buy a heating pad and more for a trip that requires two bottles ... I'm certainly impressed with this innovation in a sector where things are changing No not really!</v>
      </c>
    </row>
    <row r="15465">
      <c r="A15465" s="1">
        <v>5.0</v>
      </c>
      <c r="B15465" s="1" t="s">
        <v>15210</v>
      </c>
      <c r="C15465" t="str">
        <f>IFERROR(__xludf.DUMMYFUNCTION("GOOGLETRANSLATE(B15465, ""fr"", ""en"")"),"Ideal for furnace owners We have a furnace in the living room, making it pleasantly hot air but also extremely dry. Since the diffuser helps a lot to minimize dryness. Especially now that the winter it is nice to play with scents associated with the cold "&amp;"season (vanilla, orange ...). The quiet motor allows him to walk next to the television without the bother. I take distilled water between or from the water filter, because we have lots of lime. This works great and cools the air fragrance. If you use wat"&amp;"er from the dryer, it feels pleasantly fresh linen.")</f>
        <v>Ideal for furnace owners We have a furnace in the living room, making it pleasantly hot air but also extremely dry. Since the diffuser helps a lot to minimize dryness. Especially now that the winter it is nice to play with scents associated with the cold season (vanilla, orange ...). The quiet motor allows him to walk next to the television without the bother. I take distilled water between or from the water filter, because we have lots of lime. This works great and cools the air fragrance. If you use water from the dryer, it feels pleasantly fresh linen.</v>
      </c>
    </row>
    <row r="15466">
      <c r="A15466" s="1">
        <v>5.0</v>
      </c>
      <c r="B15466" s="1" t="s">
        <v>15211</v>
      </c>
      <c r="C15466" t="str">
        <f>IFERROR(__xludf.DUMMYFUNCTION("GOOGLETRANSLATE(B15466, ""fr"", ""en"")"),"Beautiful shoes Unfortunately, I returned them because they were too large. I would recommend them.")</f>
        <v>Beautiful shoes Unfortunately, I returned them because they were too large. I would recommend them.</v>
      </c>
    </row>
    <row r="15467">
      <c r="A15467" s="1">
        <v>5.0</v>
      </c>
      <c r="B15467" s="1" t="s">
        <v>15212</v>
      </c>
      <c r="C15467" t="str">
        <f>IFERROR(__xludf.DUMMYFUNCTION("GOOGLETRANSLATE(B15467, ""fr"", ""en"")"),"Very good quality / price &lt;div id = ""video-block-RC93MNF9OEHWK"" class = ""a-section-spacing-small in-spacing-top mini video-block""&gt; &lt;div tabindex = ""0"" class = "" airy airy-svg vmin-supported airy-skin-beacon ""style ="" background-color: rgb (0, 0, "&amp;"0); position: relative; width: 100%; height: 100%; font-size: 0px; overflow : hidden; outline: none; ""&gt; &lt;div class ="" airy-renderer-container ""style ="" position: relative; height: 100%; width: 100%; ""&gt; &lt;video id ="" 15 ""preload ="" auto ""src ="" ht"&amp;"tps://images-eu.ssl-images-amazon.com/images/I/B1sRLR2YieS.mp4 ""style ="" position: absolute; left: 0px; top: 0px; overflow: hidden; height: 1px ; width: 1px; ""&gt; &lt;/ video&gt; &lt;/ div&gt; &lt;div id ="" airy-slate-preload ""style ="" background-color: rgb (0, 0, 0"&amp;"); background-image: url (&amp; quot; https://images-eu.ssl-images-amazon.com/images/I/914VGfuUGuS.png&amp;quot;); background-size: contain; background-position: center center; background-repeat: no-repeat; position: absolute ; top: 0px; left: 0px; visibility: vi"&amp;"sible; width: 100%; height: 100% ""&gt; &lt;/ div&gt; &lt;if train scrolling = ""no"" frameborder = ""0"" src = ""about: blank"" style = ""display: none;""&gt; &lt;/ iframe&gt; &lt;div tabindex = ""- 1"" class = ""airy-controls-container"" style = ""opacity: 0; visibility: hidde"&amp;"n; ""&gt; &lt;div tabindex ="" - 1 ""class ="" airy-screen-size-toggle airy-fullscreen ""&gt; &lt;/ div&gt; &lt;div tabindex ="" - 1 ""class ="" airy-container-bottom "" &gt; &lt;div tabindex = ""- 1"" class = ""airy-track-bar spacer-left"" style = ""width: 11px;""&gt; &lt;/ div&gt; &lt;div"&amp;" tabindex = ""- 1"" class = ""airy-play- toggle airy-play ""style ="" width: 12px; margin-right: 12px; ""&gt; &lt;/ div&gt; &lt;div tabindex ="" - 1 ""class ="" airy-audio-elements ""style ="" float: right; width: 34px; ""&gt; &lt;div tabindex ="" - 1 ""class ="" airy-audi"&amp;"o-toggle airy-on ""&gt; &lt;/ div&gt; &lt;div tabindex ="" - 1 ""class ="" airy-audio-container ""style = ""opacity: 0; visibility: hidden; ""&gt; &lt;div tabindex ="" - 1 ""class ="" airy-audio-track-bar ""style ="" height: 80%; ""&gt; &lt;div tabindex ="" - 1 ""class ="" airy-"&amp;"audio- scrubber bar ""style ="" height: 85% ""&gt; &lt;/ div&gt; &lt;div tabindex ="" - 1 ""class ="" airy-audio-scrubber ""style ="" height: 12px; bottom: 85% ""&gt; &lt;/ div&gt; &lt;/ div&gt; &lt;/ div&gt; &lt;/ div&gt; &lt;div tabindex ="" - 1 ""class ="" airy-duration-label ""style ="" float"&amp;": right; width: 26px; margin-right: 4px; text-align: center; ""&gt; 0:00 &lt;/ div&gt; &lt;div tabindex ="" - 1 ""class ="" airy-track-bar spacer-right ""style ="" float: right; width: 11px; ""&gt; &lt;/ div&gt; &lt;div tabindex ="" - 1 ""class ="" airy-track-bar-container ""sty"&amp;"le ="" margin-left: 35px; margin-right: 75px; ""&gt; &lt;div tabindex ="" - 1 ""class ="" airy-airy-track-bar vertical-centering-table ""&gt; &lt;div tabindex ="" - 1 ""class ="" airy-vertical-centering- table-cell ""&gt; &lt;div tabindex ="" - 1 ""class ="" airy-track-bar"&amp;" elements ""&gt; &lt;div tabindex ="" - 1 ""class ="" airy-progress bar ""&gt; &lt;/ div&gt; &lt;div tabindex = ""- 1"" class = ""airy-scrubber bar""&gt; &lt;/ div&gt; &lt;div tabindex = ""- 1"" class = ""airy-scrubber""&gt; &lt;div tabindex = ""- 1"" class = ""airy-scrubber- icon ""&gt; &lt;/ di"&amp;"v&gt; &lt;div tabindex ="" - 1 ""class ="" airy-adjusted-aui-tooltip ""style ="" opacity: 0; visibility: hidden; ""&gt; &lt;div tabindex ="" - 1 ""class ="" airy-adjusted-aui-tooltip-inner ""&gt; &lt;div tabindex ="" - 1 ""class ="" airy-current-time-label ""&gt; 0 00 &lt;/ div&gt;"&amp;" &lt;/ div&gt; &lt;div tabindex = ""- 1"" class = ""airy-adjusted-aui-arrow-border""&gt; &lt;div tabindex = ""- 1"" class = ""airy-adjusted-aui-arrow"" &gt; &lt;/ div&gt; &lt;/ div&gt; &lt;/ div&gt; &lt;/ div&gt; &lt;/ div&gt; &lt;/ div&gt; &lt;/ div&gt; &lt;/ div&gt; &lt;/ div&gt; &lt;/ div&gt; &lt;div tabindex = ""- 1"" class = ""ai"&amp;"ry-airy-age-gate course airy-vertical-centering table-airy-dialog"" style = ""opacity: 0; visibility: hidden; ""&gt; &lt;div tabindex ="" - 1 ""class ="" airy-age-gate-vertical-centering-table-cell airy-vertical-centering-table-cell ""&gt; &lt;div tabindex ="" - 1 """&amp;"class = ""airy-vertical-centering-wrapper airy-age-gate-elements-wrapper""&gt; &lt;div tabindex = ""- 1"" class = ""airy-age-gate-elements airy-dialog-elements""&gt; &lt;div tabindex = "" -1 ""class ="" airy-age-gate-prompt ""&gt; This video is not Intended for all audi"&amp;"ences What time were you born &lt;/ div&gt; &lt;div tabindex =.?"" - 1 ""class ="" airy-age-gate -inputs airy-dialog-inner-elements ""&gt; &lt;select tabindex ="" - 1 ""class ="" airy-age-gate-month ""&gt; &lt;option value ="" 1 ""&gt; January &lt;/ option&gt; &lt;option value ="" 2 ""&gt; "&amp;"February &lt;/ option&gt; &lt;option value ="" 3 ""&gt; March &lt;/ option&gt; &lt;option value ="" 4 ""&gt; April &lt;/ option&gt; &lt;option value ="" 5 ""&gt; May &lt;/ option&gt; &lt;option value = ""6""&gt; June &lt;/ option&gt; &lt;option value = ""7""&gt; July &lt;/ option&gt; &lt;option value = ""8""&gt; August &lt;/ opt"&amp;"ion&gt; &lt;option value = ""9""&gt; September &lt;/ option&gt; &lt;option value = ""10""&gt; October &lt;/ option&gt; &lt;option value = ""11""&gt; November &lt;/ option&gt; &lt;option value = ""12""&gt; December &lt;/ option&gt; &lt;/ select&gt; &lt;select tabindex = ""- 1"" class = ""airy-age-gate-day""&gt; &lt;opti "&amp;"= One value ""1""&gt; 1 &lt;/ option&gt; &lt;option value = ""2""&gt; 2 &lt;/ option&gt; &lt;option value = ""3""&gt; 3 &lt;/ option&gt; &lt;option value = ""4""&gt; 4 &lt;/ option &gt; &lt;option value = ""5""&gt; 5 &lt;/ option&gt; &lt;option value = ""6""&gt; 6 &lt;/ option&gt; &lt;option value = ""7""&gt; 7 &lt;/ option&gt; &lt;optio"&amp;"n value = ""8""&gt; 8 &lt; / option&gt; &lt;option value = ""9""&gt; 9 &lt;/ option&gt; &lt;option value = ""10""&gt; 10 &lt;/ option&gt; &lt;option value = ""11""&gt; 11 &lt;/ option&gt; &lt;option value = ""12""&gt; 12 &lt;/ option&gt; &lt;option value = ""13""&gt; 13 &lt;/ option&gt; &lt;option value = ""14""&gt; 14 &lt;/ option"&amp;"&gt; &lt;option value = ""15""&gt; 15 &lt;/ option&gt; &lt;option value = ""16 ""&gt; 16 &lt;/ option&gt; &lt;option value ="" 17 ""&gt; 17 &lt;/ option&gt; &lt;option value ="" 18 ""&gt; 18 &lt;/ option&gt; &lt;option value ="" 19 ""&gt; 19 &lt;/ option&gt; &lt;option value = ""20""&gt; 20 &lt;/ option&gt; &lt;option value = ""21"&amp;"""&gt; 21 &lt;/ option&gt; &lt;option value = ""22""&gt; 22 &lt;/ option&gt; &lt;option value = ""23""&gt; 23 &lt;/ option&gt; &lt;option value = ""24""&gt; 24 &lt;/ option&gt; &lt;option value = ""25""&gt; 25 &lt;/ option&gt; &lt;option value = ""26""&gt; 26 &lt;/ option&gt; &lt;option value = ""27""&gt; 27 &lt;/ option&gt; &lt;option v"&amp;"alue = ""28""&gt; 28 &lt;/ option&gt; &lt;option value = ""29""&gt; 29 &lt;/ option&gt; &lt;option value = ""30""&gt; 30 &lt;/ option&gt; &lt;option value = ""31""&gt; 31 &lt;/ option&gt; &lt;/ select&gt; &lt;select tabindex = ""- 1"" class = ""airy-age-gate-year""&gt; &lt;option value = ""2019""&gt; 2019 &lt;/ option&gt; "&amp;"&lt; option value = ""2018""&gt; 2018 &lt;/ option&gt; &lt;option value = ""2017""&gt; 2017 &lt;/ option&gt; &lt;option value = ""2016""&gt; ​​2016 &lt;/ option&gt; &lt;option value = ""2015""&gt; 2015 &lt;/ option &gt; &lt;option value = ""2014""&gt; 2014 &lt;/ option&gt; &lt;option value = ""2013""&gt; 2013 &lt;/ option&gt;"&amp;" &lt;option value = ""2012""&gt; 2012 &lt;/ option&gt; &lt;option value = ""2011""&gt; 2011 &lt; / option&gt; &lt;option value = ""2010""&gt; 2010 &lt;/ option&gt; &lt;option value = ""2009""&gt; 2009 &lt;/ option&gt; &lt;option value = ""2008""&gt; 2008 &lt;/ option&gt; &lt;option value = ""2007""&gt; 2007 &lt;/ option&gt; &lt;"&amp;"option value = ""2006""&gt; 2006 &lt;/ option&gt; &lt;option value = ""2005""&gt; 2005 &lt;/ option&gt; &lt;option value = ""2004""&gt; 2004 &lt;/ option&gt; &lt;option value = ""2003 ""&gt; 2003 &lt;/ option&gt; &lt;option value ="" 2002 ""&gt; 2002 &lt;/ option&gt; &lt;option value ="" 2001 ""&gt; 2001 &lt;/ option&gt; &lt;"&amp;"option value ="" 2000 ""&gt; 2000 &lt;/ option&gt; &lt;option value = ""1999""&gt; 1999 &lt;/ option&gt; &lt;option value = ""1998""&gt; 1998 &lt;/ option&gt; &lt;option value = ""1997""&gt; 1997 &lt;/ option&gt; &lt;option value = ""1996""&gt; 1996 &lt;/ option&gt; &lt;option value = ""1995""&gt; 1995 &lt;/ option&gt; &lt;op"&amp;"tion value = ""1994""&gt; 1994 &lt;/ option&gt; &lt;option value = ""1993""&gt; 1993 &lt;/ option&gt; &lt;option value = ""1992""&gt; 1992 &lt;/ option&gt; &lt;option value = ""1991""&gt; 1991 &lt;/ option&gt; &lt;option value = ""1990""&gt; 1990 &lt;/ option&gt; &lt;option value = "" 1989 ""&gt; 1989 &lt;/ option&gt; &lt;opt"&amp;"ion value ="" 1988 ""&gt; 1988 &lt;/ option&gt; &lt;option value ="" 1987 ""&gt; 1987 &lt;/ option&gt; &lt;option value ="" 1986 ""&gt; 1986 &lt;/ option&gt; &lt;option value = ""1985""&gt; 1985 &lt;/ option&gt; &lt;option value = ""1984""&gt; 1984 &lt;/ option&gt; &lt;option value = ""1983""&gt; 1983 &lt;/ option&gt; &lt;opt"&amp;"ion value = ""1982""&gt; 1982 &lt;/ option&gt; &lt; option value = ""1981""&gt; 1981 &lt;/ option&gt; &lt;option value = ""1980""&gt; 1980 &lt;/ option&gt; &lt;option value = ""1979""&gt; 1979 &lt;/ option&gt; &lt;option value = ""1978""&gt; 1978 &lt;/ option &gt; &lt;option value = ""1977""&gt; 1977 &lt;/ option&gt; &lt;opti"&amp;"on value = ""1976""&gt; 1976 &lt;/ option&gt; &lt;option value = ""1975""&gt; 1975 &lt;/ option&gt; &lt;option value = ""1974""&gt; 1974 &lt; / option&gt; &lt;option value = ""1973""&gt; 1973 &lt;/ option&gt; &lt;option value = ""1972""&gt; 1972 &lt;/ option&gt; &lt;option value = ""1971""&gt; 1971 &lt;/ option&gt; &lt;option"&amp;" value = ""1970""&gt; 1970 &lt;/ option&gt; &lt;option value = ""1969""&gt; 1969 &lt;/ option&gt; &lt;option value = ""1968""&gt; 1968 &lt;/ option&gt; &lt;option value = ""1967""&gt; 1967 &lt;/ option&gt; &lt;option value = ""1966 ""&gt; 1966 &lt;/ option&gt; &lt;option value ="" 1965 ""&gt; 1965 &lt;/ option&gt; &lt;option "&amp;"value ="" 1964 ""&gt; 1964 &lt;/ option&gt; &lt;option value ="" 1963 ""&gt; 1963 &lt;/ option&gt; &lt;option value = ""1962""&gt; 1962 &lt;/ option&gt; &lt;option value = ""1961""&gt; 1961 &lt;/ option&gt; &lt;option value = ""1960""&gt; 1960 &lt;/ op tion&gt; &lt;option value = ""1959""&gt; 1959 &lt;/ option&gt; &lt;option "&amp;"value = ""1958""&gt; 1958 &lt;/ option&gt; &lt;option value = ""1957""&gt; 1957 &lt;/ option&gt; &lt;option value = ""1956""&gt; 1956 &lt;/ option&gt; &lt;option value = ""1955""&gt; 1955 &lt;/ option&gt; &lt;option value = ""1954""&gt; 1954 &lt;/ option&gt; &lt;option value = ""1953""&gt; 1953 &lt;/ option&gt; &lt;option val"&amp;"ue = ""1952"" &gt; 1952 &lt;/ option&gt; &lt;option value = ""1951""&gt; 1951 &lt;/ option&gt; &lt;option value = ""1950""&gt; 1950 &lt;/ option&gt; &lt;option value = ""1949""&gt; 1949 &lt;/ option&gt; &lt;option value = "" 1948 ""&gt; 1948 &lt;/ option&gt; &lt;option value ="" 1947 ""&gt; 1947 &lt;/ option&gt; &lt;option va"&amp;"lue ="" 1946 ""&gt; 1946 &lt;/ option&gt; &lt;option value ="" 1945 ""&gt; 1945 &lt;/ option&gt; &lt;option value = ""1944""&gt; 1944 &lt;/ option&gt; &lt;option value = ""1943""&gt; 1943 &lt;/ option&gt; &lt;option value = ""1942""&gt; 1942 &lt;/ option&gt; &lt;option value = ""1941""&gt; 1941 &lt;/ option&gt; &lt; option va"&amp;"lue = ""1940""&gt; 1940 &lt;/ option&gt; &lt;option value = ""1939""&gt; 1939 &lt;/ option&gt; &lt;option value = ""1938""&gt; 1938 &lt;/ option&gt; &lt;option value = ""1937""&gt; 1937 &lt;/ option &gt; &lt;option value = ""1936""&gt; 1936 &lt;/ option&gt; &lt;option value = ""1935""&gt; 1935 &lt;/ option&gt; &lt;option valu"&amp;"e = ""1934""&gt; 1934 &lt;/ option&gt; &lt;option value = ""1933""&gt; 1933 &lt; / option&gt; &lt;option value = ""1932""&gt; 1932 &lt;/ option&gt; &lt;option value = ""1931""&gt; 1931 &lt;/ option&gt; &lt;option v alue = ""1930""&gt; 1930 &lt;/ option&gt; &lt;option value = ""1929""&gt; 1929 &lt;/ option&gt; &lt;option value"&amp;" = ""1928""&gt; 1928 &lt;/ option&gt; &lt;option value = ""1927""&gt; 1927 &lt;/ option&gt; &lt;option value = ""1926""&gt; 1926 &lt;/ option&gt; &lt;option value = ""1925""&gt; 1925 &lt;/ option&gt; &lt;option value = ""1924""&gt; 1924 &lt;/ option&gt; &lt;option value = ""1923""&gt; 1923 &lt;/ option&gt; &lt;option value = "&amp;"""1922""&gt; 1922 &lt;/ option&gt; &lt;option value = ""1921""&gt; 1921 &lt;/ option&gt; &lt;option value = ""1920""&gt; 1920 &lt;/ option&gt; &lt;option value = ""1919""&gt; 1919 &lt;/ option&gt; &lt;option value = ""1918""&gt; 1918 &lt;/ option&gt; &lt;option value = ""1917""&gt; 1917 &lt;/ option&gt; &lt;option value = ""1"&amp;"916""&gt; 1916 &lt;/ option&gt; &lt;option value = ""1915"" &gt; 1915 &lt;/ option&gt; &lt;option value = ""1914""&gt; 1914 &lt;/ option&gt; &lt;option value = ""1913""&gt; 1913 &lt;/ option&gt; &lt;option value = ""1912""&gt; 1912 &lt;/ option&gt; &lt;option value = "" 1911 ""&gt; 1911 &lt;/ option&gt; &lt;option value ="" 1"&amp;"910 ""&gt; 1910 &lt;/ option&gt; &lt;option value ="" 1909 ""&gt; 1909 &lt;/ option&gt; &lt;option value ="" 1908 ""&gt; 1908 &lt;/ option&gt; &lt;option value = ""1907""&gt; 1907 &lt;/ option&gt; &lt;option value = ""1906""&gt; 1906 &lt;/ option&gt; &lt;option value = ""1905""&gt; 1905 &lt;/ option&gt; &lt;option value = ""1"&amp;"904""&gt; 1904 &lt;/ option&gt; &lt; option value = ""1903""&gt; 1903 &lt;/ option&gt; &lt;option value = ""1902""&gt; 1902 &lt;/ option&gt; &lt;option value = ""1901""&gt; 19 01 &lt;/ option&gt; &lt;option value = ""1900""&gt; 1900 &lt;/ option&gt; &lt;/ select&gt; &lt;div tabindex = ""- 1"" class = ""airy-age-gate-sub"&amp;"mit airy-submit-button airy airy-submit- disabled ""&gt; Submit &lt;/ div&gt; &lt;/ div&gt; &lt;/ div&gt; &lt;/ div&gt; &lt;/ div&gt; &lt;/ div&gt; &lt;div tabindex ="" - 1 ""class ="" airy-install-flash-dialog airy-course airy -Vertical-centering-table dialog airy-airy-denied ""style ="" opacity"&amp;": 0; visibility: hidden; ""&gt; &lt;div tabindex ="" - 1 ""class ="" airy-install-flash-vertical-centering-table-cell airy-vertical-centering-table-cell ""&gt; &lt;div tabindex ="" - 1 ""class = ""airy-vertical-centering-wrapper airy-install-flash-elements-wrapper""&gt;"&amp;" &lt;div tabindex = ""- 1"" class = ""airy-install-flash-elements airy-dialog-elements""&gt; &lt;div tabindex = "" -1 ""class ="" airy-install-flash-prompt ""&gt; Adobe Flash Player is required to watch this video &lt;/ div&gt; &lt;div = tabindex."" - 1 ""class ="" airy-insta"&amp;"ll-flash-button-wrapper airy -dialog-inner-elements ""&gt; &lt;div tabindex ="" - 1 ""class ="" airy-install-flash-button airy-button ""&gt; install Flash Player &lt;/ div&gt; &lt;/ div&gt; &lt;/ div&gt; &lt;/ div&gt; &lt;/ div&gt; &lt;/ div&gt; &lt;div tabindex = ""- 1"" class = ""airy-video-unsupport"&amp;"ed-dialog airy-course airy-vertical-centering table-airy-dialog airy-denied"" style = ""opacity: 0; visibility: hidden; ""&gt; &lt;div tabindex ="" - 1 ""class ="" airy-video-unsupported-vertical-centering-table-cell airy-vertical-centering-table-cell ""&gt; &lt;div "&amp;"tabindex ="" - 1 ""class = ""airy-vertical-centering-wrapper airy-video-unsupported-elements-wrapper""&gt; &lt;div tabindex = ""- 1"" class = ""airy-video-unsupported-elements airy-dialog-elements""&gt; &lt;div tabindex = "" -1 ""class ="" airy-video-unsupported-prom"&amp;"pt ""&gt; &lt;/ div&gt; &lt;/ div&gt; &lt;/ div&gt; &lt;/ div&gt; &lt;/ div&gt; &lt;div tabindex ="" - 1 ""class ="" airy-loading- spinner-stage airy-stage ""&gt; &lt;div tabindex ="" - 1 ""class ="" airy-loading-spinner-vertical-centering-table-cell airy-vertical-centering-table-cell ""&gt; &lt;div ta"&amp;"bindex ="" - 1 ""class ="" airy-loading-spinner container airy-scalable-hint-container ""&gt; &lt;div tabindex ="" - 1 ""class ="" airy-loading-spinner-dummy airy-scalable-dummy ""&gt; &lt;/ div&gt; &lt; div tabindex = ""- 1"" class = ""airy-loading-spinner airy-hint"" sty"&amp;"le = ""visibility: hidden;""&gt; &lt;/ div&gt; &lt;/ div&gt; &lt;/ div&gt; &lt;/ div&gt; &lt;div tabindex = ""- 1 ""class ="" airy-ads-screen-size-toggle airy-screen-size-toggle airy-fullscreen ""style ="" visibility: hidden; ""&gt; &lt;/ div&gt; &lt;div tabindex = ""-1"" class = ""airy-ad-prompt"&amp;"-container"" style = ""visibility: hidden;""&gt; &lt;div tabindex = ""- 1"" class = ""airy-ad-prompt-vertical-centering table-airy-vertical- centering-table ""&gt; &lt;div tabindex ="" - 1 ""class ="" airy-ad-prompt-vertical-centering-table-cell airy-vertical-centeri"&amp;"ng-table-cell ""&gt; &lt;div tabindex ="" - 1 ""class = ""airy-ad-prompt-label""&gt; &lt;/ div&gt; &lt;/ div&gt; &lt;/ div&gt; &lt;/ div&gt; &lt;div tabindex = ""- 1"" class = ""airy-ads-controls-container"" style = ""visibility: hidden; ""&gt; &lt;div tabindex ="" - 1 ""class ="" airy-ads-audio-"&amp;"toggle airy-audio-toggle airy-on ""style ="" visibility: hidden; ""&gt; &lt;/ div&gt; &lt;div tabindex ="" - 1 ""class ="" airy-time-remaining-label-container ""&gt; &lt;div tabindex ="" - 1 ""class ="" airy-time-remaining-vertical-centering table-airy-vertical-centering-t"&amp;"able ""&gt; &lt;div tabindex = ""- 1"" class = ""airy-time-remaining-vertical-centering-table-cell airy-vertical-centering-table-cell""&gt; &lt;div tabindex = ""- 1"" class = ""airy-vertical-centering-wrapper airy-time-remaining-label-wrapper ""&gt; &lt;div tabindex ="" - "&amp;"1 ""class ="" airy-time-remaining-label ""style ="" visibility: hidden; ""&gt; &lt;/ div&gt; &lt;div tabi ndex = ""- 1"" class = ""airy-ad-skip"" style = ""visibility: hidden;""&gt; &lt;/ div&gt; &lt;div tabindex = ""- 1"" class = ""airy-ad-end"" style = ""visibility: hidden; """&amp;"&gt; &lt;/ div&gt; &lt;/ div&gt; &lt;/ div&gt; &lt;/ div&gt; &lt;/ div&gt; &lt;div tabindex ="" - 1 ""class ="" airy-learn-more ""style ="" visibility: hidden; ""&gt; &lt;/ div&gt; &lt;/ div&gt; &lt;div tabindex = ""- 1"" class = ""airy-play-toggle-hint-stage airy-course airy-cursor""&gt; &lt;div tabindex = ""- 1"&amp;""" class = ""airy-play -toggle-hint-vertical-centering-table-cell airy-vertical-centering-table-cell airy-cursor ""&gt; &lt;div tabindex ="" - 1 ""class ="" airy-play-toggle-hint-container airy-scalable- hint-container ""&gt; &lt;div tabindex ="" - 1 ""class ="" airy"&amp;"-play-toggle-hint-dummy airy-scalable-dummy ""&gt; &lt;/ div&gt; &lt;div tabindex ="" - 1 ""class ="" airy-play -toggle airy-hint-hint-hint airy-play ""style ="" opacity: 1; visibility: visible; ""&gt; &lt;/ div&gt; &lt;/ div&gt; &lt;/ div&gt; &lt;/ div&gt; &lt;div tabindex ="" - 1 ""class ="" ai"&amp;"ry-replay-hint-stage airy-stage ""style ="" visibility: hidden ; ""&gt; &lt;div tabindex ="" - 1 ""class ="" airy-replay-hint-vertical-centering-table-cell airy-vertical-centering-table-cell airy-cursor ""&gt; &lt;div tabindex ="" - 1 ""class = ""airy-replay-hint-con"&amp;"tainer airy-scalable-hint-container""&gt; &lt;div tabindex = ""- 1"" class = ""airy-replay-hint-dummy airy-scalable-dummy""&gt; &lt;/ div&gt; &lt;div tabindex = ""- 1"" class = ""airy-replay-hint airy-hint""&gt; &lt;/ div&gt; &lt;/ div&gt; &lt;/ div&gt; &lt;/ div&gt; &lt;div tabindex = ""- 1"" class = "&amp;"""airy-autoplay-hint -stage airy-stage ""style ="" visibility: hidden; ""&gt; &lt;div tabindex ="" - 1 ""class ="" airy-autoplay-hint-vertical-centering-table-cell airy-vertical-centering-table-cell airy- cursor ""&gt; &lt;div tabindex ="" - 1 ""class ="" autoplay ai"&amp;"ry-airy-hint-container-scalable-hint-container ""&gt; &lt;div tabindex ="" - 1 ""class ="" airy-autoplay-hint-dummy airy- scalable-dummy ""&gt; &lt;/ div&gt; &lt;/ div&gt; &lt;/ div&gt; &lt;/ div&gt; &lt;/ div&gt; &lt;/ div&gt; &lt;input type ="" hidden ""name ="" ""value ="" https: // pictures-eu .ssl"&amp;"-image amazon.com / images / I / B1sRLR2YieS.mp4 ""Class ="" video-url ""&gt; &lt;input type ="" hidden ""name ="" ""value ="" https://images-eu.ssl-images-amazon.com/images/I/914VGfuUGuS.png ""class ="" video-slate-img-url ""&gt; &amp; nbsp; I bought these ITE replac"&amp;"ing my old my cat brought down and I am very surprised by the quality as much as sound equipment. The headphones can be fitted easily into the holder with magnets to really keep them, you can tap on the wafer to be able to pause or change music when the h"&amp;"eadphones in their ears. The handsfree option is top too, I'm really happy!")</f>
        <v>Very good quality / price &lt;div id = "video-block-RC93MNF9OEHWK" class = "a-section-spacing-small in-spacing-top mini video-block"&gt; &lt;div tabindex = "0" class = " airy airy-svg vmin-supported airy-skin-beacon "style =" background-color: rgb (0, 0, 0); position: relative; width: 100%; height: 100%; font-size: 0px; overflow : hidden; outline: none; "&gt; &lt;div class =" airy-renderer-container "style =" position: relative; height: 100%; width: 100%; "&gt; &lt;video id =" 15 "preload =" auto "src =" https://images-eu.ssl-images-amazon.com/images/I/B1sRLR2YieS.mp4 "style =" position: absolute; left: 0px; top: 0px; overflow: hidden; height: 1px ; width: 1px; "&gt; &lt;/ video&gt; &lt;/ div&gt; &lt;div id =" airy-slate-preload "style =" background-color: rgb (0, 0, 0); background-image: url (&amp; quot; https://images-eu.ssl-images-amazon.com/images/I/914VGfuUGuS.png&amp;quot;); background-size: contain; background-position: center center; background-repeat: no-repeat; position: absolute ; top: 0px; left: 0px; visibility: visible; width: 100%; height: 100% "&gt; &lt;/ div&gt; &lt;if train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B1sRLR2YieS.mp4 "Class =" video-url "&gt; &lt;input type =" hidden "name =" "value =" https://images-eu.ssl-images-amazon.com/images/I/914VGfuUGuS.png "class =" video-slate-img-url "&gt; &amp; nbsp; I bought these ITE replacing my old my cat brought down and I am very surprised by the quality as much as sound equipment. The headphones can be fitted easily into the holder with magnets to really keep them, you can tap on the wafer to be able to pause or change music when the headphones in their ears. The handsfree option is top too, I'm really happy!</v>
      </c>
    </row>
    <row r="15468">
      <c r="A15468" s="1">
        <v>5.0</v>
      </c>
      <c r="B15468" s="1" t="s">
        <v>15213</v>
      </c>
      <c r="C15468" t="str">
        <f>IFERROR(__xludf.DUMMYFUNCTION("GOOGLETRANSLATE(B15468, ""fr"", ""en"")"),"Nice product Ultra practice ... and no plastic glass and chemical cohort for the baby!")</f>
        <v>Nice product Ultra practice ... and no plastic glass and chemical cohort for the baby!</v>
      </c>
    </row>
    <row r="15469">
      <c r="A15469" s="1">
        <v>5.0</v>
      </c>
      <c r="B15469" s="1" t="s">
        <v>15214</v>
      </c>
      <c r="C15469" t="str">
        <f>IFERROR(__xludf.DUMMYFUNCTION("GOOGLETRANSLATE(B15469, ""fr"", ""en"")"),"Very good quality / price ratio to be used as headset iphone 6. Very easy to use, the quality looks good and gives a solid feel. The sound is good, but the microphone and controller go well.")</f>
        <v>Very good quality / price ratio to be used as headset iphone 6. Very easy to use, the quality looks good and gives a solid feel. The sound is good, but the microphone and controller go well.</v>
      </c>
    </row>
    <row r="15470">
      <c r="A15470" s="1">
        <v>5.0</v>
      </c>
      <c r="B15470" s="1" t="s">
        <v>15215</v>
      </c>
      <c r="C15470" t="str">
        <f>IFERROR(__xludf.DUMMYFUNCTION("GOOGLETRANSLATE(B15470, ""fr"", ""en"")"),"This is not new ... I was taken to avoid white yellow marks on the posters. RAS from that, we know all this patafix ...")</f>
        <v>This is not new ... I was taken to avoid white yellow marks on the posters. RAS from that, we know all this patafix ...</v>
      </c>
    </row>
    <row r="15471">
      <c r="A15471" s="1">
        <v>5.0</v>
      </c>
      <c r="B15471" s="1" t="s">
        <v>15216</v>
      </c>
      <c r="C15471" t="str">
        <f>IFERROR(__xludf.DUMMYFUNCTION("GOOGLETRANSLATE(B15471, ""fr"", ""en"")"),"Very good seller I am very fan of this brand using only Neewer products and especially because one provides a wide range of studio accessories at a price that is very affordable. Received in 2 days while I live in a very small village in an isolated envir"&amp;"onment &amp; nbsp ;! Good seller &amp; nbsp; which provides a first class service to its customers &amp; nbsp; 😊 product that works as it should. Quality appointments.")</f>
        <v>Very good seller I am very fan of this brand using only Neewer products and especially because one provides a wide range of studio accessories at a price that is very affordable. Received in 2 days while I live in a very small village in an isolated environment &amp; nbsp ;! Good seller &amp; nbsp; which provides a first class service to its customers &amp; nbsp; 😊 product that works as it should. Quality appointments.</v>
      </c>
    </row>
    <row r="15472">
      <c r="A15472" s="1">
        <v>5.0</v>
      </c>
      <c r="B15472" s="1" t="s">
        <v>15217</v>
      </c>
      <c r="C15472" t="str">
        <f>IFERROR(__xludf.DUMMYFUNCTION("GOOGLETRANSLATE(B15472, ""fr"", ""en"")"),"Discretion and comfort Bought for my daughter who lost her ring, I'm glad that this is is not that of a gimmick and that this reduction allows him to wear it without fear of losing ... Product invisible when worn , Discreet and comfortable.")</f>
        <v>Discretion and comfort Bought for my daughter who lost her ring, I'm glad that this is is not that of a gimmick and that this reduction allows him to wear it without fear of losing ... Product invisible when worn , Discreet and comfortable.</v>
      </c>
    </row>
    <row r="15473">
      <c r="A15473" s="1">
        <v>5.0</v>
      </c>
      <c r="B15473" s="1" t="s">
        <v>15218</v>
      </c>
      <c r="C15473" t="str">
        <f>IFERROR(__xludf.DUMMYFUNCTION("GOOGLETRANSLATE(B15473, ""fr"", ""en"")"),"earring hello. package arrived well I bought her curls as it pleased me by its shape and color. slight loop. I recommend this jewelry cdlt karine")</f>
        <v>earring hello. package arrived well I bought her curls as it pleased me by its shape and color. slight loop. I recommend this jewelry cdlt karine</v>
      </c>
    </row>
    <row r="15474">
      <c r="A15474" s="1">
        <v>5.0</v>
      </c>
      <c r="B15474" s="1" t="s">
        <v>15219</v>
      </c>
      <c r="C15474" t="str">
        <f>IFERROR(__xludf.DUMMYFUNCTION("GOOGLETRANSLATE(B15474, ""fr"", ""en"")"),"I recommend I recommend these anti-colic bottles! Initially I used the Advent but it did not fit my baby. Baby I ask two more questions and do not take more than the MAM.")</f>
        <v>I recommend I recommend these anti-colic bottles! Initially I used the Advent but it did not fit my baby. Baby I ask two more questions and do not take more than the MAM.</v>
      </c>
    </row>
    <row r="15475">
      <c r="A15475" s="1">
        <v>5.0</v>
      </c>
      <c r="B15475" s="1" t="s">
        <v>15220</v>
      </c>
      <c r="C15475" t="str">
        <f>IFERROR(__xludf.DUMMYFUNCTION("GOOGLETRANSLATE(B15475, ""fr"", ""en"")"),"On top Top! Fast delivery, the colors are nice and very pleasant jackets. Perfect for sports Acknowledged m size normally")</f>
        <v>On top Top! Fast delivery, the colors are nice and very pleasant jackets. Perfect for sports Acknowledged m size normally</v>
      </c>
    </row>
    <row r="15476">
      <c r="A15476" s="1">
        <v>5.0</v>
      </c>
      <c r="B15476" s="1" t="s">
        <v>15221</v>
      </c>
      <c r="C15476" t="str">
        <f>IFERROR(__xludf.DUMMYFUNCTION("GOOGLETRANSLATE(B15476, ""fr"", ""en"")"),"TOP ribbon ... packaging. Very very resistant to moisture, the quality is there, broadband provide excellent grip on almost any surface (even glass) ...")</f>
        <v>TOP ribbon ... packaging. Very very resistant to moisture, the quality is there, broadband provide excellent grip on almost any surface (even glass) ...</v>
      </c>
    </row>
    <row r="15477">
      <c r="A15477" s="1">
        <v>5.0</v>
      </c>
      <c r="B15477" s="1" t="s">
        <v>15222</v>
      </c>
      <c r="C15477" t="str">
        <f>IFERROR(__xludf.DUMMYFUNCTION("GOOGLETRANSLATE(B15477, ""fr"", ""en"")"),"nickel START table respondent my attentes.impeccable to start.")</f>
        <v>nickel START table respondent my attentes.impeccable to start.</v>
      </c>
    </row>
    <row r="15478">
      <c r="A15478" s="1">
        <v>2.0</v>
      </c>
      <c r="B15478" s="1" t="s">
        <v>15223</v>
      </c>
      <c r="C15478" t="str">
        <f>IFERROR(__xludf.DUMMYFUNCTION("GOOGLETRANSLATE(B15478, ""fr"", ""en"")"),"Size too small Unhappy with the size and color")</f>
        <v>Size too small Unhappy with the size and color</v>
      </c>
    </row>
    <row r="15479">
      <c r="A15479" s="1">
        <v>1.0</v>
      </c>
      <c r="B15479" s="1" t="s">
        <v>15224</v>
      </c>
      <c r="C15479" t="str">
        <f>IFERROR(__xludf.DUMMYFUNCTION("GOOGLETRANSLATE(B15479, ""fr"", ""en"")"),"Claimed After 1 month of use by turning the water always max it burns")</f>
        <v>Claimed After 1 month of use by turning the water always max it burns</v>
      </c>
    </row>
    <row r="15480">
      <c r="A15480" s="1">
        <v>1.0</v>
      </c>
      <c r="B15480" s="1" t="s">
        <v>15225</v>
      </c>
      <c r="C15480" t="str">
        <f>IFERROR(__xludf.DUMMYFUNCTION("GOOGLETRANSLATE(B15480, ""fr"", ""en"")"),"Ineffective on my child Read the rave reviews about this bottle, I thought my last baby would drink her milk in a bottle. But no, the result is the same or worse than other bottles I (large weeping crisis, pacifier too big).")</f>
        <v>Ineffective on my child Read the rave reviews about this bottle, I thought my last baby would drink her milk in a bottle. But no, the result is the same or worse than other bottles I (large weeping crisis, pacifier too big).</v>
      </c>
    </row>
    <row r="15481">
      <c r="A15481" s="1">
        <v>3.0</v>
      </c>
      <c r="B15481" s="1" t="s">
        <v>15226</v>
      </c>
      <c r="C15481" t="str">
        <f>IFERROR(__xludf.DUMMYFUNCTION("GOOGLETRANSLATE(B15481, ""fr"", ""en"")"),"Sport for bienproportionné pretty, nice comfortable cushioning and especially the end of a few feet raised, suitable for relieving hammer toe")</f>
        <v>Sport for bienproportionné pretty, nice comfortable cushioning and especially the end of a few feet raised, suitable for relieving hammer toe</v>
      </c>
    </row>
    <row r="15482">
      <c r="A15482" s="1">
        <v>4.0</v>
      </c>
      <c r="B15482" s="1" t="s">
        <v>15227</v>
      </c>
      <c r="C15482" t="str">
        <f>IFERROR(__xludf.DUMMYFUNCTION("GOOGLETRANSLATE(B15482, ""fr"", ""en"")"),"nice article This bag is very beautiful, several pockets, beautiful quality leather strap can be removed Really disappointed and considering the price it is to grasp")</f>
        <v>nice article This bag is very beautiful, several pockets, beautiful quality leather strap can be removed Really disappointed and considering the price it is to grasp</v>
      </c>
    </row>
    <row r="15483">
      <c r="A15483" s="1">
        <v>4.0</v>
      </c>
      <c r="B15483" s="1" t="s">
        <v>15228</v>
      </c>
      <c r="C15483" t="str">
        <f>IFERROR(__xludf.DUMMYFUNCTION("GOOGLETRANSLATE(B15483, ""fr"", ""en"")"),"Quality and trend. I recommend I recommend this model. There are white.")</f>
        <v>Quality and trend. I recommend I recommend this model. There are white.</v>
      </c>
    </row>
    <row r="15484">
      <c r="A15484" s="1">
        <v>4.0</v>
      </c>
      <c r="B15484" s="1" t="s">
        <v>15229</v>
      </c>
      <c r="C15484" t="str">
        <f>IFERROR(__xludf.DUMMYFUNCTION("GOOGLETRANSLATE(B15484, ""fr"", ""en"")"),"Quality correct I expected worse given the other reviews, but it is 50 microns therefore not intended for storing screws and nails ... The closure is good.")</f>
        <v>Quality correct I expected worse given the other reviews, but it is 50 microns therefore not intended for storing screws and nails ... The closure is good.</v>
      </c>
    </row>
    <row r="15485">
      <c r="A15485" s="1">
        <v>4.0</v>
      </c>
      <c r="B15485" s="1" t="s">
        <v>15230</v>
      </c>
      <c r="C15485" t="str">
        <f>IFERROR(__xludf.DUMMYFUNCTION("GOOGLETRANSLATE(B15485, ""fr"", ""en"")"),"Adjustable ring simple ring that goes very well for a young girl. Good quality")</f>
        <v>Adjustable ring simple ring that goes very well for a young girl. Good quality</v>
      </c>
    </row>
    <row r="15486">
      <c r="A15486" s="1">
        <v>5.0</v>
      </c>
      <c r="B15486" s="1" t="s">
        <v>15231</v>
      </c>
      <c r="C15486" t="str">
        <f>IFERROR(__xludf.DUMMYFUNCTION("GOOGLETRANSLATE(B15486, ""fr"", ""en"")"),"Comfortable Light, finishing quality, so its clear content with these headphones. I bought these headphones for my iPhone 6s during my trips and also for music. Good sound, good sound, comfortable enough.")</f>
        <v>Comfortable Light, finishing quality, so its clear content with these headphones. I bought these headphones for my iPhone 6s during my trips and also for music. Good sound, good sound, comfortable enough.</v>
      </c>
    </row>
    <row r="15487">
      <c r="A15487" s="1">
        <v>5.0</v>
      </c>
      <c r="B15487" s="1" t="s">
        <v>15232</v>
      </c>
      <c r="C15487" t="str">
        <f>IFERROR(__xludf.DUMMYFUNCTION("GOOGLETRANSLATE(B15487, ""fr"", ""en"")"),"very good quality leather converse, so very good. more as usual, amazon delivered me very quickly. Warning they carve a little big like all converse ...")</f>
        <v>very good quality leather converse, so very good. more as usual, amazon delivered me very quickly. Warning they carve a little big like all converse ...</v>
      </c>
    </row>
    <row r="15488">
      <c r="A15488" s="1">
        <v>5.0</v>
      </c>
      <c r="B15488" s="1" t="s">
        <v>15233</v>
      </c>
      <c r="C15488" t="str">
        <f>IFERROR(__xludf.DUMMYFUNCTION("GOOGLETRANSLATE(B15488, ""fr"", ""en"")"),"Product of very good quality product with a very good value The helmet has a good sound and microphone works fine there the adapter to plug in jack or so on a computer")</f>
        <v>Product of very good quality product with a very good value The helmet has a good sound and microphone works fine there the adapter to plug in jack or so on a computer</v>
      </c>
    </row>
    <row r="15489">
      <c r="A15489" s="1">
        <v>5.0</v>
      </c>
      <c r="B15489" s="1" t="s">
        <v>15234</v>
      </c>
      <c r="C15489" t="str">
        <f>IFERROR(__xludf.DUMMYFUNCTION("GOOGLETRANSLATE(B15489, ""fr"", ""en"")"),"R. S A. Good product")</f>
        <v>R. S A. Good product</v>
      </c>
    </row>
    <row r="15490">
      <c r="A15490" s="1">
        <v>5.0</v>
      </c>
      <c r="B15490" s="1" t="s">
        <v>15235</v>
      </c>
      <c r="C15490" t="str">
        <f>IFERROR(__xludf.DUMMYFUNCTION("GOOGLETRANSLATE(B15490, ""fr"", ""en"")"),"Useful Zero Baby colic with this system!")</f>
        <v>Useful Zero Baby colic with this system!</v>
      </c>
    </row>
    <row r="15491">
      <c r="A15491" s="1">
        <v>5.0</v>
      </c>
      <c r="B15491" s="1" t="s">
        <v>15236</v>
      </c>
      <c r="C15491" t="str">
        <f>IFERROR(__xludf.DUMMYFUNCTION("GOOGLETRANSLATE(B15491, ""fr"", ""en"")"),"GOOD KETTLE Efficient, good grip, not too heavy for children, easy to install")</f>
        <v>GOOD KETTLE Efficient, good grip, not too heavy for children, easy to install</v>
      </c>
    </row>
    <row r="15492">
      <c r="A15492" s="1">
        <v>5.0</v>
      </c>
      <c r="B15492" s="1" t="s">
        <v>15237</v>
      </c>
      <c r="C15492" t="str">
        <f>IFERROR(__xludf.DUMMYFUNCTION("GOOGLETRANSLATE(B15492, ""fr"", ""en"")"),"good helmet my daughter like this headset, nice enough as it is foldable and holds up well to head well made and practical enough to see over time if it resists but I do not regret my purchase")</f>
        <v>good helmet my daughter like this headset, nice enough as it is foldable and holds up well to head well made and practical enough to see over time if it resists but I do not regret my purchase</v>
      </c>
    </row>
    <row r="15493">
      <c r="A15493" s="1">
        <v>5.0</v>
      </c>
      <c r="B15493" s="1" t="s">
        <v>15238</v>
      </c>
      <c r="C15493" t="str">
        <f>IFERROR(__xludf.DUMMYFUNCTION("GOOGLETRANSLATE(B15493, ""fr"", ""en"")"),"High quality material, cutting, superb for a beautiful bust Nothing more to say except that confirm its high quality material, fair-to-body superb cut, which showcases an athletic bust! I advise and recommend it for those who have a sculptural bust!")</f>
        <v>High quality material, cutting, superb for a beautiful bust Nothing more to say except that confirm its high quality material, fair-to-body superb cut, which showcases an athletic bust! I advise and recommend it for those who have a sculptural bust!</v>
      </c>
    </row>
    <row r="15494">
      <c r="A15494" s="1">
        <v>5.0</v>
      </c>
      <c r="B15494" s="1" t="s">
        <v>15239</v>
      </c>
      <c r="C15494" t="str">
        <f>IFERROR(__xludf.DUMMYFUNCTION("GOOGLETRANSLATE(B15494, ""fr"", ""en"")"),"Superb lovely Very nice sweater and very well cut, I'll controlled to a friend")</f>
        <v>Superb lovely Very nice sweater and very well cut, I'll controlled to a friend</v>
      </c>
    </row>
    <row r="15495">
      <c r="A15495" s="1">
        <v>5.0</v>
      </c>
      <c r="B15495" s="1" t="s">
        <v>15240</v>
      </c>
      <c r="C15495" t="str">
        <f>IFERROR(__xludf.DUMMYFUNCTION("GOOGLETRANSLATE(B15495, ""fr"", ""en"")"),"Good value Nothing to say for the price I'm not disappointed works very well")</f>
        <v>Good value Nothing to say for the price I'm not disappointed works very well</v>
      </c>
    </row>
    <row r="15496">
      <c r="A15496" s="1">
        <v>5.0</v>
      </c>
      <c r="B15496" s="1" t="s">
        <v>15241</v>
      </c>
      <c r="C15496" t="str">
        <f>IFERROR(__xludf.DUMMYFUNCTION("GOOGLETRANSLATE(B15496, ""fr"", ""en"")"),"Well, misuse Actually I bought this to put to drain small glass bottles of juice, unfortunately the neck is too narrow, good as done, send it or not? No I care, media spiky serve me tutor for plants, and the tray is actually very convenient, located next "&amp;"to my stove, when I cook, I deposited the spoons used for mixing the prepared mixtures the tray has holes removable and utensils drip in the tray below. So to all the moms and dads, this object once the period ended bottles can have a second life instead "&amp;"of finishing at the bottom of a closet. It is dishwasher safe")</f>
        <v>Well, misuse Actually I bought this to put to drain small glass bottles of juice, unfortunately the neck is too narrow, good as done, send it or not? No I care, media spiky serve me tutor for plants, and the tray is actually very convenient, located next to my stove, when I cook, I deposited the spoons used for mixing the prepared mixtures the tray has holes removable and utensils drip in the tray below. So to all the moms and dads, this object once the period ended bottles can have a second life instead of finishing at the bottom of a closet. It is dishwasher safe</v>
      </c>
    </row>
    <row r="15497">
      <c r="A15497" s="1">
        <v>5.0</v>
      </c>
      <c r="B15497" s="1" t="s">
        <v>15242</v>
      </c>
      <c r="C15497" t="str">
        <f>IFERROR(__xludf.DUMMYFUNCTION("GOOGLETRANSLATE(B15497, ""fr"", ""en"")"),"very nice watch I find just super nice :) change color screen that is being talked about. cool metal band, but I made up a wide leather strap, and even more beautiful ...;)")</f>
        <v>very nice watch I find just super nice :) change color screen that is being talked about. cool metal band, but I made up a wide leather strap, and even more beautiful ...;)</v>
      </c>
    </row>
    <row r="15498">
      <c r="A15498" s="1">
        <v>5.0</v>
      </c>
      <c r="B15498" s="1" t="s">
        <v>15243</v>
      </c>
      <c r="C15498" t="str">
        <f>IFERROR(__xludf.DUMMYFUNCTION("GOOGLETRANSLATE(B15498, ""fr"", ""en"")"),"effective product I have used the service a damaged leather balm (not maintained) and is very nourishing. He's fat and provides in-depth interview.")</f>
        <v>effective product I have used the service a damaged leather balm (not maintained) and is very nourishing. He's fat and provides in-depth interview.</v>
      </c>
    </row>
    <row r="15499">
      <c r="A15499" s="1">
        <v>5.0</v>
      </c>
      <c r="B15499" s="1" t="s">
        <v>15244</v>
      </c>
      <c r="C15499" t="str">
        <f>IFERROR(__xludf.DUMMYFUNCTION("GOOGLETRANSLATE(B15499, ""fr"", ""en"")"),"Perfect ... nothing has dire..le top Perfect ..")</f>
        <v>Perfect ... nothing has dire..le top Perfect ..</v>
      </c>
    </row>
    <row r="15500">
      <c r="A15500" s="1">
        <v>5.0</v>
      </c>
      <c r="B15500" s="1" t="s">
        <v>15245</v>
      </c>
      <c r="C15500" t="str">
        <f>IFERROR(__xludf.DUMMYFUNCTION("GOOGLETRANSLATE(B15500, ""fr"", ""en"")"),"Beautiful necklace Beautiful necklace qualité.Il good happens to 5cm under the bright glotte.Très, it is also quite original.Je do not regret my purchase")</f>
        <v>Beautiful necklace Beautiful necklace qualité.Il good happens to 5cm under the bright glotte.Très, it is also quite original.Je do not regret my purchase</v>
      </c>
    </row>
    <row r="15501">
      <c r="A15501" s="1">
        <v>2.0</v>
      </c>
      <c r="B15501" s="1" t="s">
        <v>15246</v>
      </c>
      <c r="C15501" t="str">
        <f>IFERROR(__xludf.DUMMYFUNCTION("GOOGLETRANSLATE(B15501, ""fr"", ""en"")"),"Mediocre Not so this does not consume correctly")</f>
        <v>Mediocre Not so this does not consume correctly</v>
      </c>
    </row>
    <row r="15502">
      <c r="A15502" s="1">
        <v>1.0</v>
      </c>
      <c r="B15502" s="1" t="s">
        <v>15247</v>
      </c>
      <c r="C15502" t="str">
        <f>IFERROR(__xludf.DUMMYFUNCTION("GOOGLETRANSLATE(B15502, ""fr"", ""en"")"),"arrived damaged damaged to not come with black sleeves")</f>
        <v>arrived damaged damaged to not come with black sleeves</v>
      </c>
    </row>
    <row r="15503">
      <c r="A15503" s="1">
        <v>3.0</v>
      </c>
      <c r="B15503" s="1" t="s">
        <v>1687</v>
      </c>
      <c r="C15503" t="str">
        <f>IFERROR(__xludf.DUMMYFUNCTION("GOOGLETRANSLATE(B15503, ""fr"", ""en"")"),"Super Super")</f>
        <v>Super Super</v>
      </c>
    </row>
    <row r="15504">
      <c r="A15504" s="1">
        <v>3.0</v>
      </c>
      <c r="B15504" s="1" t="s">
        <v>15248</v>
      </c>
      <c r="C15504" t="str">
        <f>IFERROR(__xludf.DUMMYFUNCTION("GOOGLETRANSLATE(B15504, ""fr"", ""en"")"),"Good listening but quickly wears Good sound very authentic but still wears quickly if like me you listen daily LPs: /")</f>
        <v>Good listening but quickly wears Good sound very authentic but still wears quickly if like me you listen daily LPs: /</v>
      </c>
    </row>
    <row r="15505">
      <c r="A15505" s="1">
        <v>4.0</v>
      </c>
      <c r="B15505" s="1" t="s">
        <v>15249</v>
      </c>
      <c r="C15505" t="str">
        <f>IFERROR(__xludf.DUMMYFUNCTION("GOOGLETRANSLATE(B15505, ""fr"", ""en"")"),"Perfect I love are beautiful and practical do not take place. top. the Dymo labels, so far, held well above I also recommend")</f>
        <v>Perfect I love are beautiful and practical do not take place. top. the Dymo labels, so far, held well above I also recommend</v>
      </c>
    </row>
    <row r="15506">
      <c r="A15506" s="1">
        <v>4.0</v>
      </c>
      <c r="B15506" s="1" t="s">
        <v>15250</v>
      </c>
      <c r="C15506" t="str">
        <f>IFERROR(__xludf.DUMMYFUNCTION("GOOGLETRANSLATE(B15506, ""fr"", ""en"")"),"Size Small My daughter loved it, but just a bit more leaves. Too bad the fabric pilling quickly.")</f>
        <v>Size Small My daughter loved it, but just a bit more leaves. Too bad the fabric pilling quickly.</v>
      </c>
    </row>
    <row r="15507">
      <c r="A15507" s="1">
        <v>4.0</v>
      </c>
      <c r="B15507" s="1" t="s">
        <v>15251</v>
      </c>
      <c r="C15507" t="str">
        <f>IFERROR(__xludf.DUMMYFUNCTION("GOOGLETRANSLATE(B15507, ""fr"", ""en"")"),"Good footwear is well in shoe soles a little bit hard but melts really think of cool basketball")</f>
        <v>Good footwear is well in shoe soles a little bit hard but melts really think of cool basketball</v>
      </c>
    </row>
    <row r="15508">
      <c r="A15508" s="1">
        <v>4.0</v>
      </c>
      <c r="B15508" s="1" t="s">
        <v>15252</v>
      </c>
      <c r="C15508" t="str">
        <f>IFERROR(__xludf.DUMMYFUNCTION("GOOGLETRANSLATE(B15508, ""fr"", ""en"")"),"works very well and good autonomy to travel I had this headset for a long time, but I broke one side, and it still works, but the atrium separates often is why I ' was replaced by an identical, since I am perfectly happy.")</f>
        <v>works very well and good autonomy to travel I had this headset for a long time, but I broke one side, and it still works, but the atrium separates often is why I ' was replaced by an identical, since I am perfectly happy.</v>
      </c>
    </row>
    <row r="15509">
      <c r="A15509" s="1">
        <v>4.0</v>
      </c>
      <c r="B15509" s="1" t="s">
        <v>15253</v>
      </c>
      <c r="C15509" t="str">
        <f>IFERROR(__xludf.DUMMYFUNCTION("GOOGLETRANSLATE(B15509, ""fr"", ""en"")"),"Size biggest shoes larger so I suggest you take one size below, if not super comfortable as all shoes sketchers")</f>
        <v>Size biggest shoes larger so I suggest you take one size below, if not super comfortable as all shoes sketchers</v>
      </c>
    </row>
    <row r="15510">
      <c r="A15510" s="1">
        <v>5.0</v>
      </c>
      <c r="B15510" s="1" t="s">
        <v>15254</v>
      </c>
      <c r="C15510" t="str">
        <f>IFERROR(__xludf.DUMMYFUNCTION("GOOGLETRANSLATE(B15510, ""fr"", ""en"")"),"Perfect Match entirely my expectations.")</f>
        <v>Perfect Match entirely my expectations.</v>
      </c>
    </row>
    <row r="15511">
      <c r="A15511" s="1">
        <v>5.0</v>
      </c>
      <c r="B15511" s="1" t="s">
        <v>204</v>
      </c>
      <c r="C15511" t="str">
        <f>IFERROR(__xludf.DUMMYFUNCTION("GOOGLETRANSLATE(B15511, ""fr"", ""en"")"),"Top Top")</f>
        <v>Top Top</v>
      </c>
    </row>
    <row r="15512">
      <c r="A15512" s="1">
        <v>5.0</v>
      </c>
      <c r="B15512" s="1" t="s">
        <v>15255</v>
      </c>
      <c r="C15512" t="str">
        <f>IFERROR(__xludf.DUMMYFUNCTION("GOOGLETRANSLATE(B15512, ""fr"", ""en"")"),"Good shoes proper quality for the price, well take your height and all is well. proper quality.")</f>
        <v>Good shoes proper quality for the price, well take your height and all is well. proper quality.</v>
      </c>
    </row>
    <row r="15513">
      <c r="A15513" s="1">
        <v>5.0</v>
      </c>
      <c r="B15513" s="1" t="s">
        <v>15256</v>
      </c>
      <c r="C15513" t="str">
        <f>IFERROR(__xludf.DUMMYFUNCTION("GOOGLETRANSLATE(B15513, ""fr"", ""en"")"),"Thank you thank you very nice jacket to wear lightweight and easily carried in case of wind or for sport")</f>
        <v>Thank you thank you very nice jacket to wear lightweight and easily carried in case of wind or for sport</v>
      </c>
    </row>
    <row r="15514">
      <c r="A15514" s="1">
        <v>5.0</v>
      </c>
      <c r="B15514" s="1" t="s">
        <v>15257</v>
      </c>
      <c r="C15514" t="str">
        <f>IFERROR(__xludf.DUMMYFUNCTION("GOOGLETRANSLATE(B15514, ""fr"", ""en"")"),"Bicarbonate technical and non-food Baking bunker is a marvel, I use it all the time for cleaning, laundry and even to unclog sinks. This baking is not food.")</f>
        <v>Bicarbonate technical and non-food Baking bunker is a marvel, I use it all the time for cleaning, laundry and even to unclog sinks. This baking is not food.</v>
      </c>
    </row>
    <row r="15515">
      <c r="A15515" s="1">
        <v>5.0</v>
      </c>
      <c r="B15515" s="1" t="s">
        <v>15258</v>
      </c>
      <c r="C15515" t="str">
        <f>IFERROR(__xludf.DUMMYFUNCTION("GOOGLETRANSLATE(B15515, ""fr"", ""en"")"),"What a surprise I was looking for a lamp to replace mine that heated too much and had to slam (halogen), I fell in love with this LED desk lamp that besides being dimmable, you can change the color (or temperature for connoisseurs) of light. I thought not"&amp;" too this feature when I ordered it but once I was amazed received its operation and its usefulness especially when in the dark, a warm atmosphere is nicer atmosphere than a ""white LED ""hurts the eyes. Despite its price, I advise not to miss out if you "&amp;"need a nice desk lamp, aesthetics (not mine) and handy!")</f>
        <v>What a surprise I was looking for a lamp to replace mine that heated too much and had to slam (halogen), I fell in love with this LED desk lamp that besides being dimmable, you can change the color (or temperature for connoisseurs) of light. I thought not too this feature when I ordered it but once I was amazed received its operation and its usefulness especially when in the dark, a warm atmosphere is nicer atmosphere than a "white LED "hurts the eyes. Despite its price, I advise not to miss out if you need a nice desk lamp, aesthetics (not mine) and handy!</v>
      </c>
    </row>
    <row r="15516">
      <c r="A15516" s="1">
        <v>5.0</v>
      </c>
      <c r="B15516" s="1" t="s">
        <v>15259</v>
      </c>
      <c r="C15516" t="str">
        <f>IFERROR(__xludf.DUMMYFUNCTION("GOOGLETRANSLATE(B15516, ""fr"", ""en"")"),"Kids love I work in animation and children love the experiments proposed in this book. We will experience the smallest simple to much larger! Even we as adults we learn things through this book! I recommend for leaders or persons who want to discover and "&amp;"/ or to discover new things with the kids :)")</f>
        <v>Kids love I work in animation and children love the experiments proposed in this book. We will experience the smallest simple to much larger! Even we as adults we learn things through this book! I recommend for leaders or persons who want to discover and / or to discover new things with the kids :)</v>
      </c>
    </row>
    <row r="15517">
      <c r="A15517" s="1">
        <v>5.0</v>
      </c>
      <c r="B15517" s="1" t="s">
        <v>15260</v>
      </c>
      <c r="C15517" t="str">
        <f>IFERROR(__xludf.DUMMYFUNCTION("GOOGLETRANSLATE(B15517, ""fr"", ""en"")"),"Brush bottles So frankly I've adopted they are just awesome, I highly recommend them, they allow easier cleaned bottles with little tired we know all the drudgery of cleaning bottles!")</f>
        <v>Brush bottles So frankly I've adopted they are just awesome, I highly recommend them, they allow easier cleaned bottles with little tired we know all the drudgery of cleaning bottles!</v>
      </c>
    </row>
    <row r="15518">
      <c r="A15518" s="1">
        <v>5.0</v>
      </c>
      <c r="B15518" s="1" t="s">
        <v>15261</v>
      </c>
      <c r="C15518" t="str">
        <f>IFERROR(__xludf.DUMMYFUNCTION("GOOGLETRANSLATE(B15518, ""fr"", ""en"")"),"BEL ARTICLE super nice article")</f>
        <v>BEL ARTICLE super nice article</v>
      </c>
    </row>
    <row r="15519">
      <c r="A15519" s="1">
        <v>5.0</v>
      </c>
      <c r="B15519" s="1" t="s">
        <v>15262</v>
      </c>
      <c r="C15519" t="str">
        <f>IFERROR(__xludf.DUMMYFUNCTION("GOOGLETRANSLATE(B15519, ""fr"", ""en"")"),"TB TB")</f>
        <v>TB TB</v>
      </c>
    </row>
    <row r="15520">
      <c r="A15520" s="1">
        <v>5.0</v>
      </c>
      <c r="B15520" s="1" t="s">
        <v>15263</v>
      </c>
      <c r="C15520" t="str">
        <f>IFERROR(__xludf.DUMMYFUNCTION("GOOGLETRANSLATE(B15520, ""fr"", ""en"")"),"electric kettle gift for my brother that heated water in a saucepan. In summer in the south of France this is not a good idea! This kettle is fast and efficient!")</f>
        <v>electric kettle gift for my brother that heated water in a saucepan. In summer in the south of France this is not a good idea! This kettle is fast and efficient!</v>
      </c>
    </row>
    <row r="15521">
      <c r="A15521" s="1">
        <v>5.0</v>
      </c>
      <c r="B15521" s="1" t="s">
        <v>15264</v>
      </c>
      <c r="C15521" t="str">
        <f>IFERROR(__xludf.DUMMYFUNCTION("GOOGLETRANSLATE(B15521, ""fr"", ""en"")"),"Comfort and good sound Very lightweight, comfortable, very good sound Easy to connect to GSM")</f>
        <v>Comfort and good sound Very lightweight, comfortable, very good sound Easy to connect to GSM</v>
      </c>
    </row>
    <row r="15522">
      <c r="A15522" s="1">
        <v>5.0</v>
      </c>
      <c r="B15522" s="1" t="s">
        <v>15265</v>
      </c>
      <c r="C15522" t="str">
        <f>IFERROR(__xludf.DUMMYFUNCTION("GOOGLETRANSLATE(B15522, ""fr"", ""en"")"),"Very nice Pleasantly surprised by these lovely earrings ears and appreciated by the person qi they were intended.")</f>
        <v>Very nice Pleasantly surprised by these lovely earrings ears and appreciated by the person qi they were intended.</v>
      </c>
    </row>
    <row r="15523">
      <c r="A15523" s="1">
        <v>5.0</v>
      </c>
      <c r="B15523" s="1" t="s">
        <v>15266</v>
      </c>
      <c r="C15523" t="str">
        <f>IFERROR(__xludf.DUMMYFUNCTION("GOOGLETRANSLATE(B15523, ""fr"", ""en"")"),"lot slippers with all the comfort that I was expecting. An indoor hot sponge sole, perfect for the home. Small Warning!")</f>
        <v>lot slippers with all the comfort that I was expecting. An indoor hot sponge sole, perfect for the home. Small Warning!</v>
      </c>
    </row>
    <row r="15524">
      <c r="A15524" s="1">
        <v>5.0</v>
      </c>
      <c r="B15524" s="1" t="s">
        <v>15267</v>
      </c>
      <c r="C15524" t="str">
        <f>IFERROR(__xludf.DUMMYFUNCTION("GOOGLETRANSLATE(B15524, ""fr"", ""en"")"),"A beautiful object that looks solid Bought for work from my wife. Elegant design, light, airy sound seems to see in time. This pair of shoes is envious! No complaints. The Sav reactive looks after the invoice requests for reimbursement by the employer of "&amp;"my wife.")</f>
        <v>A beautiful object that looks solid Bought for work from my wife. Elegant design, light, airy sound seems to see in time. This pair of shoes is envious! No complaints. The Sav reactive looks after the invoice requests for reimbursement by the employer of my wife.</v>
      </c>
    </row>
    <row r="15525">
      <c r="A15525" s="1">
        <v>2.0</v>
      </c>
      <c r="B15525" s="1" t="s">
        <v>15268</v>
      </c>
      <c r="C15525" t="str">
        <f>IFERROR(__xludf.DUMMYFUNCTION("GOOGLETRANSLATE(B15525, ""fr"", ""en"")"),"Already down! I bought this product to offer on the occasion of a birth and the person to whom I offered just informed me that the heated bottles and 24 since it no longer works")</f>
        <v>Already down! I bought this product to offer on the occasion of a birth and the person to whom I offered just informed me that the heated bottles and 24 since it no longer works</v>
      </c>
    </row>
    <row r="15526">
      <c r="A15526" s="1">
        <v>1.0</v>
      </c>
      <c r="B15526" s="1" t="s">
        <v>15269</v>
      </c>
      <c r="C15526" t="str">
        <f>IFERROR(__xludf.DUMMYFUNCTION("GOOGLETRANSLATE(B15526, ""fr"", ""en"")"),"PACKAGE OPEN! Even if it was new !! Package open! 48 sheets instead of 50! Good labels to the Epson DURABrite, a little small but good sticky and easy to use. No return because I need it, but for me it is a used product, not nine.")</f>
        <v>PACKAGE OPEN! Even if it was new !! Package open! 48 sheets instead of 50! Good labels to the Epson DURABrite, a little small but good sticky and easy to use. No return because I need it, but for me it is a used product, not nine.</v>
      </c>
    </row>
    <row r="15527">
      <c r="A15527" s="1">
        <v>1.0</v>
      </c>
      <c r="B15527" s="1" t="s">
        <v>15270</v>
      </c>
      <c r="C15527" t="str">
        <f>IFERROR(__xludf.DUMMYFUNCTION("GOOGLETRANSLATE(B15527, ""fr"", ""en"")"),"Massage Cushion very mixed reviews, this cushion hurts and is inconvenient to use, I do not know if there are better than him but what I know is that I'll buy more. I advise against.")</f>
        <v>Massage Cushion very mixed reviews, this cushion hurts and is inconvenient to use, I do not know if there are better than him but what I know is that I'll buy more. I advise against.</v>
      </c>
    </row>
    <row r="15528">
      <c r="A15528" s="1">
        <v>3.0</v>
      </c>
      <c r="B15528" s="1" t="s">
        <v>15271</v>
      </c>
      <c r="C15528" t="str">
        <f>IFERROR(__xludf.DUMMYFUNCTION("GOOGLETRANSLATE(B15528, ""fr"", ""en"")"),"Beautiful, comfortable, but there is a but shoes used for walking and / or running. Sore feet to 7 kilometers away. Otherwise, it'll comfort level. I retested my old shoes, no pain.")</f>
        <v>Beautiful, comfortable, but there is a but shoes used for walking and / or running. Sore feet to 7 kilometers away. Otherwise, it'll comfort level. I retested my old shoes, no pain.</v>
      </c>
    </row>
    <row r="15529">
      <c r="A15529" s="1">
        <v>3.0</v>
      </c>
      <c r="B15529" s="1" t="s">
        <v>15272</v>
      </c>
      <c r="C15529" t="str">
        <f>IFERROR(__xludf.DUMMYFUNCTION("GOOGLETRANSLATE(B15529, ""fr"", ""en"")"),"shopping bag Overall I am satisfied that the model is different: no attachment on the front, a large flap. No pocket for pens. I bought home the same in December that exactly matched the description for 5 euros less!")</f>
        <v>shopping bag Overall I am satisfied that the model is different: no attachment on the front, a large flap. No pocket for pens. I bought home the same in December that exactly matched the description for 5 euros less!</v>
      </c>
    </row>
    <row r="15530">
      <c r="A15530" s="1">
        <v>4.0</v>
      </c>
      <c r="B15530" s="1" t="s">
        <v>15273</v>
      </c>
      <c r="C15530" t="str">
        <f>IFERROR(__xludf.DUMMYFUNCTION("GOOGLETRANSLATE(B15530, ""fr"", ""en"")"),"a4 paper Only for mail")</f>
        <v>a4 paper Only for mail</v>
      </c>
    </row>
    <row r="15531">
      <c r="A15531" s="1">
        <v>4.0</v>
      </c>
      <c r="B15531" s="1" t="s">
        <v>15274</v>
      </c>
      <c r="C15531" t="str">
        <f>IFERROR(__xludf.DUMMYFUNCTION("GOOGLETRANSLATE(B15531, ""fr"", ""en"")"),"Comfortable and friendly They are worn shoes every day and at least my 5th pair. Adidas always size a bit small")</f>
        <v>Comfortable and friendly They are worn shoes every day and at least my 5th pair. Adidas always size a bit small</v>
      </c>
    </row>
    <row r="15532">
      <c r="A15532" s="1">
        <v>4.0</v>
      </c>
      <c r="B15532" s="1" t="s">
        <v>15275</v>
      </c>
      <c r="C15532" t="str">
        <f>IFERROR(__xludf.DUMMYFUNCTION("GOOGLETRANSLATE(B15532, ""fr"", ""en"")"),"Good micro compulsory purchase of a 'alim 48V phantom to operate the microphone correctly. Without trying, one hardly hears the voice and are crackling ignoble even with a USB adapter. With the alim the microphone works fine. We'll have to still make some"&amp;" adjustment on the microphone gain, but it's not complicated. I put 4 stars instead of 5 because I find that the microphone picks up the sound a bit too much on my keyboard. But frankly for the price, € 40 with the power supply, it is a great product that"&amp;" I recommend.")</f>
        <v>Good micro compulsory purchase of a 'alim 48V phantom to operate the microphone correctly. Without trying, one hardly hears the voice and are crackling ignoble even with a USB adapter. With the alim the microphone works fine. We'll have to still make some adjustment on the microphone gain, but it's not complicated. I put 4 stars instead of 5 because I find that the microphone picks up the sound a bit too much on my keyboard. But frankly for the price, € 40 with the power supply, it is a great product that I recommend.</v>
      </c>
    </row>
    <row r="15533">
      <c r="A15533" s="1">
        <v>4.0</v>
      </c>
      <c r="B15533" s="1" t="s">
        <v>15276</v>
      </c>
      <c r="C15533" t="str">
        <f>IFERROR(__xludf.DUMMYFUNCTION("GOOGLETRANSLATE(B15533, ""fr"", ""en"")"),"Good headphones for a very demanding person I use it all day. from 6am to 22h. the battery life is very elevated. the sound is not perfect but it's very good. Easy to fold. Loads quickly. the jack is designed in a way that makes it non-detachable cable th"&amp;"at if one turns the head of the plug.")</f>
        <v>Good headphones for a very demanding person I use it all day. from 6am to 22h. the battery life is very elevated. the sound is not perfect but it's very good. Easy to fold. Loads quickly. the jack is designed in a way that makes it non-detachable cable that if one turns the head of the plug.</v>
      </c>
    </row>
    <row r="15534">
      <c r="A15534" s="1">
        <v>5.0</v>
      </c>
      <c r="B15534" s="1" t="s">
        <v>15277</v>
      </c>
      <c r="C15534" t="str">
        <f>IFERROR(__xludf.DUMMYFUNCTION("GOOGLETRANSLATE(B15534, ""fr"", ""en"")"),"Superb article I run 3 times a week and I have long research socks that protect the feet well. I've finally found, sizes well, are nice and well protect your heels and ankles of the front foot. I definitely recommend this product.")</f>
        <v>Superb article I run 3 times a week and I have long research socks that protect the feet well. I've finally found, sizes well, are nice and well protect your heels and ankles of the front foot. I definitely recommend this product.</v>
      </c>
    </row>
    <row r="15535">
      <c r="A15535" s="1">
        <v>5.0</v>
      </c>
      <c r="B15535" s="1" t="s">
        <v>15278</v>
      </c>
      <c r="C15535" t="str">
        <f>IFERROR(__xludf.DUMMYFUNCTION("GOOGLETRANSLATE(B15535, ""fr"", ""en"")"),"Perfect Perfect for my cloth diapers and linens len")</f>
        <v>Perfect Perfect for my cloth diapers and linens len</v>
      </c>
    </row>
    <row r="15536">
      <c r="A15536" s="1">
        <v>5.0</v>
      </c>
      <c r="B15536" s="1" t="s">
        <v>15279</v>
      </c>
      <c r="C15536" t="str">
        <f>IFERROR(__xludf.DUMMYFUNCTION("GOOGLETRANSLATE(B15536, ""fr"", ""en"")"),"Good sound quality This Live 500BT headphones JBL brand is used with wireless. We find in the box the headset, a power cable and an audio cable to the Jack format. I used it with a smartphone IOS using Bluetooth. It takes a few seconds and requires no add"&amp;"itional configuration software. At the level of comfort pads, they encompass many ears. They are flexible enough not to hurt. I find them comfortable. However, they keep warm. The arch located above the head slightly lack of comfort because it is not suff"&amp;"iciently reinforced for me. It's probably that I'm not yet used to its textile. At the sound reproduction, I was pleasantly surprised. The sound is clear and has good low and serious. I use several types of music and it's always a very good level. No nois"&amp;"e reduction, but the pads cut still slightly outside noise. If we remove the headphones while listening to music, there is no automatic detection to put it on hold. The autonomy is announced 30 hours. If the headset has no battery, it is possible in 15 mi"&amp;"nutes to give him 2 hours of battery life. I find the practical possibility to directly connect the headset via cable. This is especially useful when taking the plane. The volume controls are located directly on the headset. We must get used to using them"&amp;". It is also possible to make phone calls directly from the headset. I enjoyed the sound quality of these headphones Live 500BT, but it lacks a carrying bag.")</f>
        <v>Good sound quality This Live 500BT headphones JBL brand is used with wireless. We find in the box the headset, a power cable and an audio cable to the Jack format. I used it with a smartphone IOS using Bluetooth. It takes a few seconds and requires no additional configuration software. At the level of comfort pads, they encompass many ears. They are flexible enough not to hurt. I find them comfortable. However, they keep warm. The arch located above the head slightly lack of comfort because it is not sufficiently reinforced for me. It's probably that I'm not yet used to its textile. At the sound reproduction, I was pleasantly surprised. The sound is clear and has good low and serious. I use several types of music and it's always a very good level. No noise reduction, but the pads cut still slightly outside noise. If we remove the headphones while listening to music, there is no automatic detection to put it on hold. The autonomy is announced 30 hours. If the headset has no battery, it is possible in 15 minutes to give him 2 hours of battery life. I find the practical possibility to directly connect the headset via cable. This is especially useful when taking the plane. The volume controls are located directly on the headset. We must get used to using them. It is also possible to make phone calls directly from the headset. I enjoyed the sound quality of these headphones Live 500BT, but it lacks a carrying bag.</v>
      </c>
    </row>
    <row r="15537">
      <c r="A15537" s="1">
        <v>5.0</v>
      </c>
      <c r="B15537" s="1" t="s">
        <v>748</v>
      </c>
      <c r="C15537" t="str">
        <f>IFERROR(__xludf.DUMMYFUNCTION("GOOGLETRANSLATE(B15537, ""fr"", ""en"")"),"MAM - BASE My son uses his bottles since birth. They are perfect. Easy-care robust. I would not change it for the world. Besides, it's simple, my son refuses all other bottles. In addition, the anti colic action is great.")</f>
        <v>MAM - BASE My son uses his bottles since birth. They are perfect. Easy-care robust. I would not change it for the world. Besides, it's simple, my son refuses all other bottles. In addition, the anti colic action is great.</v>
      </c>
    </row>
    <row r="15538">
      <c r="A15538" s="1">
        <v>5.0</v>
      </c>
      <c r="B15538" s="1" t="s">
        <v>15280</v>
      </c>
      <c r="C15538" t="str">
        <f>IFERROR(__xludf.DUMMYFUNCTION("GOOGLETRANSLATE(B15538, ""fr"", ""en"")"),"Well great product to heat water well on what issue? In a kettle. A little bruillante.")</f>
        <v>Well great product to heat water well on what issue? In a kettle. A little bruillante.</v>
      </c>
    </row>
    <row r="15539">
      <c r="A15539" s="1">
        <v>5.0</v>
      </c>
      <c r="B15539" s="1" t="s">
        <v>15281</v>
      </c>
      <c r="C15539" t="str">
        <f>IFERROR(__xludf.DUMMYFUNCTION("GOOGLETRANSLATE(B15539, ""fr"", ""en"")"),"on top on top")</f>
        <v>on top on top</v>
      </c>
    </row>
    <row r="15540">
      <c r="A15540" s="1">
        <v>5.0</v>
      </c>
      <c r="B15540" s="1" t="s">
        <v>15282</v>
      </c>
      <c r="C15540" t="str">
        <f>IFERROR(__xludf.DUMMYFUNCTION("GOOGLETRANSLATE(B15540, ""fr"", ""en"")"),"lightweight Nike cap. The material is lightweight and ideal for summer because it does not warm.")</f>
        <v>lightweight Nike cap. The material is lightweight and ideal for summer because it does not warm.</v>
      </c>
    </row>
    <row r="15541">
      <c r="A15541" s="1">
        <v>5.0</v>
      </c>
      <c r="B15541" s="1" t="s">
        <v>15283</v>
      </c>
      <c r="C15541" t="str">
        <f>IFERROR(__xludf.DUMMYFUNCTION("GOOGLETRANSLATE(B15541, ""fr"", ""en"")"),"soap very well.")</f>
        <v>soap very well.</v>
      </c>
    </row>
    <row r="15542">
      <c r="A15542" s="1">
        <v>5.0</v>
      </c>
      <c r="B15542" s="1" t="s">
        <v>15284</v>
      </c>
      <c r="C15542" t="str">
        <f>IFERROR(__xludf.DUMMYFUNCTION("GOOGLETRANSLATE(B15542, ""fr"", ""en"")"),"super small, light, I take you anywhere on a trip and convenient two small cups")</f>
        <v>super small, light, I take you anywhere on a trip and convenient two small cups</v>
      </c>
    </row>
    <row r="15543">
      <c r="A15543" s="1">
        <v>5.0</v>
      </c>
      <c r="B15543" s="1" t="s">
        <v>15285</v>
      </c>
      <c r="C15543" t="str">
        <f>IFERROR(__xludf.DUMMYFUNCTION("GOOGLETRANSLATE(B15543, ""fr"", ""en"")"),"Nickel Nothing wrong with this case. Although manufactured and elegant.")</f>
        <v>Nickel Nothing wrong with this case. Although manufactured and elegant.</v>
      </c>
    </row>
    <row r="15544">
      <c r="A15544" s="1">
        <v>5.0</v>
      </c>
      <c r="B15544" s="1" t="s">
        <v>15286</v>
      </c>
      <c r="C15544" t="str">
        <f>IFERROR(__xludf.DUMMYFUNCTION("GOOGLETRANSLATE(B15544, ""fr"", ""en"")"),"Perfect RAS Fast delivery. Packing perfect. The case is good enough thick and rigid facture..Plastique which bodes good longevity. The size is adapted to the format these French registration cards. Good value for money. Recommend product.")</f>
        <v>Perfect RAS Fast delivery. Packing perfect. The case is good enough thick and rigid facture..Plastique which bodes good longevity. The size is adapted to the format these French registration cards. Good value for money. Recommend product.</v>
      </c>
    </row>
    <row r="15545">
      <c r="A15545" s="1">
        <v>5.0</v>
      </c>
      <c r="B15545" s="1" t="s">
        <v>15287</v>
      </c>
      <c r="C15545" t="str">
        <f>IFERROR(__xludf.DUMMYFUNCTION("GOOGLETRANSLATE(B15545, ""fr"", ""en"")"),"heart ring fancy a small favorite this value price congratulations simple ring very cute and nice thank you all")</f>
        <v>heart ring fancy a small favorite this value price congratulations simple ring very cute and nice thank you all</v>
      </c>
    </row>
    <row r="15546">
      <c r="A15546" s="1">
        <v>5.0</v>
      </c>
      <c r="B15546" s="1" t="s">
        <v>15288</v>
      </c>
      <c r="C15546" t="str">
        <f>IFERROR(__xludf.DUMMYFUNCTION("GOOGLETRANSLATE(B15546, ""fr"", ""en"")"),"Satisfied! It is ideal as a birthday gift for a girl. Super light and practical. The daughter of my friend is really happy, almost every night she sang.")</f>
        <v>Satisfied! It is ideal as a birthday gift for a girl. Super light and practical. The daughter of my friend is really happy, almost every night she sang.</v>
      </c>
    </row>
    <row r="15547">
      <c r="A15547" s="1">
        <v>5.0</v>
      </c>
      <c r="B15547" s="1" t="s">
        <v>15289</v>
      </c>
      <c r="C15547" t="str">
        <f>IFERROR(__xludf.DUMMYFUNCTION("GOOGLETRANSLATE(B15547, ""fr"", ""en"")"),"Perfect Very good")</f>
        <v>Perfect Very good</v>
      </c>
    </row>
    <row r="15548">
      <c r="A15548" s="1">
        <v>5.0</v>
      </c>
      <c r="B15548" s="1" t="s">
        <v>15290</v>
      </c>
      <c r="C15548" t="str">
        <f>IFERROR(__xludf.DUMMYFUNCTION("GOOGLETRANSLATE(B15548, ""fr"", ""en"")"),"Very good product My son loves these great headphones reduces the sound level. These headphones also isolate external sounds. no problem for her as associate.")</f>
        <v>Very good product My son loves these great headphones reduces the sound level. These headphones also isolate external sounds. no problem for her as associate.</v>
      </c>
    </row>
    <row r="15549">
      <c r="A15549" s="1">
        <v>2.0</v>
      </c>
      <c r="B15549" s="1" t="s">
        <v>15291</v>
      </c>
      <c r="C15549" t="str">
        <f>IFERROR(__xludf.DUMMYFUNCTION("GOOGLETRANSLATE(B15549, ""fr"", ""en"")"),"Not good shoes, the shoe that is off after 2 months of use! So trash, avoiding unfortunately.")</f>
        <v>Not good shoes, the shoe that is off after 2 months of use! So trash, avoiding unfortunately.</v>
      </c>
    </row>
    <row r="15550">
      <c r="A15550" s="1">
        <v>1.0</v>
      </c>
      <c r="B15550" s="1" t="s">
        <v>15292</v>
      </c>
      <c r="C15550" t="str">
        <f>IFERROR(__xludf.DUMMYFUNCTION("GOOGLETRANSLATE(B15550, ""fr"", ""en"")"),"Do not hold a charge Everything is said in the title, worked at the reception a big week with 4 outputs, but since does not take 1 day charge without using")</f>
        <v>Do not hold a charge Everything is said in the title, worked at the reception a big week with 4 outputs, but since does not take 1 day charge without using</v>
      </c>
    </row>
    <row r="15551">
      <c r="A15551" s="1">
        <v>1.0</v>
      </c>
      <c r="B15551" s="1" t="s">
        <v>15293</v>
      </c>
      <c r="C15551" t="str">
        <f>IFERROR(__xludf.DUMMYFUNCTION("GOOGLETRANSLATE(B15551, ""fr"", ""en"")"),"His discontinuous. One headset works Cuts its very annoying to listen on one of the two atria. When the two atria are close together (so not on the head): the sound is stereo but once you spot each ear on the ears there is one that does not transmit much "&amp;"sound and has cuts. In addition, the audio instructions are in Chinese. The manual is very poorly written making it difficult understanding instructions to properly match the two earphones. I am disappointed with this purchase. It is money down the drain "&amp;"and a waste for the environment. It is better to pay the price of a more serious brand of device.")</f>
        <v>His discontinuous. One headset works Cuts its very annoying to listen on one of the two atria. When the two atria are close together (so not on the head): the sound is stereo but once you spot each ear on the ears there is one that does not transmit much sound and has cuts. In addition, the audio instructions are in Chinese. The manual is very poorly written making it difficult understanding instructions to properly match the two earphones. I am disappointed with this purchase. It is money down the drain and a waste for the environment. It is better to pay the price of a more serious brand of device.</v>
      </c>
    </row>
    <row r="15552">
      <c r="A15552" s="1">
        <v>3.0</v>
      </c>
      <c r="B15552" s="1" t="s">
        <v>15294</v>
      </c>
      <c r="C15552" t="str">
        <f>IFERROR(__xludf.DUMMYFUNCTION("GOOGLETRANSLATE(B15552, ""fr"", ""en"")"),"eastpak bag of good quality however, depending on model and colors there are models of 3L and 2L5 and one I ordered arrived in good condition, well packaged, but 2L5. be careful before confirming the payment details because those differ by color or differ"&amp;"ence in tariffs to 10 euros.")</f>
        <v>eastpak bag of good quality however, depending on model and colors there are models of 3L and 2L5 and one I ordered arrived in good condition, well packaged, but 2L5. be careful before confirming the payment details because those differ by color or difference in tariffs to 10 euros.</v>
      </c>
    </row>
    <row r="15553">
      <c r="A15553" s="1">
        <v>3.0</v>
      </c>
      <c r="B15553" s="1" t="s">
        <v>15295</v>
      </c>
      <c r="C15553" t="str">
        <f>IFERROR(__xludf.DUMMYFUNCTION("GOOGLETRANSLATE(B15553, ""fr"", ""en"")"),"Just okay just okay")</f>
        <v>Just okay just okay</v>
      </c>
    </row>
    <row r="15554">
      <c r="A15554" s="1">
        <v>4.0</v>
      </c>
      <c r="B15554" s="1" t="s">
        <v>15296</v>
      </c>
      <c r="C15554" t="str">
        <f>IFERROR(__xludf.DUMMYFUNCTION("GOOGLETRANSLATE(B15554, ""fr"", ""en"")"),"To start microscopy clear book and well detailed. Undoubtedly satisfy beginners who want to learn microscopy in the preparation and staining of their projects. Good buy at a reasonable price.")</f>
        <v>To start microscopy clear book and well detailed. Undoubtedly satisfy beginners who want to learn microscopy in the preparation and staining of their projects. Good buy at a reasonable price.</v>
      </c>
    </row>
    <row r="15555">
      <c r="A15555" s="1">
        <v>4.0</v>
      </c>
      <c r="B15555" s="1" t="s">
        <v>15297</v>
      </c>
      <c r="C15555" t="str">
        <f>IFERROR(__xludf.DUMMYFUNCTION("GOOGLETRANSLATE(B15555, ""fr"", ""en"")"),"Felt permanent metal marker that is a good product against a white colored pen was all dry in the box is the only one that does not work I'm disappointed. Because I rely on it. super fast delivery.")</f>
        <v>Felt permanent metal marker that is a good product against a white colored pen was all dry in the box is the only one that does not work I'm disappointed. Because I rely on it. super fast delivery.</v>
      </c>
    </row>
    <row r="15556">
      <c r="A15556" s="1">
        <v>4.0</v>
      </c>
      <c r="B15556" s="1" t="s">
        <v>15298</v>
      </c>
      <c r="C15556" t="str">
        <f>IFERROR(__xludf.DUMMYFUNCTION("GOOGLETRANSLATE(B15556, ""fr"", ""en"")"),"Nice presentation I gave it to a family member for Christmas. This bracelet was appreciated as much as its presentation box. I recommand it.")</f>
        <v>Nice presentation I gave it to a family member for Christmas. This bracelet was appreciated as much as its presentation box. I recommand it.</v>
      </c>
    </row>
    <row r="15557">
      <c r="A15557" s="1">
        <v>4.0</v>
      </c>
      <c r="B15557" s="1" t="s">
        <v>15299</v>
      </c>
      <c r="C15557" t="str">
        <f>IFERROR(__xludf.DUMMYFUNCTION("GOOGLETRANSLATE(B15557, ""fr"", ""en"")"),"Good cut, good cut a little light, a little light")</f>
        <v>Good cut, good cut a little light, a little light</v>
      </c>
    </row>
    <row r="15558">
      <c r="A15558" s="1">
        <v>5.0</v>
      </c>
      <c r="B15558" s="1" t="s">
        <v>15300</v>
      </c>
      <c r="C15558" t="str">
        <f>IFERROR(__xludf.DUMMYFUNCTION("GOOGLETRANSLATE(B15558, ""fr"", ""en"")"),"buy without hesitation great product, faster delivery than expected (2d), in line with my expectations; buy without hesitation")</f>
        <v>buy without hesitation great product, faster delivery than expected (2d), in line with my expectations; buy without hesitation</v>
      </c>
    </row>
    <row r="15559">
      <c r="A15559" s="1">
        <v>5.0</v>
      </c>
      <c r="B15559" s="1" t="s">
        <v>15301</v>
      </c>
      <c r="C15559" t="str">
        <f>IFERROR(__xludf.DUMMYFUNCTION("GOOGLETRANSLATE(B15559, ""fr"", ""en"")"),"Easy to Size perfect")</f>
        <v>Easy to Size perfect</v>
      </c>
    </row>
    <row r="15560">
      <c r="A15560" s="1">
        <v>5.0</v>
      </c>
      <c r="B15560" s="1" t="s">
        <v>3161</v>
      </c>
      <c r="C15560" t="str">
        <f>IFERROR(__xludf.DUMMYFUNCTION("GOOGLETRANSLATE(B15560, ""fr"", ""en"")"),"very good very good")</f>
        <v>very good very good</v>
      </c>
    </row>
    <row r="15561">
      <c r="A15561" s="1">
        <v>5.0</v>
      </c>
      <c r="B15561" s="1" t="s">
        <v>15302</v>
      </c>
      <c r="C15561" t="str">
        <f>IFERROR(__xludf.DUMMYFUNCTION("GOOGLETRANSLATE(B15561, ""fr"", ""en"")"),"careful attention ... I shoe size 36-37 to the base and I laughed the 38 and it fit me very well then thought to take 1 size 2 see above its usual size and also it is a little Durre has put his foot with shoes should be much simpler.")</f>
        <v>careful attention ... I shoe size 36-37 to the base and I laughed the 38 and it fit me very well then thought to take 1 size 2 see above its usual size and also it is a little Durre has put his foot with shoes should be much simpler.</v>
      </c>
    </row>
    <row r="15562">
      <c r="A15562" s="1">
        <v>5.0</v>
      </c>
      <c r="B15562" s="1" t="s">
        <v>15303</v>
      </c>
      <c r="C15562" t="str">
        <f>IFERROR(__xludf.DUMMYFUNCTION("GOOGLETRANSLATE(B15562, ""fr"", ""en"")"),"Suitable for daily use")</f>
        <v>Suitable for daily use</v>
      </c>
    </row>
    <row r="15563">
      <c r="A15563" s="1">
        <v>5.0</v>
      </c>
      <c r="B15563" s="1" t="s">
        <v>15304</v>
      </c>
      <c r="C15563" t="str">
        <f>IFERROR(__xludf.DUMMYFUNCTION("GOOGLETRANSLATE(B15563, ""fr"", ""en"")"),"Nickel 😉 product according to the command. Nothing to say he does taff 👌🏼")</f>
        <v>Nickel 😉 product according to the command. Nothing to say he does taff 👌🏼</v>
      </c>
    </row>
    <row r="15564">
      <c r="A15564" s="1">
        <v>5.0</v>
      </c>
      <c r="B15564" s="1" t="s">
        <v>15305</v>
      </c>
      <c r="C15564" t="str">
        <f>IFERROR(__xludf.DUMMYFUNCTION("GOOGLETRANSLATE(B15564, ""fr"", ""en"")"),"Well Used as a desk lamp, 3 possible light intensity associated with 5 possibilities of ambient light make it a very pleasant light and easy to use. I'll buy two (bedside and additional lighting).")</f>
        <v>Well Used as a desk lamp, 3 possible light intensity associated with 5 possibilities of ambient light make it a very pleasant light and easy to use. I'll buy two (bedside and additional lighting).</v>
      </c>
    </row>
    <row r="15565">
      <c r="A15565" s="1">
        <v>5.0</v>
      </c>
      <c r="B15565" s="1" t="s">
        <v>15306</v>
      </c>
      <c r="C15565" t="str">
        <f>IFERROR(__xludf.DUMMYFUNCTION("GOOGLETRANSLATE(B15565, ""fr"", ""en"")"),"very well in for the price I've eb buy another pair")</f>
        <v>very well in for the price I've eb buy another pair</v>
      </c>
    </row>
    <row r="15566">
      <c r="A15566" s="1">
        <v>5.0</v>
      </c>
      <c r="B15566" s="1" t="s">
        <v>15307</v>
      </c>
      <c r="C15566" t="str">
        <f>IFERROR(__xludf.DUMMYFUNCTION("GOOGLETRANSLATE(B15566, ""fr"", ""en"")"),"comfort and material well size does well it is light one does not feel on the skin, is light material, color is top and the cup also very good value")</f>
        <v>comfort and material well size does well it is light one does not feel on the skin, is light material, color is top and the cup also very good value</v>
      </c>
    </row>
    <row r="15567">
      <c r="A15567" s="1">
        <v>5.0</v>
      </c>
      <c r="B15567" s="1" t="s">
        <v>15308</v>
      </c>
      <c r="C15567" t="str">
        <f>IFERROR(__xludf.DUMMYFUNCTION("GOOGLETRANSLATE(B15567, ""fr"", ""en"")"),"Kit anti-colic perfect for a birth very complete kit to have enough bottles for the first months of the newborns. All bottles are fitted with anti-colic valves that introduce a small amount of air to each suction, to avoid too full effect in the stomach a"&amp;"nd reduce the risk of regurgitation or painful flatulence (yes it's not glamorous, but it is reality).")</f>
        <v>Kit anti-colic perfect for a birth very complete kit to have enough bottles for the first months of the newborns. All bottles are fitted with anti-colic valves that introduce a small amount of air to each suction, to avoid too full effect in the stomach and reduce the risk of regurgitation or painful flatulence (yes it's not glamorous, but it is reality).</v>
      </c>
    </row>
    <row r="15568">
      <c r="A15568" s="1">
        <v>5.0</v>
      </c>
      <c r="B15568" s="1" t="s">
        <v>15309</v>
      </c>
      <c r="C15568" t="str">
        <f>IFERROR(__xludf.DUMMYFUNCTION("GOOGLETRANSLATE(B15568, ""fr"", ""en"")"),"Perfect quality is there and the price. exactly the same shoes that I wanted. Delivery without worry. Very satisfied with my purchase.")</f>
        <v>Perfect quality is there and the price. exactly the same shoes that I wanted. Delivery without worry. Very satisfied with my purchase.</v>
      </c>
    </row>
    <row r="15569">
      <c r="A15569" s="1">
        <v>5.0</v>
      </c>
      <c r="B15569" s="1" t="s">
        <v>15310</v>
      </c>
      <c r="C15569" t="str">
        <f>IFERROR(__xludf.DUMMYFUNCTION("GOOGLETRANSLATE(B15569, ""fr"", ""en"")"),"EXCELLENT printer on my XP 225 I am delighted to have purchased these cartridges at a competitive price compared to genuine Epson cartridges. The print quality is good (the colors might be a bit clearer). Installation is no problem. The number of cartridg"&amp;"es (12) XL will allow me now to print without restraint. impeccable packaging, fast delivery.")</f>
        <v>EXCELLENT printer on my XP 225 I am delighted to have purchased these cartridges at a competitive price compared to genuine Epson cartridges. The print quality is good (the colors might be a bit clearer). Installation is no problem. The number of cartridges (12) XL will allow me now to print without restraint. impeccable packaging, fast delivery.</v>
      </c>
    </row>
    <row r="15570">
      <c r="A15570" s="1">
        <v>5.0</v>
      </c>
      <c r="B15570" s="1" t="s">
        <v>15311</v>
      </c>
      <c r="C15570" t="str">
        <f>IFERROR(__xludf.DUMMYFUNCTION("GOOGLETRANSLATE(B15570, ""fr"", ""en"")"),"safety shoes extra comfortable for my work mandatory safety shoes and those of my job hyper hurt my feet I have chosen this pair rather disappointed as feet in slippers I took the size 38 on top I board this")</f>
        <v>safety shoes extra comfortable for my work mandatory safety shoes and those of my job hyper hurt my feet I have chosen this pair rather disappointed as feet in slippers I took the size 38 on top I board this</v>
      </c>
    </row>
    <row r="15571">
      <c r="A15571" s="1">
        <v>5.0</v>
      </c>
      <c r="B15571" s="1" t="s">
        <v>15312</v>
      </c>
      <c r="C15571" t="str">
        <f>IFERROR(__xludf.DUMMYFUNCTION("GOOGLETRANSLATE(B15571, ""fr"", ""en"")"),"Very good hot water bottle hot water bottle. Easy to use, qq minutes in the microwave. Great for muscle contractions. Seek the advice of the doctor where physiotherapist.")</f>
        <v>Very good hot water bottle hot water bottle. Easy to use, qq minutes in the microwave. Great for muscle contractions. Seek the advice of the doctor where physiotherapist.</v>
      </c>
    </row>
    <row r="15572">
      <c r="A15572" s="1">
        <v>5.0</v>
      </c>
      <c r="B15572" s="1" t="s">
        <v>15313</v>
      </c>
      <c r="C15572" t="str">
        <f>IFERROR(__xludf.DUMMYFUNCTION("GOOGLETRANSLATE(B15572, ""fr"", ""en"")"),"Quality! Good product ! Could have been delivered with Rode Wireless Go! Pity")</f>
        <v>Quality! Good product ! Could have been delivered with Rode Wireless Go! Pity</v>
      </c>
    </row>
    <row r="15573">
      <c r="A15573" s="1">
        <v>2.0</v>
      </c>
      <c r="B15573" s="1" t="s">
        <v>15314</v>
      </c>
      <c r="C15573" t="str">
        <f>IFERROR(__xludf.DUMMYFUNCTION("GOOGLETRANSLATE(B15573, ""fr"", ""en"")"),"incorrect state of the early state of the product not Nikel closure that was already torn")</f>
        <v>incorrect state of the early state of the product not Nikel closure that was already torn</v>
      </c>
    </row>
    <row r="15574">
      <c r="A15574" s="1">
        <v>1.0</v>
      </c>
      <c r="B15574" s="1" t="s">
        <v>15315</v>
      </c>
      <c r="C15574" t="str">
        <f>IFERROR(__xludf.DUMMYFUNCTION("GOOGLETRANSLATE(B15574, ""fr"", ""en"")"),"Color rubs off quickly ... ""Total black"" at first, but after a few days, the colors faded fairly quickly, whereas before the Vans stood well over time ... I do not recommend.")</f>
        <v>Color rubs off quickly ... "Total black" at first, but after a few days, the colors faded fairly quickly, whereas before the Vans stood well over time ... I do not recommend.</v>
      </c>
    </row>
    <row r="15575">
      <c r="A15575" s="1">
        <v>1.0</v>
      </c>
      <c r="B15575" s="1" t="s">
        <v>15316</v>
      </c>
      <c r="C15575" t="str">
        <f>IFERROR(__xludf.DUMMYFUNCTION("GOOGLETRANSLATE(B15575, ""fr"", ""en"")"),"Battery holds 12 max battery is downloaded too quickly return to sender calls 20 hours")</f>
        <v>Battery holds 12 max battery is downloaded too quickly return to sender calls 20 hours</v>
      </c>
    </row>
    <row r="15576">
      <c r="A15576" s="1">
        <v>3.0</v>
      </c>
      <c r="B15576" s="1" t="s">
        <v>15317</v>
      </c>
      <c r="C15576" t="str">
        <f>IFERROR(__xludf.DUMMYFUNCTION("GOOGLETRANSLATE(B15576, ""fr"", ""en"")"),"size just a bit thicker but the 2 leggings are a fairly thick material, not transparent, and they are well stretchable but they cut a little small")</f>
        <v>size just a bit thicker but the 2 leggings are a fairly thick material, not transparent, and they are well stretchable but they cut a little small</v>
      </c>
    </row>
    <row r="15577">
      <c r="A15577" s="1">
        <v>4.0</v>
      </c>
      <c r="B15577" s="1" t="s">
        <v>15318</v>
      </c>
      <c r="C15577" t="str">
        <f>IFERROR(__xludf.DUMMYFUNCTION("GOOGLETRANSLATE(B15577, ""fr"", ""en"")"),"NOTHING TO SAY GOOD VALUE FOR MONEY I bought for the water temperature. It is reliable to 1 degree loan, a good choice, not expensive for me to bathe all year.")</f>
        <v>NOTHING TO SAY GOOD VALUE FOR MONEY I bought for the water temperature. It is reliable to 1 degree loan, a good choice, not expensive for me to bathe all year.</v>
      </c>
    </row>
    <row r="15578">
      <c r="A15578" s="1">
        <v>4.0</v>
      </c>
      <c r="B15578" s="1" t="s">
        <v>15319</v>
      </c>
      <c r="C15578" t="str">
        <f>IFERROR(__xludf.DUMMYFUNCTION("GOOGLETRANSLATE(B15578, ""fr"", ""en"")"),"Effective Material very pretty and efficace.dommage that record is not in French")</f>
        <v>Effective Material very pretty and efficace.dommage that record is not in French</v>
      </c>
    </row>
    <row r="15579">
      <c r="A15579" s="1">
        <v>4.0</v>
      </c>
      <c r="B15579" s="1" t="s">
        <v>15320</v>
      </c>
      <c r="C15579" t="str">
        <f>IFERROR(__xludf.DUMMYFUNCTION("GOOGLETRANSLATE(B15579, ""fr"", ""en"")"),"Great product I bought this helmet when running. It is light, beautiful, soft but seems pretty solid. I am very happy for the moment. The sound is good and the price is very good for use as I do.")</f>
        <v>Great product I bought this helmet when running. It is light, beautiful, soft but seems pretty solid. I am very happy for the moment. The sound is good and the price is very good for use as I do.</v>
      </c>
    </row>
    <row r="15580">
      <c r="A15580" s="1">
        <v>4.0</v>
      </c>
      <c r="B15580" s="1" t="s">
        <v>15321</v>
      </c>
      <c r="C15580" t="str">
        <f>IFERROR(__xludf.DUMMYFUNCTION("GOOGLETRANSLATE(B15580, ""fr"", ""en"")"),"Small Problem beautiful watch and class, however, a downside therefore enough, the clasp from my first use is very complicated and is veiled in, which allows the watch to withdraw almost all the time .....")</f>
        <v>Small Problem beautiful watch and class, however, a downside therefore enough, the clasp from my first use is very complicated and is veiled in, which allows the watch to withdraw almost all the time .....</v>
      </c>
    </row>
    <row r="15581">
      <c r="A15581" s="1">
        <v>5.0</v>
      </c>
      <c r="B15581" s="1" t="s">
        <v>15322</v>
      </c>
      <c r="C15581" t="str">
        <f>IFERROR(__xludf.DUMMYFUNCTION("GOOGLETRANSLATE(B15581, ""fr"", ""en"")"),"Same great product in every respect to the one I already purchased directly from timberland, but at a more attractive price, I recommended if you know your size.")</f>
        <v>Same great product in every respect to the one I already purchased directly from timberland, but at a more attractive price, I recommended if you know your size.</v>
      </c>
    </row>
    <row r="15582">
      <c r="A15582" s="1">
        <v>5.0</v>
      </c>
      <c r="B15582" s="1" t="s">
        <v>15323</v>
      </c>
      <c r="C15582" t="str">
        <f>IFERROR(__xludf.DUMMYFUNCTION("GOOGLETRANSLATE(B15582, ""fr"", ""en"")"),"Delivered on time, matching the description, very good condition, very happy Paper perfect bubble and received in good condition, it protects well")</f>
        <v>Delivered on time, matching the description, very good condition, very happy Paper perfect bubble and received in good condition, it protects well</v>
      </c>
    </row>
    <row r="15583">
      <c r="A15583" s="1">
        <v>5.0</v>
      </c>
      <c r="B15583" s="1" t="s">
        <v>15324</v>
      </c>
      <c r="C15583" t="str">
        <f>IFERROR(__xludf.DUMMYFUNCTION("GOOGLETRANSLATE(B15583, ""fr"", ""en"")"),"handy even with our Tomme Tippee baby bottles, okay paid 4 € for a major cleaning, the bristles are soft but fairly scratch")</f>
        <v>handy even with our Tomme Tippee baby bottles, okay paid 4 € for a major cleaning, the bristles are soft but fairly scratch</v>
      </c>
    </row>
    <row r="15584">
      <c r="A15584" s="1">
        <v>5.0</v>
      </c>
      <c r="B15584" s="1" t="s">
        <v>15325</v>
      </c>
      <c r="C15584" t="str">
        <f>IFERROR(__xludf.DUMMYFUNCTION("GOOGLETRANSLATE(B15584, ""fr"", ""en"")"),"Very good very good device, I work a lot standing and therefore the legs are heavy. And off the evening after a bit of a foot massage and improves the situation very well.")</f>
        <v>Very good very good device, I work a lot standing and therefore the legs are heavy. And off the evening after a bit of a foot massage and improves the situation very well.</v>
      </c>
    </row>
    <row r="15585">
      <c r="A15585" s="1">
        <v>5.0</v>
      </c>
      <c r="B15585" s="1" t="s">
        <v>15326</v>
      </c>
      <c r="C15585" t="str">
        <f>IFERROR(__xludf.DUMMYFUNCTION("GOOGLETRANSLATE(B15585, ""fr"", ""en"")"),"Upload gas lighter")</f>
        <v>Upload gas lighter</v>
      </c>
    </row>
    <row r="15586">
      <c r="A15586" s="1">
        <v>5.0</v>
      </c>
      <c r="B15586" s="1" t="s">
        <v>15327</v>
      </c>
      <c r="C15586" t="str">
        <f>IFERROR(__xludf.DUMMYFUNCTION("GOOGLETRANSLATE(B15586, ""fr"", ""en"")"),"Super party with family! 🥳 highly functional products! Ideal for evenings with family or friends. It is easy to use! The sound quality is excellent! We had fun with this microphone. I recommend!")</f>
        <v>Super party with family! 🥳 highly functional products! Ideal for evenings with family or friends. It is easy to use! The sound quality is excellent! We had fun with this microphone. I recommend!</v>
      </c>
    </row>
    <row r="15587">
      <c r="A15587" s="1">
        <v>5.0</v>
      </c>
      <c r="B15587" s="1" t="s">
        <v>15328</v>
      </c>
      <c r="C15587" t="str">
        <f>IFERROR(__xludf.DUMMYFUNCTION("GOOGLETRANSLATE(B15587, ""fr"", ""en"")"),"Nickel best value for money can choose an intermediate size, which is necessary for me and not always possible")</f>
        <v>Nickel best value for money can choose an intermediate size, which is necessary for me and not always possible</v>
      </c>
    </row>
    <row r="15588">
      <c r="A15588" s="1">
        <v>5.0</v>
      </c>
      <c r="B15588" s="1" t="s">
        <v>15329</v>
      </c>
      <c r="C15588" t="str">
        <f>IFERROR(__xludf.DUMMYFUNCTION("GOOGLETRANSLATE(B15588, ""fr"", ""en"")"),"effective and not Laminator dear &lt;div id = ""video-block-R2PR2VN510K7IO"" class = ""a-section-spacing-small in-spacing-top mini video-block""&gt; &lt;/ div&gt; &lt;input type = ""hidden"" name = """" value = ""https://images-eu.ssl-images-amazon.com/images/I/A1CQNR8T"&amp;"f8S.mp4"" class = ""video-url""&gt; &lt;input type = ""hidden"" name = """" value = ""https://images-eu.ssl-images-amazon.com/images/I/B16G8h1ZI0S.png"" class = ""video-slate-img-url""&gt; &amp; nbsp; I bought this laminator for years games and my son at home and also"&amp;" for different displays on the walls. I find it really great! It allows all kinds of laminating up to A3 and in addition, the plastic sheets are provided inside. There are also small pliers and small frames make a nice garland photo hanging. A small hole "&amp;"punch is also present inside. I really recommend.")</f>
        <v>effective and not Laminator dear &lt;div id = "video-block-R2PR2VN510K7IO" class = "a-section-spacing-small in-spacing-top mini video-block"&gt; &lt;/ div&gt; &lt;input type = "hidden" name = "" value = "https://images-eu.ssl-images-amazon.com/images/I/A1CQNR8Tf8S.mp4" class = "video-url"&gt; &lt;input type = "hidden" name = "" value = "https://images-eu.ssl-images-amazon.com/images/I/B16G8h1ZI0S.png" class = "video-slate-img-url"&gt; &amp; nbsp; I bought this laminator for years games and my son at home and also for different displays on the walls. I find it really great! It allows all kinds of laminating up to A3 and in addition, the plastic sheets are provided inside. There are also small pliers and small frames make a nice garland photo hanging. A small hole punch is also present inside. I really recommend.</v>
      </c>
    </row>
    <row r="15589">
      <c r="A15589" s="1">
        <v>5.0</v>
      </c>
      <c r="B15589" s="1" t="s">
        <v>15330</v>
      </c>
      <c r="C15589" t="str">
        <f>IFERROR(__xludf.DUMMYFUNCTION("GOOGLETRANSLATE(B15589, ""fr"", ""en"")"),"Very light very well thank you")</f>
        <v>Very light very well thank you</v>
      </c>
    </row>
    <row r="15590">
      <c r="A15590" s="1">
        <v>5.0</v>
      </c>
      <c r="B15590" s="1" t="s">
        <v>4182</v>
      </c>
      <c r="C15590" t="str">
        <f>IFERROR(__xludf.DUMMYFUNCTION("GOOGLETRANSLATE(B15590, ""fr"", ""en"")"),"perfect item consistent with the description. The size is to take the usual size. Of good quality, to see wear but nothing bad yet.")</f>
        <v>perfect item consistent with the description. The size is to take the usual size. Of good quality, to see wear but nothing bad yet.</v>
      </c>
    </row>
    <row r="15591">
      <c r="A15591" s="1">
        <v>5.0</v>
      </c>
      <c r="B15591" s="1" t="s">
        <v>15331</v>
      </c>
      <c r="C15591" t="str">
        <f>IFERROR(__xludf.DUMMYFUNCTION("GOOGLETRANSLATE(B15591, ""fr"", ""en"")"),"Indispensable I use them to attach CDs included with magazines My Boy (Style ""great stories""), or to schedule cards or posters on the walls so as not to damage them. Really convenient to use, they stick very well. I'll buy when I will have more (but I h"&amp;"ave enough to see it coming because there bcp VRT).")</f>
        <v>Indispensable I use them to attach CDs included with magazines My Boy (Style "great stories"), or to schedule cards or posters on the walls so as not to damage them. Really convenient to use, they stick very well. I'll buy when I will have more (but I have enough to see it coming because there bcp VRT).</v>
      </c>
    </row>
    <row r="15592">
      <c r="A15592" s="1">
        <v>5.0</v>
      </c>
      <c r="B15592" s="1" t="s">
        <v>15332</v>
      </c>
      <c r="C15592" t="str">
        <f>IFERROR(__xludf.DUMMYFUNCTION("GOOGLETRANSLATE(B15592, ""fr"", ""en"")"),"Very good Excellent product, attention, not even the heating time between plastic bottles and glasses")</f>
        <v>Very good Excellent product, attention, not even the heating time between plastic bottles and glasses</v>
      </c>
    </row>
    <row r="15593">
      <c r="A15593" s="1">
        <v>5.0</v>
      </c>
      <c r="B15593" s="1" t="s">
        <v>15333</v>
      </c>
      <c r="C15593" t="str">
        <f>IFERROR(__xludf.DUMMYFUNCTION("GOOGLETRANSLATE(B15593, ""fr"", ""en"")"),"Very happy very happy Perfect")</f>
        <v>Very happy very happy Perfect</v>
      </c>
    </row>
    <row r="15594">
      <c r="A15594" s="1">
        <v>5.0</v>
      </c>
      <c r="B15594" s="1" t="s">
        <v>15334</v>
      </c>
      <c r="C15594" t="str">
        <f>IFERROR(__xludf.DUMMYFUNCTION("GOOGLETRANSLATE(B15594, ""fr"", ""en"")"),"Very good value Super socks")</f>
        <v>Very good value Super socks</v>
      </c>
    </row>
    <row r="15595">
      <c r="A15595" s="1">
        <v>5.0</v>
      </c>
      <c r="B15595" s="1" t="s">
        <v>15335</v>
      </c>
      <c r="C15595" t="str">
        <f>IFERROR(__xludf.DUMMYFUNCTION("GOOGLETRANSLATE(B15595, ""fr"", ""en"")"),"Adapted to a child in EC1. My son is conquered. Sometimes alone has read without any worries with CE1 level. He makes you want to read is the main")</f>
        <v>Adapted to a child in EC1. My son is conquered. Sometimes alone has read without any worries with CE1 level. He makes you want to read is the main</v>
      </c>
    </row>
    <row r="15596">
      <c r="A15596" s="1">
        <v>2.0</v>
      </c>
      <c r="B15596" s="1" t="s">
        <v>15336</v>
      </c>
      <c r="C15596" t="str">
        <f>IFERROR(__xludf.DUMMYFUNCTION("GOOGLETRANSLATE(B15596, ""fr"", ""en"")"),"Good but not comfortable product with a very good sound, the bass is superb. By cons I have not found it comfortable all the tips that hurt my ears. Otherwise very beautiful and aesthetically beautiful storage box and refill. Just a clarification, but the"&amp;"y really do not isolate the noise around him.")</f>
        <v>Good but not comfortable product with a very good sound, the bass is superb. By cons I have not found it comfortable all the tips that hurt my ears. Otherwise very beautiful and aesthetically beautiful storage box and refill. Just a clarification, but they really do not isolate the noise around him.</v>
      </c>
    </row>
    <row r="15597">
      <c r="A15597" s="1">
        <v>1.0</v>
      </c>
      <c r="B15597" s="1" t="s">
        <v>15337</v>
      </c>
      <c r="C15597" t="str">
        <f>IFERROR(__xludf.DUMMYFUNCTION("GOOGLETRANSLATE(B15597, ""fr"", ""en"")"),"Disappointed control ridge to receive yellow and orange pattern, I ultimately received, for my little boy a pink and purple pattern ... disappointed")</f>
        <v>Disappointed control ridge to receive yellow and orange pattern, I ultimately received, for my little boy a pink and purple pattern ... disappointed</v>
      </c>
    </row>
    <row r="15598">
      <c r="A15598" s="1">
        <v>3.0</v>
      </c>
      <c r="B15598" s="1" t="s">
        <v>15338</v>
      </c>
      <c r="C15598" t="str">
        <f>IFERROR(__xludf.DUMMYFUNCTION("GOOGLETRANSLATE(B15598, ""fr"", ""en"")"),"Pendant ""flat"" Matches the description and photo, however the pendant is rather flat. I expected a pendant ""ball"" ... reading too fast for me.")</f>
        <v>Pendant "flat" Matches the description and photo, however the pendant is rather flat. I expected a pendant "ball" ... reading too fast for me.</v>
      </c>
    </row>
    <row r="15599">
      <c r="A15599" s="1">
        <v>3.0</v>
      </c>
      <c r="B15599" s="1" t="s">
        <v>15339</v>
      </c>
      <c r="C15599" t="str">
        <f>IFERROR(__xludf.DUMMYFUNCTION("GOOGLETRANSLATE(B15599, ""fr"", ""en"")"),"More to care for relaxing Nice but according as you sit, this is not very pleasant. We are obliged to stay upright, suddenly we are not relaxing mode. Hot is not hot. However, I used it for muscle contraction and this has been a relief")</f>
        <v>More to care for relaxing Nice but according as you sit, this is not very pleasant. We are obliged to stay upright, suddenly we are not relaxing mode. Hot is not hot. However, I used it for muscle contraction and this has been a relief</v>
      </c>
    </row>
    <row r="15600">
      <c r="A15600" s="1">
        <v>4.0</v>
      </c>
      <c r="B15600" s="1" t="s">
        <v>15340</v>
      </c>
      <c r="C15600" t="str">
        <f>IFERROR(__xludf.DUMMYFUNCTION("GOOGLETRANSLATE(B15600, ""fr"", ""en"")"),"Good agenda Practical, simple and solid. The format is great in my hair but after all this is very convenient. All holidays mentioned by corresponding letters to the country.")</f>
        <v>Good agenda Practical, simple and solid. The format is great in my hair but after all this is very convenient. All holidays mentioned by corresponding letters to the country.</v>
      </c>
    </row>
    <row r="15601">
      <c r="A15601" s="1">
        <v>4.0</v>
      </c>
      <c r="B15601" s="1" t="s">
        <v>15341</v>
      </c>
      <c r="C15601" t="str">
        <f>IFERROR(__xludf.DUMMYFUNCTION("GOOGLETRANSLATE(B15601, ""fr"", ""en"")"),"Great but not the right size Jenleve a star because the size I asked didnt respect but was otherwise the quality is top, I keep them for the son of my companion for the next summer")</f>
        <v>Great but not the right size Jenleve a star because the size I asked didnt respect but was otherwise the quality is top, I keep them for the son of my companion for the next summer</v>
      </c>
    </row>
    <row r="15602">
      <c r="A15602" s="1">
        <v>4.0</v>
      </c>
      <c r="B15602" s="1" t="s">
        <v>15342</v>
      </c>
      <c r="C15602" t="str">
        <f>IFERROR(__xludf.DUMMYFUNCTION("GOOGLETRANSLATE(B15602, ""fr"", ""en"")"),"tobacco pouch product good value for money in line with our expectation and our request leather quality is very good")</f>
        <v>tobacco pouch product good value for money in line with our expectation and our request leather quality is very good</v>
      </c>
    </row>
    <row r="15603">
      <c r="A15603" s="1">
        <v>4.0</v>
      </c>
      <c r="B15603" s="1" t="s">
        <v>15343</v>
      </c>
      <c r="C15603" t="str">
        <f>IFERROR(__xludf.DUMMYFUNCTION("GOOGLETRANSLATE(B15603, ""fr"", ""en"")"),"Good value for money  . But put a user's manual in FRENCH For the time !!! . The manual supplied with the watch is in English and German, I would like to have in FRENCH.")</f>
        <v>Good value for money  . But put a user's manual in FRENCH For the time !!! . The manual supplied with the watch is in English and German, I would like to have in FRENCH.</v>
      </c>
    </row>
    <row r="15604">
      <c r="A15604" s="1">
        <v>5.0</v>
      </c>
      <c r="B15604" s="1" t="s">
        <v>15344</v>
      </c>
      <c r="C15604" t="str">
        <f>IFERROR(__xludf.DUMMYFUNCTION("GOOGLETRANSLATE(B15604, ""fr"", ""en"")"),"Item received Genus. Mark. Color. Price. Very comfortable.")</f>
        <v>Item received Genus. Mark. Color. Price. Very comfortable.</v>
      </c>
    </row>
    <row r="15605">
      <c r="A15605" s="1">
        <v>5.0</v>
      </c>
      <c r="B15605" s="1" t="s">
        <v>15345</v>
      </c>
      <c r="C15605" t="str">
        <f>IFERROR(__xludf.DUMMYFUNCTION("GOOGLETRANSLATE(B15605, ""fr"", ""en"")"),"simple and effective case The case is well suited to protect the gray cards and fold the right place of registration. Quick to read the document without damaged")</f>
        <v>simple and effective case The case is well suited to protect the gray cards and fold the right place of registration. Quick to read the document without damaged</v>
      </c>
    </row>
    <row r="15606">
      <c r="A15606" s="1">
        <v>5.0</v>
      </c>
      <c r="B15606" s="1" t="s">
        <v>15346</v>
      </c>
      <c r="C15606" t="str">
        <f>IFERROR(__xludf.DUMMYFUNCTION("GOOGLETRANSLATE(B15606, ""fr"", ""en"")"),"Quality and comfort Helmet offered to my husband. Great sound cut outside noise. Super nice and soft on the ears. No complaints")</f>
        <v>Quality and comfort Helmet offered to my husband. Great sound cut outside noise. Super nice and soft on the ears. No complaints</v>
      </c>
    </row>
    <row r="15607">
      <c r="A15607" s="1">
        <v>5.0</v>
      </c>
      <c r="B15607" s="1" t="s">
        <v>15347</v>
      </c>
      <c r="C15607" t="str">
        <f>IFERROR(__xludf.DUMMYFUNCTION("GOOGLETRANSLATE(B15607, ""fr"", ""en"")"),"Truly Sublime! Just sublime, frankly there's nothing else To tell! Look good qualities, to do with time. Starts at 4000%")</f>
        <v>Truly Sublime! Just sublime, frankly there's nothing else To tell! Look good qualities, to do with time. Starts at 4000%</v>
      </c>
    </row>
    <row r="15608">
      <c r="A15608" s="1">
        <v>5.0</v>
      </c>
      <c r="B15608" s="1" t="s">
        <v>15348</v>
      </c>
      <c r="C15608" t="str">
        <f>IFERROR(__xludf.DUMMYFUNCTION("GOOGLETRANSLATE(B15608, ""fr"", ""en"")"),"Perfect Very nice and consistent with the picture")</f>
        <v>Perfect Very nice and consistent with the picture</v>
      </c>
    </row>
    <row r="15609">
      <c r="A15609" s="1">
        <v>5.0</v>
      </c>
      <c r="B15609" s="1" t="s">
        <v>15349</v>
      </c>
      <c r="C15609" t="str">
        <f>IFERROR(__xludf.DUMMYFUNCTION("GOOGLETRANSLATE(B15609, ""fr"", ""en"")"),"very good oil, and adheres made good very good oil mine: this is several orders already, I highly recommend")</f>
        <v>very good oil, and adheres made good very good oil mine: this is several orders already, I highly recommend</v>
      </c>
    </row>
    <row r="15610">
      <c r="A15610" s="1">
        <v>5.0</v>
      </c>
      <c r="B15610" s="1" t="s">
        <v>15350</v>
      </c>
      <c r="C15610" t="str">
        <f>IFERROR(__xludf.DUMMYFUNCTION("GOOGLETRANSLATE(B15610, ""fr"", ""en"")"),"Perfect book very well my daughter is in PC and loves, she has succeeded in reading alone, I recommend, very good, there are reading levels (beginning, middle and end of the PC)")</f>
        <v>Perfect book very well my daughter is in PC and loves, she has succeeded in reading alone, I recommend, very good, there are reading levels (beginning, middle and end of the PC)</v>
      </c>
    </row>
    <row r="15611">
      <c r="A15611" s="1">
        <v>5.0</v>
      </c>
      <c r="B15611" s="1" t="s">
        <v>15351</v>
      </c>
      <c r="C15611" t="str">
        <f>IFERROR(__xludf.DUMMYFUNCTION("GOOGLETRANSLATE(B15611, ""fr"", ""en"")"),"Baby necklace very beautiful necklace that works well for baby and teething. very beautiful color and each stone is separated by a security node for")</f>
        <v>Baby necklace very beautiful necklace that works well for baby and teething. very beautiful color and each stone is separated by a security node for</v>
      </c>
    </row>
    <row r="15612">
      <c r="A15612" s="1">
        <v>5.0</v>
      </c>
      <c r="B15612" s="1" t="s">
        <v>15352</v>
      </c>
      <c r="C15612" t="str">
        <f>IFERROR(__xludf.DUMMYFUNCTION("GOOGLETRANSLATE(B15612, ""fr"", ""en"")"),"I love beautiful oil I recommend")</f>
        <v>I love beautiful oil I recommend</v>
      </c>
    </row>
    <row r="15613">
      <c r="A15613" s="1">
        <v>5.0</v>
      </c>
      <c r="B15613" s="1" t="s">
        <v>15353</v>
      </c>
      <c r="C15613" t="str">
        <f>IFERROR(__xludf.DUMMYFUNCTION("GOOGLETRANSLATE(B15613, ""fr"", ""en"")"),".............. TBS TBS TBS remains despite the time I was always satisfied with the high quality brand While internet users recommended to take a size below:! I personally took my usual size and they are perfect lovely, beautiful line, beautiful color, sp"&amp;"ort but certainly can wear them with a set of city: no evening, no, but so elegant that these sneakers are very suitable for bon chic -good kind! Would recommend the elegant and stylish!")</f>
        <v>.............. TBS TBS TBS remains despite the time I was always satisfied with the high quality brand While internet users recommended to take a size below:! I personally took my usual size and they are perfect lovely, beautiful line, beautiful color, sport but certainly can wear them with a set of city: no evening, no, but so elegant that these sneakers are very suitable for bon chic -good kind! Would recommend the elegant and stylish!</v>
      </c>
    </row>
    <row r="15614">
      <c r="A15614" s="1">
        <v>5.0</v>
      </c>
      <c r="B15614" s="1" t="s">
        <v>15354</v>
      </c>
      <c r="C15614" t="str">
        <f>IFERROR(__xludf.DUMMYFUNCTION("GOOGLETRANSLATE(B15614, ""fr"", ""en"")"),"But change beautiful watch bracelet if you are a man. Well, that's only my opinion.")</f>
        <v>But change beautiful watch bracelet if you are a man. Well, that's only my opinion.</v>
      </c>
    </row>
    <row r="15615">
      <c r="A15615" s="1">
        <v>5.0</v>
      </c>
      <c r="B15615" s="1" t="s">
        <v>15355</v>
      </c>
      <c r="C15615" t="str">
        <f>IFERROR(__xludf.DUMMYFUNCTION("GOOGLETRANSLATE(B15615, ""fr"", ""en"")"),"Too much I love it smells great and long")</f>
        <v>Too much I love it smells great and long</v>
      </c>
    </row>
    <row r="15616">
      <c r="A15616" s="1">
        <v>5.0</v>
      </c>
      <c r="B15616" s="1" t="s">
        <v>15356</v>
      </c>
      <c r="C15616" t="str">
        <f>IFERROR(__xludf.DUMMYFUNCTION("GOOGLETRANSLATE(B15616, ""fr"", ""en"")"),"columbia waterproof shoes woodburn fast delivery. according to the description. I play 42, I took 42.5 and is perfect. the shoes looks solid.")</f>
        <v>columbia waterproof shoes woodburn fast delivery. according to the description. I play 42, I took 42.5 and is perfect. the shoes looks solid.</v>
      </c>
    </row>
    <row r="15617">
      <c r="A15617" s="1">
        <v>5.0</v>
      </c>
      <c r="B15617" s="1" t="s">
        <v>15357</v>
      </c>
      <c r="C15617" t="str">
        <f>IFERROR(__xludf.DUMMYFUNCTION("GOOGLETRANSLATE(B15617, ""fr"", ""en"")"),"satisfied Very good buy, the coffee is good coffee, it also has a beautiful look consistent with the picture")</f>
        <v>satisfied Very good buy, the coffee is good coffee, it also has a beautiful look consistent with the picture</v>
      </c>
    </row>
    <row r="15618">
      <c r="A15618" s="1">
        <v>5.0</v>
      </c>
      <c r="B15618" s="1" t="s">
        <v>15358</v>
      </c>
      <c r="C15618" t="str">
        <f>IFERROR(__xludf.DUMMYFUNCTION("GOOGLETRANSLATE(B15618, ""fr"", ""en"")"),"The right colors are darker and the S size is a bit large but it is not disturbing. Proper fluid fabric product and fast delivery I am very satisfied :)")</f>
        <v>The right colors are darker and the S size is a bit large but it is not disturbing. Proper fluid fabric product and fast delivery I am very satisfied :)</v>
      </c>
    </row>
    <row r="15619">
      <c r="A15619" s="1">
        <v>2.0</v>
      </c>
      <c r="B15619" s="1" t="s">
        <v>15359</v>
      </c>
      <c r="C15619" t="str">
        <f>IFERROR(__xludf.DUMMYFUNCTION("GOOGLETRANSLATE(B15619, ""fr"", ""en"")"),"Blah blah ... Received quickly! DISAPPOINTMENT because heat diffused through resistances in the back and shoulders but the collar at the neck does not heat .... Do not relieved my neck .... heater power back pain just 3 .. .sinon, below we do not feel muc"&amp;"h .... Ineffective about the pain so ... Warms just chilly.")</f>
        <v>Blah blah ... Received quickly! DISAPPOINTMENT because heat diffused through resistances in the back and shoulders but the collar at the neck does not heat .... Do not relieved my neck .... heater power back pain just 3 .. .sinon, below we do not feel much .... Ineffective about the pain so ... Warms just chilly.</v>
      </c>
    </row>
    <row r="15620">
      <c r="A15620" s="1">
        <v>1.0</v>
      </c>
      <c r="B15620" s="1" t="s">
        <v>15360</v>
      </c>
      <c r="C15620" t="str">
        <f>IFERROR(__xludf.DUMMYFUNCTION("GOOGLETRANSLATE(B15620, ""fr"", ""en"")"),"To flee Shoes bad qualities they take off")</f>
        <v>To flee Shoes bad qualities they take off</v>
      </c>
    </row>
    <row r="15621">
      <c r="A15621" s="1">
        <v>1.0</v>
      </c>
      <c r="B15621" s="1" t="s">
        <v>15361</v>
      </c>
      <c r="C15621" t="str">
        <f>IFERROR(__xludf.DUMMYFUNCTION("GOOGLETRANSLATE(B15621, ""fr"", ""en"")"),"To avoid ! Purchase of Sebago shoes and almost new leather was torn at the seam !!! And it seems no recourse with Amazon.")</f>
        <v>To avoid ! Purchase of Sebago shoes and almost new leather was torn at the seam !!! And it seems no recourse with Amazon.</v>
      </c>
    </row>
    <row r="15622">
      <c r="A15622" s="1">
        <v>3.0</v>
      </c>
      <c r="B15622" s="1" t="s">
        <v>15362</v>
      </c>
      <c r="C15622" t="str">
        <f>IFERROR(__xludf.DUMMYFUNCTION("GOOGLETRANSLATE(B15622, ""fr"", ""en"")"),"Very good speed bottle teat 1 and 2 perfect Cons: - Graduation starts 60ml - How to heat the milk? they do not go in a water bath?")</f>
        <v>Very good speed bottle teat 1 and 2 perfect Cons: - Graduation starts 60ml - How to heat the milk? they do not go in a water bath?</v>
      </c>
    </row>
    <row r="15623">
      <c r="A15623" s="1">
        <v>3.0</v>
      </c>
      <c r="B15623" s="1" t="s">
        <v>15363</v>
      </c>
      <c r="C15623" t="str">
        <f>IFERROR(__xludf.DUMMYFUNCTION("GOOGLETRANSLATE(B15623, ""fr"", ""en"")"),"handy, disinfects apparently well, against 7.12 euros per two packets Cart more and 16 euros bonus? it boggles the mind")</f>
        <v>handy, disinfects apparently well, against 7.12 euros per two packets Cart more and 16 euros bonus? it boggles the mind</v>
      </c>
    </row>
    <row r="15624">
      <c r="A15624" s="1">
        <v>4.0</v>
      </c>
      <c r="B15624" s="1" t="s">
        <v>15364</v>
      </c>
      <c r="C15624" t="str">
        <f>IFERROR(__xludf.DUMMYFUNCTION("GOOGLETRANSLATE(B15624, ""fr"", ""en"")"),"not fit all buy sneakers for 270 of my 4 year old son unfortunately not fit I would use them on another pair")</f>
        <v>not fit all buy sneakers for 270 of my 4 year old son unfortunately not fit I would use them on another pair</v>
      </c>
    </row>
    <row r="15625">
      <c r="A15625" s="1">
        <v>4.0</v>
      </c>
      <c r="B15625" s="1" t="s">
        <v>15365</v>
      </c>
      <c r="C15625" t="str">
        <f>IFERROR(__xludf.DUMMYFUNCTION("GOOGLETRANSLATE(B15625, ""fr"", ""en"")"),"Micro Micro efficient performance. Very good value for money. Too bad that the battery in the receiver is not provided because a little specific. A small flat for the receiver battery as there is a contact problem. We must add a small piece of metal for t"&amp;"he receiver to work. But I recommend this material.")</f>
        <v>Micro Micro efficient performance. Very good value for money. Too bad that the battery in the receiver is not provided because a little specific. A small flat for the receiver battery as there is a contact problem. We must add a small piece of metal for the receiver to work. But I recommend this material.</v>
      </c>
    </row>
    <row r="15626">
      <c r="A15626" s="1">
        <v>4.0</v>
      </c>
      <c r="B15626" s="1" t="s">
        <v>15366</v>
      </c>
      <c r="C15626" t="str">
        <f>IFERROR(__xludf.DUMMYFUNCTION("GOOGLETRANSLATE(B15626, ""fr"", ""en"")"),"Live italy ! Not much to say in terms of original cartridges. One regret however: from Italy these products are accompanied by a notice in Italian ...!")</f>
        <v>Live italy ! Not much to say in terms of original cartridges. One regret however: from Italy these products are accompanied by a notice in Italian ...!</v>
      </c>
    </row>
    <row r="15627">
      <c r="A15627" s="1">
        <v>4.0</v>
      </c>
      <c r="B15627" s="1" t="s">
        <v>15367</v>
      </c>
      <c r="C15627" t="str">
        <f>IFERROR(__xludf.DUMMYFUNCTION("GOOGLETRANSLATE(B15627, ""fr"", ""en"")"),"A nice little gift Delivery time - Careful Packing - A beautiful gem that is the effect")</f>
        <v>A nice little gift Delivery time - Careful Packing - A beautiful gem that is the effect</v>
      </c>
    </row>
    <row r="15628">
      <c r="A15628" s="1">
        <v>5.0</v>
      </c>
      <c r="B15628" s="1" t="s">
        <v>15368</v>
      </c>
      <c r="C15628" t="str">
        <f>IFERROR(__xludf.DUMMYFUNCTION("GOOGLETRANSLATE(B15628, ""fr"", ""en"")"),"The teapot with a big T Top of the teapot from this purchase we drink more often the tea Easy to use with a very good result on the rendering of flavors for each type of tea")</f>
        <v>The teapot with a big T Top of the teapot from this purchase we drink more often the tea Easy to use with a very good result on the rendering of flavors for each type of tea</v>
      </c>
    </row>
    <row r="15629">
      <c r="A15629" s="1">
        <v>5.0</v>
      </c>
      <c r="B15629" s="1" t="s">
        <v>15369</v>
      </c>
      <c r="C15629" t="str">
        <f>IFERROR(__xludf.DUMMYFUNCTION("GOOGLETRANSLATE(B15629, ""fr"", ""en"")"),"super beautiful")</f>
        <v>super beautiful</v>
      </c>
    </row>
    <row r="15630">
      <c r="A15630" s="1">
        <v>5.0</v>
      </c>
      <c r="B15630" s="1" t="s">
        <v>15370</v>
      </c>
      <c r="C15630" t="str">
        <f>IFERROR(__xludf.DUMMYFUNCTION("GOOGLETRANSLATE(B15630, ""fr"", ""en"")"),"Impeccable Impeccable size although I M which is M")</f>
        <v>Impeccable Impeccable size although I M which is M</v>
      </c>
    </row>
    <row r="15631">
      <c r="A15631" s="1">
        <v>5.0</v>
      </c>
      <c r="B15631" s="1" t="s">
        <v>15371</v>
      </c>
      <c r="C15631" t="str">
        <f>IFERROR(__xludf.DUMMYFUNCTION("GOOGLETRANSLATE(B15631, ""fr"", ""en"")"),"Does the job well and avoids gales outside its socket")</f>
        <v>Does the job well and avoids gales outside its socket</v>
      </c>
    </row>
    <row r="15632">
      <c r="A15632" s="1">
        <v>5.0</v>
      </c>
      <c r="B15632" s="1" t="s">
        <v>15372</v>
      </c>
      <c r="C15632" t="str">
        <f>IFERROR(__xludf.DUMMYFUNCTION("GOOGLETRANSLATE(B15632, ""fr"", ""en"")"),"Very beautiful bracelet very very beautiful bracelet be worn with any outfit")</f>
        <v>Very beautiful bracelet very very beautiful bracelet be worn with any outfit</v>
      </c>
    </row>
    <row r="15633">
      <c r="A15633" s="1">
        <v>5.0</v>
      </c>
      <c r="B15633" s="1" t="s">
        <v>15373</v>
      </c>
      <c r="C15633" t="str">
        <f>IFERROR(__xludf.DUMMYFUNCTION("GOOGLETRANSLATE(B15633, ""fr"", ""en"")"),"As expected, fast delivery in line with expectations")</f>
        <v>As expected, fast delivery in line with expectations</v>
      </c>
    </row>
    <row r="15634">
      <c r="A15634" s="1">
        <v>5.0</v>
      </c>
      <c r="B15634" s="1" t="s">
        <v>15374</v>
      </c>
      <c r="C15634" t="str">
        <f>IFERROR(__xludf.DUMMYFUNCTION("GOOGLETRANSLATE(B15634, ""fr"", ""en"")"),"Super show that goes under the water quality price ratio top Everything is in the title I gave this watch to my father there are over a year and the daily door either sleeping or showering it has not changed since battery, and it is quite satisfied! I rec"&amp;"ommend it.")</f>
        <v>Super show that goes under the water quality price ratio top Everything is in the title I gave this watch to my father there are over a year and the daily door either sleeping or showering it has not changed since battery, and it is quite satisfied! I recommend it.</v>
      </c>
    </row>
    <row r="15635">
      <c r="A15635" s="1">
        <v>5.0</v>
      </c>
      <c r="B15635" s="1" t="s">
        <v>15375</v>
      </c>
      <c r="C15635" t="str">
        <f>IFERROR(__xludf.DUMMYFUNCTION("GOOGLETRANSLATE(B15635, ""fr"", ""en"")"),"Good product Good product solid easy to use. Fills his role perfectly. Only downside: it is quite wide so if you can hide they see them (because of their appearance).")</f>
        <v>Good product Good product solid easy to use. Fills his role perfectly. Only downside: it is quite wide so if you can hide they see them (because of their appearance).</v>
      </c>
    </row>
    <row r="15636">
      <c r="A15636" s="1">
        <v>5.0</v>
      </c>
      <c r="B15636" s="1" t="s">
        <v>15376</v>
      </c>
      <c r="C15636" t="str">
        <f>IFERROR(__xludf.DUMMYFUNCTION("GOOGLETRANSLATE(B15636, ""fr"", ""en"")"),"Ideal Perfect complement of 4 packs of cigarettes, all easily transportable and occupying a mini storage space without moderation")</f>
        <v>Ideal Perfect complement of 4 packs of cigarettes, all easily transportable and occupying a mini storage space without moderation</v>
      </c>
    </row>
    <row r="15637">
      <c r="A15637" s="1">
        <v>5.0</v>
      </c>
      <c r="B15637" s="1" t="s">
        <v>15377</v>
      </c>
      <c r="C15637" t="str">
        <f>IFERROR(__xludf.DUMMYFUNCTION("GOOGLETRANSLATE(B15637, ""fr"", ""en"")"),"Very Good Product This is the second batch that I buy because very satisfied with the first. Practice does not spill during transport. Nevertheless, we do not see quantities when there is milk in it ..")</f>
        <v>Very Good Product This is the second batch that I buy because very satisfied with the first. Practice does not spill during transport. Nevertheless, we do not see quantities when there is milk in it ..</v>
      </c>
    </row>
    <row r="15638">
      <c r="A15638" s="1">
        <v>5.0</v>
      </c>
      <c r="B15638" s="1" t="s">
        <v>15378</v>
      </c>
      <c r="C15638" t="str">
        <f>IFERROR(__xludf.DUMMYFUNCTION("GOOGLETRANSLATE(B15638, ""fr"", ""en"")"),"rotating massager &lt;div id = ""video-block-R3UWUQFGINBMO0"" class = ""a-section-spacing-small in-spacing-top mini video-block""&gt; &lt;div tabindex = ""0"" class = ""airy airy -svg vmin-unsupported airy-skin-beacon ""style ="" background-color: rgb (0, 0, 0); p"&amp;"osition: relative; width: 100%; height: 100%; font-size: 0px; overflow: hidden ; outline: none; ""&gt; &lt;div class ="" airy-renderer-container ""style ="" position: relative; height: 100%; width: 100%; ""&gt; &lt;video id ="" 47 ""preload ="" auto ""src = ""https:/"&amp;"/images-eu.ssl-images-amazon.com/images/I/91ia4ZBwL9S.mp4"" style = ""position: absolute; left: 0px; top: 0px; overflow: hidden; height: 1px; width : 1px; ""&gt; &lt;/ video&gt; &lt;/ div&gt; &lt;div id ="" airy-slate-preload ""style ="" background-color: rgb (0, 0, 0); ba"&amp;"ckground-image: url (&amp; quot; https: //images-eu.ssl-images-amazon.com/images/I/A1YeCwIQJxS.png&amp;quot;); background-size: contain; background-position: center center; background-repeat: no-repeat; position: absolute; top : 0px; left: 0px; visibility: visibl"&amp;"e; width: 100%; height: 100% ""&gt; &lt;/ div&gt; &lt;ifr soul scrolling = ""no"" frameborder = ""0"" src = ""about: blank"" style = ""display: none;""&gt; &lt;/ iframe&gt; &lt;div tabindex = ""- 1"" class = ""airy-controls-container"" style = ""opacity: 0; visibility: hidden; "&amp;"""&gt; &lt;div tabindex ="" - 1 ""class ="" airy-screen-size-toggle airy-fullscreen ""&gt; &lt;/ div&gt; &lt;div tabindex ="" - 1 ""class ="" airy-container-bottom "" &gt; &lt;div tabindex = ""- 1"" class = ""airy-track-bar spacer-left"" style = ""width: 11px;""&gt; &lt;/ div&gt; &lt;div ta"&amp;"bindex = ""- 1"" class = ""airy-play- toggle airy-play ""style ="" width: 12px; margin-right: 12px; ""&gt; &lt;/ div&gt; &lt;div tabindex ="" - 1 ""class ="" airy-audio-elements ""style ="" float: right; width: 34px; ""&gt; &lt;div tabindex ="" - 1 ""class ="" airy-audio-t"&amp;"oggle airy-on ""&gt; &lt;/ div&gt; &lt;div tabindex ="" - 1 ""class ="" airy-audio-container ""style = ""opacity: 0; visibility: hidden; ""&gt; &lt;div tabindex ="" - 1 ""class ="" airy-audio-track-bar ""style ="" height: 80%; ""&gt; &lt;div tabindex ="" - 1 ""class ="" airy-aud"&amp;"io- scrubber bar ""style ="" height: 85% ""&gt; &lt;/ div&gt; &lt;div tabindex ="" - 1 ""class ="" airy-audio-scrubber ""style ="" height: 12px; bottom: 85% ""&gt; &lt;/ div&gt; &lt;/ div&gt; &lt;/ div&gt; &lt;/ div&gt; &lt;div tabindex ="" - 1 ""class ="" airy-duration-label ""style ="" float: r"&amp;"ight; width: 26px; margin-right: 4px; text-align: center; ""&gt; 0:00 &lt;/ div&gt; &lt;div tabindex ="" - 1 ""class ="" airy-track-bar spacer-right ""style ="" float: right; width: 11px; ""&gt; &lt;/ div&gt; &lt;div tabindex ="" - 1 ""class ="" airy-track-bar-container ""style "&amp;"="" margin-left: 35px; margin-right: 75px; ""&gt; &lt;div tabindex ="" - 1 ""class ="" airy-airy-track-bar vertical-centering-table ""&gt; &lt;div tabindex ="" - 1 ""class ="" airy-vertical-centering- table-cell ""&gt; &lt;div tabindex ="" - 1 ""class ="" airy-track-bar el"&amp;"ements ""&gt; &lt;div tabindex ="" - 1 ""class ="" airy-progress bar ""&gt; &lt;/ div&gt; &lt;div tabindex = ""- 1"" class = ""airy-scrubber bar""&gt; &lt;/ div&gt; &lt;div tabindex = ""- 1"" class = ""airy-scrubber""&gt; &lt;div tabindex = ""- 1"" class = ""airy-scrubber- icon ""&gt; &lt;/ div&gt; "&amp;"&lt;div tabindex ="" - 1 ""class ="" airy-adjusted-aui-tooltip ""style ="" opacity: 0; visibility: hidden; ""&gt; &lt;div tabindex ="" - 1 ""class ="" airy-adjusted-aui-tooltip-inner ""&gt; &lt;div tabindex ="" - 1 ""class ="" airy-current-time-label ""&gt; 0 00 &lt;/ div&gt; &lt;/"&amp;" div&gt; &lt;div tabindex = ""- 1"" class = ""airy-adjusted-aui-arrow-border""&gt; &lt;div tabindex = ""- 1"" class = ""airy-adjusted-aui-arrow"" &gt; &lt;/ div&gt; &lt;/ div&gt; &lt;/ div&gt; &lt;/ div&gt; &lt;/ div&gt; &lt;/ div&gt; &lt;/ div&gt; &lt;/ div&gt; &lt;/ div&gt; &lt;/ div&gt; &lt;div tabindex = ""- 1"" class = ""airy-"&amp;"airy-age-gate course airy-vertical-centering table-airy-dialog"" style = ""opacity: 0; visibility: hidden; ""&gt; &lt;div tabindex ="" - 1 ""class ="" airy-age-gate-vertical-centering-table-cell airy-vertical-centering-table-cell ""&gt; &lt;div tabindex ="" - 1 ""cla"&amp;"ss = ""airy-vertical-centering-wrapper airy-age-gate-elements-wrapper""&gt; &lt;div tabindex = ""- 1"" class = ""airy-age-gate-elements airy-dialog-elements""&gt; &lt;div tabindex = "" -1 ""class ="" airy-age-gate-prompt ""&gt; This video is not Intended for all audienc"&amp;"es What time were you born &lt;/ div&gt; &lt;div tabindex =.?"" - 1 ""class ="" airy-age-gate -inputs airy-dialog-inner-elements ""&gt; &lt;select tabindex ="" - 1 ""class ="" airy-age-gate-month ""&gt; &lt;option value ="" 1 ""&gt; January &lt;/ option&gt; &lt;option value ="" 2 ""&gt; Feb"&amp;"ruary &lt;/ option&gt; &lt;option value ="" 3 ""&gt; March &lt;/ option&gt; &lt;option value ="" 4 ""&gt; April &lt;/ option&gt; &lt;option value ="" 5 ""&gt; May &lt;/ option&gt; &lt;option value = ""6""&gt; June &lt;/ option&gt; &lt;option value = ""7""&gt; July &lt;/ option&gt; &lt;option value = ""8""&gt; August &lt;/ option"&amp;"&gt; &lt;option value = ""9""&gt; September &lt;/ option&gt; &lt;option value = ""10""&gt; October &lt;/ option&gt; &lt;option value = ""11""&gt; November &lt;/ option&gt; &lt;option value = ""12""&gt; December &lt;/ option&gt; &lt;/ select&gt; &lt;select tabindex = ""- 1"" class = ""airy-age-gate-day""&gt; &lt;opti = O"&amp;"ne value ""1""&gt; 1 &lt;/ option&gt; &lt;option value = ""2""&gt; 2 &lt;/ option&gt; &lt;option value = ""3""&gt; 3 &lt;/ option&gt; &lt;option value = ""4""&gt; 4 &lt;/ option &gt; &lt;option value = ""5""&gt; 5 &lt;/ option&gt; &lt;option value = ""6""&gt; 6 &lt;/ option&gt; &lt;option value = ""7""&gt; 7 &lt;/ option&gt; &lt;option v"&amp;"alue = ""8""&gt; 8 &lt; / option&gt; &lt;option value = ""9""&gt; 9 &lt;/ option&gt; &lt;option value = ""10""&gt; 10 &lt;/ option&gt; &lt;option value = ""11""&gt; 11 &lt;/ option&gt; &lt;option value = ""12""&gt; 12 &lt;/ option&gt; &lt;option value = ""13""&gt; 13 &lt;/ option&gt; &lt;option value = ""14""&gt; 14 &lt;/ option&gt; &lt;"&amp;"option value = ""15""&gt; 15 &lt;/ option&gt; &lt;option value = ""16 ""&gt; 16 &lt;/ option&gt; &lt;option value ="" 17 ""&gt; 17 &lt;/ option&gt; &lt;option value ="" 18 ""&gt; 18 &lt;/ option&gt; &lt;option value ="" 19 ""&gt; 19 &lt;/ option&gt; &lt;option value = ""20""&gt; 20 &lt;/ option&gt; &lt;option value = ""21""&gt; "&amp;"21 &lt;/ option&gt; &lt;option value = ""22""&gt; 22 &lt;/ option&gt; &lt;option value = ""23""&gt; 23 &lt;/ option&gt; &lt;option value = ""24""&gt; 24 &lt;/ option&gt; &lt;option value = ""25""&gt; 25 &lt;/ option&gt; &lt;option value = ""26""&gt; 26 &lt;/ option&gt; &lt;option value = ""27""&gt; 27 &lt;/ option&gt; &lt;option value"&amp;" = ""28""&gt; 28 &lt;/ option&gt; &lt;option value = ""29""&gt; 29 &lt;/ option&gt; &lt;option value = ""30""&gt; 30 &lt;/ option&gt; &lt;option value = ""31""&gt; 31 &lt;/ option&gt; &lt;/ select&gt; &lt;select tabindex = ""- 1"" class = ""airy-age-gate-year""&gt; &lt;option value = ""2019""&gt; 2019 &lt;/ option&gt; &lt; op"&amp;"tion value = ""2018""&gt; 2018 &lt;/ option&gt; &lt;option value = ""2017""&gt; 2017 &lt;/ option&gt; &lt;option value = ""2016""&gt; ​​2016 &lt;/ option&gt; &lt;option value = ""2015""&gt; 2015 &lt;/ option &gt; &lt;option value = ""2014""&gt; 2014 &lt;/ option&gt; &lt;option value = ""2013""&gt; 2013 &lt;/ option&gt; &lt;op"&amp;"tion value = ""2012""&gt; 2012 &lt;/ option&gt; &lt;option value = ""2011""&gt; 2011 &lt; / option&gt; &lt;option value = ""2010""&gt; 2010 &lt;/ option&gt; &lt;option value = ""2009""&gt; 2009 &lt;/ option&gt; &lt;option value = ""2008""&gt; 2008 &lt;/ option&gt; &lt;option value = ""2007""&gt; 2007 &lt;/ option&gt; &lt;opti"&amp;"on value = ""2006""&gt; 2006 &lt;/ option&gt; &lt;option value = ""2005""&gt; 2005 &lt;/ option&gt; &lt;option value = ""2004""&gt; 2004 &lt;/ option&gt; &lt;option value = ""2003 ""&gt; 2003 &lt;/ option&gt; &lt;option value ="" 2002 ""&gt; 2002 &lt;/ option&gt; &lt;option value ="" 2001 ""&gt; 2001 &lt;/ option&gt; &lt;opti"&amp;"on value ="" 2000 ""&gt; 2000 &lt;/ option&gt; &lt;option value = ""1999""&gt; 1999 &lt;/ option&gt; &lt;option value = ""1998""&gt; 1998 &lt;/ option&gt; &lt;option value = ""1997""&gt; 1997 &lt;/ option&gt; &lt;option value = ""1996""&gt; 1996 &lt;/ option&gt; &lt;option value = ""1995""&gt; 1995 &lt;/ option&gt; &lt;option"&amp;" value = ""1994""&gt; 1994 &lt;/ option&gt; &lt;option value = ""1993""&gt; 1993 &lt;/ option&gt; &lt;option value = ""1992""&gt; 1992 &lt;/ option&gt; &lt;option value = ""1991""&gt; 1991 &lt;/ option&gt; &lt;option value = ""1990""&gt; 1990 &lt;/ option&gt; &lt;option value = "" 1989 ""&gt; 1989 &lt;/ option&gt; &lt;option "&amp;"value ="" 1988 ""&gt; 1988 &lt;/ option&gt; &lt;option value ="" 1987 ""&gt; 1987 &lt;/ option&gt; &lt;option value ="" 1986 ""&gt; 1986 &lt;/ option&gt; &lt;option value = ""1985""&gt; 1985 &lt;/ option&gt; &lt;option value = ""1984""&gt; 1984 &lt;/ option&gt; &lt;option value = ""1983""&gt; 1983 &lt;/ option&gt; &lt;option "&amp;"value = ""1982""&gt; 1982 &lt;/ option&gt; &lt; option value = ""1981""&gt; 1981 &lt;/ option&gt; &lt;option value = ""1980""&gt; 1980 &lt;/ option&gt; &lt;option value = ""1979""&gt; 1979 &lt;/ option&gt; &lt;option value = ""1978""&gt; 1978 &lt;/ option &gt; &lt;option value = ""1977""&gt; 1977 &lt;/ option&gt; &lt;option v"&amp;"alue = ""1976""&gt; 1976 &lt;/ option&gt; &lt;option value = ""1975""&gt; 1975 &lt;/ option&gt; &lt;option value = ""1974""&gt; 1974 &lt; / option&gt; &lt;option value = ""1973""&gt; 1973 &lt;/ option&gt; &lt;option value = ""1972""&gt; 1972 &lt;/ option&gt; &lt;option value = ""1971""&gt; 1971 &lt;/ option&gt; &lt;option val"&amp;"ue = ""1970""&gt; 1970 &lt;/ option&gt; &lt;option value = ""1969""&gt; 1969 &lt;/ option&gt; &lt;option value = ""1968""&gt; 1968 &lt;/ option&gt; &lt;option value = ""1967""&gt; 1967 &lt;/ option&gt; &lt;option value = ""1966 ""&gt; 1966 &lt;/ option&gt; &lt;option value ="" 1965 ""&gt; 1965 &lt;/ option&gt; &lt;option valu"&amp;"e ="" 1964 ""&gt; 1964 &lt;/ option&gt; &lt;option value ="" 1963 ""&gt; 1963 &lt;/ option&gt; &lt;option value = ""1962""&gt; 1962 &lt;/ option&gt; &lt;option value = ""1961""&gt; 1961 &lt;/ option&gt; &lt;option value = ""1960""&gt; 1960 &lt;/ op tion&gt; &lt;option value = ""1959""&gt; 1959 &lt;/ option&gt; &lt;option valu"&amp;"e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 "&amp;"="" 1946 ""&gt; 1946 &lt;/ option&gt; &lt;option value ="" 1945 ""&gt; 1945 &lt;/ option&gt; &lt;option value = ""1944""&gt; 1944 &lt;/ option&gt; &lt;option value = ""1943""&gt; 1943 &lt;/ option&gt; &lt;option value = ""1942""&gt; 1942 &lt;/ option&gt; &lt;option value = ""1941""&gt; 1941 &lt;/ option&gt; &lt; option value "&amp;"= ""1940""&gt; 1940 &lt;/ option&gt; &lt;option value = ""1939""&gt; 1939 &lt;/ option&gt; &lt;option value = ""1938""&gt; 1938 &lt;/ option&gt; &lt;option value = ""1937""&gt; 1937 &lt;/ option &gt; &lt;option value = ""1936""&gt; 1936 &lt;/ option&gt; &lt;option value = ""1935""&gt; 1935 &lt;/ option&gt; &lt;option value = "&amp;"""1934""&gt;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&lt;option value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airy-course airy -Vertical-centering-table dialog airy-airy-denied ""style ="" opacity: 0"&amp;"; visibility: hidden; ""&gt; &lt;div tabindex ="" - 1 ""class ="" airy-install-flash-vertical-centering-table-cell airy-vertical-centering-table-cell ""&gt; &lt;div tabindex ="" - 1 ""class = ""airy-vertical-centering-wrapper airy-install-flash-elements-wrapper""&gt; &lt;d"&amp;"iv tabindex = ""- 1"" class = ""airy-install-flash-elements airy-dialog-elements""&gt; &lt;div tabindex = "" -1 ""class ="" airy-install-flash-prompt ""&gt; Adobe Flash Player is required to watch this video &lt;/ div&gt; &lt;div = tabindex."" - 1 ""class ="" airy-install-"&amp;"flash-button-wrapper airy -dialog-inner-elements ""&gt; &lt;div tabindex ="" - 1 ""class ="" airy-install-flash-button airy-button ""&gt; install Flash Player &lt;/ div&gt; &lt;/ div&gt; &lt;/ div&gt; &lt;/ div&gt; &lt;/ div&gt; &lt;/ div&gt; &lt;div tabindex = ""- 1"" class = ""airy-video-unsupported-"&amp;"dialog airy-course airy-vertical-centering table-airy-dialog airy-denied"" style = ""opacity: 0; visibility: hidden; ""&gt; &lt;div tabindex ="" - 1 ""class ="" airy-video-unsupported-vertical-centering-table-cell airy-vertical-centering-table-cell ""&gt; &lt;div tab"&amp;"index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tabin"&amp;"dex ="" - 1 ""class ="" airy-loading-spinner container airy-scalable-hint-container ""&gt; &lt;div tabindex ="" - 1 ""class ="" airy-loading-spinner-dummy airy-scalable-dummy ""&gt; &lt;/ div&gt; &lt; div tabindex = ""- 1"" class = ""airy-loading-spinner airy-hint"" style "&amp;"= ""visibility: hidden;""&gt; &lt;/ div&gt; &lt;/ div&gt; &lt;/ div&gt; &lt;/ div&gt; &lt;div tabindex = ""- 1 ""class ="" airy-ads-screen-size-toggle airy-screen-size-toggle airy-fullscreen ""style ="" visibility: hidden; ""&gt; &lt;/ div&gt; &lt;div tabindex = ""-1"" class = ""airy-ad-prompt-co"&amp;"ntainer"" style = ""visibility: hidden;""&gt; &lt;div tabindex = ""- 1"" class = ""airy-ad-prompt-vertical-centering table-airy-vertical- centering-table ""&gt; &lt;div tabindex ="" - 1 ""class ="" airy-ad-prompt-vertical-centering-table-cell airy-vertical-centering-"&amp;"table-cell ""&gt; &lt;div tabindex ="" - 1 ""class = ""airy-ad-prompt-label""&gt; &lt;/ div&gt; &lt;/ div&gt; &lt;/ div&gt; &lt;/ div&gt; &lt;div tabindex = ""- 1"" class = ""airy-ads-controls-container"" style = ""visibility: hidden; ""&gt; &lt;div tabindex ="" - 1 ""class ="" airy-ads-audio-tog"&amp;"gle airy-audio-toggle airy-on ""style ="" visibility: hidden; ""&gt; &lt;/ div&gt; &lt;div tabindex ="" - 1 ""class ="" airy-time-remaining-label-container ""&gt; &lt;div tabindex ="" - 1 ""class ="" airy-time-remaining-vertical-centering table-airy-vertical-centering-tabl"&amp;"e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"&amp;"&lt;/ div&gt; &lt;/ div&gt; &lt;/ div&gt; &lt;/ div&gt; &lt;/ div&gt; &lt;div tabindex ="" - 1 ""class ="" airy-learn-more ""style ="" visibility: hidden; ""&gt; &lt;/ div&gt; &lt;/ div&gt; &lt;div tabindex = ""- 1"" class = ""airy-play-toggle-hint-stage airy-course airy-cursor""&gt; &lt;div tabindex = ""- 1"" "&amp;"class = ""airy-play -toggle-hint-vertical-centering-table-cell airy-vertical-centering-table-cell airy-cursor ""&gt; &lt;div tabindex ="" - 1 ""class ="" airy-play-toggle-hint-container airy-scalable- hint-container ""&gt; &lt;div tabindex ="" - 1 ""class ="" airy-pl"&amp;"ay-toggle-hint-dummy airy-scalable-dummy ""&gt; &lt;/ div&gt; &lt;div tabindex ="" - 1 ""class ="" airy-play -toggle airy-hint-hint-hint airy-play ""style ="" opacity: 1; visibility: visible; ""&gt; &lt;/ div&gt; &lt;/ div&gt; &lt;/ div&gt; &lt;/ div&gt; &lt;div tabindex ="" - 1 ""class ="" airy-"&amp;"replay-hint-stage airy-stage ""style ="" visibility: hidden ; ""&gt; &lt;div tabindex ="" - 1 ""class ="" airy-replay-hint-vertical-centering-table-cell airy-vertical-centering-table-cell airy-cursor ""&gt; &lt;div tabindex ="" - 1 ""class = ""airy-replay-hint-contai"&amp;"ner airy-scalable-hint-container""&gt; &lt;div tabindex = ""- 1"" class = ""airy-replay-hint-dummy airy-scalable-dummy""&gt; &lt;/ div&gt; &lt;div tabindex = ""- 1"" class = ""airy-replay-hint airy-hint""&gt; &lt;/ div&gt; &lt;/ div&gt; &lt;/ div&gt; &lt;/ div&gt; &lt;div tabindex = ""- 1"" class = ""a"&amp;"iry-autoplay-hint -stage airy-stage ""style ="" visibility: hidden; ""&gt; &lt;div tabindex ="" - 1 ""class ="" airy-autoplay-hint-vertical-centering-table-cell airy-vertical-centering-table-cell airy- cursor ""&gt; &lt;div tabindex ="" - 1 ""class ="" autoplay airy-"&amp;"airy-hint-container-scalable-hint-container ""&gt; &lt;div tabindex ="" - 1 ""class ="" airy-autoplay-hint-dummy airy- scalable-dummy ""&gt; &lt;/ div&gt; &lt;/ div&gt; &lt;/ div&gt; &lt;/ div&gt; &lt;/ div&gt; &lt;/ div&gt; &lt;input type ="" hidden ""name ="" ""value ="" https: // pictures-eu .ssl-im"&amp;"age amazon.com / images / I / 91ia4ZBwL9S.mp4 ""Class ="" video-url ""&gt; &lt;input type ="" hidden ""name ="" ""value ="" https://images-eu.ssl-images-amazon.com/images/I/A1YeCwIQJxS.png ""class ="" video-slate-img-url ""&gt; &amp; nbsp; device rotary massage. With "&amp;"its base to the loading area. Owns 2 position .. soft and fast. You can go on the whole body. Pleasant and relaxing assured to aches or pains tendons")</f>
        <v>rotating massager &lt;div id = "video-block-R3UWUQFGINBMO0" class = "a-section-spacing-small in-spacing-top mini video-block"&gt; &lt;div tabindex = "0" class = "airy airy -svg vmin-unsupported airy-skin-beacon "style =" background-color: rgb (0, 0, 0); position: relative; width: 100%; height: 100%; font-size: 0px; overflow: hidden ; outline: none; "&gt; &lt;div class =" airy-renderer-container "style =" position: relative; height: 100%; width: 100%; "&gt; &lt;video id =" 47 "preload =" auto "src = "https://images-eu.ssl-images-amazon.com/images/I/91ia4ZBwL9S.mp4" style = "position: absolute; left: 0px; top: 0px; overflow: hidden; height: 1px; width : 1px; "&gt; &lt;/ video&gt; &lt;/ div&gt; &lt;div id =" airy-slate-preload "style =" background-color: rgb (0, 0, 0); background-image: url (&amp; quot; https: //images-eu.ssl-images-amazon.com/images/I/A1YeCwIQJxS.png&amp;quot;); background-size: contain; background-position: center center; background-repeat: no-repeat; position: absolute; top : 0px; left: 0px; visibility: visible; width: 100%; height: 100% "&gt; &lt;/ div&gt; &lt;ifr soul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91ia4ZBwL9S.mp4 "Class =" video-url "&gt; &lt;input type =" hidden "name =" "value =" https://images-eu.ssl-images-amazon.com/images/I/A1YeCwIQJxS.png "class =" video-slate-img-url "&gt; &amp; nbsp; device rotary massage. With its base to the loading area. Owns 2 position .. soft and fast. You can go on the whole body. Pleasant and relaxing assured to aches or pains tendons</v>
      </c>
    </row>
    <row r="15639">
      <c r="A15639" s="1">
        <v>5.0</v>
      </c>
      <c r="B15639" s="1" t="s">
        <v>15379</v>
      </c>
      <c r="C15639" t="str">
        <f>IFERROR(__xludf.DUMMYFUNCTION("GOOGLETRANSLATE(B15639, ""fr"", ""en"")"),"To my printer ... and mail correspondence increasingly uncommon elsewhere, a negative point still is that it forces me to buy two or 1,000 sheets and I do not like it at all ....")</f>
        <v>To my printer ... and mail correspondence increasingly uncommon elsewhere, a negative point still is that it forces me to buy two or 1,000 sheets and I do not like it at all ....</v>
      </c>
    </row>
    <row r="15640">
      <c r="A15640" s="1">
        <v>5.0</v>
      </c>
      <c r="B15640" s="1" t="s">
        <v>15380</v>
      </c>
      <c r="C15640" t="str">
        <f>IFERROR(__xludf.DUMMYFUNCTION("GOOGLETRANSLATE(B15640, ""fr"", ""en"")"),"Very beautiful J adore they are beautiful !!")</f>
        <v>Very beautiful J adore they are beautiful !!</v>
      </c>
    </row>
    <row r="15641">
      <c r="A15641" s="1">
        <v>5.0</v>
      </c>
      <c r="B15641" s="1" t="s">
        <v>15381</v>
      </c>
      <c r="C15641" t="str">
        <f>IFERROR(__xludf.DUMMYFUNCTION("GOOGLETRANSLATE(B15641, ""fr"", ""en"")"),"300 hp ink cheap tjs I used this brand I am very happy for the first time via amazon not disappointed either. Fast Home Delivery cheaper than ask for more I ask myself more questions I recommend as necessary")</f>
        <v>300 hp ink cheap tjs I used this brand I am very happy for the first time via amazon not disappointed either. Fast Home Delivery cheaper than ask for more I ask myself more questions I recommend as necessary</v>
      </c>
    </row>
    <row r="15642">
      <c r="A15642" s="1">
        <v>5.0</v>
      </c>
      <c r="B15642" s="1" t="s">
        <v>15382</v>
      </c>
      <c r="C15642" t="str">
        <f>IFERROR(__xludf.DUMMYFUNCTION("GOOGLETRANSLATE(B15642, ""fr"", ""en"")"),"Delighted Inbox quickly comply!")</f>
        <v>Delighted Inbox quickly comply!</v>
      </c>
    </row>
    <row r="15643">
      <c r="A15643" s="1">
        <v>5.0</v>
      </c>
      <c r="B15643" s="1" t="s">
        <v>15383</v>
      </c>
      <c r="C15643" t="str">
        <f>IFERROR(__xludf.DUMMYFUNCTION("GOOGLETRANSLATE(B15643, ""fr"", ""en"")"),"Tip top Very good product, shipped and arrived on time! When thee quality of these headphones, no one lies, and his autonomy at the top, I recommend!")</f>
        <v>Tip top Very good product, shipped and arrived on time! When thee quality of these headphones, no one lies, and his autonomy at the top, I recommend!</v>
      </c>
    </row>
    <row r="15644">
      <c r="A15644" s="1">
        <v>2.0</v>
      </c>
      <c r="B15644" s="1" t="s">
        <v>15384</v>
      </c>
      <c r="C15644" t="str">
        <f>IFERROR(__xludf.DUMMYFUNCTION("GOOGLETRANSLATE(B15644, ""fr"", ""en"")"),"Disappointed disappointed the clip behind the ear not the same color and it's not like the Amazon on photo. The stones are not pink purple corn.")</f>
        <v>Disappointed disappointed the clip behind the ear not the same color and it's not like the Amazon on photo. The stones are not pink purple corn.</v>
      </c>
    </row>
    <row r="15645">
      <c r="A15645" s="1">
        <v>1.0</v>
      </c>
      <c r="B15645" s="1" t="s">
        <v>15385</v>
      </c>
      <c r="C15645" t="str">
        <f>IFERROR(__xludf.DUMMYFUNCTION("GOOGLETRANSLATE(B15645, ""fr"", ""en"")"),"Poor quality after a few weeks and very few updates, the sole is already taking off the leather on the front of the shoe")</f>
        <v>Poor quality after a few weeks and very few updates, the sole is already taking off the leather on the front of the shoe</v>
      </c>
    </row>
    <row r="15646">
      <c r="A15646" s="1">
        <v>1.0</v>
      </c>
      <c r="B15646" s="1" t="s">
        <v>15386</v>
      </c>
      <c r="C15646" t="str">
        <f>IFERROR(__xludf.DUMMYFUNCTION("GOOGLETRANSLATE(B15646, ""fr"", ""en"")"),"his bad by orginaux This is clearly a copy of lower quality. I still have the original has the difference is obvious. Given the price, it was suspecting")</f>
        <v>his bad by orginaux This is clearly a copy of lower quality. I still have the original has the difference is obvious. Given the price, it was suspecting</v>
      </c>
    </row>
    <row r="15647">
      <c r="A15647" s="1">
        <v>3.0</v>
      </c>
      <c r="B15647" s="1" t="s">
        <v>15387</v>
      </c>
      <c r="C15647" t="str">
        <f>IFERROR(__xludf.DUMMYFUNCTION("GOOGLETRANSLATE(B15647, ""fr"", ""en"")"),"No used Not bad")</f>
        <v>No used Not bad</v>
      </c>
    </row>
    <row r="15648">
      <c r="A15648" s="1">
        <v>4.0</v>
      </c>
      <c r="B15648" s="1" t="s">
        <v>15388</v>
      </c>
      <c r="C15648" t="str">
        <f>IFERROR(__xludf.DUMMYFUNCTION("GOOGLETRANSLATE(B15648, ""fr"", ""en"")"),"Very good bag The bag is very good, lots of storage and solid. I was disappointed by the color that pulls khaki. Very comfortable on the shoulders.")</f>
        <v>Very good bag The bag is very good, lots of storage and solid. I was disappointed by the color that pulls khaki. Very comfortable on the shoulders.</v>
      </c>
    </row>
    <row r="15649">
      <c r="A15649" s="1">
        <v>4.0</v>
      </c>
      <c r="B15649" s="1" t="s">
        <v>15389</v>
      </c>
      <c r="C15649" t="str">
        <f>IFERROR(__xludf.DUMMYFUNCTION("GOOGLETRANSLATE(B15649, ""fr"", ""en"")"),"Value excellent price. What can I say except that the price level for the sound it is very good! The helmet is a little ""cheap"" level construction and solidity but perfectly fulfilled its main role of sound and wireless. It seems Harman have staked ever"&amp;"ything on the sound quality rather than aesthetics.")</f>
        <v>Value excellent price. What can I say except that the price level for the sound it is very good! The helmet is a little "cheap" level construction and solidity but perfectly fulfilled its main role of sound and wireless. It seems Harman have staked everything on the sound quality rather than aesthetics.</v>
      </c>
    </row>
    <row r="15650">
      <c r="A15650" s="1">
        <v>4.0</v>
      </c>
      <c r="B15650" s="1" t="s">
        <v>15390</v>
      </c>
      <c r="C15650" t="str">
        <f>IFERROR(__xludf.DUMMYFUNCTION("GOOGLETRANSLATE(B15650, ""fr"", ""en"")"),"Recut shoulder pocket quickly. Nice article. Ideal to put his wallet. Small capacity. Quite what I expected")</f>
        <v>Recut shoulder pocket quickly. Nice article. Ideal to put his wallet. Small capacity. Quite what I expected</v>
      </c>
    </row>
    <row r="15651">
      <c r="A15651" s="1">
        <v>4.0</v>
      </c>
      <c r="B15651" s="1" t="s">
        <v>15391</v>
      </c>
      <c r="C15651" t="str">
        <f>IFERROR(__xludf.DUMMYFUNCTION("GOOGLETRANSLATE(B15651, ""fr"", ""en"")"),"kdo very happy to that I received")</f>
        <v>kdo very happy to that I received</v>
      </c>
    </row>
    <row r="15652">
      <c r="A15652" s="1">
        <v>4.0</v>
      </c>
      <c r="B15652" s="1" t="s">
        <v>15392</v>
      </c>
      <c r="C15652" t="str">
        <f>IFERROR(__xludf.DUMMYFUNCTION("GOOGLETRANSLATE(B15652, ""fr"", ""en"")"),"A sporty chic style BMW shows but very discreet logo. The midnight blue and red combination is rather successful. The watch is qualitative. In a sport-chic style, it is very masculine. It exists in a larger model (model 1473) for those who love the toweri"&amp;"ng wrist watches. The strap is preformed and rigid. My husband, who usually wears only all-metal watches loved this model.")</f>
        <v>A sporty chic style BMW shows but very discreet logo. The midnight blue and red combination is rather successful. The watch is qualitative. In a sport-chic style, it is very masculine. It exists in a larger model (model 1473) for those who love the towering wrist watches. The strap is preformed and rigid. My husband, who usually wears only all-metal watches loved this model.</v>
      </c>
    </row>
    <row r="15653">
      <c r="A15653" s="1">
        <v>5.0</v>
      </c>
      <c r="B15653" s="1" t="s">
        <v>15393</v>
      </c>
      <c r="C15653" t="str">
        <f>IFERROR(__xludf.DUMMYFUNCTION("GOOGLETRANSLATE(B15653, ""fr"", ""en"")"),"Bluetooth practice I bought this Buetooth headset headset system to avoid son lurking between the device and the headset. Easy installation attachment with good explanations. It is reported that the charging process takes between 3 and 3.5 hours, he was c"&amp;"harged after one hour, there was perhaps a preload at the factory. The small LED is useful to see if it is on or whether to reload. To see in time for robustness and reliability. Immediately recognized for Bluetooth.")</f>
        <v>Bluetooth practice I bought this Buetooth headset headset system to avoid son lurking between the device and the headset. Easy installation attachment with good explanations. It is reported that the charging process takes between 3 and 3.5 hours, he was charged after one hour, there was perhaps a preload at the factory. The small LED is useful to see if it is on or whether to reload. To see in time for robustness and reliability. Immediately recognized for Bluetooth.</v>
      </c>
    </row>
    <row r="15654">
      <c r="A15654" s="1">
        <v>5.0</v>
      </c>
      <c r="B15654" s="1" t="s">
        <v>15394</v>
      </c>
      <c r="C15654" t="str">
        <f>IFERROR(__xludf.DUMMYFUNCTION("GOOGLETRANSLATE(B15654, ""fr"", ""en"")"),"Earrings have been highly appreciated !!! It was a small gift of good taste. It is a gift that has liked the person to whom they were addressed, it was the goal sought in my research, I am very satisfied and recommend this seller.")</f>
        <v>Earrings have been highly appreciated !!! It was a small gift of good taste. It is a gift that has liked the person to whom they were addressed, it was the goal sought in my research, I am very satisfied and recommend this seller.</v>
      </c>
    </row>
    <row r="15655">
      <c r="A15655" s="1">
        <v>5.0</v>
      </c>
      <c r="B15655" s="1" t="s">
        <v>15395</v>
      </c>
      <c r="C15655" t="str">
        <f>IFERROR(__xludf.DUMMYFUNCTION("GOOGLETRANSLATE(B15655, ""fr"", ""en"")"),"Size small Rendering inpeccable it shines lol. Please note this model or can even be size small brand provide a size up")</f>
        <v>Size small Rendering inpeccable it shines lol. Please note this model or can even be size small brand provide a size up</v>
      </c>
    </row>
    <row r="15656">
      <c r="A15656" s="1">
        <v>5.0</v>
      </c>
      <c r="B15656" s="1" t="s">
        <v>15396</v>
      </c>
      <c r="C15656" t="str">
        <f>IFERROR(__xludf.DUMMYFUNCTION("GOOGLETRANSLATE(B15656, ""fr"", ""en"")"),"I highly recommend I do Croyais moderately but this carpet really does wonders for the body and the state General on sleep")</f>
        <v>I highly recommend I do Croyais moderately but this carpet really does wonders for the body and the state General on sleep</v>
      </c>
    </row>
    <row r="15657">
      <c r="A15657" s="1">
        <v>5.0</v>
      </c>
      <c r="B15657" s="1" t="s">
        <v>15397</v>
      </c>
      <c r="C15657" t="str">
        <f>IFERROR(__xludf.DUMMYFUNCTION("GOOGLETRANSLATE(B15657, ""fr"", ""en"")"),"Perfect for play detective to detective Order birthday, the kids loved to go with this little gift")</f>
        <v>Perfect for play detective to detective Order birthday, the kids loved to go with this little gift</v>
      </c>
    </row>
    <row r="15658">
      <c r="A15658" s="1">
        <v>5.0</v>
      </c>
      <c r="B15658" s="1" t="s">
        <v>15398</v>
      </c>
      <c r="C15658" t="str">
        <f>IFERROR(__xludf.DUMMYFUNCTION("GOOGLETRANSLATE(B15658, ""fr"", ""en"")"),"Lot nipple at great prices 🏷 🍼 Teats Philips Advent with more flow when baby grows and requires more milk .. Nipples white silicone. The form is always the same so the baby adopted easily. Debit largest with a wider opening. 3 speed always easy to clean"&amp;" 🧼 I recommend pacifier perfect in every way. 🍼")</f>
        <v>Lot nipple at great prices 🏷 🍼 Teats Philips Advent with more flow when baby grows and requires more milk .. Nipples white silicone. The form is always the same so the baby adopted easily. Debit largest with a wider opening. 3 speed always easy to clean 🧼 I recommend pacifier perfect in every way. 🍼</v>
      </c>
    </row>
    <row r="15659">
      <c r="A15659" s="1">
        <v>5.0</v>
      </c>
      <c r="B15659" s="1" t="s">
        <v>15399</v>
      </c>
      <c r="C15659" t="str">
        <f>IFERROR(__xludf.DUMMYFUNCTION("GOOGLETRANSLATE(B15659, ""fr"", ""en"")"),"I recommend Very beautiful curls and slight to wear. Loop fo t of effect given the price. Pleasant and had its effect")</f>
        <v>I recommend Very beautiful curls and slight to wear. Loop fo t of effect given the price. Pleasant and had its effect</v>
      </c>
    </row>
    <row r="15660">
      <c r="A15660" s="1">
        <v>5.0</v>
      </c>
      <c r="B15660" s="1" t="s">
        <v>15400</v>
      </c>
      <c r="C15660" t="str">
        <f>IFERROR(__xludf.DUMMYFUNCTION("GOOGLETRANSLATE(B15660, ""fr"", ""en"")"),"Cartridges official Nothing to say if this is the price that is frankly abused even XXL. &amp; Gt; 930 € / L, approaching the Chanel No. 5 ...")</f>
        <v>Cartridges official Nothing to say if this is the price that is frankly abused even XXL. &amp; Gt; 930 € / L, approaching the Chanel No. 5 ...</v>
      </c>
    </row>
    <row r="15661">
      <c r="A15661" s="1">
        <v>5.0</v>
      </c>
      <c r="B15661" s="1" t="s">
        <v>15401</v>
      </c>
      <c r="C15661" t="str">
        <f>IFERROR(__xludf.DUMMYFUNCTION("GOOGLETRANSLATE(B15661, ""fr"", ""en"")"),"Very satisfied thank you Amazon Very satisfied with the product and 100% consistent with the very dou description and really hot yours the right foot fur spikes are visible and advice to take a size up the price is there but the Calita also I highly recom"&amp;"mend")</f>
        <v>Very satisfied thank you Amazon Very satisfied with the product and 100% consistent with the very dou description and really hot yours the right foot fur spikes are visible and advice to take a size up the price is there but the Calita also I highly recommend</v>
      </c>
    </row>
    <row r="15662">
      <c r="A15662" s="1">
        <v>5.0</v>
      </c>
      <c r="B15662" s="1" t="s">
        <v>15402</v>
      </c>
      <c r="C15662" t="str">
        <f>IFERROR(__xludf.DUMMYFUNCTION("GOOGLETRANSLATE(B15662, ""fr"", ""en"")"),"Very good product ! Great product, easy to mount on the watch, looks solid! Very fast delivery ! Shop recommend!")</f>
        <v>Very good product ! Great product, easy to mount on the watch, looks solid! Very fast delivery ! Shop recommend!</v>
      </c>
    </row>
    <row r="15663">
      <c r="A15663" s="1">
        <v>5.0</v>
      </c>
      <c r="B15663" s="1" t="s">
        <v>15403</v>
      </c>
      <c r="C15663" t="str">
        <f>IFERROR(__xludf.DUMMYFUNCTION("GOOGLETRANSLATE(B15663, ""fr"", ""en"")"),"Simple and perfect Pied received quickly and well packaged. Exactly match the description. I was not sure from the microphone weight, I have a RODE NT1 (the new version, the black sold in kit). But no problem foot is attached to my desktop tray and foot s"&amp;"upports the weight in any position, even arm fully extended. The upper arm seems to have two possible tensions, but I did not need to try the second. A good buy. I do not know what it is is the shockmount comes with because the RODE comes with his.")</f>
        <v>Simple and perfect Pied received quickly and well packaged. Exactly match the description. I was not sure from the microphone weight, I have a RODE NT1 (the new version, the black sold in kit). But no problem foot is attached to my desktop tray and foot supports the weight in any position, even arm fully extended. The upper arm seems to have two possible tensions, but I did not need to try the second. A good buy. I do not know what it is is the shockmount comes with because the RODE comes with his.</v>
      </c>
    </row>
    <row r="15664">
      <c r="A15664" s="1">
        <v>5.0</v>
      </c>
      <c r="B15664" s="1" t="s">
        <v>15404</v>
      </c>
      <c r="C15664" t="str">
        <f>IFERROR(__xludf.DUMMYFUNCTION("GOOGLETRANSLATE(B15664, ""fr"", ""en"")"),"The sound is wonderful! I bought it for me, but this is the top of the gift. Because the packaging is really wonderful, and it looks like high technology. Although the price is a little high, the quality is not disappointing. This is the best headset I bo"&amp;"ught. Recommended.")</f>
        <v>The sound is wonderful! I bought it for me, but this is the top of the gift. Because the packaging is really wonderful, and it looks like high technology. Although the price is a little high, the quality is not disappointing. This is the best headset I bought. Recommended.</v>
      </c>
    </row>
    <row r="15665">
      <c r="A15665" s="1">
        <v>5.0</v>
      </c>
      <c r="B15665" s="1" t="s">
        <v>15405</v>
      </c>
      <c r="C15665" t="str">
        <f>IFERROR(__xludf.DUMMYFUNCTION("GOOGLETRANSLATE(B15665, ""fr"", ""en"")"),"Too nice Super feeling from the fridge My pores are tightened Perfect")</f>
        <v>Too nice Super feeling from the fridge My pores are tightened Perfect</v>
      </c>
    </row>
    <row r="15666">
      <c r="A15666" s="1">
        <v>5.0</v>
      </c>
      <c r="B15666" s="1" t="s">
        <v>15406</v>
      </c>
      <c r="C15666" t="str">
        <f>IFERROR(__xludf.DUMMYFUNCTION("GOOGLETRANSLATE(B15666, ""fr"", ""en"")"),"Nice bag Lovely bag my son is happy too practical to put his phone his bus card ... thank you seller.")</f>
        <v>Nice bag Lovely bag my son is happy too practical to put his phone his bus card ... thank you seller.</v>
      </c>
    </row>
    <row r="15667">
      <c r="A15667" s="1">
        <v>5.0</v>
      </c>
      <c r="B15667" s="1" t="s">
        <v>15407</v>
      </c>
      <c r="C15667" t="str">
        <f>IFERROR(__xludf.DUMMYFUNCTION("GOOGLETRANSLATE(B15667, ""fr"", ""en"")"),"Good value Good product, good quality, perfect intensity and is stable, perfectly fits the description.")</f>
        <v>Good value Good product, good quality, perfect intensity and is stable, perfectly fits the description.</v>
      </c>
    </row>
    <row r="15668">
      <c r="A15668" s="1">
        <v>2.0</v>
      </c>
      <c r="B15668" s="1" t="s">
        <v>15408</v>
      </c>
      <c r="C15668" t="str">
        <f>IFERROR(__xludf.DUMMYFUNCTION("GOOGLETRANSLATE(B15668, ""fr"", ""en"")"),"disappointed I picked this item in another color but it was not my size. I ordered a little faster, I confess that I thought the same item in a different color .... BUT IT IS NOT the same model the material of the upper of the shoe is not leather and I kn"&amp;"ow what kind of material that resists virtually nothing. Very disappointed: is it possible to return the item received before yesterday?")</f>
        <v>disappointed I picked this item in another color but it was not my size. I ordered a little faster, I confess that I thought the same item in a different color .... BUT IT IS NOT the same model the material of the upper of the shoe is not leather and I know what kind of material that resists virtually nothing. Very disappointed: is it possible to return the item received before yesterday?</v>
      </c>
    </row>
    <row r="15669">
      <c r="A15669" s="1">
        <v>1.0</v>
      </c>
      <c r="B15669" s="1" t="s">
        <v>15409</v>
      </c>
      <c r="C15669" t="str">
        <f>IFERROR(__xludf.DUMMYFUNCTION("GOOGLETRANSLATE(B15669, ""fr"", ""en"")"),"To flee !!! Poor quality Chinese copy ??? I have put these shoes as 4 times. Already at the reception, I was reluctant and I did not want to put too much given the fragility of the product (which is a shame for leather shoes ... I have not had the opportu"&amp;"nity to put more often, but today wanting to put them, I noticed that they were already broken !! A peak knowing that I had to put 4 times and for short periods (less than 5 hours). It is a shameful product, absolutely to flee!")</f>
        <v>To flee !!! Poor quality Chinese copy ??? I have put these shoes as 4 times. Already at the reception, I was reluctant and I did not want to put too much given the fragility of the product (which is a shame for leather shoes ... I have not had the opportunity to put more often, but today wanting to put them, I noticed that they were already broken !! A peak knowing that I had to put 4 times and for short periods (less than 5 hours). It is a shameful product, absolutely to flee!</v>
      </c>
    </row>
    <row r="15670">
      <c r="A15670" s="1">
        <v>3.0</v>
      </c>
      <c r="B15670" s="1" t="s">
        <v>15410</v>
      </c>
      <c r="C15670" t="str">
        <f>IFERROR(__xludf.DUMMYFUNCTION("GOOGLETRANSLATE(B15670, ""fr"", ""en"")"),"oops! to buy the shoes kept all their promises and satisfactions was short lived as the color quickly transferred to a blue faded more than we even wonder what color could be the ""Converse"" from ...? ?? what a pity!!!")</f>
        <v>oops! to buy the shoes kept all their promises and satisfactions was short lived as the color quickly transferred to a blue faded more than we even wonder what color could be the "Converse" from ...? ?? what a pity!!!</v>
      </c>
    </row>
    <row r="15671">
      <c r="A15671" s="1">
        <v>3.0</v>
      </c>
      <c r="B15671" s="1" t="s">
        <v>15411</v>
      </c>
      <c r="C15671" t="str">
        <f>IFERROR(__xludf.DUMMYFUNCTION("GOOGLETRANSLATE(B15671, ""fr"", ""en"")"),"Beautiful but not practical Bracelet absolutely impractical")</f>
        <v>Beautiful but not practical Bracelet absolutely impractical</v>
      </c>
    </row>
    <row r="15672">
      <c r="A15672" s="1">
        <v>4.0</v>
      </c>
      <c r="B15672" s="1" t="s">
        <v>15412</v>
      </c>
      <c r="C15672" t="str">
        <f>IFERROR(__xludf.DUMMYFUNCTION("GOOGLETRANSLATE(B15672, ""fr"", ""en"")"),"Great product corresponds to the description, my son gym in use because they sound good value Anti-slip")</f>
        <v>Great product corresponds to the description, my son gym in use because they sound good value Anti-slip</v>
      </c>
    </row>
    <row r="15673">
      <c r="A15673" s="1">
        <v>4.0</v>
      </c>
      <c r="B15673" s="1" t="s">
        <v>15413</v>
      </c>
      <c r="C15673" t="str">
        <f>IFERROR(__xludf.DUMMYFUNCTION("GOOGLETRANSLATE(B15673, ""fr"", ""en"")"),"Although I took my husband, best safety shoes, but he is a cook. So slip shoes, but once the kitchen floor is wet for cleaning, they slide. He likes them qd same. Shoes conform to images")</f>
        <v>Although I took my husband, best safety shoes, but he is a cook. So slip shoes, but once the kitchen floor is wet for cleaning, they slide. He likes them qd same. Shoes conform to images</v>
      </c>
    </row>
    <row r="15674">
      <c r="A15674" s="1">
        <v>4.0</v>
      </c>
      <c r="B15674" s="1" t="s">
        <v>15414</v>
      </c>
      <c r="C15674" t="str">
        <f>IFERROR(__xludf.DUMMYFUNCTION("GOOGLETRANSLATE(B15674, ""fr"", ""en"")"),"I not found better uses for trash that is not the m ^ mark me but they are perfect. I recommend once the box.")</f>
        <v>I not found better uses for trash that is not the m ^ mark me but they are perfect. I recommend once the box.</v>
      </c>
    </row>
    <row r="15675">
      <c r="A15675" s="1">
        <v>4.0</v>
      </c>
      <c r="B15675" s="1" t="s">
        <v>15415</v>
      </c>
      <c r="C15675" t="str">
        <f>IFERROR(__xludf.DUMMYFUNCTION("GOOGLETRANSLATE(B15675, ""fr"", ""en"")"),"Although its size is right, I got one size bigger and yet put insoles for comfort .. otherwise well")</f>
        <v>Although its size is right, I got one size bigger and yet put insoles for comfort .. otherwise well</v>
      </c>
    </row>
    <row r="15676">
      <c r="A15676" s="1">
        <v>5.0</v>
      </c>
      <c r="B15676" s="1" t="s">
        <v>15416</v>
      </c>
      <c r="C15676" t="str">
        <f>IFERROR(__xludf.DUMMYFUNCTION("GOOGLETRANSLATE(B15676, ""fr"", ""en"")"),"My godson love! Perfect, my godson love he can taste all the fruits (pure) without the risk of choking on pieces, the nipple side of the ring is very fun for him!")</f>
        <v>My godson love! Perfect, my godson love he can taste all the fruits (pure) without the risk of choking on pieces, the nipple side of the ring is very fun for him!</v>
      </c>
    </row>
    <row r="15677">
      <c r="A15677" s="1">
        <v>5.0</v>
      </c>
      <c r="B15677" s="1" t="s">
        <v>15417</v>
      </c>
      <c r="C15677" t="str">
        <f>IFERROR(__xludf.DUMMYFUNCTION("GOOGLETRANSLATE(B15677, ""fr"", ""en"")"),"Fast, cheap and good quality Very nice and good quality")</f>
        <v>Fast, cheap and good quality Very nice and good quality</v>
      </c>
    </row>
    <row r="15678">
      <c r="A15678" s="1">
        <v>5.0</v>
      </c>
      <c r="B15678" s="1" t="s">
        <v>15418</v>
      </c>
      <c r="C15678" t="str">
        <f>IFERROR(__xludf.DUMMYFUNCTION("GOOGLETRANSLATE(B15678, ""fr"", ""en"")"),"I recommend Very good grip")</f>
        <v>I recommend Very good grip</v>
      </c>
    </row>
    <row r="15679">
      <c r="A15679" s="1">
        <v>5.0</v>
      </c>
      <c r="B15679" s="1" t="s">
        <v>15419</v>
      </c>
      <c r="C15679" t="str">
        <f>IFERROR(__xludf.DUMMYFUNCTION("GOOGLETRANSLATE(B15679, ""fr"", ""en"")"),"Effective Effective to avoid pops and soft when rubbed her cheek on it. No complaints.")</f>
        <v>Effective Effective to avoid pops and soft when rubbed her cheek on it. No complaints.</v>
      </c>
    </row>
    <row r="15680">
      <c r="A15680" s="1">
        <v>5.0</v>
      </c>
      <c r="B15680" s="1" t="s">
        <v>15420</v>
      </c>
      <c r="C15680" t="str">
        <f>IFERROR(__xludf.DUMMYFUNCTION("GOOGLETRANSLATE(B15680, ""fr"", ""en"")"),"Good Quality Good Quality")</f>
        <v>Good Quality Good Quality</v>
      </c>
    </row>
    <row r="15681">
      <c r="A15681" s="1">
        <v>5.0</v>
      </c>
      <c r="B15681" s="1" t="s">
        <v>15421</v>
      </c>
      <c r="C15681" t="str">
        <f>IFERROR(__xludf.DUMMYFUNCTION("GOOGLETRANSLATE(B15681, ""fr"", ""en"")"),"Painting note this does not easily nettoue")</f>
        <v>Painting note this does not easily nettoue</v>
      </c>
    </row>
    <row r="15682">
      <c r="A15682" s="1">
        <v>5.0</v>
      </c>
      <c r="B15682" s="1" t="s">
        <v>15422</v>
      </c>
      <c r="C15682" t="str">
        <f>IFERROR(__xludf.DUMMYFUNCTION("GOOGLETRANSLATE(B15682, ""fr"", ""en"")"),"Nice cut product according which seam at the pocket")</f>
        <v>Nice cut product according which seam at the pocket</v>
      </c>
    </row>
    <row r="15683">
      <c r="A15683" s="1">
        <v>5.0</v>
      </c>
      <c r="B15683" s="1" t="s">
        <v>15423</v>
      </c>
      <c r="C15683" t="str">
        <f>IFERROR(__xludf.DUMMYFUNCTION("GOOGLETRANSLATE(B15683, ""fr"", ""en"")"),"quality Perfectly fits my machine unlike comment read here.")</f>
        <v>quality Perfectly fits my machine unlike comment read here.</v>
      </c>
    </row>
    <row r="15684">
      <c r="A15684" s="1">
        <v>5.0</v>
      </c>
      <c r="B15684" s="1" t="s">
        <v>15424</v>
      </c>
      <c r="C15684" t="str">
        <f>IFERROR(__xludf.DUMMYFUNCTION("GOOGLETRANSLATE(B15684, ""fr"", ""en"")"),"Top quality, take a size up Real Kickers is undeniable (even if the buffer is not necessarily present, view photos on the official website). The collection Kick Pass is a line at the base for child, for some reason, even the 39 children (yet when a child "&amp;"plays 39 ... it's normally not quite a child) is calibrated ""child"" . So count extra size compared to the size ""woman"" standard. To summarize: I am the 38 usually OK at 38 kicked for Kicklegend collection (eg, at least women's collection), but 39 need"&amp;"ed to kick Col (collection called ""child"")")</f>
        <v>Top quality, take a size up Real Kickers is undeniable (even if the buffer is not necessarily present, view photos on the official website). The collection Kick Pass is a line at the base for child, for some reason, even the 39 children (yet when a child plays 39 ... it's normally not quite a child) is calibrated "child" . So count extra size compared to the size "woman" standard. To summarize: I am the 38 usually OK at 38 kicked for Kicklegend collection (eg, at least women's collection), but 39 needed to kick Col (collection called "child")</v>
      </c>
    </row>
    <row r="15685">
      <c r="A15685" s="1">
        <v>5.0</v>
      </c>
      <c r="B15685" s="1" t="s">
        <v>15425</v>
      </c>
      <c r="C15685" t="str">
        <f>IFERROR(__xludf.DUMMYFUNCTION("GOOGLETRANSLATE(B15685, ""fr"", ""en"")"),"For eyes rested arrived well packed in a nice little box. After use, you feel a sensation of rest and freshness to the eye area. Ideal for rehydrating the thin part of the skin there. For an anti-wrinkle effect or concealer important, I think we use it da"&amp;"ily but otherwise it's really ideal after a short night, or when you take time for yourself (replaces cucumbers on eyes).")</f>
        <v>For eyes rested arrived well packed in a nice little box. After use, you feel a sensation of rest and freshness to the eye area. Ideal for rehydrating the thin part of the skin there. For an anti-wrinkle effect or concealer important, I think we use it daily but otherwise it's really ideal after a short night, or when you take time for yourself (replaces cucumbers on eyes).</v>
      </c>
    </row>
    <row r="15686">
      <c r="A15686" s="1">
        <v>5.0</v>
      </c>
      <c r="B15686" s="1" t="s">
        <v>15426</v>
      </c>
      <c r="C15686" t="str">
        <f>IFERROR(__xludf.DUMMYFUNCTION("GOOGLETRANSLATE(B15686, ""fr"", ""en"")"),"Beautiful, practical and easy to use Very nice product and works perfectly adjustable temperature easily No need for manual: everything is displayed Practice as you choose the ideal temperature for your tea or preparing henna: I also bought for this reaso"&amp;"n (takes 50 degree lol) the glass is resistant cord and the right length to wash white vinegar simply :) Once you put it on the pedestal: it indicates the temperature inside (water or air s' it is empty) then after a few seconds the light goes out.")</f>
        <v>Beautiful, practical and easy to use Very nice product and works perfectly adjustable temperature easily No need for manual: everything is displayed Practice as you choose the ideal temperature for your tea or preparing henna: I also bought for this reason (takes 50 degree lol) the glass is resistant cord and the right length to wash white vinegar simply :) Once you put it on the pedestal: it indicates the temperature inside (water or air s' it is empty) then after a few seconds the light goes out.</v>
      </c>
    </row>
    <row r="15687">
      <c r="A15687" s="1">
        <v>5.0</v>
      </c>
      <c r="B15687" s="1" t="s">
        <v>15427</v>
      </c>
      <c r="C15687" t="str">
        <f>IFERROR(__xludf.DUMMYFUNCTION("GOOGLETRANSLATE(B15687, ""fr"", ""en"")"),"Pointer ppt presentation training. This is the first presentation I'm doing with this pointer, and I must say I'm delighted. It is very ergonomic, it fits perfectly in your hand, and its coating gives it a very comfortable feel. The implementation is very"&amp;" fast, with the USB drive. When not using the pointer is housed inside the pointer. The laser works very well even at a distance of 20 m. It has buttons for advancing and retracting the presentation, but also a button to a black screen or to stop and rest"&amp;"art the presentation. I am very happy with my purchase, and I will do all my training with this pointer. I hope that my return experience has been helpful.")</f>
        <v>Pointer ppt presentation training. This is the first presentation I'm doing with this pointer, and I must say I'm delighted. It is very ergonomic, it fits perfectly in your hand, and its coating gives it a very comfortable feel. The implementation is very fast, with the USB drive. When not using the pointer is housed inside the pointer. The laser works very well even at a distance of 20 m. It has buttons for advancing and retracting the presentation, but also a button to a black screen or to stop and restart the presentation. I am very happy with my purchase, and I will do all my training with this pointer. I hope that my return experience has been helpful.</v>
      </c>
    </row>
    <row r="15688">
      <c r="A15688" s="1">
        <v>5.0</v>
      </c>
      <c r="B15688" s="1" t="s">
        <v>15428</v>
      </c>
      <c r="C15688" t="str">
        <f>IFERROR(__xludf.DUMMYFUNCTION("GOOGLETRANSLATE(B15688, ""fr"", ""en"")"),"The best brush on the market After buying several brush models on the market, this is the one the best, easy to clean, flexible which prevents damage to the teats. I do not regret my purchase and I recommend this product. Moreover it is rotating and it's "&amp;"great practice.")</f>
        <v>The best brush on the market After buying several brush models on the market, this is the one the best, easy to clean, flexible which prevents damage to the teats. I do not regret my purchase and I recommend this product. Moreover it is rotating and it's great practice.</v>
      </c>
    </row>
    <row r="15689">
      <c r="A15689" s="1">
        <v>5.0</v>
      </c>
      <c r="B15689" s="1" t="s">
        <v>15429</v>
      </c>
      <c r="C15689" t="str">
        <f>IFERROR(__xludf.DUMMYFUNCTION("GOOGLETRANSLATE(B15689, ""fr"", ""en"")"),"One can simply make pretty small wrist")</f>
        <v>One can simply make pretty small wrist</v>
      </c>
    </row>
    <row r="15690">
      <c r="A15690" s="1">
        <v>5.0</v>
      </c>
      <c r="B15690" s="1" t="s">
        <v>15430</v>
      </c>
      <c r="C15690" t="str">
        <f>IFERROR(__xludf.DUMMYFUNCTION("GOOGLETRANSLATE(B15690, ""fr"", ""en"")"),"Super super beautiful product I recommend Solid Practice")</f>
        <v>Super super beautiful product I recommend Solid Practice</v>
      </c>
    </row>
    <row r="15691">
      <c r="A15691" s="1">
        <v>2.0</v>
      </c>
      <c r="B15691" s="1" t="s">
        <v>15431</v>
      </c>
      <c r="C15691" t="str">
        <f>IFERROR(__xludf.DUMMYFUNCTION("GOOGLETRANSLATE(B15691, ""fr"", ""en"")"),"Size small M is an S size small T-shirt of good quality but too petit.oblige size rachater on another brand tee shirt.")</f>
        <v>Size small M is an S size small T-shirt of good quality but too petit.oblige size rachater on another brand tee shirt.</v>
      </c>
    </row>
    <row r="15692">
      <c r="A15692" s="1">
        <v>1.0</v>
      </c>
      <c r="B15692" s="1" t="s">
        <v>15432</v>
      </c>
      <c r="C15692" t="str">
        <f>IFERROR(__xludf.DUMMYFUNCTION("GOOGLETRANSLATE(B15692, ""fr"", ""en"")"),"Paint that not wash texture is great and easy to use but the painting is not a party to wash even though I put a good amount of stain remover. To use it will therefore fully cover your child and yourself ....")</f>
        <v>Paint that not wash texture is great and easy to use but the painting is not a party to wash even though I put a good amount of stain remover. To use it will therefore fully cover your child and yourself ....</v>
      </c>
    </row>
    <row r="15693">
      <c r="A15693" s="1">
        <v>1.0</v>
      </c>
      <c r="B15693" s="1" t="s">
        <v>15433</v>
      </c>
      <c r="C15693" t="str">
        <f>IFERROR(__xludf.DUMMYFUNCTION("GOOGLETRANSLATE(B15693, ""fr"", ""en"")"),"The price of delivery = 2 times the price of the product is indicated on the product page that delivery amounted to € 1.75, except that I paid € 4.50 for postage without justification . For a small bottle of essential oil, it seems a bit exaggerated ...")</f>
        <v>The price of delivery = 2 times the price of the product is indicated on the product page that delivery amounted to € 1.75, except that I paid € 4.50 for postage without justification . For a small bottle of essential oil, it seems a bit exaggerated ...</v>
      </c>
    </row>
    <row r="15694">
      <c r="A15694" s="1">
        <v>3.0</v>
      </c>
      <c r="B15694" s="1" t="s">
        <v>15434</v>
      </c>
      <c r="C15694" t="str">
        <f>IFERROR(__xludf.DUMMYFUNCTION("GOOGLETRANSLATE(B15694, ""fr"", ""en"")"),"Too much I returned this bra because it was too great: I had taken the 90B (my height) but it was kind of 90C. Other than that it looked good.")</f>
        <v>Too much I returned this bra because it was too great: I had taken the 90B (my height) but it was kind of 90C. Other than that it looked good.</v>
      </c>
    </row>
    <row r="15695">
      <c r="A15695" s="1">
        <v>3.0</v>
      </c>
      <c r="B15695" s="1" t="s">
        <v>15435</v>
      </c>
      <c r="C15695" t="str">
        <f>IFERROR(__xludf.DUMMYFUNCTION("GOOGLETRANSLATE(B15695, ""fr"", ""en"")"),"Satisfied Good cut, focus 100% polyester.")</f>
        <v>Satisfied Good cut, focus 100% polyester.</v>
      </c>
    </row>
    <row r="15696">
      <c r="A15696" s="1">
        <v>4.0</v>
      </c>
      <c r="B15696" s="1" t="s">
        <v>15436</v>
      </c>
      <c r="C15696" t="str">
        <f>IFERROR(__xludf.DUMMYFUNCTION("GOOGLETRANSLATE(B15696, ""fr"", ""en"")"),"Good product Perfect")</f>
        <v>Good product Perfect</v>
      </c>
    </row>
    <row r="15697">
      <c r="A15697" s="1">
        <v>4.0</v>
      </c>
      <c r="B15697" s="1" t="s">
        <v>15437</v>
      </c>
      <c r="C15697" t="str">
        <f>IFERROR(__xludf.DUMMYFUNCTION("GOOGLETRANSLATE(B15697, ""fr"", ""en"")"),"Head Ideal for headaches. This product was sent with a pipette for dosing. The smell is good and the bottle is easy to use")</f>
        <v>Head Ideal for headaches. This product was sent with a pipette for dosing. The smell is good and the bottle is easy to use</v>
      </c>
    </row>
    <row r="15698">
      <c r="A15698" s="1">
        <v>4.0</v>
      </c>
      <c r="B15698" s="1" t="s">
        <v>15438</v>
      </c>
      <c r="C15698" t="str">
        <f>IFERROR(__xludf.DUMMYFUNCTION("GOOGLETRANSLATE(B15698, ""fr"", ""en"")"),"perfect Metallic Effect Metallic perfect")</f>
        <v>perfect Metallic Effect Metallic perfect</v>
      </c>
    </row>
    <row r="15699">
      <c r="A15699" s="1">
        <v>4.0</v>
      </c>
      <c r="B15699" s="1" t="s">
        <v>15439</v>
      </c>
      <c r="C15699" t="str">
        <f>IFERROR(__xludf.DUMMYFUNCTION("GOOGLETRANSLATE(B15699, ""fr"", ""en"")"),"good buy very good value")</f>
        <v>good buy very good value</v>
      </c>
    </row>
    <row r="15700">
      <c r="A15700" s="1">
        <v>5.0</v>
      </c>
      <c r="B15700" s="1" t="s">
        <v>15440</v>
      </c>
      <c r="C15700" t="str">
        <f>IFERROR(__xludf.DUMMYFUNCTION("GOOGLETRANSLATE(B15700, ""fr"", ""en"")"),"Very good quality. Comfortable")</f>
        <v>Very good quality. Comfortable</v>
      </c>
    </row>
    <row r="15701">
      <c r="A15701" s="1">
        <v>5.0</v>
      </c>
      <c r="B15701" s="1" t="s">
        <v>15441</v>
      </c>
      <c r="C15701" t="str">
        <f>IFERROR(__xludf.DUMMYFUNCTION("GOOGLETRANSLATE(B15701, ""fr"", ""en"")"),"Easy to place sticks well on the bubble wrap and fits perfectly to unwind.")</f>
        <v>Easy to place sticks well on the bubble wrap and fits perfectly to unwind.</v>
      </c>
    </row>
    <row r="15702">
      <c r="A15702" s="1">
        <v>5.0</v>
      </c>
      <c r="B15702" s="1" t="s">
        <v>15442</v>
      </c>
      <c r="C15702" t="str">
        <f>IFERROR(__xludf.DUMMYFUNCTION("GOOGLETRANSLATE(B15702, ""fr"", ""en"")"),"Good product Complies good quality and attractive price")</f>
        <v>Good product Complies good quality and attractive price</v>
      </c>
    </row>
    <row r="15703">
      <c r="A15703" s="1">
        <v>5.0</v>
      </c>
      <c r="B15703" s="1" t="s">
        <v>15443</v>
      </c>
      <c r="C15703" t="str">
        <f>IFERROR(__xludf.DUMMYFUNCTION("GOOGLETRANSLATE(B15703, ""fr"", ""en"")"),"Coffee Good product and in line with expectations")</f>
        <v>Coffee Good product and in line with expectations</v>
      </c>
    </row>
    <row r="15704">
      <c r="A15704" s="1">
        <v>5.0</v>
      </c>
      <c r="B15704" s="1" t="s">
        <v>15444</v>
      </c>
      <c r="C15704" t="str">
        <f>IFERROR(__xludf.DUMMYFUNCTION("GOOGLETRANSLATE(B15704, ""fr"", ""en"")"),"FLAWLESS Good evening, origin Cartridges Canon's high capacity fully recognized by my printer, C TOP. Reception fast Completely satisfied. I highly recommend you. Sincerely, DOMINIC")</f>
        <v>FLAWLESS Good evening, origin Cartridges Canon's high capacity fully recognized by my printer, C TOP. Reception fast Completely satisfied. I highly recommend you. Sincerely, DOMINIC</v>
      </c>
    </row>
    <row r="15705">
      <c r="A15705" s="1">
        <v>5.0</v>
      </c>
      <c r="B15705" s="1" t="s">
        <v>15445</v>
      </c>
      <c r="C15705" t="str">
        <f>IFERROR(__xludf.DUMMYFUNCTION("GOOGLETRANSLATE(B15705, ""fr"", ""en"")"),"Super Lightweight and ergonomic product, against the driver would almost hit someone in front of me so he drove fast ... Thank you Amazon kindly to trace this information because impossible to do otherwise")</f>
        <v>Super Lightweight and ergonomic product, against the driver would almost hit someone in front of me so he drove fast ... Thank you Amazon kindly to trace this information because impossible to do otherwise</v>
      </c>
    </row>
    <row r="15706">
      <c r="A15706" s="1">
        <v>5.0</v>
      </c>
      <c r="B15706" s="1" t="s">
        <v>15446</v>
      </c>
      <c r="C15706" t="str">
        <f>IFERROR(__xludf.DUMMYFUNCTION("GOOGLETRANSLATE(B15706, ""fr"", ""en"")"),"Why do without! Why deny it, less than 20 €. Super lightweight, hold well in my ears like those of my spouse. Good sound, clear and well defined. I use it for very discreet sport. Easy loading, great the storage box has a small battery that recharges auto"&amp;"matically when the headphones are stored. Direct connection to the box. Automatic Login this is great. For the price, I you the conseille.😊")</f>
        <v>Why do without! Why deny it, less than 20 €. Super lightweight, hold well in my ears like those of my spouse. Good sound, clear and well defined. I use it for very discreet sport. Easy loading, great the storage box has a small battery that recharges automatically when the headphones are stored. Direct connection to the box. Automatic Login this is great. For the price, I you the conseille.😊</v>
      </c>
    </row>
    <row r="15707">
      <c r="A15707" s="1">
        <v>5.0</v>
      </c>
      <c r="B15707" s="1" t="s">
        <v>15447</v>
      </c>
      <c r="C15707" t="str">
        <f>IFERROR(__xludf.DUMMYFUNCTION("GOOGLETRANSLATE(B15707, ""fr"", ""en"")"),"Great product! I simply headphones brand my phone, I wanted to try something new! They are comfortable with a good performance in the ear, also the range of sizes of caps is very varied. The sound is excellent and is well isolated from external noise. The"&amp;" cable length is considerable and pad + microphone are very functional. I fear only the strength of the cable from the jack, that's when I shot some problems, but for now it holds very well.")</f>
        <v>Great product! I simply headphones brand my phone, I wanted to try something new! They are comfortable with a good performance in the ear, also the range of sizes of caps is very varied. The sound is excellent and is well isolated from external noise. The cable length is considerable and pad + microphone are very functional. I fear only the strength of the cable from the jack, that's when I shot some problems, but for now it holds very well.</v>
      </c>
    </row>
    <row r="15708">
      <c r="A15708" s="1">
        <v>5.0</v>
      </c>
      <c r="B15708" s="1" t="s">
        <v>15448</v>
      </c>
      <c r="C15708" t="str">
        <f>IFERROR(__xludf.DUMMYFUNCTION("GOOGLETRANSLATE(B15708, ""fr"", ""en"")"),"Super Beautiful necklace very good quality for the price")</f>
        <v>Super Beautiful necklace very good quality for the price</v>
      </c>
    </row>
    <row r="15709">
      <c r="A15709" s="1">
        <v>5.0</v>
      </c>
      <c r="B15709" s="1" t="s">
        <v>15449</v>
      </c>
      <c r="C15709" t="str">
        <f>IFERROR(__xludf.DUMMYFUNCTION("GOOGLETRANSLATE(B15709, ""fr"", ""en"")"),"Bracelet For my personal use")</f>
        <v>Bracelet For my personal use</v>
      </c>
    </row>
    <row r="15710">
      <c r="A15710" s="1">
        <v>5.0</v>
      </c>
      <c r="B15710" s="1" t="s">
        <v>15450</v>
      </c>
      <c r="C15710" t="str">
        <f>IFERROR(__xludf.DUMMYFUNCTION("GOOGLETRANSLATE(B15710, ""fr"", ""en"")"),"Pop Filter Hi, anti-pop filter that destroys basic pop sounds, works very well with good clip acrocher to an articulated arm. Delivered free in 1 DAY CRAFTED!")</f>
        <v>Pop Filter Hi, anti-pop filter that destroys basic pop sounds, works very well with good clip acrocher to an articulated arm. Delivered free in 1 DAY CRAFTED!</v>
      </c>
    </row>
    <row r="15711">
      <c r="A15711" s="1">
        <v>5.0</v>
      </c>
      <c r="B15711" s="1" t="s">
        <v>15451</v>
      </c>
      <c r="C15711" t="str">
        <f>IFERROR(__xludf.DUMMYFUNCTION("GOOGLETRANSLATE(B15711, ""fr"", ""en"")"),"submersible lift pump I replaced a lift pump by the former (Makita 1100). Placed at the end of the filter drains, it must meet the water to get in a ditch a little higher (3 meters). Former professional I opted for a pump Makita PF 110. This product has a"&amp;" very interesting quality / price ratio. This pump can suck enough Wastewater and accepting lumps of 35 mm. This pump gives me more whole satisfaction.De connection is very easy. Note for lifting in excess of 7-8 m, it would be logical to opt a pump with "&amp;"higher performance (but at prices + high ...)")</f>
        <v>submersible lift pump I replaced a lift pump by the former (Makita 1100). Placed at the end of the filter drains, it must meet the water to get in a ditch a little higher (3 meters). Former professional I opted for a pump Makita PF 110. This product has a very interesting quality / price ratio. This pump can suck enough Wastewater and accepting lumps of 35 mm. This pump gives me more whole satisfaction.De connection is very easy. Note for lifting in excess of 7-8 m, it would be logical to opt a pump with higher performance (but at prices + high ...)</v>
      </c>
    </row>
    <row r="15712">
      <c r="A15712" s="1">
        <v>5.0</v>
      </c>
      <c r="B15712" s="1" t="s">
        <v>15452</v>
      </c>
      <c r="C15712" t="str">
        <f>IFERROR(__xludf.DUMMYFUNCTION("GOOGLETRANSLATE(B15712, ""fr"", ""en"")"),"Nice watch Very nice watch, rather fine and good quality! J'm happy and my husband too! I recommend it")</f>
        <v>Nice watch Very nice watch, rather fine and good quality! J'm happy and my husband too! I recommend it</v>
      </c>
    </row>
    <row r="15713">
      <c r="A15713" s="1">
        <v>5.0</v>
      </c>
      <c r="B15713" s="1" t="s">
        <v>15453</v>
      </c>
      <c r="C15713" t="str">
        <f>IFERROR(__xludf.DUMMYFUNCTION("GOOGLETRANSLATE(B15713, ""fr"", ""en"")"),"Classy Gift evening class")</f>
        <v>Classy Gift evening class</v>
      </c>
    </row>
    <row r="15714">
      <c r="A15714" s="1">
        <v>5.0</v>
      </c>
      <c r="B15714" s="1" t="s">
        <v>15454</v>
      </c>
      <c r="C15714" t="str">
        <f>IFERROR(__xludf.DUMMYFUNCTION("GOOGLETRANSLATE(B15714, ""fr"", ""en"")"),"Satisfied Very good product I recommend")</f>
        <v>Satisfied Very good product I recommend</v>
      </c>
    </row>
    <row r="15715">
      <c r="A15715" s="1">
        <v>2.0</v>
      </c>
      <c r="B15715" s="1" t="s">
        <v>15455</v>
      </c>
      <c r="C15715" t="str">
        <f>IFERROR(__xludf.DUMMYFUNCTION("GOOGLETRANSLATE(B15715, ""fr"", ""en"")"),"Bought a little disappointing and received very quickly in normal delivery, Thanks Amazon. Earphones tested on an Android phone Oreo Content in general: - The box refill. -Both headphones. -A cable USB- &amp; gt; Micro-USB. -The manual. -6 silicone tips in di"&amp;"fferent sizes. are provided in the box. The product itself: - A noise reduction effect powerful enough, once lit music almost all the sounds are muffled. - Those I have received sound pretty decent for the purchase price. - The bass can be felt and obviou"&amp;"sly more powerful with both earphones. - talk headphones, they can use both in stereo with both simultaneously a single solo earpiece. In my version the main earphone stereo and the left. - The load is held very well after 1:30 my phone tells me use 60% b"&amp;"attery remaining. The charge earphones in the box and fast enough, I spend 40% to 80% in 15-25mn for a listener. - Charging box fits in a pocket and can recharge the headset and your phone. Battery 3000 mAh announced for the box - the headphones disconnec"&amp;"ted from the box connects itself to the last phone paired. If you use only one earphone then you want to use both, they try to be connected together without user interaction. - The headset has a touch sensor to control the audio stream. Type 3 times the a"&amp;"rea to call Siri (Advertised but not tested, Google can not be called that way). - For me the headphones fits comfortably in my ear and never came alone, but if you do not use the appropriate plugs or if you move your ears (for those who get there) you ca"&amp;"n lose the full use. Defects found: - The biggest problem that I felt, the headphones disconnects all the time to recharge box. I can not reloaded without that disconnects the load at any time and they may be connected to my phone automatically. To tell y"&amp;"ou the box in front of me asked when I write the comment, the right earphone (Without touching the box) disconnects itself from the box and connecting with my phone was made (the box and close.). - I felt the brownouts during use but fortunately rarely. -"&amp;" during my first week of use I had 3 times an audio synchronization of the two earphones. if in case any audio source stop about 5 seconds while the headphones resynchronizes alone. - Attention when you use the secondary headset only (For me the secondary"&amp;" headset was the right one) When activating the main speaker (The left) every intelligent audio stream will pause and may not leave alone. That and the fact that one listener can be connected simultaneously. The primary headset disconnects the secondary e"&amp;"arpiece that they then synchronizes the main headset will connect to the phone. - I had a period where I went two headphones at the same time and my phone was not able to choose between the main receiver (to get in stereo) or secondary receiver. So avoid "&amp;"disconnecting the box both ears at the same time otherwise you will have some problems (Personally my phone has removed both earphones of paired devices) - It may be that your main receiver (used alone) does not connect to second earpiece disconnect durin"&amp;"g use. In cases will wait for the right ear goes out alone (about 20 seconds without any intervention) and then turn the remaining press the touch surface about 2 seconds. Normally headphones succeed in sync. Fianl felt: I can recommend headphones for peo"&amp;"ple who want a product not especially cheap but decent audio quality. But unfortunately I do not recommend because the charge in the case and too unstable and people wanting a good product not especially expensive (€ 50 made its still a good small fee) go"&amp;" your way.")</f>
        <v>Bought a little disappointing and received very quickly in normal delivery, Thanks Amazon. Earphones tested on an Android phone Oreo Content in general: - The box refill. -Both headphones. -A cable USB- &amp; gt; Micro-USB. -The manual. -6 silicone tips in different sizes. are provided in the box. The product itself: - A noise reduction effect powerful enough, once lit music almost all the sounds are muffled. - Those I have received sound pretty decent for the purchase price. - The bass can be felt and obviously more powerful with both earphones. - talk headphones, they can use both in stereo with both simultaneously a single solo earpiece. In my version the main earphone stereo and the left. - The load is held very well after 1:30 my phone tells me use 60% battery remaining. The charge earphones in the box and fast enough, I spend 40% to 80% in 15-25mn for a listener. - Charging box fits in a pocket and can recharge the headset and your phone. Battery 3000 mAh announced for the box - the headphones disconnected from the box connects itself to the last phone paired. If you use only one earphone then you want to use both, they try to be connected together without user interaction. - The headset has a touch sensor to control the audio stream. Type 3 times the area to call Siri (Advertised but not tested, Google can not be called that way). - For me the headphones fits comfortably in my ear and never came alone, but if you do not use the appropriate plugs or if you move your ears (for those who get there) you can lose the full use. Defects found: - The biggest problem that I felt, the headphones disconnects all the time to recharge box. I can not reloaded without that disconnects the load at any time and they may be connected to my phone automatically. To tell you the box in front of me asked when I write the comment, the right earphone (Without touching the box) disconnects itself from the box and connecting with my phone was made (the box and close.). - I felt the brownouts during use but fortunately rarely. - during my first week of use I had 3 times an audio synchronization of the two earphones. if in case any audio source stop about 5 seconds while the headphones resynchronizes alone. - Attention when you use the secondary headset only (For me the secondary headset was the right one) When activating the main speaker (The left) every intelligent audio stream will pause and may not leave alone. That and the fact that one listener can be connected simultaneously. The primary headset disconnects the secondary earpiece that they then synchronizes the main headset will connect to the phone. - I had a period where I went two headphones at the same time and my phone was not able to choose between the main receiver (to get in stereo) or secondary receiver. So avoid disconnecting the box both ears at the same time otherwise you will have some problems (Personally my phone has removed both earphones of paired devices) - It may be that your main receiver (used alone) does not connect to second earpiece disconnect during use. In cases will wait for the right ear goes out alone (about 20 seconds without any intervention) and then turn the remaining press the touch surface about 2 seconds. Normally headphones succeed in sync. Fianl felt: I can recommend headphones for people who want a product not especially cheap but decent audio quality. But unfortunately I do not recommend because the charge in the case and too unstable and people wanting a good product not especially expensive (€ 50 made its still a good small fee) go your way.</v>
      </c>
    </row>
    <row r="15716">
      <c r="A15716" s="1">
        <v>1.0</v>
      </c>
      <c r="B15716" s="1" t="s">
        <v>15456</v>
      </c>
      <c r="C15716" t="str">
        <f>IFERROR(__xludf.DUMMYFUNCTION("GOOGLETRANSLATE(B15716, ""fr"", ""en"")"),"I DO NOT RECOMMEND The watch will not hold a charge. The buttons still rely on the wrist and it goes awry")</f>
        <v>I DO NOT RECOMMEND The watch will not hold a charge. The buttons still rely on the wrist and it goes awry</v>
      </c>
    </row>
    <row r="15717">
      <c r="A15717" s="1">
        <v>1.0</v>
      </c>
      <c r="B15717" s="1" t="s">
        <v>15457</v>
      </c>
      <c r="C15717" t="str">
        <f>IFERROR(__xludf.DUMMYFUNCTION("GOOGLETRANSLATE(B15717, ""fr"", ""en"")"),"Small and little glue and glue Too little bit.")</f>
        <v>Small and little glue and glue Too little bit.</v>
      </c>
    </row>
    <row r="15718">
      <c r="A15718" s="1">
        <v>3.0</v>
      </c>
      <c r="B15718" s="1" t="s">
        <v>15458</v>
      </c>
      <c r="C15718" t="str">
        <f>IFERROR(__xludf.DUMMYFUNCTION("GOOGLETRANSLATE(B15718, ""fr"", ""en"")"),"well pleased")</f>
        <v>well pleased</v>
      </c>
    </row>
    <row r="15719">
      <c r="A15719" s="1">
        <v>3.0</v>
      </c>
      <c r="B15719" s="1" t="s">
        <v>15459</v>
      </c>
      <c r="C15719" t="str">
        <f>IFERROR(__xludf.DUMMYFUNCTION("GOOGLETRANSLATE(B15719, ""fr"", ""en"")"),"Too bad breaks! Hello, a bottle of the two was broken and spilled oil all over greasing the reported package reconditioned by mail. It's a shame, the essential oil contained in the second bottle is very fragrant and looks very good. I must say that the pa"&amp;"ckaging was not sufficiently protective.")</f>
        <v>Too bad breaks! Hello, a bottle of the two was broken and spilled oil all over greasing the reported package reconditioned by mail. It's a shame, the essential oil contained in the second bottle is very fragrant and looks very good. I must say that the packaging was not sufficiently protective.</v>
      </c>
    </row>
    <row r="15720">
      <c r="A15720" s="1">
        <v>4.0</v>
      </c>
      <c r="B15720" s="1" t="s">
        <v>15460</v>
      </c>
      <c r="C15720" t="str">
        <f>IFERROR(__xludf.DUMMYFUNCTION("GOOGLETRANSLATE(B15720, ""fr"", ""en"")"),"Sweating assured assured sweating, a bit uncomfortable but effective")</f>
        <v>Sweating assured assured sweating, a bit uncomfortable but effective</v>
      </c>
    </row>
    <row r="15721">
      <c r="A15721" s="1">
        <v>4.0</v>
      </c>
      <c r="B15721" s="1" t="s">
        <v>15461</v>
      </c>
      <c r="C15721" t="str">
        <f>IFERROR(__xludf.DUMMYFUNCTION("GOOGLETRANSLATE(B15721, ""fr"", ""en"")"),"My friend recommended to buy this product My friend recommended me to buy this product. Now I use it once a day for 30 minutes. This product has improved the flow of my legs and my feet. It significantly reduces foot pain caused by nerve damage and arthri"&amp;"tis. In addition, this massager allows me to fall asleep easily, without taking medication.")</f>
        <v>My friend recommended to buy this product My friend recommended me to buy this product. Now I use it once a day for 30 minutes. This product has improved the flow of my legs and my feet. It significantly reduces foot pain caused by nerve damage and arthritis. In addition, this massager allows me to fall asleep easily, without taking medication.</v>
      </c>
    </row>
    <row r="15722">
      <c r="A15722" s="1">
        <v>4.0</v>
      </c>
      <c r="B15722" s="1" t="s">
        <v>15462</v>
      </c>
      <c r="C15722" t="str">
        <f>IFERROR(__xludf.DUMMYFUNCTION("GOOGLETRANSLATE(B15722, ""fr"", ""en"")"),"Conforms Arrive on time box to letter without packaging cardboard but well received, but comfortable shoe to wear see through time")</f>
        <v>Conforms Arrive on time box to letter without packaging cardboard but well received, but comfortable shoe to wear see through time</v>
      </c>
    </row>
    <row r="15723">
      <c r="A15723" s="1">
        <v>4.0</v>
      </c>
      <c r="B15723" s="1" t="s">
        <v>15463</v>
      </c>
      <c r="C15723" t="str">
        <f>IFERROR(__xludf.DUMMYFUNCTION("GOOGLETRANSLATE(B15723, ""fr"", ""en"")"),"Crocs Better take a size up if you want the scope.")</f>
        <v>Crocs Better take a size up if you want the scope.</v>
      </c>
    </row>
    <row r="15724">
      <c r="A15724" s="1">
        <v>5.0</v>
      </c>
      <c r="B15724" s="1" t="s">
        <v>15464</v>
      </c>
      <c r="C15724" t="str">
        <f>IFERROR(__xludf.DUMMYFUNCTION("GOOGLETRANSLATE(B15724, ""fr"", ""en"")"),"Very comfortable. Ideal for occasional sports. In terms of size it's just perfect. Neither too tight nor too loose. On top of that shoes are very comfortable for a gym workout. It really is a quality product for a common practice sport but not intensive. "&amp;"However if you like flashy shoes, the whiteness of these sneakers may seem a bit dull but it is a matter of taste.")</f>
        <v>Very comfortable. Ideal for occasional sports. In terms of size it's just perfect. Neither too tight nor too loose. On top of that shoes are very comfortable for a gym workout. It really is a quality product for a common practice sport but not intensive. However if you like flashy shoes, the whiteness of these sneakers may seem a bit dull but it is a matter of taste.</v>
      </c>
    </row>
    <row r="15725">
      <c r="A15725" s="1">
        <v>5.0</v>
      </c>
      <c r="B15725" s="1" t="s">
        <v>15465</v>
      </c>
      <c r="C15725" t="str">
        <f>IFERROR(__xludf.DUMMYFUNCTION("GOOGLETRANSLATE(B15725, ""fr"", ""en"")"),"Compatible with EPSON printer 345 XP I replaced the black cartridge for the time the cartridge has been taken over by my EPSON XP-345, which nevertheless detected that it was not an original cartridge . But for the price the pack is interesting. The print"&amp;" quality is different but for my use is good enough.")</f>
        <v>Compatible with EPSON printer 345 XP I replaced the black cartridge for the time the cartridge has been taken over by my EPSON XP-345, which nevertheless detected that it was not an original cartridge . But for the price the pack is interesting. The print quality is different but for my use is good enough.</v>
      </c>
    </row>
    <row r="15726">
      <c r="A15726" s="1">
        <v>5.0</v>
      </c>
      <c r="B15726" s="1" t="s">
        <v>15466</v>
      </c>
      <c r="C15726" t="str">
        <f>IFERROR(__xludf.DUMMYFUNCTION("GOOGLETRANSLATE(B15726, ""fr"", ""en"")"),"Shared Between my daughters also sports one of the other ... remains to choose the color according to the sport ... or the color of the tank, for some, they are girls, the mystery remains!")</f>
        <v>Shared Between my daughters also sports one of the other ... remains to choose the color according to the sport ... or the color of the tank, for some, they are girls, the mystery remains!</v>
      </c>
    </row>
    <row r="15727">
      <c r="A15727" s="1">
        <v>5.0</v>
      </c>
      <c r="B15727" s="1" t="s">
        <v>15467</v>
      </c>
      <c r="C15727" t="str">
        <f>IFERROR(__xludf.DUMMYFUNCTION("GOOGLETRANSLATE(B15727, ""fr"", ""en"")"),"Compliant Compliant my expectations")</f>
        <v>Compliant Compliant my expectations</v>
      </c>
    </row>
    <row r="15728">
      <c r="A15728" s="1">
        <v>5.0</v>
      </c>
      <c r="B15728" s="1" t="s">
        <v>15468</v>
      </c>
      <c r="C15728" t="str">
        <f>IFERROR(__xludf.DUMMYFUNCTION("GOOGLETRANSLATE(B15728, ""fr"", ""en"")"),"les2 brooch Little Birds In Alliagecolorés les2 brooch Little Birds In colored alloy are the package arrived in good condition, cute and well finished satisfied")</f>
        <v>les2 brooch Little Birds In Alliagecolorés les2 brooch Little Birds In colored alloy are the package arrived in good condition, cute and well finished satisfied</v>
      </c>
    </row>
    <row r="15729">
      <c r="A15729" s="1">
        <v>5.0</v>
      </c>
      <c r="B15729" s="1" t="s">
        <v>15469</v>
      </c>
      <c r="C15729" t="str">
        <f>IFERROR(__xludf.DUMMYFUNCTION("GOOGLETRANSLATE(B15729, ""fr"", ""en"")"),"Chalk liquid Okay, perfect for writing jam jars !!!!")</f>
        <v>Chalk liquid Okay, perfect for writing jam jars !!!!</v>
      </c>
    </row>
    <row r="15730">
      <c r="A15730" s="1">
        <v>5.0</v>
      </c>
      <c r="B15730" s="1" t="s">
        <v>15470</v>
      </c>
      <c r="C15730" t="str">
        <f>IFERROR(__xludf.DUMMYFUNCTION("GOOGLETRANSLATE(B15730, ""fr"", ""en"")"),"Excellent sound. Impeccable.")</f>
        <v>Excellent sound. Impeccable.</v>
      </c>
    </row>
    <row r="15731">
      <c r="A15731" s="1">
        <v>5.0</v>
      </c>
      <c r="B15731" s="1" t="s">
        <v>15471</v>
      </c>
      <c r="C15731" t="str">
        <f>IFERROR(__xludf.DUMMYFUNCTION("GOOGLETRANSLATE(B15731, ""fr"", ""en"")"),"In perfect 3 uses, the hens are more equal! More than happy !!! '")</f>
        <v>In perfect 3 uses, the hens are more equal! More than happy !!! '</v>
      </c>
    </row>
    <row r="15732">
      <c r="A15732" s="1">
        <v>5.0</v>
      </c>
      <c r="B15732" s="1" t="s">
        <v>15472</v>
      </c>
      <c r="C15732" t="str">
        <f>IFERROR(__xludf.DUMMYFUNCTION("GOOGLETRANSLATE(B15732, ""fr"", ""en"")"),"For a warm bed Great for a winter warm bed in the kettle over a sweater withdrawing and therefore washable")</f>
        <v>For a warm bed Great for a winter warm bed in the kettle over a sweater withdrawing and therefore washable</v>
      </c>
    </row>
    <row r="15733">
      <c r="A15733" s="1">
        <v>5.0</v>
      </c>
      <c r="B15733" s="1" t="s">
        <v>15473</v>
      </c>
      <c r="C15733" t="str">
        <f>IFERROR(__xludf.DUMMYFUNCTION("GOOGLETRANSLATE(B15733, ""fr"", ""en"")"),"original cartridge This is an original cartridge and I highly recommend not to change! Thus, any problems or quality or loaded into the printer. and sending fast and good value")</f>
        <v>original cartridge This is an original cartridge and I highly recommend not to change! Thus, any problems or quality or loaded into the printer. and sending fast and good value</v>
      </c>
    </row>
    <row r="15734">
      <c r="A15734" s="1">
        <v>5.0</v>
      </c>
      <c r="B15734" s="1" t="s">
        <v>15474</v>
      </c>
      <c r="C15734" t="str">
        <f>IFERROR(__xludf.DUMMYFUNCTION("GOOGLETRANSLATE(B15734, ""fr"", ""en"")"),"PERFECTLY COMPLIANT. Product according to the description. Apparent good quality, very fast delivery and Sunday. Extraordinary!")</f>
        <v>PERFECTLY COMPLIANT. Product according to the description. Apparent good quality, very fast delivery and Sunday. Extraordinary!</v>
      </c>
    </row>
    <row r="15735">
      <c r="A15735" s="1">
        <v>5.0</v>
      </c>
      <c r="B15735" s="1" t="s">
        <v>15475</v>
      </c>
      <c r="C15735" t="str">
        <f>IFERROR(__xludf.DUMMYFUNCTION("GOOGLETRANSLATE(B15735, ""fr"", ""en"")"),"Great Product received promptly ... My old belt was broken in the attic ... Simple setup up in 2 minutes, be sure to rotate the tray in his hand a few turns before starting.")</f>
        <v>Great Product received promptly ... My old belt was broken in the attic ... Simple setup up in 2 minutes, be sure to rotate the tray in his hand a few turns before starting.</v>
      </c>
    </row>
    <row r="15736">
      <c r="A15736" s="1">
        <v>5.0</v>
      </c>
      <c r="B15736" s="1" t="s">
        <v>15476</v>
      </c>
      <c r="C15736" t="str">
        <f>IFERROR(__xludf.DUMMYFUNCTION("GOOGLETRANSLATE(B15736, ""fr"", ""en"")"),"pretty red sneakers sneakers, consistent with the picture +++")</f>
        <v>pretty red sneakers sneakers, consistent with the picture +++</v>
      </c>
    </row>
    <row r="15737">
      <c r="A15737" s="1">
        <v>5.0</v>
      </c>
      <c r="B15737" s="1" t="s">
        <v>15477</v>
      </c>
      <c r="C15737" t="str">
        <f>IFERROR(__xludf.DUMMYFUNCTION("GOOGLETRANSLATE(B15737, ""fr"", ""en"")"),"elegant and beautiful Received on time. I liked the style and design of the chain. material quality is good and no harm. No color problem. no problems noted in using water. Very light and got in a small gift box. best for gifiting too. Worth for the price"&amp;".")</f>
        <v>elegant and beautiful Received on time. I liked the style and design of the chain. material quality is good and no harm. No color problem. no problems noted in using water. Very light and got in a small gift box. best for gifiting too. Worth for the price.</v>
      </c>
    </row>
    <row r="15738">
      <c r="A15738" s="1">
        <v>5.0</v>
      </c>
      <c r="B15738" s="1" t="s">
        <v>15478</v>
      </c>
      <c r="C15738" t="str">
        <f>IFERROR(__xludf.DUMMYFUNCTION("GOOGLETRANSLATE(B15738, ""fr"", ""en"")"),"Very good quality at great prices")</f>
        <v>Very good quality at great prices</v>
      </c>
    </row>
    <row r="15739">
      <c r="A15739" s="1">
        <v>2.0</v>
      </c>
      <c r="B15739" s="1" t="s">
        <v>15479</v>
      </c>
      <c r="C15739" t="str">
        <f>IFERROR(__xludf.DUMMYFUNCTION("GOOGLETRANSLATE(B15739, ""fr"", ""en"")"),"Not terrible Forced to use an HP cartridge for printers No longer accept generic cartridges. But the price / quality ratio n is really not good, the cartridge s wears very quickly, unfortunately.")</f>
        <v>Not terrible Forced to use an HP cartridge for printers No longer accept generic cartridges. But the price / quality ratio n is really not good, the cartridge s wears very quickly, unfortunately.</v>
      </c>
    </row>
    <row r="15740">
      <c r="A15740" s="1">
        <v>1.0</v>
      </c>
      <c r="B15740" s="1" t="s">
        <v>15480</v>
      </c>
      <c r="C15740" t="str">
        <f>IFERROR(__xludf.DUMMYFUNCTION("GOOGLETRANSLATE(B15740, ""fr"", ""en"")"),"Poor Broken in two days")</f>
        <v>Poor Broken in two days</v>
      </c>
    </row>
    <row r="15741">
      <c r="A15741" s="1">
        <v>1.0</v>
      </c>
      <c r="B15741" s="1" t="s">
        <v>15481</v>
      </c>
      <c r="C15741" t="str">
        <f>IFERROR(__xludf.DUMMYFUNCTION("GOOGLETRANSLATE(B15741, ""fr"", ""en"")"),"Product disappointing very disappointing. Power insufficient, which can absorb as fine ash, any piece of wood even small is not sucked.")</f>
        <v>Product disappointing very disappointing. Power insufficient, which can absorb as fine ash, any piece of wood even small is not sucked.</v>
      </c>
    </row>
    <row r="15742">
      <c r="A15742" s="1">
        <v>3.0</v>
      </c>
      <c r="B15742" s="1" t="s">
        <v>15482</v>
      </c>
      <c r="C15742" t="str">
        <f>IFERROR(__xludf.DUMMYFUNCTION("GOOGLETRANSLATE(B15742, ""fr"", ""en"")"),"Very good very good mixer for mixing bottle unlike some brand sell it 20 euros. Easy to use and maintenance only downside it remains fragile if it is dropped. Good length of use")</f>
        <v>Very good very good mixer for mixing bottle unlike some brand sell it 20 euros. Easy to use and maintenance only downside it remains fragile if it is dropped. Good length of use</v>
      </c>
    </row>
    <row r="15743">
      <c r="A15743" s="1">
        <v>4.0</v>
      </c>
      <c r="B15743" s="1" t="s">
        <v>15483</v>
      </c>
      <c r="C15743" t="str">
        <f>IFERROR(__xludf.DUMMYFUNCTION("GOOGLETRANSLATE(B15743, ""fr"", ""en"")"),"Effective for my part I am the last month of my pregnancy and at the moment I still do not have stretch marks on the stomach. Having yet tend to have stretch marks when my weight varies, I really think that this oil there for something. I recommended it a"&amp;" few months ago a bottle to the end of my pregnancy and just after. I recommend.")</f>
        <v>Effective for my part I am the last month of my pregnancy and at the moment I still do not have stretch marks on the stomach. Having yet tend to have stretch marks when my weight varies, I really think that this oil there for something. I recommended it a few months ago a bottle to the end of my pregnancy and just after. I recommend.</v>
      </c>
    </row>
    <row r="15744">
      <c r="A15744" s="1">
        <v>4.0</v>
      </c>
      <c r="B15744" s="1" t="s">
        <v>15484</v>
      </c>
      <c r="C15744" t="str">
        <f>IFERROR(__xludf.DUMMYFUNCTION("GOOGLETRANSLATE(B15744, ""fr"", ""en"")"),"convenient as three in a ham and cheese sandwich waffle sandwiches")</f>
        <v>convenient as three in a ham and cheese sandwich waffle sandwiches</v>
      </c>
    </row>
    <row r="15745">
      <c r="A15745" s="1">
        <v>4.0</v>
      </c>
      <c r="B15745" s="1" t="s">
        <v>15485</v>
      </c>
      <c r="C15745" t="str">
        <f>IFERROR(__xludf.DUMMYFUNCTION("GOOGLETRANSLATE(B15745, ""fr"", ""en"")"),"Adheres Good enough paper, I find it a shame adheres not enough. Otherwise impeccable print quality")</f>
        <v>Adheres Good enough paper, I find it a shame adheres not enough. Otherwise impeccable print quality</v>
      </c>
    </row>
    <row r="15746">
      <c r="A15746" s="1">
        <v>4.0</v>
      </c>
      <c r="B15746" s="1" t="s">
        <v>15486</v>
      </c>
      <c r="C15746" t="str">
        <f>IFERROR(__xludf.DUMMYFUNCTION("GOOGLETRANSLATE(B15746, ""fr"", ""en"")"),"Very cool My little sister is very comfortable in these pairs of converses. It's very comfortable and enjoyable. But take a half size smaller than your own.")</f>
        <v>Very cool My little sister is very comfortable in these pairs of converses. It's very comfortable and enjoyable. But take a half size smaller than your own.</v>
      </c>
    </row>
    <row r="15747">
      <c r="A15747" s="1">
        <v>5.0</v>
      </c>
      <c r="B15747" s="1" t="s">
        <v>15487</v>
      </c>
      <c r="C15747" t="str">
        <f>IFERROR(__xludf.DUMMYFUNCTION("GOOGLETRANSLATE(B15747, ""fr"", ""en"")"),"great foot bath product that delivers on its promises great massage is aesthetically beautiful and well packaged I recommend you ideal for a good foot bath at night after a long day")</f>
        <v>great foot bath product that delivers on its promises great massage is aesthetically beautiful and well packaged I recommend you ideal for a good foot bath at night after a long day</v>
      </c>
    </row>
    <row r="15748">
      <c r="A15748" s="1">
        <v>5.0</v>
      </c>
      <c r="B15748" s="1" t="s">
        <v>15488</v>
      </c>
      <c r="C15748" t="str">
        <f>IFERROR(__xludf.DUMMYFUNCTION("GOOGLETRANSLATE(B15748, ""fr"", ""en"")"),"Charging and connection ok Bought for listening to music everywhere I am very satisfied with this model")</f>
        <v>Charging and connection ok Bought for listening to music everywhere I am very satisfied with this model</v>
      </c>
    </row>
    <row r="15749">
      <c r="A15749" s="1">
        <v>5.0</v>
      </c>
      <c r="B15749" s="1" t="s">
        <v>15489</v>
      </c>
      <c r="C15749" t="str">
        <f>IFERROR(__xludf.DUMMYFUNCTION("GOOGLETRANSLATE(B15749, ""fr"", ""en"")"),"Quite satisfactory simply silent Elegant effective use Put more drops of essential oils as specified in the notice if the room is larger than a room")</f>
        <v>Quite satisfactory simply silent Elegant effective use Put more drops of essential oils as specified in the notice if the room is larger than a room</v>
      </c>
    </row>
    <row r="15750">
      <c r="A15750" s="1">
        <v>5.0</v>
      </c>
      <c r="B15750" s="1" t="s">
        <v>15490</v>
      </c>
      <c r="C15750" t="str">
        <f>IFERROR(__xludf.DUMMYFUNCTION("GOOGLETRANSLATE(B15750, ""fr"", ""en"")"),"This beautiful necklace is very beau.assez end but I love")</f>
        <v>This beautiful necklace is very beau.assez end but I love</v>
      </c>
    </row>
    <row r="15751">
      <c r="A15751" s="1">
        <v>5.0</v>
      </c>
      <c r="B15751" s="1" t="s">
        <v>15491</v>
      </c>
      <c r="C15751" t="str">
        <f>IFERROR(__xludf.DUMMYFUNCTION("GOOGLETRANSLATE(B15751, ""fr"", ""en"")"),"Authentic vintage casio And one more in my collection! It is simple and easy to wear with no matter what outfits. Its silicone bracelet makes a light and pleasant to wear shows. The only downside that I would c is low dial lighting that illuminates n than"&amp;" one side. Finally for the price I absolutely could not afford to miss.")</f>
        <v>Authentic vintage casio And one more in my collection! It is simple and easy to wear with no matter what outfits. Its silicone bracelet makes a light and pleasant to wear shows. The only downside that I would c is low dial lighting that illuminates n than one side. Finally for the price I absolutely could not afford to miss.</v>
      </c>
    </row>
    <row r="15752">
      <c r="A15752" s="1">
        <v>5.0</v>
      </c>
      <c r="B15752" s="1" t="s">
        <v>15492</v>
      </c>
      <c r="C15752" t="str">
        <f>IFERROR(__xludf.DUMMYFUNCTION("GOOGLETRANSLATE(B15752, ""fr"", ""en"")"),"Perfect ! Super Crocs! Perfect size. The quality is there and comfort is no longer in doubt. Used shoes, Crocs these pass both parquet tile or carpet without making any noise. The soles cushion well and rest your feet after a day of work. A highly recomme"&amp;"nded product.")</f>
        <v>Perfect ! Super Crocs! Perfect size. The quality is there and comfort is no longer in doubt. Used shoes, Crocs these pass both parquet tile or carpet without making any noise. The soles cushion well and rest your feet after a day of work. A highly recommended product.</v>
      </c>
    </row>
    <row r="15753">
      <c r="A15753" s="1">
        <v>5.0</v>
      </c>
      <c r="B15753" s="1" t="s">
        <v>15493</v>
      </c>
      <c r="C15753" t="str">
        <f>IFERROR(__xludf.DUMMYFUNCTION("GOOGLETRANSLATE(B15753, ""fr"", ""en"")"),"Super I do not regret this purchase and the price!")</f>
        <v>Super I do not regret this purchase and the price!</v>
      </c>
    </row>
    <row r="15754">
      <c r="A15754" s="1">
        <v>5.0</v>
      </c>
      <c r="B15754" s="1" t="s">
        <v>15494</v>
      </c>
      <c r="C15754" t="str">
        <f>IFERROR(__xludf.DUMMYFUNCTION("GOOGLETRANSLATE(B15754, ""fr"", ""en"")"),"Enlarge your original printer cartridge used on Officejet 8600 Plus, installed in 30 seconds. Approximately 1500 pages each time with the XL models for a great price, allowing the inkjet achieve a lower cost per page to most laser (for a significantly low"&amp;"er level of detail anyway) .")</f>
        <v>Enlarge your original printer cartridge used on Officejet 8600 Plus, installed in 30 seconds. Approximately 1500 pages each time with the XL models for a great price, allowing the inkjet achieve a lower cost per page to most laser (for a significantly lower level of detail anyway) .</v>
      </c>
    </row>
    <row r="15755">
      <c r="A15755" s="1">
        <v>5.0</v>
      </c>
      <c r="B15755" s="1" t="s">
        <v>15495</v>
      </c>
      <c r="C15755" t="str">
        <f>IFERROR(__xludf.DUMMYFUNCTION("GOOGLETRANSLATE(B15755, ""fr"", ""en"")"),"Comfort If you hate more bras that's what you need every day. I recommend! 👍🏽")</f>
        <v>Comfort If you hate more bras that's what you need every day. I recommend! 👍🏽</v>
      </c>
    </row>
    <row r="15756">
      <c r="A15756" s="1">
        <v>5.0</v>
      </c>
      <c r="B15756" s="1" t="s">
        <v>15496</v>
      </c>
      <c r="C15756" t="str">
        <f>IFERROR(__xludf.DUMMYFUNCTION("GOOGLETRANSLATE(B15756, ""fr"", ""en"")"),"quickly received product conforms")</f>
        <v>quickly received product conforms</v>
      </c>
    </row>
    <row r="15757">
      <c r="A15757" s="1">
        <v>5.0</v>
      </c>
      <c r="B15757" s="1" t="s">
        <v>15497</v>
      </c>
      <c r="C15757" t="str">
        <f>IFERROR(__xludf.DUMMYFUNCTION("GOOGLETRANSLATE(B15757, ""fr"", ""en"")"),"Entertainment beautiful shoe after hunting. .")</f>
        <v>Entertainment beautiful shoe after hunting. .</v>
      </c>
    </row>
    <row r="15758">
      <c r="A15758" s="1">
        <v>5.0</v>
      </c>
      <c r="B15758" s="1" t="s">
        <v>15498</v>
      </c>
      <c r="C15758" t="str">
        <f>IFERROR(__xludf.DUMMYFUNCTION("GOOGLETRANSLATE(B15758, ""fr"", ""en"")"),"Great ! The pair of Originals Stan Smith is living up to its reputation! Size perfect quality leather. To recommend")</f>
        <v>Great ! The pair of Originals Stan Smith is living up to its reputation! Size perfect quality leather. To recommend</v>
      </c>
    </row>
    <row r="15759">
      <c r="A15759" s="1">
        <v>5.0</v>
      </c>
      <c r="B15759" s="1" t="s">
        <v>15499</v>
      </c>
      <c r="C15759" t="str">
        <f>IFERROR(__xludf.DUMMYFUNCTION("GOOGLETRANSLATE(B15759, ""fr"", ""en"")"),"SUPER PRACTICAL This Article corresponds to the photo and the description given on the website. These slippers are perfect for Aqua ... they fit perfectly to the shape of the foot and tight fit despite repeated movements in the water. Solid, reasonably pr"&amp;"iced, I recommend ...")</f>
        <v>SUPER PRACTICAL This Article corresponds to the photo and the description given on the website. These slippers are perfect for Aqua ... they fit perfectly to the shape of the foot and tight fit despite repeated movements in the water. Solid, reasonably priced, I recommend ...</v>
      </c>
    </row>
    <row r="15760">
      <c r="A15760" s="1">
        <v>5.0</v>
      </c>
      <c r="B15760" s="1" t="s">
        <v>15500</v>
      </c>
      <c r="C15760" t="str">
        <f>IFERROR(__xludf.DUMMYFUNCTION("GOOGLETRANSLATE(B15760, ""fr"", ""en"")"),"At the top is great My daughter in for her dance class.")</f>
        <v>At the top is great My daughter in for her dance class.</v>
      </c>
    </row>
    <row r="15761">
      <c r="A15761" s="1">
        <v>5.0</v>
      </c>
      <c r="B15761" s="1" t="s">
        <v>15501</v>
      </c>
      <c r="C15761" t="str">
        <f>IFERROR(__xludf.DUMMYFUNCTION("GOOGLETRANSLATE(B15761, ""fr"", ""en"")"),"I love basketball I like being in slippers so they are lightweight size although I recommend fast delivery")</f>
        <v>I love basketball I like being in slippers so they are lightweight size although I recommend fast delivery</v>
      </c>
    </row>
    <row r="15762">
      <c r="A15762" s="1">
        <v>2.0</v>
      </c>
      <c r="B15762" s="1" t="s">
        <v>15502</v>
      </c>
      <c r="C15762" t="str">
        <f>IFERROR(__xludf.DUMMYFUNCTION("GOOGLETRANSLATE(B15762, ""fr"", ""en"")"),"Micro very poor. To listen to music this headset is correct, for this price range. But the microphone and voice reception by telephone or via Skype same computer is horrible, the voice is like robot! Bluetooth connects well and quickly but in a very short"&amp;" range a few meters (2/3 meters) beyond the headphones disconnects. SUMMARY: only for listening to music closer to the source sound.")</f>
        <v>Micro very poor. To listen to music this headset is correct, for this price range. But the microphone and voice reception by telephone or via Skype same computer is horrible, the voice is like robot! Bluetooth connects well and quickly but in a very short range a few meters (2/3 meters) beyond the headphones disconnects. SUMMARY: only for listening to music closer to the source sound.</v>
      </c>
    </row>
    <row r="15763">
      <c r="A15763" s="1">
        <v>1.0</v>
      </c>
      <c r="B15763" s="1" t="s">
        <v>15503</v>
      </c>
      <c r="C15763" t="str">
        <f>IFERROR(__xludf.DUMMYFUNCTION("GOOGLETRANSLATE(B15763, ""fr"", ""en"")"),"Disappointed I took these labels because it was said that they were 6 cm in diameter, but once I received it notes are only 4.5 cm, I bought custom accessories for these labels, but the suddenly it was too big ...")</f>
        <v>Disappointed I took these labels because it was said that they were 6 cm in diameter, but once I received it notes are only 4.5 cm, I bought custom accessories for these labels, but the suddenly it was too big ...</v>
      </c>
    </row>
    <row r="15764">
      <c r="A15764" s="1">
        <v>3.0</v>
      </c>
      <c r="B15764" s="1" t="s">
        <v>15504</v>
      </c>
      <c r="C15764" t="str">
        <f>IFERROR(__xludf.DUMMYFUNCTION("GOOGLETRANSLATE(B15764, ""fr"", ""en"")"),"Great for young Good quality but a bit small size")</f>
        <v>Great for young Good quality but a bit small size</v>
      </c>
    </row>
    <row r="15765">
      <c r="A15765" s="1">
        <v>3.0</v>
      </c>
      <c r="B15765" s="1" t="s">
        <v>15505</v>
      </c>
      <c r="C15765" t="str">
        <f>IFERROR(__xludf.DUMMYFUNCTION("GOOGLETRANSLATE(B15765, ""fr"", ""en"")"),"Good product Very happy with this product. It is designed and very practical with its integrated thermostat.")</f>
        <v>Good product Very happy with this product. It is designed and very practical with its integrated thermostat.</v>
      </c>
    </row>
    <row r="15766">
      <c r="A15766" s="1">
        <v>4.0</v>
      </c>
      <c r="B15766" s="1" t="s">
        <v>15506</v>
      </c>
      <c r="C15766" t="str">
        <f>IFERROR(__xludf.DUMMYFUNCTION("GOOGLETRANSLATE(B15766, ""fr"", ""en"")"),"Good value Good value I start but be careful to size for me I usually take 41 but this New Balance 41.5 I found a small can")</f>
        <v>Good value Good value I start but be careful to size for me I usually take 41 but this New Balance 41.5 I found a small can</v>
      </c>
    </row>
    <row r="15767">
      <c r="A15767" s="1">
        <v>4.0</v>
      </c>
      <c r="B15767" s="1" t="s">
        <v>15507</v>
      </c>
      <c r="C15767" t="str">
        <f>IFERROR(__xludf.DUMMYFUNCTION("GOOGLETRANSLATE(B15767, ""fr"", ""en"")"),"Great product Excellent product I recommend")</f>
        <v>Great product Excellent product I recommend</v>
      </c>
    </row>
    <row r="15768">
      <c r="A15768" s="1">
        <v>4.0</v>
      </c>
      <c r="B15768" s="1" t="s">
        <v>15508</v>
      </c>
      <c r="C15768" t="str">
        <f>IFERROR(__xludf.DUMMYFUNCTION("GOOGLETRANSLATE(B15768, ""fr"", ""en"")"),"Running Socks best running socks, adapted as described, high quality material, reinforcement on the front and back of the foot, size it properly .... perfect delivery.")</f>
        <v>Running Socks best running socks, adapted as described, high quality material, reinforcement on the front and back of the foot, size it properly .... perfect delivery.</v>
      </c>
    </row>
    <row r="15769">
      <c r="A15769" s="1">
        <v>4.0</v>
      </c>
      <c r="B15769" s="1" t="s">
        <v>15509</v>
      </c>
      <c r="C15769" t="str">
        <f>IFERROR(__xludf.DUMMYFUNCTION("GOOGLETRANSLATE(B15769, ""fr"", ""en"")"),"Nothing great product say great bag with me all day a lot of solid instead.")</f>
        <v>Nothing great product say great bag with me all day a lot of solid instead.</v>
      </c>
    </row>
    <row r="15770">
      <c r="A15770" s="1">
        <v>5.0</v>
      </c>
      <c r="B15770" s="1" t="s">
        <v>15510</v>
      </c>
      <c r="C15770" t="str">
        <f>IFERROR(__xludf.DUMMYFUNCTION("GOOGLETRANSLATE(B15770, ""fr"", ""en"")"),"Great value for money! I am amazed by these headphones without son, the sound is very decent for the price at which they are sold, they hold great ears even during sudden movements or other ... The earphones are stylish, comfortable and not too large, the"&amp;" charging case is as elegant and goes everywhere, it will recharge your headphones several times.")</f>
        <v>Great value for money! I am amazed by these headphones without son, the sound is very decent for the price at which they are sold, they hold great ears even during sudden movements or other ... The earphones are stylish, comfortable and not too large, the charging case is as elegant and goes everywhere, it will recharge your headphones several times.</v>
      </c>
    </row>
    <row r="15771">
      <c r="A15771" s="1">
        <v>5.0</v>
      </c>
      <c r="B15771" s="1" t="s">
        <v>15511</v>
      </c>
      <c r="C15771" t="str">
        <f>IFERROR(__xludf.DUMMYFUNCTION("GOOGLETRANSLATE(B15771, ""fr"", ""en"")"),"beautiful shoe and confortable.je recommend this seller I usually make a 37.5 / 38. Here it is the 38 it took me. The seller sent me the wrong size very quickly. I validate this very nice and comfortable shoe.")</f>
        <v>beautiful shoe and confortable.je recommend this seller I usually make a 37.5 / 38. Here it is the 38 it took me. The seller sent me the wrong size very quickly. I validate this very nice and comfortable shoe.</v>
      </c>
    </row>
    <row r="15772">
      <c r="A15772" s="1">
        <v>5.0</v>
      </c>
      <c r="B15772" s="1" t="s">
        <v>15512</v>
      </c>
      <c r="C15772" t="str">
        <f>IFERROR(__xludf.DUMMYFUNCTION("GOOGLETRANSLATE(B15772, ""fr"", ""en"")"),"leather satchel perfect, handy for storage. a small handle oops I derived stinks hand with pliers.")</f>
        <v>leather satchel perfect, handy for storage. a small handle oops I derived stinks hand with pliers.</v>
      </c>
    </row>
    <row r="15773">
      <c r="A15773" s="1">
        <v>5.0</v>
      </c>
      <c r="B15773" s="1" t="s">
        <v>15513</v>
      </c>
      <c r="C15773" t="str">
        <f>IFERROR(__xludf.DUMMYFUNCTION("GOOGLETRANSLATE(B15773, ""fr"", ""en"")"),"J adore Simply converse I adore above all at a great price attractive Always take a size smaller than its size because large size")</f>
        <v>J adore Simply converse I adore above all at a great price attractive Always take a size smaller than its size because large size</v>
      </c>
    </row>
    <row r="15774">
      <c r="A15774" s="1">
        <v>5.0</v>
      </c>
      <c r="B15774" s="1" t="s">
        <v>15514</v>
      </c>
      <c r="C15774" t="str">
        <f>IFERROR(__xludf.DUMMYFUNCTION("GOOGLETRANSLATE(B15774, ""fr"", ""en"")"),"The variety Purchase for Christmas that suits me fine. Size and Paper correct for a young child. The questions are many and varied, fairly short answers. It's enough.")</f>
        <v>The variety Purchase for Christmas that suits me fine. Size and Paper correct for a young child. The questions are many and varied, fairly short answers. It's enough.</v>
      </c>
    </row>
    <row r="15775">
      <c r="A15775" s="1">
        <v>5.0</v>
      </c>
      <c r="B15775" s="1" t="s">
        <v>7746</v>
      </c>
      <c r="C15775" t="str">
        <f>IFERROR(__xludf.DUMMYFUNCTION("GOOGLETRANSLATE(B15775, ""fr"", ""en"")"),"Conforms Okay")</f>
        <v>Conforms Okay</v>
      </c>
    </row>
    <row r="15776">
      <c r="A15776" s="1">
        <v>5.0</v>
      </c>
      <c r="B15776" s="1" t="s">
        <v>15515</v>
      </c>
      <c r="C15776" t="str">
        <f>IFERROR(__xludf.DUMMYFUNCTION("GOOGLETRANSLATE(B15776, ""fr"", ""en"")"),"Comfortable It is comfortable, beautiful and with the ears is very cute, it is just beautifully.")</f>
        <v>Comfortable It is comfortable, beautiful and with the ears is very cute, it is just beautifully.</v>
      </c>
    </row>
    <row r="15777">
      <c r="A15777" s="1">
        <v>5.0</v>
      </c>
      <c r="B15777" s="1" t="s">
        <v>15516</v>
      </c>
      <c r="C15777" t="str">
        <f>IFERROR(__xludf.DUMMYFUNCTION("GOOGLETRANSLATE(B15777, ""fr"", ""en"")"),"Casio LCW-M170TD-1AER I was looking for a solar radio-controlled clock and it corresponds perfectly to my expectations. I find it elegant and I was able to adjust the bracelet in a shop that made the mark but not this model.")</f>
        <v>Casio LCW-M170TD-1AER I was looking for a solar radio-controlled clock and it corresponds perfectly to my expectations. I find it elegant and I was able to adjust the bracelet in a shop that made the mark but not this model.</v>
      </c>
    </row>
    <row r="15778">
      <c r="A15778" s="1">
        <v>5.0</v>
      </c>
      <c r="B15778" s="1" t="s">
        <v>15517</v>
      </c>
      <c r="C15778" t="str">
        <f>IFERROR(__xludf.DUMMYFUNCTION("GOOGLETRANSLATE(B15778, ""fr"", ""en"")"),"For skin problem I Board 1 This is the week that I use and I love this product and the smell of immortal. Great product I advice if skin problem :)")</f>
        <v>For skin problem I Board 1 This is the week that I use and I love this product and the smell of immortal. Great product I advice if skin problem :)</v>
      </c>
    </row>
    <row r="15779">
      <c r="A15779" s="1">
        <v>5.0</v>
      </c>
      <c r="B15779" s="1" t="s">
        <v>15518</v>
      </c>
      <c r="C15779" t="str">
        <f>IFERROR(__xludf.DUMMYFUNCTION("GOOGLETRANSLATE(B15779, ""fr"", ""en"")"),"Magnificent I took this chair to replace the old which was beginning to seriously consider the side. I am not at my purchase dessu the contrary, after spending some time on the assembly and finally sat myself in, I was very pleasantly surprised by the com"&amp;"fortable side of this product. With his record that embraces the spine and headrest, it Songmics is particularly suitable for tall people (1.80m or more). Notice to the wise: go for it!")</f>
        <v>Magnificent I took this chair to replace the old which was beginning to seriously consider the side. I am not at my purchase dessu the contrary, after spending some time on the assembly and finally sat myself in, I was very pleasantly surprised by the comfortable side of this product. With his record that embraces the spine and headrest, it Songmics is particularly suitable for tall people (1.80m or more). Notice to the wise: go for it!</v>
      </c>
    </row>
    <row r="15780">
      <c r="A15780" s="1">
        <v>5.0</v>
      </c>
      <c r="B15780" s="1" t="s">
        <v>15519</v>
      </c>
      <c r="C15780" t="str">
        <f>IFERROR(__xludf.DUMMYFUNCTION("GOOGLETRANSLATE(B15780, ""fr"", ""en"")"),"Sweat Beautiful Beautiful quality, beautiful sweater")</f>
        <v>Sweat Beautiful Beautiful quality, beautiful sweater</v>
      </c>
    </row>
    <row r="15781">
      <c r="A15781" s="1">
        <v>5.0</v>
      </c>
      <c r="B15781" s="1" t="s">
        <v>15520</v>
      </c>
      <c r="C15781" t="str">
        <f>IFERROR(__xludf.DUMMYFUNCTION("GOOGLETRANSLATE(B15781, ""fr"", ""en"")"),"Too much top top top")</f>
        <v>Too much top top top</v>
      </c>
    </row>
    <row r="15782">
      <c r="A15782" s="1">
        <v>5.0</v>
      </c>
      <c r="B15782" s="1" t="s">
        <v>15521</v>
      </c>
      <c r="C15782" t="str">
        <f>IFERROR(__xludf.DUMMYFUNCTION("GOOGLETRANSLATE(B15782, ""fr"", ""en"")"),"Micro and karaoke facet ball My experience is really a story that ended very well. I'll get the relay micro Christmas gift for my girl singer, the gentleman of the relay told I had reservations because delivery terms with damage ok I enprense me to sav in"&amp;"formed and seller. Reactivity of the amazon service that propose to return and the seller offers me to send me another. So I'm really happy to see the responsiveness of each other, then the product is too pretty it is Bluetooth speaker and microphone with"&amp;" echo more disco ball I recommend it for adult or child is a bit heavy with one hand but both hands is good for a child from 5 years. The sound is good for use or karaoke singing and that's very good experience on the product sav.")</f>
        <v>Micro and karaoke facet ball My experience is really a story that ended very well. I'll get the relay micro Christmas gift for my girl singer, the gentleman of the relay told I had reservations because delivery terms with damage ok I enprense me to sav informed and seller. Reactivity of the amazon service that propose to return and the seller offers me to send me another. So I'm really happy to see the responsiveness of each other, then the product is too pretty it is Bluetooth speaker and microphone with echo more disco ball I recommend it for adult or child is a bit heavy with one hand but both hands is good for a child from 5 years. The sound is good for use or karaoke singing and that's very good experience on the product sav.</v>
      </c>
    </row>
    <row r="15783">
      <c r="A15783" s="1">
        <v>5.0</v>
      </c>
      <c r="B15783" s="1" t="s">
        <v>15522</v>
      </c>
      <c r="C15783" t="str">
        <f>IFERROR(__xludf.DUMMYFUNCTION("GOOGLETRANSLATE(B15783, ""fr"", ""en"")"),"Impe Impec")</f>
        <v>Impe Impec</v>
      </c>
    </row>
    <row r="15784">
      <c r="A15784" s="1">
        <v>5.0</v>
      </c>
      <c r="B15784" s="1" t="s">
        <v>15523</v>
      </c>
      <c r="C15784" t="str">
        <f>IFERROR(__xludf.DUMMYFUNCTION("GOOGLETRANSLATE(B15784, ""fr"", ""en"")"),"Color choice comfort comfortable Daily Flexibility good product Good product")</f>
        <v>Color choice comfort comfortable Daily Flexibility good product Good product</v>
      </c>
    </row>
    <row r="15785">
      <c r="A15785" s="1">
        <v>2.0</v>
      </c>
      <c r="B15785" s="1" t="s">
        <v>15524</v>
      </c>
      <c r="C15785" t="str">
        <f>IFERROR(__xludf.DUMMYFUNCTION("GOOGLETRANSLATE(B15785, ""fr"", ""en"")"),"No cable to charge your unit, and the cable from your Xiaomi is not compatible. Headphones at a very affordable price and well functioning. son without headphones under 30 € is fine. However, those are a little uncomfortable in the sense that one is weird"&amp;" smells like the plane with a little ringing in the ears. The earphones come without charger. Or the cable from my Xiaomi is not compatible with the case so I am forced to buy a cable. I think it is better to buy the store to check the compatibility of yo"&amp;"ur charger cable.")</f>
        <v>No cable to charge your unit, and the cable from your Xiaomi is not compatible. Headphones at a very affordable price and well functioning. son without headphones under 30 € is fine. However, those are a little uncomfortable in the sense that one is weird smells like the plane with a little ringing in the ears. The earphones come without charger. Or the cable from my Xiaomi is not compatible with the case so I am forced to buy a cable. I think it is better to buy the store to check the compatibility of your charger cable.</v>
      </c>
    </row>
    <row r="15786">
      <c r="A15786" s="1">
        <v>1.0</v>
      </c>
      <c r="B15786" s="1" t="s">
        <v>15525</v>
      </c>
      <c r="C15786" t="str">
        <f>IFERROR(__xludf.DUMMYFUNCTION("GOOGLETRANSLATE(B15786, ""fr"", ""en"")"),"fabric very beautiful but too late I was looking for the same pattern but thicker fabric for winter")</f>
        <v>fabric very beautiful but too late I was looking for the same pattern but thicker fabric for winter</v>
      </c>
    </row>
    <row r="15787">
      <c r="A15787" s="1">
        <v>1.0</v>
      </c>
      <c r="B15787" s="1" t="s">
        <v>15526</v>
      </c>
      <c r="C15787" t="str">
        <f>IFERROR(__xludf.DUMMYFUNCTION("GOOGLETRANSLATE(B15787, ""fr"", ""en"")"),"Too small to 2 sizes too small Product")</f>
        <v>Too small to 2 sizes too small Product</v>
      </c>
    </row>
    <row r="15788">
      <c r="A15788" s="1">
        <v>3.0</v>
      </c>
      <c r="B15788" s="1" t="s">
        <v>15527</v>
      </c>
      <c r="C15788" t="str">
        <f>IFERROR(__xludf.DUMMYFUNCTION("GOOGLETRANSLATE(B15788, ""fr"", ""en"")"),"Good but .... Very comfortable but get damaged Quickly")</f>
        <v>Good but .... Very comfortable but get damaged Quickly</v>
      </c>
    </row>
    <row r="15789">
      <c r="A15789" s="1">
        <v>3.0</v>
      </c>
      <c r="B15789" s="1" t="s">
        <v>15528</v>
      </c>
      <c r="C15789" t="str">
        <f>IFERROR(__xludf.DUMMYFUNCTION("GOOGLETRANSLATE(B15789, ""fr"", ""en"")"),"Too bad Very good however I can not use the 6 pairs I miss a clasp that I have not Received at delivery! Forgetting Factory")</f>
        <v>Too bad Very good however I can not use the 6 pairs I miss a clasp that I have not Received at delivery! Forgetting Factory</v>
      </c>
    </row>
    <row r="15790">
      <c r="A15790" s="1">
        <v>4.0</v>
      </c>
      <c r="B15790" s="1" t="s">
        <v>15529</v>
      </c>
      <c r="C15790" t="str">
        <f>IFERROR(__xludf.DUMMYFUNCTION("GOOGLETRANSLATE(B15790, ""fr"", ""en"")"),"At the top I recommend. Received on time. Very good product but really great size 2 sizes less than the usual size.")</f>
        <v>At the top I recommend. Received on time. Very good product but really great size 2 sizes less than the usual size.</v>
      </c>
    </row>
    <row r="15791">
      <c r="A15791" s="1">
        <v>4.0</v>
      </c>
      <c r="B15791" s="1" t="s">
        <v>15530</v>
      </c>
      <c r="C15791" t="str">
        <f>IFERROR(__xludf.DUMMYFUNCTION("GOOGLETRANSLATE(B15791, ""fr"", ""en"")"),"The same with white soles were perfect! These shoes are very comfortable and provides good foot support with good grip on foreign soil. Alas, I have liked the same models with white soles of history can also try the room but the black soles bar entry ... "&amp;"Too bad for a pair of white shoes with gray and 90 to only put the black that 'the place that prohibits room ... especially for a pair of ""fitness"", but hey they proved so nice feet for outdoor fitness sessions I appreciate really happened there, it's j"&amp;"ust that my shoe closet can not continually grow !! (Alas ...) :-)")</f>
        <v>The same with white soles were perfect! These shoes are very comfortable and provides good foot support with good grip on foreign soil. Alas, I have liked the same models with white soles of history can also try the room but the black soles bar entry ... Too bad for a pair of white shoes with gray and 90 to only put the black that 'the place that prohibits room ... especially for a pair of "fitness", but hey they proved so nice feet for outdoor fitness sessions I appreciate really happened there, it's just that my shoe closet can not continually grow !! (Alas ...) :-)</v>
      </c>
    </row>
    <row r="15792">
      <c r="A15792" s="1">
        <v>4.0</v>
      </c>
      <c r="B15792" s="1" t="s">
        <v>15531</v>
      </c>
      <c r="C15792" t="str">
        <f>IFERROR(__xludf.DUMMYFUNCTION("GOOGLETRANSLATE(B15792, ""fr"", ""en"")"),"Meets the photo to wear them all day and c nikel")</f>
        <v>Meets the photo to wear them all day and c nikel</v>
      </c>
    </row>
    <row r="15793">
      <c r="A15793" s="1">
        <v>4.0</v>
      </c>
      <c r="B15793" s="1" t="s">
        <v>15532</v>
      </c>
      <c r="C15793" t="str">
        <f>IFERROR(__xludf.DUMMYFUNCTION("GOOGLETRANSLATE(B15793, ""fr"", ""en"")"),"Pretty color bottle to have good bottle nipple excellent But pity that amount are not visible enough to look closely to bring the amount but unfortunately bottle brilliant")</f>
        <v>Pretty color bottle to have good bottle nipple excellent But pity that amount are not visible enough to look closely to bring the amount but unfortunately bottle brilliant</v>
      </c>
    </row>
    <row r="15794">
      <c r="A15794" s="1">
        <v>5.0</v>
      </c>
      <c r="B15794" s="1" t="s">
        <v>15533</v>
      </c>
      <c r="C15794" t="str">
        <f>IFERROR(__xludf.DUMMYFUNCTION("GOOGLETRANSLATE(B15794, ""fr"", ""en"")"),"These beautiful earrings small earrings are very pretty, elegant and light. They are suitable for every day and to accompany an evening dress. They are shiny silver and well, it is delivered in a nice box, perfect to offer. I think they appeal to all the "&amp;"younger women and older thanks to their timeless design. the price is really correct given the quality.")</f>
        <v>These beautiful earrings small earrings are very pretty, elegant and light. They are suitable for every day and to accompany an evening dress. They are shiny silver and well, it is delivered in a nice box, perfect to offer. I think they appeal to all the younger women and older thanks to their timeless design. the price is really correct given the quality.</v>
      </c>
    </row>
    <row r="15795">
      <c r="A15795" s="1">
        <v>5.0</v>
      </c>
      <c r="B15795" s="1" t="s">
        <v>15534</v>
      </c>
      <c r="C15795" t="str">
        <f>IFERROR(__xludf.DUMMYFUNCTION("GOOGLETRANSLATE(B15795, ""fr"", ""en"")"),"Quality product quite ergonomic A quality product arrived very quickly in my mailbox. The shape of the headset is quite ergonomic and fits comfortably in the ear whatever your activity. In addition they are very small and very pretty. I adore !")</f>
        <v>Quality product quite ergonomic A quality product arrived very quickly in my mailbox. The shape of the headset is quite ergonomic and fits comfortably in the ear whatever your activity. In addition they are very small and very pretty. I adore !</v>
      </c>
    </row>
    <row r="15796">
      <c r="A15796" s="1">
        <v>5.0</v>
      </c>
      <c r="B15796" s="1" t="s">
        <v>15535</v>
      </c>
      <c r="C15796" t="str">
        <f>IFERROR(__xludf.DUMMYFUNCTION("GOOGLETRANSLATE(B15796, ""fr"", ""en"")"),"Perfect quite consistent!")</f>
        <v>Perfect quite consistent!</v>
      </c>
    </row>
    <row r="15797">
      <c r="A15797" s="1">
        <v>5.0</v>
      </c>
      <c r="B15797" s="1" t="s">
        <v>15536</v>
      </c>
      <c r="C15797" t="str">
        <f>IFERROR(__xludf.DUMMYFUNCTION("GOOGLETRANSLATE(B15797, ""fr"", ""en"")"),"Super sympa! Bought for an office. A hit with my colleagues. Design nice n S suitable for any deco. suitable capacity. Easy installation and use. The light is a more sympathetic.")</f>
        <v>Super sympa! Bought for an office. A hit with my colleagues. Design nice n S suitable for any deco. suitable capacity. Easy installation and use. The light is a more sympathetic.</v>
      </c>
    </row>
    <row r="15798">
      <c r="A15798" s="1">
        <v>5.0</v>
      </c>
      <c r="B15798" s="1" t="s">
        <v>15537</v>
      </c>
      <c r="C15798" t="str">
        <f>IFERROR(__xludf.DUMMYFUNCTION("GOOGLETRANSLATE(B15798, ""fr"", ""en"")"),"Superb comfortable and beautiful")</f>
        <v>Superb comfortable and beautiful</v>
      </c>
    </row>
    <row r="15799">
      <c r="A15799" s="1">
        <v>5.0</v>
      </c>
      <c r="B15799" s="1" t="s">
        <v>15538</v>
      </c>
      <c r="C15799" t="str">
        <f>IFERROR(__xludf.DUMMYFUNCTION("GOOGLETRANSLATE(B15799, ""fr"", ""en"")"),"Super Pretty good value ring price I recommend it I do not regret my purchase. very satisfied")</f>
        <v>Super Pretty good value ring price I recommend it I do not regret my purchase. very satisfied</v>
      </c>
    </row>
    <row r="15800">
      <c r="A15800" s="1">
        <v>5.0</v>
      </c>
      <c r="B15800" s="1" t="s">
        <v>15539</v>
      </c>
      <c r="C15800" t="str">
        <f>IFERROR(__xludf.DUMMYFUNCTION("GOOGLETRANSLATE(B15800, ""fr"", ""en"")"),"It is very well This bracelet is beautiful. The beads are bright! I bought it for my man and it suits him perfectly. It really is a beautiful little gift, please")</f>
        <v>It is very well This bracelet is beautiful. The beads are bright! I bought it for my man and it suits him perfectly. It really is a beautiful little gift, please</v>
      </c>
    </row>
    <row r="15801">
      <c r="A15801" s="1">
        <v>5.0</v>
      </c>
      <c r="B15801" s="1" t="s">
        <v>204</v>
      </c>
      <c r="C15801" t="str">
        <f>IFERROR(__xludf.DUMMYFUNCTION("GOOGLETRANSLATE(B15801, ""fr"", ""en"")"),"Top Top")</f>
        <v>Top Top</v>
      </c>
    </row>
    <row r="15802">
      <c r="A15802" s="1">
        <v>5.0</v>
      </c>
      <c r="B15802" s="1" t="s">
        <v>15540</v>
      </c>
      <c r="C15802" t="str">
        <f>IFERROR(__xludf.DUMMYFUNCTION("GOOGLETRANSLATE(B15802, ""fr"", ""en"")"),"canon545 / CL / received CL546 product exellent product Thank you very sastisfait")</f>
        <v>canon545 / CL / received CL546 product exellent product Thank you very sastisfait</v>
      </c>
    </row>
    <row r="15803">
      <c r="A15803" s="1">
        <v>5.0</v>
      </c>
      <c r="B15803" s="1" t="s">
        <v>15541</v>
      </c>
      <c r="C15803" t="str">
        <f>IFERROR(__xludf.DUMMYFUNCTION("GOOGLETRANSLATE(B15803, ""fr"", ""en"")"),"Lavender essential, excellent oil; An essential oil is used in home fragrance, linen or treatment mixed with a neutral oil, like almond. Good quality and large bottle for months of use! Nature at home!")</f>
        <v>Lavender essential, excellent oil; An essential oil is used in home fragrance, linen or treatment mixed with a neutral oil, like almond. Good quality and large bottle for months of use! Nature at home!</v>
      </c>
    </row>
    <row r="15804">
      <c r="A15804" s="1">
        <v>5.0</v>
      </c>
      <c r="B15804" s="1" t="s">
        <v>15542</v>
      </c>
      <c r="C15804" t="str">
        <f>IFERROR(__xludf.DUMMYFUNCTION("GOOGLETRANSLATE(B15804, ""fr"", ""en"")"),"Thank you My daughter is thrilled")</f>
        <v>Thank you My daughter is thrilled</v>
      </c>
    </row>
    <row r="15805">
      <c r="A15805" s="1">
        <v>5.0</v>
      </c>
      <c r="B15805" s="1" t="s">
        <v>15543</v>
      </c>
      <c r="C15805" t="str">
        <f>IFERROR(__xludf.DUMMYFUNCTION("GOOGLETRANSLATE(B15805, ""fr"", ""en"")"),"Very cute Very cute for a little girl. Not very big, avoids hanging ears.")</f>
        <v>Very cute Very cute for a little girl. Not very big, avoids hanging ears.</v>
      </c>
    </row>
    <row r="15806">
      <c r="A15806" s="1">
        <v>5.0</v>
      </c>
      <c r="B15806" s="1" t="s">
        <v>15544</v>
      </c>
      <c r="C15806" t="str">
        <f>IFERROR(__xludf.DUMMYFUNCTION("GOOGLETRANSLATE(B15806, ""fr"", ""en"")"),"Well I liked the masks I recommend.")</f>
        <v>Well I liked the masks I recommend.</v>
      </c>
    </row>
    <row r="15807">
      <c r="A15807" s="1">
        <v>5.0</v>
      </c>
      <c r="B15807" s="1" t="s">
        <v>15545</v>
      </c>
      <c r="C15807" t="str">
        <f>IFERROR(__xludf.DUMMYFUNCTION("GOOGLETRANSLATE(B15807, ""fr"", ""en"")"),"black sneaker Lightweight and comfortable, I walk every day with good quality, I am delighted.")</f>
        <v>black sneaker Lightweight and comfortable, I walk every day with good quality, I am delighted.</v>
      </c>
    </row>
    <row r="15808">
      <c r="A15808" s="1">
        <v>5.0</v>
      </c>
      <c r="B15808" s="1" t="s">
        <v>15546</v>
      </c>
      <c r="C15808" t="str">
        <f>IFERROR(__xludf.DUMMYFUNCTION("GOOGLETRANSLATE(B15808, ""fr"", ""en"")"),"Perfect Legging really perfect it is late but super opaque. I measure 1m65 I muscled the thighs I weigh 65 kilograms and I am quite slim waist, I took a size small it is perfect but not oppressive galba I took the black I hate me Fleshlights next")</f>
        <v>Perfect Legging really perfect it is late but super opaque. I measure 1m65 I muscled the thighs I weigh 65 kilograms and I am quite slim waist, I took a size small it is perfect but not oppressive galba I took the black I hate me Fleshlights next</v>
      </c>
    </row>
    <row r="15809">
      <c r="A15809" s="1">
        <v>2.0</v>
      </c>
      <c r="B15809" s="1" t="s">
        <v>15547</v>
      </c>
      <c r="C15809" t="str">
        <f>IFERROR(__xludf.DUMMYFUNCTION("GOOGLETRANSLATE(B15809, ""fr"", ""en"")"),"ordinary product to replace my old bag, cook very end no solid leather that looks like leather.")</f>
        <v>ordinary product to replace my old bag, cook very end no solid leather that looks like leather.</v>
      </c>
    </row>
    <row r="15810">
      <c r="A15810" s="1">
        <v>1.0</v>
      </c>
      <c r="B15810" s="1" t="s">
        <v>15548</v>
      </c>
      <c r="C15810" t="str">
        <f>IFERROR(__xludf.DUMMYFUNCTION("GOOGLETRANSLATE(B15810, ""fr"", ""en"")"),"No Too Small")</f>
        <v>No Too Small</v>
      </c>
    </row>
    <row r="15811">
      <c r="A15811" s="1">
        <v>1.0</v>
      </c>
      <c r="B15811" s="1" t="s">
        <v>15549</v>
      </c>
      <c r="C15811" t="str">
        <f>IFERROR(__xludf.DUMMYFUNCTION("GOOGLETRANSLATE(B15811, ""fr"", ""en"")"),"attention to size! very blunt ...! return.")</f>
        <v>attention to size! very blunt ...! return.</v>
      </c>
    </row>
    <row r="15812">
      <c r="A15812" s="1">
        <v>3.0</v>
      </c>
      <c r="B15812" s="1" t="s">
        <v>15550</v>
      </c>
      <c r="C15812" t="str">
        <f>IFERROR(__xludf.DUMMYFUNCTION("GOOGLETRANSLATE(B15812, ""fr"", ""en"")"),"Bra comfort on the choice of a set of 3 only black is not the same size as the other 2. Provide extra size nonetheless.")</f>
        <v>Bra comfort on the choice of a set of 3 only black is not the same size as the other 2. Provide extra size nonetheless.</v>
      </c>
    </row>
    <row r="15813">
      <c r="A15813" s="1">
        <v>4.0</v>
      </c>
      <c r="B15813" s="1" t="s">
        <v>15551</v>
      </c>
      <c r="C15813" t="str">
        <f>IFERROR(__xludf.DUMMYFUNCTION("GOOGLETRANSLATE(B15813, ""fr"", ""en"")"),"Very satisfied product fully meets my expectations. Very glad I found this style of shoes that I found more and that is the only thing that suits my sore feet.")</f>
        <v>Very satisfied product fully meets my expectations. Very glad I found this style of shoes that I found more and that is the only thing that suits my sore feet.</v>
      </c>
    </row>
    <row r="15814">
      <c r="A15814" s="1">
        <v>4.0</v>
      </c>
      <c r="B15814" s="1" t="s">
        <v>15552</v>
      </c>
      <c r="C15814" t="str">
        <f>IFERROR(__xludf.DUMMYFUNCTION("GOOGLETRANSLATE(B15814, ""fr"", ""en"")"),"ensure good first leak testing some put under empty work very well against by others, air seeps sometimes")</f>
        <v>ensure good first leak testing some put under empty work very well against by others, air seeps sometimes</v>
      </c>
    </row>
    <row r="15815">
      <c r="A15815" s="1">
        <v>4.0</v>
      </c>
      <c r="B15815" s="1" t="s">
        <v>15553</v>
      </c>
      <c r="C15815" t="str">
        <f>IFERROR(__xludf.DUMMYFUNCTION("GOOGLETRANSLATE(B15815, ""fr"", ""en"")"),"Suitable neither small nor large bag but practical. But inside, there is no pocket with closure as seen on the product overview photo. Too bad!")</f>
        <v>Suitable neither small nor large bag but practical. But inside, there is no pocket with closure as seen on the product overview photo. Too bad!</v>
      </c>
    </row>
    <row r="15816">
      <c r="A15816" s="1">
        <v>4.0</v>
      </c>
      <c r="B15816" s="1" t="s">
        <v>15554</v>
      </c>
      <c r="C15816" t="str">
        <f>IFERROR(__xludf.DUMMYFUNCTION("GOOGLETRANSLATE(B15816, ""fr"", ""en"")"),"Beautiful, efficient, but ... The brand Russel Hobbs gives us here a kettle at once sublime and effective. The design is very successful, both modern and classic with these lines by these materials, it is really a finely tuned mix and which are little eff"&amp;"ect. heated side have promised us hot water for a cup (with the witness on the inside) in 55 seconds, it succeeded even better than that, I personally 48 seconds between when I put on and when the kettle stops, without relying on precise spout. I am reall"&amp;"y delighted with this BUT, because yes, will have one, but even that big at nearly cost two stars. The kettle is noble materials, it is of real stainless steel, unfortunately the premium manufacturing brings a major fault, once the boiling water, the boil"&amp;"er is too. Indeed, no double walls to protect the outside of this, I got caught by placing the thumb on the carcass to drain the surplus water to warm myself badly thumb almost immediately. If the handle is it very effective to protect this heat, you can "&amp;"imagine of potential domestic accident if a child just hang these on the hands just off kettle ... For a price of 60 € or so, I would have expected a Double walls to avoid this ...")</f>
        <v>Beautiful, efficient, but ... The brand Russel Hobbs gives us here a kettle at once sublime and effective. The design is very successful, both modern and classic with these lines by these materials, it is really a finely tuned mix and which are little effect. heated side have promised us hot water for a cup (with the witness on the inside) in 55 seconds, it succeeded even better than that, I personally 48 seconds between when I put on and when the kettle stops, without relying on precise spout. I am really delighted with this BUT, because yes, will have one, but even that big at nearly cost two stars. The kettle is noble materials, it is of real stainless steel, unfortunately the premium manufacturing brings a major fault, once the boiling water, the boiler is too. Indeed, no double walls to protect the outside of this, I got caught by placing the thumb on the carcass to drain the surplus water to warm myself badly thumb almost immediately. If the handle is it very effective to protect this heat, you can imagine of potential domestic accident if a child just hang these on the hands just off kettle ... For a price of 60 € or so, I would have expected a Double walls to avoid this ...</v>
      </c>
    </row>
    <row r="15817">
      <c r="A15817" s="1">
        <v>5.0</v>
      </c>
      <c r="B15817" s="1" t="s">
        <v>15555</v>
      </c>
      <c r="C15817" t="str">
        <f>IFERROR(__xludf.DUMMYFUNCTION("GOOGLETRANSLATE(B15817, ""fr"", ""en"")"),"Very well very well")</f>
        <v>Very well very well</v>
      </c>
    </row>
    <row r="15818">
      <c r="A15818" s="1">
        <v>5.0</v>
      </c>
      <c r="B15818" s="1" t="s">
        <v>15556</v>
      </c>
      <c r="C15818" t="str">
        <f>IFERROR(__xludf.DUMMYFUNCTION("GOOGLETRANSLATE(B15818, ""fr"", ""en"")"),"Headphones white good quality headphones (for the price!). I recommend this product.")</f>
        <v>Headphones white good quality headphones (for the price!). I recommend this product.</v>
      </c>
    </row>
    <row r="15819">
      <c r="A15819" s="1">
        <v>5.0</v>
      </c>
      <c r="B15819" s="1" t="s">
        <v>15557</v>
      </c>
      <c r="C15819" t="str">
        <f>IFERROR(__xludf.DUMMYFUNCTION("GOOGLETRANSLATE(B15819, ""fr"", ""en"")"),"Beautiful bracelet gift idea")</f>
        <v>Beautiful bracelet gift idea</v>
      </c>
    </row>
    <row r="15820">
      <c r="A15820" s="1">
        <v>5.0</v>
      </c>
      <c r="B15820" s="1" t="s">
        <v>15558</v>
      </c>
      <c r="C15820" t="str">
        <f>IFERROR(__xludf.DUMMYFUNCTION("GOOGLETRANSLATE(B15820, ""fr"", ""en"")"),"Perfect for very small safety shoes.")</f>
        <v>Perfect for very small safety shoes.</v>
      </c>
    </row>
    <row r="15821">
      <c r="A15821" s="1">
        <v>5.0</v>
      </c>
      <c r="B15821" s="1" t="s">
        <v>15559</v>
      </c>
      <c r="C15821" t="str">
        <f>IFERROR(__xludf.DUMMYFUNCTION("GOOGLETRANSLATE(B15821, ""fr"", ""en"")"),"HP observe the standards of equipment")</f>
        <v>HP observe the standards of equipment</v>
      </c>
    </row>
    <row r="15822">
      <c r="A15822" s="1">
        <v>5.0</v>
      </c>
      <c r="B15822" s="1" t="s">
        <v>15560</v>
      </c>
      <c r="C15822" t="str">
        <f>IFERROR(__xludf.DUMMYFUNCTION("GOOGLETRANSLATE(B15822, ""fr"", ""en"")"),"Excellent Excellent bottle warmer at very reasonable price. I use it every day for over a year. Time of rapid heating and temperature of the bottle always perfect. Think tank descaling the time to time. Socket for useful car for travel. Never disappointed"&amp;" with the NUK products. I recommend !")</f>
        <v>Excellent Excellent bottle warmer at very reasonable price. I use it every day for over a year. Time of rapid heating and temperature of the bottle always perfect. Think tank descaling the time to time. Socket for useful car for travel. Never disappointed with the NUK products. I recommend !</v>
      </c>
    </row>
    <row r="15823">
      <c r="A15823" s="1">
        <v>5.0</v>
      </c>
      <c r="B15823" s="1" t="s">
        <v>15561</v>
      </c>
      <c r="C15823" t="str">
        <f>IFERROR(__xludf.DUMMYFUNCTION("GOOGLETRANSLATE(B15823, ""fr"", ""en"")"),"Socks perfect! Neither too thick nor too thin ... plus good quality! I recommend these socks !!!! Thank you and next time!")</f>
        <v>Socks perfect! Neither too thick nor too thin ... plus good quality! I recommend these socks !!!! Thank you and next time!</v>
      </c>
    </row>
    <row r="15824">
      <c r="A15824" s="1">
        <v>5.0</v>
      </c>
      <c r="B15824" s="1" t="s">
        <v>15562</v>
      </c>
      <c r="C15824" t="str">
        <f>IFERROR(__xludf.DUMMYFUNCTION("GOOGLETRANSLATE(B15824, ""fr"", ""en"")"),"dan not box for the gifts")</f>
        <v>dan not box for the gifts</v>
      </c>
    </row>
    <row r="15825">
      <c r="A15825" s="1">
        <v>5.0</v>
      </c>
      <c r="B15825" s="1" t="s">
        <v>15563</v>
      </c>
      <c r="C15825" t="str">
        <f>IFERROR(__xludf.DUMMYFUNCTION("GOOGLETRANSLATE(B15825, ""fr"", ""en"")"),"nice but very recently received the first perfect test it seems to me, has confirmed to the use after a few gym sessions")</f>
        <v>nice but very recently received the first perfect test it seems to me, has confirmed to the use after a few gym sessions</v>
      </c>
    </row>
    <row r="15826">
      <c r="A15826" s="1">
        <v>5.0</v>
      </c>
      <c r="B15826" s="1" t="s">
        <v>15564</v>
      </c>
      <c r="C15826" t="str">
        <f>IFERROR(__xludf.DUMMYFUNCTION("GOOGLETRANSLATE(B15826, ""fr"", ""en"")"),"Cool Awesome")</f>
        <v>Cool Awesome</v>
      </c>
    </row>
    <row r="15827">
      <c r="A15827" s="1">
        <v>5.0</v>
      </c>
      <c r="B15827" s="1" t="s">
        <v>15565</v>
      </c>
      <c r="C15827" t="str">
        <f>IFERROR(__xludf.DUMMYFUNCTION("GOOGLETRANSLATE(B15827, ""fr"", ""en"")"),"Very good product !! Very good product according to the description. Fashion a bit complicated to use, but the game is worth the candle.")</f>
        <v>Very good product !! Very good product according to the description. Fashion a bit complicated to use, but the game is worth the candle.</v>
      </c>
    </row>
    <row r="15828">
      <c r="A15828" s="1">
        <v>5.0</v>
      </c>
      <c r="B15828" s="1" t="s">
        <v>15566</v>
      </c>
      <c r="C15828" t="str">
        <f>IFERROR(__xludf.DUMMYFUNCTION("GOOGLETRANSLATE(B15828, ""fr"", ""en"")"),"Top quality !!! 100% original and really comfortable .... Super leather top quality remains good ... The burgundy dye is very beautiful and very strong !!!!!")</f>
        <v>Top quality !!! 100% original and really comfortable .... Super leather top quality remains good ... The burgundy dye is very beautiful and very strong !!!!!</v>
      </c>
    </row>
    <row r="15829">
      <c r="A15829" s="1">
        <v>5.0</v>
      </c>
      <c r="B15829" s="1" t="s">
        <v>224</v>
      </c>
      <c r="C15829" t="str">
        <f>IFERROR(__xludf.DUMMYFUNCTION("GOOGLETRANSLATE(B15829, ""fr"", ""en"")"),"perfect perfect")</f>
        <v>perfect perfect</v>
      </c>
    </row>
    <row r="15830">
      <c r="A15830" s="1">
        <v>5.0</v>
      </c>
      <c r="B15830" s="1" t="s">
        <v>15567</v>
      </c>
      <c r="C15830" t="str">
        <f>IFERROR(__xludf.DUMMYFUNCTION("GOOGLETRANSLATE(B15830, ""fr"", ""en"")"),"fast delivery Product corresponds to the information, the size is accurate! this is not always the case ... Very fast delivery, to equal product that makes the difference! pure cotton trousers with four front pockets, very comfortable!")</f>
        <v>fast delivery Product corresponds to the information, the size is accurate! this is not always the case ... Very fast delivery, to equal product that makes the difference! pure cotton trousers with four front pockets, very comfortable!</v>
      </c>
    </row>
    <row r="15831">
      <c r="A15831" s="1">
        <v>5.0</v>
      </c>
      <c r="B15831" s="1" t="s">
        <v>15568</v>
      </c>
      <c r="C15831" t="str">
        <f>IFERROR(__xludf.DUMMYFUNCTION("GOOGLETRANSLATE(B15831, ""fr"", ""en"")"),"Headphone quality Great product I highly recommend it. Disappointment on delivery because first delivery helmet was lost, surely not lost for everyone ... a gesture of goodwill would be welcome also in vain!")</f>
        <v>Headphone quality Great product I highly recommend it. Disappointment on delivery because first delivery helmet was lost, surely not lost for everyone ... a gesture of goodwill would be welcome also in vain!</v>
      </c>
    </row>
    <row r="15832">
      <c r="A15832" s="1">
        <v>5.0</v>
      </c>
      <c r="B15832" s="1" t="s">
        <v>15569</v>
      </c>
      <c r="C15832" t="str">
        <f>IFERROR(__xludf.DUMMYFUNCTION("GOOGLETRANSLATE(B15832, ""fr"", ""en"")"),"beautiful watch Beautiful watch, simple but practical. The color of the needles are too may in the same color as the background color which makes them a pretty tough times to see and therefore to read the time. The bracelet tightens well especially for pe"&amp;"ople who have a very small wrist.")</f>
        <v>beautiful watch Beautiful watch, simple but practical. The color of the needles are too may in the same color as the background color which makes them a pretty tough times to see and therefore to read the time. The bracelet tightens well especially for people who have a very small wrist.</v>
      </c>
    </row>
    <row r="15833">
      <c r="A15833" s="1">
        <v>2.0</v>
      </c>
      <c r="B15833" s="1" t="s">
        <v>15570</v>
      </c>
      <c r="C15833" t="str">
        <f>IFERROR(__xludf.DUMMYFUNCTION("GOOGLETRANSLATE(B15833, ""fr"", ""en"")"),"Product too small too small bad I can not even move his head")</f>
        <v>Product too small too small bad I can not even move his head</v>
      </c>
    </row>
    <row r="15834">
      <c r="A15834" s="1">
        <v>1.0</v>
      </c>
      <c r="B15834" s="1" t="s">
        <v>15571</v>
      </c>
      <c r="C15834" t="str">
        <f>IFERROR(__xludf.DUMMYFUNCTION("GOOGLETRANSLATE(B15834, ""fr"", ""en"")"),"does not work very sharp noise, does not work at all for me")</f>
        <v>does not work very sharp noise, does not work at all for me</v>
      </c>
    </row>
    <row r="15835">
      <c r="A15835" s="1">
        <v>3.0</v>
      </c>
      <c r="B15835" s="1" t="s">
        <v>15572</v>
      </c>
      <c r="C15835" t="str">
        <f>IFERROR(__xludf.DUMMYFUNCTION("GOOGLETRANSLATE(B15835, ""fr"", ""en"")"),"good but a little disappointed The listing spoke bluetooth in technical features and I buy into parties for that, unfortunately, in the end no bluetooth. I feel a bit cheated considering the price. If the size is good for big head, it is not over and it i"&amp;"s lightweight.")</f>
        <v>good but a little disappointed The listing spoke bluetooth in technical features and I buy into parties for that, unfortunately, in the end no bluetooth. I feel a bit cheated considering the price. If the size is good for big head, it is not over and it is lightweight.</v>
      </c>
    </row>
    <row r="15836">
      <c r="A15836" s="1">
        <v>3.0</v>
      </c>
      <c r="B15836" s="1" t="s">
        <v>15573</v>
      </c>
      <c r="C15836" t="str">
        <f>IFERROR(__xludf.DUMMYFUNCTION("GOOGLETRANSLATE(B15836, ""fr"", ""en"")"),"fine and well trimmed too soft but firm grip, but very fine, soft hairs lack rigidity for precision gesture")</f>
        <v>fine and well trimmed too soft but firm grip, but very fine, soft hairs lack rigidity for precision gesture</v>
      </c>
    </row>
    <row r="15837">
      <c r="A15837" s="1">
        <v>4.0</v>
      </c>
      <c r="B15837" s="1" t="s">
        <v>15574</v>
      </c>
      <c r="C15837" t="str">
        <f>IFERROR(__xludf.DUMMYFUNCTION("GOOGLETRANSLATE(B15837, ""fr"", ""en"")"),"Scrub gently scrub Good, soft leaves the skin silky. Too bad as is cqs for many cosmetic, the effect is less and less noticeable with time.")</f>
        <v>Scrub gently scrub Good, soft leaves the skin silky. Too bad as is cqs for many cosmetic, the effect is less and less noticeable with time.</v>
      </c>
    </row>
    <row r="15838">
      <c r="A15838" s="1">
        <v>4.0</v>
      </c>
      <c r="B15838" s="1" t="s">
        <v>15575</v>
      </c>
      <c r="C15838" t="str">
        <f>IFERROR(__xludf.DUMMYFUNCTION("GOOGLETRANSLATE(B15838, ""fr"", ""en"")"),"Pretty gift Very nice")</f>
        <v>Pretty gift Very nice</v>
      </c>
    </row>
    <row r="15839">
      <c r="A15839" s="1">
        <v>4.0</v>
      </c>
      <c r="B15839" s="1" t="s">
        <v>15576</v>
      </c>
      <c r="C15839" t="str">
        <f>IFERROR(__xludf.DUMMYFUNCTION("GOOGLETRANSLATE(B15839, ""fr"", ""en"")"),"Although perhaps a little small physically. See use ..")</f>
        <v>Although perhaps a little small physically. See use ..</v>
      </c>
    </row>
    <row r="15840">
      <c r="A15840" s="1">
        <v>4.0</v>
      </c>
      <c r="B15840" s="1" t="s">
        <v>15577</v>
      </c>
      <c r="C15840" t="str">
        <f>IFERROR(__xludf.DUMMYFUNCTION("GOOGLETRANSLATE(B15840, ""fr"", ""en"")"),"Very practical, has many pockets It is leather, so more solid and has many pockets including putting a smarphone")</f>
        <v>Very practical, has many pockets It is leather, so more solid and has many pockets including putting a smarphone</v>
      </c>
    </row>
    <row r="15841">
      <c r="A15841" s="1">
        <v>4.0</v>
      </c>
      <c r="B15841" s="1" t="s">
        <v>15578</v>
      </c>
      <c r="C15841" t="str">
        <f>IFERROR(__xludf.DUMMYFUNCTION("GOOGLETRANSLATE(B15841, ""fr"", ""en"")"),"nice headset makes the job Television room I was looking for this type of device with a length of wire .. I have hearing problems I would have liked a little more but its okay")</f>
        <v>nice headset makes the job Television room I was looking for this type of device with a length of wire .. I have hearing problems I would have liked a little more but its okay</v>
      </c>
    </row>
    <row r="15842">
      <c r="A15842" s="1">
        <v>5.0</v>
      </c>
      <c r="B15842" s="1" t="s">
        <v>15579</v>
      </c>
      <c r="C15842" t="str">
        <f>IFERROR(__xludf.DUMMYFUNCTION("GOOGLETRANSLATE(B15842, ""fr"", ""en"")"),"Fast, consistent Excellent product, nothing to say.")</f>
        <v>Fast, consistent Excellent product, nothing to say.</v>
      </c>
    </row>
    <row r="15843">
      <c r="A15843" s="1">
        <v>5.0</v>
      </c>
      <c r="B15843" s="1" t="s">
        <v>15580</v>
      </c>
      <c r="C15843" t="str">
        <f>IFERROR(__xludf.DUMMYFUNCTION("GOOGLETRANSLATE(B15843, ""fr"", ""en"")"),"Great color great color very comfortable shoes I'm a 39 but I took a 39 1/2 flawless They will send me quick")</f>
        <v>Great color great color very comfortable shoes I'm a 39 but I took a 39 1/2 flawless They will send me quick</v>
      </c>
    </row>
    <row r="15844">
      <c r="A15844" s="1">
        <v>5.0</v>
      </c>
      <c r="B15844" s="1" t="s">
        <v>15581</v>
      </c>
      <c r="C15844" t="str">
        <f>IFERROR(__xludf.DUMMYFUNCTION("GOOGLETRANSLATE(B15844, ""fr"", ""en"")"),"Perfect great product .nothing wrong")</f>
        <v>Perfect great product .nothing wrong</v>
      </c>
    </row>
    <row r="15845">
      <c r="A15845" s="1">
        <v>5.0</v>
      </c>
      <c r="B15845" s="1" t="s">
        <v>15582</v>
      </c>
      <c r="C15845" t="str">
        <f>IFERROR(__xludf.DUMMYFUNCTION("GOOGLETRANSLATE(B15845, ""fr"", ""en"")"),"Very handy format for many handicrafts, the choice of colors is sufficient to mix get what you want as degraded. Painting fairly thick, opaque, good outfit. No frills, just practice and good value.")</f>
        <v>Very handy format for many handicrafts, the choice of colors is sufficient to mix get what you want as degraded. Painting fairly thick, opaque, good outfit. No frills, just practice and good value.</v>
      </c>
    </row>
    <row r="15846">
      <c r="A15846" s="1">
        <v>5.0</v>
      </c>
      <c r="B15846" s="1" t="s">
        <v>15583</v>
      </c>
      <c r="C15846" t="str">
        <f>IFERROR(__xludf.DUMMYFUNCTION("GOOGLETRANSLATE(B15846, ""fr"", ""en"")"),"Fast delivery Nickel")</f>
        <v>Fast delivery Nickel</v>
      </c>
    </row>
    <row r="15847">
      <c r="A15847" s="1">
        <v>5.0</v>
      </c>
      <c r="B15847" s="1" t="s">
        <v>15584</v>
      </c>
      <c r="C15847" t="str">
        <f>IFERROR(__xludf.DUMMYFUNCTION("GOOGLETRANSLATE(B15847, ""fr"", ""en"")"),"The quality is there! I trust few brands in childcare accessories, but Philips Avent and one of my favorite brands and a long time. I used their bottles already at the birth of my daughter there are over 9 years, and I regret not having had that famous an"&amp;"ti-colic valve the first weeks! These bottles are just at the top, lightweight, easy to clean and anti-colic valve is easy to install while being effective. In the same range, I love those glass with the big teats that are great for transitions breastfeed"&amp;"ing / bottle, but when you share a ride, they are lighter and unbreakable. I have both, and I do not have a preference, I adapt my choice based on where I am ... In this kit there is also a pacifier baby adopted on the field, and a handy brush for cleanin"&amp;"g! Not really, I do not find fault, I love these bottles, I love this brand, and I recommend 200%.")</f>
        <v>The quality is there! I trust few brands in childcare accessories, but Philips Avent and one of my favorite brands and a long time. I used their bottles already at the birth of my daughter there are over 9 years, and I regret not having had that famous anti-colic valve the first weeks! These bottles are just at the top, lightweight, easy to clean and anti-colic valve is easy to install while being effective. In the same range, I love those glass with the big teats that are great for transitions breastfeeding / bottle, but when you share a ride, they are lighter and unbreakable. I have both, and I do not have a preference, I adapt my choice based on where I am ... In this kit there is also a pacifier baby adopted on the field, and a handy brush for cleaning! Not really, I do not find fault, I love these bottles, I love this brand, and I recommend 200%.</v>
      </c>
    </row>
    <row r="15848">
      <c r="A15848" s="1">
        <v>5.0</v>
      </c>
      <c r="B15848" s="1" t="s">
        <v>15585</v>
      </c>
      <c r="C15848" t="str">
        <f>IFERROR(__xludf.DUMMYFUNCTION("GOOGLETRANSLATE(B15848, ""fr"", ""en"")"),"Everything is going well so far. This amazing product is better than expected, this is a good choice, it has a long duration of loading and the sound is amazing, I use it every day for 3 weeks. The sound quality is very good and the service life of the ba"&amp;"ttery is good.")</f>
        <v>Everything is going well so far. This amazing product is better than expected, this is a good choice, it has a long duration of loading and the sound is amazing, I use it every day for 3 weeks. The sound quality is very good and the service life of the battery is good.</v>
      </c>
    </row>
    <row r="15849">
      <c r="A15849" s="1">
        <v>5.0</v>
      </c>
      <c r="B15849" s="1" t="s">
        <v>15586</v>
      </c>
      <c r="C15849" t="str">
        <f>IFERROR(__xludf.DUMMYFUNCTION("GOOGLETRANSLATE(B15849, ""fr"", ""en"")"),"very nice kettle! I am delighted with this tea, I took to heat water for tea. Very easy to use, simple and precise in its temperature, the finish is perfect and flawless construction. the tank is stainless steel double walls, very large, which is perfect "&amp;"for family teas side of the coin, it is rather bulky!")</f>
        <v>very nice kettle! I am delighted with this tea, I took to heat water for tea. Very easy to use, simple and precise in its temperature, the finish is perfect and flawless construction. the tank is stainless steel double walls, very large, which is perfect for family teas side of the coin, it is rather bulky!</v>
      </c>
    </row>
    <row r="15850">
      <c r="A15850" s="1">
        <v>5.0</v>
      </c>
      <c r="B15850" s="1" t="s">
        <v>15587</v>
      </c>
      <c r="C15850" t="str">
        <f>IFERROR(__xludf.DUMMYFUNCTION("GOOGLETRANSLATE(B15850, ""fr"", ""en"")"),"I do not regret my purchase Very comfortable to wear and very light ... It's really what I needed !!")</f>
        <v>I do not regret my purchase Very comfortable to wear and very light ... It's really what I needed !!</v>
      </c>
    </row>
    <row r="15851">
      <c r="A15851" s="1">
        <v>5.0</v>
      </c>
      <c r="B15851" s="1" t="s">
        <v>15588</v>
      </c>
      <c r="C15851" t="str">
        <f>IFERROR(__xludf.DUMMYFUNCTION("GOOGLETRANSLATE(B15851, ""fr"", ""en"")"),"Super Shoes of good quality, that cut well, the Converse brand, so choose the usual size, which always corresponds to the converse. I recommend")</f>
        <v>Super Shoes of good quality, that cut well, the Converse brand, so choose the usual size, which always corresponds to the converse. I recommend</v>
      </c>
    </row>
    <row r="15852">
      <c r="A15852" s="1">
        <v>5.0</v>
      </c>
      <c r="B15852" s="1" t="s">
        <v>15589</v>
      </c>
      <c r="C15852" t="str">
        <f>IFERROR(__xludf.DUMMYFUNCTION("GOOGLETRANSLATE(B15852, ""fr"", ""en"")"),"Using Personally, I use it for aero. It is not easy to make the drops as it does not fall directly but slips on the cap. As against it is its job well.")</f>
        <v>Using Personally, I use it for aero. It is not easy to make the drops as it does not fall directly but slips on the cap. As against it is its job well.</v>
      </c>
    </row>
    <row r="15853">
      <c r="A15853" s="1">
        <v>5.0</v>
      </c>
      <c r="B15853" s="1" t="s">
        <v>15590</v>
      </c>
      <c r="C15853" t="str">
        <f>IFERROR(__xludf.DUMMYFUNCTION("GOOGLETRANSLATE(B15853, ""fr"", ""en"")"),".parfait for my canon printer delivery and quality thank you")</f>
        <v>.parfait for my canon printer delivery and quality thank you</v>
      </c>
    </row>
    <row r="15854">
      <c r="A15854" s="1">
        <v>5.0</v>
      </c>
      <c r="B15854" s="1" t="s">
        <v>15591</v>
      </c>
      <c r="C15854" t="str">
        <f>IFERROR(__xludf.DUMMYFUNCTION("GOOGLETRANSLATE(B15854, ""fr"", ""en"")"),"Good quality fine size Nickel I recommend a second")</f>
        <v>Good quality fine size Nickel I recommend a second</v>
      </c>
    </row>
    <row r="15855">
      <c r="A15855" s="1">
        <v>5.0</v>
      </c>
      <c r="B15855" s="1" t="s">
        <v>15592</v>
      </c>
      <c r="C15855" t="str">
        <f>IFERROR(__xludf.DUMMYFUNCTION("GOOGLETRANSLATE(B15855, ""fr"", ""en"")"),"Soft and beautiful. Good resistance after washing. We had to buy two; our girls leave no more. Victim of his own success. As nice before and after washing. A good price-performance ratio.")</f>
        <v>Soft and beautiful. Good resistance after washing. We had to buy two; our girls leave no more. Victim of his own success. As nice before and after washing. A good price-performance ratio.</v>
      </c>
    </row>
    <row r="15856">
      <c r="A15856" s="1">
        <v>5.0</v>
      </c>
      <c r="B15856" s="1" t="s">
        <v>15593</v>
      </c>
      <c r="C15856" t="str">
        <f>IFERROR(__xludf.DUMMYFUNCTION("GOOGLETRANSLATE(B15856, ""fr"", ""en"")"),"Caisse storage vinyls I received the package quickly and in great condition! It is very easy to mount and rendering complies with pictures. I recommend this product")</f>
        <v>Caisse storage vinyls I received the package quickly and in great condition! It is very easy to mount and rendering complies with pictures. I recommend this product</v>
      </c>
    </row>
    <row r="15857">
      <c r="A15857" s="1">
        <v>2.0</v>
      </c>
      <c r="B15857" s="1" t="s">
        <v>15594</v>
      </c>
      <c r="C15857" t="str">
        <f>IFERROR(__xludf.DUMMYFUNCTION("GOOGLETRANSLATE(B15857, ""fr"", ""en"")"),"The electrodes are binding too difficult to put on, wear relatively vites, etc. In short, these shorts is not optimal for regular use because it requires a lengthy introduction. I really regret my purchase")</f>
        <v>The electrodes are binding too difficult to put on, wear relatively vites, etc. In short, these shorts is not optimal for regular use because it requires a lengthy introduction. I really regret my purchase</v>
      </c>
    </row>
    <row r="15858">
      <c r="A15858" s="1">
        <v>1.0</v>
      </c>
      <c r="B15858" s="1" t="s">
        <v>15595</v>
      </c>
      <c r="C15858" t="str">
        <f>IFERROR(__xludf.DUMMYFUNCTION("GOOGLETRANSLATE(B15858, ""fr"", ""en"")"),"Disappointed! Buy on August 15. The shows been received a few days later on August 25 but she already working. I am very disappointed and do not recommend this product !!!")</f>
        <v>Disappointed! Buy on August 15. The shows been received a few days later on August 25 but she already working. I am very disappointed and do not recommend this product !!!</v>
      </c>
    </row>
    <row r="15859">
      <c r="A15859" s="1">
        <v>1.0</v>
      </c>
      <c r="B15859" s="1" t="s">
        <v>15596</v>
      </c>
      <c r="C15859" t="str">
        <f>IFERROR(__xludf.DUMMYFUNCTION("GOOGLETRANSLATE(B15859, ""fr"", ""en"")"),"Reach Poor day. The color already partly because of friction. Mediocre quality. Disappointed.")</f>
        <v>Reach Poor day. The color already partly because of friction. Mediocre quality. Disappointed.</v>
      </c>
    </row>
    <row r="15860">
      <c r="A15860" s="1">
        <v>3.0</v>
      </c>
      <c r="B15860" s="1" t="s">
        <v>15597</v>
      </c>
      <c r="C15860" t="str">
        <f>IFERROR(__xludf.DUMMYFUNCTION("GOOGLETRANSLATE(B15860, ""fr"", ""en"")"),"Avoid I'm pretty fussy about the quality of sound. It is correct but there is slightly too low. I just bought the product to see if it still holds in a few months")</f>
        <v>Avoid I'm pretty fussy about the quality of sound. It is correct but there is slightly too low. I just bought the product to see if it still holds in a few months</v>
      </c>
    </row>
    <row r="15861">
      <c r="A15861" s="1">
        <v>3.0</v>
      </c>
      <c r="B15861" s="1" t="s">
        <v>15598</v>
      </c>
      <c r="C15861" t="str">
        <f>IFERROR(__xludf.DUMMYFUNCTION("GOOGLETRANSLATE(B15861, ""fr"", ""en"")"),"Small nice original jewel")</f>
        <v>Small nice original jewel</v>
      </c>
    </row>
    <row r="15862">
      <c r="A15862" s="1">
        <v>4.0</v>
      </c>
      <c r="B15862" s="1" t="s">
        <v>15599</v>
      </c>
      <c r="C15862" t="str">
        <f>IFERROR(__xludf.DUMMYFUNCTION("GOOGLETRANSLATE(B15862, ""fr"", ""en"")"),"Pretty good Convenient to motherhood, nets briefs are a little uncomfortable")</f>
        <v>Pretty good Convenient to motherhood, nets briefs are a little uncomfortable</v>
      </c>
    </row>
    <row r="15863">
      <c r="A15863" s="1">
        <v>4.0</v>
      </c>
      <c r="B15863" s="1" t="s">
        <v>15600</v>
      </c>
      <c r="C15863" t="str">
        <f>IFERROR(__xludf.DUMMYFUNCTION("GOOGLETRANSLATE(B15863, ""fr"", ""en"")"),"The lot sizes are not just provide one size bigger Otherwise I try pretty On Monday so not too back for now")</f>
        <v>The lot sizes are not just provide one size bigger Otherwise I try pretty On Monday so not too back for now</v>
      </c>
    </row>
    <row r="15864">
      <c r="A15864" s="1">
        <v>4.0</v>
      </c>
      <c r="B15864" s="1" t="s">
        <v>15601</v>
      </c>
      <c r="C15864" t="str">
        <f>IFERROR(__xludf.DUMMYFUNCTION("GOOGLETRANSLATE(B15864, ""fr"", ""en"")"),"Tree of Life Jewelry very nice but lacked a ""stone"" on the circumference ....")</f>
        <v>Tree of Life Jewelry very nice but lacked a "stone" on the circumference ....</v>
      </c>
    </row>
    <row r="15865">
      <c r="A15865" s="1">
        <v>4.0</v>
      </c>
      <c r="B15865" s="1" t="s">
        <v>15602</v>
      </c>
      <c r="C15865" t="str">
        <f>IFERROR(__xludf.DUMMYFUNCTION("GOOGLETRANSLATE(B15865, ""fr"", ""en"")"),"Very good printer I had doubts in my bartering for a laser jet inks. In fact if there is not huge flows (sheet tray a little small) is the best value. Not disappointed with the Brother brand, more ethical than others.")</f>
        <v>Very good printer I had doubts in my bartering for a laser jet inks. In fact if there is not huge flows (sheet tray a little small) is the best value. Not disappointed with the Brother brand, more ethical than others.</v>
      </c>
    </row>
    <row r="15866">
      <c r="A15866" s="1">
        <v>5.0</v>
      </c>
      <c r="B15866" s="1" t="s">
        <v>15603</v>
      </c>
      <c r="C15866" t="str">
        <f>IFERROR(__xludf.DUMMYFUNCTION("GOOGLETRANSLATE(B15866, ""fr"", ""en"")"),"Very good, durable use in 2nd purchase this manufacturer Good product and a priori manufactured in France Fast delivery by mail Smell good use along with an electric fogger; 2 or 3 drops are enough")</f>
        <v>Very good, durable use in 2nd purchase this manufacturer Good product and a priori manufactured in France Fast delivery by mail Smell good use along with an electric fogger; 2 or 3 drops are enough</v>
      </c>
    </row>
    <row r="15867">
      <c r="A15867" s="1">
        <v>5.0</v>
      </c>
      <c r="B15867" s="1" t="s">
        <v>15604</v>
      </c>
      <c r="C15867" t="str">
        <f>IFERROR(__xludf.DUMMYFUNCTION("GOOGLETRANSLATE(B15867, ""fr"", ""en"")"),"Top top top !!! Very fast delivery Well protected via Amazon as always not to be disappointed with this brand we pay for top level quality to this purchase Perfect")</f>
        <v>Top top top !!! Very fast delivery Well protected via Amazon as always not to be disappointed with this brand we pay for top level quality to this purchase Perfect</v>
      </c>
    </row>
    <row r="15868">
      <c r="A15868" s="1">
        <v>5.0</v>
      </c>
      <c r="B15868" s="1" t="s">
        <v>15605</v>
      </c>
      <c r="C15868" t="str">
        <f>IFERROR(__xludf.DUMMYFUNCTION("GOOGLETRANSLATE(B15868, ""fr"", ""en"")"),"Good Very happy with my purchase because the sound is really good, and then they are comfortable in the ear. So having received yesterday in the temp ...")</f>
        <v>Good Very happy with my purchase because the sound is really good, and then they are comfortable in the ear. So having received yesterday in the temp ...</v>
      </c>
    </row>
    <row r="15869">
      <c r="A15869" s="1">
        <v>5.0</v>
      </c>
      <c r="B15869" s="1" t="s">
        <v>15606</v>
      </c>
      <c r="C15869" t="str">
        <f>IFERROR(__xludf.DUMMYFUNCTION("GOOGLETRANSLATE(B15869, ""fr"", ""en"")"),"Super easy and fun. Liquid paint but not too much. Keeps well and the colors are showy!")</f>
        <v>Super easy and fun. Liquid paint but not too much. Keeps well and the colors are showy!</v>
      </c>
    </row>
    <row r="15870">
      <c r="A15870" s="1">
        <v>5.0</v>
      </c>
      <c r="B15870" s="1" t="s">
        <v>15607</v>
      </c>
      <c r="C15870" t="str">
        <f>IFERROR(__xludf.DUMMYFUNCTION("GOOGLETRANSLATE(B15870, ""fr"", ""en"")"),"in true Sublime Notice")</f>
        <v>in true Sublime Notice</v>
      </c>
    </row>
    <row r="15871">
      <c r="A15871" s="1">
        <v>5.0</v>
      </c>
      <c r="B15871" s="1" t="s">
        <v>15608</v>
      </c>
      <c r="C15871" t="str">
        <f>IFERROR(__xludf.DUMMYFUNCTION("GOOGLETRANSLATE(B15871, ""fr"", ""en"")"),"Fast delivery, no worries Product conformr")</f>
        <v>Fast delivery, no worries Product conformr</v>
      </c>
    </row>
    <row r="15872">
      <c r="A15872" s="1">
        <v>5.0</v>
      </c>
      <c r="B15872" s="1" t="s">
        <v>1261</v>
      </c>
      <c r="C15872" t="str">
        <f>IFERROR(__xludf.DUMMYFUNCTION("GOOGLETRANSLATE(B15872, ""fr"", ""en"")"),"good good")</f>
        <v>good good</v>
      </c>
    </row>
    <row r="15873">
      <c r="A15873" s="1">
        <v>5.0</v>
      </c>
      <c r="B15873" s="1" t="s">
        <v>15609</v>
      </c>
      <c r="C15873" t="str">
        <f>IFERROR(__xludf.DUMMYFUNCTION("GOOGLETRANSLATE(B15873, ""fr"", ""en"")"),"Beautiful bracelets Very beautiful bracelet. Good size. Do not rust when in contact with water. I recommend.")</f>
        <v>Beautiful bracelets Very beautiful bracelet. Good size. Do not rust when in contact with water. I recommend.</v>
      </c>
    </row>
    <row r="15874">
      <c r="A15874" s="1">
        <v>5.0</v>
      </c>
      <c r="B15874" s="1" t="s">
        <v>15610</v>
      </c>
      <c r="C15874" t="str">
        <f>IFERROR(__xludf.DUMMYFUNCTION("GOOGLETRANSLATE(B15874, ""fr"", ""en"")"),"descaling been used for years on a machine that uses coffee beans .n'endommage or joints or machine .I recommend it to all")</f>
        <v>descaling been used for years on a machine that uses coffee beans .n'endommage or joints or machine .I recommend it to all</v>
      </c>
    </row>
    <row r="15875">
      <c r="A15875" s="1">
        <v>5.0</v>
      </c>
      <c r="B15875" s="1" t="s">
        <v>15611</v>
      </c>
      <c r="C15875" t="str">
        <f>IFERROR(__xludf.DUMMYFUNCTION("GOOGLETRANSLATE(B15875, ""fr"", ""en"")"),"Very good very good product. Solid and want good ankle. It remains therefore to maintain the leather occasionally to keep the quality.")</f>
        <v>Very good very good product. Solid and want good ankle. It remains therefore to maintain the leather occasionally to keep the quality.</v>
      </c>
    </row>
    <row r="15876">
      <c r="A15876" s="1">
        <v>5.0</v>
      </c>
      <c r="B15876" s="1" t="s">
        <v>15612</v>
      </c>
      <c r="C15876" t="str">
        <f>IFERROR(__xludf.DUMMYFUNCTION("GOOGLETRANSLATE(B15876, ""fr"", ""en"")"),"A delight a delight I find oats different taste. I advise. Ms. Alexis")</f>
        <v>A delight a delight I find oats different taste. I advise. Ms. Alexis</v>
      </c>
    </row>
    <row r="15877">
      <c r="A15877" s="1">
        <v>5.0</v>
      </c>
      <c r="B15877" s="1" t="s">
        <v>15613</v>
      </c>
      <c r="C15877" t="str">
        <f>IFERROR(__xludf.DUMMYFUNCTION("GOOGLETRANSLATE(B15877, ""fr"", ""en"")"),"Practice Good quality / price ratio compared to the individual purchase of each component. All in a package to put directly into the maternity suitcase.")</f>
        <v>Practice Good quality / price ratio compared to the individual purchase of each component. All in a package to put directly into the maternity suitcase.</v>
      </c>
    </row>
    <row r="15878">
      <c r="A15878" s="1">
        <v>5.0</v>
      </c>
      <c r="B15878" s="1" t="s">
        <v>15614</v>
      </c>
      <c r="C15878" t="str">
        <f>IFERROR(__xludf.DUMMYFUNCTION("GOOGLETRANSLATE(B15878, ""fr"", ""en"")"),"What happiness I totally conquered several color games but not aggressive for the eyes, the change is smooth and we can either turn off the light allowing to fall asleep more easily or leave a fixed light .Very easy to fill with drink dispenser. One can a"&amp;"lso adjust the intensity of the diffuser. A very good smell quickly filled the room. A thought for gift giving or to please even itself. I recommend without hesitation.")</f>
        <v>What happiness I totally conquered several color games but not aggressive for the eyes, the change is smooth and we can either turn off the light allowing to fall asleep more easily or leave a fixed light .Very easy to fill with drink dispenser. One can also adjust the intensity of the diffuser. A very good smell quickly filled the room. A thought for gift giving or to please even itself. I recommend without hesitation.</v>
      </c>
    </row>
    <row r="15879">
      <c r="A15879" s="1">
        <v>5.0</v>
      </c>
      <c r="B15879" s="1" t="s">
        <v>15615</v>
      </c>
      <c r="C15879" t="str">
        <f>IFERROR(__xludf.DUMMYFUNCTION("GOOGLETRANSLATE(B15879, ""fr"", ""en"")"),"Nothing wrong Corresponds to descrption")</f>
        <v>Nothing wrong Corresponds to descrption</v>
      </c>
    </row>
    <row r="15880">
      <c r="A15880" s="1">
        <v>5.0</v>
      </c>
      <c r="B15880" s="1" t="s">
        <v>15616</v>
      </c>
      <c r="C15880" t="str">
        <f>IFERROR(__xludf.DUMMYFUNCTION("GOOGLETRANSLATE(B15880, ""fr"", ""en"")"),"Perfect Article cannon brand. Same description and my need and above all much cheaper than anywhere else")</f>
        <v>Perfect Article cannon brand. Same description and my need and above all much cheaper than anywhere else</v>
      </c>
    </row>
    <row r="15881">
      <c r="A15881" s="1">
        <v>2.0</v>
      </c>
      <c r="B15881" s="1" t="s">
        <v>15617</v>
      </c>
      <c r="C15881" t="str">
        <f>IFERROR(__xludf.DUMMYFUNCTION("GOOGLETRANSLATE(B15881, ""fr"", ""en"")"),"Softener Lenor Easy to use, it still must know how to balance properly. He advocates a measuring cap for each wash. The product will be quickly consumed. rather strong smell. Chemical composition, you can do better. At the result softener filled his role "&amp;"well. higher rate compared to a conventional softening (7 € to the writing of this review). Opinion mixed, the price is really high for me especially as it is consumed quickly and the composition is too doubtful.")</f>
        <v>Softener Lenor Easy to use, it still must know how to balance properly. He advocates a measuring cap for each wash. The product will be quickly consumed. rather strong smell. Chemical composition, you can do better. At the result softener filled his role well. higher rate compared to a conventional softening (7 € to the writing of this review). Opinion mixed, the price is really high for me especially as it is consumed quickly and the composition is too doubtful.</v>
      </c>
    </row>
    <row r="15882">
      <c r="A15882" s="1">
        <v>1.0</v>
      </c>
      <c r="B15882" s="1" t="s">
        <v>15618</v>
      </c>
      <c r="C15882" t="str">
        <f>IFERROR(__xludf.DUMMYFUNCTION("GOOGLETRANSLATE(B15882, ""fr"", ""en"")"),"Disappointed suction No, clings very difficult to support (we have attached to the wall)")</f>
        <v>Disappointed suction No, clings very difficult to support (we have attached to the wall)</v>
      </c>
    </row>
    <row r="15883">
      <c r="A15883" s="1">
        <v>1.0</v>
      </c>
      <c r="B15883" s="1" t="s">
        <v>15619</v>
      </c>
      <c r="C15883" t="str">
        <f>IFERROR(__xludf.DUMMYFUNCTION("GOOGLETRANSLATE(B15883, ""fr"", ""en"")"),"Too small, too cheap, counterfeit? I received the model with gold outline, this is really cheap watch. I have two other fossil and what really shocks me is the weight of this automatic watch. Normally this kind of shows are pretty heavy and my other shows"&amp;" is much heavier. This watch is too light to see, I have a big doubt about the authenticity of this watch. Sold and shipped by Amazon yet, but they are you sure that their provider does not give them a watch from counterfeiting?")</f>
        <v>Too small, too cheap, counterfeit? I received the model with gold outline, this is really cheap watch. I have two other fossil and what really shocks me is the weight of this automatic watch. Normally this kind of shows are pretty heavy and my other shows is much heavier. This watch is too light to see, I have a big doubt about the authenticity of this watch. Sold and shipped by Amazon yet, but they are you sure that their provider does not give them a watch from counterfeiting?</v>
      </c>
    </row>
    <row r="15884">
      <c r="A15884" s="1">
        <v>3.0</v>
      </c>
      <c r="B15884" s="1" t="s">
        <v>15620</v>
      </c>
      <c r="C15884" t="str">
        <f>IFERROR(__xludf.DUMMYFUNCTION("GOOGLETRANSLATE(B15884, ""fr"", ""en"")"),"nickel waterproof protection rather less water Ploof regular user of these all brands combined boots I see a decline in quality. I'm in construction use very hardworking people will say, around year 2009-2010 a pair for the year 2015 a pair and a half now"&amp;" 2017 2018 2 easily pairs a year the soles wear out very quickly. when the waterproof-waterresist mentions of pipo is a label sticking to the end of production, better not hang around a flac water or walk too long in the wet grass after a minute you have "&amp;"your feet sweaty. protection or nothing to say your feet are safely above as below.")</f>
        <v>nickel waterproof protection rather less water Ploof regular user of these all brands combined boots I see a decline in quality. I'm in construction use very hardworking people will say, around year 2009-2010 a pair for the year 2015 a pair and a half now 2017 2018 2 easily pairs a year the soles wear out very quickly. when the waterproof-waterresist mentions of pipo is a label sticking to the end of production, better not hang around a flac water or walk too long in the wet grass after a minute you have your feet sweaty. protection or nothing to say your feet are safely above as below.</v>
      </c>
    </row>
    <row r="15885">
      <c r="A15885" s="1">
        <v>3.0</v>
      </c>
      <c r="B15885" s="1" t="s">
        <v>15621</v>
      </c>
      <c r="C15885" t="str">
        <f>IFERROR(__xludf.DUMMYFUNCTION("GOOGLETRANSLATE(B15885, ""fr"", ""en"")"),"a noisy product attractive design attracted to the brand R &amp; amp; H I thought I had a better product than my siemens but if it is aesthetically beautiful it is a very noisy keetle")</f>
        <v>a noisy product attractive design attracted to the brand R &amp; amp; H I thought I had a better product than my siemens but if it is aesthetically beautiful it is a very noisy keetle</v>
      </c>
    </row>
    <row r="15886">
      <c r="A15886" s="1">
        <v>4.0</v>
      </c>
      <c r="B15886" s="1" t="s">
        <v>15622</v>
      </c>
      <c r="C15886" t="str">
        <f>IFERROR(__xludf.DUMMYFUNCTION("GOOGLETRANSLATE(B15886, ""fr"", ""en"")"),"Catch all these little wipes are made of a texture and a material that really catches everything: dust, but the hair of cat and very long hair. More surprisingly, by passing on makeup stains, yet dry spots literally hang on the wipe (concealer, blush ...)"&amp;" ?! With one wipe, I have two pieces, and she was still holding capacity. Obviously, a wipe, it goes in the trash, it is not recyclable, not washed and reused as a wipe cloth microfiber I spend the machine ...")</f>
        <v>Catch all these little wipes are made of a texture and a material that really catches everything: dust, but the hair of cat and very long hair. More surprisingly, by passing on makeup stains, yet dry spots literally hang on the wipe (concealer, blush ...) ?! With one wipe, I have two pieces, and she was still holding capacity. Obviously, a wipe, it goes in the trash, it is not recyclable, not washed and reused as a wipe cloth microfiber I spend the machine ...</v>
      </c>
    </row>
    <row r="15887">
      <c r="A15887" s="1">
        <v>4.0</v>
      </c>
      <c r="B15887" s="1" t="s">
        <v>15623</v>
      </c>
      <c r="C15887" t="str">
        <f>IFERROR(__xludf.DUMMYFUNCTION("GOOGLETRANSLATE(B15887, ""fr"", ""en"")"),"Bracelet sports bright yellow line with expectations that more comfortable quick release strap quickfix of the same brand. Too bad that the buckle is not as black as the watch.")</f>
        <v>Bracelet sports bright yellow line with expectations that more comfortable quick release strap quickfix of the same brand. Too bad that the buckle is not as black as the watch.</v>
      </c>
    </row>
    <row r="15888">
      <c r="A15888" s="1">
        <v>4.0</v>
      </c>
      <c r="B15888" s="1" t="s">
        <v>15624</v>
      </c>
      <c r="C15888" t="str">
        <f>IFERROR(__xludf.DUMMYFUNCTION("GOOGLETRANSLATE(B15888, ""fr"", ""en"")"),"QUALITY UNBEATABLE PRICE It is clear the product has a lot of advantage on its price but the sound could be better with a little audacity we remove background noise.")</f>
        <v>QUALITY UNBEATABLE PRICE It is clear the product has a lot of advantage on its price but the sound could be better with a little audacity we remove background noise.</v>
      </c>
    </row>
    <row r="15889">
      <c r="A15889" s="1">
        <v>4.0</v>
      </c>
      <c r="B15889" s="1" t="s">
        <v>15625</v>
      </c>
      <c r="C15889" t="str">
        <f>IFERROR(__xludf.DUMMYFUNCTION("GOOGLETRANSLATE(B15889, ""fr"", ""en"")"),"Beautiful Beautiful")</f>
        <v>Beautiful Beautiful</v>
      </c>
    </row>
    <row r="15890">
      <c r="A15890" s="1">
        <v>5.0</v>
      </c>
      <c r="B15890" s="1" t="s">
        <v>15626</v>
      </c>
      <c r="C15890" t="str">
        <f>IFERROR(__xludf.DUMMYFUNCTION("GOOGLETRANSLATE(B15890, ""fr"", ""en"")"),"Beautiful Great sound quality. Much better than the earbuds sold with the phone")</f>
        <v>Beautiful Great sound quality. Much better than the earbuds sold with the phone</v>
      </c>
    </row>
    <row r="15891">
      <c r="A15891" s="1">
        <v>5.0</v>
      </c>
      <c r="B15891" s="1" t="s">
        <v>15627</v>
      </c>
      <c r="C15891" t="str">
        <f>IFERROR(__xludf.DUMMYFUNCTION("GOOGLETRANSLATE(B15891, ""fr"", ""en"")"),"Crocs Complies. Practice the scratches behind to adapt a little size")</f>
        <v>Crocs Complies. Practice the scratches behind to adapt a little size</v>
      </c>
    </row>
    <row r="15892">
      <c r="A15892" s="1">
        <v>5.0</v>
      </c>
      <c r="B15892" s="1" t="s">
        <v>15628</v>
      </c>
      <c r="C15892" t="str">
        <f>IFERROR(__xludf.DUMMYFUNCTION("GOOGLETRANSLATE(B15892, ""fr"", ""en"")"),"Without regret Beautiful watch, really nice I do not regret")</f>
        <v>Without regret Beautiful watch, really nice I do not regret</v>
      </c>
    </row>
    <row r="15893">
      <c r="A15893" s="1">
        <v>5.0</v>
      </c>
      <c r="B15893" s="1" t="s">
        <v>15629</v>
      </c>
      <c r="C15893" t="str">
        <f>IFERROR(__xludf.DUMMYFUNCTION("GOOGLETRANSLATE(B15893, ""fr"", ""en"")"),"Exciting for children Work au successful beyond my expectations. Intended to be read by episodes evening he was devoured by my little 7 year old son in a week of vacation in the evening return activities.")</f>
        <v>Exciting for children Work au successful beyond my expectations. Intended to be read by episodes evening he was devoured by my little 7 year old son in a week of vacation in the evening return activities.</v>
      </c>
    </row>
    <row r="15894">
      <c r="A15894" s="1">
        <v>5.0</v>
      </c>
      <c r="B15894" s="1" t="s">
        <v>15630</v>
      </c>
      <c r="C15894" t="str">
        <f>IFERROR(__xludf.DUMMYFUNCTION("GOOGLETRANSLATE(B15894, ""fr"", ""en"")"),"Very good product complies .the product and in a resealable bag and comes with a small cuilliere .I recommend so this article")</f>
        <v>Very good product complies .the product and in a resealable bag and comes with a small cuilliere .I recommend so this article</v>
      </c>
    </row>
    <row r="15895">
      <c r="A15895" s="1">
        <v>5.0</v>
      </c>
      <c r="B15895" s="1" t="s">
        <v>15631</v>
      </c>
      <c r="C15895" t="str">
        <f>IFERROR(__xludf.DUMMYFUNCTION("GOOGLETRANSLATE(B15895, ""fr"", ""en"")"),"EXCELLENT QUALITY! I wore my flip flops for years (4 years), at home, out and I was even in India several times with !!!! I recommend this product!")</f>
        <v>EXCELLENT QUALITY! I wore my flip flops for years (4 years), at home, out and I was even in India several times with !!!! I recommend this product!</v>
      </c>
    </row>
    <row r="15896">
      <c r="A15896" s="1">
        <v>5.0</v>
      </c>
      <c r="B15896" s="1" t="s">
        <v>15632</v>
      </c>
      <c r="C15896" t="str">
        <f>IFERROR(__xludf.DUMMYFUNCTION("GOOGLETRANSLATE(B15896, ""fr"", ""en"")"),"At the top Best")</f>
        <v>At the top Best</v>
      </c>
    </row>
    <row r="15897">
      <c r="A15897" s="1">
        <v>5.0</v>
      </c>
      <c r="B15897" s="1" t="s">
        <v>15633</v>
      </c>
      <c r="C15897" t="str">
        <f>IFERROR(__xludf.DUMMYFUNCTION("GOOGLETRANSLATE(B15897, ""fr"", ""en"")"),"Top I took her to my best friend for her future baby is giving me that I're're used to my daughter I are recommended +++")</f>
        <v>Top I took her to my best friend for her future baby is giving me that I're're used to my daughter I are recommended +++</v>
      </c>
    </row>
    <row r="15898">
      <c r="A15898" s="1">
        <v>5.0</v>
      </c>
      <c r="B15898" s="1" t="s">
        <v>15634</v>
      </c>
      <c r="C15898" t="str">
        <f>IFERROR(__xludf.DUMMYFUNCTION("GOOGLETRANSLATE(B15898, ""fr"", ""en"")"),"Very good quality Very nice jewelry")</f>
        <v>Very good quality Very nice jewelry</v>
      </c>
    </row>
    <row r="15899">
      <c r="A15899" s="1">
        <v>5.0</v>
      </c>
      <c r="B15899" s="1" t="s">
        <v>15635</v>
      </c>
      <c r="C15899" t="str">
        <f>IFERROR(__xludf.DUMMYFUNCTION("GOOGLETRANSLATE(B15899, ""fr"", ""en"")"),":) Good quality")</f>
        <v>:) Good quality</v>
      </c>
    </row>
    <row r="15900">
      <c r="A15900" s="1">
        <v>5.0</v>
      </c>
      <c r="B15900" s="1" t="s">
        <v>12155</v>
      </c>
      <c r="C15900" t="str">
        <f>IFERROR(__xludf.DUMMYFUNCTION("GOOGLETRANSLATE(B15900, ""fr"", ""en"")"),"Beautiful Beautiful")</f>
        <v>Beautiful Beautiful</v>
      </c>
    </row>
    <row r="15901">
      <c r="A15901" s="1">
        <v>5.0</v>
      </c>
      <c r="B15901" s="1" t="s">
        <v>15636</v>
      </c>
      <c r="C15901" t="str">
        <f>IFERROR(__xludf.DUMMYFUNCTION("GOOGLETRANSLATE(B15901, ""fr"", ""en"")"),"Very helpful and nice I have ordered two, and I have now for several months and they are superb! Very soft and beautiful I am delighted with my purchase! I recommend !")</f>
        <v>Very helpful and nice I have ordered two, and I have now for several months and they are superb! Very soft and beautiful I am delighted with my purchase! I recommend !</v>
      </c>
    </row>
    <row r="15902">
      <c r="A15902" s="1">
        <v>5.0</v>
      </c>
      <c r="B15902" s="1" t="s">
        <v>15637</v>
      </c>
      <c r="C15902" t="str">
        <f>IFERROR(__xludf.DUMMYFUNCTION("GOOGLETRANSLATE(B15902, ""fr"", ""en"")"),"Nothing like a pair of Converse. Perfect for a casual light shoes and comfortable I would recommend the product.")</f>
        <v>Nothing like a pair of Converse. Perfect for a casual light shoes and comfortable I would recommend the product.</v>
      </c>
    </row>
    <row r="15903">
      <c r="A15903" s="1">
        <v>5.0</v>
      </c>
      <c r="B15903" s="1" t="s">
        <v>15638</v>
      </c>
      <c r="C15903" t="str">
        <f>IFERROR(__xludf.DUMMYFUNCTION("GOOGLETRANSLATE(B15903, ""fr"", ""en"")"),"Quality / amazing price! These headphones are exceptional for the price! They are resistant with reinforced cable and extremely comfortable. They not only have an integrated microphone and volume controls, and they provide excellent quality and sound qual"&amp;"ity extended while reducing noise, ideal for me.")</f>
        <v>Quality / amazing price! These headphones are exceptional for the price! They are resistant with reinforced cable and extremely comfortable. They not only have an integrated microphone and volume controls, and they provide excellent quality and sound quality extended while reducing noise, ideal for me.</v>
      </c>
    </row>
    <row r="15904">
      <c r="A15904" s="1">
        <v>5.0</v>
      </c>
      <c r="B15904" s="1" t="s">
        <v>15639</v>
      </c>
      <c r="C15904" t="str">
        <f>IFERROR(__xludf.DUMMYFUNCTION("GOOGLETRANSLATE(B15904, ""fr"", ""en"")"),"Cartridge Very good product")</f>
        <v>Cartridge Very good product</v>
      </c>
    </row>
    <row r="15905">
      <c r="A15905" s="1">
        <v>2.0</v>
      </c>
      <c r="B15905" s="1" t="s">
        <v>15640</v>
      </c>
      <c r="C15905" t="str">
        <f>IFERROR(__xludf.DUMMYFUNCTION("GOOGLETRANSLATE(B15905, ""fr"", ""en"")"),"Dunlop 814P Please note that the size is too tight. There should be one size larger. As I wanted to try I carried half a day, so I can not return.")</f>
        <v>Dunlop 814P Please note that the size is too tight. There should be one size larger. As I wanted to try I carried half a day, so I can not return.</v>
      </c>
    </row>
    <row r="15906">
      <c r="A15906" s="1">
        <v>1.0</v>
      </c>
      <c r="B15906" s="1" t="s">
        <v>15641</v>
      </c>
      <c r="C15906" t="str">
        <f>IFERROR(__xludf.DUMMYFUNCTION("GOOGLETRANSLATE(B15906, ""fr"", ""en"")"),"timberland soles come off in less than three weeks and this is now the third pair. Did you have the same problems on your amazon orders?")</f>
        <v>timberland soles come off in less than three weeks and this is now the third pair. Did you have the same problems on your amazon orders?</v>
      </c>
    </row>
    <row r="15907">
      <c r="A15907" s="1">
        <v>1.0</v>
      </c>
      <c r="B15907" s="1" t="s">
        <v>15642</v>
      </c>
      <c r="C15907" t="str">
        <f>IFERROR(__xludf.DUMMYFUNCTION("GOOGLETRANSLATE(B15907, ""fr"", ""en"")"),"Quality control nonexistent watch arrived a few days late with visibly dented and unsealed. The bezel / ring has an obvious flaw. I obviously returned Article")</f>
        <v>Quality control nonexistent watch arrived a few days late with visibly dented and unsealed. The bezel / ring has an obvious flaw. I obviously returned Article</v>
      </c>
    </row>
    <row r="15908">
      <c r="A15908" s="1">
        <v>3.0</v>
      </c>
      <c r="B15908" s="1" t="s">
        <v>15643</v>
      </c>
      <c r="C15908" t="str">
        <f>IFERROR(__xludf.DUMMYFUNCTION("GOOGLETRANSLATE(B15908, ""fr"", ""en"")"),"I m expected better a little above, too small for me")</f>
        <v>I m expected better a little above, too small for me</v>
      </c>
    </row>
    <row r="15909">
      <c r="A15909" s="1">
        <v>4.0</v>
      </c>
      <c r="B15909" s="1" t="s">
        <v>15644</v>
      </c>
      <c r="C15909" t="str">
        <f>IFERROR(__xludf.DUMMYFUNCTION("GOOGLETRANSLATE(B15909, ""fr"", ""en"")"),"very satisfied very light and comfortable shoes suitable for mass distribution. Only small hick, the laces are not very strong ..")</f>
        <v>very satisfied very light and comfortable shoes suitable for mass distribution. Only small hick, the laces are not very strong ..</v>
      </c>
    </row>
    <row r="15910">
      <c r="A15910" s="1">
        <v>4.0</v>
      </c>
      <c r="B15910" s="1" t="s">
        <v>15645</v>
      </c>
      <c r="C15910" t="str">
        <f>IFERROR(__xludf.DUMMYFUNCTION("GOOGLETRANSLATE(B15910, ""fr"", ""en"")"),"Pleasant bore This product is well well it covers the corp but size a little smaller next time I will take greater")</f>
        <v>Pleasant bore This product is well well it covers the corp but size a little smaller next time I will take greater</v>
      </c>
    </row>
    <row r="15911">
      <c r="A15911" s="1">
        <v>4.0</v>
      </c>
      <c r="B15911" s="1" t="s">
        <v>15646</v>
      </c>
      <c r="C15911" t="str">
        <f>IFERROR(__xludf.DUMMYFUNCTION("GOOGLETRANSLATE(B15911, ""fr"", ""en"")"),"Good-pix RAS")</f>
        <v>Good-pix RAS</v>
      </c>
    </row>
    <row r="15912">
      <c r="A15912" s="1">
        <v>4.0</v>
      </c>
      <c r="B15912" s="1" t="s">
        <v>15647</v>
      </c>
      <c r="C15912" t="str">
        <f>IFERROR(__xludf.DUMMYFUNCTION("GOOGLETRANSLATE(B15912, ""fr"", ""en"")"),"I recommend you correct")</f>
        <v>I recommend you correct</v>
      </c>
    </row>
    <row r="15913">
      <c r="A15913" s="1">
        <v>5.0</v>
      </c>
      <c r="B15913" s="1" t="s">
        <v>15648</v>
      </c>
      <c r="C15913" t="str">
        <f>IFERROR(__xludf.DUMMYFUNCTION("GOOGLETRANSLATE(B15913, ""fr"", ""en"")"),"Super perfect for stay at home and read a book 📙")</f>
        <v>Super perfect for stay at home and read a book 📙</v>
      </c>
    </row>
    <row r="15914">
      <c r="A15914" s="1">
        <v>5.0</v>
      </c>
      <c r="B15914" s="1" t="s">
        <v>15649</v>
      </c>
      <c r="C15914" t="str">
        <f>IFERROR(__xludf.DUMMYFUNCTION("GOOGLETRANSLATE(B15914, ""fr"", ""en"")"),"Perfect Option A classic redone with best detail and specs !!! Tides to be checked onsite When It Seems she may have just works using local times (memory data) to enter INSTEAD of longitudinal coordinate and more. Cheers!")</f>
        <v>Perfect Option A classic redone with best detail and specs !!! Tides to be checked onsite When It Seems she may have just works using local times (memory data) to enter INSTEAD of longitudinal coordinate and more. Cheers!</v>
      </c>
    </row>
    <row r="15915">
      <c r="A15915" s="1">
        <v>5.0</v>
      </c>
      <c r="B15915" s="1" t="s">
        <v>15650</v>
      </c>
      <c r="C15915" t="str">
        <f>IFERROR(__xludf.DUMMYFUNCTION("GOOGLETRANSLATE(B15915, ""fr"", ""en"")"),"Small but very functional &lt;div id = ""video-block-R2Y2YLO77MXH7S"" class = ""a-section-spacing-small in-spacing-top mini video-block""&gt; &lt;/ div&gt; &lt;input type = ""hidden"" name = """" value = ""https://images-eu.ssl-images-amazon.com/images/I/C1g2P1kH4GS.mp4"&amp;""" class = ""video-url""&gt; &lt;input type = ""hidden"" name = """" value = ""https://images-eu.ssl-images-amazon.com/images/I/B1M9HMNbNCS.png"" class = ""video-slate-img-url""&gt; &amp; nbsp; Dictaphone very good. The sound is very good Very good battery significant"&amp;" capacity and very intuitive. Very handy to record my meetings. Delighted with my purchase")</f>
        <v>Small but very functional &lt;div id = "video-block-R2Y2YLO77MXH7S" class = "a-section-spacing-small in-spacing-top mini video-block"&gt; &lt;/ div&gt; &lt;input type = "hidden" name = "" value = "https://images-eu.ssl-images-amazon.com/images/I/C1g2P1kH4GS.mp4" class = "video-url"&gt; &lt;input type = "hidden" name = "" value = "https://images-eu.ssl-images-amazon.com/images/I/B1M9HMNbNCS.png" class = "video-slate-img-url"&gt; &amp; nbsp; Dictaphone very good. The sound is very good Very good battery significant capacity and very intuitive. Very handy to record my meetings. Delighted with my purchase</v>
      </c>
    </row>
    <row r="15916">
      <c r="A15916" s="1">
        <v>5.0</v>
      </c>
      <c r="B15916" s="1" t="s">
        <v>15651</v>
      </c>
      <c r="C15916" t="str">
        <f>IFERROR(__xludf.DUMMYFUNCTION("GOOGLETRANSLATE(B15916, ""fr"", ""en"")"),"Excellent customer service I received a pair of headphones and I was very satisfied: the sound is perfect and the headphones come with a small box containing a lot of spares and accessories. My headphones were suddenly broken (one of two headphones not wo"&amp;"rk), I contacted the customer service, they were responsive and sent me another pair very quickly. I highly recommend this product and I would like to thank the Service Department!")</f>
        <v>Excellent customer service I received a pair of headphones and I was very satisfied: the sound is perfect and the headphones come with a small box containing a lot of spares and accessories. My headphones were suddenly broken (one of two headphones not work), I contacted the customer service, they were responsive and sent me another pair very quickly. I highly recommend this product and I would like to thank the Service Department!</v>
      </c>
    </row>
    <row r="15917">
      <c r="A15917" s="1">
        <v>5.0</v>
      </c>
      <c r="B15917" s="1" t="s">
        <v>15652</v>
      </c>
      <c r="C15917" t="str">
        <f>IFERROR(__xludf.DUMMYFUNCTION("GOOGLETRANSLATE(B15917, ""fr"", ""en"")"),"Very beautiful colors beautifully made good markers of varying colors, which do not dry out too quickly (like some!). BIC quality is beautiful and always well go for our pleasure!")</f>
        <v>Very beautiful colors beautifully made good markers of varying colors, which do not dry out too quickly (like some!). BIC quality is beautiful and always well go for our pleasure!</v>
      </c>
    </row>
    <row r="15918">
      <c r="A15918" s="1">
        <v>5.0</v>
      </c>
      <c r="B15918" s="1" t="s">
        <v>15653</v>
      </c>
      <c r="C15918" t="str">
        <f>IFERROR(__xludf.DUMMYFUNCTION("GOOGLETRANSLATE(B15918, ""fr"", ""en"")"),"Original Headset Earphone original Huawei. Resistant despite daily use!")</f>
        <v>Original Headset Earphone original Huawei. Resistant despite daily use!</v>
      </c>
    </row>
    <row r="15919">
      <c r="A15919" s="1">
        <v>5.0</v>
      </c>
      <c r="B15919" s="1" t="s">
        <v>15654</v>
      </c>
      <c r="C15919" t="str">
        <f>IFERROR(__xludf.DUMMYFUNCTION("GOOGLETRANSLATE(B15919, ""fr"", ""en"")"),"Functional and attractive price to record my appointments course and bills quickly. handy calendar of its size, and sober I highly recommend especially issue price. That makes 3 years I used this model.")</f>
        <v>Functional and attractive price to record my appointments course and bills quickly. handy calendar of its size, and sober I highly recommend especially issue price. That makes 3 years I used this model.</v>
      </c>
    </row>
    <row r="15920">
      <c r="A15920" s="1">
        <v>5.0</v>
      </c>
      <c r="B15920" s="1" t="s">
        <v>15655</v>
      </c>
      <c r="C15920" t="str">
        <f>IFERROR(__xludf.DUMMYFUNCTION("GOOGLETRANSLATE(B15920, ""fr"", ""en"")"),"Comfort Quality is at the rendezvous, flexibility and lightness are assets. Regarding the size of the footwear 42 and given the reviews I took 42 2/3 and he should not have been greater good that my feet are wide ..")</f>
        <v>Comfort Quality is at the rendezvous, flexibility and lightness are assets. Regarding the size of the footwear 42 and given the reviews I took 42 2/3 and he should not have been greater good that my feet are wide ..</v>
      </c>
    </row>
    <row r="15921">
      <c r="A15921" s="1">
        <v>5.0</v>
      </c>
      <c r="B15921" s="1" t="s">
        <v>15656</v>
      </c>
      <c r="C15921" t="str">
        <f>IFERROR(__xludf.DUMMYFUNCTION("GOOGLETRANSLATE(B15921, ""fr"", ""en"")"),"Bottles Good bottles")</f>
        <v>Bottles Good bottles</v>
      </c>
    </row>
    <row r="15922">
      <c r="A15922" s="1">
        <v>5.0</v>
      </c>
      <c r="B15922" s="1" t="s">
        <v>15657</v>
      </c>
      <c r="C15922" t="str">
        <f>IFERROR(__xludf.DUMMYFUNCTION("GOOGLETRANSLATE(B15922, ""fr"", ""en"")"),"Very good material perfect socks for hiking")</f>
        <v>Very good material perfect socks for hiking</v>
      </c>
    </row>
    <row r="15923">
      <c r="A15923" s="1">
        <v>5.0</v>
      </c>
      <c r="B15923" s="1" t="s">
        <v>15658</v>
      </c>
      <c r="C15923" t="str">
        <f>IFERROR(__xludf.DUMMYFUNCTION("GOOGLETRANSLATE(B15923, ""fr"", ""en"")"),"article of the photo received very quickly and exactly as the picture size well ...")</f>
        <v>article of the photo received very quickly and exactly as the picture size well ...</v>
      </c>
    </row>
    <row r="15924">
      <c r="A15924" s="1">
        <v>5.0</v>
      </c>
      <c r="B15924" s="1" t="s">
        <v>15659</v>
      </c>
      <c r="C15924" t="str">
        <f>IFERROR(__xludf.DUMMYFUNCTION("GOOGLETRANSLATE(B15924, ""fr"", ""en"")"),"Canon PG 540 and XL 541 Perfect, I regularly order the cartridges for my Canon printer prixma 3550. Perfect nothing wrong, I always take the references 540 and 541 in XL, which ultimately is cheaper than normal cartridges. I recommend this product.")</f>
        <v>Canon PG 540 and XL 541 Perfect, I regularly order the cartridges for my Canon printer prixma 3550. Perfect nothing wrong, I always take the references 540 and 541 in XL, which ultimately is cheaper than normal cartridges. I recommend this product.</v>
      </c>
    </row>
    <row r="15925">
      <c r="A15925" s="1">
        <v>5.0</v>
      </c>
      <c r="B15925" s="1" t="s">
        <v>15660</v>
      </c>
      <c r="C15925" t="str">
        <f>IFERROR(__xludf.DUMMYFUNCTION("GOOGLETRANSLATE(B15925, ""fr"", ""en"")"),"Excellent value for money Set of brushes for good quality shoes for a very low price. However suede brush is a little small. They are delivered in a tidy solid cardboard box. The picture is consistent. Delivered quickly.")</f>
        <v>Excellent value for money Set of brushes for good quality shoes for a very low price. However suede brush is a little small. They are delivered in a tidy solid cardboard box. The picture is consistent. Delivered quickly.</v>
      </c>
    </row>
    <row r="15926">
      <c r="A15926" s="1">
        <v>5.0</v>
      </c>
      <c r="B15926" s="1" t="s">
        <v>15661</v>
      </c>
      <c r="C15926" t="str">
        <f>IFERROR(__xludf.DUMMYFUNCTION("GOOGLETRANSLATE(B15926, ""fr"", ""en"")"),"LARNMERN Work Shoes Men Nice shoes. Seem good. Makes a rather fine foot work shoes. Shipped quickly. total satisfaction.")</f>
        <v>LARNMERN Work Shoes Men Nice shoes. Seem good. Makes a rather fine foot work shoes. Shipped quickly. total satisfaction.</v>
      </c>
    </row>
    <row r="15927">
      <c r="A15927" s="1">
        <v>5.0</v>
      </c>
      <c r="B15927" s="1" t="s">
        <v>15662</v>
      </c>
      <c r="C15927" t="str">
        <f>IFERROR(__xludf.DUMMYFUNCTION("GOOGLETRANSLATE(B15927, ""fr"", ""en"")"),"The calculator schoolboys Very practical, solid and easy to use and more, it is solar. At the top for the price.")</f>
        <v>The calculator schoolboys Very practical, solid and easy to use and more, it is solar. At the top for the price.</v>
      </c>
    </row>
    <row r="15928">
      <c r="A15928" s="1">
        <v>2.0</v>
      </c>
      <c r="B15928" s="1" t="s">
        <v>15663</v>
      </c>
      <c r="C15928" t="str">
        <f>IFERROR(__xludf.DUMMYFUNCTION("GOOGLETRANSLATE(B15928, ""fr"", ""en"")"),"Does not match. The article does not fit the picture, the bag does not seem at all good actually. Leather is very fine and not at all distressed. I returned.")</f>
        <v>Does not match. The article does not fit the picture, the bag does not seem at all good actually. Leather is very fine and not at all distressed. I returned.</v>
      </c>
    </row>
    <row r="15929">
      <c r="A15929" s="1">
        <v>1.0</v>
      </c>
      <c r="B15929" s="1" t="s">
        <v>15664</v>
      </c>
      <c r="C15929" t="str">
        <f>IFERROR(__xludf.DUMMYFUNCTION("GOOGLETRANSLATE(B15929, ""fr"", ""en"")"),"Poor poor quality shoes. Barely two months and I've already worn. Including a hole in the sole ... avoided.")</f>
        <v>Poor poor quality shoes. Barely two months and I've already worn. Including a hole in the sole ... avoided.</v>
      </c>
    </row>
    <row r="15930">
      <c r="A15930" s="1">
        <v>3.0</v>
      </c>
      <c r="B15930" s="1" t="s">
        <v>15665</v>
      </c>
      <c r="C15930" t="str">
        <f>IFERROR(__xludf.DUMMYFUNCTION("GOOGLETRANSLATE(B15930, ""fr"", ""en"")"),"Average but works way too noisy moyennent fast but gets the job done")</f>
        <v>Average but works way too noisy moyennent fast but gets the job done</v>
      </c>
    </row>
    <row r="15931">
      <c r="A15931" s="1">
        <v>3.0</v>
      </c>
      <c r="B15931" s="1" t="s">
        <v>15666</v>
      </c>
      <c r="C15931" t="str">
        <f>IFERROR(__xludf.DUMMYFUNCTION("GOOGLETRANSLATE(B15931, ""fr"", ""en"")"),"Jolie shows for its price. No end up at the back of the watch ""metal burr.""")</f>
        <v>Jolie shows for its price. No end up at the back of the watch "metal burr."</v>
      </c>
    </row>
    <row r="15932">
      <c r="A15932" s="1">
        <v>4.0</v>
      </c>
      <c r="B15932" s="1" t="s">
        <v>15667</v>
      </c>
      <c r="C15932" t="str">
        <f>IFERROR(__xludf.DUMMYFUNCTION("GOOGLETRANSLATE(B15932, ""fr"", ""en"")"),"Shopping Product I find this product at Amazon, that's why I took it home. The product was recommended to me by the former owner I had not seen that it comes with 2 bottles. Now I have my stock for the year.")</f>
        <v>Shopping Product I find this product at Amazon, that's why I took it home. The product was recommended to me by the former owner I had not seen that it comes with 2 bottles. Now I have my stock for the year.</v>
      </c>
    </row>
    <row r="15933">
      <c r="A15933" s="1">
        <v>4.0</v>
      </c>
      <c r="B15933" s="1" t="s">
        <v>15668</v>
      </c>
      <c r="C15933" t="str">
        <f>IFERROR(__xludf.DUMMYFUNCTION("GOOGLETRANSLATE(B15933, ""fr"", ""en"")"),"good product for cold environments / wet + Perfect for large cold / rain / snow Isole hot well water shoes - irritated legs after several hours of walking")</f>
        <v>good product for cold environments / wet + Perfect for large cold / rain / snow Isole hot well water shoes - irritated legs after several hours of walking</v>
      </c>
    </row>
    <row r="15934">
      <c r="A15934" s="1">
        <v>4.0</v>
      </c>
      <c r="B15934" s="1" t="s">
        <v>15669</v>
      </c>
      <c r="C15934" t="str">
        <f>IFERROR(__xludf.DUMMYFUNCTION("GOOGLETRANSLATE(B15934, ""fr"", ""en"")"),"The length. The item is too small. I wanted a long jumper. Too bad because it is very beautiful. I'll go back and order another one.")</f>
        <v>The length. The item is too small. I wanted a long jumper. Too bad because it is very beautiful. I'll go back and order another one.</v>
      </c>
    </row>
    <row r="15935">
      <c r="A15935" s="1">
        <v>4.0</v>
      </c>
      <c r="B15935" s="1" t="s">
        <v>15670</v>
      </c>
      <c r="C15935" t="str">
        <f>IFERROR(__xludf.DUMMYFUNCTION("GOOGLETRANSLATE(B15935, ""fr"", ""en"")"),"Nickel Used in safety shoes, nickel")</f>
        <v>Nickel Used in safety shoes, nickel</v>
      </c>
    </row>
    <row r="15936">
      <c r="A15936" s="1">
        <v>5.0</v>
      </c>
      <c r="B15936" s="1" t="s">
        <v>15671</v>
      </c>
      <c r="C15936" t="str">
        <f>IFERROR(__xludf.DUMMYFUNCTION("GOOGLETRANSLATE(B15936, ""fr"", ""en"")"),"casio watch This watch is very convenient I go everywhere with it is light that's what I needed and I got")</f>
        <v>casio watch This watch is very convenient I go everywhere with it is light that's what I needed and I got</v>
      </c>
    </row>
    <row r="15937">
      <c r="A15937" s="1">
        <v>5.0</v>
      </c>
      <c r="B15937" s="1" t="s">
        <v>15672</v>
      </c>
      <c r="C15937" t="str">
        <f>IFERROR(__xludf.DUMMYFUNCTION("GOOGLETRANSLATE(B15937, ""fr"", ""en"")"),"Sneakers cool sneakers cool for the summer I may be ordered in a different color")</f>
        <v>Sneakers cool sneakers cool for the summer I may be ordered in a different color</v>
      </c>
    </row>
    <row r="15938">
      <c r="A15938" s="1">
        <v>5.0</v>
      </c>
      <c r="B15938" s="1" t="s">
        <v>15673</v>
      </c>
      <c r="C15938" t="str">
        <f>IFERROR(__xludf.DUMMYFUNCTION("GOOGLETRANSLATE(B15938, ""fr"", ""en"")"),"Super Our little girl was thrilled by receiving this gift supplements!")</f>
        <v>Super Our little girl was thrilled by receiving this gift supplements!</v>
      </c>
    </row>
    <row r="15939">
      <c r="A15939" s="1">
        <v>5.0</v>
      </c>
      <c r="B15939" s="1" t="s">
        <v>15674</v>
      </c>
      <c r="C15939" t="str">
        <f>IFERROR(__xludf.DUMMYFUNCTION("GOOGLETRANSLATE(B15939, ""fr"", ""en"")"),"Frankly I love small size Very nice finishing very beautiful item")</f>
        <v>Frankly I love small size Very nice finishing very beautiful item</v>
      </c>
    </row>
    <row r="15940">
      <c r="A15940" s="1">
        <v>5.0</v>
      </c>
      <c r="B15940" s="1" t="s">
        <v>15675</v>
      </c>
      <c r="C15940" t="str">
        <f>IFERROR(__xludf.DUMMYFUNCTION("GOOGLETRANSLATE(B15940, ""fr"", ""en"")"),"A saved my coffee! After 4 years of faithful service, my coffee is put to flee. ! Disassembly quickly found the culprit: a hard split seal! This gasket fits perfectly with the coffee pot and allowed a rapid return to service. € 3 to save coffee worth € 10"&amp;"0 ... Thank you! I recommend.")</f>
        <v>A saved my coffee! After 4 years of faithful service, my coffee is put to flee. ! Disassembly quickly found the culprit: a hard split seal! This gasket fits perfectly with the coffee pot and allowed a rapid return to service. € 3 to save coffee worth € 100 ... Thank you! I recommend.</v>
      </c>
    </row>
    <row r="15941">
      <c r="A15941" s="1">
        <v>5.0</v>
      </c>
      <c r="B15941" s="1" t="s">
        <v>15676</v>
      </c>
      <c r="C15941" t="str">
        <f>IFERROR(__xludf.DUMMYFUNCTION("GOOGLETRANSLATE(B15941, ""fr"", ""en"")"),"Great I offered a small I hold and which is returning to school. This is on top for her coloring.")</f>
        <v>Great I offered a small I hold and which is returning to school. This is on top for her coloring.</v>
      </c>
    </row>
    <row r="15942">
      <c r="A15942" s="1">
        <v>5.0</v>
      </c>
      <c r="B15942" s="1" t="s">
        <v>15677</v>
      </c>
      <c r="C15942" t="str">
        <f>IFERROR(__xludf.DUMMYFUNCTION("GOOGLETRANSLATE(B15942, ""fr"", ""en"")"),"Super Very comfortable excellent quality super beautiful excellent price")</f>
        <v>Super Very comfortable excellent quality super beautiful excellent price</v>
      </c>
    </row>
    <row r="15943">
      <c r="A15943" s="1">
        <v>5.0</v>
      </c>
      <c r="B15943" s="1" t="s">
        <v>15678</v>
      </c>
      <c r="C15943" t="str">
        <f>IFERROR(__xludf.DUMMYFUNCTION("GOOGLETRANSLATE(B15943, ""fr"", ""en"")"),"A rock! As always the G-shock holding up well. Chosen for his vibrating alarm clock I'm very happy. Resistance to all races, the bracelet In the glass. I recommend, after years of land she has nothing.")</f>
        <v>A rock! As always the G-shock holding up well. Chosen for his vibrating alarm clock I'm very happy. Resistance to all races, the bracelet In the glass. I recommend, after years of land she has nothing.</v>
      </c>
    </row>
    <row r="15944">
      <c r="A15944" s="1">
        <v>5.0</v>
      </c>
      <c r="B15944" s="1" t="s">
        <v>15679</v>
      </c>
      <c r="C15944" t="str">
        <f>IFERROR(__xludf.DUMMYFUNCTION("GOOGLETRANSLATE(B15944, ""fr"", ""en"")"),"Delivered impeccable time and full time and corresponds to the description, the material is not as flexible as the silicone Sunnto anyway. Supplied with the tool change.")</f>
        <v>Delivered impeccable time and full time and corresponds to the description, the material is not as flexible as the silicone Sunnto anyway. Supplied with the tool change.</v>
      </c>
    </row>
    <row r="15945">
      <c r="A15945" s="1">
        <v>5.0</v>
      </c>
      <c r="B15945" s="1" t="s">
        <v>15680</v>
      </c>
      <c r="C15945" t="str">
        <f>IFERROR(__xludf.DUMMYFUNCTION("GOOGLETRANSLATE(B15945, ""fr"", ""en"")"),"Very practical Practical and design, purchase I do not regret. I can do everything dry above: pacifiers, bottle, appliance pulls milk. I recommend")</f>
        <v>Very practical Practical and design, purchase I do not regret. I can do everything dry above: pacifiers, bottle, appliance pulls milk. I recommend</v>
      </c>
    </row>
    <row r="15946">
      <c r="A15946" s="1">
        <v>5.0</v>
      </c>
      <c r="B15946" s="1" t="s">
        <v>15681</v>
      </c>
      <c r="C15946" t="str">
        <f>IFERROR(__xludf.DUMMYFUNCTION("GOOGLETRANSLATE(B15946, ""fr"", ""en"")"),"My old super Tefal dropped me (it was leaking), so I've replaced by one, smaller, but it's not so bad, we finally need pretty much always the same amount of water to make 2 cups of tea! Nice design. Maybe a little less stable and robust than my old Tefal "&amp;"... To see the time.")</f>
        <v>My old super Tefal dropped me (it was leaking), so I've replaced by one, smaller, but it's not so bad, we finally need pretty much always the same amount of water to make 2 cups of tea! Nice design. Maybe a little less stable and robust than my old Tefal ... To see the time.</v>
      </c>
    </row>
    <row r="15947">
      <c r="A15947" s="1">
        <v>5.0</v>
      </c>
      <c r="B15947" s="1" t="s">
        <v>15682</v>
      </c>
      <c r="C15947" t="str">
        <f>IFERROR(__xludf.DUMMYFUNCTION("GOOGLETRANSLATE(B15947, ""fr"", ""en"")"),"Light solid and very good sound solid, light and very good sound")</f>
        <v>Light solid and very good sound solid, light and very good sound</v>
      </c>
    </row>
    <row r="15948">
      <c r="A15948" s="1">
        <v>5.0</v>
      </c>
      <c r="B15948" s="1" t="s">
        <v>15683</v>
      </c>
      <c r="C15948" t="str">
        <f>IFERROR(__xludf.DUMMYFUNCTION("GOOGLETRANSLATE(B15948, ""fr"", ""en"")"),"True timberland C is a true")</f>
        <v>True timberland C is a true</v>
      </c>
    </row>
    <row r="15949">
      <c r="A15949" s="1">
        <v>5.0</v>
      </c>
      <c r="B15949" s="1" t="s">
        <v>15684</v>
      </c>
      <c r="C15949" t="str">
        <f>IFERROR(__xludf.DUMMYFUNCTION("GOOGLETRANSLATE(B15949, ""fr"", ""en"")"),"Okay Easy to put on and remove. No complaints")</f>
        <v>Okay Easy to put on and remove. No complaints</v>
      </c>
    </row>
    <row r="15950">
      <c r="A15950" s="1">
        <v>5.0</v>
      </c>
      <c r="B15950" s="1" t="s">
        <v>15685</v>
      </c>
      <c r="C15950" t="str">
        <f>IFERROR(__xludf.DUMMYFUNCTION("GOOGLETRANSLATE(B15950, ""fr"", ""en"")"),"Recommended Comfortable, lightweight. Color Jolie.")</f>
        <v>Recommended Comfortable, lightweight. Color Jolie.</v>
      </c>
    </row>
    <row r="15951">
      <c r="A15951" s="1">
        <v>2.0</v>
      </c>
      <c r="B15951" s="1" t="s">
        <v>15686</v>
      </c>
      <c r="C15951" t="str">
        <f>IFERROR(__xludf.DUMMYFUNCTION("GOOGLETRANSLATE(B15951, ""fr"", ""en"")"),"Application for Refund It looks good, I received it quickly but unfortunately I have to return it. It blew my breaker, I did not even use it once. C is a shame because I was in need")</f>
        <v>Application for Refund It looks good, I received it quickly but unfortunately I have to return it. It blew my breaker, I did not even use it once. C is a shame because I was in need</v>
      </c>
    </row>
    <row r="15952">
      <c r="A15952" s="1">
        <v>1.0</v>
      </c>
      <c r="B15952" s="1" t="s">
        <v>15687</v>
      </c>
      <c r="C15952" t="str">
        <f>IFERROR(__xludf.DUMMYFUNCTION("GOOGLETRANSLATE(B15952, ""fr"", ""en"")"),"What a disappointment Laundry washing and immediately received what a disappointment in cleanliness and odors I do not understand the positive reviews !!!! ¡! weird")</f>
        <v>What a disappointment Laundry washing and immediately received what a disappointment in cleanliness and odors I do not understand the positive reviews !!!! ¡! weird</v>
      </c>
    </row>
    <row r="15953">
      <c r="A15953" s="1">
        <v>1.0</v>
      </c>
      <c r="B15953" s="1" t="s">
        <v>15688</v>
      </c>
      <c r="C15953" t="str">
        <f>IFERROR(__xludf.DUMMYFUNCTION("GOOGLETRANSLATE(B15953, ""fr"", ""en"")"),"not the right color (not like the picture) he says that he is gray white and it is all a small can of gray")</f>
        <v>not the right color (not like the picture) he says that he is gray white and it is all a small can of gray</v>
      </c>
    </row>
    <row r="15954">
      <c r="A15954" s="1">
        <v>3.0</v>
      </c>
      <c r="B15954" s="1" t="s">
        <v>15689</v>
      </c>
      <c r="C15954" t="str">
        <f>IFERROR(__xludf.DUMMYFUNCTION("GOOGLETRANSLATE(B15954, ""fr"", ""en"")"),"Jogging Not quite slim")</f>
        <v>Jogging Not quite slim</v>
      </c>
    </row>
    <row r="15955">
      <c r="A15955" s="1">
        <v>3.0</v>
      </c>
      <c r="B15955" s="1" t="s">
        <v>15690</v>
      </c>
      <c r="C15955" t="str">
        <f>IFERROR(__xludf.DUMMYFUNCTION("GOOGLETRANSLATE(B15955, ""fr"", ""en"")"),"bcp size small size smaller than other such products, return and refund to buy a because textiles is really good")</f>
        <v>bcp size small size smaller than other such products, return and refund to buy a because textiles is really good</v>
      </c>
    </row>
    <row r="15956">
      <c r="A15956" s="1">
        <v>4.0</v>
      </c>
      <c r="B15956" s="1" t="s">
        <v>15691</v>
      </c>
      <c r="C15956" t="str">
        <f>IFERROR(__xludf.DUMMYFUNCTION("GOOGLETRANSLATE(B15956, ""fr"", ""en"")"),"Take your usual size FYI take your exact size I made the 38 and I took the 38.5 Knowing how its not too taillerais Endpoi shoes a little big")</f>
        <v>Take your usual size FYI take your exact size I made the 38 and I took the 38.5 Knowing how its not too taillerais Endpoi shoes a little big</v>
      </c>
    </row>
    <row r="15957">
      <c r="A15957" s="1">
        <v>4.0</v>
      </c>
      <c r="B15957" s="1" t="s">
        <v>15692</v>
      </c>
      <c r="C15957" t="str">
        <f>IFERROR(__xludf.DUMMYFUNCTION("GOOGLETRANSLATE(B15957, ""fr"", ""en"")"),"Okay, pay attention to size very well, pay attention to size")</f>
        <v>Okay, pay attention to size very well, pay attention to size</v>
      </c>
    </row>
    <row r="15958">
      <c r="A15958" s="1">
        <v>4.0</v>
      </c>
      <c r="B15958" s="1" t="s">
        <v>15693</v>
      </c>
      <c r="C15958" t="str">
        <f>IFERROR(__xludf.DUMMYFUNCTION("GOOGLETRANSLATE(B15958, ""fr"", ""en"")"),"Good product good product ... but too small for a iQ5 zoom ... I order a second to sew them and it should be fine!")</f>
        <v>Good product good product ... but too small for a iQ5 zoom ... I order a second to sew them and it should be fine!</v>
      </c>
    </row>
    <row r="15959">
      <c r="A15959" s="1">
        <v>4.0</v>
      </c>
      <c r="B15959" s="1" t="s">
        <v>15694</v>
      </c>
      <c r="C15959" t="str">
        <f>IFERROR(__xludf.DUMMYFUNCTION("GOOGLETRANSLATE(B15959, ""fr"", ""en"")"),"The size I am disappointed that you order Chinese and see your margin. Otherwise it's a nice product")</f>
        <v>The size I am disappointed that you order Chinese and see your margin. Otherwise it's a nice product</v>
      </c>
    </row>
    <row r="15960">
      <c r="A15960" s="1">
        <v>5.0</v>
      </c>
      <c r="B15960" s="1" t="s">
        <v>15695</v>
      </c>
      <c r="C15960" t="str">
        <f>IFERROR(__xludf.DUMMYFUNCTION("GOOGLETRANSLATE(B15960, ""fr"", ""en"")"),"I was not particularly disappointed as I love, I ordered a size bigger so that the opacity / tear is not a problem ... I already bought four colors and I probably would buy more in the future. The leggings are usually my enemy as a woman thicker ... I wou"&amp;"ld say I would aim below the similar shades darker to lighter colors because they become Sheer lil while squatting / leaning over")</f>
        <v>I was not particularly disappointed as I love, I ordered a size bigger so that the opacity / tear is not a problem ... I already bought four colors and I probably would buy more in the future. The leggings are usually my enemy as a woman thicker ... I would say I would aim below the similar shades darker to lighter colors because they become Sheer lil while squatting / leaning over</v>
      </c>
    </row>
    <row r="15961">
      <c r="A15961" s="1">
        <v>5.0</v>
      </c>
      <c r="B15961" s="1" t="s">
        <v>15696</v>
      </c>
      <c r="C15961" t="str">
        <f>IFERROR(__xludf.DUMMYFUNCTION("GOOGLETRANSLATE(B15961, ""fr"", ""en"")"),"Very good quality Uses only in mountain hiking")</f>
        <v>Very good quality Uses only in mountain hiking</v>
      </c>
    </row>
    <row r="15962">
      <c r="A15962" s="1">
        <v>5.0</v>
      </c>
      <c r="B15962" s="1" t="s">
        <v>15697</v>
      </c>
      <c r="C15962" t="str">
        <f>IFERROR(__xludf.DUMMYFUNCTION("GOOGLETRANSLATE(B15962, ""fr"", ""en"")"),"Tasty product product in line with the very pretty picture")</f>
        <v>Tasty product product in line with the very pretty picture</v>
      </c>
    </row>
    <row r="15963">
      <c r="A15963" s="1">
        <v>5.0</v>
      </c>
      <c r="B15963" s="1" t="s">
        <v>15698</v>
      </c>
      <c r="C15963" t="str">
        <f>IFERROR(__xludf.DUMMYFUNCTION("GOOGLETRANSLATE(B15963, ""fr"", ""en"")"),"Okay Super 👍🏻 need to do my shoelace. by cons read instructions if you use it wrong. I found myself too tight, but after checking the manual there are several ways to put so read before use")</f>
        <v>Okay Super 👍🏻 need to do my shoelace. by cons read instructions if you use it wrong. I found myself too tight, but after checking the manual there are several ways to put so read before use</v>
      </c>
    </row>
    <row r="15964">
      <c r="A15964" s="1">
        <v>5.0</v>
      </c>
      <c r="B15964" s="1" t="s">
        <v>15699</v>
      </c>
      <c r="C15964" t="str">
        <f>IFERROR(__xludf.DUMMYFUNCTION("GOOGLETRANSLATE(B15964, ""fr"", ""en"")"),"Maximum comfort for a reasonable price. At that price, no need to deprive yourself. Quality finish and serious material. impeccable comfort. I'm in recovery and I walk with all day without pain or hard points. Aeration is good. For style, each his view, i"&amp;"n any case, I rather like the shape and overall style. From my point of view, they have nothing to envy to three times more expensive shoes. Maybe a hair wide but I took a size above. I recommend this article.")</f>
        <v>Maximum comfort for a reasonable price. At that price, no need to deprive yourself. Quality finish and serious material. impeccable comfort. I'm in recovery and I walk with all day without pain or hard points. Aeration is good. For style, each his view, in any case, I rather like the shape and overall style. From my point of view, they have nothing to envy to three times more expensive shoes. Maybe a hair wide but I took a size above. I recommend this article.</v>
      </c>
    </row>
    <row r="15965">
      <c r="A15965" s="1">
        <v>5.0</v>
      </c>
      <c r="B15965" s="1" t="s">
        <v>15700</v>
      </c>
      <c r="C15965" t="str">
        <f>IFERROR(__xludf.DUMMYFUNCTION("GOOGLETRANSLATE(B15965, ""fr"", ""en"")"),"Nickel thank you")</f>
        <v>Nickel thank you</v>
      </c>
    </row>
    <row r="15966">
      <c r="A15966" s="1">
        <v>5.0</v>
      </c>
      <c r="B15966" s="1" t="s">
        <v>15701</v>
      </c>
      <c r="C15966" t="str">
        <f>IFERROR(__xludf.DUMMYFUNCTION("GOOGLETRANSLATE(B15966, ""fr"", ""en"")"),"Very nice product very happy with my purchase ... they are very nice and comfortable. She just size no surprise and make a lovely walk .. Frankly for the price it's worth it")</f>
        <v>Very nice product very happy with my purchase ... they are very nice and comfortable. She just size no surprise and make a lovely walk .. Frankly for the price it's worth it</v>
      </c>
    </row>
    <row r="15967">
      <c r="A15967" s="1">
        <v>5.0</v>
      </c>
      <c r="B15967" s="1" t="s">
        <v>15702</v>
      </c>
      <c r="C15967" t="str">
        <f>IFERROR(__xludf.DUMMYFUNCTION("GOOGLETRANSLATE(B15967, ""fr"", ""en"")"),"Wow! I have not purchased the item on Amazon, but directly from the seller Songmics. I just share my first impressions of this chair. I was to tour all the seats available in reasonable prices on the websites and it was a heart shot. Measuring 1m94 and we"&amp;"ighing over 100 kilograms, I was looking for something sturdy and with this chair, you are served, materials are very good, if I compare with my old chair that I bought a lot more than celui- one in a shop which I do not cite the name, it ends with ""rama"&amp;""" if you really want to know. What made my choice fell on this chair are the many comments on the sites Amazon uk, de, es, fr it, and this product. The highlights for me - an issue that is high enough, as I said, I measure 1m94 and I get to ask the middl"&amp;"e of my head over so it's a big strong point of having a record also imposing when one is large - the armrests are positioned really high and I can suddenly write you at this time and move my mouse having arms on the armrests - armrests always able to put"&amp;" the chair under the desk in back armrests is very convenient to save space when you live in a small studio like me - the quality of the packaging of the wheelchair in the box - two wheels, screws and screw caps and more if you hesitate, I guarantee you w"&amp;"ill not be disappointed! If this chair was to be sold in stores, it would double its current price. As for installation, I did it myself in 25 minutes. Yes, two is more convenient to take the case when you have to screw the armrests, but if one is resourc"&amp;"eful, only, you get there.")</f>
        <v>Wow! I have not purchased the item on Amazon, but directly from the seller Songmics. I just share my first impressions of this chair. I was to tour all the seats available in reasonable prices on the websites and it was a heart shot. Measuring 1m94 and weighing over 100 kilograms, I was looking for something sturdy and with this chair, you are served, materials are very good, if I compare with my old chair that I bought a lot more than celui- one in a shop which I do not cite the name, it ends with "rama" if you really want to know. What made my choice fell on this chair are the many comments on the sites Amazon uk, de, es, fr it, and this product. The highlights for me - an issue that is high enough, as I said, I measure 1m94 and I get to ask the middle of my head over so it's a big strong point of having a record also imposing when one is large - the armrests are positioned really high and I can suddenly write you at this time and move my mouse having arms on the armrests - armrests always able to put the chair under the desk in back armrests is very convenient to save space when you live in a small studio like me - the quality of the packaging of the wheelchair in the box - two wheels, screws and screw caps and more if you hesitate, I guarantee you will not be disappointed! If this chair was to be sold in stores, it would double its current price. As for installation, I did it myself in 25 minutes. Yes, two is more convenient to take the case when you have to screw the armrests, but if one is resourceful, only, you get there.</v>
      </c>
    </row>
    <row r="15968">
      <c r="A15968" s="1">
        <v>5.0</v>
      </c>
      <c r="B15968" s="1" t="s">
        <v>15703</v>
      </c>
      <c r="C15968" t="str">
        <f>IFERROR(__xludf.DUMMYFUNCTION("GOOGLETRANSLATE(B15968, ""fr"", ""en"")"),"well Comfortable, lightweight immediate effect pampering! Three heat levels available (1 and 2 are sufficient) heats quickly and comfortably without burning. a purchase so popular that I offered my daughter! Very satisfied. Sending ultra fast, friendly se"&amp;"ller.")</f>
        <v>well Comfortable, lightweight immediate effect pampering! Three heat levels available (1 and 2 are sufficient) heats quickly and comfortably without burning. a purchase so popular that I offered my daughter! Very satisfied. Sending ultra fast, friendly seller.</v>
      </c>
    </row>
    <row r="15969">
      <c r="A15969" s="1">
        <v>5.0</v>
      </c>
      <c r="B15969" s="1" t="s">
        <v>15704</v>
      </c>
      <c r="C15969" t="str">
        <f>IFERROR(__xludf.DUMMYFUNCTION("GOOGLETRANSLATE(B15969, ""fr"", ""en"")"),"Done very well brush job very convenient because of its size, it really helps to wash bottles. I also appreciate the fact that the brush itself is easy to wash hair with wide plastic (this is not the case for all). I further note that this product is stro"&amp;"ng, because in 3 years of use I had to change it once. I recommend this article completely.")</f>
        <v>Done very well brush job very convenient because of its size, it really helps to wash bottles. I also appreciate the fact that the brush itself is easy to wash hair with wide plastic (this is not the case for all). I further note that this product is strong, because in 3 years of use I had to change it once. I recommend this article completely.</v>
      </c>
    </row>
    <row r="15970">
      <c r="A15970" s="1">
        <v>5.0</v>
      </c>
      <c r="B15970" s="1" t="s">
        <v>15705</v>
      </c>
      <c r="C15970" t="str">
        <f>IFERROR(__xludf.DUMMYFUNCTION("GOOGLETRANSLATE(B15970, ""fr"", ""en"")"),"Very comfortable sports shoes for walking.")</f>
        <v>Very comfortable sports shoes for walking.</v>
      </c>
    </row>
    <row r="15971">
      <c r="A15971" s="1">
        <v>5.0</v>
      </c>
      <c r="B15971" s="1" t="s">
        <v>15706</v>
      </c>
      <c r="C15971" t="str">
        <f>IFERROR(__xludf.DUMMYFUNCTION("GOOGLETRANSLATE(B15971, ""fr"", ""en"")"),"Super good product flush right size")</f>
        <v>Super good product flush right size</v>
      </c>
    </row>
    <row r="15972">
      <c r="A15972" s="1">
        <v>5.0</v>
      </c>
      <c r="B15972" s="1" t="s">
        <v>2854</v>
      </c>
      <c r="C15972" t="str">
        <f>IFERROR(__xludf.DUMMYFUNCTION("GOOGLETRANSLATE(B15972, ""fr"", ""en"")"),"Yes great product I love beloved")</f>
        <v>Yes great product I love beloved</v>
      </c>
    </row>
    <row r="15973">
      <c r="A15973" s="1">
        <v>5.0</v>
      </c>
      <c r="B15973" s="1" t="s">
        <v>15707</v>
      </c>
      <c r="C15973" t="str">
        <f>IFERROR(__xludf.DUMMYFUNCTION("GOOGLETRANSLATE(B15973, ""fr"", ""en"")"),"Immediate installation, perfect Mac support I needed a remote compatible with MacBook Pro 2011 for my presentations, which is reliable and easy to install. This model very well filled all these criteria with immediate use as soon as you insert the small U"&amp;"SB key provided in the remote. We then have access to all navigation commands (forward / backward / black screen / quit) PowerPoint and Keynote reliably (even several tens of meters of the MacBook) and hyper reactive. The pages of my presentations comes t"&amp;"ogether smoothly. The integrated laser pointer is a nice touch. Finally, it fits comfortably in the hand and is super quiet. I can not do without it !")</f>
        <v>Immediate installation, perfect Mac support I needed a remote compatible with MacBook Pro 2011 for my presentations, which is reliable and easy to install. This model very well filled all these criteria with immediate use as soon as you insert the small USB key provided in the remote. We then have access to all navigation commands (forward / backward / black screen / quit) PowerPoint and Keynote reliably (even several tens of meters of the MacBook) and hyper reactive. The pages of my presentations comes together smoothly. The integrated laser pointer is a nice touch. Finally, it fits comfortably in the hand and is super quiet. I can not do without it !</v>
      </c>
    </row>
    <row r="15974">
      <c r="A15974" s="1">
        <v>5.0</v>
      </c>
      <c r="B15974" s="1" t="s">
        <v>15708</v>
      </c>
      <c r="C15974" t="str">
        <f>IFERROR(__xludf.DUMMYFUNCTION("GOOGLETRANSLATE(B15974, ""fr"", ""en"")"),"I recommend these air purifiers and brand The Bellefée! This is my second order and, as before, everything is perfect! Starting today, I consider myself a loyal customer of the brand The Bellefée because the products are of excellent quality and shipments"&amp;" are very fast. The order was delivered in a big box well protected and packaged. These air purifiers are fabulous. These purifiers are available in two sizes (2 large and 4 small) perfect to be placed on any side. The format of the bags is very convenien"&amp;"t because they can be hung in the closet and left anywhere because they do not take place. The quality of the cloth bag is fabulous and the gray color is very pretty. The bag has a very soft touch (also perfect for a baby's room). Like all products of thi"&amp;"s brand, they are environmentally friendly and eco-friendly, this is evident as soon as you have the product in hand. In addition, the design of these bags is very elegant and perfectly adapts to any type of decoration (they even have a nice look in the c"&amp;"ar). These air purifiers have a pleasant smell and perfectly fulfill their function. They absorb immediately all humidities. They also absorb odors. I put them in cabinets, in the car and in the bathroom and action anti-moisture and absorbs odors was imme"&amp;"diate. I'm really glad these purifiers. I'm more and more attention to the composition of the products I use and I like that these purifiers its organic and natural composition with ingredients environmentally. I think the price / quality ratio is excelle"&amp;"nt. Compared to other stores, the brand's Bellefée offers the best quality at the best price !!!! I recommend these air purifiers and brand The Bellefée everyone because these are products that really feel very good and there is something for everyone.")</f>
        <v>I recommend these air purifiers and brand The Bellefée! This is my second order and, as before, everything is perfect! Starting today, I consider myself a loyal customer of the brand The Bellefée because the products are of excellent quality and shipments are very fast. The order was delivered in a big box well protected and packaged. These air purifiers are fabulous. These purifiers are available in two sizes (2 large and 4 small) perfect to be placed on any side. The format of the bags is very convenient because they can be hung in the closet and left anywhere because they do not take place. The quality of the cloth bag is fabulous and the gray color is very pretty. The bag has a very soft touch (also perfect for a baby's room). Like all products of this brand, they are environmentally friendly and eco-friendly, this is evident as soon as you have the product in hand. In addition, the design of these bags is very elegant and perfectly adapts to any type of decoration (they even have a nice look in the car). These air purifiers have a pleasant smell and perfectly fulfill their function. They absorb immediately all humidities. They also absorb odors. I put them in cabinets, in the car and in the bathroom and action anti-moisture and absorbs odors was immediate. I'm really glad these purifiers. I'm more and more attention to the composition of the products I use and I like that these purifiers its organic and natural composition with ingredients environmentally. I think the price / quality ratio is excellent. Compared to other stores, the brand's Bellefée offers the best quality at the best price !!!! I recommend these air purifiers and brand The Bellefée everyone because these are products that really feel very good and there is something for everyone.</v>
      </c>
    </row>
    <row r="15975">
      <c r="A15975" s="1">
        <v>2.0</v>
      </c>
      <c r="B15975" s="1" t="s">
        <v>15709</v>
      </c>
      <c r="C15975" t="str">
        <f>IFERROR(__xludf.DUMMYFUNCTION("GOOGLETRANSLATE(B15975, ""fr"", ""en"")"),"color problem! Picture that did not match the color has written ... I'm having forced return etc ... It takes time")</f>
        <v>color problem! Picture that did not match the color has written ... I'm having forced return etc ... It takes time</v>
      </c>
    </row>
    <row r="15976">
      <c r="A15976" s="1">
        <v>1.0</v>
      </c>
      <c r="B15976" s="1" t="s">
        <v>15710</v>
      </c>
      <c r="C15976" t="str">
        <f>IFERROR(__xludf.DUMMYFUNCTION("GOOGLETRANSLATE(B15976, ""fr"", ""en"")"),"Temperature fake does not work, random temperature changes from 40 to 37 to 10 seconds apart")</f>
        <v>Temperature fake does not work, random temperature changes from 40 to 37 to 10 seconds apart</v>
      </c>
    </row>
    <row r="15977">
      <c r="A15977" s="1">
        <v>1.0</v>
      </c>
      <c r="B15977" s="1" t="s">
        <v>15711</v>
      </c>
      <c r="C15977" t="str">
        <f>IFERROR(__xludf.DUMMYFUNCTION("GOOGLETRANSLATE(B15977, ""fr"", ""en"")"),"deceptive ad misleading advert. Not screw earrings, butterfly clasp but basic. Making fun of .")</f>
        <v>deceptive ad misleading advert. Not screw earrings, butterfly clasp but basic. Making fun of .</v>
      </c>
    </row>
    <row r="15978">
      <c r="A15978" s="1">
        <v>3.0</v>
      </c>
      <c r="B15978" s="1" t="s">
        <v>15712</v>
      </c>
      <c r="C15978" t="str">
        <f>IFERROR(__xludf.DUMMYFUNCTION("GOOGLETRANSLATE(B15978, ""fr"", ""en"")"),"perfect size small spot on one of the sleeves damage his truck breaks")</f>
        <v>perfect size small spot on one of the sleeves damage his truck breaks</v>
      </c>
    </row>
    <row r="15979">
      <c r="A15979" s="1">
        <v>4.0</v>
      </c>
      <c r="B15979" s="1" t="s">
        <v>15713</v>
      </c>
      <c r="C15979" t="str">
        <f>IFERROR(__xludf.DUMMYFUNCTION("GOOGLETRANSLATE(B15979, ""fr"", ""en"")"),"Lug 18mm but announced strap with width of 20mm Hello, The product meets my expectations. That's vintage as expected. Know that the rendering is different watches usually worn now. This CASIO is smaller. By cons, WARNING, if you plan to replace the bracel"&amp;"et by NATO or another, know that the Lug is 18mm. All bracelets for CASIO Collection are advertised with a width of 20mm except it's after Lug (+ 1mm on each side). I made I have commanded NATO 20mm and they are not going ...")</f>
        <v>Lug 18mm but announced strap with width of 20mm Hello, The product meets my expectations. That's vintage as expected. Know that the rendering is different watches usually worn now. This CASIO is smaller. By cons, WARNING, if you plan to replace the bracelet by NATO or another, know that the Lug is 18mm. All bracelets for CASIO Collection are advertised with a width of 20mm except it's after Lug (+ 1mm on each side). I made I have commanded NATO 20mm and they are not going ...</v>
      </c>
    </row>
    <row r="15980">
      <c r="A15980" s="1">
        <v>4.0</v>
      </c>
      <c r="B15980" s="1" t="s">
        <v>15714</v>
      </c>
      <c r="C15980" t="str">
        <f>IFERROR(__xludf.DUMMYFUNCTION("GOOGLETRANSLATE(B15980, ""fr"", ""en"")"),"good compromise this bracelet adapts well to the watch, by telling the plastic is a little stiff, but it is quite satisfactory")</f>
        <v>good compromise this bracelet adapts well to the watch, by telling the plastic is a little stiff, but it is quite satisfactory</v>
      </c>
    </row>
    <row r="15981">
      <c r="A15981" s="1">
        <v>4.0</v>
      </c>
      <c r="B15981" s="1" t="s">
        <v>15715</v>
      </c>
      <c r="C15981" t="str">
        <f>IFERROR(__xludf.DUMMYFUNCTION("GOOGLETRANSLATE(B15981, ""fr"", ""en"")"),"generally satisfied I did not see the pictures that this model had links (which I do not like at all), but other than that, the colors are beautiful and very comfortable.")</f>
        <v>generally satisfied I did not see the pictures that this model had links (which I do not like at all), but other than that, the colors are beautiful and very comfortable.</v>
      </c>
    </row>
    <row r="15982">
      <c r="A15982" s="1">
        <v>4.0</v>
      </c>
      <c r="B15982" s="1" t="s">
        <v>15716</v>
      </c>
      <c r="C15982" t="str">
        <f>IFERROR(__xludf.DUMMYFUNCTION("GOOGLETRANSLATE(B15982, ""fr"", ""en"")"),"Beware This case shows purchased to replace an identical model unfortunately does not exist with a metal housing. Hopefully the plastic housing will not break the bracelet level as the previous one. That's my only negative comment regarding this product.")</f>
        <v>Beware This case shows purchased to replace an identical model unfortunately does not exist with a metal housing. Hopefully the plastic housing will not break the bracelet level as the previous one. That's my only negative comment regarding this product.</v>
      </c>
    </row>
    <row r="15983">
      <c r="A15983" s="1">
        <v>5.0</v>
      </c>
      <c r="B15983" s="1" t="s">
        <v>15717</v>
      </c>
      <c r="C15983" t="str">
        <f>IFERROR(__xludf.DUMMYFUNCTION("GOOGLETRANSLATE(B15983, ""fr"", ""en"")"),"Beautiful well designed bag. This bag is very well made and very convenient. Particularly with its location on the front for storing smartphone whatever the size.")</f>
        <v>Beautiful well designed bag. This bag is very well made and very convenient. Particularly with its location on the front for storing smartphone whatever the size.</v>
      </c>
    </row>
    <row r="15984">
      <c r="A15984" s="1">
        <v>5.0</v>
      </c>
      <c r="B15984" s="1" t="s">
        <v>15718</v>
      </c>
      <c r="C15984" t="str">
        <f>IFERROR(__xludf.DUMMYFUNCTION("GOOGLETRANSLATE(B15984, ""fr"", ""en"")"),"Under armor Product Satisfaction")</f>
        <v>Under armor Product Satisfaction</v>
      </c>
    </row>
    <row r="15985">
      <c r="A15985" s="1">
        <v>5.0</v>
      </c>
      <c r="B15985" s="1" t="s">
        <v>15719</v>
      </c>
      <c r="C15985" t="str">
        <f>IFERROR(__xludf.DUMMYFUNCTION("GOOGLETRANSLATE(B15985, ""fr"", ""en"")"),"Glad I'm delighted with my purchase Delivered in one day I do a session with the electrodes and another leg.")</f>
        <v>Glad I'm delighted with my purchase Delivered in one day I do a session with the electrodes and another leg.</v>
      </c>
    </row>
    <row r="15986">
      <c r="A15986" s="1">
        <v>5.0</v>
      </c>
      <c r="B15986" s="1" t="s">
        <v>15720</v>
      </c>
      <c r="C15986" t="str">
        <f>IFERROR(__xludf.DUMMYFUNCTION("GOOGLETRANSLATE(B15986, ""fr"", ""en"")"),"I recommend good product Good product quality and reliable I recommend")</f>
        <v>I recommend good product Good product quality and reliable I recommend</v>
      </c>
    </row>
    <row r="15987">
      <c r="A15987" s="1">
        <v>5.0</v>
      </c>
      <c r="B15987" s="1" t="s">
        <v>15721</v>
      </c>
      <c r="C15987" t="str">
        <f>IFERROR(__xludf.DUMMYFUNCTION("GOOGLETRANSLATE(B15987, ""fr"", ""en"")"),"Superb lamp, consistent with the description This desk lamp is perfect for an office. It's bigger than I thought but it's not a problem. There are 5 color modes (very white, white, yellow, yellow, very yellow), and 7 light modes. The light is diffused (th"&amp;"rough its long head) it does not dazzle and forms a flared light. It also prevents the creation of shadows. Product bought 30 April 2019 to 29 € 99.")</f>
        <v>Superb lamp, consistent with the description This desk lamp is perfect for an office. It's bigger than I thought but it's not a problem. There are 5 color modes (very white, white, yellow, yellow, very yellow), and 7 light modes. The light is diffused (through its long head) it does not dazzle and forms a flared light. It also prevents the creation of shadows. Product bought 30 April 2019 to 29 € 99.</v>
      </c>
    </row>
    <row r="15988">
      <c r="A15988" s="1">
        <v>5.0</v>
      </c>
      <c r="B15988" s="1" t="s">
        <v>15722</v>
      </c>
      <c r="C15988" t="str">
        <f>IFERROR(__xludf.DUMMYFUNCTION("GOOGLETRANSLATE(B15988, ""fr"", ""en"")"),"Very nice I am delighted. They are very pretty, light and delivered in a beautiful setting. The rhinestones free inside the loop are the most beautiful effect. Thank you so much!")</f>
        <v>Very nice I am delighted. They are very pretty, light and delivered in a beautiful setting. The rhinestones free inside the loop are the most beautiful effect. Thank you so much!</v>
      </c>
    </row>
    <row r="15989">
      <c r="A15989" s="1">
        <v>5.0</v>
      </c>
      <c r="B15989" s="1" t="s">
        <v>15723</v>
      </c>
      <c r="C15989" t="str">
        <f>IFERROR(__xludf.DUMMYFUNCTION("GOOGLETRANSLATE(B15989, ""fr"", ""en"")"),"Excellent value for money, comfort bonus Top")</f>
        <v>Excellent value for money, comfort bonus Top</v>
      </c>
    </row>
    <row r="15990">
      <c r="A15990" s="1">
        <v>5.0</v>
      </c>
      <c r="B15990" s="1" t="s">
        <v>15724</v>
      </c>
      <c r="C15990" t="str">
        <f>IFERROR(__xludf.DUMMYFUNCTION("GOOGLETRANSLATE(B15990, ""fr"", ""en"")"),"SUPER VALUE FOR MONEY At the top nothing to say: it rotates to clean more easily and the small brush to the nipple is very convenient for optimal hygiene :-) I use several times a day and it seems to take the shock - ) to the value for money I would defin"&amp;"itely recommend .. .j'espère have you been useful ;-)")</f>
        <v>SUPER VALUE FOR MONEY At the top nothing to say: it rotates to clean more easily and the small brush to the nipple is very convenient for optimal hygiene :-) I use several times a day and it seems to take the shock - ) to the value for money I would definitely recommend .. .j'espère have you been useful ;-)</v>
      </c>
    </row>
    <row r="15991">
      <c r="A15991" s="1">
        <v>5.0</v>
      </c>
      <c r="B15991" s="1" t="s">
        <v>15725</v>
      </c>
      <c r="C15991" t="str">
        <f>IFERROR(__xludf.DUMMYFUNCTION("GOOGLETRANSLATE(B15991, ""fr"", ""en"")"),"Complete kit handy Perfect for starting see, nipples its really a plus. I highly recommend this kit for full")</f>
        <v>Complete kit handy Perfect for starting see, nipples its really a plus. I highly recommend this kit for full</v>
      </c>
    </row>
    <row r="15992">
      <c r="A15992" s="1">
        <v>5.0</v>
      </c>
      <c r="B15992" s="1" t="s">
        <v>15726</v>
      </c>
      <c r="C15992" t="str">
        <f>IFERROR(__xludf.DUMMYFUNCTION("GOOGLETRANSLATE(B15992, ""fr"", ""en"")"),"A nice surprise This is not like the picture: - It is shorter (I am 1.68 and I sometimes 5 cm below the waist in front, behind virtually covers my ass) - The sleeves are 3/4 batwing sleeves - the color tends toward purple, a beautiful red / purple I would"&amp;" say. Ultimately it is ... much better than the picture. The quality of fabric, shape, everything is much better.")</f>
        <v>A nice surprise This is not like the picture: - It is shorter (I am 1.68 and I sometimes 5 cm below the waist in front, behind virtually covers my ass) - The sleeves are 3/4 batwing sleeves - the color tends toward purple, a beautiful red / purple I would say. Ultimately it is ... much better than the picture. The quality of fabric, shape, everything is much better.</v>
      </c>
    </row>
    <row r="15993">
      <c r="A15993" s="1">
        <v>5.0</v>
      </c>
      <c r="B15993" s="1" t="s">
        <v>15727</v>
      </c>
      <c r="C15993" t="str">
        <f>IFERROR(__xludf.DUMMYFUNCTION("GOOGLETRANSLATE(B15993, ""fr"", ""en"")"),"Perfect Helmet incredibly well")</f>
        <v>Perfect Helmet incredibly well</v>
      </c>
    </row>
    <row r="15994">
      <c r="A15994" s="1">
        <v>5.0</v>
      </c>
      <c r="B15994" s="1" t="s">
        <v>15728</v>
      </c>
      <c r="C15994" t="str">
        <f>IFERROR(__xludf.DUMMYFUNCTION("GOOGLETRANSLATE(B15994, ""fr"", ""en"")"),"very good very good sock, I recommend and certainly recommend. It is thick and yours well in time.")</f>
        <v>very good very good sock, I recommend and certainly recommend. It is thick and yours well in time.</v>
      </c>
    </row>
    <row r="15995">
      <c r="A15995" s="1">
        <v>5.0</v>
      </c>
      <c r="B15995" s="1" t="s">
        <v>15729</v>
      </c>
      <c r="C15995" t="str">
        <f>IFERROR(__xludf.DUMMYFUNCTION("GOOGLETRANSLATE(B15995, ""fr"", ""en"")"),"ultra comfortable soles. For city use purchased shoes for work because I'm still standing stomping. Soles very very comfortable! Ideales in town but do not expect to make the hike with the flexibility of the sole does paz allows a good foot")</f>
        <v>ultra comfortable soles. For city use purchased shoes for work because I'm still standing stomping. Soles very very comfortable! Ideales in town but do not expect to make the hike with the flexibility of the sole does paz allows a good foot</v>
      </c>
    </row>
    <row r="15996">
      <c r="A15996" s="1">
        <v>5.0</v>
      </c>
      <c r="B15996" s="1" t="s">
        <v>15730</v>
      </c>
      <c r="C15996" t="str">
        <f>IFERROR(__xludf.DUMMYFUNCTION("GOOGLETRANSLATE(B15996, ""fr"", ""en"")"),"nuk after having done all the bottles of creation, the nuk remains by far the best for me! Just teins their plastic type latex did not like it at all and baby either ... while silicone nuk teats are great! size 1, 2 or 3, nipple physio I adore! I recommen"&amp;"d, and easy to wash!")</f>
        <v>nuk after having done all the bottles of creation, the nuk remains by far the best for me! Just teins their plastic type latex did not like it at all and baby either ... while silicone nuk teats are great! size 1, 2 or 3, nipple physio I adore! I recommend, and easy to wash!</v>
      </c>
    </row>
    <row r="15997">
      <c r="A15997" s="1">
        <v>5.0</v>
      </c>
      <c r="B15997" s="1" t="s">
        <v>15731</v>
      </c>
      <c r="C15997" t="str">
        <f>IFERROR(__xludf.DUMMYFUNCTION("GOOGLETRANSLATE(B15997, ""fr"", ""en"")"),"thick and bright color corresponds perfectly to the description. Quick delivery. Nickel")</f>
        <v>thick and bright color corresponds perfectly to the description. Quick delivery. Nickel</v>
      </c>
    </row>
    <row r="15998">
      <c r="A15998" s="1">
        <v>2.0</v>
      </c>
      <c r="B15998" s="1" t="s">
        <v>15732</v>
      </c>
      <c r="C15998" t="str">
        <f>IFERROR(__xludf.DUMMYFUNCTION("GOOGLETRANSLATE(B15998, ""fr"", ""en"")"),"The minimum blah, times listed do not match, so the guesswork ... There is also no light so we must think about the disconnect.")</f>
        <v>The minimum blah, times listed do not match, so the guesswork ... There is also no light so we must think about the disconnect.</v>
      </c>
    </row>
    <row r="15999">
      <c r="A15999" s="1">
        <v>1.0</v>
      </c>
      <c r="B15999" s="1" t="s">
        <v>15733</v>
      </c>
      <c r="C15999" t="str">
        <f>IFERROR(__xludf.DUMMYFUNCTION("GOOGLETRANSLATE(B15999, ""fr"", ""en"")"),"Kit not complete the kit to remove the links too is not impossible to complete wear the bracelet that is too large")</f>
        <v>Kit not complete the kit to remove the links too is not impossible to complete wear the bracelet that is too large</v>
      </c>
    </row>
    <row r="16000">
      <c r="A16000" s="1">
        <v>3.0</v>
      </c>
      <c r="B16000" s="1" t="s">
        <v>15734</v>
      </c>
      <c r="C16000" t="str">
        <f>IFERROR(__xludf.DUMMYFUNCTION("GOOGLETRANSLATE(B16000, ""fr"", ""en"")"),"Size too large product according to the command. Unfortunately maarsue large size, I can return my order (back at my expense). I put on the 36, I need a 35 I think.")</f>
        <v>Size too large product according to the command. Unfortunately maarsue large size, I can return my order (back at my expense). I put on the 36, I need a 35 I think.</v>
      </c>
    </row>
    <row r="16001">
      <c r="A16001" s="1">
        <v>3.0</v>
      </c>
      <c r="B16001" s="1" t="s">
        <v>15735</v>
      </c>
      <c r="C16001" t="str">
        <f>IFERROR(__xludf.DUMMYFUNCTION("GOOGLETRANSLATE(B16001, ""fr"", ""en"")"),"Practice I love the size of this product because I'd need a little to heat baby bottles when I go out and c is very good. However the water is not kept burning all day.")</f>
        <v>Practice I love the size of this product because I'd need a little to heat baby bottles when I go out and c is very good. However the water is not kept burning all day.</v>
      </c>
    </row>
    <row r="16002">
      <c r="A16002" s="1">
        <v>4.0</v>
      </c>
      <c r="B16002" s="1" t="s">
        <v>15736</v>
      </c>
      <c r="C16002" t="str">
        <f>IFERROR(__xludf.DUMMYFUNCTION("GOOGLETRANSLATE(B16002, ""fr"", ""en"")"),"First G-Shock Design return very nice, good reading needles and dials .In first it seems very robust, to see in 10 years of work of all kinds. My oldest had 14 years (2 bracelets and 2 batteries) and it still works. Shows light wear. correct lighting, alt"&amp;"hough I preferred the old system of backlighting. Small low point from bracelet that does not remain perfectly in place, perhaps because I do not like to over tighten the strap of the watch. That is a very good watch Casio currently.")</f>
        <v>First G-Shock Design return very nice, good reading needles and dials .In first it seems very robust, to see in 10 years of work of all kinds. My oldest had 14 years (2 bracelets and 2 batteries) and it still works. Shows light wear. correct lighting, although I preferred the old system of backlighting. Small low point from bracelet that does not remain perfectly in place, perhaps because I do not like to over tighten the strap of the watch. That is a very good watch Casio currently.</v>
      </c>
    </row>
    <row r="16003">
      <c r="A16003" s="1">
        <v>4.0</v>
      </c>
      <c r="B16003" s="1" t="s">
        <v>2457</v>
      </c>
      <c r="C16003" t="str">
        <f>IFERROR(__xludf.DUMMYFUNCTION("GOOGLETRANSLATE(B16003, ""fr"", ""en"")"),"Ok Ok")</f>
        <v>Ok Ok</v>
      </c>
    </row>
    <row r="16004">
      <c r="A16004" s="1">
        <v>4.0</v>
      </c>
      <c r="B16004" s="1" t="s">
        <v>15737</v>
      </c>
      <c r="C16004" t="str">
        <f>IFERROR(__xludf.DUMMYFUNCTION("GOOGLETRANSLATE(B16004, ""fr"", ""en"")"),"Kickers true ... pure happiness perfect model very solid and very well finished. The color matches. Description perfect happiness in kickers for this winter.")</f>
        <v>Kickers true ... pure happiness perfect model very solid and very well finished. The color matches. Description perfect happiness in kickers for this winter.</v>
      </c>
    </row>
    <row r="16005">
      <c r="A16005" s="1">
        <v>4.0</v>
      </c>
      <c r="B16005" s="1" t="s">
        <v>15738</v>
      </c>
      <c r="C16005" t="str">
        <f>IFERROR(__xludf.DUMMYFUNCTION("GOOGLETRANSLATE(B16005, ""fr"", ""en"")"),"Potty a bit small. quickly used")</f>
        <v>Potty a bit small. quickly used</v>
      </c>
    </row>
    <row r="16006">
      <c r="A16006" s="1">
        <v>4.0</v>
      </c>
      <c r="B16006" s="1" t="s">
        <v>15739</v>
      </c>
      <c r="C16006" t="str">
        <f>IFERROR(__xludf.DUMMYFUNCTION("GOOGLETRANSLATE(B16006, ""fr"", ""en"")"),"Satisfied quality product received within time")</f>
        <v>Satisfied quality product received within time</v>
      </c>
    </row>
    <row r="16007">
      <c r="A16007" s="1">
        <v>5.0</v>
      </c>
      <c r="B16007" s="1" t="s">
        <v>15740</v>
      </c>
      <c r="C16007" t="str">
        <f>IFERROR(__xludf.DUMMYFUNCTION("GOOGLETRANSLATE(B16007, ""fr"", ""en"")"),"Easy to clean Philips AVENT bottles are generally of good quality, whether plastic or glass, although my preference is turning to glass bottles Each material to its more and less This bottle intended for children of 1 month + for his pacifier that resembl"&amp;"es the shape of the breast with flexible end and great for a baby breastfeeding by the mother. I recommend for moms who want their milk and store it for dad where the nanny can in turn to eat the baby. The nipple is very soft all the whole bottle nipple c"&amp;"ap its easy to clean")</f>
        <v>Easy to clean Philips AVENT bottles are generally of good quality, whether plastic or glass, although my preference is turning to glass bottles Each material to its more and less This bottle intended for children of 1 month + for his pacifier that resembles the shape of the breast with flexible end and great for a baby breastfeeding by the mother. I recommend for moms who want their milk and store it for dad where the nanny can in turn to eat the baby. The nipple is very soft all the whole bottle nipple cap its easy to clean</v>
      </c>
    </row>
    <row r="16008">
      <c r="A16008" s="1">
        <v>5.0</v>
      </c>
      <c r="B16008" s="1" t="s">
        <v>1417</v>
      </c>
      <c r="C16008" t="str">
        <f>IFERROR(__xludf.DUMMYFUNCTION("GOOGLETRANSLATE(B16008, ""fr"", ""en"")"),"ras ras")</f>
        <v>ras ras</v>
      </c>
    </row>
    <row r="16009">
      <c r="A16009" s="1">
        <v>5.0</v>
      </c>
      <c r="B16009" s="1" t="s">
        <v>15741</v>
      </c>
      <c r="C16009" t="str">
        <f>IFERROR(__xludf.DUMMYFUNCTION("GOOGLETRANSLATE(B16009, ""fr"", ""en"")"),"Top quality Like any mam products. Nothing to say. Excellent quality. The teat flow 3 and the special nipple preventing water bib drop is great. My baby at 6 months. He loves the")</f>
        <v>Top quality Like any mam products. Nothing to say. Excellent quality. The teat flow 3 and the special nipple preventing water bib drop is great. My baby at 6 months. He loves the</v>
      </c>
    </row>
    <row r="16010">
      <c r="A16010" s="1">
        <v>5.0</v>
      </c>
      <c r="B16010" s="1" t="s">
        <v>15742</v>
      </c>
      <c r="C16010" t="str">
        <f>IFERROR(__xludf.DUMMYFUNCTION("GOOGLETRANSLATE(B16010, ""fr"", ""en"")"),"A great soul for eternity Bjr, I just receive them. They are very pretty granted stroke the curls of ears .They are very fine, beautiful little adornment. A big heart for eternity. Thanks a lot")</f>
        <v>A great soul for eternity Bjr, I just receive them. They are very pretty granted stroke the curls of ears .They are very fine, beautiful little adornment. A big heart for eternity. Thanks a lot</v>
      </c>
    </row>
    <row r="16011">
      <c r="A16011" s="1">
        <v>5.0</v>
      </c>
      <c r="B16011" s="1" t="s">
        <v>15743</v>
      </c>
      <c r="C16011" t="str">
        <f>IFERROR(__xludf.DUMMYFUNCTION("GOOGLETRANSLATE(B16011, ""fr"", ""en"")"),"Top Top! Perfect for motherhood and return to the house perfectly absorbs Not disappointed!")</f>
        <v>Top Top! Perfect for motherhood and return to the house perfectly absorbs Not disappointed!</v>
      </c>
    </row>
    <row r="16012">
      <c r="A16012" s="1">
        <v>5.0</v>
      </c>
      <c r="B16012" s="1" t="s">
        <v>886</v>
      </c>
      <c r="C16012" t="str">
        <f>IFERROR(__xludf.DUMMYFUNCTION("GOOGLETRANSLATE(B16012, ""fr"", ""en"")"),"Product compliant Very good product")</f>
        <v>Product compliant Very good product</v>
      </c>
    </row>
    <row r="16013">
      <c r="A16013" s="1">
        <v>5.0</v>
      </c>
      <c r="B16013" s="1" t="s">
        <v>15744</v>
      </c>
      <c r="C16013" t="str">
        <f>IFERROR(__xludf.DUMMYFUNCTION("GOOGLETRANSLATE(B16013, ""fr"", ""en"")"),"The best I tried I was looking for a pair of discrete headphones with great sound (to me and to my correspondents). The idea is mostly not hold phone close to the brain;) I have nothing to say about these headphones, they are going to even beyond my expec"&amp;"tations: connecting / disconnecting very fast, crazy self, perfect .. . until google assistant support. in short, nothing to say!")</f>
        <v>The best I tried I was looking for a pair of discrete headphones with great sound (to me and to my correspondents). The idea is mostly not hold phone close to the brain;) I have nothing to say about these headphones, they are going to even beyond my expectations: connecting / disconnecting very fast, crazy self, perfect .. . until google assistant support. in short, nothing to say!</v>
      </c>
    </row>
    <row r="16014">
      <c r="A16014" s="1">
        <v>5.0</v>
      </c>
      <c r="B16014" s="1" t="s">
        <v>15745</v>
      </c>
      <c r="C16014" t="str">
        <f>IFERROR(__xludf.DUMMYFUNCTION("GOOGLETRANSLATE(B16014, ""fr"", ""en"")"),"J fabric I bought it used to my son, it suits him perfectly, for against the tissue is small quality ..")</f>
        <v>J fabric I bought it used to my son, it suits him perfectly, for against the tissue is small quality ..</v>
      </c>
    </row>
    <row r="16015">
      <c r="A16015" s="1">
        <v>5.0</v>
      </c>
      <c r="B16015" s="1" t="s">
        <v>15746</v>
      </c>
      <c r="C16015" t="str">
        <f>IFERROR(__xludf.DUMMYFUNCTION("GOOGLETRANSLATE(B16015, ""fr"", ""en"")"),"Great wipes! These wipes I use it for years and I do not forget to put each machine because we are two and I put all the clothes together, otherwise if I sort there will be nothing in the machine. I highly recommend, especially this pack of 50, it's very "&amp;"interesting in price!")</f>
        <v>Great wipes! These wipes I use it for years and I do not forget to put each machine because we are two and I put all the clothes together, otherwise if I sort there will be nothing in the machine. I highly recommend, especially this pack of 50, it's very interesting in price!</v>
      </c>
    </row>
    <row r="16016">
      <c r="A16016" s="1">
        <v>5.0</v>
      </c>
      <c r="B16016" s="1" t="s">
        <v>15747</v>
      </c>
      <c r="C16016" t="str">
        <f>IFERROR(__xludf.DUMMYFUNCTION("GOOGLETRANSLATE(B16016, ""fr"", ""en"")"),"VERY PRACTICAL BACKGROUND DARK this marker serves me in my workshop to mark the forest to know there indicate their dimension as no doubt we always take the right forest to drill to size")</f>
        <v>VERY PRACTICAL BACKGROUND DARK this marker serves me in my workshop to mark the forest to know there indicate their dimension as no doubt we always take the right forest to drill to size</v>
      </c>
    </row>
    <row r="16017">
      <c r="A16017" s="1">
        <v>5.0</v>
      </c>
      <c r="B16017" s="1" t="s">
        <v>15748</v>
      </c>
      <c r="C16017" t="str">
        <f>IFERROR(__xludf.DUMMYFUNCTION("GOOGLETRANSLATE(B16017, ""fr"", ""en"")"),"Amazing !! Teats on top for a new born! Size 0 1 stifling my daughter. It has a slightly rough texture that is nice! Easy to clean. I highly recommend it!")</f>
        <v>Amazing !! Teats on top for a new born! Size 0 1 stifling my daughter. It has a slightly rough texture that is nice! Easy to clean. I highly recommend it!</v>
      </c>
    </row>
    <row r="16018">
      <c r="A16018" s="1">
        <v>5.0</v>
      </c>
      <c r="B16018" s="1" t="s">
        <v>15749</v>
      </c>
      <c r="C16018" t="str">
        <f>IFERROR(__xludf.DUMMYFUNCTION("GOOGLETRANSLATE(B16018, ""fr"", ""en"")"),"super purchase I am very happy, comfortable, affordable.")</f>
        <v>super purchase I am very happy, comfortable, affordable.</v>
      </c>
    </row>
    <row r="16019">
      <c r="A16019" s="1">
        <v>5.0</v>
      </c>
      <c r="B16019" s="1" t="s">
        <v>15750</v>
      </c>
      <c r="C16019" t="str">
        <f>IFERROR(__xludf.DUMMYFUNCTION("GOOGLETRANSLATE(B16019, ""fr"", ""en"")"),"Earpiece Bought to go to gym because with the basics wireless headphones really not practice out wireless is much more convenient to practice my business. At sound quality is top and the battery runs for 3 hours minimum for already two sessions of one hou"&amp;"r and a half done and still not completely discharge, little more is really the see the battery level on the case")</f>
        <v>Earpiece Bought to go to gym because with the basics wireless headphones really not practice out wireless is much more convenient to practice my business. At sound quality is top and the battery runs for 3 hours minimum for already two sessions of one hour and a half done and still not completely discharge, little more is really the see the battery level on the case</v>
      </c>
    </row>
    <row r="16020">
      <c r="A16020" s="1">
        <v>5.0</v>
      </c>
      <c r="B16020" s="1" t="s">
        <v>15751</v>
      </c>
      <c r="C16020" t="str">
        <f>IFERROR(__xludf.DUMMYFUNCTION("GOOGLETRANSLATE(B16020, ""fr"", ""en"")"),"Good sports pants pants bought to do together with the same color jacket sold by the same vendor. Very happy with my purchase. Cheap but good quality!")</f>
        <v>Good sports pants pants bought to do together with the same color jacket sold by the same vendor. Very happy with my purchase. Cheap but good quality!</v>
      </c>
    </row>
    <row r="16021">
      <c r="A16021" s="1">
        <v>5.0</v>
      </c>
      <c r="B16021" s="1" t="s">
        <v>15752</v>
      </c>
      <c r="C16021" t="str">
        <f>IFERROR(__xludf.DUMMYFUNCTION("GOOGLETRANSLATE(B16021, ""fr"", ""en"")"),"Fan Advent If you want nipples that last time, I advise you! Teats adapting perfectly to bottles original Advent (the yellow plastic bottles).")</f>
        <v>Fan Advent If you want nipples that last time, I advise you! Teats adapting perfectly to bottles original Advent (the yellow plastic bottles).</v>
      </c>
    </row>
    <row r="16022">
      <c r="A16022" s="1">
        <v>5.0</v>
      </c>
      <c r="B16022" s="1" t="s">
        <v>15753</v>
      </c>
      <c r="C16022" t="str">
        <f>IFERROR(__xludf.DUMMYFUNCTION("GOOGLETRANSLATE(B16022, ""fr"", ""en"")"),"An indispensable cheap &lt;div id = ""video-block-R1LGG8N6SMZY1W"" class = ""a-section-spacing-small in-spacing-top mini video-block""&gt; &lt;div tabindex = ""0"" class = ""airy airy-svg vmin-unsupported airy-skin-beacon ""style ="" background-color: rgb (0, 0, 0"&amp;"); position: relative; width: 100%; height: 100%; font-size: 0px; overflow: hidden; outline: none; ""&gt; &lt;div class ="" airy-renderer-container ""style ="" position: relative; height: 100%; width: 100%; ""&gt; &lt;video id ="" 132 ""preload ="" auto "" src = ""ht"&amp;"tps://images-eu.ssl-images-amazon.com/images/I/B1mHXHsYs+S.mp4"" style = ""position: absolute; left: 0px; top: 0px; overflow: hidden; height: 1px; width: 1px; ""&gt; &lt;/ video&gt; &lt;/ div&gt; &lt;div id ="" airy-slate-preload ""style ="" background-color: rgb (0, 0, 0)"&amp;"; background-image: url (&amp; quot ; https: //images-eu.ssl-images-amazon.com/images/I/81Rh4TBad-S.png&amp;quot;); background-size: contain; background-position: center center; background-repeat: no-repeat; position: absolute; top: 0px; left: 0px; visibility: vi"&amp;"sible; width: 100%; height: 100% ""&gt; &lt;/ div&gt; &lt;Iframe scrolling = ""no"" frameborder = ""0"" src = ""about: blank"" style = ""display: none;""&gt; &lt;/ iframe&gt; &lt;div tabindex = ""- 1"" class = ""airy-controls-container"" style = ""opacity: 0; visibility: hidden;"&amp;" ""&gt; &lt;div tabindex ="" - 1 ""class ="" airy-screen-size-toggle airy-fullscreen ""&gt; &lt;/ div&gt; &lt;div tabindex ="" - 1 ""class ="" airy-container-bottom "" &gt; &lt;div tabindex = ""- 1"" class = ""airy-track-bar spacer-left"" style = ""width: 11px;""&gt; &lt;/ div&gt; &lt;div t"&amp;"abindex = ""- 1"" class = ""airy-play- toggle airy-play ""style ="" width: 12px; margin-right: 12px; ""&gt; &lt;/ div&gt; &lt;div tabindex ="" - 1 ""class ="" airy-audio-elements ""style ="" float: right; width: 34px; ""&gt; &lt;div tabindex ="" - 1 ""class ="" airy-audio-"&amp;"toggle airy-on ""&gt; &lt;/ div&gt; &lt;div tabindex ="" - 1 ""class ="" airy-audio-container ""style = ""opacity: 0; visibility: hidden; ""&gt; &lt;div tabindex ="" - 1 ""class ="" airy-audio-track-bar ""style ="" height: 80%; ""&gt; &lt;div tabindex ="" - 1 ""class ="" airy-au"&amp;"dio- scrubber bar ""style ="" height: 85% ""&gt; &lt;/ div&gt; &lt;div tabindex ="" - 1 ""class ="" airy-audio-scrubber ""style ="" height: 12px; bottom: 85% ""&gt; &lt;/ div&gt; &lt;/ div&gt; &lt;/ div&gt; &lt;/ div&gt; &lt;div tabindex ="" - 1 ""class ="" airy-duration-label ""style ="" float: "&amp;"right; width: 26px; margin-right: 4px; text-align: center; ""&gt; 0:00 &lt;/ div&gt; &lt;div tabindex ="" - 1 ""class ="" airy-track-bar spacer-right ""style ="" float: right; width: 11px; ""&gt; &lt;/ div&gt; &lt;div tabindex ="" - 1 ""class ="" airy-track-bar-container ""style"&amp;" ="" margin-left: 35px; margin-right: 75px; ""&gt; &lt;div tabindex ="" - 1 ""class ="" airy-airy-track-bar vertical-centering-table ""&gt; &lt;div tabindex ="" - 1 ""class ="" airy-vertical-centering- table-cell ""&gt; &lt;div tabindex ="" - 1 ""class ="" airy-track-bar e"&amp;"lements ""&gt; &lt;div tabindex ="" - 1 ""class ="" airy-progress bar ""&gt; &lt;/ div&gt; &lt;div tabindex = ""- 1"" class = ""airy-scrubber bar""&gt; &lt;/ div&gt; &lt;div tabindex = ""- 1"" class = ""airy-scrubber""&gt; &lt;div tabindex = ""- 1"" class = ""airy-scrubber- icon ""&gt; &lt;/ div&gt;"&amp;" &lt;div tabindex ="" - 1 ""class ="" airy-adjusted-aui-tooltip ""style ="" opacity: 0; visibility: hidden; ""&gt; &lt;div tabindex ="" - 1 ""class ="" airy-adjusted-aui-tooltip-inner ""&gt; &lt;div tabindex ="" - 1 ""class ="" airy-current-time-label ""&gt; 0 00 &lt;/ div&gt; &lt;"&amp;"/ div&gt; &lt;div tabindex = ""- 1"" class = ""airy-adjusted-aui-arrow-border""&gt; &lt;div tabindex = ""- 1"" class = ""airy-adjusted-aui-arrow"" &gt; &lt;/ div&gt; &lt;/ div&gt; &lt;/ div&gt; &lt;/ div&gt; &lt;/ div&gt; &lt;/ div&gt; &lt;/ div&gt; &lt;/ div&gt; &lt;/ div&gt; &lt;/ div&gt; &lt;div tabindex = ""- 1"" class = ""airy"&amp;"-airy-age-gate course airy-vertical-centering table-airy-dialog"" style = ""opacity: 0; visibility: hidden; ""&gt; &lt;div tabindex ="" - 1 ""class ="" airy-age-gate-vertical-centering-table-cell airy-vertical-centering-table-cell ""&gt; &lt;div tabindex ="" - 1 ""cl"&amp;"ass = ""airy-vertical-centering-wrapper airy-age-gate-elements-wrapper""&gt; &lt;div tabindex = ""- 1"" class = ""airy-age-gate-elements airy-dialog-elements""&gt; &lt;div tabindex = "" -1 ""class ="" airy-age-gate-prompt ""&gt; This video is not Intended for all audien"&amp;"ces What time were you born &lt;/ div&gt; &lt;div tabindex =.?"" - 1 ""class ="" airy-age-gate -inputs airy-dialog-inner-elements ""&gt; &lt;select tabindex ="" - 1 ""class ="" airy-age-gate-month ""&gt; &lt;option value ="" 1 ""&gt; January &lt;/ option&gt; &lt;option value ="" 2 ""&gt; Fe"&amp;"bruary &lt;/ option&gt; &lt;option value ="" 3 ""&gt; March &lt;/ option&gt; &lt;option value ="" 4 ""&gt; April &lt;/ option&gt; &lt;option value ="" 5 ""&gt; May &lt;/ option&gt; &lt;option value = ""6""&gt; June &lt;/ option&gt; &lt;option value = ""7""&gt; July &lt;/ option&gt; &lt;option value = ""8""&gt; August &lt;/ optio"&amp;"n&gt; &lt;option value = ""9""&gt; September &lt;/ option&gt; &lt;option value = ""10""&gt; October &lt;/ option&gt; &lt;option value = ""11""&gt; November &lt;/ option&gt; &lt;option value = ""12""&gt; December &lt;/ option&gt; &lt;/ select&gt; &lt;select tabindex = ""- 1"" class = ""airy-age-gate-day""&gt; &lt;opti = "&amp;"One value ""1""&gt; 1 &lt;/ option&gt; &lt;option value = ""2""&gt; 2 &lt;/ option&gt; &lt;option value = ""3""&gt; 3 &lt;/ option&gt; &lt;option value = ""4""&gt; 4 &lt;/ option &gt; &lt;option value = ""5""&gt; 5 &lt;/ option&gt; &lt;option value = ""6""&gt; 6 &lt;/ option&gt; &lt;option value = ""7""&gt; 7 &lt;/ option&gt; &lt;option "&amp;"value = ""8""&gt; 8 &lt; / option&gt; &lt;option value = ""9""&gt; 9 &lt;/ option&gt; &lt;option value = ""10""&gt; 10 &lt;/ option&gt; &lt;option value = ""11""&gt; 11 &lt;/ option&gt; &lt;option value = ""12""&gt; 12 &lt;/ option&gt; &lt;option value = ""13""&gt; 13 &lt;/ option&gt; &lt;option value = ""14""&gt; 14 &lt;/ option&gt; "&amp;"&lt;option value = ""15""&gt; 15 &lt;/ option&gt; &lt;option value = ""16 ""&gt; 16 &lt;/ option&gt; &lt;option value ="" 17 ""&gt; 17 &lt;/ option&gt; &lt;option value ="" 18 ""&gt; 18 &lt;/ option&gt; &lt;option value ="" 19 ""&gt; 19 &lt;/ option&gt; &lt;option value = ""20""&gt; 20 &lt;/ option&gt; &lt;option value = ""21""&gt;"&amp;" 21 &lt;/ option&gt; &lt;option value = ""22""&gt; 22 &lt;/ option&gt; &lt;option value = ""23""&gt; 23 &lt;/ option&gt; &lt;option value = ""24""&gt; 24 &lt;/ option&gt; &lt;option value = ""25""&gt; 25 &lt;/ option&gt; &lt;option value = ""26""&gt; 26 &lt;/ option&gt; &lt;option value = ""27""&gt; 27 &lt;/ option&gt; &lt;option valu"&amp;"e = ""28""&gt; 28 &lt;/ option&gt; &lt;option value = ""29""&gt; 29 &lt;/ option&gt; &lt;option value = ""30""&gt; 30 &lt;/ option&gt; &lt;option value = ""31""&gt; 31 &lt;/ option&gt; &lt;/ select&gt; &lt;select tabindex = ""- 1"" class = ""airy-age-gate-year""&gt; &lt;option value = ""2019""&gt; 2019 &lt;/ option&gt; &lt; o"&amp;"ption value = ""2018""&gt; 2018 &lt;/ option&gt; &lt;option value = ""2017""&gt; 2017 &lt;/ option&gt; &lt;option value = ""2016""&gt; ​​2016 &lt;/ option&gt; &lt;option value = ""2015""&gt; 2015 &lt;/ option &gt; &lt;option value = ""2014""&gt; 2014 &lt;/ option&gt; &lt;option value = ""2013""&gt; 2013 &lt;/ option&gt; &lt;o"&amp;"ption value = ""2012""&gt; 2012 &lt;/ option&gt; &lt;option value = ""2011""&gt; 2011 &lt; / option&gt; &lt;option value = ""2010""&gt; 2010 &lt;/ option&gt; &lt;option value = ""2009""&gt; 2009 &lt;/ option&gt; &lt;option value = ""2008""&gt; 2008 &lt;/ option&gt; &lt;option value = ""2007""&gt; 2007 &lt;/ option&gt; &lt;opt"&amp;"ion value = ""2006""&gt; 2006 &lt;/ option&gt; &lt;option value = ""2005""&gt; 2005 &lt;/ option&gt; &lt;option value = ""2004""&gt; 2004 &lt;/ option&gt; &lt;option value = ""2003 ""&gt; 2003 &lt;/ option&gt; &lt;option value ="" 2002 ""&gt; 2002 &lt;/ option&gt; &lt;option value ="" 2001 ""&gt; 2001 &lt;/ option&gt; &lt;opt"&amp;"ion value ="" 2000 ""&gt; 2000 &lt;/ option&gt; &lt;option value = ""1999""&gt; 1999 &lt;/ option&gt; &lt;option value = ""1998""&gt; 1998 &lt;/ option&gt; &lt;option value = ""1997""&gt; 1997 &lt;/ option&gt; &lt;option value = ""1996""&gt; 1996 &lt;/ option&gt; &lt;option value = ""1995""&gt; 1995 &lt;/ option&gt; &lt;optio"&amp;"n value = ""1994""&gt; 1994 &lt;/ option&gt; &lt;option value = ""1993""&gt; 1993 &lt;/ option&gt; &lt;option value = ""1992""&gt; 1992 &lt;/ option&gt; &lt;option value = ""1991""&gt; 1991 &lt;/ option&gt; &lt;option value = ""1990""&gt; 1990 &lt;/ option&gt; &lt;option value = "" 1989 ""&gt; 1989 &lt;/ option&gt; &lt;option"&amp;" value ="" 1988 ""&gt; 1988 &lt;/ option&gt; &lt;option value ="" 1987 ""&gt; 1987 &lt;/ option&gt; &lt;option value ="" 1986 ""&gt; 1986 &lt;/ option&gt; &lt;option value = ""1985""&gt; 1985 &lt;/ option&gt; &lt;option value = ""1984""&gt; 1984 &lt;/ option&gt; &lt;option value = ""1983""&gt; 1983 &lt;/ option&gt; &lt;option"&amp;" value = ""1982""&gt; 1982 &lt;/ option&gt; &lt; option value = ""1981""&gt; 1981 &lt;/ option&gt; &lt;option value = ""1980""&gt; 1980 &lt;/ option&gt; &lt;option value = ""1979""&gt; 1979 &lt;/ option&gt; &lt;option value = ""1978""&gt; 1978 &lt;/ option &gt; &lt;option value = ""1977""&gt; 1977 &lt;/ option&gt; &lt;option "&amp;"value = ""1976""&gt; 1976 &lt;/ option&gt; &lt;option value = ""1975""&gt; 1975 &lt;/ option&gt; &lt;option value = ""1974""&gt; 1974 &lt; / option&gt; &lt;option value = ""1973""&gt; 1973 &lt;/ option&gt; &lt;option value = ""1972""&gt; 1972 &lt;/ option&gt; &lt;option value = ""1971""&gt; 1971 &lt;/ option&gt; &lt;option va"&amp;"lue = ""1970""&gt; 1970 &lt;/ option&gt; &lt;option value = ""1969""&gt; 1969 &lt;/ option&gt; &lt;option value = ""1968""&gt; 1968 &lt;/ option&gt; &lt;option value = ""1967""&gt; 1967 &lt;/ option&gt; &lt;option value = ""1966 ""&gt; 1966 &lt;/ option&gt; &lt;option value ="" 1965 ""&gt; 1965 &lt;/ option&gt; &lt;option val"&amp;"ue ="" 1964 ""&gt; 1964 &lt;/ option&gt; &lt;option value ="" 1963 ""&gt; 1963 &lt;/ option&gt; &lt;option value = ""1962""&gt; 1962 &lt;/ option&gt; &lt;option value = ""1961""&gt; 1961 &lt;/ option&gt; &lt;option value = ""1960""&gt; 1960 &lt;/ op tion&gt; &lt;option value = ""1959""&gt; 1959 &lt;/ option&gt; &lt;option val"&amp;"ue = ""1958""&gt; 1958 &lt;/ option&gt; &lt;option value = ""1957""&gt; 1957 &lt;/ option&gt; &lt;option value = ""1956""&gt; 1956 &lt;/ option&gt; &lt;option value = ""1955""&gt; 1955 &lt;/ option&gt; &lt;option value = ""1954""&gt; 1954 &lt;/ option&gt; &lt;option value = ""1953""&gt; 1953 &lt;/ option&gt; &lt;option value "&amp;"= ""1952"" &gt; 1952 &lt;/ option&gt; &lt;option value = ""1951""&gt; 1951 &lt;/ option&gt; &lt;option value = ""1950""&gt; 1950 &lt;/ option&gt; &lt;option value = ""1949""&gt; 1949 &lt;/ option&gt; &lt;option value = "" 1948 ""&gt; 1948 &lt;/ option&gt; &lt;option value ="" 1947 ""&gt; 1947 &lt;/ option&gt; &lt;option value"&amp;" ="" 1946 ""&gt; 1946 &lt;/ option&gt; &lt;option value ="" 1945 ""&gt; 1945 &lt;/ option&gt; &lt;option value = ""1944""&gt; 1944 &lt;/ option&gt; &lt;option value = ""1943""&gt; 1943 &lt;/ option&gt; &lt;option value = ""1942""&gt; 1942 &lt;/ option&gt; &lt;option value = ""1941""&gt; 1941 &lt;/ option&gt; &lt; option value"&amp;" = ""1940""&gt; 1940 &lt;/ option&gt; &lt;option value = ""1939""&gt; 1939 &lt;/ option&gt; &lt;option value = ""1938""&gt; 1938 &lt;/ option&gt; &lt;option value = ""1937""&gt; 1937 &lt;/ option &gt; &lt;option value = ""1936""&gt; 1936 &lt;/ option&gt; &lt;option value = ""1935""&gt; 1935 &lt;/ option&gt; &lt;option value ="&amp;" ""1934""&gt; 1934 &lt;/ option&gt; &lt;option value = ""1933""&gt; 1933 &lt; / option&gt; &lt;option value = ""1932""&gt; 1932 &lt;/ option&gt; &lt;option value = ""1931""&gt; 1931 &lt;/ option&gt; &lt;option v alue = ""1930""&gt; 1930 &lt;/ option&gt; &lt;option value = ""1929""&gt; 1929 &lt;/ option&gt; &lt;option value = "&amp;"""1928""&gt; 1928 &lt;/ option&gt; &lt;option value = ""1927""&gt; 1927 &lt;/ option&gt; &lt;option value = ""1926""&gt; 1926 &lt;/ option&gt; &lt;option value = ""1925""&gt; 1925 &lt;/ option&gt; &lt;option value = ""1924""&gt; 1924 &lt;/ option&gt; &lt;option value = ""1923""&gt; 1923 &lt;/ option&gt; &lt;option value = ""1"&amp;"922""&gt; 1922 &lt;/ option&gt; &lt;option value = ""1921""&gt; 1921 &lt;/ option&gt; &lt;option value = ""1920""&gt; 1920 &lt;/ option&gt; &lt;option value = ""1919""&gt; 1919 &lt;/ option&gt; &lt;option value = ""1918""&gt; 1918 &lt;/ option&gt; &lt;option value = ""1917""&gt; 1917 &lt;/ option&gt; &lt;option value = ""1916"&amp;"""&gt; 1916 &lt;/ option&gt; &lt;option value = ""1915"" &gt; 1915 &lt;/ option&gt; &lt;option value = ""1914""&gt; 1914 &lt;/ option&gt; &lt;option value = ""1913""&gt; 1913 &lt;/ option&gt; &lt;option value = ""1912""&gt; 1912 &lt;/ option&gt; &lt;option value = "" 1911 ""&gt; 1911 &lt;/ option&gt; &lt;option value ="" 1910"&amp;" ""&gt; 1910 &lt;/ option&gt; &lt;option value ="" 1909 ""&gt; 1909 &lt;/ option&gt; &lt;option value ="" 1908 ""&gt; 1908 &lt;/ option&gt; &lt;option value = ""1907""&gt; 1907 &lt;/ option&gt; &lt;option value = ""1906""&gt; 1906 &lt;/ option&gt; &lt;option value = ""1905""&gt; 1905 &lt;/ option&gt; &lt;option value = ""1904"&amp;"""&gt; 1904 &lt;/ option&gt; &lt; option value = ""1903""&gt; 1903 &lt;/ option&gt; &lt;option value = ""1902""&gt; 1902 &lt;/ option&gt; &lt;option value = ""1901""&gt; 19 01 &lt;/ option&gt; &lt;option value = ""1900""&gt; 1900 &lt;/ option&gt; &lt;/ select&gt; &lt;div tabindex = ""- 1"" class = ""airy-age-gate-submit"&amp;" airy-submit-button airy airy-submit- disabled ""&gt; Submit &lt;/ div&gt; &lt;/ div&gt; &lt;/ div&gt; &lt;/ div&gt; &lt;/ div&gt; &lt;/ div&gt; &lt;div tabindex ="" - 1 ""class ="" airy-install-flash-dialog airy-course airy -Vertical-centering-table dialog airy-airy-denied ""style ="" opacity: 0"&amp;"; visibility: hidden; ""&gt; &lt;div tabindex ="" - 1 ""class ="" airy-install-flash-vertical-centering-table-cell airy-vertical-centering-table-cell ""&gt; &lt;div tabindex ="" - 1 ""class = ""airy-vertical-centering-wrapper airy-install-flash-elements-wrapper""&gt; &lt;d"&amp;"iv tabindex = ""- 1"" class = ""airy-install-flash-elements airy-dialog-elements""&gt; &lt;div tabindex = "" -1 ""class ="" airy-install-flash-prompt ""&gt; Adobe Flash Player is required to watch this video &lt;/ div&gt; &lt;div = tabindex."" - 1 ""class ="" airy-install-"&amp;"flash-button-wrapper airy -dialog-inner-elements ""&gt; &lt;div tabindex ="" - 1 ""class ="" airy-install-flash-button airy-button ""&gt; install Flash Player &lt;/ div&gt; &lt;/ div&gt; &lt;/ div&gt; &lt;/ div&gt; &lt;/ div&gt; &lt;/ div&gt; &lt;div tabindex = ""- 1"" class = ""airy-video-unsupported-"&amp;"dialog airy-course airy-vertical-centering table-airy-dialog airy-denied"" style = ""opacity: 0; visibility: hidden; ""&gt; &lt;div tabindex ="" - 1 ""class ="" airy-video-unsupported-vertical-centering-table-cell airy-vertical-centering-table-cell ""&gt; &lt;div tab"&amp;"index ="" - 1 ""class = ""airy-vertical-centering-wrapper airy-video-unsupported-elements-wrapper""&gt; &lt;div tabindex = ""- 1"" class = ""airy-video-unsupported-elements airy-dialog-elements""&gt; &lt;div tabindex = "" -1 ""class ="" airy-video-unsupported-prompt "&amp;"""&gt; &lt;/ div&gt; &lt;/ div&gt; &lt;/ div&gt; &lt;/ div&gt; &lt;/ div&gt; &lt;div tabindex ="" - 1 ""class ="" airy-loading- spinner-stage airy-stage ""&gt; &lt;div tabindex ="" - 1 ""class ="" airy-loading-spinner-vertical-centering-table-cell airy-vertical-centering-table-cell ""&gt; &lt;div tabin"&amp;"dex ="" - 1 ""class ="" airy-loading-spinner container airy-scalable-hint-container ""&gt; &lt;div tabindex ="" - 1 ""class ="" airy-loading-spinner-dummy airy-scalable-dummy ""&gt; &lt;/ div&gt; &lt; div tabindex = ""- 1"" class = ""airy-loading-spinner airy-hint"" style "&amp;"= ""visibility: hidden;""&gt; &lt;/ div&gt; &lt;/ div&gt; &lt;/ div&gt; &lt;/ div&gt; &lt;div tabindex = ""- 1 ""class ="" airy-ads-screen-size-toggle airy-screen-size-toggle airy-fullscreen ""style ="" visibility: hidden; ""&gt; &lt;/ div&gt; &lt;div tabindex = ""-1"" class = ""airy-ad-prompt-co"&amp;"ntainer"" style = ""visibility: hidden;""&gt; &lt;div tabindex = ""- 1"" class = ""airy-ad-prompt-vertical-centering table-airy-vertical- centering-table ""&gt; &lt;div tabindex ="" - 1 ""class ="" airy-ad-prompt-vertical-centering-table-cell airy-vertical-centering-"&amp;"table-cell ""&gt; &lt;div tabindex ="" - 1 ""class = ""airy-ad-prompt-label""&gt; &lt;/ div&gt; &lt;/ div&gt; &lt;/ div&gt; &lt;/ div&gt; &lt;div tabindex = ""- 1"" class = ""airy-ads-controls-container"" style = ""visibility: hidden; ""&gt; &lt;div tabindex ="" - 1 ""class ="" airy-ads-audio-tog"&amp;"gle airy-audio-toggle airy-on ""style ="" visibility: hidden; ""&gt; &lt;/ div&gt; &lt;div tabindex ="" - 1 ""class ="" airy-time-remaining-label-container ""&gt; &lt;div tabindex ="" - 1 ""class ="" airy-time-remaining-vertical-centering table-airy-vertical-centering-tabl"&amp;"e ""&gt; &lt;div tabindex = ""- 1"" class = ""airy-time-remaining-vertical-centering-table-cell airy-vertical-centering-table-cell""&gt; &lt;div tabindex = ""- 1"" class = ""airy-vertical-centering-wrapper airy-time-remaining-label-wrapper ""&gt; &lt;div tabindex ="" - 1 "&amp;"""class ="" airy-time-remaining-label ""style ="" visibility: hidden; ""&gt; &lt;/ div&gt; &lt;div tabi ndex = ""- 1"" class = ""airy-ad-skip"" style = ""visibility: hidden;""&gt; &lt;/ div&gt; &lt;div tabindex = ""- 1"" class = ""airy-ad-end"" style = ""visibility: hidden; ""&gt; "&amp;"&lt;/ div&gt; &lt;/ div&gt; &lt;/ div&gt; &lt;/ div&gt; &lt;/ div&gt; &lt;div tabindex ="" - 1 ""class ="" airy-learn-more ""style ="" visibility: hidden; ""&gt; &lt;/ div&gt; &lt;/ div&gt; &lt;div tabindex = ""- 1"" class = ""airy-play-toggle-hint-stage airy-course airy-cursor""&gt; &lt;div tabindex = ""- 1"" "&amp;"class = ""airy-play -toggle-hint-vertical-centering-table-cell airy-vertical-centering-table-cell airy-cursor ""&gt; &lt;div tabindex ="" - 1 ""class ="" airy-play-toggle-hint-container airy-scalable- hint-container ""&gt; &lt;div tabindex ="" - 1 ""class ="" airy-pl"&amp;"ay-toggle-hint-dummy airy-scalable-dummy ""&gt; &lt;/ div&gt; &lt;div tabindex ="" - 1 ""class ="" airy-play -toggle airy-hint-hint-hint airy-play ""style ="" opacity: 1; visibility: visible; ""&gt; &lt;/ div&gt; &lt;/ div&gt; &lt;/ div&gt; &lt;/ div&gt; &lt;div tabindex ="" - 1 ""class ="" airy-"&amp;"replay-hint-stage airy-stage ""style ="" visibility: hidden ; ""&gt; &lt;div tabindex ="" - 1 ""class ="" airy-replay-hint-vertical-centering-table-cell airy-vertical-centering-table-cell airy-cursor ""&gt; &lt;div tabindex ="" - 1 ""class = ""airy-replay-hint-contai"&amp;"ner airy-scalable-hint-container""&gt; &lt;div tabindex = ""- 1"" class = ""airy-replay-hint-dummy airy-scalable-dummy""&gt; &lt;/ div&gt; &lt;div tabindex = ""- 1"" class = ""airy-replay-hint airy-hint""&gt; &lt;/ div&gt; &lt;/ div&gt; &lt;/ div&gt; &lt;/ div&gt; &lt;div tabindex = ""- 1"" class = ""a"&amp;"iry-autoplay-hint -stage airy-stage ""style ="" visibility: hidden; ""&gt; &lt;div tabindex ="" - 1 ""class ="" airy-autoplay-hint-vertical-centering-table-cell airy-vertical-centering-table-cell airy- cursor ""&gt; &lt;div tabindex ="" - 1 ""class ="" autoplay airy-"&amp;"airy-hint-container-scalable-hint-container ""&gt; &lt;div tabindex ="" - 1 ""class ="" airy-autoplay-hint-dummy airy- scalable-dummy ""&gt; &lt;/ div&gt; &lt;/ div&gt; &lt;/ div&gt; &lt;/ div&gt; &lt;/ div&gt; &lt;/ div&gt; &lt;input type ="" hidden ""name ="" ""value ="" https: // pictures-eu .ssl-im"&amp;"age amazon.com / images / I / + B1mHXHsYs S.mp4 ""Class ="" video-url ""&gt; &lt;input type ="" hidden ""name ="" ""value ="" https://images-eu.ssl-images-amazon.com/images/I/81Rh4TBad-S.png ""class = ""video-slate-img-url""&gt; &amp; nbsp; the machine stops automatic"&amp;"ally when the water is limited to the minimum (duration of the capacity about 10 hours) Good capacity Instructions in French Pretty colors Led Beautiful finishes so sweet Distribution effective, 2 steam modes (continuous and intermittent) Can be used humi"&amp;"difier without the use of essential oils. Convenient and easy to use Good product I recommend")</f>
        <v>An indispensable cheap &lt;div id = "video-block-R1LGG8N6SMZY1W" class = "a-section-spacing-small in-spacing-top mini video-block"&gt; &lt;div tabindex = "0" class = "airy airy-svg vmin-unsupported airy-skin-beacon "style =" background-color: rgb (0, 0, 0); position: relative; width: 100%; height: 100%; font-size: 0px; overflow: hidden; outline: none; "&gt; &lt;div class =" airy-renderer-container "style =" position: relative; height: 100%; width: 100%; "&gt; &lt;video id =" 132 "preload =" auto " src = "https://images-eu.ssl-images-amazon.com/images/I/B1mHXHsYs+S.mp4" style = "position: absolute; left: 0px; top: 0px; overflow: hidden; height: 1px; width: 1px; "&gt; &lt;/ video&gt; &lt;/ div&gt; &lt;div id =" airy-slate-preload "style =" background-color: rgb (0, 0, 0); background-image: url (&amp; quot ; https: //images-eu.ssl-images-amazon.com/images/I/81Rh4TBad-S.png&amp;quot;); background-size: contain; background-position: center center; background-repeat: no-repeat; position: absolute; top: 0px; left: 0px; visibility: visible; width: 100%; height: 100% "&gt; &lt;/ div&gt; &lt;Iframe scrolling = "no" frameborder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 B1mHXHsYs S.mp4 "Class =" video-url "&gt; &lt;input type =" hidden "name =" "value =" https://images-eu.ssl-images-amazon.com/images/I/81Rh4TBad-S.png "class = "video-slate-img-url"&gt; &amp; nbsp; the machine stops automatically when the water is limited to the minimum (duration of the capacity about 10 hours) Good capacity Instructions in French Pretty colors Led Beautiful finishes so sweet Distribution effective, 2 steam modes (continuous and intermittent) Can be used humidifier without the use of essential oils. Convenient and easy to use Good product I recommend</v>
      </c>
    </row>
    <row r="16023">
      <c r="A16023" s="1">
        <v>2.0</v>
      </c>
      <c r="B16023" s="1" t="s">
        <v>15754</v>
      </c>
      <c r="C16023" t="str">
        <f>IFERROR(__xludf.DUMMYFUNCTION("GOOGLETRANSLATE(B16023, ""fr"", ""en"")"),"Bracelet infinity It is beautiful but not money 925.je have returned")</f>
        <v>Bracelet infinity It is beautiful but not money 925.je have returned</v>
      </c>
    </row>
    <row r="16024">
      <c r="A16024" s="1">
        <v>1.0</v>
      </c>
      <c r="B16024" s="1" t="s">
        <v>15755</v>
      </c>
      <c r="C16024" t="str">
        <f>IFERROR(__xludf.DUMMYFUNCTION("GOOGLETRANSLATE(B16024, ""fr"", ""en"")"),"false image ineffective mist")</f>
        <v>false image ineffective mist</v>
      </c>
    </row>
    <row r="16025">
      <c r="A16025" s="1">
        <v>1.0</v>
      </c>
      <c r="B16025" s="1" t="s">
        <v>15756</v>
      </c>
      <c r="C16025" t="str">
        <f>IFERROR(__xludf.DUMMYFUNCTION("GOOGLETRANSLATE(B16025, ""fr"", ""en"")"),"A catastrophe wrong size, I take the M and that is what is written on the label ... by cons it looks more like a XL or more ...")</f>
        <v>A catastrophe wrong size, I take the M and that is what is written on the label ... by cons it looks more like a XL or more ...</v>
      </c>
    </row>
    <row r="16026">
      <c r="A16026" s="1">
        <v>3.0</v>
      </c>
      <c r="B16026" s="1" t="s">
        <v>15757</v>
      </c>
      <c r="C16026" t="str">
        <f>IFERROR(__xludf.DUMMYFUNCTION("GOOGLETRANSLATE(B16026, ""fr"", ""en"")"),"Nothing Very comfortable quality.")</f>
        <v>Nothing Very comfortable quality.</v>
      </c>
    </row>
    <row r="16027">
      <c r="A16027" s="1">
        <v>3.0</v>
      </c>
      <c r="B16027" s="1" t="s">
        <v>15758</v>
      </c>
      <c r="C16027" t="str">
        <f>IFERROR(__xludf.DUMMYFUNCTION("GOOGLETRANSLATE(B16027, ""fr"", ""en"")"),"PRACTICE For now, ca glue well, to see time. By cons, it's so much more convenient than the corners stickers. impeccable")</f>
        <v>PRACTICE For now, ca glue well, to see time. By cons, it's so much more convenient than the corners stickers. impeccable</v>
      </c>
    </row>
    <row r="16028">
      <c r="A16028" s="1">
        <v>4.0</v>
      </c>
      <c r="B16028" s="1" t="s">
        <v>15759</v>
      </c>
      <c r="C16028" t="str">
        <f>IFERROR(__xludf.DUMMYFUNCTION("GOOGLETRANSLATE(B16028, ""fr"", ""en"")"),"Practical and robust No reinforcements, very solid for the sport. Comfortable. Color goes everywhere. A little complicated s back there with sizes")</f>
        <v>Practical and robust No reinforcements, very solid for the sport. Comfortable. Color goes everywhere. A little complicated s back there with sizes</v>
      </c>
    </row>
    <row r="16029">
      <c r="A16029" s="1">
        <v>4.0</v>
      </c>
      <c r="B16029" s="1" t="s">
        <v>15760</v>
      </c>
      <c r="C16029" t="str">
        <f>IFERROR(__xludf.DUMMYFUNCTION("GOOGLETRANSLATE(B16029, ""fr"", ""en"")"),"great size but big big size note. A 42 gives a 41. I'm delighted with my achat.je have used it for snow and I really felt nothing. No cold or humidity. Hang light enough good soil. Nice product.")</f>
        <v>great size but big big size note. A 42 gives a 41. I'm delighted with my achat.je have used it for snow and I really felt nothing. No cold or humidity. Hang light enough good soil. Nice product.</v>
      </c>
    </row>
    <row r="16030">
      <c r="A16030" s="1">
        <v>4.0</v>
      </c>
      <c r="B16030" s="1" t="s">
        <v>15761</v>
      </c>
      <c r="C16030" t="str">
        <f>IFERROR(__xludf.DUMMYFUNCTION("GOOGLETRANSLATE(B16030, ""fr"", ""en"")"),"All Sends fast and consistent")</f>
        <v>All Sends fast and consistent</v>
      </c>
    </row>
    <row r="16031">
      <c r="A16031" s="1">
        <v>4.0</v>
      </c>
      <c r="B16031" s="1" t="s">
        <v>15762</v>
      </c>
      <c r="C16031" t="str">
        <f>IFERROR(__xludf.DUMMYFUNCTION("GOOGLETRANSLATE(B16031, ""fr"", ""en"")"),"Top After several uses and washings is nickel. Baby it little by little because of breastfeeding fate.")</f>
        <v>Top After several uses and washings is nickel. Baby it little by little because of breastfeeding fate.</v>
      </c>
    </row>
    <row r="16032">
      <c r="A16032" s="1">
        <v>5.0</v>
      </c>
      <c r="B16032" s="1" t="s">
        <v>15763</v>
      </c>
      <c r="C16032" t="str">
        <f>IFERROR(__xludf.DUMMYFUNCTION("GOOGLETRANSLATE(B16032, ""fr"", ""en"")"),"Eastpak backpack backpack which my daughter gave me a whole hay to be in September of last year, fashionable (I do not see why it is simple pfff) .... Anyway, for now it remains strong, in good condition.")</f>
        <v>Eastpak backpack backpack which my daughter gave me a whole hay to be in September of last year, fashionable (I do not see why it is simple pfff) .... Anyway, for now it remains strong, in good condition.</v>
      </c>
    </row>
    <row r="16033">
      <c r="A16033" s="1">
        <v>5.0</v>
      </c>
      <c r="B16033" s="1" t="s">
        <v>15764</v>
      </c>
      <c r="C16033" t="str">
        <f>IFERROR(__xludf.DUMMYFUNCTION("GOOGLETRANSLATE(B16033, ""fr"", ""en"")"),"Super satisfied! Perfect!")</f>
        <v>Super satisfied! Perfect!</v>
      </c>
    </row>
    <row r="16034">
      <c r="A16034" s="1">
        <v>5.0</v>
      </c>
      <c r="B16034" s="1" t="s">
        <v>15765</v>
      </c>
      <c r="C16034" t="str">
        <f>IFERROR(__xludf.DUMMYFUNCTION("GOOGLETRANSLATE(B16034, ""fr"", ""en"")"),"Solomon Solomon Solomon still remains and will remain Solomon. The Speedcross remain the Speedcross, comfort, accuracy and cushioning. But his premature usire on hard ground also ...")</f>
        <v>Solomon Solomon Solomon still remains and will remain Solomon. The Speedcross remain the Speedcross, comfort, accuracy and cushioning. But his premature usire on hard ground also ...</v>
      </c>
    </row>
    <row r="16035">
      <c r="A16035" s="1">
        <v>5.0</v>
      </c>
      <c r="B16035" s="1" t="s">
        <v>15766</v>
      </c>
      <c r="C16035" t="str">
        <f>IFERROR(__xludf.DUMMYFUNCTION("GOOGLETRANSLATE(B16035, ""fr"", ""en"")"),"Great, and instructions in French This is the official brand recommended by the manufacturer Dolce Gusto. These are large 125 ml bottles, the French instructions are included")</f>
        <v>Great, and instructions in French This is the official brand recommended by the manufacturer Dolce Gusto. These are large 125 ml bottles, the French instructions are included</v>
      </c>
    </row>
    <row r="16036">
      <c r="A16036" s="1">
        <v>5.0</v>
      </c>
      <c r="B16036" s="1" t="s">
        <v>15767</v>
      </c>
      <c r="C16036" t="str">
        <f>IFERROR(__xludf.DUMMYFUNCTION("GOOGLETRANSLATE(B16036, ""fr"", ""en"")"),"A strongly advise! Barely into cp my child devours the books in this collection that are well suited to early learning and very rewarding! She finally comes to read to ""single"" and we'll read next progression level 2 it already begins to decipher so she"&amp;" took a taste read! I never comment on my purchases this collection all its merit and thanks! Recommend that more strongly!")</f>
        <v>A strongly advise! Barely into cp my child devours the books in this collection that are well suited to early learning and very rewarding! She finally comes to read to "single" and we'll read next progression level 2 it already begins to decipher so she took a taste read! I never comment on my purchases this collection all its merit and thanks! Recommend that more strongly!</v>
      </c>
    </row>
    <row r="16037">
      <c r="A16037" s="1">
        <v>5.0</v>
      </c>
      <c r="B16037" s="1" t="s">
        <v>15768</v>
      </c>
      <c r="C16037" t="str">
        <f>IFERROR(__xludf.DUMMYFUNCTION("GOOGLETRANSLATE(B16037, ""fr"", ""en"")"),"Very satisfied I love my sneakers They are beautiful and comfortable")</f>
        <v>Very satisfied I love my sneakers They are beautiful and comfortable</v>
      </c>
    </row>
    <row r="16038">
      <c r="A16038" s="1">
        <v>5.0</v>
      </c>
      <c r="B16038" s="1" t="s">
        <v>15769</v>
      </c>
      <c r="C16038" t="str">
        <f>IFERROR(__xludf.DUMMYFUNCTION("GOOGLETRANSLATE(B16038, ""fr"", ""en"")"),"beautiful beautiful pendant necklace to wear when it's sunny, it sparkles with all its lights and made a nice dress to go out, I recommend NINASUN")</f>
        <v>beautiful beautiful pendant necklace to wear when it's sunny, it sparkles with all its lights and made a nice dress to go out, I recommend NINASUN</v>
      </c>
    </row>
    <row r="16039">
      <c r="A16039" s="1">
        <v>5.0</v>
      </c>
      <c r="B16039" s="1" t="s">
        <v>508</v>
      </c>
      <c r="C16039" t="str">
        <f>IFERROR(__xludf.DUMMYFUNCTION("GOOGLETRANSLATE(B16039, ""fr"", ""en"")"),"Very well very well")</f>
        <v>Very well very well</v>
      </c>
    </row>
    <row r="16040">
      <c r="A16040" s="1">
        <v>5.0</v>
      </c>
      <c r="B16040" s="1" t="s">
        <v>15770</v>
      </c>
      <c r="C16040" t="str">
        <f>IFERROR(__xludf.DUMMYFUNCTION("GOOGLETRANSLATE(B16040, ""fr"", ""en"")"),"Excellent product Excellent shoes, just note that compared to running shoes, hiking shoes Shoe larger. To me 42.5 neat foot running in, 42.5 in this model walk at ease. With thick socks recovering empty space. Otherwise very satisfied because they are tru"&amp;"e slippers and amortized fantastic ❤️")</f>
        <v>Excellent product Excellent shoes, just note that compared to running shoes, hiking shoes Shoe larger. To me 42.5 neat foot running in, 42.5 in this model walk at ease. With thick socks recovering empty space. Otherwise very satisfied because they are true slippers and amortized fantastic ❤️</v>
      </c>
    </row>
    <row r="16041">
      <c r="A16041" s="1">
        <v>5.0</v>
      </c>
      <c r="B16041" s="1" t="s">
        <v>15771</v>
      </c>
      <c r="C16041" t="str">
        <f>IFERROR(__xludf.DUMMYFUNCTION("GOOGLETRANSLATE(B16041, ""fr"", ""en"")"),"Top ample and comfortable to wear. Never disappointed with this brand, I wear it with leggings and boots, it's just perfect! The fabric is suitable for winter, soft and fluid. Thank you for the quick delivery.")</f>
        <v>Top ample and comfortable to wear. Never disappointed with this brand, I wear it with leggings and boots, it's just perfect! The fabric is suitable for winter, soft and fluid. Thank you for the quick delivery.</v>
      </c>
    </row>
    <row r="16042">
      <c r="A16042" s="1">
        <v>5.0</v>
      </c>
      <c r="B16042" s="1" t="s">
        <v>15772</v>
      </c>
      <c r="C16042" t="str">
        <f>IFERROR(__xludf.DUMMYFUNCTION("GOOGLETRANSLATE(B16042, ""fr"", ""en"")"),"Handkerchiefs thick well as we like! I was really surprised by these handkerchiefs: they are really thick and the first time I took one, I believed in taking several at the same time! So I find this really practical tissues, especially in cases of severe "&amp;"cold that lasts (as this winter), because it is really nice to blow his nose without having their hands full because of too thin handkerchief. Here, no risk! This handkerchief is reliable.")</f>
        <v>Handkerchiefs thick well as we like! I was really surprised by these handkerchiefs: they are really thick and the first time I took one, I believed in taking several at the same time! So I find this really practical tissues, especially in cases of severe cold that lasts (as this winter), because it is really nice to blow his nose without having their hands full because of too thin handkerchief. Here, no risk! This handkerchief is reliable.</v>
      </c>
    </row>
    <row r="16043">
      <c r="A16043" s="1">
        <v>5.0</v>
      </c>
      <c r="B16043" s="1" t="s">
        <v>15773</v>
      </c>
      <c r="C16043" t="str">
        <f>IFERROR(__xludf.DUMMYFUNCTION("GOOGLETRANSLATE(B16043, ""fr"", ""en"")"),"Very nice comfortable sneakers and comfortable size a bit large")</f>
        <v>Very nice comfortable sneakers and comfortable size a bit large</v>
      </c>
    </row>
    <row r="16044">
      <c r="A16044" s="1">
        <v>5.0</v>
      </c>
      <c r="B16044" s="1" t="s">
        <v>15774</v>
      </c>
      <c r="C16044" t="str">
        <f>IFERROR(__xludf.DUMMYFUNCTION("GOOGLETRANSLATE(B16044, ""fr"", ""en"")"),"great strength to report")</f>
        <v>great strength to report</v>
      </c>
    </row>
    <row r="16045">
      <c r="A16045" s="1">
        <v>5.0</v>
      </c>
      <c r="B16045" s="1" t="s">
        <v>15775</v>
      </c>
      <c r="C16045" t="str">
        <f>IFERROR(__xludf.DUMMYFUNCTION("GOOGLETRANSLATE(B16045, ""fr"", ""en"")"),"Perfect painkiller Recommended by friends I bought it, saying that it can could not hurt me. Grosse neck pain from a car accident facing a heavyweight. After 4 days I was able to greatly reduce the painkillers. Certainly it's not nice to lie on it (or get"&amp;" up !!) but after a few minutes it is lying. Relaxation, warmth, sense of well being. I recommend this product. It may not be effective for everyone but certainly worth testing it. As an individual I am delighted")</f>
        <v>Perfect painkiller Recommended by friends I bought it, saying that it can could not hurt me. Grosse neck pain from a car accident facing a heavyweight. After 4 days I was able to greatly reduce the painkillers. Certainly it's not nice to lie on it (or get up !!) but after a few minutes it is lying. Relaxation, warmth, sense of well being. I recommend this product. It may not be effective for everyone but certainly worth testing it. As an individual I am delighted</v>
      </c>
    </row>
    <row r="16046">
      <c r="A16046" s="1">
        <v>5.0</v>
      </c>
      <c r="B16046" s="1" t="s">
        <v>15776</v>
      </c>
      <c r="C16046" t="str">
        <f>IFERROR(__xludf.DUMMYFUNCTION("GOOGLETRANSLATE(B16046, ""fr"", ""en"")"),"top Nothing to say, perfect fast delivery")</f>
        <v>top Nothing to say, perfect fast delivery</v>
      </c>
    </row>
    <row r="16047">
      <c r="A16047" s="1">
        <v>2.0</v>
      </c>
      <c r="B16047" s="1" t="s">
        <v>15777</v>
      </c>
      <c r="C16047" t="str">
        <f>IFERROR(__xludf.DUMMYFUNCTION("GOOGLETRANSLATE(B16047, ""fr"", ""en"")"),"Too small Scheduled for the 40 .... we deliver me 37/38 Deceptioncar beautiful these flip flops I'll give them to someone ...")</f>
        <v>Too small Scheduled for the 40 .... we deliver me 37/38 Deceptioncar beautiful these flip flops I'll give them to someone ...</v>
      </c>
    </row>
    <row r="16048">
      <c r="A16048" s="1">
        <v>1.0</v>
      </c>
      <c r="B16048" s="1" t="s">
        <v>15778</v>
      </c>
      <c r="C16048" t="str">
        <f>IFERROR(__xludf.DUMMYFUNCTION("GOOGLETRANSLATE(B16048, ""fr"", ""en"")"),"DECEPTION The hood does not work, only the light on. The hood motor is blocked. Never mind, do not go on this site. Really disappointed.")</f>
        <v>DECEPTION The hood does not work, only the light on. The hood motor is blocked. Never mind, do not go on this site. Really disappointed.</v>
      </c>
    </row>
    <row r="16049">
      <c r="A16049" s="1">
        <v>1.0</v>
      </c>
      <c r="B16049" s="1" t="s">
        <v>15779</v>
      </c>
      <c r="C16049" t="str">
        <f>IFERROR(__xludf.DUMMYFUNCTION("GOOGLETRANSLATE(B16049, ""fr"", ""en"")"),"Listen / Difficult to connect Hello proceeds received today farmhouse with default easy to connect my only gives a sound each side has both not both at the same weird Temp. Doesnt set impossible to connect all try two more times my nothing")</f>
        <v>Listen / Difficult to connect Hello proceeds received today farmhouse with default easy to connect my only gives a sound each side has both not both at the same weird Temp. Doesnt set impossible to connect all try two more times my nothing</v>
      </c>
    </row>
    <row r="16050">
      <c r="A16050" s="1">
        <v>3.0</v>
      </c>
      <c r="B16050" s="1" t="s">
        <v>15780</v>
      </c>
      <c r="C16050" t="str">
        <f>IFERROR(__xludf.DUMMYFUNCTION("GOOGLETRANSLATE(B16050, ""fr"", ""en"")"),"Bluetooth Earpiece Very nice product not suitable for me my damage Caution if postage return expected")</f>
        <v>Bluetooth Earpiece Very nice product not suitable for me my damage Caution if postage return expected</v>
      </c>
    </row>
    <row r="16051">
      <c r="A16051" s="1">
        <v>3.0</v>
      </c>
      <c r="B16051" s="1" t="s">
        <v>15781</v>
      </c>
      <c r="C16051" t="str">
        <f>IFERROR(__xludf.DUMMYFUNCTION("GOOGLETRANSLATE(B16051, ""fr"", ""en"")"),"To end Nike consistently good Unfortunately for foot end ...")</f>
        <v>To end Nike consistently good Unfortunately for foot end ...</v>
      </c>
    </row>
    <row r="16052">
      <c r="A16052" s="1">
        <v>4.0</v>
      </c>
      <c r="B16052" s="1" t="s">
        <v>15782</v>
      </c>
      <c r="C16052" t="str">
        <f>IFERROR(__xludf.DUMMYFUNCTION("GOOGLETRANSLATE(B16052, ""fr"", ""en"")"),"Very good value My wife is delighted to have helmet. The sound is very good. She can finally listen to his music in all tranquility when our daughter sleep")</f>
        <v>Very good value My wife is delighted to have helmet. The sound is very good. She can finally listen to his music in all tranquility when our daughter sleep</v>
      </c>
    </row>
    <row r="16053">
      <c r="A16053" s="1">
        <v>4.0</v>
      </c>
      <c r="B16053" s="1" t="s">
        <v>15783</v>
      </c>
      <c r="C16053" t="str">
        <f>IFERROR(__xludf.DUMMYFUNCTION("GOOGLETRANSLATE(B16053, ""fr"", ""en"")"),"N There are no instructions in French. What makes a complicated can the grip. Good quality, lightweight: practice. fast and accurate enough results.")</f>
        <v>N There are no instructions in French. What makes a complicated can the grip. Good quality, lightweight: practice. fast and accurate enough results.</v>
      </c>
    </row>
    <row r="16054">
      <c r="A16054" s="1">
        <v>4.0</v>
      </c>
      <c r="B16054" s="1" t="s">
        <v>15784</v>
      </c>
      <c r="C16054" t="str">
        <f>IFERROR(__xludf.DUMMYFUNCTION("GOOGLETRANSLATE(B16054, ""fr"", ""en"")"),"Very efficient and good quality long term")</f>
        <v>Very efficient and good quality long term</v>
      </c>
    </row>
    <row r="16055">
      <c r="A16055" s="1">
        <v>4.0</v>
      </c>
      <c r="B16055" s="1" t="s">
        <v>15785</v>
      </c>
      <c r="C16055" t="str">
        <f>IFERROR(__xludf.DUMMYFUNCTION("GOOGLETRANSLATE(B16055, ""fr"", ""en"")"),"Good value for money. Good value for money.")</f>
        <v>Good value for money. Good value for money.</v>
      </c>
    </row>
    <row r="16056">
      <c r="A16056" s="1">
        <v>5.0</v>
      </c>
      <c r="B16056" s="1" t="s">
        <v>15786</v>
      </c>
      <c r="C16056" t="str">
        <f>IFERROR(__xludf.DUMMYFUNCTION("GOOGLETRANSLATE(B16056, ""fr"", ""en"")"),"Not bad quality sound quite does the job")</f>
        <v>Not bad quality sound quite does the job</v>
      </c>
    </row>
    <row r="16057">
      <c r="A16057" s="1">
        <v>5.0</v>
      </c>
      <c r="B16057" s="1" t="s">
        <v>15787</v>
      </c>
      <c r="C16057" t="str">
        <f>IFERROR(__xludf.DUMMYFUNCTION("GOOGLETRANSLATE(B16057, ""fr"", ""en"")"),"Impeccable Following the advice of other buyers I took a lower than usual size and I can exchange the shoes as too small. It's true that the top halves would sizes. Conclusion ordered the usual mount Exchange super fast 😊")</f>
        <v>Impeccable Following the advice of other buyers I took a lower than usual size and I can exchange the shoes as too small. It's true that the top halves would sizes. Conclusion ordered the usual mount Exchange super fast 😊</v>
      </c>
    </row>
    <row r="16058">
      <c r="A16058" s="1">
        <v>5.0</v>
      </c>
      <c r="B16058" s="1" t="s">
        <v>15788</v>
      </c>
      <c r="C16058" t="str">
        <f>IFERROR(__xludf.DUMMYFUNCTION("GOOGLETRANSLATE(B16058, ""fr"", ""en"")"),"GIFT my little son was delighted with his gift he found his watch classy my little son is 10 years old")</f>
        <v>GIFT my little son was delighted with his gift he found his watch classy my little son is 10 years old</v>
      </c>
    </row>
    <row r="16059">
      <c r="A16059" s="1">
        <v>5.0</v>
      </c>
      <c r="B16059" s="1" t="s">
        <v>15789</v>
      </c>
      <c r="C16059" t="str">
        <f>IFERROR(__xludf.DUMMYFUNCTION("GOOGLETRANSLATE(B16059, ""fr"", ""en"")"),"good product very good kitchen shoe, comfortable and does not slip on wet floor")</f>
        <v>good product very good kitchen shoe, comfortable and does not slip on wet floor</v>
      </c>
    </row>
    <row r="16060">
      <c r="A16060" s="1">
        <v>5.0</v>
      </c>
      <c r="B16060" s="1" t="s">
        <v>15790</v>
      </c>
      <c r="C16060" t="str">
        <f>IFERROR(__xludf.DUMMYFUNCTION("GOOGLETRANSLATE(B16060, ""fr"", ""en"")"),"Complies The article description. After use, the socks are comfortable and do not fade in the wash. To see in the long term.")</f>
        <v>Complies The article description. After use, the socks are comfortable and do not fade in the wash. To see in the long term.</v>
      </c>
    </row>
    <row r="16061">
      <c r="A16061" s="1">
        <v>5.0</v>
      </c>
      <c r="B16061" s="1" t="s">
        <v>15791</v>
      </c>
      <c r="C16061" t="str">
        <f>IFERROR(__xludf.DUMMYFUNCTION("GOOGLETRANSLATE(B16061, ""fr"", ""en"")"),"Perfectly perfect fit on bottles kits Medela breast pumps are perfect for my premature baby, who taught and managed to suck with, hyper product suitable for small mouths that tire quickly.")</f>
        <v>Perfectly perfect fit on bottles kits Medela breast pumps are perfect for my premature baby, who taught and managed to suck with, hyper product suitable for small mouths that tire quickly.</v>
      </c>
    </row>
    <row r="16062">
      <c r="A16062" s="1">
        <v>5.0</v>
      </c>
      <c r="B16062" s="1" t="s">
        <v>15792</v>
      </c>
      <c r="C16062" t="str">
        <f>IFERROR(__xludf.DUMMYFUNCTION("GOOGLETRANSLATE(B16062, ""fr"", ""en"")"),"Easy and convenient In perfectly in baby bottles, brush very soft but effective. Good grip and small nozzle to clean the teats handy.")</f>
        <v>Easy and convenient In perfectly in baby bottles, brush very soft but effective. Good grip and small nozzle to clean the teats handy.</v>
      </c>
    </row>
    <row r="16063">
      <c r="A16063" s="1">
        <v>5.0</v>
      </c>
      <c r="B16063" s="1" t="s">
        <v>15793</v>
      </c>
      <c r="C16063" t="str">
        <f>IFERROR(__xludf.DUMMYFUNCTION("GOOGLETRANSLATE(B16063, ""fr"", ""en"")"),"beautiful control section")</f>
        <v>beautiful control section</v>
      </c>
    </row>
    <row r="16064">
      <c r="A16064" s="1">
        <v>5.0</v>
      </c>
      <c r="B16064" s="1" t="s">
        <v>15794</v>
      </c>
      <c r="C16064" t="str">
        <f>IFERROR(__xludf.DUMMYFUNCTION("GOOGLETRANSLATE(B16064, ""fr"", ""en"")"),"Super Micro How about a hand ouahhh I know one who will be delighted when it will unpack their Christmas package. I took a picture because I found even more beautiful than the picture of the sale. The sound is great and works even when you move the microp"&amp;"hone to the mouth. I am more than happy with my purchase and I think soon buy another for the little sister ;-). I recommend this article")</f>
        <v>Super Micro How about a hand ouahhh I know one who will be delighted when it will unpack their Christmas package. I took a picture because I found even more beautiful than the picture of the sale. The sound is great and works even when you move the microphone to the mouth. I am more than happy with my purchase and I think soon buy another for the little sister ;-). I recommend this article</v>
      </c>
    </row>
    <row r="16065">
      <c r="A16065" s="1">
        <v>5.0</v>
      </c>
      <c r="B16065" s="1" t="s">
        <v>15795</v>
      </c>
      <c r="C16065" t="str">
        <f>IFERROR(__xludf.DUMMYFUNCTION("GOOGLETRANSLATE(B16065, ""fr"", ""en"")"),"Although suitable for my daughter of 23 months pat felts to make points and made great traits for color and draw")</f>
        <v>Although suitable for my daughter of 23 months pat felts to make points and made great traits for color and draw</v>
      </c>
    </row>
    <row r="16066">
      <c r="A16066" s="1">
        <v>5.0</v>
      </c>
      <c r="B16066" s="1" t="s">
        <v>15796</v>
      </c>
      <c r="C16066" t="str">
        <f>IFERROR(__xludf.DUMMYFUNCTION("GOOGLETRANSLATE(B16066, ""fr"", ""en"")"),"Earphone Headset perfect good quality used with an adapter to connect to an iPhone 7")</f>
        <v>Earphone Headset perfect good quality used with an adapter to connect to an iPhone 7</v>
      </c>
    </row>
    <row r="16067">
      <c r="A16067" s="1">
        <v>5.0</v>
      </c>
      <c r="B16067" s="1" t="s">
        <v>15797</v>
      </c>
      <c r="C16067" t="str">
        <f>IFERROR(__xludf.DUMMYFUNCTION("GOOGLETRANSLATE(B16067, ""fr"", ""en"")"),"RAS everything is consistent with the description. Conforms to manufacturer's specification as well as on the website. Easy to set up, time of disconnection time but it seems to come from my phone.")</f>
        <v>RAS everything is consistent with the description. Conforms to manufacturer's specification as well as on the website. Easy to set up, time of disconnection time but it seems to come from my phone.</v>
      </c>
    </row>
    <row r="16068">
      <c r="A16068" s="1">
        <v>5.0</v>
      </c>
      <c r="B16068" s="1" t="s">
        <v>15798</v>
      </c>
      <c r="C16068" t="str">
        <f>IFERROR(__xludf.DUMMYFUNCTION("GOOGLETRANSLATE(B16068, ""fr"", ""en"")"),"pencils Quality Products")</f>
        <v>pencils Quality Products</v>
      </c>
    </row>
    <row r="16069">
      <c r="A16069" s="1">
        <v>5.0</v>
      </c>
      <c r="B16069" s="1" t="s">
        <v>15799</v>
      </c>
      <c r="C16069" t="str">
        <f>IFERROR(__xludf.DUMMYFUNCTION("GOOGLETRANSLATE(B16069, ""fr"", ""en"")"),"Top good they are lingètes swiffer classic I prefer the generic brands personnelement. Ellesaccrochent better and I think with cats toris not luxury")</f>
        <v>Top good they are lingètes swiffer classic I prefer the generic brands personnelement. Ellesaccrochent better and I think with cats toris not luxury</v>
      </c>
    </row>
    <row r="16070">
      <c r="A16070" s="1">
        <v>5.0</v>
      </c>
      <c r="B16070" s="1" t="s">
        <v>15800</v>
      </c>
      <c r="C16070" t="str">
        <f>IFERROR(__xludf.DUMMYFUNCTION("GOOGLETRANSLATE(B16070, ""fr"", ""en"")"),"castor oil I recommend this product from its price for organic and comparison to other sites ... I use it for too little time to tell if my eyelashes / hair will grow faster, but I hope so! otherwise website delivery etc impeccable!")</f>
        <v>castor oil I recommend this product from its price for organic and comparison to other sites ... I use it for too little time to tell if my eyelashes / hair will grow faster, but I hope so! otherwise website delivery etc impeccable!</v>
      </c>
    </row>
    <row r="16071">
      <c r="A16071" s="1">
        <v>2.0</v>
      </c>
      <c r="B16071" s="1" t="s">
        <v>15801</v>
      </c>
      <c r="C16071" t="str">
        <f>IFERROR(__xludf.DUMMYFUNCTION("GOOGLETRANSLATE(B16071, ""fr"", ""en"")"),"unstable active reduction in terms of my experience. I sent my purchase for a reason. If sound quality is at the rendezvous, I was skeptical about the reliability of the active noise reduction. Indeed, it is of good quality but in an unstable environment,"&amp;" it greatly disappointed me. Sitting on a bus to an estimated 4 hours, when the road was not smooth, the active noise reduction jumping. There was such a strong and unpleasant noise disturbance when the bus came on barriers types, potholes, bumps etc. By "&amp;"the foncrion analysis and adaptation to the environment nothing worked.")</f>
        <v>unstable active reduction in terms of my experience. I sent my purchase for a reason. If sound quality is at the rendezvous, I was skeptical about the reliability of the active noise reduction. Indeed, it is of good quality but in an unstable environment, it greatly disappointed me. Sitting on a bus to an estimated 4 hours, when the road was not smooth, the active noise reduction jumping. There was such a strong and unpleasant noise disturbance when the bus came on barriers types, potholes, bumps etc. By the foncrion analysis and adaptation to the environment nothing worked.</v>
      </c>
    </row>
    <row r="16072">
      <c r="A16072" s="1">
        <v>1.0</v>
      </c>
      <c r="B16072" s="1" t="s">
        <v>15802</v>
      </c>
      <c r="C16072" t="str">
        <f>IFERROR(__xludf.DUMMYFUNCTION("GOOGLETRANSLATE(B16072, ""fr"", ""en"")"),"Not great at all as a service The product is lovely and the size is good but it really lacks serious The first order we received 2 feet left had to return. The 2nd, the two shoes were stained with yellow on top! Can not keep it ... So disgusting on the wh"&amp;"ite again returned I do not think a remake tries despite that it has rained auraoeng my daughter")</f>
        <v>Not great at all as a service The product is lovely and the size is good but it really lacks serious The first order we received 2 feet left had to return. The 2nd, the two shoes were stained with yellow on top! Can not keep it ... So disgusting on the white again returned I do not think a remake tries despite that it has rained auraoeng my daughter</v>
      </c>
    </row>
    <row r="16073">
      <c r="A16073" s="1">
        <v>1.0</v>
      </c>
      <c r="B16073" s="1" t="s">
        <v>15803</v>
      </c>
      <c r="C16073" t="str">
        <f>IFERROR(__xludf.DUMMYFUNCTION("GOOGLETRANSLATE(B16073, ""fr"", ""en"")"),"Really disappointed Product happened without some full protection and tape compared to those sold in commerce")</f>
        <v>Really disappointed Product happened without some full protection and tape compared to those sold in commerce</v>
      </c>
    </row>
    <row r="16074">
      <c r="A16074" s="1">
        <v>3.0</v>
      </c>
      <c r="B16074" s="1" t="s">
        <v>15804</v>
      </c>
      <c r="C16074" t="str">
        <f>IFERROR(__xludf.DUMMYFUNCTION("GOOGLETRANSLATE(B16074, ""fr"", ""en"")"),"GREAT rather pretty ... good quality is pretty fabric. very large May !! on the photo appears midsize suddenly a little surprised!")</f>
        <v>GREAT rather pretty ... good quality is pretty fabric. very large May !! on the photo appears midsize suddenly a little surprised!</v>
      </c>
    </row>
    <row r="16075">
      <c r="A16075" s="1">
        <v>4.0</v>
      </c>
      <c r="B16075" s="1" t="s">
        <v>15805</v>
      </c>
      <c r="C16075" t="str">
        <f>IFERROR(__xludf.DUMMYFUNCTION("GOOGLETRANSLATE(B16075, ""fr"", ""en"")"),"Meets Ras consistent with the description")</f>
        <v>Meets Ras consistent with the description</v>
      </c>
    </row>
    <row r="16076">
      <c r="A16076" s="1">
        <v>4.0</v>
      </c>
      <c r="B16076" s="1" t="s">
        <v>15806</v>
      </c>
      <c r="C16076" t="str">
        <f>IFERROR(__xludf.DUMMYFUNCTION("GOOGLETRANSLATE(B16076, ""fr"", ""en"")"),"wearable leggings It is really comfortable to wear, almost a second skin tight. It is hot and the texture is soft. I am less a fan of bright color but it is fairly light it passes.")</f>
        <v>wearable leggings It is really comfortable to wear, almost a second skin tight. It is hot and the texture is soft. I am less a fan of bright color but it is fairly light it passes.</v>
      </c>
    </row>
    <row r="16077">
      <c r="A16077" s="1">
        <v>4.0</v>
      </c>
      <c r="B16077" s="1" t="s">
        <v>15807</v>
      </c>
      <c r="C16077" t="str">
        <f>IFERROR(__xludf.DUMMYFUNCTION("GOOGLETRANSLATE(B16077, ""fr"", ""en"")"),"It lacks a flag Beautiful ... Scratch cards! Only small problem on the European map, it lacks the flag of Norway 🇳🇴😕")</f>
        <v>It lacks a flag Beautiful ... Scratch cards! Only small problem on the European map, it lacks the flag of Norway 🇳🇴😕</v>
      </c>
    </row>
    <row r="16078">
      <c r="A16078" s="1">
        <v>4.0</v>
      </c>
      <c r="B16078" s="1" t="s">
        <v>15808</v>
      </c>
      <c r="C16078" t="str">
        <f>IFERROR(__xludf.DUMMYFUNCTION("GOOGLETRANSLATE(B16078, ""fr"", ""en"")"),"Comfortable and friendly Meets description for both colors for size, comfortable and attractive. It's like in slippers!")</f>
        <v>Comfortable and friendly Meets description for both colors for size, comfortable and attractive. It's like in slippers!</v>
      </c>
    </row>
    <row r="16079">
      <c r="A16079" s="1">
        <v>5.0</v>
      </c>
      <c r="B16079" s="1" t="s">
        <v>15809</v>
      </c>
      <c r="C16079" t="str">
        <f>IFERROR(__xludf.DUMMYFUNCTION("GOOGLETRANSLATE(B16079, ""fr"", ""en"")"),"Fully satisfied with the quality of these refills are the same as those bought in a store. The only difference is the amazon price, which is more attractive. I recommend!")</f>
        <v>Fully satisfied with the quality of these refills are the same as those bought in a store. The only difference is the amazon price, which is more attractive. I recommend!</v>
      </c>
    </row>
    <row r="16080">
      <c r="A16080" s="1">
        <v>5.0</v>
      </c>
      <c r="B16080" s="1" t="s">
        <v>15810</v>
      </c>
      <c r="C16080" t="str">
        <f>IFERROR(__xludf.DUMMYFUNCTION("GOOGLETRANSLATE(B16080, ""fr"", ""en"")"),"I recommend it too much as I love slippers")</f>
        <v>I recommend it too much as I love slippers</v>
      </c>
    </row>
    <row r="16081">
      <c r="A16081" s="1">
        <v>5.0</v>
      </c>
      <c r="B16081" s="1" t="s">
        <v>15811</v>
      </c>
      <c r="C16081" t="str">
        <f>IFERROR(__xludf.DUMMYFUNCTION("GOOGLETRANSLATE(B16081, ""fr"", ""en"")"),"width it just falls in my foot")</f>
        <v>width it just falls in my foot</v>
      </c>
    </row>
    <row r="16082">
      <c r="A16082" s="1">
        <v>5.0</v>
      </c>
      <c r="B16082" s="1" t="s">
        <v>15812</v>
      </c>
      <c r="C16082" t="str">
        <f>IFERROR(__xludf.DUMMYFUNCTION("GOOGLETRANSLATE(B16082, ""fr"", ""en"")"),"Watch trendy and pretty I bought this watch because it is trendy, it pleases all age range Beautiful finish fast delivery and careful in a presentation box very serious seller, these watches can be the gift of object (price)")</f>
        <v>Watch trendy and pretty I bought this watch because it is trendy, it pleases all age range Beautiful finish fast delivery and careful in a presentation box very serious seller, these watches can be the gift of object (price)</v>
      </c>
    </row>
    <row r="16083">
      <c r="A16083" s="1">
        <v>5.0</v>
      </c>
      <c r="B16083" s="1" t="s">
        <v>15813</v>
      </c>
      <c r="C16083" t="str">
        <f>IFERROR(__xludf.DUMMYFUNCTION("GOOGLETRANSLATE(B16083, ""fr"", ""en"")"),"Asics Mission-gel3 Received quickly, corresponding to my expectations ... I took a half size larger and I would not ... but are comfortable for walking and sober for the city. See in time ...")</f>
        <v>Asics Mission-gel3 Received quickly, corresponding to my expectations ... I took a half size larger and I would not ... but are comfortable for walking and sober for the city. See in time ...</v>
      </c>
    </row>
    <row r="16084">
      <c r="A16084" s="1">
        <v>5.0</v>
      </c>
      <c r="B16084" s="1" t="s">
        <v>15814</v>
      </c>
      <c r="C16084" t="str">
        <f>IFERROR(__xludf.DUMMYFUNCTION("GOOGLETRANSLATE(B16084, ""fr"", ""en"")"),"Fast thank you very much")</f>
        <v>Fast thank you very much</v>
      </c>
    </row>
    <row r="16085">
      <c r="A16085" s="1">
        <v>5.0</v>
      </c>
      <c r="B16085" s="1" t="s">
        <v>15815</v>
      </c>
      <c r="C16085" t="str">
        <f>IFERROR(__xludf.DUMMYFUNCTION("GOOGLETRANSLATE(B16085, ""fr"", ""en"")"),"Perfect top nothing to say")</f>
        <v>Perfect top nothing to say</v>
      </c>
    </row>
    <row r="16086">
      <c r="A16086" s="1">
        <v>5.0</v>
      </c>
      <c r="B16086" s="1" t="s">
        <v>15816</v>
      </c>
      <c r="C16086" t="str">
        <f>IFERROR(__xludf.DUMMYFUNCTION("GOOGLETRANSLATE(B16086, ""fr"", ""en"")"),"Good book for beginners in reading, well suited for the Christmas period Books from the collections allow a child to read CP only because all words are easily decipherable. As a literary interest is not necessarily to go but it pleases them while alternat"&amp;"ing real good stories to listen great!")</f>
        <v>Good book for beginners in reading, well suited for the Christmas period Books from the collections allow a child to read CP only because all words are easily decipherable. As a literary interest is not necessarily to go but it pleases them while alternating real good stories to listen great!</v>
      </c>
    </row>
    <row r="16087">
      <c r="A16087" s="1">
        <v>5.0</v>
      </c>
      <c r="B16087" s="1" t="s">
        <v>15817</v>
      </c>
      <c r="C16087" t="str">
        <f>IFERROR(__xludf.DUMMYFUNCTION("GOOGLETRANSLATE(B16087, ""fr"", ""en"")"),"Super nice and very satisfactory product delivery. Super nice plates.")</f>
        <v>Super nice and very satisfactory product delivery. Super nice plates.</v>
      </c>
    </row>
    <row r="16088">
      <c r="A16088" s="1">
        <v>5.0</v>
      </c>
      <c r="B16088" s="1" t="s">
        <v>15818</v>
      </c>
      <c r="C16088" t="str">
        <f>IFERROR(__xludf.DUMMYFUNCTION("GOOGLETRANSLATE(B16088, ""fr"", ""en"")"),"Perfect ! Practice, it can be hot drinks around the time that you can plug into a power outlet. This heats quickly, very warm, sturdy, easy to carry, for lovers of tea, herbal tea, instant coffee ...")</f>
        <v>Perfect ! Practice, it can be hot drinks around the time that you can plug into a power outlet. This heats quickly, very warm, sturdy, easy to carry, for lovers of tea, herbal tea, instant coffee ...</v>
      </c>
    </row>
    <row r="16089">
      <c r="A16089" s="1">
        <v>5.0</v>
      </c>
      <c r="B16089" s="1" t="s">
        <v>15819</v>
      </c>
      <c r="C16089" t="str">
        <f>IFERROR(__xludf.DUMMYFUNCTION("GOOGLETRANSLATE(B16089, ""fr"", ""en"")"),"shoes very well")</f>
        <v>shoes very well</v>
      </c>
    </row>
    <row r="16090">
      <c r="A16090" s="1">
        <v>5.0</v>
      </c>
      <c r="B16090" s="1" t="s">
        <v>15820</v>
      </c>
      <c r="C16090" t="str">
        <f>IFERROR(__xludf.DUMMYFUNCTION("GOOGLETRANSLATE(B16090, ""fr"", ""en"")"),"Great for chips do my laundry home")</f>
        <v>Great for chips do my laundry home</v>
      </c>
    </row>
    <row r="16091">
      <c r="A16091" s="1">
        <v>5.0</v>
      </c>
      <c r="B16091" s="1" t="s">
        <v>15821</v>
      </c>
      <c r="C16091" t="str">
        <f>IFERROR(__xludf.DUMMYFUNCTION("GOOGLETRANSLATE(B16091, ""fr"", ""en"")"),"Gorgeous shoes multi activities. I usually shoes of 42, I ordered 42.6, and I do not regret at all. They are light and airy. After a day of walking, no pain felt at the foot level and back. I'm very happy.")</f>
        <v>Gorgeous shoes multi activities. I usually shoes of 42, I ordered 42.6, and I do not regret at all. They are light and airy. After a day of walking, no pain felt at the foot level and back. I'm very happy.</v>
      </c>
    </row>
    <row r="16092">
      <c r="A16092" s="1">
        <v>5.0</v>
      </c>
      <c r="B16092" s="1" t="s">
        <v>15822</v>
      </c>
      <c r="C16092" t="str">
        <f>IFERROR(__xludf.DUMMYFUNCTION("GOOGLETRANSLATE(B16092, ""fr"", ""en"")"),"Excellent product for a birthday gift, I decided to choose the helmet for several reasons. First, the price. I had not much to put on, and at the time of purchase there were reductions (late November, early December 2018, the price was about 50-55 euros a"&amp;"gainst 80 on the Corsair website.) Second , the quality. Not knowing so gamers products, I have read several reviews of the Corsair brand, all satisfied with their products. And indeed, this headset in addition to having a simple but beautiful design (and"&amp;", eventually) it is as practical as good. - Design simple but beautiful with finishes such as seams or the circle and the mark of a silver that make it really beautiful product. - Convenient because we can remove the microphone to become a classic helmet."&amp;" The fact that it is compatible with Discord is as comfortable, for example the small button to mute the microphone is very convenient when in full party, you want to sneeze or blow your nose ... - Good quality as it will not break when you take or that t"&amp;"he door. Same for the yet detachable microphone, and the cable to the air to withstand all tests. On top of that, there is a software or you can adjust your sound as you want and thus save multiple ""profiles"" depending on whether you are playing a game "&amp;"of adventure or horror, or if you listen to metal or classic ... the only small problem: If the player listening to music, discord on this can be understood (very low) do we incorrectly set the microphone sensitivity? Perhaps. Anyway, if you are in push t"&amp;"o talk or if you have gotten used to cut your mic manually with the button on your headset, it will disturb anything. Especially since we are talking of a very low sound. In summary, a very good helmet for a very good price / quality ratio. Thank you.")</f>
        <v>Excellent product for a birthday gift, I decided to choose the helmet for several reasons. First, the price. I had not much to put on, and at the time of purchase there were reductions (late November, early December 2018, the price was about 50-55 euros against 80 on the Corsair website.) Second , the quality. Not knowing so gamers products, I have read several reviews of the Corsair brand, all satisfied with their products. And indeed, this headset in addition to having a simple but beautiful design (and, eventually) it is as practical as good. - Design simple but beautiful with finishes such as seams or the circle and the mark of a silver that make it really beautiful product. - Convenient because we can remove the microphone to become a classic helmet. The fact that it is compatible with Discord is as comfortable, for example the small button to mute the microphone is very convenient when in full party, you want to sneeze or blow your nose ... - Good quality as it will not break when you take or that the door. Same for the yet detachable microphone, and the cable to the air to withstand all tests. On top of that, there is a software or you can adjust your sound as you want and thus save multiple "profiles" depending on whether you are playing a game of adventure or horror, or if you listen to metal or classic ... the only small problem: If the player listening to music, discord on this can be understood (very low) do we incorrectly set the microphone sensitivity? Perhaps. Anyway, if you are in push to talk or if you have gotten used to cut your mic manually with the button on your headset, it will disturb anything. Especially since we are talking of a very low sound. In summary, a very good helmet for a very good price / quality ratio. Thank you.</v>
      </c>
    </row>
    <row r="16093">
      <c r="A16093" s="1">
        <v>5.0</v>
      </c>
      <c r="B16093" s="1" t="s">
        <v>15823</v>
      </c>
      <c r="C16093" t="str">
        <f>IFERROR(__xludf.DUMMYFUNCTION("GOOGLETRANSLATE(B16093, ""fr"", ""en"")"),"Good value Sweat Good quality I recommend.")</f>
        <v>Good value Sweat Good quality I recommend.</v>
      </c>
    </row>
    <row r="16094">
      <c r="A16094" s="1">
        <v>2.0</v>
      </c>
      <c r="B16094" s="1" t="s">
        <v>15824</v>
      </c>
      <c r="C16094" t="str">
        <f>IFERROR(__xludf.DUMMYFUNCTION("GOOGLETRANSLATE(B16094, ""fr"", ""en"")"),"Perched deconseille bad product that is quickly broken ... deconseille to all people who want a durable ... poor quality of this product may be that it was an exception and that the others are better")</f>
        <v>Perched deconseille bad product that is quickly broken ... deconseille to all people who want a durable ... poor quality of this product may be that it was an exception and that the others are better</v>
      </c>
    </row>
    <row r="16095">
      <c r="A16095" s="1">
        <v>1.0</v>
      </c>
      <c r="B16095" s="1" t="s">
        <v>15825</v>
      </c>
      <c r="C16095" t="str">
        <f>IFERROR(__xludf.DUMMYFUNCTION("GOOGLETRANSLATE(B16095, ""fr"", ""en"")"),"Too hot coffee and tasteless Petit dej")</f>
        <v>Too hot coffee and tasteless Petit dej</v>
      </c>
    </row>
    <row r="16096">
      <c r="A16096" s="1">
        <v>3.0</v>
      </c>
      <c r="B16096" s="1" t="s">
        <v>15826</v>
      </c>
      <c r="C16096" t="str">
        <f>IFERROR(__xludf.DUMMYFUNCTION("GOOGLETRANSLATE(B16096, ""fr"", ""en"")"),"Size 1 fair bit Rather satisfied: comfortable shoes; footwear usually of 37, I find little tight 1, 1 + half shoe size would have been fine. I keep them because I think they will relax one bit with use.")</f>
        <v>Size 1 fair bit Rather satisfied: comfortable shoes; footwear usually of 37, I find little tight 1, 1 + half shoe size would have been fine. I keep them because I think they will relax one bit with use.</v>
      </c>
    </row>
    <row r="16097">
      <c r="A16097" s="1">
        <v>3.0</v>
      </c>
      <c r="B16097" s="1" t="s">
        <v>15827</v>
      </c>
      <c r="C16097" t="str">
        <f>IFERROR(__xludf.DUMMYFUNCTION("GOOGLETRANSLATE(B16097, ""fr"", ""en"")"),"Sizzling and crackling during calls the person hears us badly a little disappointed with the product more delivered late")</f>
        <v>Sizzling and crackling during calls the person hears us badly a little disappointed with the product more delivered late</v>
      </c>
    </row>
    <row r="16098">
      <c r="A16098" s="1">
        <v>4.0</v>
      </c>
      <c r="B16098" s="1" t="s">
        <v>15828</v>
      </c>
      <c r="C16098" t="str">
        <f>IFERROR(__xludf.DUMMYFUNCTION("GOOGLETRANSLATE(B16098, ""fr"", ""en"")"),"cozy comfortable and pretty. I recommend.")</f>
        <v>cozy comfortable and pretty. I recommend.</v>
      </c>
    </row>
    <row r="16099">
      <c r="A16099" s="1">
        <v>4.0</v>
      </c>
      <c r="B16099" s="1" t="s">
        <v>15829</v>
      </c>
      <c r="C16099" t="str">
        <f>IFERROR(__xludf.DUMMYFUNCTION("GOOGLETRANSLATE(B16099, ""fr"", ""en"")"),"Compliant Product fully consistent with the picture of the site. Ok time! I recommend this product.")</f>
        <v>Compliant Product fully consistent with the picture of the site. Ok time! I recommend this product.</v>
      </c>
    </row>
    <row r="16100">
      <c r="A16100" s="1">
        <v>4.0</v>
      </c>
      <c r="B16100" s="1" t="s">
        <v>15830</v>
      </c>
      <c r="C16100" t="str">
        <f>IFERROR(__xludf.DUMMYFUNCTION("GOOGLETRANSLATE(B16100, ""fr"", ""en"")"),"Wireless earpiece Soudcore Liberty Air simply Headphones THE TOP certe expensive but okay.")</f>
        <v>Wireless earpiece Soudcore Liberty Air simply Headphones THE TOP certe expensive but okay.</v>
      </c>
    </row>
    <row r="16101">
      <c r="A16101" s="1">
        <v>4.0</v>
      </c>
      <c r="B16101" s="1" t="s">
        <v>15831</v>
      </c>
      <c r="C16101" t="str">
        <f>IFERROR(__xludf.DUMMYFUNCTION("GOOGLETRANSLATE(B16101, ""fr"", ""en"")"),"Fits the description, correct size to protect from rain, correct size")</f>
        <v>Fits the description, correct size to protect from rain, correct size</v>
      </c>
    </row>
    <row r="16102">
      <c r="A16102" s="1">
        <v>5.0</v>
      </c>
      <c r="B16102" s="1" t="s">
        <v>15832</v>
      </c>
      <c r="C16102" t="str">
        <f>IFERROR(__xludf.DUMMYFUNCTION("GOOGLETRANSLATE(B16102, ""fr"", ""en"")"),"At the top for kids My son was surprised by this gift, but told me it is very easy to read and fun. Well done and suitable for children !! I suggest it to you")</f>
        <v>At the top for kids My son was surprised by this gift, but told me it is very easy to read and fun. Well done and suitable for children !! I suggest it to you</v>
      </c>
    </row>
    <row r="16103">
      <c r="A16103" s="1">
        <v>5.0</v>
      </c>
      <c r="B16103" s="1" t="s">
        <v>15833</v>
      </c>
      <c r="C16103" t="str">
        <f>IFERROR(__xludf.DUMMYFUNCTION("GOOGLETRANSLATE(B16103, ""fr"", ""en"")"),"This door like a glove Super happy with my purchase. I took size S to 1.71 and 64 kg have time. Practice session for the legs.")</f>
        <v>This door like a glove Super happy with my purchase. I took size S to 1.71 and 64 kg have time. Practice session for the legs.</v>
      </c>
    </row>
    <row r="16104">
      <c r="A16104" s="1">
        <v>5.0</v>
      </c>
      <c r="B16104" s="1" t="s">
        <v>15834</v>
      </c>
      <c r="C16104" t="str">
        <f>IFERROR(__xludf.DUMMYFUNCTION("GOOGLETRANSLATE(B16104, ""fr"", ""en"")"),"Essential oil ideal essential oil to scent very effective, especially the trash and deodorize litter cat avoids all bad smells in the kitchen. Very pleasant fragrance, scent can change depending on his mood.")</f>
        <v>Essential oil ideal essential oil to scent very effective, especially the trash and deodorize litter cat avoids all bad smells in the kitchen. Very pleasant fragrance, scent can change depending on his mood.</v>
      </c>
    </row>
    <row r="16105">
      <c r="A16105" s="1">
        <v>5.0</v>
      </c>
      <c r="B16105" s="1" t="s">
        <v>15835</v>
      </c>
      <c r="C16105" t="str">
        <f>IFERROR(__xludf.DUMMYFUNCTION("GOOGLETRANSLATE(B16105, ""fr"", ""en"")"),"Quality is at the rendezvous Baby appreciate the flexible and soft teat of Tommee Tippee baby bottles and bottle in transition was so very well. Their ergonomic design makes cleaning the then very easily and sizes to transport easily in a small diaper bag"&amp;"! more reliable and infant safety are guaranteed without Bisphenol A. This range the colors blue and purple is more beautiful, which does not hurt!")</f>
        <v>Quality is at the rendezvous Baby appreciate the flexible and soft teat of Tommee Tippee baby bottles and bottle in transition was so very well. Their ergonomic design makes cleaning the then very easily and sizes to transport easily in a small diaper bag! more reliable and infant safety are guaranteed without Bisphenol A. This range the colors blue and purple is more beautiful, which does not hurt!</v>
      </c>
    </row>
    <row r="16106">
      <c r="A16106" s="1">
        <v>5.0</v>
      </c>
      <c r="B16106" s="1" t="s">
        <v>15836</v>
      </c>
      <c r="C16106" t="str">
        <f>IFERROR(__xludf.DUMMYFUNCTION("GOOGLETRANSLATE(B16106, ""fr"", ""en"")"),"cool size 58, I price the size adviser in the tables, it serves slightly, it remains comfortable with against it is not stretched, so a few folds here and there, a shame.")</f>
        <v>cool size 58, I price the size adviser in the tables, it serves slightly, it remains comfortable with against it is not stretched, so a few folds here and there, a shame.</v>
      </c>
    </row>
    <row r="16107">
      <c r="A16107" s="1">
        <v>5.0</v>
      </c>
      <c r="B16107" s="1" t="s">
        <v>15837</v>
      </c>
      <c r="C16107" t="str">
        <f>IFERROR(__xludf.DUMMYFUNCTION("GOOGLETRANSLATE(B16107, ""fr"", ""en"")"),"Tiger Balm that heats! this tiger balm really hot! I use it for my muscle pain and it really works. This Tiger Balm patch is a good size for behind the shoulder or the lower back, for example.")</f>
        <v>Tiger Balm that heats! this tiger balm really hot! I use it for my muscle pain and it really works. This Tiger Balm patch is a good size for behind the shoulder or the lower back, for example.</v>
      </c>
    </row>
    <row r="16108">
      <c r="A16108" s="1">
        <v>5.0</v>
      </c>
      <c r="B16108" s="1" t="s">
        <v>15838</v>
      </c>
      <c r="C16108" t="str">
        <f>IFERROR(__xludf.DUMMYFUNCTION("GOOGLETRANSLATE(B16108, ""fr"", ""en"")"),"very pleasant good product, well packaged, received in time! Ideal extra, just missing programs but very good value for money. Massage powerful and deep.")</f>
        <v>very pleasant good product, well packaged, received in time! Ideal extra, just missing programs but very good value for money. Massage powerful and deep.</v>
      </c>
    </row>
    <row r="16109">
      <c r="A16109" s="1">
        <v>5.0</v>
      </c>
      <c r="B16109" s="1" t="s">
        <v>15839</v>
      </c>
      <c r="C16109" t="str">
        <f>IFERROR(__xludf.DUMMYFUNCTION("GOOGLETRANSLATE(B16109, ""fr"", ""en"")"),"Do not take a size above I have every day for 12 feet Nickel")</f>
        <v>Do not take a size above I have every day for 12 feet Nickel</v>
      </c>
    </row>
    <row r="16110">
      <c r="A16110" s="1">
        <v>5.0</v>
      </c>
      <c r="B16110" s="1" t="s">
        <v>15840</v>
      </c>
      <c r="C16110" t="str">
        <f>IFERROR(__xludf.DUMMYFUNCTION("GOOGLETRANSLATE(B16110, ""fr"", ""en"")"),"Perfect This lot of 2 teats fit Avent bottle perfectly. Well studied, the baby is not with colic or choke. These teats sterilizer going very well and is resistant to heat. Do not bend! Bought € 4.50, which is reasonable, products Advent has never disappoi"&amp;"nted me, I recommend these teats.")</f>
        <v>Perfect This lot of 2 teats fit Avent bottle perfectly. Well studied, the baby is not with colic or choke. These teats sterilizer going very well and is resistant to heat. Do not bend! Bought € 4.50, which is reasonable, products Advent has never disappointed me, I recommend these teats.</v>
      </c>
    </row>
    <row r="16111">
      <c r="A16111" s="1">
        <v>5.0</v>
      </c>
      <c r="B16111" s="1" t="s">
        <v>15841</v>
      </c>
      <c r="C16111" t="str">
        <f>IFERROR(__xludf.DUMMYFUNCTION("GOOGLETRANSLATE(B16111, ""fr"", ""en"")"),"I recommend Very good product very good very strong brand")</f>
        <v>I recommend Very good product very good very strong brand</v>
      </c>
    </row>
    <row r="16112">
      <c r="A16112" s="1">
        <v>5.0</v>
      </c>
      <c r="B16112" s="1" t="s">
        <v>15842</v>
      </c>
      <c r="C16112" t="str">
        <f>IFERROR(__xludf.DUMMYFUNCTION("GOOGLETRANSLATE(B16112, ""fr"", ""en"")"),"Super good product accessories with beautiful colors")</f>
        <v>Super good product accessories with beautiful colors</v>
      </c>
    </row>
    <row r="16113">
      <c r="A16113" s="1">
        <v>5.0</v>
      </c>
      <c r="B16113" s="1" t="s">
        <v>15843</v>
      </c>
      <c r="C16113" t="str">
        <f>IFERROR(__xludf.DUMMYFUNCTION("GOOGLETRANSLATE(B16113, ""fr"", ""en"")"),"Well Met my expectations, nice color, nice and strong!")</f>
        <v>Well Met my expectations, nice color, nice and strong!</v>
      </c>
    </row>
    <row r="16114">
      <c r="A16114" s="1">
        <v>5.0</v>
      </c>
      <c r="B16114" s="1" t="s">
        <v>15844</v>
      </c>
      <c r="C16114" t="str">
        <f>IFERROR(__xludf.DUMMYFUNCTION("GOOGLETRANSLATE(B16114, ""fr"", ""en"")"),"washer fluid bottle and baby it is a very good, healthy and economical product! the bottle but I m ​​also serves all the dishes bb")</f>
        <v>washer fluid bottle and baby it is a very good, healthy and economical product! the bottle but I m ​​also serves all the dishes bb</v>
      </c>
    </row>
    <row r="16115">
      <c r="A16115" s="1">
        <v>5.0</v>
      </c>
      <c r="B16115" s="1" t="s">
        <v>15845</v>
      </c>
      <c r="C16115" t="str">
        <f>IFERROR(__xludf.DUMMYFUNCTION("GOOGLETRANSLATE(B16115, ""fr"", ""en"")"),"Pretty nice charm charm, with finesse")</f>
        <v>Pretty nice charm charm, with finesse</v>
      </c>
    </row>
    <row r="16116">
      <c r="A16116" s="1">
        <v>5.0</v>
      </c>
      <c r="B16116" s="1" t="s">
        <v>15846</v>
      </c>
      <c r="C16116" t="str">
        <f>IFERROR(__xludf.DUMMYFUNCTION("GOOGLETRANSLATE(B16116, ""fr"", ""en"")"),"very good product small breakfasted")</f>
        <v>very good product small breakfasted</v>
      </c>
    </row>
    <row r="16117">
      <c r="A16117" s="1">
        <v>2.0</v>
      </c>
      <c r="B16117" s="1" t="s">
        <v>15847</v>
      </c>
      <c r="C16117" t="str">
        <f>IFERROR(__xludf.DUMMYFUNCTION("GOOGLETRANSLATE(B16117, ""fr"", ""en"")"),"Disappointed I am disappointed by this article because it does not fit into any microphone that I have for airsoft")</f>
        <v>Disappointed I am disappointed by this article because it does not fit into any microphone that I have for airsoft</v>
      </c>
    </row>
    <row r="16118">
      <c r="A16118" s="1">
        <v>1.0</v>
      </c>
      <c r="B16118" s="1" t="s">
        <v>15848</v>
      </c>
      <c r="C16118" t="str">
        <f>IFERROR(__xludf.DUMMYFUNCTION("GOOGLETRANSLATE(B16118, ""fr"", ""en"")"),"No effect No effect felt painkiller. Another gadget .....")</f>
        <v>No effect No effect felt painkiller. Another gadget .....</v>
      </c>
    </row>
    <row r="16119">
      <c r="A16119" s="1">
        <v>1.0</v>
      </c>
      <c r="B16119" s="1" t="s">
        <v>15849</v>
      </c>
      <c r="C16119" t="str">
        <f>IFERROR(__xludf.DUMMYFUNCTION("GOOGLETRANSLATE(B16119, ""fr"", ""en"")"),"No longer works after even one month I bought this kettle for its design, but it no longer works after not even 1 month utilisitation. I do not understand why ... I will return.")</f>
        <v>No longer works after even one month I bought this kettle for its design, but it no longer works after not even 1 month utilisitation. I do not understand why ... I will return.</v>
      </c>
    </row>
    <row r="16120">
      <c r="A16120" s="1">
        <v>3.0</v>
      </c>
      <c r="B16120" s="1" t="s">
        <v>15850</v>
      </c>
      <c r="C16120" t="str">
        <f>IFERROR(__xludf.DUMMYFUNCTION("GOOGLETRANSLATE(B16120, ""fr"", ""en"")"),"No information on the composition of jewelry A little disappointed, there is no certification for the composition had jewelry.")</f>
        <v>No information on the composition of jewelry A little disappointed, there is no certification for the composition had jewelry.</v>
      </c>
    </row>
    <row r="16121">
      <c r="A16121" s="1">
        <v>3.0</v>
      </c>
      <c r="B16121" s="1" t="s">
        <v>15851</v>
      </c>
      <c r="C16121" t="str">
        <f>IFERROR(__xludf.DUMMYFUNCTION("GOOGLETRANSLATE(B16121, ""fr"", ""en"")"),"Good but not good cover discolored areas against it by a matte effect, does not take more than a week and marks very easily to new spots.")</f>
        <v>Good but not good cover discolored areas against it by a matte effect, does not take more than a week and marks very easily to new spots.</v>
      </c>
    </row>
    <row r="16122">
      <c r="A16122" s="1">
        <v>4.0</v>
      </c>
      <c r="B16122" s="1" t="s">
        <v>15852</v>
      </c>
      <c r="C16122" t="str">
        <f>IFERROR(__xludf.DUMMYFUNCTION("GOOGLETRANSLATE(B16122, ""fr"", ""en"")"),"Good sound used with an MP3 player, the sound is perfect for this use. A small flat, it easily fits current market and is not suitable for running. Since I do not practice jogging, it's not too inconvenient in my case.")</f>
        <v>Good sound used with an MP3 player, the sound is perfect for this use. A small flat, it easily fits current market and is not suitable for running. Since I do not practice jogging, it's not too inconvenient in my case.</v>
      </c>
    </row>
    <row r="16123">
      <c r="A16123" s="1">
        <v>4.0</v>
      </c>
      <c r="B16123" s="1" t="s">
        <v>15853</v>
      </c>
      <c r="C16123" t="str">
        <f>IFERROR(__xludf.DUMMYFUNCTION("GOOGLETRANSLATE(B16123, ""fr"", ""en"")"),"Although a bit old style but very effective, well heated, shame screwy does not heat in the upper part (neck)")</f>
        <v>Although a bit old style but very effective, well heated, shame screwy does not heat in the upper part (neck)</v>
      </c>
    </row>
    <row r="16124">
      <c r="A16124" s="1">
        <v>4.0</v>
      </c>
      <c r="B16124" s="1" t="s">
        <v>15854</v>
      </c>
      <c r="C16124" t="str">
        <f>IFERROR(__xludf.DUMMYFUNCTION("GOOGLETRANSLATE(B16124, ""fr"", ""en"")"),"Watch Very good")</f>
        <v>Watch Very good</v>
      </c>
    </row>
    <row r="16125">
      <c r="A16125" s="1">
        <v>4.0</v>
      </c>
      <c r="B16125" s="1" t="s">
        <v>15855</v>
      </c>
      <c r="C16125" t="str">
        <f>IFERROR(__xludf.DUMMYFUNCTION("GOOGLETRANSLATE(B16125, ""fr"", ""en"")"),"A little disappointed rendering is quite pretty but the chain was quickly oxidized. Too bad because the gift was a small effect. But good quality / price ratio.")</f>
        <v>A little disappointed rendering is quite pretty but the chain was quickly oxidized. Too bad because the gift was a small effect. But good quality / price ratio.</v>
      </c>
    </row>
    <row r="16126">
      <c r="A16126" s="1">
        <v>5.0</v>
      </c>
      <c r="B16126" s="1" t="s">
        <v>15856</v>
      </c>
      <c r="C16126" t="str">
        <f>IFERROR(__xludf.DUMMYFUNCTION("GOOGLETRANSLATE(B16126, ""fr"", ""en"")"),"Beautiful watch beautiful watch")</f>
        <v>Beautiful watch beautiful watch</v>
      </c>
    </row>
    <row r="16127">
      <c r="A16127" s="1">
        <v>5.0</v>
      </c>
      <c r="B16127" s="1" t="s">
        <v>15857</v>
      </c>
      <c r="C16127" t="str">
        <f>IFERROR(__xludf.DUMMYFUNCTION("GOOGLETRANSLATE(B16127, ""fr"", ""en"")"),"Very very good. Pleasantly surprised. For the price the sound is more than adequate, the headphones are very comfortable to wear and everything looks very good. Excellent value. To see in time, but I highly recommend this product!")</f>
        <v>Very very good. Pleasantly surprised. For the price the sound is more than adequate, the headphones are very comfortable to wear and everything looks very good. Excellent value. To see in time, but I highly recommend this product!</v>
      </c>
    </row>
    <row r="16128">
      <c r="A16128" s="1">
        <v>5.0</v>
      </c>
      <c r="B16128" s="1" t="s">
        <v>15858</v>
      </c>
      <c r="C16128" t="str">
        <f>IFERROR(__xludf.DUMMYFUNCTION("GOOGLETRANSLATE(B16128, ""fr"", ""en"")"),"Good product with long battery life I used these headphones since I received (4 days) and I have not even charged! They adapt perfectly to the ear what really makes them comfortable. Very comfortable to wear, they also distribute excellent sound quality. "&amp;"Supplied with instructions, its box and charging cable.")</f>
        <v>Good product with long battery life I used these headphones since I received (4 days) and I have not even charged! They adapt perfectly to the ear what really makes them comfortable. Very comfortable to wear, they also distribute excellent sound quality. Supplied with instructions, its box and charging cable.</v>
      </c>
    </row>
    <row r="16129">
      <c r="A16129" s="1">
        <v>5.0</v>
      </c>
      <c r="B16129" s="1" t="s">
        <v>15859</v>
      </c>
      <c r="C16129" t="str">
        <f>IFERROR(__xludf.DUMMYFUNCTION("GOOGLETRANSLATE(B16129, ""fr"", ""en"")"),"RAs RAs")</f>
        <v>RAs RAs</v>
      </c>
    </row>
    <row r="16130">
      <c r="A16130" s="1">
        <v>5.0</v>
      </c>
      <c r="B16130" s="1" t="s">
        <v>15860</v>
      </c>
      <c r="C16130" t="str">
        <f>IFERROR(__xludf.DUMMYFUNCTION("GOOGLETRANSLATE(B16130, ""fr"", ""en"")"),"Ink cartridges for Canon PIXMA_5 *** Subject consistent with the description. This is a good product, good quality, Fits Canon PIXMA_5750 and works perfectly Value / excellent price. I recommend this article.")</f>
        <v>Ink cartridges for Canon PIXMA_5 *** Subject consistent with the description. This is a good product, good quality, Fits Canon PIXMA_5750 and works perfectly Value / excellent price. I recommend this article.</v>
      </c>
    </row>
    <row r="16131">
      <c r="A16131" s="1">
        <v>5.0</v>
      </c>
      <c r="B16131" s="1" t="s">
        <v>15861</v>
      </c>
      <c r="C16131" t="str">
        <f>IFERROR(__xludf.DUMMYFUNCTION("GOOGLETRANSLATE(B16131, ""fr"", ""en"")"),"Perfect and cheap perfect and consistent practice fits well Same quality than another distributor but less so excited !!!!")</f>
        <v>Perfect and cheap perfect and consistent practice fits well Same quality than another distributor but less so excited !!!!</v>
      </c>
    </row>
    <row r="16132">
      <c r="A16132" s="1">
        <v>5.0</v>
      </c>
      <c r="B16132" s="1" t="s">
        <v>15862</v>
      </c>
      <c r="C16132" t="str">
        <f>IFERROR(__xludf.DUMMYFUNCTION("GOOGLETRANSLATE(B16132, ""fr"", ""en"")"),"Truly pretty ! Visually really nice. The diameter is suitable for medium sized wrists. By cons attention to those who have hair on forearms, it tends to get a bit ... But otherwise no complaints!")</f>
        <v>Truly pretty ! Visually really nice. The diameter is suitable for medium sized wrists. By cons attention to those who have hair on forearms, it tends to get a bit ... But otherwise no complaints!</v>
      </c>
    </row>
    <row r="16133">
      <c r="A16133" s="1">
        <v>5.0</v>
      </c>
      <c r="B16133" s="1" t="s">
        <v>15863</v>
      </c>
      <c r="C16133" t="str">
        <f>IFERROR(__xludf.DUMMYFUNCTION("GOOGLETRANSLATE(B16133, ""fr"", ""en"")"),"Heater bed 2 independent seats Excellent product, which can bring a warmth in bed, Fit, and most importantly, can heat one or two places independently. To recommend.")</f>
        <v>Heater bed 2 independent seats Excellent product, which can bring a warmth in bed, Fit, and most importantly, can heat one or two places independently. To recommend.</v>
      </c>
    </row>
    <row r="16134">
      <c r="A16134" s="1">
        <v>5.0</v>
      </c>
      <c r="B16134" s="1" t="s">
        <v>15864</v>
      </c>
      <c r="C16134" t="str">
        <f>IFERROR(__xludf.DUMMYFUNCTION("GOOGLETRANSLATE(B16134, ""fr"", ""en"")"),"Super awesome I recommend super super is I ordered another for a different size friends and nothing to say perfect third will be ordered for a birthday she created a sensation")</f>
        <v>Super awesome I recommend super super is I ordered another for a different size friends and nothing to say perfect third will be ordered for a birthday she created a sensation</v>
      </c>
    </row>
    <row r="16135">
      <c r="A16135" s="1">
        <v>5.0</v>
      </c>
      <c r="B16135" s="1" t="s">
        <v>15865</v>
      </c>
      <c r="C16135" t="str">
        <f>IFERROR(__xludf.DUMMYFUNCTION("GOOGLETRANSLATE(B16135, ""fr"", ""en"")"),"Top Fine bottles appreciated by a baby breast fed exclusively, equivalent to mam pacifier but more convenient to wash. I recommend them.")</f>
        <v>Top Fine bottles appreciated by a baby breast fed exclusively, equivalent to mam pacifier but more convenient to wash. I recommend them.</v>
      </c>
    </row>
    <row r="16136">
      <c r="A16136" s="1">
        <v>5.0</v>
      </c>
      <c r="B16136" s="1" t="s">
        <v>15866</v>
      </c>
      <c r="C16136" t="str">
        <f>IFERROR(__xludf.DUMMYFUNCTION("GOOGLETRANSLATE(B16136, ""fr"", ""en"")"),"Pack 2 HP cartridges Roger always happy with these cartridges and more promotion I recommend thank you")</f>
        <v>Pack 2 HP cartridges Roger always happy with these cartridges and more promotion I recommend thank you</v>
      </c>
    </row>
    <row r="16137">
      <c r="A16137" s="1">
        <v>5.0</v>
      </c>
      <c r="B16137" s="1" t="s">
        <v>15867</v>
      </c>
      <c r="C16137" t="str">
        <f>IFERROR(__xludf.DUMMYFUNCTION("GOOGLETRANSLATE(B16137, ""fr"", ""en"")"),"Very good brush This brush exactly matches its description. I use it to brush my UGG after cleaning. No complaints. I recommend")</f>
        <v>Very good brush This brush exactly matches its description. I use it to brush my UGG after cleaning. No complaints. I recommend</v>
      </c>
    </row>
    <row r="16138">
      <c r="A16138" s="1">
        <v>5.0</v>
      </c>
      <c r="B16138" s="1" t="s">
        <v>15868</v>
      </c>
      <c r="C16138" t="str">
        <f>IFERROR(__xludf.DUMMYFUNCTION("GOOGLETRANSLATE(B16138, ""fr"", ""en"")"),"Good Good el body d3 plastic kettle and less hot than for Metal")</f>
        <v>Good Good el body d3 plastic kettle and less hot than for Metal</v>
      </c>
    </row>
    <row r="16139">
      <c r="A16139" s="1">
        <v>5.0</v>
      </c>
      <c r="B16139" s="1" t="s">
        <v>15869</v>
      </c>
      <c r="C16139" t="str">
        <f>IFERROR(__xludf.DUMMYFUNCTION("GOOGLETRANSLATE(B16139, ""fr"", ""en"")"),"Really perfect is the right size, very comfortable, soft but light, not yours too hot. I love it plus it's pretty!")</f>
        <v>Really perfect is the right size, very comfortable, soft but light, not yours too hot. I love it plus it's pretty!</v>
      </c>
    </row>
    <row r="16140">
      <c r="A16140" s="1">
        <v>5.0</v>
      </c>
      <c r="B16140" s="1" t="s">
        <v>15870</v>
      </c>
      <c r="C16140" t="str">
        <f>IFERROR(__xludf.DUMMYFUNCTION("GOOGLETRANSLATE(B16140, ""fr"", ""en"")"),"Okay Discreet and refined Parcel received in advance")</f>
        <v>Okay Discreet and refined Parcel received in advance</v>
      </c>
    </row>
    <row r="16141">
      <c r="A16141" s="1">
        <v>2.0</v>
      </c>
      <c r="B16141" s="1" t="s">
        <v>15871</v>
      </c>
      <c r="C16141" t="str">
        <f>IFERROR(__xludf.DUMMYFUNCTION("GOOGLETRANSLATE(B16141, ""fr"", ""en"")"),"shrunk to 1 A washing narrowed 1 wash (30 degrees) and pilling, 2nd washing pilling and seam not take ... friendly damage")</f>
        <v>shrunk to 1 A washing narrowed 1 wash (30 degrees) and pilling, 2nd washing pilling and seam not take ... friendly damage</v>
      </c>
    </row>
    <row r="16142">
      <c r="A16142" s="1">
        <v>1.0</v>
      </c>
      <c r="B16142" s="1" t="s">
        <v>15872</v>
      </c>
      <c r="C16142" t="str">
        <f>IFERROR(__xludf.DUMMYFUNCTION("GOOGLETRANSLATE(B16142, ""fr"", ""en"")"),"Four I thought this movie was going in traditional ovens unfortunately not At the time Sasha was told that he could be zller")</f>
        <v>Four I thought this movie was going in traditional ovens unfortunately not At the time Sasha was told that he could be zller</v>
      </c>
    </row>
    <row r="16143">
      <c r="A16143" s="1">
        <v>1.0</v>
      </c>
      <c r="B16143" s="1" t="s">
        <v>15873</v>
      </c>
      <c r="C16143" t="str">
        <f>IFERROR(__xludf.DUMMYFUNCTION("GOOGLETRANSLATE(B16143, ""fr"", ""en"")"),"20 minutes to warm a bottle !!! Bought in July but used for the first time this week the return of babies motherhood. The brand and description, was a promising product. The reality is a time of excessive heating and tiédasses bottles at most. With twins,"&amp;" it is all but impossible. Too late to make.")</f>
        <v>20 minutes to warm a bottle !!! Bought in July but used for the first time this week the return of babies motherhood. The brand and description, was a promising product. The reality is a time of excessive heating and tiédasses bottles at most. With twins, it is all but impossible. Too late to make.</v>
      </c>
    </row>
    <row r="16144">
      <c r="A16144" s="1">
        <v>3.0</v>
      </c>
      <c r="B16144" s="1" t="s">
        <v>15874</v>
      </c>
      <c r="C16144" t="str">
        <f>IFERROR(__xludf.DUMMYFUNCTION("GOOGLETRANSLATE(B16144, ""fr"", ""en"")"),"Lovely The bola is very pretty but the chain is too short, not too bad and thin enough to my taste")</f>
        <v>Lovely The bola is very pretty but the chain is too short, not too bad and thin enough to my taste</v>
      </c>
    </row>
    <row r="16145">
      <c r="A16145" s="1">
        <v>4.0</v>
      </c>
      <c r="B16145" s="1" t="s">
        <v>15875</v>
      </c>
      <c r="C16145" t="str">
        <f>IFERROR(__xludf.DUMMYFUNCTION("GOOGLETRANSLATE(B16145, ""fr"", ""en"")"),"Perfect as a professional bag The bag a shiny effect but looks solid. Waiting to see how the leather will age. I have offered and the gift was appreciated, perfect for business travel (13 inches computer).")</f>
        <v>Perfect as a professional bag The bag a shiny effect but looks solid. Waiting to see how the leather will age. I have offered and the gift was appreciated, perfect for business travel (13 inches computer).</v>
      </c>
    </row>
    <row r="16146">
      <c r="A16146" s="1">
        <v>4.0</v>
      </c>
      <c r="B16146" s="1" t="s">
        <v>15876</v>
      </c>
      <c r="C16146" t="str">
        <f>IFERROR(__xludf.DUMMYFUNCTION("GOOGLETRANSLATE(B16146, ""fr"", ""en"")"),"ARMONY BRACELET TRIPLE PROTECTION Very nice bracelet just too big for me, too bad I can hardly keep the wrist because I often lose and I do not know if we can remove the beads without losing the protection due to this bracelet.")</f>
        <v>ARMONY BRACELET TRIPLE PROTECTION Very nice bracelet just too big for me, too bad I can hardly keep the wrist because I often lose and I do not know if we can remove the beads without losing the protection due to this bracelet.</v>
      </c>
    </row>
    <row r="16147">
      <c r="A16147" s="1">
        <v>4.0</v>
      </c>
      <c r="B16147" s="1" t="s">
        <v>15877</v>
      </c>
      <c r="C16147" t="str">
        <f>IFERROR(__xludf.DUMMYFUNCTION("GOOGLETRANSLATE(B16147, ""fr"", ""en"")"),"😄 hot Holds, basic material ma.fille.l'aime well.")</f>
        <v>😄 hot Holds, basic material ma.fille.l'aime well.</v>
      </c>
    </row>
    <row r="16148">
      <c r="A16148" s="1">
        <v>4.0</v>
      </c>
      <c r="B16148" s="1" t="s">
        <v>15878</v>
      </c>
      <c r="C16148" t="str">
        <f>IFERROR(__xludf.DUMMYFUNCTION("GOOGLETRANSLATE(B16148, ""fr"", ""en"")"),"Good product, finishing at improving anti pop filter efficient, inexpensive and fairly simple. I chose this model because it attaches directly to the mic and does not exceed front unlike anti pop with arms. The product does what we ask. correct finish, ev"&amp;"en if the filter is part decouds a bit on the edge.")</f>
        <v>Good product, finishing at improving anti pop filter efficient, inexpensive and fairly simple. I chose this model because it attaches directly to the mic and does not exceed front unlike anti pop with arms. The product does what we ask. correct finish, even if the filter is part decouds a bit on the edge.</v>
      </c>
    </row>
    <row r="16149">
      <c r="A16149" s="1">
        <v>4.0</v>
      </c>
      <c r="B16149" s="1" t="s">
        <v>15879</v>
      </c>
      <c r="C16149" t="str">
        <f>IFERROR(__xludf.DUMMYFUNCTION("GOOGLETRANSLATE(B16149, ""fr"", ""en"")"),"cozy comfortable")</f>
        <v>cozy comfortable</v>
      </c>
    </row>
    <row r="16150">
      <c r="A16150" s="1">
        <v>5.0</v>
      </c>
      <c r="B16150" s="1" t="s">
        <v>15880</v>
      </c>
      <c r="C16150" t="str">
        <f>IFERROR(__xludf.DUMMYFUNCTION("GOOGLETRANSLATE(B16150, ""fr"", ""en"")"),"Very pretty very pretty and feminine. It makes great before 1 shows swarovski in the same spirit! I'm happy. It's a beautiful set")</f>
        <v>Very pretty very pretty and feminine. It makes great before 1 shows swarovski in the same spirit! I'm happy. It's a beautiful set</v>
      </c>
    </row>
    <row r="16151">
      <c r="A16151" s="1">
        <v>5.0</v>
      </c>
      <c r="B16151" s="1" t="s">
        <v>15881</v>
      </c>
      <c r="C16151" t="str">
        <f>IFERROR(__xludf.DUMMYFUNCTION("GOOGLETRANSLATE(B16151, ""fr"", ""en"")"),"Great! The sneakers arrived in good condition. Very pretty. Purchased on promotion.")</f>
        <v>Great! The sneakers arrived in good condition. Very pretty. Purchased on promotion.</v>
      </c>
    </row>
    <row r="16152">
      <c r="A16152" s="1">
        <v>5.0</v>
      </c>
      <c r="B16152" s="1" t="s">
        <v>15882</v>
      </c>
      <c r="C16152" t="str">
        <f>IFERROR(__xludf.DUMMYFUNCTION("GOOGLETRANSLATE(B16152, ""fr"", ""en"")"),"perfect and consistent it is an official cartridge ^^ what the Brother brand and a good price it takes six words here are")</f>
        <v>perfect and consistent it is an official cartridge ^^ what the Brother brand and a good price it takes six words here are</v>
      </c>
    </row>
    <row r="16153">
      <c r="A16153" s="1">
        <v>5.0</v>
      </c>
      <c r="B16153" s="1" t="s">
        <v>15883</v>
      </c>
      <c r="C16153" t="str">
        <f>IFERROR(__xludf.DUMMYFUNCTION("GOOGLETRANSLATE(B16153, ""fr"", ""en"")"),"I recommend Very good value for money. Small head alignment and cleaning of the nozzles and rolls after all! Finished get turned on manufacturer brand")</f>
        <v>I recommend Very good value for money. Small head alignment and cleaning of the nozzles and rolls after all! Finished get turned on manufacturer brand</v>
      </c>
    </row>
    <row r="16154">
      <c r="A16154" s="1">
        <v>5.0</v>
      </c>
      <c r="B16154" s="1" t="s">
        <v>15884</v>
      </c>
      <c r="C16154" t="str">
        <f>IFERROR(__xludf.DUMMYFUNCTION("GOOGLETRANSLATE(B16154, ""fr"", ""en"")"),"Appreciated simple teens enjoyed simple teens who do not like necessarily the brands but the design of the shoe.")</f>
        <v>Appreciated simple teens enjoyed simple teens who do not like necessarily the brands but the design of the shoe.</v>
      </c>
    </row>
    <row r="16155">
      <c r="A16155" s="1">
        <v>5.0</v>
      </c>
      <c r="B16155" s="1" t="s">
        <v>15885</v>
      </c>
      <c r="C16155" t="str">
        <f>IFERROR(__xludf.DUMMYFUNCTION("GOOGLETRANSLATE(B16155, ""fr"", ""en"")"),"On top of real slippers. J have the impression of working in slippers. I recommend.")</f>
        <v>On top of real slippers. J have the impression of working in slippers. I recommend.</v>
      </c>
    </row>
    <row r="16156">
      <c r="A16156" s="1">
        <v>5.0</v>
      </c>
      <c r="B16156" s="1" t="s">
        <v>15886</v>
      </c>
      <c r="C16156" t="str">
        <f>IFERROR(__xludf.DUMMYFUNCTION("GOOGLETRANSLATE(B16156, ""fr"", ""en"")"),"Excellent tool for young parents Very useful, very practical. Easy to use, maintain. Solid, aesthetic design, product well thought out. Perfect for 4 bottles (4 caps 4 + nipples + 4 + 4 bottle lids) and can still add 4 lollipops and put the bottle cleanin"&amp;"g brush. Language @ Excellent price. Buys less than 20 euros for Advent while other products are much more expensive. ps. and when the children are older, it is also perfect for dry their gourds.")</f>
        <v>Excellent tool for young parents Very useful, very practical. Easy to use, maintain. Solid, aesthetic design, product well thought out. Perfect for 4 bottles (4 caps 4 + nipples + 4 + 4 bottle lids) and can still add 4 lollipops and put the bottle cleaning brush. Language @ Excellent price. Buys less than 20 euros for Advent while other products are much more expensive. ps. and when the children are older, it is also perfect for dry their gourds.</v>
      </c>
    </row>
    <row r="16157">
      <c r="A16157" s="1">
        <v>5.0</v>
      </c>
      <c r="B16157" s="1" t="s">
        <v>15887</v>
      </c>
      <c r="C16157" t="str">
        <f>IFERROR(__xludf.DUMMYFUNCTION("GOOGLETRANSLATE(B16157, ""fr"", ""en"")"),"Good reception received Parcels and conforms very well")</f>
        <v>Good reception received Parcels and conforms very well</v>
      </c>
    </row>
    <row r="16158">
      <c r="A16158" s="1">
        <v>5.0</v>
      </c>
      <c r="B16158" s="1" t="s">
        <v>15888</v>
      </c>
      <c r="C16158" t="str">
        <f>IFERROR(__xludf.DUMMYFUNCTION("GOOGLETRANSLATE(B16158, ""fr"", ""en"")"),"Extremely convenient to take out the cards When you must leave the cards regularly, it's a handy tool SO! This prevents too much hassle to get the cards. Good factory, good quality. No complaints")</f>
        <v>Extremely convenient to take out the cards When you must leave the cards regularly, it's a handy tool SO! This prevents too much hassle to get the cards. Good factory, good quality. No complaints</v>
      </c>
    </row>
    <row r="16159">
      <c r="A16159" s="1">
        <v>5.0</v>
      </c>
      <c r="B16159" s="1" t="s">
        <v>15889</v>
      </c>
      <c r="C16159" t="str">
        <f>IFERROR(__xludf.DUMMYFUNCTION("GOOGLETRANSLATE(B16159, ""fr"", ""en"")"),"VERY SATISFIED But I have the same TBS since X years as no surprise always the best comfort and quality!")</f>
        <v>VERY SATISFIED But I have the same TBS since X years as no surprise always the best comfort and quality!</v>
      </c>
    </row>
    <row r="16160">
      <c r="A16160" s="1">
        <v>5.0</v>
      </c>
      <c r="B16160" s="1" t="s">
        <v>15890</v>
      </c>
      <c r="C16160" t="str">
        <f>IFERROR(__xludf.DUMMYFUNCTION("GOOGLETRANSLATE(B16160, ""fr"", ""en"")"),"Consistent with the description Good product")</f>
        <v>Consistent with the description Good product</v>
      </c>
    </row>
    <row r="16161">
      <c r="A16161" s="1">
        <v>5.0</v>
      </c>
      <c r="B16161" s="1" t="s">
        <v>15891</v>
      </c>
      <c r="C16161" t="str">
        <f>IFERROR(__xludf.DUMMYFUNCTION("GOOGLETRANSLATE(B16161, ""fr"", ""en"")"),"Comfortable and durable I bought this helmet for weight training and there running. It is very comfortable to wear, keeps in place. The battery lasts longer. It is resistant. Always in my sports bag for 1 year and nothing broke. It is resistant to perspir"&amp;"ation. I had a problem after about 9 months of use when loading and after a simple message to the supplier, a new helmet was sent to me free in a week. It's perfect.")</f>
        <v>Comfortable and durable I bought this helmet for weight training and there running. It is very comfortable to wear, keeps in place. The battery lasts longer. It is resistant. Always in my sports bag for 1 year and nothing broke. It is resistant to perspiration. I had a problem after about 9 months of use when loading and after a simple message to the supplier, a new helmet was sent to me free in a week. It's perfect.</v>
      </c>
    </row>
    <row r="16162">
      <c r="A16162" s="1">
        <v>5.0</v>
      </c>
      <c r="B16162" s="1" t="s">
        <v>15892</v>
      </c>
      <c r="C16162" t="str">
        <f>IFERROR(__xludf.DUMMYFUNCTION("GOOGLETRANSLATE(B16162, ""fr"", ""en"")"),"Product quality fitness shoes in line with my expectations. Soft and comfortable to wear.")</f>
        <v>Product quality fitness shoes in line with my expectations. Soft and comfortable to wear.</v>
      </c>
    </row>
    <row r="16163">
      <c r="A16163" s="1">
        <v>5.0</v>
      </c>
      <c r="B16163" s="1" t="s">
        <v>15893</v>
      </c>
      <c r="C16163" t="str">
        <f>IFERROR(__xludf.DUMMYFUNCTION("GOOGLETRANSLATE(B16163, ""fr"", ""en"")"),"Quality / price ratio Excellent Although cheaper than in supermarkets. Control 6 sorters, all perfect. Nothing to say, I did well to compare prices between Amazon and supermarkets.")</f>
        <v>Quality / price ratio Excellent Although cheaper than in supermarkets. Control 6 sorters, all perfect. Nothing to say, I did well to compare prices between Amazon and supermarkets.</v>
      </c>
    </row>
    <row r="16164">
      <c r="A16164" s="1">
        <v>5.0</v>
      </c>
      <c r="B16164" s="1" t="s">
        <v>15894</v>
      </c>
      <c r="C16164" t="str">
        <f>IFERROR(__xludf.DUMMYFUNCTION("GOOGLETRANSLATE(B16164, ""fr"", ""en"")"),"Syroka N BRA Like the previous. Very good I am sustained even with a cap in G 105. Well I have not raced but walking quickly chest remains stable. I'll recommend another btw. I recommend it .")</f>
        <v>Syroka N BRA Like the previous. Very good I am sustained even with a cap in G 105. Well I have not raced but walking quickly chest remains stable. I'll recommend another btw. I recommend it .</v>
      </c>
    </row>
    <row r="16165">
      <c r="A16165" s="1">
        <v>2.0</v>
      </c>
      <c r="B16165" s="1" t="s">
        <v>15895</v>
      </c>
      <c r="C16165" t="str">
        <f>IFERROR(__xludf.DUMMYFUNCTION("GOOGLETRANSLATE(B16165, ""fr"", ""en"")"),"Coat pretty, but Defaux The coat is pretty but it pulls in the bottom arm of the coat pleated fabric probably wrong cut and assemble as .ca")</f>
        <v>Coat pretty, but Defaux The coat is pretty but it pulls in the bottom arm of the coat pleated fabric probably wrong cut and assemble as .ca</v>
      </c>
    </row>
    <row r="16166">
      <c r="A16166" s="1">
        <v>1.0</v>
      </c>
      <c r="B16166" s="1" t="s">
        <v>15896</v>
      </c>
      <c r="C16166" t="str">
        <f>IFERROR(__xludf.DUMMYFUNCTION("GOOGLETRANSLATE(B16166, ""fr"", ""en"")"),"Pourri size does not match the size M 12 years I do not recommend it at all very disappointed with the money thrown out the window.")</f>
        <v>Pourri size does not match the size M 12 years I do not recommend it at all very disappointed with the money thrown out the window.</v>
      </c>
    </row>
    <row r="16167">
      <c r="A16167" s="1">
        <v>3.0</v>
      </c>
      <c r="B16167" s="1" t="s">
        <v>15897</v>
      </c>
      <c r="C16167" t="str">
        <f>IFERROR(__xludf.DUMMYFUNCTION("GOOGLETRANSLATE(B16167, ""fr"", ""en"")"),"not love this teapot &lt;div id = ""video-block-R1N1NH54EPC3UY"" class = ""a-section-spacing-small in-spacing-top mini video-block""&gt; &lt;/ div&gt; &lt;input type = ""hidden"" name = """" value = ""https://images-eu.ssl-images-amazon.com/images/I/C1vBDMvgcmS.mp4"" cl"&amp;"ass = ""video-url""&gt; &lt;input type = ""hidden"" name = """" value = ""https://images-eu.ssl-images-amazon.com/images/I/81z9ZKOeIYS.png"" class = ""video-slate-img-url""&gt; &amp; nbsp; This tea maker won an average rating, ie 3 stars on criteria such as taste, eas"&amp;"e of use and style. The four photos show the teapot. A photo shows the placement of the capsule, which is not obvious to the sense level and a pictogram could have helped in this regard. Style level, the teapot is more angular and not too much design for "&amp;"me. The plastic feels after several vacuum tests, but is -he BPA? The package contains a filter to be installed; but also a package of several flavored teas; all are not great in terms of taste, because we feel the flavoring chemical side .... and I would"&amp;" have opted for a simple tea flavor ... but in this case not need this teapot to be a classic tea brand well known, for example, to then add a dash of milk. The video shows a cup of tea with a capsule blueberry muffin, this tea has more of the muffin smel"&amp;"l the taste, but in contrast the taste of blueberry is present .... everyone does not appreciate the flavors proposed. Well I am not impressed by this teapot and my rating will be limited to three stars.")</f>
        <v>not love this teapot &lt;div id = "video-block-R1N1NH54EPC3UY" class = "a-section-spacing-small in-spacing-top mini video-block"&gt; &lt;/ div&gt; &lt;input type = "hidden" name = "" value = "https://images-eu.ssl-images-amazon.com/images/I/C1vBDMvgcmS.mp4" class = "video-url"&gt; &lt;input type = "hidden" name = "" value = "https://images-eu.ssl-images-amazon.com/images/I/81z9ZKOeIYS.png" class = "video-slate-img-url"&gt; &amp; nbsp; This tea maker won an average rating, ie 3 stars on criteria such as taste, ease of use and style. The four photos show the teapot. A photo shows the placement of the capsule, which is not obvious to the sense level and a pictogram could have helped in this regard. Style level, the teapot is more angular and not too much design for me. The plastic feels after several vacuum tests, but is -he BPA? The package contains a filter to be installed; but also a package of several flavored teas; all are not great in terms of taste, because we feel the flavoring chemical side .... and I would have opted for a simple tea flavor ... but in this case not need this teapot to be a classic tea brand well known, for example, to then add a dash of milk. The video shows a cup of tea with a capsule blueberry muffin, this tea has more of the muffin smell the taste, but in contrast the taste of blueberry is present .... everyone does not appreciate the flavors proposed. Well I am not impressed by this teapot and my rating will be limited to three stars.</v>
      </c>
    </row>
    <row r="16168">
      <c r="A16168" s="1">
        <v>3.0</v>
      </c>
      <c r="B16168" s="1" t="s">
        <v>15898</v>
      </c>
      <c r="C16168" t="str">
        <f>IFERROR(__xludf.DUMMYFUNCTION("GOOGLETRANSLATE(B16168, ""fr"", ""en"")"),"very nice bag BUT .... This bag purchased as gift for my daughter is a pretty girly pink. It is a brave and strong seems BUT there was no monkey keyring! It lacks the tail! So I do not know if I will keep the bag or return it ...")</f>
        <v>very nice bag BUT .... This bag purchased as gift for my daughter is a pretty girly pink. It is a brave and strong seems BUT there was no monkey keyring! It lacks the tail! So I do not know if I will keep the bag or return it ...</v>
      </c>
    </row>
    <row r="16169">
      <c r="A16169" s="1">
        <v>4.0</v>
      </c>
      <c r="B16169" s="1" t="s">
        <v>15899</v>
      </c>
      <c r="C16169" t="str">
        <f>IFERROR(__xludf.DUMMYFUNCTION("GOOGLETRANSLATE(B16169, ""fr"", ""en"")"),"Good good good good quality size size")</f>
        <v>Good good good good quality size size</v>
      </c>
    </row>
    <row r="16170">
      <c r="A16170" s="1">
        <v>4.0</v>
      </c>
      <c r="B16170" s="1" t="s">
        <v>15900</v>
      </c>
      <c r="C16170" t="str">
        <f>IFERROR(__xludf.DUMMYFUNCTION("GOOGLETRANSLATE(B16170, ""fr"", ""en"")"),"Good shows happening all fine watch, light and comfortable to wear in the life of every day with its sealing protection that allows good beignade without fear")</f>
        <v>Good shows happening all fine watch, light and comfortable to wear in the life of every day with its sealing protection that allows good beignade without fear</v>
      </c>
    </row>
    <row r="16171">
      <c r="A16171" s="1">
        <v>4.0</v>
      </c>
      <c r="B16171" s="1" t="s">
        <v>15901</v>
      </c>
      <c r="C16171" t="str">
        <f>IFERROR(__xludf.DUMMYFUNCTION("GOOGLETRANSLATE(B16171, ""fr"", ""en"")"),"At the top are comfortable and pretty. The heel is great.")</f>
        <v>At the top are comfortable and pretty. The heel is great.</v>
      </c>
    </row>
    <row r="16172">
      <c r="A16172" s="1">
        <v>4.0</v>
      </c>
      <c r="B16172" s="1" t="s">
        <v>15902</v>
      </c>
      <c r="C16172" t="str">
        <f>IFERROR(__xludf.DUMMYFUNCTION("GOOGLETRANSLATE(B16172, ""fr"", ""en"")"),"Elegant Tr§s nice watch but the bracelet could be easier to adjust ... It must remove the mesh to shrink. Otherwise, very nice design")</f>
        <v>Elegant Tr§s nice watch but the bracelet could be easier to adjust ... It must remove the mesh to shrink. Otherwise, very nice design</v>
      </c>
    </row>
    <row r="16173">
      <c r="A16173" s="1">
        <v>5.0</v>
      </c>
      <c r="B16173" s="1" t="s">
        <v>15903</v>
      </c>
      <c r="C16173" t="str">
        <f>IFERROR(__xludf.DUMMYFUNCTION("GOOGLETRANSLATE(B16173, ""fr"", ""en"")"),"In a very nice box black box with the name of the brand. earrings in the shape of heart, the heart center there is a stone cubic zirconia diamond .The fasteners are standard Quick .Livraison They are light and neat.")</f>
        <v>In a very nice box black box with the name of the brand. earrings in the shape of heart, the heart center there is a stone cubic zirconia diamond .The fasteners are standard Quick .Livraison They are light and neat.</v>
      </c>
    </row>
    <row r="16174">
      <c r="A16174" s="1">
        <v>5.0</v>
      </c>
      <c r="B16174" s="1" t="s">
        <v>15904</v>
      </c>
      <c r="C16174" t="str">
        <f>IFERROR(__xludf.DUMMYFUNCTION("GOOGLETRANSLATE(B16174, ""fr"", ""en"")"),"Good price This is exactly what I needed to print my home my stamps and franking mail. Price attractive, so all is well.")</f>
        <v>Good price This is exactly what I needed to print my home my stamps and franking mail. Price attractive, so all is well.</v>
      </c>
    </row>
    <row r="16175">
      <c r="A16175" s="1">
        <v>5.0</v>
      </c>
      <c r="B16175" s="1" t="s">
        <v>15905</v>
      </c>
      <c r="C16175" t="str">
        <f>IFERROR(__xludf.DUMMYFUNCTION("GOOGLETRANSLATE(B16175, ""fr"", ""en"")"),"Top It heats well over the top it's sweet I should have taken greater. I also would have liked if it is not dangerous it heats a little bit but otherwise it is not programmable delighted it off after about 3:15 machine washable")</f>
        <v>Top It heats well over the top it's sweet I should have taken greater. I also would have liked if it is not dangerous it heats a little bit but otherwise it is not programmable delighted it off after about 3:15 machine washable</v>
      </c>
    </row>
    <row r="16176">
      <c r="A16176" s="1">
        <v>5.0</v>
      </c>
      <c r="B16176" s="1" t="s">
        <v>15906</v>
      </c>
      <c r="C16176" t="str">
        <f>IFERROR(__xludf.DUMMYFUNCTION("GOOGLETRANSLATE(B16176, ""fr"", ""en"")"),"PROMISES KEPT I was very skeptical about the effectiveness of the awakening light Philips and its ability to wake up gently but effectively! So far, I have known that waking with a start, regardless of the device used: clock radio, portable, grandfather c"&amp;"lock, etc ... Hence my desire to try this product, to check s it held the promise of a gradual awakening and smoothly. Trnd &amp; amp; Philips, have given me the privilege to test the awakening light and I must admit I am very pleasantly satisfied ... Apart f"&amp;"rom the first night I was a little disturbed by the lighting of the hour, a bit much (I have discovered the next day that I could adjust the intensity using the button located on the left foot) by the way, I've read that this gene was also described by ot"&amp;"her testers, who apparently did not understand that there was a solution to the problem. I have a sleep, light enough, I rule, therefore, follows my enlightenment light: the intensity of the time display on the 2nd degree, for the first degree is very low"&amp;" so no visible day. For sound, I chose, small cui cui followed cuckoo (very soft and comfortable). And the intensity of the light that simulates sunrise I select level 3, it is enough for me (it would not be that I am awake too early, either, given my lig"&amp;"ht sleep. A thirty minutes before the scheduled alarm time, the awakening of philips, slowly begins to illuminate, that I do not open my eyes, I feel that the first trigger that something is going on and slowly I begin to regain consciousness, then it inc"&amp;"reases a little more intensity to the sound startup at the scheduled time soon as the first chirp is heard, I turn it off without telling me. ""gone, yet 5mn, ""as I did previously, because I feel I have already had the 5 min rab ... Great, also can put o"&amp;"n my slippers, other than blindly through its lighting. for my bedside lamp, it can not be adjusted to the intensity that suits me the light for my shoes is réve iller, certainly, my companion. Finally design, ideally integrates romantic and white decor o"&amp;"f my room and it is not given to all alarm clocks !! In summary, for me: Its strong points are: 1) simulation ""sunrise solei"": successful! 2) function dimmable bedside lamp: the top! 3) round and smooth design (ideally harmonizes with every decor even r"&amp;"omantic, glamorous chic, etc ...) 4) The discretion of almost invisbles buttons and lights on the approach of the hand. 5) The repeat function (although comfortable, the days when you need it) Weakness: 1) its lack of autonomy in case of power failure. 2)"&amp;" The beautiful and discrete touch buttons, strong point for clairvoyant, are obviously not recommended for visually impaired people.")</f>
        <v>PROMISES KEPT I was very skeptical about the effectiveness of the awakening light Philips and its ability to wake up gently but effectively! So far, I have known that waking with a start, regardless of the device used: clock radio, portable, grandfather clock, etc ... Hence my desire to try this product, to check s it held the promise of a gradual awakening and smoothly. Trnd &amp; amp; Philips, have given me the privilege to test the awakening light and I must admit I am very pleasantly satisfied ... Apart from the first night I was a little disturbed by the lighting of the hour, a bit much (I have discovered the next day that I could adjust the intensity using the button located on the left foot) by the way, I've read that this gene was also described by other testers, who apparently did not understand that there was a solution to the problem. I have a sleep, light enough, I rule, therefore, follows my enlightenment light: the intensity of the time display on the 2nd degree, for the first degree is very low so no visible day. For sound, I chose, small cui cui followed cuckoo (very soft and comfortable). And the intensity of the light that simulates sunrise I select level 3, it is enough for me (it would not be that I am awake too early, either, given my light sleep. A thirty minutes before the scheduled alarm time, the awakening of philips, slowly begins to illuminate, that I do not open my eyes, I feel that the first trigger that something is going on and slowly I begin to regain consciousness, then it increases a little more intensity to the sound startup at the scheduled time soon as the first chirp is heard, I turn it off without telling me. "gone, yet 5mn, "as I did previously, because I feel I have already had the 5 min rab ... Great, also can put on my slippers, other than blindly through its lighting. for my bedside lamp, it can not be adjusted to the intensity that suits me the light for my shoes is réve iller, certainly, my companion. Finally design, ideally integrates romantic and white decor of my room and it is not given to all alarm clocks !! In summary, for me: Its strong points are: 1) simulation "sunrise solei": successful! 2) function dimmable bedside lamp: the top! 3) round and smooth design (ideally harmonizes with every decor even romantic, glamorous chic, etc ...) 4) The discretion of almost invisbles buttons and lights on the approach of the hand. 5) The repeat function (although comfortable, the days when you need it) Weakness: 1) its lack of autonomy in case of power failure. 2) The beautiful and discrete touch buttons, strong point for clairvoyant, are obviously not recommended for visually impaired people.</v>
      </c>
    </row>
    <row r="16177">
      <c r="A16177" s="1">
        <v>5.0</v>
      </c>
      <c r="B16177" s="1" t="s">
        <v>15907</v>
      </c>
      <c r="C16177" t="str">
        <f>IFERROR(__xludf.DUMMYFUNCTION("GOOGLETRANSLATE(B16177, ""fr"", ""en"")"),"Product multitasking good baking multiuse I used me for all household laundry clean vegetables classic product essential to have at home !!")</f>
        <v>Product multitasking good baking multiuse I used me for all household laundry clean vegetables classic product essential to have at home !!</v>
      </c>
    </row>
    <row r="16178">
      <c r="A16178" s="1">
        <v>5.0</v>
      </c>
      <c r="B16178" s="1" t="s">
        <v>15908</v>
      </c>
      <c r="C16178" t="str">
        <f>IFERROR(__xludf.DUMMYFUNCTION("GOOGLETRANSLATE(B16178, ""fr"", ""en"")"),"Cheap Very comfortable and light!")</f>
        <v>Cheap Very comfortable and light!</v>
      </c>
    </row>
    <row r="16179">
      <c r="A16179" s="1">
        <v>5.0</v>
      </c>
      <c r="B16179" s="1" t="s">
        <v>15909</v>
      </c>
      <c r="C16179" t="str">
        <f>IFERROR(__xludf.DUMMYFUNCTION("GOOGLETRANSLATE(B16179, ""fr"", ""en"")"),"Vintage Great product, with vintage effect guaranteed. Quiet for 10 years not to change the battery.")</f>
        <v>Vintage Great product, with vintage effect guaranteed. Quiet for 10 years not to change the battery.</v>
      </c>
    </row>
    <row r="16180">
      <c r="A16180" s="1">
        <v>5.0</v>
      </c>
      <c r="B16180" s="1" t="s">
        <v>15910</v>
      </c>
      <c r="C16180" t="str">
        <f>IFERROR(__xludf.DUMMYFUNCTION("GOOGLETRANSLATE(B16180, ""fr"", ""en"")"),"Very beautiful bracelet Excellent, I love")</f>
        <v>Very beautiful bracelet Excellent, I love</v>
      </c>
    </row>
    <row r="16181">
      <c r="A16181" s="1">
        <v>5.0</v>
      </c>
      <c r="B16181" s="1" t="s">
        <v>15911</v>
      </c>
      <c r="C16181" t="str">
        <f>IFERROR(__xludf.DUMMYFUNCTION("GOOGLETRANSLATE(B16181, ""fr"", ""en"")"),"Bag for all. practical and sturdy bag.")</f>
        <v>Bag for all. practical and sturdy bag.</v>
      </c>
    </row>
    <row r="16182">
      <c r="A16182" s="1">
        <v>5.0</v>
      </c>
      <c r="B16182" s="1" t="s">
        <v>15912</v>
      </c>
      <c r="C16182" t="str">
        <f>IFERROR(__xludf.DUMMYFUNCTION("GOOGLETRANSLATE(B16182, ""fr"", ""en"")"),"great in the beginning when I took it out of the package I was surprised by the thickness of the fabric, rather fine actually. but surprise as soon as you put it, because super hot. I believe in taking a second gray. and my niece asked me the same Christm"&amp;"as.")</f>
        <v>great in the beginning when I took it out of the package I was surprised by the thickness of the fabric, rather fine actually. but surprise as soon as you put it, because super hot. I believe in taking a second gray. and my niece asked me the same Christmas.</v>
      </c>
    </row>
    <row r="16183">
      <c r="A16183" s="1">
        <v>5.0</v>
      </c>
      <c r="B16183" s="1" t="s">
        <v>15913</v>
      </c>
      <c r="C16183" t="str">
        <f>IFERROR(__xludf.DUMMYFUNCTION("GOOGLETRANSLATE(B16183, ""fr"", ""en"")"),"Comfortable ergonomic design Thanks to its in-ear, Muzili wireless earbuds fit perfectly in your ear without any adjustment, frictionless gliding. They are designed to make you feel comfortable wearing headsets for long term use.")</f>
        <v>Comfortable ergonomic design Thanks to its in-ear, Muzili wireless earbuds fit perfectly in your ear without any adjustment, frictionless gliding. They are designed to make you feel comfortable wearing headsets for long term use.</v>
      </c>
    </row>
    <row r="16184">
      <c r="A16184" s="1">
        <v>5.0</v>
      </c>
      <c r="B16184" s="1" t="s">
        <v>15914</v>
      </c>
      <c r="C16184" t="str">
        <f>IFERROR(__xludf.DUMMYFUNCTION("GOOGLETRANSLATE(B16184, ""fr"", ""en"")"),"dooxii jogging 2 pieces it is very nice and warm on top wonderful")</f>
        <v>dooxii jogging 2 pieces it is very nice and warm on top wonderful</v>
      </c>
    </row>
    <row r="16185">
      <c r="A16185" s="1">
        <v>5.0</v>
      </c>
      <c r="B16185" s="1" t="s">
        <v>15915</v>
      </c>
      <c r="C16185" t="str">
        <f>IFERROR(__xludf.DUMMYFUNCTION("GOOGLETRANSLATE(B16185, ""fr"", ""en"")"),"100 EX white adhesive sticker paper A4 SPECIAL CUT very happy with the product I recommend")</f>
        <v>100 EX white adhesive sticker paper A4 SPECIAL CUT very happy with the product I recommend</v>
      </c>
    </row>
    <row r="16186">
      <c r="A16186" s="1">
        <v>5.0</v>
      </c>
      <c r="B16186" s="1" t="s">
        <v>15916</v>
      </c>
      <c r="C16186" t="str">
        <f>IFERROR(__xludf.DUMMYFUNCTION("GOOGLETRANSLATE(B16186, ""fr"", ""en"")"),"super nickel")</f>
        <v>super nickel</v>
      </c>
    </row>
    <row r="16187">
      <c r="A16187" s="1">
        <v>5.0</v>
      </c>
      <c r="B16187" s="1" t="s">
        <v>15917</v>
      </c>
      <c r="C16187" t="str">
        <f>IFERROR(__xludf.DUMMYFUNCTION("GOOGLETRANSLATE(B16187, ""fr"", ""en"")"),"Quality / Prices Perfect")</f>
        <v>Quality / Prices Perfect</v>
      </c>
    </row>
    <row r="16188">
      <c r="A16188" s="1">
        <v>5.0</v>
      </c>
      <c r="B16188" s="1" t="s">
        <v>15918</v>
      </c>
      <c r="C16188" t="str">
        <f>IFERROR(__xludf.DUMMYFUNCTION("GOOGLETRANSLATE(B16188, ""fr"", ""en"")"),"Although conformity")</f>
        <v>Although conformity</v>
      </c>
    </row>
    <row r="16189">
      <c r="A16189" s="1">
        <v>2.0</v>
      </c>
      <c r="B16189" s="1" t="s">
        <v>15919</v>
      </c>
      <c r="C16189" t="str">
        <f>IFERROR(__xludf.DUMMYFUNCTION("GOOGLETRANSLATE(B16189, ""fr"", ""en"")"),"Shortly resistant .... Teat bought for baby milk in AR. Perfect at the beginning ... The teats are split after 1-2 months of use. The gap is wider baby ""drowning"" in a bottle ... We atttend better qualitée when buying the Philips AVENT !! All my bottle "&amp;"of Advent are therefore forced to buy new teats often. Amazon side nothing to say always perfect and fast")</f>
        <v>Shortly resistant .... Teat bought for baby milk in AR. Perfect at the beginning ... The teats are split after 1-2 months of use. The gap is wider baby "drowning" in a bottle ... We atttend better qualitée when buying the Philips AVENT !! All my bottle of Advent are therefore forced to buy new teats often. Amazon side nothing to say always perfect and fast</v>
      </c>
    </row>
    <row r="16190">
      <c r="A16190" s="1">
        <v>1.0</v>
      </c>
      <c r="B16190" s="1" t="s">
        <v>15920</v>
      </c>
      <c r="C16190" t="str">
        <f>IFERROR(__xludf.DUMMYFUNCTION("GOOGLETRANSLATE(B16190, ""fr"", ""en"")"),"Colle but not all carriers do not glue on all media. Disappointed to see the purchase price. I can see a difference except the price of a conventional double face.")</f>
        <v>Colle but not all carriers do not glue on all media. Disappointed to see the purchase price. I can see a difference except the price of a conventional double face.</v>
      </c>
    </row>
    <row r="16191">
      <c r="A16191" s="1">
        <v>1.0</v>
      </c>
      <c r="B16191" s="1" t="s">
        <v>15921</v>
      </c>
      <c r="C16191" t="str">
        <f>IFERROR(__xludf.DUMMYFUNCTION("GOOGLETRANSLATE(B16191, ""fr"", ""en"")"),"does not support the cable never worked. No sound. Mention is made that we have 90 days to return. But impossible to contact the seller ...")</f>
        <v>does not support the cable never worked. No sound. Mention is made that we have 90 days to return. But impossible to contact the seller ...</v>
      </c>
    </row>
    <row r="16192">
      <c r="A16192" s="1">
        <v>3.0</v>
      </c>
      <c r="B16192" s="1" t="s">
        <v>15922</v>
      </c>
      <c r="C16192" t="str">
        <f>IFERROR(__xludf.DUMMYFUNCTION("GOOGLETRANSLATE(B16192, ""fr"", ""en"")"),"no more no more there must be better")</f>
        <v>no more no more there must be better</v>
      </c>
    </row>
    <row r="16193">
      <c r="A16193" s="1">
        <v>3.0</v>
      </c>
      <c r="B16193" s="1" t="s">
        <v>15923</v>
      </c>
      <c r="C16193" t="str">
        <f>IFERROR(__xludf.DUMMYFUNCTION("GOOGLETRANSLATE(B16193, ""fr"", ""en"")"),"For little use Lightweight, compact little quality")</f>
        <v>For little use Lightweight, compact little quality</v>
      </c>
    </row>
    <row r="16194">
      <c r="A16194" s="1">
        <v>4.0</v>
      </c>
      <c r="B16194" s="1" t="s">
        <v>15924</v>
      </c>
      <c r="C16194" t="str">
        <f>IFERROR(__xludf.DUMMYFUNCTION("GOOGLETRANSLATE(B16194, ""fr"", ""en"")"),"Good quality / price I received this product on time, the carpet meets the photos and description. I'm getting used to slowly because it stings at first but hope that my long-term back pain will calm down.")</f>
        <v>Good quality / price I received this product on time, the carpet meets the photos and description. I'm getting used to slowly because it stings at first but hope that my long-term back pain will calm down.</v>
      </c>
    </row>
    <row r="16195">
      <c r="A16195" s="1">
        <v>4.0</v>
      </c>
      <c r="B16195" s="1" t="s">
        <v>15925</v>
      </c>
      <c r="C16195" t="str">
        <f>IFERROR(__xludf.DUMMYFUNCTION("GOOGLETRANSLATE(B16195, ""fr"", ""en"")"),"Very easy to use I like the style")</f>
        <v>Very easy to use I like the style</v>
      </c>
    </row>
    <row r="16196">
      <c r="A16196" s="1">
        <v>4.0</v>
      </c>
      <c r="B16196" s="1" t="s">
        <v>15926</v>
      </c>
      <c r="C16196" t="str">
        <f>IFERROR(__xludf.DUMMYFUNCTION("GOOGLETRANSLATE(B16196, ""fr"", ""en"")"),"Excellent Bought 22.99 €. Packaging frankly class. Headset 80% charged factory. Very good sound quality frankly I do not expect this quality! To get started: - Light a headset (press 2 seconds barely button) THEN the second. - Involve your phone via Bluet"&amp;"ooth. Delivery fast premium (order placed and received on Tuesday morning Thursday morning). I recommend these headsets! Conclusion: Good finish solid product Hold tight in the ears (3 rubber pairs are included) Perfect for Running trails sound quality ve"&amp;"ry good impressive price Value Warning: have a USB charging unit since only the USB cable provided ( but that has no USB charger block these days?)")</f>
        <v>Excellent Bought 22.99 €. Packaging frankly class. Headset 80% charged factory. Very good sound quality frankly I do not expect this quality! To get started: - Light a headset (press 2 seconds barely button) THEN the second. - Involve your phone via Bluetooth. Delivery fast premium (order placed and received on Tuesday morning Thursday morning). I recommend these headsets! Conclusion: Good finish solid product Hold tight in the ears (3 rubber pairs are included) Perfect for Running trails sound quality very good impressive price Value Warning: have a USB charging unit since only the USB cable provided ( but that has no USB charger block these days?)</v>
      </c>
    </row>
    <row r="16197">
      <c r="A16197" s="1">
        <v>4.0</v>
      </c>
      <c r="B16197" s="1" t="s">
        <v>15927</v>
      </c>
      <c r="C16197" t="str">
        <f>IFERROR(__xludf.DUMMYFUNCTION("GOOGLETRANSLATE(B16197, ""fr"", ""en"")"),"Very much a good solid well sorter and quality. Perfect for teens so they rank the feuilles.BON value for money")</f>
        <v>Very much a good solid well sorter and quality. Perfect for teens so they rank the feuilles.BON value for money</v>
      </c>
    </row>
    <row r="16198">
      <c r="A16198" s="1">
        <v>5.0</v>
      </c>
      <c r="B16198" s="1" t="s">
        <v>15928</v>
      </c>
      <c r="C16198" t="str">
        <f>IFERROR(__xludf.DUMMYFUNCTION("GOOGLETRANSLATE(B16198, ""fr"", ""en"")"),"SUPER COMFORT Very comfortable and very gentle on the skin these socks are really great. A little expensive but practical. A French translation of different texts and indications have been the 2nd bienvenue.Ceci is my order but then after the first wash, "&amp;"they are somewhat accurate. I took the 39/42 size because I put on the 40 but my husband's shoes 42 I took 43/46 and they will very bien.Je highly recommend this product.")</f>
        <v>SUPER COMFORT Very comfortable and very gentle on the skin these socks are really great. A little expensive but practical. A French translation of different texts and indications have been the 2nd bienvenue.Ceci is my order but then after the first wash, they are somewhat accurate. I took the 39/42 size because I put on the 40 but my husband's shoes 42 I took 43/46 and they will very bien.Je highly recommend this product.</v>
      </c>
    </row>
    <row r="16199">
      <c r="A16199" s="1">
        <v>5.0</v>
      </c>
      <c r="B16199" s="1" t="s">
        <v>15929</v>
      </c>
      <c r="C16199" t="str">
        <f>IFERROR(__xludf.DUMMYFUNCTION("GOOGLETRANSLATE(B16199, ""fr"", ""en"")"),"Hoodies perfect")</f>
        <v>Hoodies perfect</v>
      </c>
    </row>
    <row r="16200">
      <c r="A16200" s="1">
        <v>5.0</v>
      </c>
      <c r="B16200" s="1" t="s">
        <v>15930</v>
      </c>
      <c r="C16200" t="str">
        <f>IFERROR(__xludf.DUMMYFUNCTION("GOOGLETRANSLATE(B16200, ""fr"", ""en"")"),"vinyl storage box product according, received within time indicate and in good condition. The storage capacity is impressive; 100 vinyl! The wooden box is very attractive and of good quality. The 4 wheels are fine for moving the crate.")</f>
        <v>vinyl storage box product according, received within time indicate and in good condition. The storage capacity is impressive; 100 vinyl! The wooden box is very attractive and of good quality. The 4 wheels are fine for moving the crate.</v>
      </c>
    </row>
    <row r="16201">
      <c r="A16201" s="1">
        <v>5.0</v>
      </c>
      <c r="B16201" s="1" t="s">
        <v>15931</v>
      </c>
      <c r="C16201" t="str">
        <f>IFERROR(__xludf.DUMMYFUNCTION("GOOGLETRANSLATE(B16201, ""fr"", ""en"")"),"EARRINGS very feminine product according to the picture and description. I was looking for original and elegant earrings earrings to change Creole. Very happy with my purchase and speed of delivery.")</f>
        <v>EARRINGS very feminine product according to the picture and description. I was looking for original and elegant earrings earrings to change Creole. Very happy with my purchase and speed of delivery.</v>
      </c>
    </row>
    <row r="16202">
      <c r="A16202" s="1">
        <v>5.0</v>
      </c>
      <c r="B16202" s="1" t="s">
        <v>15932</v>
      </c>
      <c r="C16202" t="str">
        <f>IFERROR(__xludf.DUMMYFUNCTION("GOOGLETRANSLATE(B16202, ""fr"", ""en"")"),"Very good!! Microphone too well !! The design is great! I am a very shy and it always makes me weird to listen to me after the recordings but the sound quality is good so it's easier and more pleasant to listen to.")</f>
        <v>Very good!! Microphone too well !! The design is great! I am a very shy and it always makes me weird to listen to me after the recordings but the sound quality is good so it's easier and more pleasant to listen to.</v>
      </c>
    </row>
    <row r="16203">
      <c r="A16203" s="1">
        <v>5.0</v>
      </c>
      <c r="B16203" s="1" t="s">
        <v>15933</v>
      </c>
      <c r="C16203" t="str">
        <f>IFERROR(__xludf.DUMMYFUNCTION("GOOGLETRANSLATE(B16203, ""fr"", ""en"")"),"Perfect nickel is perfect and exactly matching the description could ask for more? that's what I wanted ... great")</f>
        <v>Perfect nickel is perfect and exactly matching the description could ask for more? that's what I wanted ... great</v>
      </c>
    </row>
    <row r="16204">
      <c r="A16204" s="1">
        <v>5.0</v>
      </c>
      <c r="B16204" s="1" t="s">
        <v>15934</v>
      </c>
      <c r="C16204" t="str">
        <f>IFERROR(__xludf.DUMMYFUNCTION("GOOGLETRANSLATE(B16204, ""fr"", ""en"")"),"Perfect comfortable and beautiful Soft easy to")</f>
        <v>Perfect comfortable and beautiful Soft easy to</v>
      </c>
    </row>
    <row r="16205">
      <c r="A16205" s="1">
        <v>5.0</v>
      </c>
      <c r="B16205" s="1" t="s">
        <v>15935</v>
      </c>
      <c r="C16205" t="str">
        <f>IFERROR(__xludf.DUMMYFUNCTION("GOOGLETRANSLATE(B16205, ""fr"", ""en"")"),"humidifier Very satisfied, fast delivery, a very light mist dissemination and good odor with essential oils.")</f>
        <v>humidifier Very satisfied, fast delivery, a very light mist dissemination and good odor with essential oils.</v>
      </c>
    </row>
    <row r="16206">
      <c r="A16206" s="1">
        <v>5.0</v>
      </c>
      <c r="B16206" s="1" t="s">
        <v>15936</v>
      </c>
      <c r="C16206" t="str">
        <f>IFERROR(__xludf.DUMMYFUNCTION("GOOGLETRANSLATE(B16206, ""fr"", ""en"")"),"Perfect Perfect smell good quality extra")</f>
        <v>Perfect Perfect smell good quality extra</v>
      </c>
    </row>
    <row r="16207">
      <c r="A16207" s="1">
        <v>5.0</v>
      </c>
      <c r="B16207" s="1" t="s">
        <v>15937</v>
      </c>
      <c r="C16207" t="str">
        <f>IFERROR(__xludf.DUMMYFUNCTION("GOOGLETRANSLATE(B16207, ""fr"", ""en"")"),"Perfect! Express delivery, product conformity and immaculate, nice rendering, good price / quality ratio, in short nothing to say, I'm just waiting for the sun to set.")</f>
        <v>Perfect! Express delivery, product conformity and immaculate, nice rendering, good price / quality ratio, in short nothing to say, I'm just waiting for the sun to set.</v>
      </c>
    </row>
    <row r="16208">
      <c r="A16208" s="1">
        <v>5.0</v>
      </c>
      <c r="B16208" s="1" t="s">
        <v>15938</v>
      </c>
      <c r="C16208" t="str">
        <f>IFERROR(__xludf.DUMMYFUNCTION("GOOGLETRANSLATE(B16208, ""fr"", ""en"")"),"Perfect Perfect very fast delivery")</f>
        <v>Perfect Perfect very fast delivery</v>
      </c>
    </row>
    <row r="16209">
      <c r="A16209" s="1">
        <v>5.0</v>
      </c>
      <c r="B16209" s="1" t="s">
        <v>15939</v>
      </c>
      <c r="C16209" t="str">
        <f>IFERROR(__xludf.DUMMYFUNCTION("GOOGLETRANSLATE(B16209, ""fr"", ""en"")"),"Indispensable I washed the wallpaper of my room very dirty after 8 years (last wash), only with this vinegar and good sponge. It's white, clean and smells clean. Absolutely delighted.")</f>
        <v>Indispensable I washed the wallpaper of my room very dirty after 8 years (last wash), only with this vinegar and good sponge. It's white, clean and smells clean. Absolutely delighted.</v>
      </c>
    </row>
    <row r="16210">
      <c r="A16210" s="1">
        <v>5.0</v>
      </c>
      <c r="B16210" s="1" t="s">
        <v>15940</v>
      </c>
      <c r="C16210" t="str">
        <f>IFERROR(__xludf.DUMMYFUNCTION("GOOGLETRANSLATE(B16210, ""fr"", ""en"")"),"Very good machine Toaster Okay functionally Beautiful design beautiful colors Fair price Am very satisfied with this purchase I recommend")</f>
        <v>Very good machine Toaster Okay functionally Beautiful design beautiful colors Fair price Am very satisfied with this purchase I recommend</v>
      </c>
    </row>
    <row r="16211">
      <c r="A16211" s="1">
        <v>5.0</v>
      </c>
      <c r="B16211" s="1" t="s">
        <v>15941</v>
      </c>
      <c r="C16211" t="str">
        <f>IFERROR(__xludf.DUMMYFUNCTION("GOOGLETRANSLATE(B16211, ""fr"", ""en"")"),"Satisfied, I recommend The headphones are of good quality. Also very comfortable, the sound is pleasant and the box can be used as external battery, so quite handy when you are out of power.")</f>
        <v>Satisfied, I recommend The headphones are of good quality. Also very comfortable, the sound is pleasant and the box can be used as external battery, so quite handy when you are out of power.</v>
      </c>
    </row>
    <row r="16212">
      <c r="A16212" s="1">
        <v>5.0</v>
      </c>
      <c r="B16212" s="1" t="s">
        <v>15942</v>
      </c>
      <c r="C16212" t="str">
        <f>IFERROR(__xludf.DUMMYFUNCTION("GOOGLETRANSLATE(B16212, ""fr"", ""en"")"),"good shoe love this shoe very comfortable and is very well taile 42")</f>
        <v>good shoe love this shoe very comfortable and is very well taile 42</v>
      </c>
    </row>
    <row r="16213">
      <c r="A16213" s="1">
        <v>2.0</v>
      </c>
      <c r="B16213" s="1" t="s">
        <v>15943</v>
      </c>
      <c r="C16213" t="str">
        <f>IFERROR(__xludf.DUMMYFUNCTION("GOOGLETRANSLATE(B16213, ""fr"", ""en"")"),"The bracelet disappointed received black jade is not at all like the photo for information. Mine is gray, pretty much less than their picture. I let you compare between my picture (below) and photo Contract.")</f>
        <v>The bracelet disappointed received black jade is not at all like the photo for information. Mine is gray, pretty much less than their picture. I let you compare between my picture (below) and photo Contract.</v>
      </c>
    </row>
    <row r="16214">
      <c r="A16214" s="1">
        <v>1.0</v>
      </c>
      <c r="B16214" s="1" t="s">
        <v>15944</v>
      </c>
      <c r="C16214" t="str">
        <f>IFERROR(__xludf.DUMMYFUNCTION("GOOGLETRANSLATE(B16214, ""fr"", ""en"")"),"Produced in Spanish and not French Spanish product and not in French. careful not to sell non-compliant products at the photo on the descriptive")</f>
        <v>Produced in Spanish and not French Spanish product and not in French. careful not to sell non-compliant products at the photo on the descriptive</v>
      </c>
    </row>
    <row r="16215">
      <c r="A16215" s="1">
        <v>1.0</v>
      </c>
      <c r="B16215" s="1" t="s">
        <v>15945</v>
      </c>
      <c r="C16215" t="str">
        <f>IFERROR(__xludf.DUMMYFUNCTION("GOOGLETRANSLATE(B16215, ""fr"", ""en"")"),"Should not be in a hurry .. Do not trust the manufacturer's instructions, almost 10min to warm a bottle of 90ml against 3 min clearly stated by Philips .... Even a bottle warmer full of unfulfilled promises !!! Fed up of being picked for pigeons")</f>
        <v>Should not be in a hurry .. Do not trust the manufacturer's instructions, almost 10min to warm a bottle of 90ml against 3 min clearly stated by Philips .... Even a bottle warmer full of unfulfilled promises !!! Fed up of being picked for pigeons</v>
      </c>
    </row>
    <row r="16216">
      <c r="A16216" s="1">
        <v>3.0</v>
      </c>
      <c r="B16216" s="1" t="s">
        <v>15946</v>
      </c>
      <c r="C16216" t="str">
        <f>IFERROR(__xludf.DUMMYFUNCTION("GOOGLETRANSLATE(B16216, ""fr"", ""en"")"),"Size too small size too small, I gave to my niece who is size S XL is perfectly fine him.")</f>
        <v>Size too small size too small, I gave to my niece who is size S XL is perfectly fine him.</v>
      </c>
    </row>
    <row r="16217">
      <c r="A16217" s="1">
        <v>3.0</v>
      </c>
      <c r="B16217" s="1" t="s">
        <v>15947</v>
      </c>
      <c r="C16217" t="str">
        <f>IFERROR(__xludf.DUMMYFUNCTION("GOOGLETRANSLATE(B16217, ""fr"", ""en"")"),"Good but .... Comfortable shoes, amazon damage we advice size because I followed but they are too big damage")</f>
        <v>Good but .... Comfortable shoes, amazon damage we advice size because I followed but they are too big damage</v>
      </c>
    </row>
    <row r="16218">
      <c r="A16218" s="1">
        <v>4.0</v>
      </c>
      <c r="B16218" s="1" t="s">
        <v>15948</v>
      </c>
      <c r="C16218" t="str">
        <f>IFERROR(__xludf.DUMMYFUNCTION("GOOGLETRANSLATE(B16218, ""fr"", ""en"")"),"For small bins Here is an article suitable for small garbage is a little larger than those that we put in the toilet (especially pimp space).")</f>
        <v>For small bins Here is an article suitable for small garbage is a little larger than those that we put in the toilet (especially pimp space).</v>
      </c>
    </row>
    <row r="16219">
      <c r="A16219" s="1">
        <v>4.0</v>
      </c>
      <c r="B16219" s="1" t="s">
        <v>15949</v>
      </c>
      <c r="C16219" t="str">
        <f>IFERROR(__xludf.DUMMYFUNCTION("GOOGLETRANSLATE(B16219, ""fr"", ""en"")"),"What more can be said ? I do not know what to tell you, the product matches the description, it is clean, and it works.")</f>
        <v>What more can be said ? I do not know what to tell you, the product matches the description, it is clean, and it works.</v>
      </c>
    </row>
    <row r="16220">
      <c r="A16220" s="1">
        <v>4.0</v>
      </c>
      <c r="B16220" s="1" t="s">
        <v>15950</v>
      </c>
      <c r="C16220" t="str">
        <f>IFERROR(__xludf.DUMMYFUNCTION("GOOGLETRANSLATE(B16220, ""fr"", ""en"")"),"The classic Puma 70s A true classic of the sports shoe")</f>
        <v>The classic Puma 70s A true classic of the sports shoe</v>
      </c>
    </row>
    <row r="16221">
      <c r="A16221" s="1">
        <v>4.0</v>
      </c>
      <c r="B16221" s="1" t="s">
        <v>15951</v>
      </c>
      <c r="C16221" t="str">
        <f>IFERROR(__xludf.DUMMYFUNCTION("GOOGLETRANSLATE(B16221, ""fr"", ""en"")"),"Superb They are very pretty, the color is a beautiful perfect red.")</f>
        <v>Superb They are very pretty, the color is a beautiful perfect red.</v>
      </c>
    </row>
    <row r="16222">
      <c r="A16222" s="1">
        <v>5.0</v>
      </c>
      <c r="B16222" s="1" t="s">
        <v>15952</v>
      </c>
      <c r="C16222" t="str">
        <f>IFERROR(__xludf.DUMMYFUNCTION("GOOGLETRANSLATE(B16222, ""fr"", ""en"")"),"Product that has the Scheduled air quality for a trip to Canada, I took a half size larger. Received with the brand box and ok for size, we must take a little bigger! with socks for cold is the minimum for moi.En regarding the product, obviously made in T"&amp;"hailand, but this should not suggest that the quality is bad, to see after use and one can think that the boots are suffissament hot and filled to be adapted to winter weather")</f>
        <v>Product that has the Scheduled air quality for a trip to Canada, I took a half size larger. Received with the brand box and ok for size, we must take a little bigger! with socks for cold is the minimum for moi.En regarding the product, obviously made in Thailand, but this should not suggest that the quality is bad, to see after use and one can think that the boots are suffissament hot and filled to be adapted to winter weather</v>
      </c>
    </row>
    <row r="16223">
      <c r="A16223" s="1">
        <v>5.0</v>
      </c>
      <c r="B16223" s="1" t="s">
        <v>15953</v>
      </c>
      <c r="C16223" t="str">
        <f>IFERROR(__xludf.DUMMYFUNCTION("GOOGLETRANSLATE(B16223, ""fr"", ""en"")"),"Delivery very disappointed at the state of my cardboard product is top against For delivery to the collection point is poor. The board has not arrived in good condition")</f>
        <v>Delivery very disappointed at the state of my cardboard product is top against For delivery to the collection point is poor. The board has not arrived in good condition</v>
      </c>
    </row>
    <row r="16224">
      <c r="A16224" s="1">
        <v>5.0</v>
      </c>
      <c r="B16224" s="1" t="s">
        <v>15954</v>
      </c>
      <c r="C16224" t="str">
        <f>IFERROR(__xludf.DUMMYFUNCTION("GOOGLETRANSLATE(B16224, ""fr"", ""en"")"),"Perfect Match Description")</f>
        <v>Perfect Match Description</v>
      </c>
    </row>
    <row r="16225">
      <c r="A16225" s="1">
        <v>5.0</v>
      </c>
      <c r="B16225" s="1" t="s">
        <v>15955</v>
      </c>
      <c r="C16225" t="str">
        <f>IFERROR(__xludf.DUMMYFUNCTION("GOOGLETRANSLATE(B16225, ""fr"", ""en"")"),". Very good product")</f>
        <v>. Very good product</v>
      </c>
    </row>
    <row r="16226">
      <c r="A16226" s="1">
        <v>5.0</v>
      </c>
      <c r="B16226" s="1" t="s">
        <v>15956</v>
      </c>
      <c r="C16226" t="str">
        <f>IFERROR(__xludf.DUMMYFUNCTION("GOOGLETRANSLATE(B16226, ""fr"", ""en"")"),"Compliance and Quality Product and Delivery comply; slightly larger size. shoe that looks very good, to do with time")</f>
        <v>Compliance and Quality Product and Delivery comply; slightly larger size. shoe that looks very good, to do with time</v>
      </c>
    </row>
    <row r="16227">
      <c r="A16227" s="1">
        <v>5.0</v>
      </c>
      <c r="B16227" s="1" t="s">
        <v>15957</v>
      </c>
      <c r="C16227" t="str">
        <f>IFERROR(__xludf.DUMMYFUNCTION("GOOGLETRANSLATE(B16227, ""fr"", ""en"")"),"Satisfied This oil is perfect to disinfect entire house, add two tablespoons of baking soda in a cup it removes all odors in the toilet.")</f>
        <v>Satisfied This oil is perfect to disinfect entire house, add two tablespoons of baking soda in a cup it removes all odors in the toilet.</v>
      </c>
    </row>
    <row r="16228">
      <c r="A16228" s="1">
        <v>5.0</v>
      </c>
      <c r="B16228" s="1" t="s">
        <v>15958</v>
      </c>
      <c r="C16228" t="str">
        <f>IFERROR(__xludf.DUMMYFUNCTION("GOOGLETRANSLATE(B16228, ""fr"", ""en"")"),"Excellent product The sound is very well restored with beautiful bass presence, which I really appreciate. They look like a premium product. professional packaging is a good sign. The adjustment knob easily slips. I ordered twice these headphones because "&amp;"I am fully satisfied.")</f>
        <v>Excellent product The sound is very well restored with beautiful bass presence, which I really appreciate. They look like a premium product. professional packaging is a good sign. The adjustment knob easily slips. I ordered twice these headphones because I am fully satisfied.</v>
      </c>
    </row>
    <row r="16229">
      <c r="A16229" s="1">
        <v>5.0</v>
      </c>
      <c r="B16229" s="1" t="s">
        <v>15959</v>
      </c>
      <c r="C16229" t="str">
        <f>IFERROR(__xludf.DUMMYFUNCTION("GOOGLETRANSLATE(B16229, ""fr"", ""en"")"),"The happiness of the line! I was looking for some time markers to make lines, I finally found! The choice of tips allows to find his style and, once dry, felt resists the passage of watercolor over without drooling! In short, good material!")</f>
        <v>The happiness of the line! I was looking for some time markers to make lines, I finally found! The choice of tips allows to find his style and, once dry, felt resists the passage of watercolor over without drooling! In short, good material!</v>
      </c>
    </row>
    <row r="16230">
      <c r="A16230" s="1">
        <v>5.0</v>
      </c>
      <c r="B16230" s="1" t="s">
        <v>15960</v>
      </c>
      <c r="C16230" t="str">
        <f>IFERROR(__xludf.DUMMYFUNCTION("GOOGLETRANSLATE(B16230, ""fr"", ""en"")"),"Good quality 5/5 time Delivery Time. Glad to purchase. I recommend.")</f>
        <v>Good quality 5/5 time Delivery Time. Glad to purchase. I recommend.</v>
      </c>
    </row>
    <row r="16231">
      <c r="A16231" s="1">
        <v>5.0</v>
      </c>
      <c r="B16231" s="1" t="s">
        <v>15961</v>
      </c>
      <c r="C16231" t="str">
        <f>IFERROR(__xludf.DUMMYFUNCTION("GOOGLETRANSLATE(B16231, ""fr"", ""en"")"),"Pleasant Comfort nikel")</f>
        <v>Pleasant Comfort nikel</v>
      </c>
    </row>
    <row r="16232">
      <c r="A16232" s="1">
        <v>5.0</v>
      </c>
      <c r="B16232" s="1" t="s">
        <v>15962</v>
      </c>
      <c r="C16232" t="str">
        <f>IFERROR(__xludf.DUMMYFUNCTION("GOOGLETRANSLATE(B16232, ""fr"", ""en"")"),"Perfect I'm quite satisfied with this purchase. He matches the description and works very well. I appreciate its lightness and its small thickness. Fashion being oversized watches it gets complicated to find a stylish. Initially, the user manual is a bit "&amp;"confusing, but you'll quickly get the hand as it updates itself!")</f>
        <v>Perfect I'm quite satisfied with this purchase. He matches the description and works very well. I appreciate its lightness and its small thickness. Fashion being oversized watches it gets complicated to find a stylish. Initially, the user manual is a bit confusing, but you'll quickly get the hand as it updates itself!</v>
      </c>
    </row>
    <row r="16233">
      <c r="A16233" s="1">
        <v>5.0</v>
      </c>
      <c r="B16233" s="1" t="s">
        <v>15963</v>
      </c>
      <c r="C16233" t="str">
        <f>IFERROR(__xludf.DUMMYFUNCTION("GOOGLETRANSLATE(B16233, ""fr"", ""en"")"),"Excellent value. Bought at the day bonus, I paid less than 20 euros. Frankly a very nice product for the price and works very well. Stable and contains a 40cl fleet dose.")</f>
        <v>Excellent value. Bought at the day bonus, I paid less than 20 euros. Frankly a very nice product for the price and works very well. Stable and contains a 40cl fleet dose.</v>
      </c>
    </row>
    <row r="16234">
      <c r="A16234" s="1">
        <v>5.0</v>
      </c>
      <c r="B16234" s="1" t="s">
        <v>15964</v>
      </c>
      <c r="C16234" t="str">
        <f>IFERROR(__xludf.DUMMYFUNCTION("GOOGLETRANSLATE(B16234, ""fr"", ""en"")"),"Smells perfect for potions. Refreshing and useful for my health magical potions or repels insects. I recommend without hesitation. The oil seems to quality mint.")</f>
        <v>Smells perfect for potions. Refreshing and useful for my health magical potions or repels insects. I recommend without hesitation. The oil seems to quality mint.</v>
      </c>
    </row>
    <row r="16235">
      <c r="A16235" s="1">
        <v>5.0</v>
      </c>
      <c r="B16235" s="1" t="s">
        <v>15965</v>
      </c>
      <c r="C16235" t="str">
        <f>IFERROR(__xludf.DUMMYFUNCTION("GOOGLETRANSLATE(B16235, ""fr"", ""en"")"),"For the price TaoTronic helmet, this helmet is a good headset with good sound, easy pairing, and a clear microphone! Noise reduction is mainly by the pads. Reducing active noise, however, slightly reduces ambient noise, but much less than most high-end he"&amp;"adphones. So it will not be his main quality. If you are looking for a good Bluetooth headset on a budget, you can go there with your eyes closed! (And all ears)")</f>
        <v>For the price TaoTronic helmet, this helmet is a good headset with good sound, easy pairing, and a clear microphone! Noise reduction is mainly by the pads. Reducing active noise, however, slightly reduces ambient noise, but much less than most high-end headphones. So it will not be his main quality. If you are looking for a good Bluetooth headset on a budget, you can go there with your eyes closed! (And all ears)</v>
      </c>
    </row>
    <row r="16236">
      <c r="A16236" s="1">
        <v>5.0</v>
      </c>
      <c r="B16236" s="1" t="s">
        <v>15966</v>
      </c>
      <c r="C16236" t="str">
        <f>IFERROR(__xludf.DUMMYFUNCTION("GOOGLETRANSLATE(B16236, ""fr"", ""en"")"),"Super sweater Christmas sweater. Conforms to Record product. Good size and great product. Warning washing hands. Beautiful color and very nice finish")</f>
        <v>Super sweater Christmas sweater. Conforms to Record product. Good size and great product. Warning washing hands. Beautiful color and very nice finish</v>
      </c>
    </row>
    <row r="16237">
      <c r="A16237" s="1">
        <v>2.0</v>
      </c>
      <c r="B16237" s="1" t="s">
        <v>15967</v>
      </c>
      <c r="C16237" t="str">
        <f>IFERROR(__xludf.DUMMYFUNCTION("GOOGLETRANSLATE(B16237, ""fr"", ""en"")"),"Not bad but not really strong I bought these headphones for my son, after the previous had been partly destroyed by our cats. These headphones, it took more care than usual, yet they have stopped working after a few months (5 to be wide). The sound was no"&amp;"t bad, but all was still very cheap to start with. For the price, you're not going to take the time to request an exchange or a guarantee to play, it's part of the ""disposable"" one will say.")</f>
        <v>Not bad but not really strong I bought these headphones for my son, after the previous had been partly destroyed by our cats. These headphones, it took more care than usual, yet they have stopped working after a few months (5 to be wide). The sound was not bad, but all was still very cheap to start with. For the price, you're not going to take the time to request an exchange or a guarantee to play, it's part of the "disposable" one will say.</v>
      </c>
    </row>
    <row r="16238">
      <c r="A16238" s="1">
        <v>1.0</v>
      </c>
      <c r="B16238" s="1" t="s">
        <v>15968</v>
      </c>
      <c r="C16238" t="str">
        <f>IFERROR(__xludf.DUMMYFUNCTION("GOOGLETRANSLATE(B16238, ""fr"", ""en"")"),"CALECON I DO NOT SEE THE DIFFERENCE FOR THE SKIN")</f>
        <v>CALECON I DO NOT SEE THE DIFFERENCE FOR THE SKIN</v>
      </c>
    </row>
    <row r="16239">
      <c r="A16239" s="1">
        <v>1.0</v>
      </c>
      <c r="B16239" s="1" t="s">
        <v>15969</v>
      </c>
      <c r="C16239" t="str">
        <f>IFERROR(__xludf.DUMMYFUNCTION("GOOGLETRANSLATE(B16239, ""fr"", ""en"")"),"Watch glass crack Hi I have ordered this watch for a Christmas gift. We have offered insight with which it is split on top of the glass so that it is not dropped or slammed somewhere. Could you give me the march forward for you allocate Thanks Ms. debroed"&amp;"er")</f>
        <v>Watch glass crack Hi I have ordered this watch for a Christmas gift. We have offered insight with which it is split on top of the glass so that it is not dropped or slammed somewhere. Could you give me the march forward for you allocate Thanks Ms. debroeder</v>
      </c>
    </row>
    <row r="16240">
      <c r="A16240" s="1">
        <v>3.0</v>
      </c>
      <c r="B16240" s="1" t="s">
        <v>15970</v>
      </c>
      <c r="C16240" t="str">
        <f>IFERROR(__xludf.DUMMYFUNCTION("GOOGLETRANSLATE(B16240, ""fr"", ""en"")"),"Size Disappointed with my purchase. The earrings are pretty impressive but to have them continually to the ears.")</f>
        <v>Size Disappointed with my purchase. The earrings are pretty impressive but to have them continually to the ears.</v>
      </c>
    </row>
    <row r="16241">
      <c r="A16241" s="1">
        <v>4.0</v>
      </c>
      <c r="B16241" s="1" t="s">
        <v>15971</v>
      </c>
      <c r="C16241" t="str">
        <f>IFERROR(__xludf.DUMMYFUNCTION("GOOGLETRANSLATE(B16241, ""fr"", ""en"")"),"Beautiful, light, practical. A small handy bag, small size perfect for outings or carry things. Beautiful design, easily adjustable with two exchangeable hooks so you can change the right or left according to the wishes or have worn. Level instead, There "&amp;"are enough for a large bottle of 1.5L and a small 50cl no more. My only complaint is the strap on the shoulder, a little too thick to see ATV output ...")</f>
        <v>Beautiful, light, practical. A small handy bag, small size perfect for outings or carry things. Beautiful design, easily adjustable with two exchangeable hooks so you can change the right or left according to the wishes or have worn. Level instead, There are enough for a large bottle of 1.5L and a small 50cl no more. My only complaint is the strap on the shoulder, a little too thick to see ATV output ...</v>
      </c>
    </row>
    <row r="16242">
      <c r="A16242" s="1">
        <v>4.0</v>
      </c>
      <c r="B16242" s="1" t="s">
        <v>15972</v>
      </c>
      <c r="C16242" t="str">
        <f>IFERROR(__xludf.DUMMYFUNCTION("GOOGLETRANSLATE(B16242, ""fr"", ""en"")"),"Winter slippers Winter slippers too small, take the next size up.")</f>
        <v>Winter slippers Winter slippers too small, take the next size up.</v>
      </c>
    </row>
    <row r="16243">
      <c r="A16243" s="1">
        <v>4.0</v>
      </c>
      <c r="B16243" s="1" t="s">
        <v>15973</v>
      </c>
      <c r="C16243" t="str">
        <f>IFERROR(__xludf.DUMMYFUNCTION("GOOGLETRANSLATE(B16243, ""fr"", ""en"")"),"Good Good nice soft and warm but careful to take 1 or 2 larger sizes especially if like us they are for winter with socks, I recommend.")</f>
        <v>Good Good nice soft and warm but careful to take 1 or 2 larger sizes especially if like us they are for winter with socks, I recommend.</v>
      </c>
    </row>
    <row r="16244">
      <c r="A16244" s="1">
        <v>4.0</v>
      </c>
      <c r="B16244" s="1" t="s">
        <v>15974</v>
      </c>
      <c r="C16244" t="str">
        <f>IFERROR(__xludf.DUMMYFUNCTION("GOOGLETRANSLATE(B16244, ""fr"", ""en"")"),"I love beautiful watch it ahead of 6 seconds per day, me who loves precision that bothers me a bit, but I think that it is possible to solve this little problem except that when opened for setting we guarantee more watertight! !!!")</f>
        <v>I love beautiful watch it ahead of 6 seconds per day, me who loves precision that bothers me a bit, but I think that it is possible to solve this little problem except that when opened for setting we guarantee more watertight! !!!</v>
      </c>
    </row>
    <row r="16245">
      <c r="A16245" s="1">
        <v>5.0</v>
      </c>
      <c r="B16245" s="1" t="s">
        <v>15975</v>
      </c>
      <c r="C16245" t="str">
        <f>IFERROR(__xludf.DUMMYFUNCTION("GOOGLETRANSLATE(B16245, ""fr"", ""en"")"),"Extra soft teat pacifier The sweetest I've tried. Although softer than mam.je am thrilled and my son too;) fast delivery")</f>
        <v>Extra soft teat pacifier The sweetest I've tried. Although softer than mam.je am thrilled and my son too;) fast delivery</v>
      </c>
    </row>
    <row r="16246">
      <c r="A16246" s="1">
        <v>5.0</v>
      </c>
      <c r="B16246" s="1" t="s">
        <v>15976</v>
      </c>
      <c r="C16246" t="str">
        <f>IFERROR(__xludf.DUMMYFUNCTION("GOOGLETRANSLATE(B16246, ""fr"", ""en"")"),"Super super comfortable and made great my wife is thrilled made great pocket for phone and high waist Super 👍 I recommend")</f>
        <v>Super super comfortable and made great my wife is thrilled made great pocket for phone and high waist Super 👍 I recommend</v>
      </c>
    </row>
    <row r="16247">
      <c r="A16247" s="1">
        <v>5.0</v>
      </c>
      <c r="B16247" s="1" t="s">
        <v>15977</v>
      </c>
      <c r="C16247" t="str">
        <f>IFERROR(__xludf.DUMMYFUNCTION("GOOGLETRANSLATE(B16247, ""fr"", ""en"")"),"Great product Excellent product. Rapidly heated, the wax is effective. Easy application, simple, space-saving use. Exactly what my wife wanted.")</f>
        <v>Great product Excellent product. Rapidly heated, the wax is effective. Easy application, simple, space-saving use. Exactly what my wife wanted.</v>
      </c>
    </row>
    <row r="16248">
      <c r="A16248" s="1">
        <v>5.0</v>
      </c>
      <c r="B16248" s="1" t="s">
        <v>15978</v>
      </c>
      <c r="C16248" t="str">
        <f>IFERROR(__xludf.DUMMYFUNCTION("GOOGLETRANSLATE(B16248, ""fr"", ""en"")"),"Convenient but not that ... Convenient and easy to use A bemol in the second box, the Ink s coil is torn. No I was not very happy conclusion a stock of paper that is useless .. I thought the random printing was done on the same paper with small formats wh"&amp;"ich is not the case. The explanations are not clear Thanks for your attention")</f>
        <v>Convenient but not that ... Convenient and easy to use A bemol in the second box, the Ink s coil is torn. No I was not very happy conclusion a stock of paper that is useless .. I thought the random printing was done on the same paper with small formats which is not the case. The explanations are not clear Thanks for your attention</v>
      </c>
    </row>
    <row r="16249">
      <c r="A16249" s="1">
        <v>5.0</v>
      </c>
      <c r="B16249" s="1" t="s">
        <v>15979</v>
      </c>
      <c r="C16249" t="str">
        <f>IFERROR(__xludf.DUMMYFUNCTION("GOOGLETRANSLATE(B16249, ""fr"", ""en"")"),"Meets! Products compliant and many! Maybe a little big but agrees anyway :)")</f>
        <v>Meets! Products compliant and many! Maybe a little big but agrees anyway :)</v>
      </c>
    </row>
    <row r="16250">
      <c r="A16250" s="1">
        <v>5.0</v>
      </c>
      <c r="B16250" s="1" t="s">
        <v>15980</v>
      </c>
      <c r="C16250" t="str">
        <f>IFERROR(__xludf.DUMMYFUNCTION("GOOGLETRANSLATE(B16250, ""fr"", ""en"")"),"On long-term use can have some earache but not too much I bought these headphones to avoid son and above all buy new headphones 2 months")</f>
        <v>On long-term use can have some earache but not too much I bought these headphones to avoid son and above all buy new headphones 2 months</v>
      </c>
    </row>
    <row r="16251">
      <c r="A16251" s="1">
        <v>5.0</v>
      </c>
      <c r="B16251" s="1" t="s">
        <v>15981</v>
      </c>
      <c r="C16251" t="str">
        <f>IFERROR(__xludf.DUMMYFUNCTION("GOOGLETRANSLATE(B16251, ""fr"", ""en"")"),"Super awakening with lots of features top I love this clock simply, I did not expect to find so many functions (different sounds to fall asleep or waking up, nature, sea .... .music) light to wake is progressive and adjustable p actually everything is set"&amp;"tled and we get the alarm clock on .jadhere measurement!")</f>
        <v>Super awakening with lots of features top I love this clock simply, I did not expect to find so many functions (different sounds to fall asleep or waking up, nature, sea .... .music) light to wake is progressive and adjustable p actually everything is settled and we get the alarm clock on .jadhere measurement!</v>
      </c>
    </row>
    <row r="16252">
      <c r="A16252" s="1">
        <v>5.0</v>
      </c>
      <c r="B16252" s="1" t="s">
        <v>15982</v>
      </c>
      <c r="C16252" t="str">
        <f>IFERROR(__xludf.DUMMYFUNCTION("GOOGLETRANSLATE(B16252, ""fr"", ""en"")"),"Very comfortable Very comfortable I marchavec on cloud nine")</f>
        <v>Very comfortable Very comfortable I marchavec on cloud nine</v>
      </c>
    </row>
    <row r="16253">
      <c r="A16253" s="1">
        <v>5.0</v>
      </c>
      <c r="B16253" s="1" t="s">
        <v>15983</v>
      </c>
      <c r="C16253" t="str">
        <f>IFERROR(__xludf.DUMMYFUNCTION("GOOGLETRANSLATE(B16253, ""fr"", ""en"")"),"The top notch headphones are discreet, lightweight and super are. My daughter no longer uses that of ones. thank you to the vendor for its very fast good value for money. I recommend.")</f>
        <v>The top notch headphones are discreet, lightweight and super are. My daughter no longer uses that of ones. thank you to the vendor for its very fast good value for money. I recommend.</v>
      </c>
    </row>
    <row r="16254">
      <c r="A16254" s="1">
        <v>5.0</v>
      </c>
      <c r="B16254" s="1" t="s">
        <v>15984</v>
      </c>
      <c r="C16254" t="str">
        <f>IFERROR(__xludf.DUMMYFUNCTION("GOOGLETRANSLATE(B16254, ""fr"", ""en"")"),"Top Complies Photo")</f>
        <v>Top Complies Photo</v>
      </c>
    </row>
    <row r="16255">
      <c r="A16255" s="1">
        <v>5.0</v>
      </c>
      <c r="B16255" s="1" t="s">
        <v>15985</v>
      </c>
      <c r="C16255" t="str">
        <f>IFERROR(__xludf.DUMMYFUNCTION("GOOGLETRANSLATE(B16255, ""fr"", ""en"")"),"Satisfied Very Satisfied works great warm-up time is fast only drawback where have put the batteries is not practical.")</f>
        <v>Satisfied Very Satisfied works great warm-up time is fast only drawback where have put the batteries is not practical.</v>
      </c>
    </row>
    <row r="16256">
      <c r="A16256" s="1">
        <v>5.0</v>
      </c>
      <c r="B16256" s="1" t="s">
        <v>15986</v>
      </c>
      <c r="C16256" t="str">
        <f>IFERROR(__xludf.DUMMYFUNCTION("GOOGLETRANSLATE(B16256, ""fr"", ""en"")"),"transaction without problem proceeds received in time (1 day in advance). The product conforms to my expectations")</f>
        <v>transaction without problem proceeds received in time (1 day in advance). The product conforms to my expectations</v>
      </c>
    </row>
    <row r="16257">
      <c r="A16257" s="1">
        <v>5.0</v>
      </c>
      <c r="B16257" s="1" t="s">
        <v>15987</v>
      </c>
      <c r="C16257" t="str">
        <f>IFERROR(__xludf.DUMMYFUNCTION("GOOGLETRANSLATE(B16257, ""fr"", ""en"")"),"Toaster I like the retro style it works wonders")</f>
        <v>Toaster I like the retro style it works wonders</v>
      </c>
    </row>
    <row r="16258">
      <c r="A16258" s="1">
        <v>5.0</v>
      </c>
      <c r="B16258" s="1" t="s">
        <v>15988</v>
      </c>
      <c r="C16258" t="str">
        <f>IFERROR(__xludf.DUMMYFUNCTION("GOOGLETRANSLATE(B16258, ""fr"", ""en"")"),"Although consistent but does not last long enough and too expensive")</f>
        <v>Although consistent but does not last long enough and too expensive</v>
      </c>
    </row>
    <row r="16259">
      <c r="A16259" s="1">
        <v>5.0</v>
      </c>
      <c r="B16259" s="1" t="s">
        <v>15989</v>
      </c>
      <c r="C16259" t="str">
        <f>IFERROR(__xludf.DUMMYFUNCTION("GOOGLETRANSLATE(B16259, ""fr"", ""en"")"),"It is nice this little dress Any simple but very wearable It is not transparent with a liner Color is consistent with the photo I recommend I took a size bigger")</f>
        <v>It is nice this little dress Any simple but very wearable It is not transparent with a liner Color is consistent with the photo I recommend I took a size bigger</v>
      </c>
    </row>
    <row r="16260">
      <c r="A16260" s="1">
        <v>2.0</v>
      </c>
      <c r="B16260" s="1" t="s">
        <v>15990</v>
      </c>
      <c r="C16260" t="str">
        <f>IFERROR(__xludf.DUMMYFUNCTION("GOOGLETRANSLATE(B16260, ""fr"", ""en"")"),"blah blah .. Bad as the big brushes that small do not wash very well. save your money.")</f>
        <v>blah blah .. Bad as the big brushes that small do not wash very well. save your money.</v>
      </c>
    </row>
    <row r="16261">
      <c r="A16261" s="1">
        <v>1.0</v>
      </c>
      <c r="B16261" s="1" t="s">
        <v>15991</v>
      </c>
      <c r="C16261" t="str">
        <f>IFERROR(__xludf.DUMMYFUNCTION("GOOGLETRANSLATE(B16261, ""fr"", ""en"")"),"Item arrived safely but the size is too large. This article has been ordered at S-M size for my 12 year old son because no match 12-14, but the item is too big has happened. As against it is like on the photo and beautiful .it is just the size that is not"&amp;" appropriate")</f>
        <v>Item arrived safely but the size is too large. This article has been ordered at S-M size for my 12 year old son because no match 12-14, but the item is too big has happened. As against it is like on the photo and beautiful .it is just the size that is not appropriate</v>
      </c>
    </row>
    <row r="16262">
      <c r="A16262" s="1">
        <v>3.0</v>
      </c>
      <c r="B16262" s="1" t="s">
        <v>15992</v>
      </c>
      <c r="C16262" t="str">
        <f>IFERROR(__xludf.DUMMYFUNCTION("GOOGLETRANSLATE(B16262, ""fr"", ""en"")"),"Not bad not bad for the price but still fragile")</f>
        <v>Not bad not bad for the price but still fragile</v>
      </c>
    </row>
    <row r="16263">
      <c r="A16263" s="1">
        <v>3.0</v>
      </c>
      <c r="B16263" s="1" t="s">
        <v>15993</v>
      </c>
      <c r="C16263" t="str">
        <f>IFERROR(__xludf.DUMMYFUNCTION("GOOGLETRANSLATE(B16263, ""fr"", ""en"")"),"Not running, no cushioning in the sole sober shoes, light, but are not running, no cushioning in the sole, the air bubble is only decorative ... Too bad. Shoes perfect cities, but not sports ...")</f>
        <v>Not running, no cushioning in the sole sober shoes, light, but are not running, no cushioning in the sole, the air bubble is only decorative ... Too bad. Shoes perfect cities, but not sports ...</v>
      </c>
    </row>
    <row r="16264">
      <c r="A16264" s="1">
        <v>4.0</v>
      </c>
      <c r="B16264" s="1" t="s">
        <v>15994</v>
      </c>
      <c r="C16264" t="str">
        <f>IFERROR(__xludf.DUMMYFUNCTION("GOOGLETRANSLATE(B16264, ""fr"", ""en"")"),"Super I've never been as comfortable in vans like that! I really appreciate these shoes. Thank you for the speed I put 4 stars because my little toe makes me a bad can at the end of the day")</f>
        <v>Super I've never been as comfortable in vans like that! I really appreciate these shoes. Thank you for the speed I put 4 stars because my little toe makes me a bad can at the end of the day</v>
      </c>
    </row>
    <row r="16265">
      <c r="A16265" s="1">
        <v>4.0</v>
      </c>
      <c r="B16265" s="1" t="s">
        <v>15995</v>
      </c>
      <c r="C16265" t="str">
        <f>IFERROR(__xludf.DUMMYFUNCTION("GOOGLETRANSLATE(B16265, ""fr"", ""en"")"),"Although not very big and came as the picture")</f>
        <v>Although not very big and came as the picture</v>
      </c>
    </row>
    <row r="16266">
      <c r="A16266" s="1">
        <v>4.0</v>
      </c>
      <c r="B16266" s="1" t="s">
        <v>15996</v>
      </c>
      <c r="C16266" t="str">
        <f>IFERROR(__xludf.DUMMYFUNCTION("GOOGLETRANSLATE(B16266, ""fr"", ""en"")"),"Hello little question information, I broke the little yellow cap in the container or the pui I commmandé.sinon I am very happy to be produced to the delight of my little bou")</f>
        <v>Hello little question information, I broke the little yellow cap in the container or the pui I commmandé.sinon I am very happy to be produced to the delight of my little bou</v>
      </c>
    </row>
    <row r="16267">
      <c r="A16267" s="1">
        <v>4.0</v>
      </c>
      <c r="B16267" s="1" t="s">
        <v>15997</v>
      </c>
      <c r="C16267" t="str">
        <f>IFERROR(__xludf.DUMMYFUNCTION("GOOGLETRANSLATE(B16267, ""fr"", ""en"")"),"good value for money offered to my 13 year old son for Christmas, he's thrilled! simple to program he managed alone. The bracelet is solid and holds up well. Delighted with the quality / price ratio!")</f>
        <v>good value for money offered to my 13 year old son for Christmas, he's thrilled! simple to program he managed alone. The bracelet is solid and holds up well. Delighted with the quality / price ratio!</v>
      </c>
    </row>
    <row r="16268">
      <c r="A16268" s="1">
        <v>5.0</v>
      </c>
      <c r="B16268" s="1" t="s">
        <v>15998</v>
      </c>
      <c r="C16268" t="str">
        <f>IFERROR(__xludf.DUMMYFUNCTION("GOOGLETRANSLATE(B16268, ""fr"", ""en"")"),"Always satisfied As usual bags on top. Thick enough that leave no possible flow liquid. Perfectly adapted to the dustbin of the same brand that I use for over 2 years.")</f>
        <v>Always satisfied As usual bags on top. Thick enough that leave no possible flow liquid. Perfectly adapted to the dustbin of the same brand that I use for over 2 years.</v>
      </c>
    </row>
    <row r="16269">
      <c r="A16269" s="1">
        <v>5.0</v>
      </c>
      <c r="B16269" s="1" t="s">
        <v>15999</v>
      </c>
      <c r="C16269" t="str">
        <f>IFERROR(__xludf.DUMMYFUNCTION("GOOGLETRANSLATE(B16269, ""fr"", ""en"")"),".... perfect for children and ideal for parents because detachable water !!! .... Nothing wrong with these Bic Kids coloring as ink color is vivid and they are well thought out. Skiing is perfect on paper because the ink is fluid but therefore it will be "&amp;"better to use them on sheets of thick paper (at least 80g) for failing to pierce ink if your child insists on a lot with his drawing, or then consider using a blotter or any other medium capable of protecting your table or floor tiles !!. As the tip is of"&amp;"f the child has no trouble drawing, coloring with these markers and the other good point is that they do not dry out quickly if they are open. Both good ideas Resident: 1 / in blocking the mine because all we know it, that felt good for the trash because "&amp;"by dint of press strongly on to color the tip eventually go inside! !. They are therefore more sustainable. 2 / in the fact that the ink is removable with water so you should be able to recover clothing or other allegedly crossed the creations of the arti"&amp;"st's house !!. Small problem they are hard to décapuchonner initially by a small hand but eventually it will. A € 6.90 2 boxes of 18, or 3.45 € the unit, the price of this lot is quite correct.")</f>
        <v>.... perfect for children and ideal for parents because detachable water !!! .... Nothing wrong with these Bic Kids coloring as ink color is vivid and they are well thought out. Skiing is perfect on paper because the ink is fluid but therefore it will be better to use them on sheets of thick paper (at least 80g) for failing to pierce ink if your child insists on a lot with his drawing, or then consider using a blotter or any other medium capable of protecting your table or floor tiles !!. As the tip is off the child has no trouble drawing, coloring with these markers and the other good point is that they do not dry out quickly if they are open. Both good ideas Resident: 1 / in blocking the mine because all we know it, that felt good for the trash because by dint of press strongly on to color the tip eventually go inside! !. They are therefore more sustainable. 2 / in the fact that the ink is removable with water so you should be able to recover clothing or other allegedly crossed the creations of the artist's house !!. Small problem they are hard to décapuchonner initially by a small hand but eventually it will. A € 6.90 2 boxes of 18, or 3.45 € the unit, the price of this lot is quite correct.</v>
      </c>
    </row>
    <row r="16270">
      <c r="A16270" s="1">
        <v>5.0</v>
      </c>
      <c r="B16270" s="1" t="s">
        <v>16000</v>
      </c>
      <c r="C16270" t="str">
        <f>IFERROR(__xludf.DUMMYFUNCTION("GOOGLETRANSLATE(B16270, ""fr"", ""en"")"),"Ras Impeccable")</f>
        <v>Ras Impeccable</v>
      </c>
    </row>
    <row r="16271">
      <c r="A16271" s="1">
        <v>5.0</v>
      </c>
      <c r="B16271" s="1" t="s">
        <v>16001</v>
      </c>
      <c r="C16271" t="str">
        <f>IFERROR(__xludf.DUMMYFUNCTION("GOOGLETRANSLATE(B16271, ""fr"", ""en"")"),"Excellent product that's exactly what I needed for a chilly summer evenings oeu or after the last swim of the day. Washed 4 times already ... without moving or size or color.")</f>
        <v>Excellent product that's exactly what I needed for a chilly summer evenings oeu or after the last swim of the day. Washed 4 times already ... without moving or size or color.</v>
      </c>
    </row>
    <row r="16272">
      <c r="A16272" s="1">
        <v>5.0</v>
      </c>
      <c r="B16272" s="1" t="s">
        <v>16002</v>
      </c>
      <c r="C16272" t="str">
        <f>IFERROR(__xludf.DUMMYFUNCTION("GOOGLETRANSLATE(B16272, ""fr"", ""en"")"),"Very well very well. Much like real headphones. No complaints. The sound quality is good")</f>
        <v>Very well very well. Much like real headphones. No complaints. The sound quality is good</v>
      </c>
    </row>
    <row r="16273">
      <c r="A16273" s="1">
        <v>5.0</v>
      </c>
      <c r="B16273" s="1" t="s">
        <v>16003</v>
      </c>
      <c r="C16273" t="str">
        <f>IFERROR(__xludf.DUMMYFUNCTION("GOOGLETRANSLATE(B16273, ""fr"", ""en"")"),"my birthday present allows a good time of relaxation and leaves soft feet, holding temperature is appreciable. The bottom of the spikes are a bit hard and not very pleasant")</f>
        <v>my birthday present allows a good time of relaxation and leaves soft feet, holding temperature is appreciable. The bottom of the spikes are a bit hard and not very pleasant</v>
      </c>
    </row>
    <row r="16274">
      <c r="A16274" s="1">
        <v>5.0</v>
      </c>
      <c r="B16274" s="1" t="s">
        <v>16004</v>
      </c>
      <c r="C16274" t="str">
        <f>IFERROR(__xludf.DUMMYFUNCTION("GOOGLETRANSLATE(B16274, ""fr"", ""en"")"),"Correct decent rate in price")</f>
        <v>Correct decent rate in price</v>
      </c>
    </row>
    <row r="16275">
      <c r="A16275" s="1">
        <v>5.0</v>
      </c>
      <c r="B16275" s="1" t="s">
        <v>16005</v>
      </c>
      <c r="C16275" t="str">
        <f>IFERROR(__xludf.DUMMYFUNCTION("GOOGLETRANSLATE(B16275, ""fr"", ""en"")"),"Very pretty satisfied with the product product")</f>
        <v>Very pretty satisfied with the product product</v>
      </c>
    </row>
    <row r="16276">
      <c r="A16276" s="1">
        <v>5.0</v>
      </c>
      <c r="B16276" s="1" t="s">
        <v>16006</v>
      </c>
      <c r="C16276" t="str">
        <f>IFERROR(__xludf.DUMMYFUNCTION("GOOGLETRANSLATE(B16276, ""fr"", ""en"")"),"Super safety shoes Super safety shoes, very comfortable, the hull steel is well protected making it not that they hurt the same foot when walking in steep slopes or devers. I recommend.")</f>
        <v>Super safety shoes Super safety shoes, very comfortable, the hull steel is well protected making it not that they hurt the same foot when walking in steep slopes or devers. I recommend.</v>
      </c>
    </row>
    <row r="16277">
      <c r="A16277" s="1">
        <v>5.0</v>
      </c>
      <c r="B16277" s="1" t="s">
        <v>16007</v>
      </c>
      <c r="C16277" t="str">
        <f>IFERROR(__xludf.DUMMYFUNCTION("GOOGLETRANSLATE(B16277, ""fr"", ""en"")"),"Too happy !! Super comfortable shoe! I followed the advice saying to take smaller and I'm not disappointed, it's big enough size. I'm 44 and 43.5 See I gained 43 and it's perfect! Really nice one.")</f>
        <v>Too happy !! Super comfortable shoe! I followed the advice saying to take smaller and I'm not disappointed, it's big enough size. I'm 44 and 43.5 See I gained 43 and it's perfect! Really nice one.</v>
      </c>
    </row>
    <row r="16278">
      <c r="A16278" s="1">
        <v>5.0</v>
      </c>
      <c r="B16278" s="1" t="s">
        <v>16008</v>
      </c>
      <c r="C16278" t="str">
        <f>IFERROR(__xludf.DUMMYFUNCTION("GOOGLETRANSLATE(B16278, ""fr"", ""en"")"),"Very good shorts The fabric is of good quality too late, the elastic is firm and robust just right, it is comfortable to wear.")</f>
        <v>Very good shorts The fabric is of good quality too late, the elastic is firm and robust just right, it is comfortable to wear.</v>
      </c>
    </row>
    <row r="16279">
      <c r="A16279" s="1">
        <v>5.0</v>
      </c>
      <c r="B16279" s="1" t="s">
        <v>16009</v>
      </c>
      <c r="C16279" t="str">
        <f>IFERROR(__xludf.DUMMYFUNCTION("GOOGLETRANSLATE(B16279, ""fr"", ""en"")"),"Super Well they are like slippers")</f>
        <v>Super Well they are like slippers</v>
      </c>
    </row>
    <row r="16280">
      <c r="A16280" s="1">
        <v>5.0</v>
      </c>
      <c r="B16280" s="1" t="s">
        <v>16010</v>
      </c>
      <c r="C16280" t="str">
        <f>IFERROR(__xludf.DUMMYFUNCTION("GOOGLETRANSLATE(B16280, ""fr"", ""en"")"),"Size perfectly Matter is really comfortable to wear, for sport or for home, opening at the ankles makes it really stylish pants to buy without moderation")</f>
        <v>Size perfectly Matter is really comfortable to wear, for sport or for home, opening at the ankles makes it really stylish pants to buy without moderation</v>
      </c>
    </row>
    <row r="16281">
      <c r="A16281" s="1">
        <v>5.0</v>
      </c>
      <c r="B16281" s="1" t="s">
        <v>16011</v>
      </c>
      <c r="C16281" t="str">
        <f>IFERROR(__xludf.DUMMYFUNCTION("GOOGLETRANSLATE(B16281, ""fr"", ""en"")"),"Very good value for answering calls because I do not do sports")</f>
        <v>Very good value for answering calls because I do not do sports</v>
      </c>
    </row>
    <row r="16282">
      <c r="A16282" s="1">
        <v>5.0</v>
      </c>
      <c r="B16282" s="1" t="s">
        <v>16012</v>
      </c>
      <c r="C16282" t="str">
        <f>IFERROR(__xludf.DUMMYFUNCTION("GOOGLETRANSLATE(B16282, ""fr"", ""en"")"),"Although perfect for my mam baby bottles")</f>
        <v>Although perfect for my mam baby bottles</v>
      </c>
    </row>
    <row r="16283">
      <c r="A16283" s="1">
        <v>2.0</v>
      </c>
      <c r="B16283" s="1" t="s">
        <v>16013</v>
      </c>
      <c r="C16283" t="str">
        <f>IFERROR(__xludf.DUMMYFUNCTION("GOOGLETRANSLATE(B16283, ""fr"", ""en"")"),"Not Bad practice, the idea is good but not really practical pen. Not enough time, even for an adult .... Game used 2 times and voila .....")</f>
        <v>Not Bad practice, the idea is good but not really practical pen. Not enough time, even for an adult .... Game used 2 times and voila .....</v>
      </c>
    </row>
    <row r="16284">
      <c r="A16284" s="1">
        <v>1.0</v>
      </c>
      <c r="B16284" s="1" t="s">
        <v>16014</v>
      </c>
      <c r="C16284" t="str">
        <f>IFERROR(__xludf.DUMMYFUNCTION("GOOGLETRANSLATE(B16284, ""fr"", ""en"")"),"Very expensive for a single ink cartridge! You have to buy elsewhere € 10 cheaper on the pack, Amazon very misplaced ...")</f>
        <v>Very expensive for a single ink cartridge! You have to buy elsewhere € 10 cheaper on the pack, Amazon very misplaced ...</v>
      </c>
    </row>
    <row r="16285">
      <c r="A16285" s="1">
        <v>1.0</v>
      </c>
      <c r="B16285" s="1" t="s">
        <v>16015</v>
      </c>
      <c r="C16285" t="str">
        <f>IFERROR(__xludf.DUMMYFUNCTION("GOOGLETRANSLATE(B16285, ""fr"", ""en"")"),"Down after a month After a month of its purchase, it's already broke down, I changed the magnetizing cables, and it worked again but for a very short duration. Two months after purchasing it does not work at all when he was little used. I am very disappoi"&amp;"nted in the quality.")</f>
        <v>Down after a month After a month of its purchase, it's already broke down, I changed the magnetizing cables, and it worked again but for a very short duration. Two months after purchasing it does not work at all when he was little used. I am very disappointed in the quality.</v>
      </c>
    </row>
    <row r="16286">
      <c r="A16286" s="1">
        <v>3.0</v>
      </c>
      <c r="B16286" s="1" t="s">
        <v>16016</v>
      </c>
      <c r="C16286" t="str">
        <f>IFERROR(__xludf.DUMMYFUNCTION("GOOGLETRANSLATE(B16286, ""fr"", ""en"")"),"dirée fits in but it is not for the Tommee Tippee baby bottles I am a fan of the brand Tommee Tippee and to be honest, this brush is not made specifically for the brand of baby bottles. I used a better NUK that cleans the bottles. It holds up well against"&amp;" by the long term. I use it for 2 years. So if you want to buy it because you think it follows the Tommee Tippee baby bottles for a good cleaning, and although this is not the case. If my opinion was useful to you, thank you validate YES, it will give me "&amp;"just fun!")</f>
        <v>dirée fits in but it is not for the Tommee Tippee baby bottles I am a fan of the brand Tommee Tippee and to be honest, this brush is not made specifically for the brand of baby bottles. I used a better NUK that cleans the bottles. It holds up well against by the long term. I use it for 2 years. So if you want to buy it because you think it follows the Tommee Tippee baby bottles for a good cleaning, and although this is not the case. If my opinion was useful to you, thank you validate YES, it will give me just fun!</v>
      </c>
    </row>
    <row r="16287">
      <c r="A16287" s="1">
        <v>3.0</v>
      </c>
      <c r="B16287" s="1" t="s">
        <v>16017</v>
      </c>
      <c r="C16287" t="str">
        <f>IFERROR(__xludf.DUMMYFUNCTION("GOOGLETRANSLATE(B16287, ""fr"", ""en"")"),"the fabric is light good I bought it but the fabric is not fully in line with expectations")</f>
        <v>the fabric is light good I bought it but the fabric is not fully in line with expectations</v>
      </c>
    </row>
    <row r="16288">
      <c r="A16288" s="1">
        <v>4.0</v>
      </c>
      <c r="B16288" s="1" t="s">
        <v>16018</v>
      </c>
      <c r="C16288" t="str">
        <f>IFERROR(__xludf.DUMMYFUNCTION("GOOGLETRANSLATE(B16288, ""fr"", ""en"")"),"very nice watch! Packaged in a beautiful quality box, with a small maintenance cloth, the watch is really beautiful with this contrast between the caramel color of the bracelet very dark dial. She made her little effect worn on the wrist. Everything works"&amp;" fine. A brand I did not know, good value for money.")</f>
        <v>very nice watch! Packaged in a beautiful quality box, with a small maintenance cloth, the watch is really beautiful with this contrast between the caramel color of the bracelet very dark dial. She made her little effect worn on the wrist. Everything works fine. A brand I did not know, good value for money.</v>
      </c>
    </row>
    <row r="16289">
      <c r="A16289" s="1">
        <v>4.0</v>
      </c>
      <c r="B16289" s="1" t="s">
        <v>16019</v>
      </c>
      <c r="C16289" t="str">
        <f>IFERROR(__xludf.DUMMYFUNCTION("GOOGLETRANSLATE(B16289, ""fr"", ""en"")"),"Pure essential oil lavender true Although packed, received intact and before the deadlines foreseen. The flask was fitted with a cap that allows the dropwise without pipette. I took this big bottle because I use it externally or in an essential oil diffus"&amp;"er and so it's perfect. The characteristic smell of lavender is present and very pleasant.")</f>
        <v>Pure essential oil lavender true Although packed, received intact and before the deadlines foreseen. The flask was fitted with a cap that allows the dropwise without pipette. I took this big bottle because I use it externally or in an essential oil diffuser and so it's perfect. The characteristic smell of lavender is present and very pleasant.</v>
      </c>
    </row>
    <row r="16290">
      <c r="A16290" s="1">
        <v>4.0</v>
      </c>
      <c r="B16290" s="1" t="s">
        <v>16020</v>
      </c>
      <c r="C16290" t="str">
        <f>IFERROR(__xludf.DUMMYFUNCTION("GOOGLETRANSLATE(B16290, ""fr"", ""en"")"),"Size 42-43 = 43! Convenient to make double-size manufacturer. But if like me you're doing 42, you will still feel like liners feet. Once used, the small spikes under the feet end up being forgotten. This is not a success at comfort. No lighter than other "&amp;"tongues, they are well finished and dirty white.")</f>
        <v>Size 42-43 = 43! Convenient to make double-size manufacturer. But if like me you're doing 42, you will still feel like liners feet. Once used, the small spikes under the feet end up being forgotten. This is not a success at comfort. No lighter than other tongues, they are well finished and dirty white.</v>
      </c>
    </row>
    <row r="16291">
      <c r="A16291" s="1">
        <v>4.0</v>
      </c>
      <c r="B16291" s="1" t="s">
        <v>16021</v>
      </c>
      <c r="C16291" t="str">
        <f>IFERROR(__xludf.DUMMYFUNCTION("GOOGLETRANSLATE(B16291, ""fr"", ""en"")"),"Vintage! A very nice watch that brings back memories and not go out of fashion despite the weather.")</f>
        <v>Vintage! A very nice watch that brings back memories and not go out of fashion despite the weather.</v>
      </c>
    </row>
    <row r="16292">
      <c r="A16292" s="1">
        <v>4.0</v>
      </c>
      <c r="B16292" s="1" t="s">
        <v>16022</v>
      </c>
      <c r="C16292" t="str">
        <f>IFERROR(__xludf.DUMMYFUNCTION("GOOGLETRANSLATE(B16292, ""fr"", ""en"")"),"very nice product brings a warmth and smell good when cervical pain, I use it regularly, it is however a pity he is not longer, because it does not own.")</f>
        <v>very nice product brings a warmth and smell good when cervical pain, I use it regularly, it is however a pity he is not longer, because it does not own.</v>
      </c>
    </row>
    <row r="16293">
      <c r="A16293" s="1">
        <v>5.0</v>
      </c>
      <c r="B16293" s="1" t="s">
        <v>16023</v>
      </c>
      <c r="C16293" t="str">
        <f>IFERROR(__xludf.DUMMYFUNCTION("GOOGLETRANSLATE(B16293, ""fr"", ""en"")"),"Perfect Perfect Products")</f>
        <v>Perfect Perfect Products</v>
      </c>
    </row>
    <row r="16294">
      <c r="A16294" s="1">
        <v>5.0</v>
      </c>
      <c r="B16294" s="1" t="s">
        <v>16024</v>
      </c>
      <c r="C16294" t="str">
        <f>IFERROR(__xludf.DUMMYFUNCTION("GOOGLETRANSLATE(B16294, ""fr"", ""en"")"),"Works very well very well buy without hesitation")</f>
        <v>Works very well very well buy without hesitation</v>
      </c>
    </row>
    <row r="16295">
      <c r="A16295" s="1">
        <v>5.0</v>
      </c>
      <c r="B16295" s="1" t="s">
        <v>16025</v>
      </c>
      <c r="C16295" t="str">
        <f>IFERROR(__xludf.DUMMYFUNCTION("GOOGLETRANSLATE(B16295, ""fr"", ""en"")"),"Super beautiful super beautiful")</f>
        <v>Super beautiful super beautiful</v>
      </c>
    </row>
    <row r="16296">
      <c r="A16296" s="1">
        <v>5.0</v>
      </c>
      <c r="B16296" s="1" t="s">
        <v>16026</v>
      </c>
      <c r="C16296" t="str">
        <f>IFERROR(__xludf.DUMMYFUNCTION("GOOGLETRANSLATE(B16296, ""fr"", ""en"")"),"Super fast delivery, quality over the original cartridge in the scale 1-10 I give 9..pour the great price-quality good, we must not hesitate ..")</f>
        <v>Super fast delivery, quality over the original cartridge in the scale 1-10 I give 9..pour the great price-quality good, we must not hesitate ..</v>
      </c>
    </row>
    <row r="16297">
      <c r="A16297" s="1">
        <v>5.0</v>
      </c>
      <c r="B16297" s="1" t="s">
        <v>16027</v>
      </c>
      <c r="C16297" t="str">
        <f>IFERROR(__xludf.DUMMYFUNCTION("GOOGLETRANSLATE(B16297, ""fr"", ""en"")"),"I love Cute. He does his job. It changes color and can be locked with that of their choice. The oil water mixture is done in small quantity so odor can be changed quickly and as one wants")</f>
        <v>I love Cute. He does his job. It changes color and can be locked with that of their choice. The oil water mixture is done in small quantity so odor can be changed quickly and as one wants</v>
      </c>
    </row>
    <row r="16298">
      <c r="A16298" s="1">
        <v>5.0</v>
      </c>
      <c r="B16298" s="1" t="s">
        <v>16028</v>
      </c>
      <c r="C16298" t="str">
        <f>IFERROR(__xludf.DUMMYFUNCTION("GOOGLETRANSLATE(B16298, ""fr"", ""en"")"),"Good quality / price It changes the bags with a large pocket where everything is mixed. The quality and aesthetics of the product is identical to that described on the ad. I recommend !")</f>
        <v>Good quality / price It changes the bags with a large pocket where everything is mixed. The quality and aesthetics of the product is identical to that described on the ad. I recommend !</v>
      </c>
    </row>
    <row r="16299">
      <c r="A16299" s="1">
        <v>5.0</v>
      </c>
      <c r="B16299" s="1" t="s">
        <v>16029</v>
      </c>
      <c r="C16299" t="str">
        <f>IFERROR(__xludf.DUMMYFUNCTION("GOOGLETRANSLATE(B16299, ""fr"", ""en"")"),"Old skool way we like Great shows, the marriage of the analog and digital is really great! Product comes with its box, guarantee, etc. Very satisfied level quality / price!")</f>
        <v>Old skool way we like Great shows, the marriage of the analog and digital is really great! Product comes with its box, guarantee, etc. Very satisfied level quality / price!</v>
      </c>
    </row>
    <row r="16300">
      <c r="A16300" s="1">
        <v>5.0</v>
      </c>
      <c r="B16300" s="1" t="s">
        <v>16030</v>
      </c>
      <c r="C16300" t="str">
        <f>IFERROR(__xludf.DUMMYFUNCTION("GOOGLETRANSLATE(B16300, ""fr"", ""en"")"),"satisfied! product line with my expectations but why the term ""KETTLE WIRELESS"" as this kettle plugs into industry? I recommend this product that requires some care!")</f>
        <v>satisfied! product line with my expectations but why the term "KETTLE WIRELESS" as this kettle plugs into industry? I recommend this product that requires some care!</v>
      </c>
    </row>
    <row r="16301">
      <c r="A16301" s="1">
        <v>5.0</v>
      </c>
      <c r="B16301" s="1" t="s">
        <v>16031</v>
      </c>
      <c r="C16301" t="str">
        <f>IFERROR(__xludf.DUMMYFUNCTION("GOOGLETRANSLATE(B16301, ""fr"", ""en"")"),"RAS first time I use it, before having a portable computer with integrated microphone I had no need ... I bought a microphone with the sound you hear me low on discord with plug ... jack as with usb connection ... but since I use this power supply people "&amp;"on the discord have even reduce its 50% (on laptop I was 100% and microwave power supply before I was with her low 200%)")</f>
        <v>RAS first time I use it, before having a portable computer with integrated microphone I had no need ... I bought a microphone with the sound you hear me low on discord with plug ... jack as with usb connection ... but since I use this power supply people on the discord have even reduce its 50% (on laptop I was 100% and microwave power supply before I was with her low 200%)</v>
      </c>
    </row>
    <row r="16302">
      <c r="A16302" s="1">
        <v>5.0</v>
      </c>
      <c r="B16302" s="1" t="s">
        <v>16032</v>
      </c>
      <c r="C16302" t="str">
        <f>IFERROR(__xludf.DUMMYFUNCTION("GOOGLETRANSLATE(B16302, ""fr"", ""en"")"),"Hello Very nice, very very nice shoes, comfortable to see over time if they last. But the quality is at the rendezvous. Perfect finishes.")</f>
        <v>Hello Very nice, very very nice shoes, comfortable to see over time if they last. But the quality is at the rendezvous. Perfect finishes.</v>
      </c>
    </row>
    <row r="16303">
      <c r="A16303" s="1">
        <v>5.0</v>
      </c>
      <c r="B16303" s="1" t="s">
        <v>16033</v>
      </c>
      <c r="C16303" t="str">
        <f>IFERROR(__xludf.DUMMYFUNCTION("GOOGLETRANSLATE(B16303, ""fr"", ""en"")"),"The perfect size and I like too is top leggings comfortable and ipaire molding 😍")</f>
        <v>The perfect size and I like too is top leggings comfortable and ipaire molding 😍</v>
      </c>
    </row>
    <row r="16304">
      <c r="A16304" s="1">
        <v>5.0</v>
      </c>
      <c r="B16304" s="1" t="s">
        <v>16034</v>
      </c>
      <c r="C16304" t="str">
        <f>IFERROR(__xludf.DUMMYFUNCTION("GOOGLETRANSLATE(B16304, ""fr"", ""en"")"),"Tracksuit very warm and soft Super tracksuit doubled very soft and warm. My son loves it. Ideal for winter")</f>
        <v>Tracksuit very warm and soft Super tracksuit doubled very soft and warm. My son loves it. Ideal for winter</v>
      </c>
    </row>
    <row r="16305">
      <c r="A16305" s="1">
        <v>5.0</v>
      </c>
      <c r="B16305" s="1" t="s">
        <v>16035</v>
      </c>
      <c r="C16305" t="str">
        <f>IFERROR(__xludf.DUMMYFUNCTION("GOOGLETRANSLATE(B16305, ""fr"", ""en"")"),"Well even wash product I use all the good days even wash")</f>
        <v>Well even wash product I use all the good days even wash</v>
      </c>
    </row>
    <row r="16306">
      <c r="A16306" s="1">
        <v>5.0</v>
      </c>
      <c r="B16306" s="1" t="s">
        <v>16036</v>
      </c>
      <c r="C16306" t="str">
        <f>IFERROR(__xludf.DUMMYFUNCTION("GOOGLETRANSLATE(B16306, ""fr"", ""en"")"),"I recommend Complies description comfortable early arrival")</f>
        <v>I recommend Complies description comfortable early arrival</v>
      </c>
    </row>
    <row r="16307">
      <c r="A16307" s="1">
        <v>5.0</v>
      </c>
      <c r="B16307" s="1" t="s">
        <v>16037</v>
      </c>
      <c r="C16307" t="str">
        <f>IFERROR(__xludf.DUMMYFUNCTION("GOOGLETRANSLATE(B16307, ""fr"", ""en"")"),"Super comfortable shoes very comfortable to wear, very soft and comfortable")</f>
        <v>Super comfortable shoes very comfortable to wear, very soft and comfortable</v>
      </c>
    </row>
    <row r="16308">
      <c r="A16308" s="1">
        <v>2.0</v>
      </c>
      <c r="B16308" s="1" t="s">
        <v>16038</v>
      </c>
      <c r="C16308" t="str">
        <f>IFERROR(__xludf.DUMMYFUNCTION("GOOGLETRANSLATE(B16308, ""fr"", ""en"")"),"Quickly tearing It is necessary to check regularly the status of the pacifier because it tears quickly (3 weeks)! Improve quality!")</f>
        <v>Quickly tearing It is necessary to check regularly the status of the pacifier because it tears quickly (3 weeks)! Improve quality!</v>
      </c>
    </row>
    <row r="16309">
      <c r="A16309" s="1">
        <v>1.0</v>
      </c>
      <c r="B16309" s="1" t="s">
        <v>16039</v>
      </c>
      <c r="C16309" t="str">
        <f>IFERROR(__xludf.DUMMYFUNCTION("GOOGLETRANSLATE(B16309, ""fr"", ""en"")"),"unsuitable equipment for sticking mosquito curtains It takes off after a quarter of an hour. Conclusion; I lost a whole day to pick up all the doors and windows. The ribbons are attached or on the wood or on PVC or on the net curtain. This material is wor"&amp;"th nothing!")</f>
        <v>unsuitable equipment for sticking mosquito curtains It takes off after a quarter of an hour. Conclusion; I lost a whole day to pick up all the doors and windows. The ribbons are attached or on the wood or on PVC or on the net curtain. This material is worth nothing!</v>
      </c>
    </row>
    <row r="16310">
      <c r="A16310" s="1">
        <v>1.0</v>
      </c>
      <c r="B16310" s="1" t="s">
        <v>16040</v>
      </c>
      <c r="C16310" t="str">
        <f>IFERROR(__xludf.DUMMYFUNCTION("GOOGLETRANSLATE(B16310, ""fr"", ""en"")"),"Sheet inappropriate RCA female! It is impossible to hold a male RCA plug into the socket: it does not fit enough, and therefore disconnects at the slightest movement. And this is also true for the plugs of the Y cable!")</f>
        <v>Sheet inappropriate RCA female! It is impossible to hold a male RCA plug into the socket: it does not fit enough, and therefore disconnects at the slightest movement. And this is also true for the plugs of the Y cable!</v>
      </c>
    </row>
    <row r="16311">
      <c r="A16311" s="1">
        <v>3.0</v>
      </c>
      <c r="B16311" s="1" t="s">
        <v>16041</v>
      </c>
      <c r="C16311" t="str">
        <f>IFERROR(__xludf.DUMMYFUNCTION("GOOGLETRANSLATE(B16311, ""fr"", ""en"")"),"long to heat and heats a part very soft material, but it is very long to heat up and is too hot (even at maximum). It heats a third of the cover (the part opposite of the case, even where one feels that the resistance does not heat), it's a shame.")</f>
        <v>long to heat and heats a part very soft material, but it is very long to heat up and is too hot (even at maximum). It heats a third of the cover (the part opposite of the case, even where one feels that the resistance does not heat), it's a shame.</v>
      </c>
    </row>
    <row r="16312">
      <c r="A16312" s="1">
        <v>3.0</v>
      </c>
      <c r="B16312" s="1" t="s">
        <v>16042</v>
      </c>
      <c r="C16312" t="str">
        <f>IFERROR(__xludf.DUMMYFUNCTION("GOOGLETRANSLATE(B16312, ""fr"", ""en"")"),"Very disappointed Lightweight and very flexible; But also very fragile .... the top is torn Too expensive for the quality !! I storekeeper driver outside ...")</f>
        <v>Very disappointed Lightweight and very flexible; But also very fragile .... the top is torn Too expensive for the quality !! I storekeeper driver outside ...</v>
      </c>
    </row>
    <row r="16313">
      <c r="A16313" s="1">
        <v>4.0</v>
      </c>
      <c r="B16313" s="1" t="s">
        <v>16043</v>
      </c>
      <c r="C16313" t="str">
        <f>IFERROR(__xludf.DUMMYFUNCTION("GOOGLETRANSLATE(B16313, ""fr"", ""en"")"),"Good quality sound Earphones comfortable. its good quality. Pairing simple. Used to listen to music and podcast, answer the phone hands free. Small problem: - regular beep (a little too much for my taste) to signify the low battery; - the charge seems to "&amp;"be possible with a socket.")</f>
        <v>Good quality sound Earphones comfortable. its good quality. Pairing simple. Used to listen to music and podcast, answer the phone hands free. Small problem: - regular beep (a little too much for my taste) to signify the low battery; - the charge seems to be possible with a socket.</v>
      </c>
    </row>
    <row r="16314">
      <c r="A16314" s="1">
        <v>4.0</v>
      </c>
      <c r="B16314" s="1" t="s">
        <v>16044</v>
      </c>
      <c r="C16314" t="str">
        <f>IFERROR(__xludf.DUMMYFUNCTION("GOOGLETRANSLATE(B16314, ""fr"", ""en"")"),"Cool Very comfortable, very aesthetic, cut well. A little hot for summer as little airy. Only downside at the finish because the sole is slightly off the peak damage but still very good product and very satisfying for the price!")</f>
        <v>Cool Very comfortable, very aesthetic, cut well. A little hot for summer as little airy. Only downside at the finish because the sole is slightly off the peak damage but still very good product and very satisfying for the price!</v>
      </c>
    </row>
    <row r="16315">
      <c r="A16315" s="1">
        <v>4.0</v>
      </c>
      <c r="B16315" s="1" t="s">
        <v>16045</v>
      </c>
      <c r="C16315" t="str">
        <f>IFERROR(__xludf.DUMMYFUNCTION("GOOGLETRANSLATE(B16315, ""fr"", ""en"")"),"Effective, functional and practical I use when writing on whiteboards, on wood or glass. This marker is the job. The value for money is consistent.")</f>
        <v>Effective, functional and practical I use when writing on whiteboards, on wood or glass. This marker is the job. The value for money is consistent.</v>
      </c>
    </row>
    <row r="16316">
      <c r="A16316" s="1">
        <v>4.0</v>
      </c>
      <c r="B16316" s="1" t="s">
        <v>16046</v>
      </c>
      <c r="C16316" t="str">
        <f>IFERROR(__xludf.DUMMYFUNCTION("GOOGLETRANSLATE(B16316, ""fr"", ""en"")"),"Great bag big enough bag to hold everything I need. I removed one star because it is impossible to remove the strap.")</f>
        <v>Great bag big enough bag to hold everything I need. I removed one star because it is impossible to remove the strap.</v>
      </c>
    </row>
    <row r="16317">
      <c r="A16317" s="1">
        <v>5.0</v>
      </c>
      <c r="B16317" s="1" t="s">
        <v>16047</v>
      </c>
      <c r="C16317" t="str">
        <f>IFERROR(__xludf.DUMMYFUNCTION("GOOGLETRANSLATE(B16317, ""fr"", ""en"")"),"wristwatch I put 5 stars because the wristwatch is exactly what I was looking for, it goes perfectly, after having removed the links, very good quality, received 1 day before the date; really very very happy with my purchase and my husband too !! I recomm"&amp;"end no problem !! thank you all!")</f>
        <v>wristwatch I put 5 stars because the wristwatch is exactly what I was looking for, it goes perfectly, after having removed the links, very good quality, received 1 day before the date; really very very happy with my purchase and my husband too !! I recommend no problem !! thank you all!</v>
      </c>
    </row>
    <row r="16318">
      <c r="A16318" s="1">
        <v>5.0</v>
      </c>
      <c r="B16318" s="1" t="s">
        <v>16048</v>
      </c>
      <c r="C16318" t="str">
        <f>IFERROR(__xludf.DUMMYFUNCTION("GOOGLETRANSLATE(B16318, ""fr"", ""en"")"),"Good Good product, consistent with the description")</f>
        <v>Good Good product, consistent with the description</v>
      </c>
    </row>
    <row r="16319">
      <c r="A16319" s="1">
        <v>5.0</v>
      </c>
      <c r="B16319" s="1" t="s">
        <v>16049</v>
      </c>
      <c r="C16319" t="str">
        <f>IFERROR(__xludf.DUMMYFUNCTION("GOOGLETRANSLATE(B16319, ""fr"", ""en"")"),"Top Size is NICKEL is comfortable, I'm thrilled! Another plus: the pads are removable!")</f>
        <v>Top Size is NICKEL is comfortable, I'm thrilled! Another plus: the pads are removable!</v>
      </c>
    </row>
    <row r="16320">
      <c r="A16320" s="1">
        <v>5.0</v>
      </c>
      <c r="B16320" s="1" t="s">
        <v>16050</v>
      </c>
      <c r="C16320" t="str">
        <f>IFERROR(__xludf.DUMMYFUNCTION("GOOGLETRANSLATE(B16320, ""fr"", ""en"")"),"Not just for women! These socks were used to the sea. It limits the burning hot sand and does not prevent swimming Light they fulfill their role. For my part I have also ordered Mr. who find great too")</f>
        <v>Not just for women! These socks were used to the sea. It limits the burning hot sand and does not prevent swimming Light they fulfill their role. For my part I have also ordered Mr. who find great too</v>
      </c>
    </row>
    <row r="16321">
      <c r="A16321" s="1">
        <v>5.0</v>
      </c>
      <c r="B16321" s="1" t="s">
        <v>16051</v>
      </c>
      <c r="C16321" t="str">
        <f>IFERROR(__xludf.DUMMYFUNCTION("GOOGLETRANSLATE(B16321, ""fr"", ""en"")"),"WATERPROOFING nourishing and fat for leather thank you. this product meets my expectations, against a little too hard, but perfectly fulfilled its role .livré quickly. good salesman. I recommend.")</f>
        <v>WATERPROOFING nourishing and fat for leather thank you. this product meets my expectations, against a little too hard, but perfectly fulfilled its role .livré quickly. good salesman. I recommend.</v>
      </c>
    </row>
    <row r="16322">
      <c r="A16322" s="1">
        <v>5.0</v>
      </c>
      <c r="B16322" s="1" t="s">
        <v>16052</v>
      </c>
      <c r="C16322" t="str">
        <f>IFERROR(__xludf.DUMMYFUNCTION("GOOGLETRANSLATE(B16322, ""fr"", ""en"")"),"Excellent product. listening quality is relatively good, and the strength is excellent, but the best is the battery capacity !!! She holds a charge for weeks !!!")</f>
        <v>Excellent product. listening quality is relatively good, and the strength is excellent, but the best is the battery capacity !!! She holds a charge for weeks !!!</v>
      </c>
    </row>
    <row r="16323">
      <c r="A16323" s="1">
        <v>5.0</v>
      </c>
      <c r="B16323" s="1" t="s">
        <v>16053</v>
      </c>
      <c r="C16323" t="str">
        <f>IFERROR(__xludf.DUMMYFUNCTION("GOOGLETRANSLATE(B16323, ""fr"", ""en"")"),"Carpet Carpet decontractant deep acupressure, relaxes, relaxed, hurts the first or even the second minute but it goes and comes well-being, 10 minutes to 15 every morning makes me much good and my back muscles are much More relaxed. We feel the blood, ene"&amp;"rgy circulating. I recommend especially for muscle pain. Operates on stomach or back.")</f>
        <v>Carpet Carpet decontractant deep acupressure, relaxes, relaxed, hurts the first or even the second minute but it goes and comes well-being, 10 minutes to 15 every morning makes me much good and my back muscles are much More relaxed. We feel the blood, energy circulating. I recommend especially for muscle pain. Operates on stomach or back.</v>
      </c>
    </row>
    <row r="16324">
      <c r="A16324" s="1">
        <v>5.0</v>
      </c>
      <c r="B16324" s="1" t="s">
        <v>16054</v>
      </c>
      <c r="C16324" t="str">
        <f>IFERROR(__xludf.DUMMYFUNCTION("GOOGLETRANSLATE(B16324, ""fr"", ""en"")"),"Trainers red super! Quite satisfied with my purchase, they are comfortable and light")</f>
        <v>Trainers red super! Quite satisfied with my purchase, they are comfortable and light</v>
      </c>
    </row>
    <row r="16325">
      <c r="A16325" s="1">
        <v>5.0</v>
      </c>
      <c r="B16325" s="1" t="s">
        <v>16055</v>
      </c>
      <c r="C16325" t="str">
        <f>IFERROR(__xludf.DUMMYFUNCTION("GOOGLETRANSLATE(B16325, ""fr"", ""en"")"),"weaning Thanks to Tomme Tippee we managed the difficult transition from nursery bottle-feeding. But the shipping cost is too expensive!")</f>
        <v>weaning Thanks to Tomme Tippee we managed the difficult transition from nursery bottle-feeding. But the shipping cost is too expensive!</v>
      </c>
    </row>
    <row r="16326">
      <c r="A16326" s="1">
        <v>5.0</v>
      </c>
      <c r="B16326" s="1" t="s">
        <v>16056</v>
      </c>
      <c r="C16326" t="str">
        <f>IFERROR(__xludf.DUMMYFUNCTION("GOOGLETRANSLATE(B16326, ""fr"", ""en"")"),"Excellent Brand shoes always equal to itself. Shoes received in 3 days. Packing perfect. Very Comfortable Shoes. Good protection. I'm so glad of my purchase.")</f>
        <v>Excellent Brand shoes always equal to itself. Shoes received in 3 days. Packing perfect. Very Comfortable Shoes. Good protection. I'm so glad of my purchase.</v>
      </c>
    </row>
    <row r="16327">
      <c r="A16327" s="1">
        <v>5.0</v>
      </c>
      <c r="B16327" s="1" t="s">
        <v>16057</v>
      </c>
      <c r="C16327" t="str">
        <f>IFERROR(__xludf.DUMMYFUNCTION("GOOGLETRANSLATE(B16327, ""fr"", ""en"")"),"Very well ! I use the microwave to tie my videos on my Youtube channel. I'm not a pro but the sound is great, the voice is clear. Super convenient for interviews, and record sound on his smart phone. I own a Galaxy Note 8 and I have never met recording co"&amp;"ncern. Alone, I set both pickups tie and the sound is perfect for me. The microphones record every sound and ambient noise. The cables are long enough. Frankly, for the price, it is very responsive to my needs.")</f>
        <v>Very well ! I use the microwave to tie my videos on my Youtube channel. I'm not a pro but the sound is great, the voice is clear. Super convenient for interviews, and record sound on his smart phone. I own a Galaxy Note 8 and I have never met recording concern. Alone, I set both pickups tie and the sound is perfect for me. The microphones record every sound and ambient noise. The cables are long enough. Frankly, for the price, it is very responsive to my needs.</v>
      </c>
    </row>
    <row r="16328">
      <c r="A16328" s="1">
        <v>5.0</v>
      </c>
      <c r="B16328" s="1" t="s">
        <v>16058</v>
      </c>
      <c r="C16328" t="str">
        <f>IFERROR(__xludf.DUMMYFUNCTION("GOOGLETRANSLATE(B16328, ""fr"", ""en"")"),"Perfect Exactly what I look for")</f>
        <v>Perfect Exactly what I look for</v>
      </c>
    </row>
    <row r="16329">
      <c r="A16329" s="1">
        <v>5.0</v>
      </c>
      <c r="B16329" s="1" t="s">
        <v>16059</v>
      </c>
      <c r="C16329" t="str">
        <f>IFERROR(__xludf.DUMMYFUNCTION("GOOGLETRANSLATE(B16329, ""fr"", ""en"")"),"Very pleased with the watch corresponds to the order. The colors of the details may be a little less bright than the picture. Very satisfied with my purchase.")</f>
        <v>Very pleased with the watch corresponds to the order. The colors of the details may be a little less bright than the picture. Very satisfied with my purchase.</v>
      </c>
    </row>
    <row r="16330">
      <c r="A16330" s="1">
        <v>5.0</v>
      </c>
      <c r="B16330" s="1" t="s">
        <v>16060</v>
      </c>
      <c r="C16330" t="str">
        <f>IFERROR(__xludf.DUMMYFUNCTION("GOOGLETRANSLATE(B16330, ""fr"", ""en"")"),"The article Fast delivery, very pretty ring, my man is very happy. size perfectly")</f>
        <v>The article Fast delivery, very pretty ring, my man is very happy. size perfectly</v>
      </c>
    </row>
    <row r="16331">
      <c r="A16331" s="1">
        <v>5.0</v>
      </c>
      <c r="B16331" s="1" t="s">
        <v>16061</v>
      </c>
      <c r="C16331" t="str">
        <f>IFERROR(__xludf.DUMMYFUNCTION("GOOGLETRANSLATE(B16331, ""fr"", ""en"")"),"nice bracelet for offer")</f>
        <v>nice bracelet for offer</v>
      </c>
    </row>
    <row r="16332">
      <c r="A16332" s="1">
        <v>2.0</v>
      </c>
      <c r="B16332" s="1" t="s">
        <v>16062</v>
      </c>
      <c r="C16332" t="str">
        <f>IFERROR(__xludf.DUMMYFUNCTION("GOOGLETRANSLATE(B16332, ""fr"", ""en"")"),"Pretty light")</f>
        <v>Pretty light</v>
      </c>
    </row>
    <row r="16333">
      <c r="A16333" s="1">
        <v>1.0</v>
      </c>
      <c r="B16333" s="1" t="s">
        <v>16063</v>
      </c>
      <c r="C16333" t="str">
        <f>IFERROR(__xludf.DUMMYFUNCTION("GOOGLETRANSLATE(B16333, ""fr"", ""en"")"),"Very disappointed Order item in XL, I end up with the jacket and pants XL XXL .. and besides that very large size .. again the quality is not at the rendezvous, it smells the seam that goes fast tear .. and finally, rather than to label a sewing is done i"&amp;"n the fabric, perfect for a hole .. no really I am not demanding but then I recommend not ..")</f>
        <v>Very disappointed Order item in XL, I end up with the jacket and pants XL XXL .. and besides that very large size .. again the quality is not at the rendezvous, it smells the seam that goes fast tear .. and finally, rather than to label a sewing is done in the fabric, perfect for a hole .. no really I am not demanding but then I recommend not ..</v>
      </c>
    </row>
    <row r="16334">
      <c r="A16334" s="1">
        <v>1.0</v>
      </c>
      <c r="B16334" s="1" t="s">
        <v>16064</v>
      </c>
      <c r="C16334" t="str">
        <f>IFERROR(__xludf.DUMMYFUNCTION("GOOGLETRANSLATE(B16334, ""fr"", ""en"")"),"Failure after two weeks I bought the kettle with Amazon.fr to make a gift to my mother. The kettle does not work after two weeks. I am so disappointed.")</f>
        <v>Failure after two weeks I bought the kettle with Amazon.fr to make a gift to my mother. The kettle does not work after two weeks. I am so disappointed.</v>
      </c>
    </row>
    <row r="16335">
      <c r="A16335" s="1">
        <v>3.0</v>
      </c>
      <c r="B16335" s="1" t="s">
        <v>16065</v>
      </c>
      <c r="C16335" t="str">
        <f>IFERROR(__xludf.DUMMYFUNCTION("GOOGLETRANSLATE(B16335, ""fr"", ""en"")"),"The good super quality as the pictures but size small I took it s say a 10-year")</f>
        <v>The good super quality as the pictures but size small I took it s say a 10-year</v>
      </c>
    </row>
    <row r="16336">
      <c r="A16336" s="1">
        <v>4.0</v>
      </c>
      <c r="B16336" s="1" t="s">
        <v>16066</v>
      </c>
      <c r="C16336" t="str">
        <f>IFERROR(__xludf.DUMMYFUNCTION("GOOGLETRANSLATE(B16336, ""fr"", ""en"")"),"Plemo eye mask It is an article I wanted to have long been cool it feels good for mornings a little difficult decongest, soothe not tested for other problems")</f>
        <v>Plemo eye mask It is an article I wanted to have long been cool it feels good for mornings a little difficult decongest, soothe not tested for other problems</v>
      </c>
    </row>
    <row r="16337">
      <c r="A16337" s="1">
        <v>4.0</v>
      </c>
      <c r="B16337" s="1" t="s">
        <v>16067</v>
      </c>
      <c r="C16337" t="str">
        <f>IFERROR(__xludf.DUMMYFUNCTION("GOOGLETRANSLATE(B16337, ""fr"", ""en"")"),"Good Good Product")</f>
        <v>Good Good Product</v>
      </c>
    </row>
    <row r="16338">
      <c r="A16338" s="1">
        <v>4.0</v>
      </c>
      <c r="B16338" s="1" t="s">
        <v>16068</v>
      </c>
      <c r="C16338" t="str">
        <f>IFERROR(__xludf.DUMMYFUNCTION("GOOGLETRANSLATE(B16338, ""fr"", ""en"")"),"True to the announcement True to the announcement")</f>
        <v>True to the announcement True to the announcement</v>
      </c>
    </row>
    <row r="16339">
      <c r="A16339" s="1">
        <v>4.0</v>
      </c>
      <c r="B16339" s="1" t="s">
        <v>16069</v>
      </c>
      <c r="C16339" t="str">
        <f>IFERROR(__xludf.DUMMYFUNCTION("GOOGLETRANSLATE(B16339, ""fr"", ""en"")"),"Sneakers footwear beautiful but a little tight Pretty tennis Superga. Good quality in terms of the fabric, laces or sole. However tend to put on a little small.")</f>
        <v>Sneakers footwear beautiful but a little tight Pretty tennis Superga. Good quality in terms of the fabric, laces or sole. However tend to put on a little small.</v>
      </c>
    </row>
    <row r="16340">
      <c r="A16340" s="1">
        <v>5.0</v>
      </c>
      <c r="B16340" s="1" t="s">
        <v>16070</v>
      </c>
      <c r="C16340" t="str">
        <f>IFERROR(__xludf.DUMMYFUNCTION("GOOGLETRANSLATE(B16340, ""fr"", ""en"")"),"parfais relaxing to chill keeps the heat a good half hour, the product of good qualities")</f>
        <v>parfais relaxing to chill keeps the heat a good half hour, the product of good qualities</v>
      </c>
    </row>
    <row r="16341">
      <c r="A16341" s="1">
        <v>5.0</v>
      </c>
      <c r="B16341" s="1" t="s">
        <v>16071</v>
      </c>
      <c r="C16341" t="str">
        <f>IFERROR(__xludf.DUMMYFUNCTION("GOOGLETRANSLATE(B16341, ""fr"", ""en"")"),"Very good value for money This helmet is light one does not feel on the ears, it has good sound quality, compact can win easily. The choice of colors allows for each his own!")</f>
        <v>Very good value for money This helmet is light one does not feel on the ears, it has good sound quality, compact can win easily. The choice of colors allows for each his own!</v>
      </c>
    </row>
    <row r="16342">
      <c r="A16342" s="1">
        <v>5.0</v>
      </c>
      <c r="B16342" s="1" t="s">
        <v>16072</v>
      </c>
      <c r="C16342" t="str">
        <f>IFERROR(__xludf.DUMMYFUNCTION("GOOGLETRANSLATE(B16342, ""fr"", ""en"")"),"The perfect shoes very light and comfortable shoes. The fabric looks solid, to see on the duration Nothing Righteous perfect!")</f>
        <v>The perfect shoes very light and comfortable shoes. The fabric looks solid, to see on the duration Nothing Righteous perfect!</v>
      </c>
    </row>
    <row r="16343">
      <c r="A16343" s="1">
        <v>5.0</v>
      </c>
      <c r="B16343" s="1" t="s">
        <v>16073</v>
      </c>
      <c r="C16343" t="str">
        <f>IFERROR(__xludf.DUMMYFUNCTION("GOOGLETRANSLATE(B16343, ""fr"", ""en"")"),"Pretty nice rendering")</f>
        <v>Pretty nice rendering</v>
      </c>
    </row>
    <row r="16344">
      <c r="A16344" s="1">
        <v>5.0</v>
      </c>
      <c r="B16344" s="1" t="s">
        <v>16074</v>
      </c>
      <c r="C16344" t="str">
        <f>IFERROR(__xludf.DUMMYFUNCTION("GOOGLETRANSLATE(B16344, ""fr"", ""en"")"),"Top! Mosquitoes love me! For years, I use the diffuser with great satisfaction. This is very powerful even in a large room (45m2). No perceptible odor. When is the model that can keep with you when you leave at night :-)")</f>
        <v>Top! Mosquitoes love me! For years, I use the diffuser with great satisfaction. This is very powerful even in a large room (45m2). No perceptible odor. When is the model that can keep with you when you leave at night :-)</v>
      </c>
    </row>
    <row r="16345">
      <c r="A16345" s="1">
        <v>5.0</v>
      </c>
      <c r="B16345" s="1" t="s">
        <v>16075</v>
      </c>
      <c r="C16345" t="str">
        <f>IFERROR(__xludf.DUMMYFUNCTION("GOOGLETRANSLATE(B16345, ""fr"", ""en"")"),"This great product is a great product at a low price. Good workmanship and quality. Replaces original bracelet in a brand watch; as well as the original but much cheaper. It is a bit steep at first, but softens with time. I do not regret my purchase ...")</f>
        <v>This great product is a great product at a low price. Good workmanship and quality. Replaces original bracelet in a brand watch; as well as the original but much cheaper. It is a bit steep at first, but softens with time. I do not regret my purchase ...</v>
      </c>
    </row>
    <row r="16346">
      <c r="A16346" s="1">
        <v>5.0</v>
      </c>
      <c r="B16346" s="1" t="s">
        <v>16076</v>
      </c>
      <c r="C16346" t="str">
        <f>IFERROR(__xludf.DUMMYFUNCTION("GOOGLETRANSLATE(B16346, ""fr"", ""en"")"),"The rapid sent to a perfecto very good quality and odor")</f>
        <v>The rapid sent to a perfecto very good quality and odor</v>
      </c>
    </row>
    <row r="16347">
      <c r="A16347" s="1">
        <v>5.0</v>
      </c>
      <c r="B16347" s="1" t="s">
        <v>16077</v>
      </c>
      <c r="C16347" t="str">
        <f>IFERROR(__xludf.DUMMYFUNCTION("GOOGLETRANSLATE(B16347, ""fr"", ""en"")"),"Ultra comfortable I ordered the set of 2 black and flesh. second skin feel, lightweight, not at all oppressive. In other words: PERFECT !! There are pads inside are removable so you can put or remove when desired. The thin straps are adjustable like the b"&amp;"ras. Under the chest there is a wide elastic that allows a very good support but do not tighten too much. I believe in me recommend other soon !!")</f>
        <v>Ultra comfortable I ordered the set of 2 black and flesh. second skin feel, lightweight, not at all oppressive. In other words: PERFECT !! There are pads inside are removable so you can put or remove when desired. The thin straps are adjustable like the bras. Under the chest there is a wide elastic that allows a very good support but do not tighten too much. I believe in me recommend other soon !!</v>
      </c>
    </row>
    <row r="16348">
      <c r="A16348" s="1">
        <v>5.0</v>
      </c>
      <c r="B16348" s="1" t="s">
        <v>16078</v>
      </c>
      <c r="C16348" t="str">
        <f>IFERROR(__xludf.DUMMYFUNCTION("GOOGLETRANSLATE(B16348, ""fr"", ""en"")"),"Good Good product purchased on promotion. Content of this wireless headset with noise reduction.")</f>
        <v>Good Good product purchased on promotion. Content of this wireless headset with noise reduction.</v>
      </c>
    </row>
    <row r="16349">
      <c r="A16349" s="1">
        <v>5.0</v>
      </c>
      <c r="B16349" s="1" t="s">
        <v>16079</v>
      </c>
      <c r="C16349" t="str">
        <f>IFERROR(__xludf.DUMMYFUNCTION("GOOGLETRANSLATE(B16349, ""fr"", ""en"")"),"Running Axcone Delivery carried out in good time - Correct Size (39) - Will be used for the gym and other. Delighted with my purchase")</f>
        <v>Running Axcone Delivery carried out in good time - Correct Size (39) - Will be used for the gym and other. Delighted with my purchase</v>
      </c>
    </row>
    <row r="16350">
      <c r="A16350" s="1">
        <v>5.0</v>
      </c>
      <c r="B16350" s="1" t="s">
        <v>16080</v>
      </c>
      <c r="C16350" t="str">
        <f>IFERROR(__xludf.DUMMYFUNCTION("GOOGLETRANSLATE(B16350, ""fr"", ""en"")"),"good product product conforms to the description, very satisfied.")</f>
        <v>good product product conforms to the description, very satisfied.</v>
      </c>
    </row>
    <row r="16351">
      <c r="A16351" s="1">
        <v>5.0</v>
      </c>
      <c r="B16351" s="1" t="s">
        <v>16081</v>
      </c>
      <c r="C16351" t="str">
        <f>IFERROR(__xludf.DUMMYFUNCTION("GOOGLETRANSLATE(B16351, ""fr"", ""en"")"),"Very good headphones and value for money at the top Headphones are great for the price, no complaints. Nothing to do with good headphones walk found in stores. There are slightly too sharp for my taste. The bass is powerful, I like it. We get different si"&amp;"zes of earplugs with.")</f>
        <v>Very good headphones and value for money at the top Headphones are great for the price, no complaints. Nothing to do with good headphones walk found in stores. There are slightly too sharp for my taste. The bass is powerful, I like it. We get different sizes of earplugs with.</v>
      </c>
    </row>
    <row r="16352">
      <c r="A16352" s="1">
        <v>5.0</v>
      </c>
      <c r="B16352" s="1" t="s">
        <v>16082</v>
      </c>
      <c r="C16352" t="str">
        <f>IFERROR(__xludf.DUMMYFUNCTION("GOOGLETRANSLATE(B16352, ""fr"", ""en"")"),"white stone product is impeccable, I recommend")</f>
        <v>white stone product is impeccable, I recommend</v>
      </c>
    </row>
    <row r="16353">
      <c r="A16353" s="1">
        <v>5.0</v>
      </c>
      <c r="B16353" s="1" t="s">
        <v>16083</v>
      </c>
      <c r="C16353" t="str">
        <f>IFERROR(__xludf.DUMMYFUNCTION("GOOGLETRANSLATE(B16353, ""fr"", ""en"")"),"Okay Beautiful color. correct size. pleasant material")</f>
        <v>Okay Beautiful color. correct size. pleasant material</v>
      </c>
    </row>
    <row r="16354">
      <c r="A16354" s="1">
        <v>5.0</v>
      </c>
      <c r="B16354" s="1" t="s">
        <v>16084</v>
      </c>
      <c r="C16354" t="str">
        <f>IFERROR(__xludf.DUMMYFUNCTION("GOOGLETRANSLATE(B16354, ""fr"", ""en"")"),"Conforms nice quality product to the touch beautiful color size impecc")</f>
        <v>Conforms nice quality product to the touch beautiful color size impecc</v>
      </c>
    </row>
    <row r="16355">
      <c r="A16355" s="1">
        <v>2.0</v>
      </c>
      <c r="B16355" s="1" t="s">
        <v>16085</v>
      </c>
      <c r="C16355" t="str">
        <f>IFERROR(__xludf.DUMMYFUNCTION("GOOGLETRANSLATE(B16355, ""fr"", ""en"")"),"Rapid wear Good quality, but as always with Hewlett-Packard, the cartridge empties wind speed, XL or not.")</f>
        <v>Rapid wear Good quality, but as always with Hewlett-Packard, the cartridge empties wind speed, XL or not.</v>
      </c>
    </row>
    <row r="16356">
      <c r="A16356" s="1">
        <v>1.0</v>
      </c>
      <c r="B16356" s="1" t="s">
        <v>16086</v>
      </c>
      <c r="C16356" t="str">
        <f>IFERROR(__xludf.DUMMYFUNCTION("GOOGLETRANSLATE(B16356, ""fr"", ""en"")"),"Bluetooth connectivity problem Sound frequently cut, loss of connectivity bluetooth. Over his right hand that landed on the headphones ... The main utility of the helmet being bluetooth, this function is not assured at all. Article sent on the day of firs"&amp;"t use. If you want a good quality / price for a bluetooth headset is not the one for you.")</f>
        <v>Bluetooth connectivity problem Sound frequently cut, loss of connectivity bluetooth. Over his right hand that landed on the headphones ... The main utility of the helmet being bluetooth, this function is not assured at all. Article sent on the day of first use. If you want a good quality / price for a bluetooth headset is not the one for you.</v>
      </c>
    </row>
    <row r="16357">
      <c r="A16357" s="1">
        <v>3.0</v>
      </c>
      <c r="B16357" s="1" t="s">
        <v>16087</v>
      </c>
      <c r="C16357" t="str">
        <f>IFERROR(__xludf.DUMMYFUNCTION("GOOGLETRANSLATE(B16357, ""fr"", ""en"")"),"questionable quality Christmas Gift with my wife, there is already a room tip level that is disconnected! Otherwise, nice style and very noisy. Report very average value ... We pay style.")</f>
        <v>questionable quality Christmas Gift with my wife, there is already a room tip level that is disconnected! Otherwise, nice style and very noisy. Report very average value ... We pay style.</v>
      </c>
    </row>
    <row r="16358">
      <c r="A16358" s="1">
        <v>3.0</v>
      </c>
      <c r="B16358" s="1" t="s">
        <v>16088</v>
      </c>
      <c r="C16358" t="str">
        <f>IFERROR(__xludf.DUMMYFUNCTION("GOOGLETRANSLATE(B16358, ""fr"", ""en"")"),"Trainers classes but very elegant but heavy and uncomfortable. It goes to work behind a desk but when I have to stand long the discomfort is felt.")</f>
        <v>Trainers classes but very elegant but heavy and uncomfortable. It goes to work behind a desk but when I have to stand long the discomfort is felt.</v>
      </c>
    </row>
    <row r="16359">
      <c r="A16359" s="1">
        <v>4.0</v>
      </c>
      <c r="B16359" s="1" t="s">
        <v>16089</v>
      </c>
      <c r="C16359" t="str">
        <f>IFERROR(__xludf.DUMMYFUNCTION("GOOGLETRANSLATE(B16359, ""fr"", ""en"")"),"Good bag satchel that use it on weekends")</f>
        <v>Good bag satchel that use it on weekends</v>
      </c>
    </row>
    <row r="16360">
      <c r="A16360" s="1">
        <v>4.0</v>
      </c>
      <c r="B16360" s="1" t="s">
        <v>16090</v>
      </c>
      <c r="C16360" t="str">
        <f>IFERROR(__xludf.DUMMYFUNCTION("GOOGLETRANSLATE(B16360, ""fr"", ""en"")"),"Very Fine Very well cut, pleasant material through the tissue and against very light, I m not expecting that but ultimately it suits me, very wearable after sport")</f>
        <v>Very Fine Very well cut, pleasant material through the tissue and against very light, I m not expecting that but ultimately it suits me, very wearable after sport</v>
      </c>
    </row>
    <row r="16361">
      <c r="A16361" s="1">
        <v>4.0</v>
      </c>
      <c r="B16361" s="1" t="s">
        <v>1261</v>
      </c>
      <c r="C16361" t="str">
        <f>IFERROR(__xludf.DUMMYFUNCTION("GOOGLETRANSLATE(B16361, ""fr"", ""en"")"),"good good")</f>
        <v>good good</v>
      </c>
    </row>
    <row r="16362">
      <c r="A16362" s="1">
        <v>4.0</v>
      </c>
      <c r="B16362" s="1" t="s">
        <v>16091</v>
      </c>
      <c r="C16362" t="str">
        <f>IFERROR(__xludf.DUMMYFUNCTION("GOOGLETRANSLATE(B16362, ""fr"", ""en"")"),"Pretty heart ornament Delivered on time in line with the photo makes for me it is a bit short of the clasp earring are too big and not yours very well its still pretty despite all.")</f>
        <v>Pretty heart ornament Delivered on time in line with the photo makes for me it is a bit short of the clasp earring are too big and not yours very well its still pretty despite all.</v>
      </c>
    </row>
    <row r="16363">
      <c r="A16363" s="1">
        <v>5.0</v>
      </c>
      <c r="B16363" s="1" t="s">
        <v>16092</v>
      </c>
      <c r="C16363" t="str">
        <f>IFERROR(__xludf.DUMMYFUNCTION("GOOGLETRANSLATE(B16363, ""fr"", ""en"")"),"Perfect for dance Requested by my daughter for dance is delighted")</f>
        <v>Perfect for dance Requested by my daughter for dance is delighted</v>
      </c>
    </row>
    <row r="16364">
      <c r="A16364" s="1">
        <v>5.0</v>
      </c>
      <c r="B16364" s="1" t="s">
        <v>16093</v>
      </c>
      <c r="C16364" t="str">
        <f>IFERROR(__xludf.DUMMYFUNCTION("GOOGLETRANSLATE(B16364, ""fr"", ""en"")"),"Cable loudspeaker 5 Star for the loudspeaker cable because of very good quality corresponds to the description of good length I highly recommend for any type of very low prices pregnant.")</f>
        <v>Cable loudspeaker 5 Star for the loudspeaker cable because of very good quality corresponds to the description of good length I highly recommend for any type of very low prices pregnant.</v>
      </c>
    </row>
    <row r="16365">
      <c r="A16365" s="1">
        <v>5.0</v>
      </c>
      <c r="B16365" s="1" t="s">
        <v>16094</v>
      </c>
      <c r="C16365" t="str">
        <f>IFERROR(__xludf.DUMMYFUNCTION("GOOGLETRANSLATE(B16365, ""fr"", ""en"")"),"Big enough that cap size large enough, quite what I was looking for my husband. Very happy with my purchase. I recommend.")</f>
        <v>Big enough that cap size large enough, quite what I was looking for my husband. Very happy with my purchase. I recommend.</v>
      </c>
    </row>
    <row r="16366">
      <c r="A16366" s="1">
        <v>5.0</v>
      </c>
      <c r="B16366" s="1" t="s">
        <v>16095</v>
      </c>
      <c r="C16366" t="str">
        <f>IFERROR(__xludf.DUMMYFUNCTION("GOOGLETRANSLATE(B16366, ""fr"", ""en"")"),"Very well ! Little text. For children in difficulty is perfect. Vocabulary (animals little known ...). Subtle questions at the end of history. Great collection!")</f>
        <v>Very well ! Little text. For children in difficulty is perfect. Vocabulary (animals little known ...). Subtle questions at the end of history. Great collection!</v>
      </c>
    </row>
    <row r="16367">
      <c r="A16367" s="1">
        <v>5.0</v>
      </c>
      <c r="B16367" s="1" t="s">
        <v>16096</v>
      </c>
      <c r="C16367" t="str">
        <f>IFERROR(__xludf.DUMMYFUNCTION("GOOGLETRANSLATE(B16367, ""fr"", ""en"")"),"Almost perfect few centimeters too but the product is actually consistent with what is presented on the page.")</f>
        <v>Almost perfect few centimeters too but the product is actually consistent with what is presented on the page.</v>
      </c>
    </row>
    <row r="16368">
      <c r="A16368" s="1">
        <v>5.0</v>
      </c>
      <c r="B16368" s="1" t="s">
        <v>16097</v>
      </c>
      <c r="C16368" t="str">
        <f>IFERROR(__xludf.DUMMYFUNCTION("GOOGLETRANSLATE(B16368, ""fr"", ""en"")"),"Continues poor hearing comments on TV only used for watching movies on TV. I am completely satisfied with this product, I have no dialog misunderstanding problem")</f>
        <v>Continues poor hearing comments on TV only used for watching movies on TV. I am completely satisfied with this product, I have no dialog misunderstanding problem</v>
      </c>
    </row>
    <row r="16369">
      <c r="A16369" s="1">
        <v>5.0</v>
      </c>
      <c r="B16369" s="1" t="s">
        <v>16098</v>
      </c>
      <c r="C16369" t="str">
        <f>IFERROR(__xludf.DUMMYFUNCTION("GOOGLETRANSLATE(B16369, ""fr"", ""en"")"),"Três good very fast delivery, good tênis")</f>
        <v>Três good very fast delivery, good tênis</v>
      </c>
    </row>
    <row r="16370">
      <c r="A16370" s="1">
        <v>5.0</v>
      </c>
      <c r="B16370" s="1" t="s">
        <v>16099</v>
      </c>
      <c r="C16370" t="str">
        <f>IFERROR(__xludf.DUMMYFUNCTION("GOOGLETRANSLATE(B16370, ""fr"", ""en"")"),"Sweater. Article as shown. Good size and well finished. I recommend it.")</f>
        <v>Sweater. Article as shown. Good size and well finished. I recommend it.</v>
      </c>
    </row>
    <row r="16371">
      <c r="A16371" s="1">
        <v>5.0</v>
      </c>
      <c r="B16371" s="1" t="s">
        <v>16100</v>
      </c>
      <c r="C16371" t="str">
        <f>IFERROR(__xludf.DUMMYFUNCTION("GOOGLETRANSLATE(B16371, ""fr"", ""en"")"),"Loyalty to what I expected product perfectly faithful to what I find in supermarkets (well I found ...). Really handy when you have animals at home.")</f>
        <v>Loyalty to what I expected product perfectly faithful to what I find in supermarkets (well I found ...). Really handy when you have animals at home.</v>
      </c>
    </row>
    <row r="16372">
      <c r="A16372" s="1">
        <v>5.0</v>
      </c>
      <c r="B16372" s="1" t="s">
        <v>16101</v>
      </c>
      <c r="C16372" t="str">
        <f>IFERROR(__xludf.DUMMYFUNCTION("GOOGLETRANSLATE(B16372, ""fr"", ""en"")"),"Very pleasant aromas very light and resistant in the room after the broadcast. I love that smell nice. Delivery is fast and packaging is secure. I recommend.")</f>
        <v>Very pleasant aromas very light and resistant in the room after the broadcast. I love that smell nice. Delivery is fast and packaging is secure. I recommend.</v>
      </c>
    </row>
    <row r="16373">
      <c r="A16373" s="1">
        <v>5.0</v>
      </c>
      <c r="B16373" s="1" t="s">
        <v>16102</v>
      </c>
      <c r="C16373" t="str">
        <f>IFERROR(__xludf.DUMMYFUNCTION("GOOGLETRANSLATE(B16373, ""fr"", ""en"")"),"Box of 8 essential oils Set of 8 mini bottles of 10ml. The 8 Essential oils are different plants. There are stronger than others. This allows mixing for different uses. A guide with tips for using as oil is supplied with. They can be used in massage, with"&amp;" a humidifier or bath! It is very easy to pay with the pouring spout drop by drop.")</f>
        <v>Box of 8 essential oils Set of 8 mini bottles of 10ml. The 8 Essential oils are different plants. There are stronger than others. This allows mixing for different uses. A guide with tips for using as oil is supplied with. They can be used in massage, with a humidifier or bath! It is very easy to pay with the pouring spout drop by drop.</v>
      </c>
    </row>
    <row r="16374">
      <c r="A16374" s="1">
        <v>5.0</v>
      </c>
      <c r="B16374" s="1" t="s">
        <v>16103</v>
      </c>
      <c r="C16374" t="str">
        <f>IFERROR(__xludf.DUMMYFUNCTION("GOOGLETRANSLATE(B16374, ""fr"", ""en"")"),"Good introduction to reading book available and very playful. It's a good introduction to reading. The big advantage is the emphasis of silent letters, allowing the child to read her first words correctly and independently. I think I'll buy the other book"&amp;"s in the same range.")</f>
        <v>Good introduction to reading book available and very playful. It's a good introduction to reading. The big advantage is the emphasis of silent letters, allowing the child to read her first words correctly and independently. I think I'll buy the other books in the same range.</v>
      </c>
    </row>
    <row r="16375">
      <c r="A16375" s="1">
        <v>5.0</v>
      </c>
      <c r="B16375" s="1" t="s">
        <v>16104</v>
      </c>
      <c r="C16375" t="str">
        <f>IFERROR(__xludf.DUMMYFUNCTION("GOOGLETRANSLATE(B16375, ""fr"", ""en"")"),"trash bags product arrived quickly and exactly what I was looking for, because having bought it sometime take a tec trash 50L. I could not find the corresponding bags, and these are perfect, I will also recommend others to do not run very satisfied with b"&amp;"oth products, cordially gas explosion 31 second cde arrival date, perfect time, product, now RVA next cde, cordially grisou31")</f>
        <v>trash bags product arrived quickly and exactly what I was looking for, because having bought it sometime take a tec trash 50L. I could not find the corresponding bags, and these are perfect, I will also recommend others to do not run very satisfied with both products, cordially gas explosion 31 second cde arrival date, perfect time, product, now RVA next cde, cordially grisou31</v>
      </c>
    </row>
    <row r="16376">
      <c r="A16376" s="1">
        <v>5.0</v>
      </c>
      <c r="B16376" s="1" t="s">
        <v>3772</v>
      </c>
      <c r="C16376" t="str">
        <f>IFERROR(__xludf.DUMMYFUNCTION("GOOGLETRANSLATE(B16376, ""fr"", ""en"")"),"Super Great")</f>
        <v>Super Great</v>
      </c>
    </row>
    <row r="16377">
      <c r="A16377" s="1">
        <v>5.0</v>
      </c>
      <c r="B16377" s="1" t="s">
        <v>16105</v>
      </c>
      <c r="C16377" t="str">
        <f>IFERROR(__xludf.DUMMYFUNCTION("GOOGLETRANSLATE(B16377, ""fr"", ""en"")"),"Autumn coat Autumn jacket very comfortable to wear. Cup a little bent so close to the body. Hood lined with fur. Warm enough for autumn season. soft material that looks like polar but less flexible.")</f>
        <v>Autumn coat Autumn jacket very comfortable to wear. Cup a little bent so close to the body. Hood lined with fur. Warm enough for autumn season. soft material that looks like polar but less flexible.</v>
      </c>
    </row>
    <row r="16378">
      <c r="A16378" s="1">
        <v>5.0</v>
      </c>
      <c r="B16378" s="1" t="s">
        <v>16106</v>
      </c>
      <c r="C16378" t="str">
        <f>IFERROR(__xludf.DUMMYFUNCTION("GOOGLETRANSLATE(B16378, ""fr"", ""en"")"),"impeccable working properly 2 laptop screen glued and no concern, clean and neat work thanks to the intébré needle painstaking work, glue quickly (1h pressure and no worries) therefore recommended product.")</f>
        <v>impeccable working properly 2 laptop screen glued and no concern, clean and neat work thanks to the intébré needle painstaking work, glue quickly (1h pressure and no worries) therefore recommended product.</v>
      </c>
    </row>
    <row r="16379">
      <c r="A16379" s="1">
        <v>2.0</v>
      </c>
      <c r="B16379" s="1" t="s">
        <v>16107</v>
      </c>
      <c r="C16379" t="str">
        <f>IFERROR(__xludf.DUMMYFUNCTION("GOOGLETRANSLATE(B16379, ""fr"", ""en"")"),"its volume too small I need a device or volume adjustment is more powerful with sound, more equipment cause interference mute by saccadeje have connected to an optical plug,")</f>
        <v>its volume too small I need a device or volume adjustment is more powerful with sound, more equipment cause interference mute by saccadeje have connected to an optical plug,</v>
      </c>
    </row>
    <row r="16380">
      <c r="A16380" s="1">
        <v>1.0</v>
      </c>
      <c r="B16380" s="1" t="s">
        <v>16108</v>
      </c>
      <c r="C16380" t="str">
        <f>IFERROR(__xludf.DUMMYFUNCTION("GOOGLETRANSLATE(B16380, ""fr"", ""en"")"),"Not happy I am afraid to use its vibration mode. Parse the noise is so loud that my neighbors think my apartment is in the works")</f>
        <v>Not happy I am afraid to use its vibration mode. Parse the noise is so loud that my neighbors think my apartment is in the works</v>
      </c>
    </row>
    <row r="16381">
      <c r="A16381" s="1">
        <v>1.0</v>
      </c>
      <c r="B16381" s="1" t="s">
        <v>16109</v>
      </c>
      <c r="C16381" t="str">
        <f>IFERROR(__xludf.DUMMYFUNCTION("GOOGLETRANSLATE(B16381, ""fr"", ""en"")"),"insufficient power supply 3A for raspberry, flash appearance on first installation at Alur update that I have nothing to connect on the USB carte.Retour")</f>
        <v>insufficient power supply 3A for raspberry, flash appearance on first installation at Alur update that I have nothing to connect on the USB carte.Retour</v>
      </c>
    </row>
    <row r="16382">
      <c r="A16382" s="1">
        <v>3.0</v>
      </c>
      <c r="B16382" s="1" t="s">
        <v>16110</v>
      </c>
      <c r="C16382" t="str">
        <f>IFERROR(__xludf.DUMMYFUNCTION("GOOGLETRANSLATE(B16382, ""fr"", ""en"")"),"Very good product - Attention to children's safety. I have several utensils Russell &amp; amp; Hobbs are good products. This kettle is perfect for a small kitchen. Very compact, it takes up very little space on a work surface. Calibrated to saving energy, it "&amp;"is good for the planet, which is a nice touch. But beware: as it is very compact, the wall is thin, so when the water boils, the wall is hot. It is essential to make it inaccessible to children. Hence 3 stars instead of 4.")</f>
        <v>Very good product - Attention to children's safety. I have several utensils Russell &amp; amp; Hobbs are good products. This kettle is perfect for a small kitchen. Very compact, it takes up very little space on a work surface. Calibrated to saving energy, it is good for the planet, which is a nice touch. But beware: as it is very compact, the wall is thin, so when the water boils, the wall is hot. It is essential to make it inaccessible to children. Hence 3 stars instead of 4.</v>
      </c>
    </row>
    <row r="16383">
      <c r="A16383" s="1">
        <v>3.0</v>
      </c>
      <c r="B16383" s="1" t="s">
        <v>16111</v>
      </c>
      <c r="C16383" t="str">
        <f>IFERROR(__xludf.DUMMYFUNCTION("GOOGLETRANSLATE(B16383, ""fr"", ""en"")"),"Do not take a size below I listen to previous reviews saying to buy a size less, what I'm doing and suddenly I find myself with too small shoes, take his base size. If not very good, I bought them 37.")</f>
        <v>Do not take a size below I listen to previous reviews saying to buy a size less, what I'm doing and suddenly I find myself with too small shoes, take his base size. If not very good, I bought them 37.</v>
      </c>
    </row>
    <row r="16384">
      <c r="A16384" s="1">
        <v>4.0</v>
      </c>
      <c r="B16384" s="1" t="s">
        <v>16112</v>
      </c>
      <c r="C16384" t="str">
        <f>IFERROR(__xludf.DUMMYFUNCTION("GOOGLETRANSLATE(B16384, ""fr"", ""en"")"),"Great Value Buy to label all the affairs of my son back to school. Very good value made great price. Ability to choose the font. By cons resents the dryer.")</f>
        <v>Great Value Buy to label all the affairs of my son back to school. Very good value made great price. Ability to choose the font. By cons resents the dryer.</v>
      </c>
    </row>
    <row r="16385">
      <c r="A16385" s="1">
        <v>4.0</v>
      </c>
      <c r="B16385" s="1" t="s">
        <v>16113</v>
      </c>
      <c r="C16385" t="str">
        <f>IFERROR(__xludf.DUMMYFUNCTION("GOOGLETRANSLATE(B16385, ""fr"", ""en"")"),"In line with expectations in line with expectations")</f>
        <v>In line with expectations in line with expectations</v>
      </c>
    </row>
    <row r="16386">
      <c r="A16386" s="1">
        <v>4.0</v>
      </c>
      <c r="B16386" s="1" t="s">
        <v>16114</v>
      </c>
      <c r="C16386" t="str">
        <f>IFERROR(__xludf.DUMMYFUNCTION("GOOGLETRANSLATE(B16386, ""fr"", ""en"")"),"Although Jolie loops")</f>
        <v>Although Jolie loops</v>
      </c>
    </row>
    <row r="16387">
      <c r="A16387" s="1">
        <v>4.0</v>
      </c>
      <c r="B16387" s="1" t="s">
        <v>16115</v>
      </c>
      <c r="C16387" t="str">
        <f>IFERROR(__xludf.DUMMYFUNCTION("GOOGLETRANSLATE(B16387, ""fr"", ""en"")"),"cleaning ball, with 6 Bon bah I tested my laundry is wet out so far so good for the effectiveness of small balls ..... uh bah I think she made their Boulot .... but I'm not expert")</f>
        <v>cleaning ball, with 6 Bon bah I tested my laundry is wet out so far so good for the effectiveness of small balls ..... uh bah I think she made their Boulot .... but I'm not expert</v>
      </c>
    </row>
    <row r="16388">
      <c r="A16388" s="1">
        <v>5.0</v>
      </c>
      <c r="B16388" s="1" t="s">
        <v>16116</v>
      </c>
      <c r="C16388" t="str">
        <f>IFERROR(__xludf.DUMMYFUNCTION("GOOGLETRANSLATE(B16388, ""fr"", ""en"")"),"consistent with what is written in my professional, i is important to have good quality envelope and it does")</f>
        <v>consistent with what is written in my professional, i is important to have good quality envelope and it does</v>
      </c>
    </row>
    <row r="16389">
      <c r="A16389" s="1">
        <v>5.0</v>
      </c>
      <c r="B16389" s="1" t="s">
        <v>16117</v>
      </c>
      <c r="C16389" t="str">
        <f>IFERROR(__xludf.DUMMYFUNCTION("GOOGLETRANSLATE(B16389, ""fr"", ""en"")"),"As at the time! No surprise, it's the same at the time!")</f>
        <v>As at the time! No surprise, it's the same at the time!</v>
      </c>
    </row>
    <row r="16390">
      <c r="A16390" s="1">
        <v>5.0</v>
      </c>
      <c r="B16390" s="1" t="s">
        <v>16118</v>
      </c>
      <c r="C16390" t="str">
        <f>IFERROR(__xludf.DUMMYFUNCTION("GOOGLETRANSLATE(B16390, ""fr"", ""en"")"),"good headphones! I am pleasantly surprised by the quality of these headphones. I was afraid that there is a lag picture / sound as is the case with other headphones, but here it is not so. Bluetooth equipment is easy and quick to make. Several tips are pr"&amp;"ovided for the ear, which is quite useful depending on the shape of the ear of the individual.")</f>
        <v>good headphones! I am pleasantly surprised by the quality of these headphones. I was afraid that there is a lag picture / sound as is the case with other headphones, but here it is not so. Bluetooth equipment is easy and quick to make. Several tips are provided for the ear, which is quite useful depending on the shape of the ear of the individual.</v>
      </c>
    </row>
    <row r="16391">
      <c r="A16391" s="1">
        <v>5.0</v>
      </c>
      <c r="B16391" s="1" t="s">
        <v>16119</v>
      </c>
      <c r="C16391" t="str">
        <f>IFERROR(__xludf.DUMMYFUNCTION("GOOGLETRANSLATE(B16391, ""fr"", ""en"")"),"very easy to utilisation.fonctionnelle. montagne.très useful use for hiking with his altimeter and other functions.")</f>
        <v>very easy to utilisation.fonctionnelle. montagne.très useful use for hiking with his altimeter and other functions.</v>
      </c>
    </row>
    <row r="16392">
      <c r="A16392" s="1">
        <v>5.0</v>
      </c>
      <c r="B16392" s="1" t="s">
        <v>16120</v>
      </c>
      <c r="C16392" t="str">
        <f>IFERROR(__xludf.DUMMYFUNCTION("GOOGLETRANSLATE(B16392, ""fr"", ""en"")"),"Good Product Compliance")</f>
        <v>Good Product Compliance</v>
      </c>
    </row>
    <row r="16393">
      <c r="A16393" s="1">
        <v>5.0</v>
      </c>
      <c r="B16393" s="1" t="s">
        <v>16121</v>
      </c>
      <c r="C16393" t="str">
        <f>IFERROR(__xludf.DUMMYFUNCTION("GOOGLETRANSLATE(B16393, ""fr"", ""en"")"),"canon ts 8000 compliant: phew! I changed 4 cartridges and were immediately recognized by my printer, I admit I was a little apprehensive because c the first time I buy ""compatible cartridges"" for longevity I can not answer.")</f>
        <v>canon ts 8000 compliant: phew! I changed 4 cartridges and were immediately recognized by my printer, I admit I was a little apprehensive because c the first time I buy "compatible cartridges" for longevity I can not answer.</v>
      </c>
    </row>
    <row r="16394">
      <c r="A16394" s="1">
        <v>5.0</v>
      </c>
      <c r="B16394" s="1" t="s">
        <v>16122</v>
      </c>
      <c r="C16394" t="str">
        <f>IFERROR(__xludf.DUMMYFUNCTION("GOOGLETRANSLATE(B16394, ""fr"", ""en"")"),"Moncler Jackets trend very great trend. attention to details. Also trend color. Take one size bigger. Very good value quailté price. great sav")</f>
        <v>Moncler Jackets trend very great trend. attention to details. Also trend color. Take one size bigger. Very good value quailté price. great sav</v>
      </c>
    </row>
    <row r="16395">
      <c r="A16395" s="1">
        <v>5.0</v>
      </c>
      <c r="B16395" s="1" t="s">
        <v>16123</v>
      </c>
      <c r="C16395" t="str">
        <f>IFERROR(__xludf.DUMMYFUNCTION("GOOGLETRANSLATE(B16395, ""fr"", ""en"")"),"Good value Daily Use")</f>
        <v>Good value Daily Use</v>
      </c>
    </row>
    <row r="16396">
      <c r="A16396" s="1">
        <v>5.0</v>
      </c>
      <c r="B16396" s="1" t="s">
        <v>16124</v>
      </c>
      <c r="C16396" t="str">
        <f>IFERROR(__xludf.DUMMYFUNCTION("GOOGLETRANSLATE(B16396, ""fr"", ""en"")"),"Product guaranteed effect of excellent workmanship, finishing appointment, no disappointment except perhaps advise you to take half a size up if possible with Puma for those with a strong foot shot. I highly recommend this product, very good quality / pri"&amp;"ce ratio.")</f>
        <v>Product guaranteed effect of excellent workmanship, finishing appointment, no disappointment except perhaps advise you to take half a size up if possible with Puma for those with a strong foot shot. I highly recommend this product, very good quality / price ratio.</v>
      </c>
    </row>
    <row r="16397">
      <c r="A16397" s="1">
        <v>5.0</v>
      </c>
      <c r="B16397" s="1" t="s">
        <v>16125</v>
      </c>
      <c r="C16397" t="str">
        <f>IFERROR(__xludf.DUMMYFUNCTION("GOOGLETRANSLATE(B16397, ""fr"", ""en"")"),"Nothing to say Bottle received quickly my son drink in hearts and love the nipple nuk're his best the")</f>
        <v>Nothing to say Bottle received quickly my son drink in hearts and love the nipple nuk're his best the</v>
      </c>
    </row>
    <row r="16398">
      <c r="A16398" s="1">
        <v>5.0</v>
      </c>
      <c r="B16398" s="1" t="s">
        <v>16126</v>
      </c>
      <c r="C16398" t="str">
        <f>IFERROR(__xludf.DUMMYFUNCTION("GOOGLETRANSLATE(B16398, ""fr"", ""en"")"),"very nice product! Packaging: crew, the product is well protected especially well designed. The diffuser is of high quality and aesthetically beautiful, it goes into decorating without any problems. Buy summer, the humidifier helped us spend more comforta"&amp;"ble nights (parents and baby) and the distribution system of essential oils is effective and brings us a very nice atmosphere. Supplied with a suitable container to fill the machine with water, you risk not overflow because the quantitée is optimal. Sever"&amp;"al power levels on the distribution of moisture, it is also equipped with a lighting system (several colors and patterns) which makes the appearance of the product very friendly, especially coupled with the dissemination of essential oils, the 'felt overa"&amp;"ll atmosphere is very nice. I recommend for those who want to create an atmosphere in both bedrooms, the living room.")</f>
        <v>very nice product! Packaging: crew, the product is well protected especially well designed. The diffuser is of high quality and aesthetically beautiful, it goes into decorating without any problems. Buy summer, the humidifier helped us spend more comfortable nights (parents and baby) and the distribution system of essential oils is effective and brings us a very nice atmosphere. Supplied with a suitable container to fill the machine with water, you risk not overflow because the quantitée is optimal. Several power levels on the distribution of moisture, it is also equipped with a lighting system (several colors and patterns) which makes the appearance of the product very friendly, especially coupled with the dissemination of essential oils, the 'felt overall atmosphere is very nice. I recommend for those who want to create an atmosphere in both bedrooms, the living room.</v>
      </c>
    </row>
    <row r="16399">
      <c r="A16399" s="1">
        <v>5.0</v>
      </c>
      <c r="B16399" s="1" t="s">
        <v>16127</v>
      </c>
      <c r="C16399" t="str">
        <f>IFERROR(__xludf.DUMMYFUNCTION("GOOGLETRANSLATE(B16399, ""fr"", ""en"")"),"hardwearing and easy to remove; easy to wash and as there are 8, no need to put them in pairs")</f>
        <v>hardwearing and easy to remove; easy to wash and as there are 8, no need to put them in pairs</v>
      </c>
    </row>
    <row r="16400">
      <c r="A16400" s="1">
        <v>5.0</v>
      </c>
      <c r="B16400" s="1" t="s">
        <v>16128</v>
      </c>
      <c r="C16400" t="str">
        <f>IFERROR(__xludf.DUMMYFUNCTION("GOOGLETRANSLATE(B16400, ""fr"", ""en"")"),"Perfect for me probably the best basketball in the world. Not my first pair and certainly not the last. Ideally suited to strong feet and super comfortable. Only flat delivery Chronopost the limits of the acceptable.")</f>
        <v>Perfect for me probably the best basketball in the world. Not my first pair and certainly not the last. Ideally suited to strong feet and super comfortable. Only flat delivery Chronopost the limits of the acceptable.</v>
      </c>
    </row>
    <row r="16401">
      <c r="A16401" s="1">
        <v>5.0</v>
      </c>
      <c r="B16401" s="1" t="s">
        <v>16129</v>
      </c>
      <c r="C16401" t="str">
        <f>IFERROR(__xludf.DUMMYFUNCTION("GOOGLETRANSLATE(B16401, ""fr"", ""en"")"),"Very good products to eliminate rheumatism")</f>
        <v>Very good products to eliminate rheumatism</v>
      </c>
    </row>
    <row r="16402">
      <c r="A16402" s="1">
        <v>5.0</v>
      </c>
      <c r="B16402" s="1" t="s">
        <v>16130</v>
      </c>
      <c r="C16402" t="str">
        <f>IFERROR(__xludf.DUMMYFUNCTION("GOOGLETRANSLATE(B16402, ""fr"", ""en"")"),"quality headphones Headphone very good quality. The design is friendly. Bluetooth headsets are very discrete, light, black, light up as soon as one takes over. They keep well, come with 4 sizes of different tips to fit ears. The sound is excellent with go"&amp;"od bass present. The headphones have their magnetized locations in the housing for recharging. The box indicates the remaining battery percentage. It can also serve as an extra battery for your smartphone. A power cord is provided along with instruction i"&amp;"n French. I'm so glad of my purchase.")</f>
        <v>quality headphones Headphone very good quality. The design is friendly. Bluetooth headsets are very discrete, light, black, light up as soon as one takes over. They keep well, come with 4 sizes of different tips to fit ears. The sound is excellent with good bass present. The headphones have their magnetized locations in the housing for recharging. The box indicates the remaining battery percentage. It can also serve as an extra battery for your smartphone. A power cord is provided along with instruction in French. I'm so glad of my purchase.</v>
      </c>
    </row>
    <row r="16403">
      <c r="A16403" s="1">
        <v>2.0</v>
      </c>
      <c r="B16403" s="1" t="s">
        <v>16131</v>
      </c>
      <c r="C16403" t="str">
        <f>IFERROR(__xludf.DUMMYFUNCTION("GOOGLETRANSLATE(B16403, ""fr"", ""en"")"),"Model too large and difficult to I have returned, too much yet I am the 37 and very difficult to implement, I ordered another model Sketcher Flex Appeal in 36.5 and there are slippers, very satisfied.")</f>
        <v>Model too large and difficult to I have returned, too much yet I am the 37 and very difficult to implement, I ordered another model Sketcher Flex Appeal in 36.5 and there are slippers, very satisfied.</v>
      </c>
    </row>
    <row r="16404">
      <c r="A16404" s="1">
        <v>1.0</v>
      </c>
      <c r="B16404" s="1" t="s">
        <v>16132</v>
      </c>
      <c r="C16404" t="str">
        <f>IFERROR(__xludf.DUMMYFUNCTION("GOOGLETRANSLATE(B16404, ""fr"", ""en"")"),"C is a scam in every way. Shame on the seller This is not at all consistent with the description. Article horrible banned from sale. sickening smell of oil or whatever c is shameful scam in every way. 3rd I not even the buys.")</f>
        <v>C is a scam in every way. Shame on the seller This is not at all consistent with the description. Article horrible banned from sale. sickening smell of oil or whatever c is shameful scam in every way. 3rd I not even the buys.</v>
      </c>
    </row>
    <row r="16405">
      <c r="A16405" s="1">
        <v>1.0</v>
      </c>
      <c r="B16405" s="1" t="s">
        <v>16133</v>
      </c>
      <c r="C16405" t="str">
        <f>IFERROR(__xludf.DUMMYFUNCTION("GOOGLETRANSLATE(B16405, ""fr"", ""en"")"),"Shoes too stiff It's a beautiful shoe but no comfort even after several weeks of port. They much stiffer than the pairs Paraboot I had. Too bad because the style I liked.")</f>
        <v>Shoes too stiff It's a beautiful shoe but no comfort even after several weeks of port. They much stiffer than the pairs Paraboot I had. Too bad because the style I liked.</v>
      </c>
    </row>
    <row r="16406">
      <c r="A16406" s="1">
        <v>3.0</v>
      </c>
      <c r="B16406" s="1" t="s">
        <v>16134</v>
      </c>
      <c r="C16406" t="str">
        <f>IFERROR(__xludf.DUMMYFUNCTION("GOOGLETRANSLATE(B16406, ""fr"", ""en"")"),"show well. blah strap watch, though. bof strap, very stiff, highly plastic and crack already after 3 days of use. it is worth its price, nor")</f>
        <v>show well. blah strap watch, though. bof strap, very stiff, highly plastic and crack already after 3 days of use. it is worth its price, nor</v>
      </c>
    </row>
    <row r="16407">
      <c r="A16407" s="1">
        <v>4.0</v>
      </c>
      <c r="B16407" s="1" t="s">
        <v>16135</v>
      </c>
      <c r="C16407" t="str">
        <f>IFERROR(__xludf.DUMMYFUNCTION("GOOGLETRANSLATE(B16407, ""fr"", ""en"")"),"Value for money ok The quality / price is! Pleased with this purchase I recommend the product Which is simple and cheap")</f>
        <v>Value for money ok The quality / price is! Pleased with this purchase I recommend the product Which is simple and cheap</v>
      </c>
    </row>
    <row r="16408">
      <c r="A16408" s="1">
        <v>4.0</v>
      </c>
      <c r="B16408" s="1" t="s">
        <v>16136</v>
      </c>
      <c r="C16408" t="str">
        <f>IFERROR(__xludf.DUMMYFUNCTION("GOOGLETRANSLATE(B16408, ""fr"", ""en"")"),"Very correct. The elastic outfits sometimes struggle to stay, but everything is very correct with my microphone (HyperX quadcast). Connects very well into the overall style of my setup.")</f>
        <v>Very correct. The elastic outfits sometimes struggle to stay, but everything is very correct with my microphone (HyperX quadcast). Connects very well into the overall style of my setup.</v>
      </c>
    </row>
    <row r="16409">
      <c r="A16409" s="1">
        <v>4.0</v>
      </c>
      <c r="B16409" s="1" t="s">
        <v>16137</v>
      </c>
      <c r="C16409" t="str">
        <f>IFERROR(__xludf.DUMMYFUNCTION("GOOGLETRANSLATE(B16409, ""fr"", ""en"")"),"Superb and Superb helpful bracelet is long allowing to tour. The dial n is have too big or small. The only drawback is that it is not n countdown and the lamp is very short 2s. Otherwise fast delivery and safe")</f>
        <v>Superb and Superb helpful bracelet is long allowing to tour. The dial n is have too big or small. The only drawback is that it is not n countdown and the lamp is very short 2s. Otherwise fast delivery and safe</v>
      </c>
    </row>
    <row r="16410">
      <c r="A16410" s="1">
        <v>4.0</v>
      </c>
      <c r="B16410" s="1" t="s">
        <v>16138</v>
      </c>
      <c r="C16410" t="str">
        <f>IFERROR(__xludf.DUMMYFUNCTION("GOOGLETRANSLATE(B16410, ""fr"", ""en"")"),"very pretty beautiful loop but a little fragile")</f>
        <v>very pretty beautiful loop but a little fragile</v>
      </c>
    </row>
    <row r="16411">
      <c r="A16411" s="1">
        <v>5.0</v>
      </c>
      <c r="B16411" s="1" t="s">
        <v>16139</v>
      </c>
      <c r="C16411" t="str">
        <f>IFERROR(__xludf.DUMMYFUNCTION("GOOGLETRANSLATE(B16411, ""fr"", ""en"")"),"money supply assemblies and ordinary small probes")</f>
        <v>money supply assemblies and ordinary small probes</v>
      </c>
    </row>
    <row r="16412">
      <c r="A16412" s="1">
        <v>5.0</v>
      </c>
      <c r="B16412" s="1" t="s">
        <v>16140</v>
      </c>
      <c r="C16412" t="str">
        <f>IFERROR(__xludf.DUMMYFUNCTION("GOOGLETRANSLATE(B16412, ""fr"", ""en"")"),"wonderful gift bought, they are beautiful, a lining inside, good design and provides a perfect style. Super happy with my purchase.")</f>
        <v>wonderful gift bought, they are beautiful, a lining inside, good design and provides a perfect style. Super happy with my purchase.</v>
      </c>
    </row>
    <row r="16413">
      <c r="A16413" s="1">
        <v>5.0</v>
      </c>
      <c r="B16413" s="1" t="s">
        <v>16141</v>
      </c>
      <c r="C16413" t="str">
        <f>IFERROR(__xludf.DUMMYFUNCTION("GOOGLETRANSLATE(B16413, ""fr"", ""en"")"),"Nice to meet you ! Great show, very classy")</f>
        <v>Nice to meet you ! Great show, very classy</v>
      </c>
    </row>
    <row r="16414">
      <c r="A16414" s="1">
        <v>5.0</v>
      </c>
      <c r="B16414" s="1" t="s">
        <v>16142</v>
      </c>
      <c r="C16414" t="str">
        <f>IFERROR(__xludf.DUMMYFUNCTION("GOOGLETRANSLATE(B16414, ""fr"", ""en"")"),"official Cartridge Ink Cartridge official, so no compatibility problems. XL cartridges offer better profitability from a financial point of view.")</f>
        <v>official Cartridge Ink Cartridge official, so no compatibility problems. XL cartridges offer better profitability from a financial point of view.</v>
      </c>
    </row>
    <row r="16415">
      <c r="A16415" s="1">
        <v>5.0</v>
      </c>
      <c r="B16415" s="1" t="s">
        <v>16143</v>
      </c>
      <c r="C16415" t="str">
        <f>IFERROR(__xludf.DUMMYFUNCTION("GOOGLETRANSLATE(B16415, ""fr"", ""en"")"),"See the use Fabric and closures seem good. Product received very quickly and well packed")</f>
        <v>See the use Fabric and closures seem good. Product received very quickly and well packed</v>
      </c>
    </row>
    <row r="16416">
      <c r="A16416" s="1">
        <v>5.0</v>
      </c>
      <c r="B16416" s="1" t="s">
        <v>16144</v>
      </c>
      <c r="C16416" t="str">
        <f>IFERROR(__xludf.DUMMYFUNCTION("GOOGLETRANSLATE(B16416, ""fr"", ""en"")"),"The quality Hello expensive for a kettle.")</f>
        <v>The quality Hello expensive for a kettle.</v>
      </c>
    </row>
    <row r="16417">
      <c r="A16417" s="1">
        <v>5.0</v>
      </c>
      <c r="B16417" s="1" t="s">
        <v>16145</v>
      </c>
      <c r="C16417" t="str">
        <f>IFERROR(__xludf.DUMMYFUNCTION("GOOGLETRANSLATE(B16417, ""fr"", ""en"")"),"Really Superb perfect teapot design, breathable quality. Heats very fast. Stand ultra convenient. In short, I love this beautiful beautiful and effective object.")</f>
        <v>Really Superb perfect teapot design, breathable quality. Heats very fast. Stand ultra convenient. In short, I love this beautiful beautiful and effective object.</v>
      </c>
    </row>
    <row r="16418">
      <c r="A16418" s="1">
        <v>5.0</v>
      </c>
      <c r="B16418" s="1" t="s">
        <v>16146</v>
      </c>
      <c r="C16418" t="str">
        <f>IFERROR(__xludf.DUMMYFUNCTION("GOOGLETRANSLATE(B16418, ""fr"", ""en"")"),"practical and pretty model Fort useful and compact. My husband takes him wherever he goes. The price is very reasonable. Purchase that is perfect.")</f>
        <v>practical and pretty model Fort useful and compact. My husband takes him wherever he goes. The price is very reasonable. Purchase that is perfect.</v>
      </c>
    </row>
    <row r="16419">
      <c r="A16419" s="1">
        <v>5.0</v>
      </c>
      <c r="B16419" s="1" t="s">
        <v>16147</v>
      </c>
      <c r="C16419" t="str">
        <f>IFERROR(__xludf.DUMMYFUNCTION("GOOGLETRANSLATE(B16419, ""fr"", ""en"")"),"Recommends perfect Perfect delivered quickly, good price, good quality, did the job, comes with cloth, tags and dust an attachment accessory for the phone expect.")</f>
        <v>Recommends perfect Perfect delivered quickly, good price, good quality, did the job, comes with cloth, tags and dust an attachment accessory for the phone expect.</v>
      </c>
    </row>
    <row r="16420">
      <c r="A16420" s="1">
        <v>5.0</v>
      </c>
      <c r="B16420" s="1" t="s">
        <v>16148</v>
      </c>
      <c r="C16420" t="str">
        <f>IFERROR(__xludf.DUMMYFUNCTION("GOOGLETRANSLATE(B16420, ""fr"", ""en"")"),"The must ! Article consistent with the description, a must, beautiful color")</f>
        <v>The must ! Article consistent with the description, a must, beautiful color</v>
      </c>
    </row>
    <row r="16421">
      <c r="A16421" s="1">
        <v>5.0</v>
      </c>
      <c r="B16421" s="1" t="s">
        <v>16149</v>
      </c>
      <c r="C16421" t="str">
        <f>IFERROR(__xludf.DUMMYFUNCTION("GOOGLETRANSLATE(B16421, ""fr"", ""en"")"),"super sandals Very good product, good quality, shipped quickly, very happy! It is very comfortable and I wear very often. One can wear everywhere")</f>
        <v>super sandals Very good product, good quality, shipped quickly, very happy! It is very comfortable and I wear very often. One can wear everywhere</v>
      </c>
    </row>
    <row r="16422">
      <c r="A16422" s="1">
        <v>5.0</v>
      </c>
      <c r="B16422" s="1" t="s">
        <v>16150</v>
      </c>
      <c r="C16422" t="str">
        <f>IFERROR(__xludf.DUMMYFUNCTION("GOOGLETRANSLATE(B16422, ""fr"", ""en"")"),"A sound very high quality! &lt;Div id = ""video-block-R3Y10MYMA21BS"" class = ""a-section-spacing-small in-spacing-top mini video-block""&gt; &lt;/ div&gt; &lt;input type = ""hidden"" name = """" value = ""https://images-eu.ssl-images-amazon.com/images/I/A1twdWbRHAS.mp4"&amp;""" class = ""video-url""&gt; &lt;input type = ""hidden"" name = """" value = ""https: //images-eu.ssl-images-amazon.com/images/I/A1kLgd+v87S.png ""class ="" video-slate-img-url ""&gt; &amp; nbsp; I received quickly the microphone, he was in a box adapted to its taille"&amp;".Il was not abimé.L'article meets its description. The box is black, with the brand name on it. There is in the box: -Microphone -Pochette Micro ties are equipped with claws that through them you can attach the microphones on a vêtement.Je find it really "&amp;"handy! Installing the microphone is easy, simply plug the cable with the jack on your smartphone, computer ... Your devices will recognize them directly. The sound is really high quality, you can record sound stéréo.Vous can also put the microphones on tw"&amp;"o personnes.Vous can use it to record sound in broadcast quality. It is very convenient as it is about 1.5 m, it is very léger.C'est really convenient because it is omnidirectional, ie you can orients everywhere! CONCLUSION: This microphone is perfect for"&amp;" recording a video! In addition, you can record stereo sound high quality and carry it around. It also has a major advantage that it is omnidirectional! The quality / price is interesting! I've left you some pictures and a video.")</f>
        <v>A sound very high quality! &lt;Div id = "video-block-R3Y10MYMA21BS" class = "a-section-spacing-small in-spacing-top mini video-block"&gt; &lt;/ div&gt; &lt;input type = "hidden" name = "" value = "https://images-eu.ssl-images-amazon.com/images/I/A1twdWbRHAS.mp4" class = "video-url"&gt; &lt;input type = "hidden" name = "" value = "https: //images-eu.ssl-images-amazon.com/images/I/A1kLgd+v87S.png "class =" video-slate-img-url "&gt; &amp; nbsp; I received quickly the microphone, he was in a box adapted to its taille.Il was not abimé.L'article meets its description. The box is black, with the brand name on it. There is in the box: -Microphone -Pochette Micro ties are equipped with claws that through them you can attach the microphones on a vêtement.Je find it really handy! Installing the microphone is easy, simply plug the cable with the jack on your smartphone, computer ... Your devices will recognize them directly. The sound is really high quality, you can record sound stéréo.Vous can also put the microphones on two personnes.Vous can use it to record sound in broadcast quality. It is very convenient as it is about 1.5 m, it is very léger.C'est really convenient because it is omnidirectional, ie you can orients everywhere! CONCLUSION: This microphone is perfect for recording a video! In addition, you can record stereo sound high quality and carry it around. It also has a major advantage that it is omnidirectional! The quality / price is interesting! I've left you some pictures and a video.</v>
      </c>
    </row>
    <row r="16423">
      <c r="A16423" s="1">
        <v>5.0</v>
      </c>
      <c r="B16423" s="1" t="s">
        <v>16151</v>
      </c>
      <c r="C16423" t="str">
        <f>IFERROR(__xludf.DUMMYFUNCTION("GOOGLETRANSLATE(B16423, ""fr"", ""en"")"),"Very nice silver bracelet! I chose the set of two silver bracelet and I am delighted. The two go perfectly on all wrist sizes (the settings are possible). Good qualities, strong. What I liked is that they are provided with two small pockets black to be ab"&amp;"le to store! Both are very beautiful even if I have a preference for those with hearts. For the price I am very satisfied! I recommend !")</f>
        <v>Very nice silver bracelet! I chose the set of two silver bracelet and I am delighted. The two go perfectly on all wrist sizes (the settings are possible). Good qualities, strong. What I liked is that they are provided with two small pockets black to be able to store! Both are very beautiful even if I have a preference for those with hearts. For the price I am very satisfied! I recommend !</v>
      </c>
    </row>
    <row r="16424">
      <c r="A16424" s="1">
        <v>5.0</v>
      </c>
      <c r="B16424" s="1" t="s">
        <v>16152</v>
      </c>
      <c r="C16424" t="str">
        <f>IFERROR(__xludf.DUMMYFUNCTION("GOOGLETRANSLATE(B16424, ""fr"", ""en"")"),"Okay Nice and light sports")</f>
        <v>Okay Nice and light sports</v>
      </c>
    </row>
    <row r="16425">
      <c r="A16425" s="1">
        <v>5.0</v>
      </c>
      <c r="B16425" s="1" t="s">
        <v>16153</v>
      </c>
      <c r="C16425" t="str">
        <f>IFERROR(__xludf.DUMMYFUNCTION("GOOGLETRANSLATE(B16425, ""fr"", ""en"")"),"Excellent product A wand that makes the cheap glossy plastic Blais who is not, excellent product, good quality and powerful")</f>
        <v>Excellent product A wand that makes the cheap glossy plastic Blais who is not, excellent product, good quality and powerful</v>
      </c>
    </row>
    <row r="16426">
      <c r="A16426" s="1">
        <v>2.0</v>
      </c>
      <c r="B16426" s="1" t="s">
        <v>16154</v>
      </c>
      <c r="C16426" t="str">
        <f>IFERROR(__xludf.DUMMYFUNCTION("GOOGLETRANSLATE(B16426, ""fr"", ""en"")"),"Too big and field unpleasant. Pretty disappointed with this set, I returned. Purchased size M, pink. The color was quite nice but the matter was very ""loose"" and it was a little too big. To help future buyers, I do: 1m68 64kg Size 38 usually I'll take t"&amp;"he S size but the style did not suit me either.")</f>
        <v>Too big and field unpleasant. Pretty disappointed with this set, I returned. Purchased size M, pink. The color was quite nice but the matter was very "loose" and it was a little too big. To help future buyers, I do: 1m68 64kg Size 38 usually I'll take the S size but the style did not suit me either.</v>
      </c>
    </row>
    <row r="16427">
      <c r="A16427" s="1">
        <v>1.0</v>
      </c>
      <c r="B16427" s="1" t="s">
        <v>16155</v>
      </c>
      <c r="C16427" t="str">
        <f>IFERROR(__xludf.DUMMYFUNCTION("GOOGLETRANSLATE(B16427, ""fr"", ""en"")"),"Not terrible Bog")</f>
        <v>Not terrible Bog</v>
      </c>
    </row>
    <row r="16428">
      <c r="A16428" s="1">
        <v>3.0</v>
      </c>
      <c r="B16428" s="1" t="s">
        <v>16156</v>
      </c>
      <c r="C16428" t="str">
        <f>IFERROR(__xludf.DUMMYFUNCTION("GOOGLETRANSLATE(B16428, ""fr"", ""en"")"),"Watch more beautiful picture than reality, very light. But his time gives")</f>
        <v>Watch more beautiful picture than reality, very light. But his time gives</v>
      </c>
    </row>
    <row r="16429">
      <c r="A16429" s="1">
        <v>3.0</v>
      </c>
      <c r="B16429" s="1" t="s">
        <v>16157</v>
      </c>
      <c r="C16429" t="str">
        <f>IFERROR(__xludf.DUMMYFUNCTION("GOOGLETRANSLATE(B16429, ""fr"", ""en"")"),"Not Bad ... on fabric on fabric medium and small amount ... I'm still looking for a glue multi media works :(")</f>
        <v>Not Bad ... on fabric on fabric medium and small amount ... I'm still looking for a glue multi media works :(</v>
      </c>
    </row>
    <row r="16430">
      <c r="A16430" s="1">
        <v>4.0</v>
      </c>
      <c r="B16430" s="1" t="s">
        <v>16158</v>
      </c>
      <c r="C16430" t="str">
        <f>IFERROR(__xludf.DUMMYFUNCTION("GOOGLETRANSLATE(B16430, ""fr"", ""en"")"),"Excellent I was always jog to turn off my previous kettle for water is not too chaude.Maintenant I do anything else until I know it will be exactly as I want with the blue lighting variateur.et is super nice.")</f>
        <v>Excellent I was always jog to turn off my previous kettle for water is not too chaude.Maintenant I do anything else until I know it will be exactly as I want with the blue lighting variateur.et is super nice.</v>
      </c>
    </row>
    <row r="16431">
      <c r="A16431" s="1">
        <v>4.0</v>
      </c>
      <c r="B16431" s="1" t="s">
        <v>16159</v>
      </c>
      <c r="C16431" t="str">
        <f>IFERROR(__xludf.DUMMYFUNCTION("GOOGLETRANSLATE(B16431, ""fr"", ""en"")"),"A little light, but okay Okay, good size, a little late as fabric")</f>
        <v>A little light, but okay Okay, good size, a little late as fabric</v>
      </c>
    </row>
    <row r="16432">
      <c r="A16432" s="1">
        <v>4.0</v>
      </c>
      <c r="B16432" s="1" t="s">
        <v>16160</v>
      </c>
      <c r="C16432" t="str">
        <f>IFERROR(__xludf.DUMMYFUNCTION("GOOGLETRANSLATE(B16432, ""fr"", ""en"")"),"AOLVO brown Almost perfect, zip solid that slides wonderfully, magnetic button handy, lots of locations, size very correct my Lumia 950 XL going well and my wallet purse + + backup battery + 2 electronic cigarettes and two cables for charging with cigaret"&amp;"te lighter adapter + 1 e-liquid bottle, energy bar and mini coke etc etc ... completely detachable strap beautiful finish. The ruined by the color of cooked as I try to improve (milk for cooking and elbow grease) starts to improve with difficulty aestheti"&amp;"cs.")</f>
        <v>AOLVO brown Almost perfect, zip solid that slides wonderfully, magnetic button handy, lots of locations, size very correct my Lumia 950 XL going well and my wallet purse + + backup battery + 2 electronic cigarettes and two cables for charging with cigarette lighter adapter + 1 e-liquid bottle, energy bar and mini coke etc etc ... completely detachable strap beautiful finish. The ruined by the color of cooked as I try to improve (milk for cooking and elbow grease) starts to improve with difficulty aesthetics.</v>
      </c>
    </row>
    <row r="16433">
      <c r="A16433" s="1">
        <v>4.0</v>
      </c>
      <c r="B16433" s="1" t="s">
        <v>16161</v>
      </c>
      <c r="C16433" t="str">
        <f>IFERROR(__xludf.DUMMYFUNCTION("GOOGLETRANSLATE(B16433, ""fr"", ""en"")"),"We boys hardcopy I offered Christmas to my 11 year old boy and he enjoyed it very much. This book remained his favorite book for several weeks, he chose the play order based on what interested him most. Since then, he regularly appears in response to new "&amp;"questions he asks. I have not read it all, but the passages I have traveled with him appeared me properly explained, it corresponds to that age. I recommand it !")</f>
        <v>We boys hardcopy I offered Christmas to my 11 year old boy and he enjoyed it very much. This book remained his favorite book for several weeks, he chose the play order based on what interested him most. Since then, he regularly appears in response to new questions he asks. I have not read it all, but the passages I have traveled with him appeared me properly explained, it corresponds to that age. I recommand it !</v>
      </c>
    </row>
    <row r="16434">
      <c r="A16434" s="1">
        <v>4.0</v>
      </c>
      <c r="B16434" s="1" t="s">
        <v>16162</v>
      </c>
      <c r="C16434" t="str">
        <f>IFERROR(__xludf.DUMMYFUNCTION("GOOGLETRANSLATE(B16434, ""fr"", ""en"")"),"Comfort To show use")</f>
        <v>Comfort To show use</v>
      </c>
    </row>
    <row r="16435">
      <c r="A16435" s="1">
        <v>5.0</v>
      </c>
      <c r="B16435" s="1" t="s">
        <v>16163</v>
      </c>
      <c r="C16435" t="str">
        <f>IFERROR(__xludf.DUMMYFUNCTION("GOOGLETRANSLATE(B16435, ""fr"", ""en"")"),"Super comfortable Impeccable")</f>
        <v>Super comfortable Impeccable</v>
      </c>
    </row>
    <row r="16436">
      <c r="A16436" s="1">
        <v>5.0</v>
      </c>
      <c r="B16436" s="1" t="s">
        <v>16164</v>
      </c>
      <c r="C16436" t="str">
        <f>IFERROR(__xludf.DUMMYFUNCTION("GOOGLETRANSLATE(B16436, ""fr"", ""en"")"),"Great gift I offered this pair of earrings to a teenager of 12-13 years for Christmas, and she was more than happy. They are very pretty, and contained in a nice packaging.")</f>
        <v>Great gift I offered this pair of earrings to a teenager of 12-13 years for Christmas, and she was more than happy. They are very pretty, and contained in a nice packaging.</v>
      </c>
    </row>
    <row r="16437">
      <c r="A16437" s="1">
        <v>5.0</v>
      </c>
      <c r="B16437" s="1" t="s">
        <v>16165</v>
      </c>
      <c r="C16437" t="str">
        <f>IFERROR(__xludf.DUMMYFUNCTION("GOOGLETRANSLATE(B16437, ""fr"", ""en"")"),"BEAUTIFUL MAN CASIO Verily beautiful gift watch very happy. Reading shows matter of habit Fast delivery and beautiful presentation box for the watch price Value TBon")</f>
        <v>BEAUTIFUL MAN CASIO Verily beautiful gift watch very happy. Reading shows matter of habit Fast delivery and beautiful presentation box for the watch price Value TBon</v>
      </c>
    </row>
    <row r="16438">
      <c r="A16438" s="1">
        <v>5.0</v>
      </c>
      <c r="B16438" s="1" t="s">
        <v>8374</v>
      </c>
      <c r="C16438" t="str">
        <f>IFERROR(__xludf.DUMMYFUNCTION("GOOGLETRANSLATE(B16438, ""fr"", ""en"")"),"Very good Good")</f>
        <v>Very good Good</v>
      </c>
    </row>
    <row r="16439">
      <c r="A16439" s="1">
        <v>5.0</v>
      </c>
      <c r="B16439" s="1" t="s">
        <v>16166</v>
      </c>
      <c r="C16439" t="str">
        <f>IFERROR(__xludf.DUMMYFUNCTION("GOOGLETRANSLATE(B16439, ""fr"", ""en"")"),"classic Product No complaints. Scotch conventionnelle.Bon price quality. Regular waist. significant quantity to last for a while. I recommend it")</f>
        <v>classic Product No complaints. Scotch conventionnelle.Bon price quality. Regular waist. significant quantity to last for a while. I recommend it</v>
      </c>
    </row>
    <row r="16440">
      <c r="A16440" s="1">
        <v>5.0</v>
      </c>
      <c r="B16440" s="1" t="s">
        <v>16167</v>
      </c>
      <c r="C16440" t="str">
        <f>IFERROR(__xludf.DUMMYFUNCTION("GOOGLETRANSLATE(B16440, ""fr"", ""en"")"),"impeccable satchel bag Zicac nothing to say ++++++++")</f>
        <v>impeccable satchel bag Zicac nothing to say ++++++++</v>
      </c>
    </row>
    <row r="16441">
      <c r="A16441" s="1">
        <v>5.0</v>
      </c>
      <c r="B16441" s="1" t="s">
        <v>16168</v>
      </c>
      <c r="C16441" t="str">
        <f>IFERROR(__xludf.DUMMYFUNCTION("GOOGLETRANSLATE(B16441, ""fr"", ""en"")"),"Super good quality sound headphones is particularly good, really noise reduction, wearing ears are not uncomfortable, appearance is very good. And also sent a replacement ear plugs and small bags, very delicate.")</f>
        <v>Super good quality sound headphones is particularly good, really noise reduction, wearing ears are not uncomfortable, appearance is very good. And also sent a replacement ear plugs and small bags, very delicate.</v>
      </c>
    </row>
    <row r="16442">
      <c r="A16442" s="1">
        <v>5.0</v>
      </c>
      <c r="B16442" s="1" t="s">
        <v>16169</v>
      </c>
      <c r="C16442" t="str">
        <f>IFERROR(__xludf.DUMMYFUNCTION("GOOGLETRANSLATE(B16442, ""fr"", ""en"")"),"Immediately ordered immediately received! I used to use these ink cartridges for my printer. The price and delivery are very interesting with Amazon.")</f>
        <v>Immediately ordered immediately received! I used to use these ink cartridges for my printer. The price and delivery are very interesting with Amazon.</v>
      </c>
    </row>
    <row r="16443">
      <c r="A16443" s="1">
        <v>5.0</v>
      </c>
      <c r="B16443" s="1" t="s">
        <v>16170</v>
      </c>
      <c r="C16443" t="str">
        <f>IFERROR(__xludf.DUMMYFUNCTION("GOOGLETRANSLATE(B16443, ""fr"", ""en"")"),"Very well ordered for my beautiful daughter chilly I am very happy for her she was able to enjoy holidays at sea")</f>
        <v>Very well ordered for my beautiful daughter chilly I am very happy for her she was able to enjoy holidays at sea</v>
      </c>
    </row>
    <row r="16444">
      <c r="A16444" s="1">
        <v>5.0</v>
      </c>
      <c r="B16444" s="1" t="s">
        <v>16171</v>
      </c>
      <c r="C16444" t="str">
        <f>IFERROR(__xludf.DUMMYFUNCTION("GOOGLETRANSLATE(B16444, ""fr"", ""en"")"),"At the top Perfect! To buy eyes closed, very good quality. also can also elsewhere close your eyes when listening to music that is conveyed by these cables, so it is restored.")</f>
        <v>At the top Perfect! To buy eyes closed, very good quality. also can also elsewhere close your eyes when listening to music that is conveyed by these cables, so it is restored.</v>
      </c>
    </row>
    <row r="16445">
      <c r="A16445" s="1">
        <v>5.0</v>
      </c>
      <c r="B16445" s="1" t="s">
        <v>16172</v>
      </c>
      <c r="C16445" t="str">
        <f>IFERROR(__xludf.DUMMYFUNCTION("GOOGLETRANSLATE(B16445, ""fr"", ""en"")"),"Very effective for 3 years Used for 3 years. very interesting product. Efficient, durable for over two winters. We must know how to use: put down the bed, feet (no interest under the pillow). You need extension cords under the bed and multi-outlet for 2 c"&amp;"ables a bit short. It must be put under the sheet cover of course, but I put the same under a mattress pad and more, eliminating the risk of soiling and wash (I fear washing). This way I put it in 1/2 hour road before bed and I turn it off. It works very "&amp;"well, and it allows less feel the connector that is a little bulky, but I do not feel as it is found under the pillow")</f>
        <v>Very effective for 3 years Used for 3 years. very interesting product. Efficient, durable for over two winters. We must know how to use: put down the bed, feet (no interest under the pillow). You need extension cords under the bed and multi-outlet for 2 cables a bit short. It must be put under the sheet cover of course, but I put the same under a mattress pad and more, eliminating the risk of soiling and wash (I fear washing). This way I put it in 1/2 hour road before bed and I turn it off. It works very well, and it allows less feel the connector that is a little bulky, but I do not feel as it is found under the pillow</v>
      </c>
    </row>
    <row r="16446">
      <c r="A16446" s="1">
        <v>5.0</v>
      </c>
      <c r="B16446" s="1" t="s">
        <v>16173</v>
      </c>
      <c r="C16446" t="str">
        <f>IFERROR(__xludf.DUMMYFUNCTION("GOOGLETRANSLATE(B16446, ""fr"", ""en"")"),"great shopping for back to school my oldest daughter and I recommend these bags there, they are very good and do not damage !!!! celuis before him did all the college, we change it because it had purple and now wants something more discreet")</f>
        <v>great shopping for back to school my oldest daughter and I recommend these bags there, they are very good and do not damage !!!! celuis before him did all the college, we change it because it had purple and now wants something more discreet</v>
      </c>
    </row>
    <row r="16447">
      <c r="A16447" s="1">
        <v>5.0</v>
      </c>
      <c r="B16447" s="1" t="s">
        <v>16174</v>
      </c>
      <c r="C16447" t="str">
        <f>IFERROR(__xludf.DUMMYFUNCTION("GOOGLETRANSLATE(B16447, ""fr"", ""en"")"),"Perfect! Competitive price, laundry .... really top quality. Perfect for washing baby clothes for my daughter leaving no chemical smell and without causing concern for allergies!")</f>
        <v>Perfect! Competitive price, laundry .... really top quality. Perfect for washing baby clothes for my daughter leaving no chemical smell and without causing concern for allergies!</v>
      </c>
    </row>
    <row r="16448">
      <c r="A16448" s="1">
        <v>5.0</v>
      </c>
      <c r="B16448" s="1" t="s">
        <v>16175</v>
      </c>
      <c r="C16448" t="str">
        <f>IFERROR(__xludf.DUMMYFUNCTION("GOOGLETRANSLATE(B16448, ""fr"", ""en"")"),"original hot My measurements: 1,79 / 84 kg &amp; gt; Size L. It is a brand that I discovered recently. This pull is hot, moreover we felt that its weight is heavier than the other due to the mesh used. Perfect for winter! Give sportswear original side. If you"&amp;" enjoyed this commentary do know! ;)")</f>
        <v>original hot My measurements: 1,79 / 84 kg &amp; gt; Size L. It is a brand that I discovered recently. This pull is hot, moreover we felt that its weight is heavier than the other due to the mesh used. Perfect for winter! Give sportswear original side. If you enjoyed this commentary do know! ;)</v>
      </c>
    </row>
    <row r="16449">
      <c r="A16449" s="1">
        <v>5.0</v>
      </c>
      <c r="B16449" s="1" t="s">
        <v>16176</v>
      </c>
      <c r="C16449" t="str">
        <f>IFERROR(__xludf.DUMMYFUNCTION("GOOGLETRANSLATE(B16449, ""fr"", ""en"")"),"Delighted Super quality is at the appointment. very satisfied with the value. The pedentif is beautiful very fine chain.")</f>
        <v>Delighted Super quality is at the appointment. very satisfied with the value. The pedentif is beautiful very fine chain.</v>
      </c>
    </row>
    <row r="16450">
      <c r="A16450" s="1">
        <v>2.0</v>
      </c>
      <c r="B16450" s="1" t="s">
        <v>16177</v>
      </c>
      <c r="C16450" t="str">
        <f>IFERROR(__xludf.DUMMYFUNCTION("GOOGLETRANSLATE(B16450, ""fr"", ""en"")"),"simple but comfortable shoes to walk Well, at that price, not quality but soft shoes. See how long they will last ... few weeks use, the insoles can be removed, it is a pity!")</f>
        <v>simple but comfortable shoes to walk Well, at that price, not quality but soft shoes. See how long they will last ... few weeks use, the insoles can be removed, it is a pity!</v>
      </c>
    </row>
    <row r="16451">
      <c r="A16451" s="1">
        <v>1.0</v>
      </c>
      <c r="B16451" s="1" t="s">
        <v>16178</v>
      </c>
      <c r="C16451" t="str">
        <f>IFERROR(__xludf.DUMMYFUNCTION("GOOGLETRANSLATE(B16451, ""fr"", ""en"")"),"Copy Very poor for the love under after two washes of color already fading ... Nothing like an official product")</f>
        <v>Copy Very poor for the love under after two washes of color already fading ... Nothing like an official product</v>
      </c>
    </row>
    <row r="16452">
      <c r="A16452" s="1">
        <v>1.0</v>
      </c>
      <c r="B16452" s="1" t="s">
        <v>16179</v>
      </c>
      <c r="C16452" t="str">
        <f>IFERROR(__xludf.DUMMYFUNCTION("GOOGLETRANSLATE(B16452, ""fr"", ""en"")"),"No one's the second order received at a neighbor and not in my Amazon frankly it is not enough to monitor but I think these great no matter what.")</f>
        <v>No one's the second order received at a neighbor and not in my Amazon frankly it is not enough to monitor but I think these great no matter what.</v>
      </c>
    </row>
    <row r="16453">
      <c r="A16453" s="1">
        <v>3.0</v>
      </c>
      <c r="B16453" s="1" t="s">
        <v>16180</v>
      </c>
      <c r="C16453" t="str">
        <f>IFERROR(__xludf.DUMMYFUNCTION("GOOGLETRANSLATE(B16453, ""fr"", ""en"")"),"Are virtually inaudible Earphones with its less powerful, I do not even hear my music in the subway. Also they keep falling out of my ears. I much preferred the Xiaomi Airdots I unfortunately lost. In short, very disappointed with this purchase")</f>
        <v>Are virtually inaudible Earphones with its less powerful, I do not even hear my music in the subway. Also they keep falling out of my ears. I much preferred the Xiaomi Airdots I unfortunately lost. In short, very disappointed with this purchase</v>
      </c>
    </row>
    <row r="16454">
      <c r="A16454" s="1">
        <v>3.0</v>
      </c>
      <c r="B16454" s="1" t="s">
        <v>16181</v>
      </c>
      <c r="C16454" t="str">
        <f>IFERROR(__xludf.DUMMYFUNCTION("GOOGLETRANSLATE(B16454, ""fr"", ""en"")"),"Not bad but there are better product interesting with plenty of storage space, plenty of room but unfortunately one zip-open compartment so for the little that is not closed items inside can fall and get lost, the another problem is that you have both han"&amp;"ds available to open and close the bag, which may not always be practical.")</f>
        <v>Not bad but there are better product interesting with plenty of storage space, plenty of room but unfortunately one zip-open compartment so for the little that is not closed items inside can fall and get lost, the another problem is that you have both hands available to open and close the bag, which may not always be practical.</v>
      </c>
    </row>
    <row r="16455">
      <c r="A16455" s="1">
        <v>4.0</v>
      </c>
      <c r="B16455" s="1" t="s">
        <v>1687</v>
      </c>
      <c r="C16455" t="str">
        <f>IFERROR(__xludf.DUMMYFUNCTION("GOOGLETRANSLATE(B16455, ""fr"", ""en"")"),"Super Super")</f>
        <v>Super Super</v>
      </c>
    </row>
    <row r="16456">
      <c r="A16456" s="1">
        <v>4.0</v>
      </c>
      <c r="B16456" s="1" t="s">
        <v>16182</v>
      </c>
      <c r="C16456" t="str">
        <f>IFERROR(__xludf.DUMMYFUNCTION("GOOGLETRANSLATE(B16456, ""fr"", ""en"")"),"snap default. Lack some thickness and height. Looked good, but the snap jumped in less than a week: default setting. A little small for the use I wanted to do: do not expect to put a check book and a phone with a shell.")</f>
        <v>snap default. Lack some thickness and height. Looked good, but the snap jumped in less than a week: default setting. A little small for the use I wanted to do: do not expect to put a check book and a phone with a shell.</v>
      </c>
    </row>
    <row r="16457">
      <c r="A16457" s="1">
        <v>4.0</v>
      </c>
      <c r="B16457" s="1" t="s">
        <v>16183</v>
      </c>
      <c r="C16457" t="str">
        <f>IFERROR(__xludf.DUMMYFUNCTION("GOOGLETRANSLATE(B16457, ""fr"", ""en"")"),"Fast. The water heats quickly and is the see through and very convenient to know the water level or know when it begins to boil.")</f>
        <v>Fast. The water heats quickly and is the see through and very convenient to know the water level or know when it begins to boil.</v>
      </c>
    </row>
    <row r="16458">
      <c r="A16458" s="1">
        <v>4.0</v>
      </c>
      <c r="B16458" s="1" t="s">
        <v>16184</v>
      </c>
      <c r="C16458" t="str">
        <f>IFERROR(__xludf.DUMMYFUNCTION("GOOGLETRANSLATE(B16458, ""fr"", ""en"")"),"These little hands little hands in the machine give me great satisfaction. The machine appears very soft and almost dry machine")</f>
        <v>These little hands little hands in the machine give me great satisfaction. The machine appears very soft and almost dry machine</v>
      </c>
    </row>
    <row r="16459">
      <c r="A16459" s="1">
        <v>5.0</v>
      </c>
      <c r="B16459" s="1" t="s">
        <v>16185</v>
      </c>
      <c r="C16459" t="str">
        <f>IFERROR(__xludf.DUMMYFUNCTION("GOOGLETRANSLATE(B16459, ""fr"", ""en"")"),"Excellent standard light Relaxes stylish and comfortable to wear very affordable price Now to see in time")</f>
        <v>Excellent standard light Relaxes stylish and comfortable to wear very affordable price Now to see in time</v>
      </c>
    </row>
    <row r="16460">
      <c r="A16460" s="1">
        <v>5.0</v>
      </c>
      <c r="B16460" s="1" t="s">
        <v>16186</v>
      </c>
      <c r="C16460" t="str">
        <f>IFERROR(__xludf.DUMMYFUNCTION("GOOGLETRANSLATE(B16460, ""fr"", ""en"")"),"Indispensable This set has become indispensable to finish our evenings Saturday night singing. 2 microphones aluminum are quite heavy and are really professional. The radio transmission is good and I can not recommend this product.")</f>
        <v>Indispensable This set has become indispensable to finish our evenings Saturday night singing. 2 microphones aluminum are quite heavy and are really professional. The radio transmission is good and I can not recommend this product.</v>
      </c>
    </row>
    <row r="16461">
      <c r="A16461" s="1">
        <v>5.0</v>
      </c>
      <c r="B16461" s="1" t="s">
        <v>16187</v>
      </c>
      <c r="C16461" t="str">
        <f>IFERROR(__xludf.DUMMYFUNCTION("GOOGLETRANSLATE(B16461, ""fr"", ""en"")"),"Quality and lightweight Very lightweight and comfortable for walking. I took the larger as suggested in the comments.")</f>
        <v>Quality and lightweight Very lightweight and comfortable for walking. I took the larger as suggested in the comments.</v>
      </c>
    </row>
    <row r="16462">
      <c r="A16462" s="1">
        <v>5.0</v>
      </c>
      <c r="B16462" s="1" t="s">
        <v>16188</v>
      </c>
      <c r="C16462" t="str">
        <f>IFERROR(__xludf.DUMMYFUNCTION("GOOGLETRANSLATE(B16462, ""fr"", ""en"")"),"Perfect Prit in M ​​size for my husband who usually puts M nickel Cest The desired effect is present")</f>
        <v>Perfect Prit in M ​​size for my husband who usually puts M nickel Cest The desired effect is present</v>
      </c>
    </row>
    <row r="16463">
      <c r="A16463" s="1">
        <v>5.0</v>
      </c>
      <c r="B16463" s="1" t="s">
        <v>16189</v>
      </c>
      <c r="C16463" t="str">
        <f>IFERROR(__xludf.DUMMYFUNCTION("GOOGLETRANSLATE(B16463, ""fr"", ""en"")"),"Jean Levis 511 original and as expected Jeans is as expected, always faithful to the series of 511, the touch of spandex makes it comfortable to wear. This is an original Levis, maybe those who have received a fake commissioned by a third party vendor. Th"&amp;"is is the third 511 jeans that I buy here and I received the original. To check ""&amp; nbsp; &amp; nbsp sold and delivered,"" by Amazon before buying.")</f>
        <v>Jean Levis 511 original and as expected Jeans is as expected, always faithful to the series of 511, the touch of spandex makes it comfortable to wear. This is an original Levis, maybe those who have received a fake commissioned by a third party vendor. This is the third 511 jeans that I buy here and I received the original. To check "&amp; nbsp; &amp; nbsp sold and delivered," by Amazon before buying.</v>
      </c>
    </row>
    <row r="16464">
      <c r="A16464" s="1">
        <v>5.0</v>
      </c>
      <c r="B16464" s="1" t="s">
        <v>16190</v>
      </c>
      <c r="C16464" t="str">
        <f>IFERROR(__xludf.DUMMYFUNCTION("GOOGLETRANSLATE(B16464, ""fr"", ""en"")"),"Box at the top Value / price top. Having found the same cabinet without teething rings at a higher price. Anyway NUK brand products are great my son 1mois has little colic when using these bottles compare to other brands that anti colic system too. And he"&amp;" loves the pacifier adapted to the shape of his mouth with the flattened nipple. I highly recommend it.")</f>
        <v>Box at the top Value / price top. Having found the same cabinet without teething rings at a higher price. Anyway NUK brand products are great my son 1mois has little colic when using these bottles compare to other brands that anti colic system too. And he loves the pacifier adapted to the shape of his mouth with the flattened nipple. I highly recommend it.</v>
      </c>
    </row>
    <row r="16465">
      <c r="A16465" s="1">
        <v>5.0</v>
      </c>
      <c r="B16465" s="1" t="s">
        <v>16191</v>
      </c>
      <c r="C16465" t="str">
        <f>IFERROR(__xludf.DUMMYFUNCTION("GOOGLETRANSLATE(B16465, ""fr"", ""en"")"),"Comfort Very comfortable to do yoga")</f>
        <v>Comfort Very comfortable to do yoga</v>
      </c>
    </row>
    <row r="16466">
      <c r="A16466" s="1">
        <v>5.0</v>
      </c>
      <c r="B16466" s="1" t="s">
        <v>16192</v>
      </c>
      <c r="C16466" t="str">
        <f>IFERROR(__xludf.DUMMYFUNCTION("GOOGLETRANSLATE(B16466, ""fr"", ""en"")"),"thanks thanks!!!")</f>
        <v>thanks thanks!!!</v>
      </c>
    </row>
    <row r="16467">
      <c r="A16467" s="1">
        <v>5.0</v>
      </c>
      <c r="B16467" s="1" t="s">
        <v>16193</v>
      </c>
      <c r="C16467" t="str">
        <f>IFERROR(__xludf.DUMMYFUNCTION("GOOGLETRANSLATE(B16467, ""fr"", ""en"")"),"order and delivery perfect flush")</f>
        <v>order and delivery perfect flush</v>
      </c>
    </row>
    <row r="16468">
      <c r="A16468" s="1">
        <v>5.0</v>
      </c>
      <c r="B16468" s="1" t="s">
        <v>16194</v>
      </c>
      <c r="C16468" t="str">
        <f>IFERROR(__xludf.DUMMYFUNCTION("GOOGLETRANSLATE(B16468, ""fr"", ""en"")"),"A real blast! In 3 words: Let Yourself! A real surprise these headphones, from the time I was looking for headphones of this type but that are not in-ear, I'm not really over. They are set up as standard headphones really hold well in my ears and have a r"&amp;"eally powerful battery (several hours in front of you). The sound quality is the rendezvous and the design is really nice. It's a purchase I do not regret.")</f>
        <v>A real blast! In 3 words: Let Yourself! A real surprise these headphones, from the time I was looking for headphones of this type but that are not in-ear, I'm not really over. They are set up as standard headphones really hold well in my ears and have a really powerful battery (several hours in front of you). The sound quality is the rendezvous and the design is really nice. It's a purchase I do not regret.</v>
      </c>
    </row>
    <row r="16469">
      <c r="A16469" s="1">
        <v>5.0</v>
      </c>
      <c r="B16469" s="1" t="s">
        <v>16195</v>
      </c>
      <c r="C16469" t="str">
        <f>IFERROR(__xludf.DUMMYFUNCTION("GOOGLETRANSLATE(B16469, ""fr"", ""en"")"),"Well done, with modern design and cool I love this bracelet This is too cute! I bought it as a gift to my mother and she loves it. This is a good fit and goes well with everything! It's shiny and pretty. Exactly what a girl wants")</f>
        <v>Well done, with modern design and cool I love this bracelet This is too cute! I bought it as a gift to my mother and she loves it. This is a good fit and goes well with everything! It's shiny and pretty. Exactly what a girl wants</v>
      </c>
    </row>
    <row r="16470">
      <c r="A16470" s="1">
        <v>5.0</v>
      </c>
      <c r="B16470" s="1" t="s">
        <v>16196</v>
      </c>
      <c r="C16470" t="str">
        <f>IFERROR(__xludf.DUMMYFUNCTION("GOOGLETRANSLATE(B16470, ""fr"", ""en"")"),"Stretch Film PRO food great product")</f>
        <v>Stretch Film PRO food great product</v>
      </c>
    </row>
    <row r="16471">
      <c r="A16471" s="1">
        <v>5.0</v>
      </c>
      <c r="B16471" s="1" t="s">
        <v>1417</v>
      </c>
      <c r="C16471" t="str">
        <f>IFERROR(__xludf.DUMMYFUNCTION("GOOGLETRANSLATE(B16471, ""fr"", ""en"")"),"ras ras")</f>
        <v>ras ras</v>
      </c>
    </row>
    <row r="16472">
      <c r="A16472" s="1">
        <v>5.0</v>
      </c>
      <c r="B16472" s="1" t="s">
        <v>16197</v>
      </c>
      <c r="C16472" t="str">
        <f>IFERROR(__xludf.DUMMYFUNCTION("GOOGLETRANSLATE(B16472, ""fr"", ""en"")"),"Good value good profuit consistent with the description")</f>
        <v>Good value good profuit consistent with the description</v>
      </c>
    </row>
    <row r="16473">
      <c r="A16473" s="1">
        <v>5.0</v>
      </c>
      <c r="B16473" s="1" t="s">
        <v>16198</v>
      </c>
      <c r="C16473" t="str">
        <f>IFERROR(__xludf.DUMMYFUNCTION("GOOGLETRANSLATE(B16473, ""fr"", ""en"")"),"Excellent! The colors are beautiful! Pencils arrived in very good condition.")</f>
        <v>Excellent! The colors are beautiful! Pencils arrived in very good condition.</v>
      </c>
    </row>
    <row r="16474">
      <c r="A16474" s="1">
        <v>2.0</v>
      </c>
      <c r="B16474" s="1" t="s">
        <v>16199</v>
      </c>
      <c r="C16474" t="str">
        <f>IFERROR(__xludf.DUMMYFUNCTION("GOOGLETRANSLATE(B16474, ""fr"", ""en"")"),"Cheaper than some of its competitors but the quality / price is very bad after a few days of using the device, I can afford to post the notice. Here is a list: What is good: - It is light. - It blends well in the cycling equipment or when doing some other"&amp;" sport. - Stable Bluetooth apparatus. - Duration of reasonable battery (I have not yet exploited its full capacity). What less (really!): - It is not discreet when you shopped (people look at you askew). (But that is valid for all brands I think) - The qu"&amp;"ality of the sound it? It's like the headphones that provides you with a low-end smartphone. So it's not top. - I chose to be able to roll into town by bike safely, but not mean much when there is traffic. (So ​​little interest) - I return to the discreti"&amp;"on: do not expect to hear anything thinking that nobody hears you. And if is any ... - Besides, it is supposed to be a bone conduction headphones. I think that's the case but if you put it on the auditory classic ear canal, it's the same. The sound is eve"&amp;"n better. - In view of all the elements listed above, the price / quality ratio is not correct all (I got about 48 €). I think I would not have been so critical if the price of the object in question was not so unreasonable. I was skeptical when reading t"&amp;"he few negative reviews of my predecessors. Unfortunately my fears are confirmed. Do you base not only on the overall score of the object but also as reading the positive reviews than negative it is a good way to know if it fits you. Personally, I was nai"&amp;"ve and ignore the negative comments.")</f>
        <v>Cheaper than some of its competitors but the quality / price is very bad after a few days of using the device, I can afford to post the notice. Here is a list: What is good: - It is light. - It blends well in the cycling equipment or when doing some other sport. - Stable Bluetooth apparatus. - Duration of reasonable battery (I have not yet exploited its full capacity). What less (really!): - It is not discreet when you shopped (people look at you askew). (But that is valid for all brands I think) - The quality of the sound it? It's like the headphones that provides you with a low-end smartphone. So it's not top. - I chose to be able to roll into town by bike safely, but not mean much when there is traffic. (So ​​little interest) - I return to the discretion: do not expect to hear anything thinking that nobody hears you. And if is any ... - Besides, it is supposed to be a bone conduction headphones. I think that's the case but if you put it on the auditory classic ear canal, it's the same. The sound is even better. - In view of all the elements listed above, the price / quality ratio is not correct all (I got about 48 €). I think I would not have been so critical if the price of the object in question was not so unreasonable. I was skeptical when reading the few negative reviews of my predecessors. Unfortunately my fears are confirmed. Do you base not only on the overall score of the object but also as reading the positive reviews than negative it is a good way to know if it fits you. Personally, I was naive and ignore the negative comments.</v>
      </c>
    </row>
    <row r="16475">
      <c r="A16475" s="1">
        <v>1.0</v>
      </c>
      <c r="B16475" s="1" t="s">
        <v>3325</v>
      </c>
      <c r="C16475" t="str">
        <f>IFERROR(__xludf.DUMMYFUNCTION("GOOGLETRANSLATE(B16475, ""fr"", ""en"")"),"Candy")</f>
        <v>Candy</v>
      </c>
    </row>
    <row r="16476">
      <c r="A16476" s="1">
        <v>1.0</v>
      </c>
      <c r="B16476" s="1" t="s">
        <v>16200</v>
      </c>
      <c r="C16476" t="str">
        <f>IFERROR(__xludf.DUMMYFUNCTION("GOOGLETRANSLATE(B16476, ""fr"", ""en"")"),"The dialogne sucks too small despite good control connectors sizes hurt my foot. It is not all confortage too hard sole. Disappointed. I do not recommend all")</f>
        <v>The dialogne sucks too small despite good control connectors sizes hurt my foot. It is not all confortage too hard sole. Disappointed. I do not recommend all</v>
      </c>
    </row>
    <row r="16477">
      <c r="A16477" s="1">
        <v>3.0</v>
      </c>
      <c r="B16477" s="1" t="s">
        <v>16201</v>
      </c>
      <c r="C16477" t="str">
        <f>IFERROR(__xludf.DUMMYFUNCTION("GOOGLETRANSLATE(B16477, ""fr"", ""en"")"),"Cap has bone conduction: fair play provider Below is my previous comment that was very critical of the product. The seller refund the product and it .it my proposed apologized after repayment to give me another free helmet in compensation accepté.je .I ju"&amp;"st try the product appears to be better. in any case it works fine, maybe not as well as the main brand for this type of product but the value is acceptable for the price. There are less discreet conversation in a quiet environment (offices) but for sport"&amp;"ing use it works. Former Position: The people around to hear as much as yourself ... .in comparison with another model store trials do it more like a conventional helmet that makes noise. Very expensive for a helmet that is more like a mini speaker has a "&amp;"helmet Bone Conduction. Unusable office since all people can hear your conversation .. has this happen in 48 hours left in the 10 mm for reimbursement.")</f>
        <v>Cap has bone conduction: fair play provider Below is my previous comment that was very critical of the product. The seller refund the product and it .it my proposed apologized after repayment to give me another free helmet in compensation accepté.je .I just try the product appears to be better. in any case it works fine, maybe not as well as the main brand for this type of product but the value is acceptable for the price. There are less discreet conversation in a quiet environment (offices) but for sporting use it works. Former Position: The people around to hear as much as yourself ... .in comparison with another model store trials do it more like a conventional helmet that makes noise. Very expensive for a helmet that is more like a mini speaker has a helmet Bone Conduction. Unusable office since all people can hear your conversation .. has this happen in 48 hours left in the 10 mm for reimbursement.</v>
      </c>
    </row>
    <row r="16478">
      <c r="A16478" s="1">
        <v>3.0</v>
      </c>
      <c r="B16478" s="1" t="s">
        <v>16202</v>
      </c>
      <c r="C16478" t="str">
        <f>IFERROR(__xludf.DUMMYFUNCTION("GOOGLETRANSLATE(B16478, ""fr"", ""en"")"),"It's going well but Keeps attention to the depth of the cup and shakes a little after a while below the armpits")</f>
        <v>It's going well but Keeps attention to the depth of the cup and shakes a little after a while below the armpits</v>
      </c>
    </row>
    <row r="16479">
      <c r="A16479" s="1">
        <v>4.0</v>
      </c>
      <c r="B16479" s="1" t="s">
        <v>16203</v>
      </c>
      <c r="C16479" t="str">
        <f>IFERROR(__xludf.DUMMYFUNCTION("GOOGLETRANSLATE(B16479, ""fr"", ""en"")"),"Perfect fine but a bit too large .. Taking its normal size.")</f>
        <v>Perfect fine but a bit too large .. Taking its normal size.</v>
      </c>
    </row>
    <row r="16480">
      <c r="A16480" s="1">
        <v>4.0</v>
      </c>
      <c r="B16480" s="1" t="s">
        <v>16204</v>
      </c>
      <c r="C16480" t="str">
        <f>IFERROR(__xludf.DUMMYFUNCTION("GOOGLETRANSLATE(B16480, ""fr"", ""en"")"),"Near the womb Perfect for nursing moms who also want to participate dad, or for weaning. Baby takes good taste.")</f>
        <v>Near the womb Perfect for nursing moms who also want to participate dad, or for weaning. Baby takes good taste.</v>
      </c>
    </row>
    <row r="16481">
      <c r="A16481" s="1">
        <v>4.0</v>
      </c>
      <c r="B16481" s="1" t="s">
        <v>16205</v>
      </c>
      <c r="C16481" t="str">
        <f>IFERROR(__xludf.DUMMYFUNCTION("GOOGLETRANSLATE(B16481, ""fr"", ""en"")"),"Wireless is ideal Blue is less aggressive and as effective as white light. Takes up little space and will travel pouch handy")</f>
        <v>Wireless is ideal Blue is less aggressive and as effective as white light. Takes up little space and will travel pouch handy</v>
      </c>
    </row>
    <row r="16482">
      <c r="A16482" s="1">
        <v>4.0</v>
      </c>
      <c r="B16482" s="1" t="s">
        <v>16206</v>
      </c>
      <c r="C16482" t="str">
        <f>IFERROR(__xludf.DUMMYFUNCTION("GOOGLETRANSLATE(B16482, ""fr"", ""en"")"),"Good product Good product but received with magnets 48 and not 50, pain relief in the early days but after several weeks nothing happens")</f>
        <v>Good product Good product but received with magnets 48 and not 50, pain relief in the early days but after several weeks nothing happens</v>
      </c>
    </row>
    <row r="16483">
      <c r="A16483" s="1">
        <v>5.0</v>
      </c>
      <c r="B16483" s="1" t="s">
        <v>16207</v>
      </c>
      <c r="C16483" t="str">
        <f>IFERROR(__xludf.DUMMYFUNCTION("GOOGLETRANSLATE(B16483, ""fr"", ""en"")"),"Top! These shoes are my babies now! They are super comfortable and fits a lot of style. I like bcp. But attention to the eu size you will take if you are female. I find little off as it were tailored for man but it's nothing very visible.")</f>
        <v>Top! These shoes are my babies now! They are super comfortable and fits a lot of style. I like bcp. But attention to the eu size you will take if you are female. I find little off as it were tailored for man but it's nothing very visible.</v>
      </c>
    </row>
    <row r="16484">
      <c r="A16484" s="1">
        <v>5.0</v>
      </c>
      <c r="B16484" s="1" t="s">
        <v>16208</v>
      </c>
      <c r="C16484" t="str">
        <f>IFERROR(__xludf.DUMMYFUNCTION("GOOGLETRANSLATE(B16484, ""fr"", ""en"")"),"Heart Beautiful blue gem, beautiful color, finishes are perfect, the ideal for a gift of being to please ..")</f>
        <v>Heart Beautiful blue gem, beautiful color, finishes are perfect, the ideal for a gift of being to please ..</v>
      </c>
    </row>
    <row r="16485">
      <c r="A16485" s="1">
        <v>5.0</v>
      </c>
      <c r="B16485" s="1" t="s">
        <v>16209</v>
      </c>
      <c r="C16485" t="str">
        <f>IFERROR(__xludf.DUMMYFUNCTION("GOOGLETRANSLATE(B16485, ""fr"", ""en"")"),"The natural relief. Acupressure Mat advised by my doctor who follows me for chronic pain. Quick tip for first use: put an end t shirt because it feels great peaks. After 2 or 3 sessions, the next to the skin is well tolerated. Relieved from the first sess"&amp;"ions. Conquered by this purchase. Good value for money. Arrived on time. Pretty color, as in the photo. Small least: the length of the carpet")</f>
        <v>The natural relief. Acupressure Mat advised by my doctor who follows me for chronic pain. Quick tip for first use: put an end t shirt because it feels great peaks. After 2 or 3 sessions, the next to the skin is well tolerated. Relieved from the first sessions. Conquered by this purchase. Good value for money. Arrived on time. Pretty color, as in the photo. Small least: the length of the carpet</v>
      </c>
    </row>
    <row r="16486">
      <c r="A16486" s="1">
        <v>5.0</v>
      </c>
      <c r="B16486" s="1" t="s">
        <v>16210</v>
      </c>
      <c r="C16486" t="str">
        <f>IFERROR(__xludf.DUMMYFUNCTION("GOOGLETRANSLATE(B16486, ""fr"", ""en"")"),"safety vest nothing wrong according to the picture")</f>
        <v>safety vest nothing wrong according to the picture</v>
      </c>
    </row>
    <row r="16487">
      <c r="A16487" s="1">
        <v>5.0</v>
      </c>
      <c r="B16487" s="1" t="s">
        <v>16211</v>
      </c>
      <c r="C16487" t="str">
        <f>IFERROR(__xludf.DUMMYFUNCTION("GOOGLETRANSLATE(B16487, ""fr"", ""en"")"),"Excellent quality Sony headphones, it works in noise reduction mode and / or conventional helmet. When I use it in the car, it really reduces background noise (bearing, wind) and the impression was to ride in a Rolls !! Contrary to what some claim, it doe"&amp;"s not prevent all hearing the horns, it's just the comfortable silence of a car with very high standard. the only drawback that prevents me from using it more often is its size, not practical to store and lug it around on itself, even if it comes with its"&amp;" rigid beautifully crafted wallet.")</f>
        <v>Excellent quality Sony headphones, it works in noise reduction mode and / or conventional helmet. When I use it in the car, it really reduces background noise (bearing, wind) and the impression was to ride in a Rolls !! Contrary to what some claim, it does not prevent all hearing the horns, it's just the comfortable silence of a car with very high standard. the only drawback that prevents me from using it more often is its size, not practical to store and lug it around on itself, even if it comes with its rigid beautifully crafted wallet.</v>
      </c>
    </row>
    <row r="16488">
      <c r="A16488" s="1">
        <v>5.0</v>
      </c>
      <c r="B16488" s="1" t="s">
        <v>16212</v>
      </c>
      <c r="C16488" t="str">
        <f>IFERROR(__xludf.DUMMYFUNCTION("GOOGLETRANSLATE(B16488, ""fr"", ""en"")"),"Simple and good quality I have bought these headphones to accompany me during my jogging I like the ease of use! pairing is done automatically and the conection to the smart phone can change tracks, pause, or answer a call by simply touched on one of the "&amp;"earphones. the ergonomics are quite good Simply place the headphones in their case for charging")</f>
        <v>Simple and good quality I have bought these headphones to accompany me during my jogging I like the ease of use! pairing is done automatically and the conection to the smart phone can change tracks, pause, or answer a call by simply touched on one of the earphones. the ergonomics are quite good Simply place the headphones in their case for charging</v>
      </c>
    </row>
    <row r="16489">
      <c r="A16489" s="1">
        <v>5.0</v>
      </c>
      <c r="B16489" s="1" t="s">
        <v>16213</v>
      </c>
      <c r="C16489" t="str">
        <f>IFERROR(__xludf.DUMMYFUNCTION("GOOGLETRANSLATE(B16489, ""fr"", ""en"")"),"very beautiful necklace has identical photo")</f>
        <v>very beautiful necklace has identical photo</v>
      </c>
    </row>
    <row r="16490">
      <c r="A16490" s="1">
        <v>5.0</v>
      </c>
      <c r="B16490" s="1" t="s">
        <v>16214</v>
      </c>
      <c r="C16490" t="str">
        <f>IFERROR(__xludf.DUMMYFUNCTION("GOOGLETRANSLATE(B16490, ""fr"", ""en"")"),"Product for blue suede shoes perfect! My nubuck dress shoes, blue, are like new! The application is done through a small sponge, it instantly re-colors the shoe, very effective product!")</f>
        <v>Product for blue suede shoes perfect! My nubuck dress shoes, blue, are like new! The application is done through a small sponge, it instantly re-colors the shoe, very effective product!</v>
      </c>
    </row>
    <row r="16491">
      <c r="A16491" s="1">
        <v>5.0</v>
      </c>
      <c r="B16491" s="1" t="s">
        <v>16215</v>
      </c>
      <c r="C16491" t="str">
        <f>IFERROR(__xludf.DUMMYFUNCTION("GOOGLETRANSLATE(B16491, ""fr"", ""en"")"),"Super Nikel, my wife frilleuse to adopt immediately. No doubt not on the order. You will see that winter is perfect")</f>
        <v>Super Nikel, my wife frilleuse to adopt immediately. No doubt not on the order. You will see that winter is perfect</v>
      </c>
    </row>
    <row r="16492">
      <c r="A16492" s="1">
        <v>5.0</v>
      </c>
      <c r="B16492" s="1" t="s">
        <v>16216</v>
      </c>
      <c r="C16492" t="str">
        <f>IFERROR(__xludf.DUMMYFUNCTION("GOOGLETRANSLATE(B16492, ""fr"", ""en"")"),"Super Very nice good finish")</f>
        <v>Super Very nice good finish</v>
      </c>
    </row>
    <row r="16493">
      <c r="A16493" s="1">
        <v>5.0</v>
      </c>
      <c r="B16493" s="1" t="s">
        <v>16217</v>
      </c>
      <c r="C16493" t="str">
        <f>IFERROR(__xludf.DUMMYFUNCTION("GOOGLETRANSLATE(B16493, ""fr"", ""en"")"),"Quite nice concept but the back pages is not usable")</f>
        <v>Quite nice concept but the back pages is not usable</v>
      </c>
    </row>
    <row r="16494">
      <c r="A16494" s="1">
        <v>5.0</v>
      </c>
      <c r="B16494" s="1" t="s">
        <v>16218</v>
      </c>
      <c r="C16494" t="str">
        <f>IFERROR(__xludf.DUMMYFUNCTION("GOOGLETRANSLATE(B16494, ""fr"", ""en"")"),"Good headphones We can blame the lack of volume limiter, for the rest, the keg is comfortable is not too fragile. Great for DVD drive")</f>
        <v>Good headphones We can blame the lack of volume limiter, for the rest, the keg is comfortable is not too fragile. Great for DVD drive</v>
      </c>
    </row>
    <row r="16495">
      <c r="A16495" s="1">
        <v>5.0</v>
      </c>
      <c r="B16495" s="1" t="s">
        <v>16219</v>
      </c>
      <c r="C16495" t="str">
        <f>IFERROR(__xludf.DUMMYFUNCTION("GOOGLETRANSLATE(B16495, ""fr"", ""en"")"),"At the top Everything you expect from a brush, no complaints. Both sizes are efficient and clean very well.")</f>
        <v>At the top Everything you expect from a brush, no complaints. Both sizes are efficient and clean very well.</v>
      </c>
    </row>
    <row r="16496">
      <c r="A16496" s="1">
        <v>5.0</v>
      </c>
      <c r="B16496" s="1" t="s">
        <v>16220</v>
      </c>
      <c r="C16496" t="str">
        <f>IFERROR(__xludf.DUMMYFUNCTION("GOOGLETRANSLATE(B16496, ""fr"", ""en"")"),"Perfect Foam pump is to save on the amount of product used. Dissolves all milk residue in a snap.")</f>
        <v>Perfect Foam pump is to save on the amount of product used. Dissolves all milk residue in a snap.</v>
      </c>
    </row>
    <row r="16497">
      <c r="A16497" s="1">
        <v>5.0</v>
      </c>
      <c r="B16497" s="1" t="s">
        <v>16221</v>
      </c>
      <c r="C16497" t="str">
        <f>IFERROR(__xludf.DUMMYFUNCTION("GOOGLETRANSLATE(B16497, ""fr"", ""en"")"),"Consistent with the description consistent with the description, delivered in good condition, normal tabs nothing particular to say, solid as expected, adapts well to workbooks")</f>
        <v>Consistent with the description consistent with the description, delivered in good condition, normal tabs nothing particular to say, solid as expected, adapts well to workbooks</v>
      </c>
    </row>
    <row r="16498">
      <c r="A16498" s="1">
        <v>2.0</v>
      </c>
      <c r="B16498" s="1" t="s">
        <v>16222</v>
      </c>
      <c r="C16498" t="str">
        <f>IFERROR(__xludf.DUMMYFUNCTION("GOOGLETRANSLATE(B16498, ""fr"", ""en"")"),"Good but sounds way simpas but often falls to the ear and its average")</f>
        <v>Good but sounds way simpas but often falls to the ear and its average</v>
      </c>
    </row>
    <row r="16499">
      <c r="A16499" s="1">
        <v>1.0</v>
      </c>
      <c r="B16499" s="1" t="s">
        <v>16223</v>
      </c>
      <c r="C16499" t="str">
        <f>IFERROR(__xludf.DUMMYFUNCTION("GOOGLETRANSLATE(B16499, ""fr"", ""en"")"),"Product to flee! Shoes very poor! I have bought for their nice look and telling me that Levis is a good brand. But after only two months of use in town, the shoes are good to throw in the trash: rubber soles on the edge peeling everywhere, the strips of f"&amp;"abric on the sides are completely frayed, the material on the above ""leather look"" pulls revealing the canvas. Anyway, I'm sure even in hard discounter found better. For information, I am more careful and I bought also a pair of trail shoes that I run a"&amp;" lot and still like new. My advice: unless you like mediocre products, do not buy these shoes.")</f>
        <v>Product to flee! Shoes very poor! I have bought for their nice look and telling me that Levis is a good brand. But after only two months of use in town, the shoes are good to throw in the trash: rubber soles on the edge peeling everywhere, the strips of fabric on the sides are completely frayed, the material on the above "leather look" pulls revealing the canvas. Anyway, I'm sure even in hard discounter found better. For information, I am more careful and I bought also a pair of trail shoes that I run a lot and still like new. My advice: unless you like mediocre products, do not buy these shoes.</v>
      </c>
    </row>
    <row r="16500">
      <c r="A16500" s="1">
        <v>1.0</v>
      </c>
      <c r="B16500" s="1" t="s">
        <v>16224</v>
      </c>
      <c r="C16500" t="str">
        <f>IFERROR(__xludf.DUMMYFUNCTION("GOOGLETRANSLATE(B16500, ""fr"", ""en"")"),"Casse quickly after just 3 weeks of using the sprinkler broke! We use it every day to clean the bottles of our daughter, and it was quickly unusable! The brush is detached from the stem ... shame because it was pretty good before breaking .... The price i"&amp;"s fine but if it is for the disposable it does not worth it. Better to try a more expensive product for purchase that will last longer!")</f>
        <v>Casse quickly after just 3 weeks of using the sprinkler broke! We use it every day to clean the bottles of our daughter, and it was quickly unusable! The brush is detached from the stem ... shame because it was pretty good before breaking .... The price is fine but if it is for the disposable it does not worth it. Better to try a more expensive product for purchase that will last longer!</v>
      </c>
    </row>
    <row r="16501">
      <c r="A16501" s="1">
        <v>3.0</v>
      </c>
      <c r="B16501" s="1" t="s">
        <v>16225</v>
      </c>
      <c r="C16501" t="str">
        <f>IFERROR(__xludf.DUMMYFUNCTION("GOOGLETRANSLATE(B16501, ""fr"", ""en"")"),"hooded sweatshirt the good is padded inside without being too thick. it perfectly fits the picture regarding color. For size, take your usual size is perfect! Very good value for money. I highly recommend.")</f>
        <v>hooded sweatshirt the good is padded inside without being too thick. it perfectly fits the picture regarding color. For size, take your usual size is perfect! Very good value for money. I highly recommend.</v>
      </c>
    </row>
    <row r="16502">
      <c r="A16502" s="1">
        <v>4.0</v>
      </c>
      <c r="B16502" s="1" t="s">
        <v>16226</v>
      </c>
      <c r="C16502" t="str">
        <f>IFERROR(__xludf.DUMMYFUNCTION("GOOGLETRANSLATE(B16502, ""fr"", ""en"")"),"This small-Ingé His foot is Cheap, lightweight, compact and ideal for the use for which it is intended, inside and out.")</f>
        <v>This small-Ingé His foot is Cheap, lightweight, compact and ideal for the use for which it is intended, inside and out.</v>
      </c>
    </row>
    <row r="16503">
      <c r="A16503" s="1">
        <v>4.0</v>
      </c>
      <c r="B16503" s="1" t="s">
        <v>16227</v>
      </c>
      <c r="C16503" t="str">
        <f>IFERROR(__xludf.DUMMYFUNCTION("GOOGLETRANSLATE(B16503, ""fr"", ""en"")"),"Good product! Good product. High enough for a 3 year old can sit himself Sir toilet and then wash their hands in a sink without her mom help him!")</f>
        <v>Good product! Good product. High enough for a 3 year old can sit himself Sir toilet and then wash their hands in a sink without her mom help him!</v>
      </c>
    </row>
    <row r="16504">
      <c r="A16504" s="1">
        <v>4.0</v>
      </c>
      <c r="B16504" s="1" t="s">
        <v>4020</v>
      </c>
      <c r="C16504" t="str">
        <f>IFERROR(__xludf.DUMMYFUNCTION("GOOGLETRANSLATE(B16504, ""fr"", ""en"")"),"ok ok")</f>
        <v>ok ok</v>
      </c>
    </row>
    <row r="16505">
      <c r="A16505" s="1">
        <v>4.0</v>
      </c>
      <c r="B16505" s="1" t="s">
        <v>16228</v>
      </c>
      <c r="C16505" t="str">
        <f>IFERROR(__xludf.DUMMYFUNCTION("GOOGLETRANSLATE(B16505, ""fr"", ""en"")"),"Conforms I bought this headset for my 4 year old daughter. The helmet fits him just with setting the size to a minimum. Length correct cable. his correct")</f>
        <v>Conforms I bought this headset for my 4 year old daughter. The helmet fits him just with setting the size to a minimum. Length correct cable. his correct</v>
      </c>
    </row>
    <row r="16506">
      <c r="A16506" s="1">
        <v>5.0</v>
      </c>
      <c r="B16506" s="1" t="s">
        <v>16229</v>
      </c>
      <c r="C16506" t="str">
        <f>IFERROR(__xludf.DUMMYFUNCTION("GOOGLETRANSLATE(B16506, ""fr"", ""en"")"),"TOP good pants with a style TOP good pants with a clean style, I quickly got used to hike and travel. These pants are TOP, it is very light, it is super comfortable. It has several pockets for different objects. The size is perfect, as I ordered my usual "&amp;"size, the cut is perfect. The quality of fabric is very good. I recommend +++")</f>
        <v>TOP good pants with a style TOP good pants with a clean style, I quickly got used to hike and travel. These pants are TOP, it is very light, it is super comfortable. It has several pockets for different objects. The size is perfect, as I ordered my usual size, the cut is perfect. The quality of fabric is very good. I recommend +++</v>
      </c>
    </row>
    <row r="16507">
      <c r="A16507" s="1">
        <v>5.0</v>
      </c>
      <c r="B16507" s="1" t="s">
        <v>16230</v>
      </c>
      <c r="C16507" t="str">
        <f>IFERROR(__xludf.DUMMYFUNCTION("GOOGLETRANSLATE(B16507, ""fr"", ""en"")"),"Larsen. . Very good material. Be careful not to increase the input power too high, risk of feedback")</f>
        <v>Larsen. . Very good material. Be careful not to increase the input power too high, risk of feedback</v>
      </c>
    </row>
    <row r="16508">
      <c r="A16508" s="1">
        <v>5.0</v>
      </c>
      <c r="B16508" s="1" t="s">
        <v>16231</v>
      </c>
      <c r="C16508" t="str">
        <f>IFERROR(__xludf.DUMMYFUNCTION("GOOGLETRANSLATE(B16508, ""fr"", ""en"")"),"Good quality A large bouillard good quality, water heater fast, easy to clean.")</f>
        <v>Good quality A large bouillard good quality, water heater fast, easy to clean.</v>
      </c>
    </row>
    <row r="16509">
      <c r="A16509" s="1">
        <v>5.0</v>
      </c>
      <c r="B16509" s="1" t="s">
        <v>16232</v>
      </c>
      <c r="C16509" t="str">
        <f>IFERROR(__xludf.DUMMYFUNCTION("GOOGLETRANSLATE(B16509, ""fr"", ""en"")"),"Nickel compliant, in line with my expectations")</f>
        <v>Nickel compliant, in line with my expectations</v>
      </c>
    </row>
    <row r="16510">
      <c r="A16510" s="1">
        <v>5.0</v>
      </c>
      <c r="B16510" s="1" t="s">
        <v>16233</v>
      </c>
      <c r="C16510" t="str">
        <f>IFERROR(__xludf.DUMMYFUNCTION("GOOGLETRANSLATE(B16510, ""fr"", ""en"")"),"Excellent product This product is effective at a price quite affordable. Quality brand products is well demonstrated. I really love this product. It is excellent and I highly recommend to all with a really quality appointments. In addition, home delivery "&amp;"of generous size is a real bonus especially at this price there are much more interesting than those of trade.")</f>
        <v>Excellent product This product is effective at a price quite affordable. Quality brand products is well demonstrated. I really love this product. It is excellent and I highly recommend to all with a really quality appointments. In addition, home delivery of generous size is a real bonus especially at this price there are much more interesting than those of trade.</v>
      </c>
    </row>
    <row r="16511">
      <c r="A16511" s="1">
        <v>5.0</v>
      </c>
      <c r="B16511" s="1" t="s">
        <v>16234</v>
      </c>
      <c r="C16511" t="str">
        <f>IFERROR(__xludf.DUMMYFUNCTION("GOOGLETRANSLATE(B16511, ""fr"", ""en"")"),"Product line with expectations The real stan smith has a much cheaper price than the stores. I note 5/5")</f>
        <v>Product line with expectations The real stan smith has a much cheaper price than the stores. I note 5/5</v>
      </c>
    </row>
    <row r="16512">
      <c r="A16512" s="1">
        <v>5.0</v>
      </c>
      <c r="B16512" s="1" t="s">
        <v>16235</v>
      </c>
      <c r="C16512" t="str">
        <f>IFERROR(__xludf.DUMMYFUNCTION("GOOGLETRANSLATE(B16512, ""fr"", ""en"")"),"Kettle This kettle quality fully meets my needs, nice, fast, one feels the quality and temperature setting is a plus!")</f>
        <v>Kettle This kettle quality fully meets my needs, nice, fast, one feels the quality and temperature setting is a plus!</v>
      </c>
    </row>
    <row r="16513">
      <c r="A16513" s="1">
        <v>5.0</v>
      </c>
      <c r="B16513" s="1" t="s">
        <v>16236</v>
      </c>
      <c r="C16513" t="str">
        <f>IFERROR(__xludf.DUMMYFUNCTION("GOOGLETRANSLATE(B16513, ""fr"", ""en"")"),"Good quality Comfortable Good size")</f>
        <v>Good quality Comfortable Good size</v>
      </c>
    </row>
    <row r="16514">
      <c r="A16514" s="1">
        <v>5.0</v>
      </c>
      <c r="B16514" s="1" t="s">
        <v>16237</v>
      </c>
      <c r="C16514" t="str">
        <f>IFERROR(__xludf.DUMMYFUNCTION("GOOGLETRANSLATE(B16514, ""fr"", ""en"")"),"I highly recommend Very good airdots of xiaomi brand, supplied with a USB cable and black box very elegant. I recommend for its value for money")</f>
        <v>I highly recommend Very good airdots of xiaomi brand, supplied with a USB cable and black box very elegant. I recommend for its value for money</v>
      </c>
    </row>
    <row r="16515">
      <c r="A16515" s="1">
        <v>5.0</v>
      </c>
      <c r="B16515" s="1" t="s">
        <v>16238</v>
      </c>
      <c r="C16515" t="str">
        <f>IFERROR(__xludf.DUMMYFUNCTION("GOOGLETRANSLATE(B16515, ""fr"", ""en"")"),"complies powerful massage, can not lie completely on it, it would be too bad back: sitting, you have to find the right position, but once found, it's great! I use it also extended to the underside of the thighs or the trapezes (less practical). Basically,"&amp;" very well once we found the right positions depending on its sensitivity to the strength of the massage")</f>
        <v>complies powerful massage, can not lie completely on it, it would be too bad back: sitting, you have to find the right position, but once found, it's great! I use it also extended to the underside of the thighs or the trapezes (less practical). Basically, very well once we found the right positions depending on its sensitivity to the strength of the massage</v>
      </c>
    </row>
    <row r="16516">
      <c r="A16516" s="1">
        <v>5.0</v>
      </c>
      <c r="B16516" s="1" t="s">
        <v>16239</v>
      </c>
      <c r="C16516" t="str">
        <f>IFERROR(__xludf.DUMMYFUNCTION("GOOGLETRANSLATE(B16516, ""fr"", ""en"")"),"Good quality 3-speed, very convenient")</f>
        <v>Good quality 3-speed, very convenient</v>
      </c>
    </row>
    <row r="16517">
      <c r="A16517" s="1">
        <v>5.0</v>
      </c>
      <c r="B16517" s="1" t="s">
        <v>16240</v>
      </c>
      <c r="C16517" t="str">
        <f>IFERROR(__xludf.DUMMYFUNCTION("GOOGLETRANSLATE(B16517, ""fr"", ""en"")"),"seller recommend bracelets are of very good quality and very beautiful")</f>
        <v>seller recommend bracelets are of very good quality and very beautiful</v>
      </c>
    </row>
    <row r="16518">
      <c r="A16518" s="1">
        <v>5.0</v>
      </c>
      <c r="B16518" s="1" t="s">
        <v>16241</v>
      </c>
      <c r="C16518" t="str">
        <f>IFERROR(__xludf.DUMMYFUNCTION("GOOGLETRANSLATE(B16518, ""fr"", ""en"")"),"Just perfect ... Frankly it is a stunning bag ... It there's plenty of room, I put my iPad without forcing a little extra keyboard, charger, headset, phone wallet, notebook plug note, a book or two ... It's perfect! Considering the price, it's a bargain ."&amp;"..")</f>
        <v>Just perfect ... Frankly it is a stunning bag ... It there's plenty of room, I put my iPad without forcing a little extra keyboard, charger, headset, phone wallet, notebook plug note, a book or two ... It's perfect! Considering the price, it's a bargain ...</v>
      </c>
    </row>
    <row r="16519">
      <c r="A16519" s="1">
        <v>5.0</v>
      </c>
      <c r="B16519" s="1" t="s">
        <v>16242</v>
      </c>
      <c r="C16519" t="str">
        <f>IFERROR(__xludf.DUMMYFUNCTION("GOOGLETRANSLATE(B16519, ""fr"", ""en"")"),"Top Ravis")</f>
        <v>Top Ravis</v>
      </c>
    </row>
    <row r="16520">
      <c r="A16520" s="1">
        <v>5.0</v>
      </c>
      <c r="B16520" s="1" t="s">
        <v>16243</v>
      </c>
      <c r="C16520" t="str">
        <f>IFERROR(__xludf.DUMMYFUNCTION("GOOGLETRANSLATE(B16520, ""fr"", ""en"")"),"Back at HP before this command I decide to try generic cartridges for my HP 6950. Despite a reduced price largest difference was the quality of color copies (specifically the pictures). Nothing to do with HP cartridges. I go home with these HP cartridges "&amp;"and a pack which is excellent. The cartridges are excellent, they give beautiful colors and print photos are excellent. For me, the HP cartridges are better and worth the price (still trying to find specials) ... I recommend these HP original cartridges b"&amp;"ecause the quality worth their prix.Merci!")</f>
        <v>Back at HP before this command I decide to try generic cartridges for my HP 6950. Despite a reduced price largest difference was the quality of color copies (specifically the pictures). Nothing to do with HP cartridges. I go home with these HP cartridges and a pack which is excellent. The cartridges are excellent, they give beautiful colors and print photos are excellent. For me, the HP cartridges are better and worth the price (still trying to find specials) ... I recommend these HP original cartridges because the quality worth their prix.Merci!</v>
      </c>
    </row>
    <row r="16521">
      <c r="A16521" s="1">
        <v>2.0</v>
      </c>
      <c r="B16521" s="1" t="s">
        <v>16244</v>
      </c>
      <c r="C16521" t="str">
        <f>IFERROR(__xludf.DUMMYFUNCTION("GOOGLETRANSLATE(B16521, ""fr"", ""en"")"),"Bad to review so-so headphones are not huge and fins§ Super low where are they ?? the product is expensive 30th and I'm not satisfied. But we will do with eh! I recommend this product are better cheaper.")</f>
        <v>Bad to review so-so headphones are not huge and fins§ Super low where are they ?? the product is expensive 30th and I'm not satisfied. But we will do with eh! I recommend this product are better cheaper.</v>
      </c>
    </row>
    <row r="16522">
      <c r="A16522" s="1">
        <v>1.0</v>
      </c>
      <c r="B16522" s="1" t="s">
        <v>16245</v>
      </c>
      <c r="C16522" t="str">
        <f>IFERROR(__xludf.DUMMYFUNCTION("GOOGLETRANSLATE(B16522, ""fr"", ""en"")"),"MAKING FOREIGN The socket can not be used without an adapter in France ... (foreign socket) therefore need to obtain more an adapter ...")</f>
        <v>MAKING FOREIGN The socket can not be used without an adapter in France ... (foreign socket) therefore need to obtain more an adapter ...</v>
      </c>
    </row>
    <row r="16523">
      <c r="A16523" s="1">
        <v>3.0</v>
      </c>
      <c r="B16523" s="1" t="s">
        <v>16246</v>
      </c>
      <c r="C16523" t="str">
        <f>IFERROR(__xludf.DUMMYFUNCTION("GOOGLETRANSLATE(B16523, ""fr"", ""en"")"),"Too big sweater is very good but the size is just too big. The L is actually the XL, very disappointed. I'll have to go back ...")</f>
        <v>Too big sweater is very good but the size is just too big. The L is actually the XL, very disappointed. I'll have to go back ...</v>
      </c>
    </row>
    <row r="16524">
      <c r="A16524" s="1">
        <v>3.0</v>
      </c>
      <c r="B16524" s="1" t="s">
        <v>16247</v>
      </c>
      <c r="C16524" t="str">
        <f>IFERROR(__xludf.DUMMYFUNCTION("GOOGLETRANSLATE(B16524, ""fr"", ""en"")"),"A good product! awesome product! Works perfectly ... A sound quality even if it needs further refinement. Small problem! When unpacking, it lacks both wind breezes! This is not serious! Especially they are essential with such small microphone. In another "&amp;"comment, c sc2 was a cord that n was not in the box! A week before my departure! .not Cool .. I contacted the seller! Walt and see! Pity!")</f>
        <v>A good product! awesome product! Works perfectly ... A sound quality even if it needs further refinement. Small problem! When unpacking, it lacks both wind breezes! This is not serious! Especially they are essential with such small microphone. In another comment, c sc2 was a cord that n was not in the box! A week before my departure! .not Cool .. I contacted the seller! Walt and see! Pity!</v>
      </c>
    </row>
    <row r="16525">
      <c r="A16525" s="1">
        <v>4.0</v>
      </c>
      <c r="B16525" s="1" t="s">
        <v>16248</v>
      </c>
      <c r="C16525" t="str">
        <f>IFERROR(__xludf.DUMMYFUNCTION("GOOGLETRANSLATE(B16525, ""fr"", ""en"")"),"Good but ... helmet headset of excellent quality both in building at the level sound, LED look great, but I think most adapted on PC and PS4 even if it works well it monopolizes a USB port just to s illuminate (necessary?) Cable's minijack independent (ra"&amp;"ther long) nickel to connect the sound of the lever; I noted one downside however my sense compared to other headsets in my possession as Seineheiser, Beats or V-Moda headphones .. This large though fairly lightweight headphones are great but one that wil"&amp;"l flatten incorrectly on the ears, let me explain: the foam top headphones and good contact with the head but the foam bottom headphones (rather neck side) is ajar (= dawn like a door ajar) is to say that the effect ""suction cup over the ear"" is not don"&amp;"e it is rather wobbly ... this is also why it has not hurt the ears even after hours of gaming as it is a lack of real supporting and clamping, even by tightening the hoop thoroughly, always compared to my other helmets mentioned above. This remains a cor"&amp;"rect helmet anyway, but I think we just beat side maintains .. Nothing else to add. Hoping you have informed.")</f>
        <v>Good but ... helmet headset of excellent quality both in building at the level sound, LED look great, but I think most adapted on PC and PS4 even if it works well it monopolizes a USB port just to s illuminate (necessary?) Cable's minijack independent (rather long) nickel to connect the sound of the lever; I noted one downside however my sense compared to other headsets in my possession as Seineheiser, Beats or V-Moda headphones .. This large though fairly lightweight headphones are great but one that will flatten incorrectly on the ears, let me explain: the foam top headphones and good contact with the head but the foam bottom headphones (rather neck side) is ajar (= dawn like a door ajar) is to say that the effect "suction cup over the ear" is not done it is rather wobbly ... this is also why it has not hurt the ears even after hours of gaming as it is a lack of real supporting and clamping, even by tightening the hoop thoroughly, always compared to my other helmets mentioned above. This remains a correct helmet anyway, but I think we just beat side maintains .. Nothing else to add. Hoping you have informed.</v>
      </c>
    </row>
    <row r="16526">
      <c r="A16526" s="1">
        <v>4.0</v>
      </c>
      <c r="B16526" s="1" t="s">
        <v>16249</v>
      </c>
      <c r="C16526" t="str">
        <f>IFERROR(__xludf.DUMMYFUNCTION("GOOGLETRANSLATE(B16526, ""fr"", ""en"")"),"Good This lot of rubbish bags is quite durable, they are big enough, you can put a lot of things as long as it is not too heavy, I'm pretty happy.")</f>
        <v>Good This lot of rubbish bags is quite durable, they are big enough, you can put a lot of things as long as it is not too heavy, I'm pretty happy.</v>
      </c>
    </row>
    <row r="16527">
      <c r="A16527" s="1">
        <v>4.0</v>
      </c>
      <c r="B16527" s="1" t="s">
        <v>16250</v>
      </c>
      <c r="C16527" t="str">
        <f>IFERROR(__xludf.DUMMYFUNCTION("GOOGLETRANSLATE(B16527, ""fr"", ""en"")"),"Practical and waterproof. Coat pleasant rain raincoat. Point negative: not enough pockets.")</f>
        <v>Practical and waterproof. Coat pleasant rain raincoat. Point negative: not enough pockets.</v>
      </c>
    </row>
    <row r="16528">
      <c r="A16528" s="1">
        <v>4.0</v>
      </c>
      <c r="B16528" s="1" t="s">
        <v>16251</v>
      </c>
      <c r="C16528" t="str">
        <f>IFERROR(__xludf.DUMMYFUNCTION("GOOGLETRANSLATE(B16528, ""fr"", ""en"")"),"Very good watch good shows but quite fragile strap")</f>
        <v>Very good watch good shows but quite fragile strap</v>
      </c>
    </row>
    <row r="16529">
      <c r="A16529" s="1">
        <v>5.0</v>
      </c>
      <c r="B16529" s="1" t="s">
        <v>16252</v>
      </c>
      <c r="C16529" t="str">
        <f>IFERROR(__xludf.DUMMYFUNCTION("GOOGLETRANSLATE(B16529, ""fr"", ""en"")"),"product authentic product according to the camera")</f>
        <v>product authentic product according to the camera</v>
      </c>
    </row>
    <row r="16530">
      <c r="A16530" s="1">
        <v>5.0</v>
      </c>
      <c r="B16530" s="1" t="s">
        <v>16253</v>
      </c>
      <c r="C16530" t="str">
        <f>IFERROR(__xludf.DUMMYFUNCTION("GOOGLETRANSLATE(B16530, ""fr"", ""en"")"),"Necklace chain, Silver 925/000 Rhodium Mesh ... Pleasures of Stella My opinion is the same as my previous same purchase. I still do not hesitate, these channels are of superior quality and will not move because the Rhodium protect the money aging and give"&amp;" them the color of white gold. Also for me the seriousness of the seller is impeccable, fast delivery, excellent packaging and proof that it is sterling silver rhodium good punch by 925 ° / oo and the brilliance of the gem proves that the rhodium and ther"&amp;"e. I myself know a little jewelry and I highly recommend this product and seller.")</f>
        <v>Necklace chain, Silver 925/000 Rhodium Mesh ... Pleasures of Stella My opinion is the same as my previous same purchase. I still do not hesitate, these channels are of superior quality and will not move because the Rhodium protect the money aging and give them the color of white gold. Also for me the seriousness of the seller is impeccable, fast delivery, excellent packaging and proof that it is sterling silver rhodium good punch by 925 ° / oo and the brilliance of the gem proves that the rhodium and there. I myself know a little jewelry and I highly recommend this product and seller.</v>
      </c>
    </row>
    <row r="16531">
      <c r="A16531" s="1">
        <v>5.0</v>
      </c>
      <c r="B16531" s="1" t="s">
        <v>16254</v>
      </c>
      <c r="C16531" t="str">
        <f>IFERROR(__xludf.DUMMYFUNCTION("GOOGLETRANSLATE(B16531, ""fr"", ""en"")"),"Rode nothing to say to her The only adapters! Rode nothing to say.")</f>
        <v>Rode nothing to say to her The only adapters! Rode nothing to say.</v>
      </c>
    </row>
    <row r="16532">
      <c r="A16532" s="1">
        <v>5.0</v>
      </c>
      <c r="B16532" s="1" t="s">
        <v>16255</v>
      </c>
      <c r="C16532" t="str">
        <f>IFERROR(__xludf.DUMMYFUNCTION("GOOGLETRANSLATE(B16532, ""fr"", ""en"")"),"r s perfect !!!!")</f>
        <v>r s perfect !!!!</v>
      </c>
    </row>
    <row r="16533">
      <c r="A16533" s="1">
        <v>5.0</v>
      </c>
      <c r="B16533" s="1" t="s">
        <v>16256</v>
      </c>
      <c r="C16533" t="str">
        <f>IFERROR(__xludf.DUMMYFUNCTION("GOOGLETRANSLATE(B16533, ""fr"", ""en"")"),"Ink cartridge Canon Product of origin so obviously impeccable, sending fast and still a bit cheaper.")</f>
        <v>Ink cartridge Canon Product of origin so obviously impeccable, sending fast and still a bit cheaper.</v>
      </c>
    </row>
    <row r="16534">
      <c r="A16534" s="1">
        <v>5.0</v>
      </c>
      <c r="B16534" s="1" t="s">
        <v>16257</v>
      </c>
      <c r="C16534" t="str">
        <f>IFERROR(__xludf.DUMMYFUNCTION("GOOGLETRANSLATE(B16534, ""fr"", ""en"")"),"Good bottle This bottle was recommended to me several times and I'm happy for the moment. Indeed the milk does not flow when turning the bottle and baby should really make a suction effort to drink the milk which makes adaptation to bottle a little harder"&amp;" I think a classic bottle. I recommend when introducing the bottle as part of a breastfeeding.")</f>
        <v>Good bottle This bottle was recommended to me several times and I'm happy for the moment. Indeed the milk does not flow when turning the bottle and baby should really make a suction effort to drink the milk which makes adaptation to bottle a little harder I think a classic bottle. I recommend when introducing the bottle as part of a breastfeeding.</v>
      </c>
    </row>
    <row r="16535">
      <c r="A16535" s="1">
        <v>5.0</v>
      </c>
      <c r="B16535" s="1" t="s">
        <v>16258</v>
      </c>
      <c r="C16535" t="str">
        <f>IFERROR(__xludf.DUMMYFUNCTION("GOOGLETRANSLATE(B16535, ""fr"", ""en"")"),"Top the product corresponds to the image and finally a good description hoodie super comfortable thick I took size L, I 1.80 m 65 kg === &amp; gt; focus right size the shot is actually smaller than normal but poses no problem so far")</f>
        <v>Top the product corresponds to the image and finally a good description hoodie super comfortable thick I took size L, I 1.80 m 65 kg === &amp; gt; focus right size the shot is actually smaller than normal but poses no problem so far</v>
      </c>
    </row>
    <row r="16536">
      <c r="A16536" s="1">
        <v>5.0</v>
      </c>
      <c r="B16536" s="1" t="s">
        <v>16259</v>
      </c>
      <c r="C16536" t="str">
        <f>IFERROR(__xludf.DUMMYFUNCTION("GOOGLETRANSLATE(B16536, ""fr"", ""en"")"),"thank you the karaoke is great it is very simple to install. the pickups are light and the sound is powerful without problems I recommend this article.")</f>
        <v>thank you the karaoke is great it is very simple to install. the pickups are light and the sound is powerful without problems I recommend this article.</v>
      </c>
    </row>
    <row r="16537">
      <c r="A16537" s="1">
        <v>5.0</v>
      </c>
      <c r="B16537" s="1" t="s">
        <v>16260</v>
      </c>
      <c r="C16537" t="str">
        <f>IFERROR(__xludf.DUMMYFUNCTION("GOOGLETRANSLATE(B16537, ""fr"", ""en"")"),"Ultra convenient Great for PowerPoint presentations (no need to be close to his pc). The remote is light and ergonomics is top, easy to handle and the buttons are well positioned and easy, no need to look constantly or they stand. Product at the top")</f>
        <v>Ultra convenient Great for PowerPoint presentations (no need to be close to his pc). The remote is light and ergonomics is top, easy to handle and the buttons are well positioned and easy, no need to look constantly or they stand. Product at the top</v>
      </c>
    </row>
    <row r="16538">
      <c r="A16538" s="1">
        <v>5.0</v>
      </c>
      <c r="B16538" s="1" t="s">
        <v>16261</v>
      </c>
      <c r="C16538" t="str">
        <f>IFERROR(__xludf.DUMMYFUNCTION("GOOGLETRANSLATE(B16538, ""fr"", ""en"")"),"Convenient to use Very easy to use, my really help to boost my pockets and have the elasticity of my skin")</f>
        <v>Convenient to use Very easy to use, my really help to boost my pockets and have the elasticity of my skin</v>
      </c>
    </row>
    <row r="16539">
      <c r="A16539" s="1">
        <v>5.0</v>
      </c>
      <c r="B16539" s="1" t="s">
        <v>16262</v>
      </c>
      <c r="C16539" t="str">
        <f>IFERROR(__xludf.DUMMYFUNCTION("GOOGLETRANSLATE(B16539, ""fr"", ""en"")"),"Very good very good price and especially nice for printing photos!")</f>
        <v>Very good very good price and especially nice for printing photos!</v>
      </c>
    </row>
    <row r="16540">
      <c r="A16540" s="1">
        <v>5.0</v>
      </c>
      <c r="B16540" s="1" t="s">
        <v>16263</v>
      </c>
      <c r="C16540" t="str">
        <f>IFERROR(__xludf.DUMMYFUNCTION("GOOGLETRANSLATE(B16540, ""fr"", ""en"")"),"5 stars I swear this is a very nice watch and my son he loves it as a birthday gift. So a product recommended as never, in my personal opinion.")</f>
        <v>5 stars I swear this is a very nice watch and my son he loves it as a birthday gift. So a product recommended as never, in my personal opinion.</v>
      </c>
    </row>
    <row r="16541">
      <c r="A16541" s="1">
        <v>5.0</v>
      </c>
      <c r="B16541" s="1" t="s">
        <v>224</v>
      </c>
      <c r="C16541" t="str">
        <f>IFERROR(__xludf.DUMMYFUNCTION("GOOGLETRANSLATE(B16541, ""fr"", ""en"")"),"perfect perfect")</f>
        <v>perfect perfect</v>
      </c>
    </row>
    <row r="16542">
      <c r="A16542" s="1">
        <v>5.0</v>
      </c>
      <c r="B16542" s="1" t="s">
        <v>16264</v>
      </c>
      <c r="C16542" t="str">
        <f>IFERROR(__xludf.DUMMYFUNCTION("GOOGLETRANSLATE(B16542, ""fr"", ""en"")"),"Good product, very good product. Although silver. Price really low compared to the number of hooks. Although consistent with the description. I will test them with my daughter.")</f>
        <v>Good product, very good product. Although silver. Price really low compared to the number of hooks. Although consistent with the description. I will test them with my daughter.</v>
      </c>
    </row>
    <row r="16543">
      <c r="A16543" s="1">
        <v>5.0</v>
      </c>
      <c r="B16543" s="1" t="s">
        <v>16265</v>
      </c>
      <c r="C16543" t="str">
        <f>IFERROR(__xludf.DUMMYFUNCTION("GOOGLETRANSLATE(B16543, ""fr"", ""en"")"),"comfortable socks The package arrived undamaged. It is a good buy at an attractive price. I buy them for summer and played sports. So, we have never in socks in the closet. And it is a good product with good quality. Socks are very comfortable. I recommen"&amp;"d.")</f>
        <v>comfortable socks The package arrived undamaged. It is a good buy at an attractive price. I buy them for summer and played sports. So, we have never in socks in the closet. And it is a good product with good quality. Socks are very comfortable. I recommend.</v>
      </c>
    </row>
    <row r="16544">
      <c r="A16544" s="1">
        <v>2.0</v>
      </c>
      <c r="B16544" s="1" t="s">
        <v>16266</v>
      </c>
      <c r="C16544" t="str">
        <f>IFERROR(__xludf.DUMMYFUNCTION("GOOGLETRANSLATE(B16544, ""fr"", ""en"")"),"Very very small ... is it really useful? This bottle is ridiculously small and not really appropriate for 1-month baby (and again!), Unless the baby is premature. It is designed for medications and vitamins but I'm pretty skeptical of this side there (we "&amp;"are simplifying life!). BPA-free, but what about the F and S?")</f>
        <v>Very very small ... is it really useful? This bottle is ridiculously small and not really appropriate for 1-month baby (and again!), Unless the baby is premature. It is designed for medications and vitamins but I'm pretty skeptical of this side there (we are simplifying life!). BPA-free, but what about the F and S?</v>
      </c>
    </row>
    <row r="16545">
      <c r="A16545" s="1">
        <v>1.0</v>
      </c>
      <c r="B16545" s="1" t="s">
        <v>16267</v>
      </c>
      <c r="C16545" t="str">
        <f>IFERROR(__xludf.DUMMYFUNCTION("GOOGLETRANSLATE(B16545, ""fr"", ""en"")"),"Pacifier closes. not practice while hardly a glass bottle of 330 ml. Unfortunately it has a big problem: when baby nurses, the pacifier ends up sucked and closes. So after a few seconds it takes to reform the nipple in order to regain some feedings and ag"&amp;"ain and again. Extremely rude and not practical at all. See the attached photo. of dummies We'll have to buy other brands in the hope that they adapt to the size of the bib. Disappointed!")</f>
        <v>Pacifier closes. not practice while hardly a glass bottle of 330 ml. Unfortunately it has a big problem: when baby nurses, the pacifier ends up sucked and closes. So after a few seconds it takes to reform the nipple in order to regain some feedings and again and again. Extremely rude and not practical at all. See the attached photo. of dummies We'll have to buy other brands in the hope that they adapt to the size of the bib. Disappointed!</v>
      </c>
    </row>
    <row r="16546">
      <c r="A16546" s="1">
        <v>1.0</v>
      </c>
      <c r="B16546" s="1" t="s">
        <v>16268</v>
      </c>
      <c r="C16546" t="str">
        <f>IFERROR(__xludf.DUMMYFUNCTION("GOOGLETRANSLATE(B16546, ""fr"", ""en"")"),"Sole too hard Very disappointed with this purchase, ok size but not comfortable, too hard soles and feet can not breathe, I do not think it is an original, so too disappointed with this purchase ten groin eur throw the window because I do not know them it"&amp;" hurts to walk 😡")</f>
        <v>Sole too hard Very disappointed with this purchase, ok size but not comfortable, too hard soles and feet can not breathe, I do not think it is an original, so too disappointed with this purchase ten groin eur throw the window because I do not know them it hurts to walk 😡</v>
      </c>
    </row>
    <row r="16547">
      <c r="A16547" s="1">
        <v>3.0</v>
      </c>
      <c r="B16547" s="1" t="s">
        <v>16269</v>
      </c>
      <c r="C16547" t="str">
        <f>IFERROR(__xludf.DUMMYFUNCTION("GOOGLETRANSLATE(B16547, ""fr"", ""en"")"),"Very disappointed a little disappointed that give his socks plush feet which is very unpleasant when you take away the despite multiple washings. For branded socks, this is poor !! Do not recommend at all this !!!")</f>
        <v>Very disappointed a little disappointed that give his socks plush feet which is very unpleasant when you take away the despite multiple washings. For branded socks, this is poor !! Do not recommend at all this !!!</v>
      </c>
    </row>
    <row r="16548">
      <c r="A16548" s="1">
        <v>3.0</v>
      </c>
      <c r="B16548" s="1" t="s">
        <v>16270</v>
      </c>
      <c r="C16548" t="str">
        <f>IFERROR(__xludf.DUMMYFUNCTION("GOOGLETRANSLATE(B16548, ""fr"", ""en"")"),"Very Helpful Somewhat complicated to organize in the day if the doses are different. Because it does not allow ""&amp; nbsp; &amp; nbsp aging,"" as vertical boxes. But the advantage of taking up less space!")</f>
        <v>Very Helpful Somewhat complicated to organize in the day if the doses are different. Because it does not allow "&amp; nbsp; &amp; nbsp aging," as vertical boxes. But the advantage of taking up less space!</v>
      </c>
    </row>
    <row r="16549">
      <c r="A16549" s="1">
        <v>4.0</v>
      </c>
      <c r="B16549" s="1" t="s">
        <v>16271</v>
      </c>
      <c r="C16549" t="str">
        <f>IFERROR(__xludf.DUMMYFUNCTION("GOOGLETRANSLATE(B16549, ""fr"", ""en"")"),"Although the item is good It's just a shame that the article does not have ect 42.5 Because 42 is too small for me and 43 too")</f>
        <v>Although the item is good It's just a shame that the article does not have ect 42.5 Because 42 is too small for me and 43 too</v>
      </c>
    </row>
    <row r="16550">
      <c r="A16550" s="1">
        <v>4.0</v>
      </c>
      <c r="B16550" s="1" t="s">
        <v>16272</v>
      </c>
      <c r="C16550" t="str">
        <f>IFERROR(__xludf.DUMMYFUNCTION("GOOGLETRANSLATE(B16550, ""fr"", ""en"")"),"Cute Baby Bottle very cute. Good quality. Plastic but guaranteed BPA and other stuff. The pacifier is fine (note the age of the child anyway). Easy to use and clean. correct price.")</f>
        <v>Cute Baby Bottle very cute. Good quality. Plastic but guaranteed BPA and other stuff. The pacifier is fine (note the age of the child anyway). Easy to use and clean. correct price.</v>
      </c>
    </row>
    <row r="16551">
      <c r="A16551" s="1">
        <v>4.0</v>
      </c>
      <c r="B16551" s="1" t="s">
        <v>16273</v>
      </c>
      <c r="C16551" t="str">
        <f>IFERROR(__xludf.DUMMYFUNCTION("GOOGLETRANSLATE(B16551, ""fr"", ""en"")"),"Good value Pretty headphones, hold well in the ears, his very correct for a pokey price.")</f>
        <v>Good value Pretty headphones, hold well in the ears, his very correct for a pokey price.</v>
      </c>
    </row>
    <row r="16552">
      <c r="A16552" s="1">
        <v>4.0</v>
      </c>
      <c r="B16552" s="1" t="s">
        <v>16274</v>
      </c>
      <c r="C16552" t="str">
        <f>IFERROR(__xludf.DUMMYFUNCTION("GOOGLETRANSLATE(B16552, ""fr"", ""en"")"),"A good microphone, with a low price I use a Canon Legria camera, be careful with this mic because the small ""foot"" attachment is not suitable, you need to buy an adapter. Otherwise, with respect to the quality of the microphone is the RODE, quality is a"&amp;"t the rendezvous, several settings are available on it, it really works perfectly.")</f>
        <v>A good microphone, with a low price I use a Canon Legria camera, be careful with this mic because the small "foot" attachment is not suitable, you need to buy an adapter. Otherwise, with respect to the quality of the microphone is the RODE, quality is at the rendezvous, several settings are available on it, it really works perfectly.</v>
      </c>
    </row>
    <row r="16553">
      <c r="A16553" s="1">
        <v>5.0</v>
      </c>
      <c r="B16553" s="1" t="s">
        <v>16275</v>
      </c>
      <c r="C16553" t="str">
        <f>IFERROR(__xludf.DUMMYFUNCTION("GOOGLETRANSLATE(B16553, ""fr"", ""en"")"),"excelente calidad para legging Buena bajo precio, lo recomiendo! there habia comprado uno negro that I duro muchisimo, gray el mejor calidad de es hasta")</f>
        <v>excelente calidad para legging Buena bajo precio, lo recomiendo! there habia comprado uno negro that I duro muchisimo, gray el mejor calidad de es hasta</v>
      </c>
    </row>
    <row r="16554">
      <c r="A16554" s="1">
        <v>5.0</v>
      </c>
      <c r="B16554" s="1" t="s">
        <v>16276</v>
      </c>
      <c r="C16554" t="str">
        <f>IFERROR(__xludf.DUMMYFUNCTION("GOOGLETRANSLATE(B16554, ""fr"", ""en"")"),"Excellent Product For me, there's nothing better than a bottle glasses, easy to clean / ecological health of our children and lasts over time of course with protection in Advent")</f>
        <v>Excellent Product For me, there's nothing better than a bottle glasses, easy to clean / ecological health of our children and lasts over time of course with protection in Advent</v>
      </c>
    </row>
    <row r="16555">
      <c r="A16555" s="1">
        <v>5.0</v>
      </c>
      <c r="B16555" s="1" t="s">
        <v>16277</v>
      </c>
      <c r="C16555" t="str">
        <f>IFERROR(__xludf.DUMMYFUNCTION("GOOGLETRANSLATE(B16555, ""fr"", ""en"")"),"Very good product &lt;div id = ""video-block-R2IZS9N71NU957"" class = ""a-section-spacing-small in-spacing-top mini video-block""&gt; &lt;/ div&gt; &lt;input type = ""hidden"" name = """" value = ""https://images-eu.ssl-images-amazon.com/images/I/C1tiWhCZlFS.mp4"" class"&amp;" = ""video-url""&gt; &lt;input type = ""hidden"" name = """" value = ""https://images-eu.ssl-images-amazon.com/images/I/81PZERcL3hS.png"" class = ""video-slate-img-url""&gt; &amp; nbsp; Earphones purchased for Huawei P30. Very good quality, the materials are of good q"&amp;"uality, all this well. The apparaige is quick and simple, the sound is good. The earphones fit perfectly in the ear and do not move once in place. Several tips are available. Very good value for money ! I recommend")</f>
        <v>Very good product &lt;div id = "video-block-R2IZS9N71NU957" class = "a-section-spacing-small in-spacing-top mini video-block"&gt; &lt;/ div&gt; &lt;input type = "hidden" name = "" value = "https://images-eu.ssl-images-amazon.com/images/I/C1tiWhCZlFS.mp4" class = "video-url"&gt; &lt;input type = "hidden" name = "" value = "https://images-eu.ssl-images-amazon.com/images/I/81PZERcL3hS.png" class = "video-slate-img-url"&gt; &amp; nbsp; Earphones purchased for Huawei P30. Very good quality, the materials are of good quality, all this well. The apparaige is quick and simple, the sound is good. The earphones fit perfectly in the ear and do not move once in place. Several tips are available. Very good value for money ! I recommend</v>
      </c>
    </row>
    <row r="16556">
      <c r="A16556" s="1">
        <v>5.0</v>
      </c>
      <c r="B16556" s="1" t="s">
        <v>16278</v>
      </c>
      <c r="C16556" t="str">
        <f>IFERROR(__xludf.DUMMYFUNCTION("GOOGLETRANSLATE(B16556, ""fr"", ""en"")"),"very handy for baby learn to drink alone in the bottle! my son is 11 months and it has adopted these handles. I recommend this article")</f>
        <v>very handy for baby learn to drink alone in the bottle! my son is 11 months and it has adopted these handles. I recommend this article</v>
      </c>
    </row>
    <row r="16557">
      <c r="A16557" s="1">
        <v>5.0</v>
      </c>
      <c r="B16557" s="1" t="s">
        <v>16279</v>
      </c>
      <c r="C16557" t="str">
        <f>IFERROR(__xludf.DUMMYFUNCTION("GOOGLETRANSLATE(B16557, ""fr"", ""en"")"),"Okay My famme is very happy")</f>
        <v>Okay My famme is very happy</v>
      </c>
    </row>
    <row r="16558">
      <c r="A16558" s="1">
        <v>5.0</v>
      </c>
      <c r="B16558" s="1" t="s">
        <v>16280</v>
      </c>
      <c r="C16558" t="str">
        <f>IFERROR(__xludf.DUMMYFUNCTION("GOOGLETRANSLATE(B16558, ""fr"", ""en"")"),"Okay Comfortable wearable")</f>
        <v>Okay Comfortable wearable</v>
      </c>
    </row>
    <row r="16559">
      <c r="A16559" s="1">
        <v>5.0</v>
      </c>
      <c r="B16559" s="1" t="s">
        <v>16281</v>
      </c>
      <c r="C16559" t="str">
        <f>IFERROR(__xludf.DUMMYFUNCTION("GOOGLETRANSLATE(B16559, ""fr"", ""en"")"),"Ok for its price The sound is not very loud, just right. The bass is well reproduced, even treble. The volume control is not top with a single button to set all. That said for the price, we do not complain. The quality / price is satisfactory")</f>
        <v>Ok for its price The sound is not very loud, just right. The bass is well reproduced, even treble. The volume control is not top with a single button to set all. That said for the price, we do not complain. The quality / price is satisfactory</v>
      </c>
    </row>
    <row r="16560">
      <c r="A16560" s="1">
        <v>5.0</v>
      </c>
      <c r="B16560" s="1" t="s">
        <v>16282</v>
      </c>
      <c r="C16560" t="str">
        <f>IFERROR(__xludf.DUMMYFUNCTION("GOOGLETRANSLATE(B16560, ""fr"", ""en"")"),"If jewelry is very pretty very pretty. I offered to my wife. She has a beautiful ideal box to give someone")</f>
        <v>If jewelry is very pretty very pretty. I offered to my wife. She has a beautiful ideal box to give someone</v>
      </c>
    </row>
    <row r="16561">
      <c r="A16561" s="1">
        <v>5.0</v>
      </c>
      <c r="B16561" s="1" t="s">
        <v>16283</v>
      </c>
      <c r="C16561" t="str">
        <f>IFERROR(__xludf.DUMMYFUNCTION("GOOGLETRANSLATE(B16561, ""fr"", ""en"")"),"Not disappointed I love it! The painting that really cleans perfectly! I tried with my daughter less than 1 year and even on a sheet could casiment remove paint if you missed to start over.")</f>
        <v>Not disappointed I love it! The painting that really cleans perfectly! I tried with my daughter less than 1 year and even on a sheet could casiment remove paint if you missed to start over.</v>
      </c>
    </row>
    <row r="16562">
      <c r="A16562" s="1">
        <v>5.0</v>
      </c>
      <c r="B16562" s="1" t="s">
        <v>16284</v>
      </c>
      <c r="C16562" t="str">
        <f>IFERROR(__xludf.DUMMYFUNCTION("GOOGLETRANSLATE(B16562, ""fr"", ""en"")"),"Ras Meets description RAS")</f>
        <v>Ras Meets description RAS</v>
      </c>
    </row>
    <row r="16563">
      <c r="A16563" s="1">
        <v>5.0</v>
      </c>
      <c r="B16563" s="1" t="s">
        <v>16285</v>
      </c>
      <c r="C16563" t="str">
        <f>IFERROR(__xludf.DUMMYFUNCTION("GOOGLETRANSLATE(B16563, ""fr"", ""en"")"),"Anti reflux many useful system, we even managed to fit other bottles removes much of the air")</f>
        <v>Anti reflux many useful system, we even managed to fit other bottles removes much of the air</v>
      </c>
    </row>
    <row r="16564">
      <c r="A16564" s="1">
        <v>5.0</v>
      </c>
      <c r="B16564" s="1" t="s">
        <v>16286</v>
      </c>
      <c r="C16564" t="str">
        <f>IFERROR(__xludf.DUMMYFUNCTION("GOOGLETRANSLATE(B16564, ""fr"", ""en"")"),"Perfect Adjustable waist Pretty fits perfectly")</f>
        <v>Perfect Adjustable waist Pretty fits perfectly</v>
      </c>
    </row>
    <row r="16565">
      <c r="A16565" s="1">
        <v>5.0</v>
      </c>
      <c r="B16565" s="1" t="s">
        <v>16287</v>
      </c>
      <c r="C16565" t="str">
        <f>IFERROR(__xludf.DUMMYFUNCTION("GOOGLETRANSLATE(B16565, ""fr"", ""en"")"),"Exceptional Magnificent at an unbeatable price on the market. Thank you")</f>
        <v>Exceptional Magnificent at an unbeatable price on the market. Thank you</v>
      </c>
    </row>
    <row r="16566">
      <c r="A16566" s="1">
        <v>5.0</v>
      </c>
      <c r="B16566" s="1" t="s">
        <v>16288</v>
      </c>
      <c r="C16566" t="str">
        <f>IFERROR(__xludf.DUMMYFUNCTION("GOOGLETRANSLATE(B16566, ""fr"", ""en"")"),"The brand is no longer present and the super model I recommend the brand is no longer present, this pair of shoes is really great, super nice I highly recommend I would buy much more.")</f>
        <v>The brand is no longer present and the super model I recommend the brand is no longer present, this pair of shoes is really great, super nice I highly recommend I would buy much more.</v>
      </c>
    </row>
    <row r="16567">
      <c r="A16567" s="1">
        <v>5.0</v>
      </c>
      <c r="B16567" s="1" t="s">
        <v>16289</v>
      </c>
      <c r="C16567" t="str">
        <f>IFERROR(__xludf.DUMMYFUNCTION("GOOGLETRANSLATE(B16567, ""fr"", ""en"")"),"Ras Super")</f>
        <v>Ras Super</v>
      </c>
    </row>
    <row r="16568">
      <c r="A16568" s="1">
        <v>5.0</v>
      </c>
      <c r="B16568" s="1" t="s">
        <v>16290</v>
      </c>
      <c r="C16568" t="str">
        <f>IFERROR(__xludf.DUMMYFUNCTION("GOOGLETRANSLATE(B16568, ""fr"", ""en"")"),"NICKEL Product conformity with the description and manufacturer of origin. Satisfied I recommend")</f>
        <v>NICKEL Product conformity with the description and manufacturer of origin. Satisfied I recommend</v>
      </c>
    </row>
    <row r="16569">
      <c r="A16569" s="1">
        <v>2.0</v>
      </c>
      <c r="B16569" s="1" t="s">
        <v>16291</v>
      </c>
      <c r="C16569" t="str">
        <f>IFERROR(__xludf.DUMMYFUNCTION("GOOGLETRANSLATE(B16569, ""fr"", ""en"")"),"Too expensive, too guesthouse found Overpriced materials used. Size very small (I make 36 and 37 is too tight). There are much better at the same price.")</f>
        <v>Too expensive, too guesthouse found Overpriced materials used. Size very small (I make 36 and 37 is too tight). There are much better at the same price.</v>
      </c>
    </row>
    <row r="16570">
      <c r="A16570" s="1">
        <v>1.0</v>
      </c>
      <c r="B16570" s="1" t="s">
        <v>16292</v>
      </c>
      <c r="C16570" t="str">
        <f>IFERROR(__xludf.DUMMYFUNCTION("GOOGLETRANSLATE(B16570, ""fr"", ""en"")"),"To avoid poor quality, no support and frayed to the point of having to discard after a few washes, small size. To avoid")</f>
        <v>To avoid poor quality, no support and frayed to the point of having to discard after a few washes, small size. To avoid</v>
      </c>
    </row>
    <row r="16571">
      <c r="A16571" s="1">
        <v>1.0</v>
      </c>
      <c r="B16571" s="1" t="s">
        <v>16293</v>
      </c>
      <c r="C16571" t="str">
        <f>IFERROR(__xludf.DUMMYFUNCTION("GOOGLETRANSLATE(B16571, ""fr"", ""en"")"),"To avoid too too too too small !!!!!!!! It is a scandal to sell it I do a 38 and yet c is ridiculously small, unpleasant once we as scratch is Descratch just as c is very little outright lying to the standing or cleaning mode using c is ridiculous and men"&amp;"dacious")</f>
        <v>To avoid too too too too small !!!!!!!! It is a scandal to sell it I do a 38 and yet c is ridiculously small, unpleasant once we as scratch is Descratch just as c is very little outright lying to the standing or cleaning mode using c is ridiculous and mendacious</v>
      </c>
    </row>
    <row r="16572">
      <c r="A16572" s="1">
        <v>3.0</v>
      </c>
      <c r="B16572" s="1" t="s">
        <v>16294</v>
      </c>
      <c r="C16572" t="str">
        <f>IFERROR(__xludf.DUMMYFUNCTION("GOOGLETRANSLATE(B16572, ""fr"", ""en"")"),"shape memory amnesia The slippers are quite nice and warm. Wool and rigid outsole seem to fit in time despite several washes. For cons, the insole, shape memory, is just a gimmick. After a few days, you'll end up with the same sole to the base model of th"&amp;"e same make and cheaper. You can find them here: https://www.amazon.fr/gp/product/B07D8SC2CX/ref=ppx_yo_dt_b_asin_title_o07_s00?ie=UTF8&amp;amp;psc=1")</f>
        <v>shape memory amnesia The slippers are quite nice and warm. Wool and rigid outsole seem to fit in time despite several washes. For cons, the insole, shape memory, is just a gimmick. After a few days, you'll end up with the same sole to the base model of the same make and cheaper. You can find them here: https://www.amazon.fr/gp/product/B07D8SC2CX/ref=ppx_yo_dt_b_asin_title_o07_s00?ie=UTF8&amp;amp;psc=1</v>
      </c>
    </row>
    <row r="16573">
      <c r="A16573" s="1">
        <v>4.0</v>
      </c>
      <c r="B16573" s="1" t="s">
        <v>16295</v>
      </c>
      <c r="C16573" t="str">
        <f>IFERROR(__xludf.DUMMYFUNCTION("GOOGLETRANSLATE(B16573, ""fr"", ""en"")"),"Not disappointed good quality and good price for this model")</f>
        <v>Not disappointed good quality and good price for this model</v>
      </c>
    </row>
    <row r="16574">
      <c r="A16574" s="1">
        <v>4.0</v>
      </c>
      <c r="B16574" s="1" t="s">
        <v>16296</v>
      </c>
      <c r="C16574" t="str">
        <f>IFERROR(__xludf.DUMMYFUNCTION("GOOGLETRANSLATE(B16574, ""fr"", ""en"")"),"Perfect for logistics I put 4etoiles, they are almost perfect: light, comfortable, cheap and the only downside they wear out quickly on the part tissues .But if you do not do a job where you run to All day long, they will be perfect.")</f>
        <v>Perfect for logistics I put 4etoiles, they are almost perfect: light, comfortable, cheap and the only downside they wear out quickly on the part tissues .But if you do not do a job where you run to All day long, they will be perfect.</v>
      </c>
    </row>
    <row r="16575">
      <c r="A16575" s="1">
        <v>4.0</v>
      </c>
      <c r="B16575" s="1" t="s">
        <v>16297</v>
      </c>
      <c r="C16575" t="str">
        <f>IFERROR(__xludf.DUMMYFUNCTION("GOOGLETRANSLATE(B16575, ""fr"", ""en"")"),"Good Very good crumbles a bit for my taste. Put transparent film not what crumbles make a poultice or facial.")</f>
        <v>Good Very good crumbles a bit for my taste. Put transparent film not what crumbles make a poultice or facial.</v>
      </c>
    </row>
    <row r="16576">
      <c r="A16576" s="1">
        <v>4.0</v>
      </c>
      <c r="B16576" s="1" t="s">
        <v>16298</v>
      </c>
      <c r="C16576" t="str">
        <f>IFERROR(__xludf.DUMMYFUNCTION("GOOGLETRANSLATE(B16576, ""fr"", ""en"")"),"In real leather, very qualitative Excellenttes finishes, good volume, it is easy to keep a diary filofax guy in and take a book or a reading light. inner and outer pockets. Really drunk a product ... A bit pricey nonetheless, but the quality is paid ... D"&amp;"o not hesitate to indicate if my comment could decide you in your choice.")</f>
        <v>In real leather, very qualitative Excellenttes finishes, good volume, it is easy to keep a diary filofax guy in and take a book or a reading light. inner and outer pockets. Really drunk a product ... A bit pricey nonetheless, but the quality is paid ... Do not hesitate to indicate if my comment could decide you in your choice.</v>
      </c>
    </row>
    <row r="16577">
      <c r="A16577" s="1">
        <v>4.0</v>
      </c>
      <c r="B16577" s="1" t="s">
        <v>16299</v>
      </c>
      <c r="C16577" t="str">
        <f>IFERROR(__xludf.DUMMYFUNCTION("GOOGLETRANSLATE(B16577, ""fr"", ""en"")"),"Good buy The bag matches my expectations. The only little problem: the shoulder whines ... damage. otherwise great no complaints ....")</f>
        <v>Good buy The bag matches my expectations. The only little problem: the shoulder whines ... damage. otherwise great no complaints ....</v>
      </c>
    </row>
    <row r="16578">
      <c r="A16578" s="1">
        <v>5.0</v>
      </c>
      <c r="B16578" s="1" t="s">
        <v>16300</v>
      </c>
      <c r="C16578" t="str">
        <f>IFERROR(__xludf.DUMMYFUNCTION("GOOGLETRANSLATE(B16578, ""fr"", ""en"")"),"long live the gorilla I wanted to put my vinyl discs safely in a well-studied area for ca 30 lp gorilla was doing to me")</f>
        <v>long live the gorilla I wanted to put my vinyl discs safely in a well-studied area for ca 30 lp gorilla was doing to me</v>
      </c>
    </row>
    <row r="16579">
      <c r="A16579" s="1">
        <v>5.0</v>
      </c>
      <c r="B16579" s="1" t="s">
        <v>16301</v>
      </c>
      <c r="C16579" t="str">
        <f>IFERROR(__xludf.DUMMYFUNCTION("GOOGLETRANSLATE(B16579, ""fr"", ""en"")"),"Top This kettle is super nice! Blue light is very nice I love. It heats quickly and has a large capacity through its base is not bother with the electric wire. The Top is easy to clean and maintain thanks to the wide cap and small filter to remove the spo"&amp;"ut level.")</f>
        <v>Top This kettle is super nice! Blue light is very nice I love. It heats quickly and has a large capacity through its base is not bother with the electric wire. The Top is easy to clean and maintain thanks to the wide cap and small filter to remove the spout level.</v>
      </c>
    </row>
    <row r="16580">
      <c r="A16580" s="1">
        <v>5.0</v>
      </c>
      <c r="B16580" s="1" t="s">
        <v>16302</v>
      </c>
      <c r="C16580" t="str">
        <f>IFERROR(__xludf.DUMMYFUNCTION("GOOGLETRANSLATE(B16580, ""fr"", ""en"")"),"very good value compared careful not Aane shoot the helmet side this son because they break easily")</f>
        <v>very good value compared careful not Aane shoot the helmet side this son because they break easily</v>
      </c>
    </row>
    <row r="16581">
      <c r="A16581" s="1">
        <v>5.0</v>
      </c>
      <c r="B16581" s="1" t="s">
        <v>16303</v>
      </c>
      <c r="C16581" t="str">
        <f>IFERROR(__xludf.DUMMYFUNCTION("GOOGLETRANSLATE(B16581, ""fr"", ""en"")"),"Good Good")</f>
        <v>Good Good</v>
      </c>
    </row>
    <row r="16582">
      <c r="A16582" s="1">
        <v>5.0</v>
      </c>
      <c r="B16582" s="1" t="s">
        <v>16304</v>
      </c>
      <c r="C16582" t="str">
        <f>IFERROR(__xludf.DUMMYFUNCTION("GOOGLETRANSLATE(B16582, ""fr"", ""en"")"),"OF CONVERSES I wanted a fairly simple pair and there is nickel. Question quality, no complaints; hey, it remains the Converses with their qualities and their defects.")</f>
        <v>OF CONVERSES I wanted a fairly simple pair and there is nickel. Question quality, no complaints; hey, it remains the Converses with their qualities and their defects.</v>
      </c>
    </row>
    <row r="16583">
      <c r="A16583" s="1">
        <v>5.0</v>
      </c>
      <c r="B16583" s="1" t="s">
        <v>1892</v>
      </c>
      <c r="C16583" t="str">
        <f>IFERROR(__xludf.DUMMYFUNCTION("GOOGLETRANSLATE(B16583, ""fr"", ""en"")"),"Fast delivery Perfect")</f>
        <v>Fast delivery Perfect</v>
      </c>
    </row>
    <row r="16584">
      <c r="A16584" s="1">
        <v>5.0</v>
      </c>
      <c r="B16584" s="1" t="s">
        <v>16305</v>
      </c>
      <c r="C16584" t="str">
        <f>IFERROR(__xludf.DUMMYFUNCTION("GOOGLETRANSLATE(B16584, ""fr"", ""en"")"),"Good size good right size good quality come quickly to model")</f>
        <v>Good size good right size good quality come quickly to model</v>
      </c>
    </row>
    <row r="16585">
      <c r="A16585" s="1">
        <v>5.0</v>
      </c>
      <c r="B16585" s="1" t="s">
        <v>16306</v>
      </c>
      <c r="C16585" t="str">
        <f>IFERROR(__xludf.DUMMYFUNCTION("GOOGLETRANSLATE(B16585, ""fr"", ""en"")"),"bangle beautiful bracelet cheap with beautiful little hearts, I took the necklace as for adornment.")</f>
        <v>bangle beautiful bracelet cheap with beautiful little hearts, I took the necklace as for adornment.</v>
      </c>
    </row>
    <row r="16586">
      <c r="A16586" s="1">
        <v>5.0</v>
      </c>
      <c r="B16586" s="1" t="s">
        <v>16307</v>
      </c>
      <c r="C16586" t="str">
        <f>IFERROR(__xludf.DUMMYFUNCTION("GOOGLETRANSLATE(B16586, ""fr"", ""en"")"),"Top ! Product according to the description and to the photo. Delivery within 1 business day with Amazon premium.")</f>
        <v>Top ! Product according to the description and to the photo. Delivery within 1 business day with Amazon premium.</v>
      </c>
    </row>
    <row r="16587">
      <c r="A16587" s="1">
        <v>5.0</v>
      </c>
      <c r="B16587" s="1" t="s">
        <v>16308</v>
      </c>
      <c r="C16587" t="str">
        <f>IFERROR(__xludf.DUMMYFUNCTION("GOOGLETRANSLATE(B16587, ""fr"", ""en"")"),"Perfect My daughter love it! The sweater size properly.")</f>
        <v>Perfect My daughter love it! The sweater size properly.</v>
      </c>
    </row>
    <row r="16588">
      <c r="A16588" s="1">
        <v>5.0</v>
      </c>
      <c r="B16588" s="1" t="s">
        <v>16309</v>
      </c>
      <c r="C16588" t="str">
        <f>IFERROR(__xludf.DUMMYFUNCTION("GOOGLETRANSLATE(B16588, ""fr"", ""en"")"),"Stunning Beautiful bracelet braided silver mixing 3 colors of gold (yellow, white and pink). He made a fool effect and the price is very correct. Amberta thank you, as always satisfied after several purchases.")</f>
        <v>Stunning Beautiful bracelet braided silver mixing 3 colors of gold (yellow, white and pink). He made a fool effect and the price is very correct. Amberta thank you, as always satisfied after several purchases.</v>
      </c>
    </row>
    <row r="16589">
      <c r="A16589" s="1">
        <v>5.0</v>
      </c>
      <c r="B16589" s="1" t="s">
        <v>1547</v>
      </c>
      <c r="C16589" t="str">
        <f>IFERROR(__xludf.DUMMYFUNCTION("GOOGLETRANSLATE(B16589, ""fr"", ""en"")"),"Ras Ras")</f>
        <v>Ras Ras</v>
      </c>
    </row>
    <row r="16590">
      <c r="A16590" s="1">
        <v>5.0</v>
      </c>
      <c r="B16590" s="1" t="s">
        <v>16310</v>
      </c>
      <c r="C16590" t="str">
        <f>IFERROR(__xludf.DUMMYFUNCTION("GOOGLETRANSLATE(B16590, ""fr"", ""en"")"),"finally !!!! I was looking for classic bands without ruffles without lace in a while ... nothing. I came across those below; they are perfect ! size, colors, quality ... Nothing to say. J have recommended a lot :-)")</f>
        <v>finally !!!! I was looking for classic bands without ruffles without lace in a while ... nothing. I came across those below; they are perfect ! size, colors, quality ... Nothing to say. J have recommended a lot :-)</v>
      </c>
    </row>
    <row r="16591">
      <c r="A16591" s="1">
        <v>5.0</v>
      </c>
      <c r="B16591" s="1" t="s">
        <v>16311</v>
      </c>
      <c r="C16591" t="str">
        <f>IFERROR(__xludf.DUMMYFUNCTION("GOOGLETRANSLATE(B16591, ""fr"", ""en"")"),"Original cut for quality pants Actually it's pants to the particular cut because very narrow but comfortable for the foot elastic. It uses a cord and the belt is resilient too. Oh yes it is slightly harem kind.")</f>
        <v>Original cut for quality pants Actually it's pants to the particular cut because very narrow but comfortable for the foot elastic. It uses a cord and the belt is resilient too. Oh yes it is slightly harem kind.</v>
      </c>
    </row>
    <row r="16592">
      <c r="A16592" s="1">
        <v>5.0</v>
      </c>
      <c r="B16592" s="1" t="s">
        <v>16312</v>
      </c>
      <c r="C16592" t="str">
        <f>IFERROR(__xludf.DUMMYFUNCTION("GOOGLETRANSLATE(B16592, ""fr"", ""en"")"),"Well I took a size larger bonnet and a smaller waistline and everything is ok ... it support perfectly and color is nice, very happy with my purchase of more rapid delivery of Hyper :) thank you serious")</f>
        <v>Well I took a size larger bonnet and a smaller waistline and everything is ok ... it support perfectly and color is nice, very happy with my purchase of more rapid delivery of Hyper :) thank you serious</v>
      </c>
    </row>
    <row r="16593">
      <c r="A16593" s="1">
        <v>2.0</v>
      </c>
      <c r="B16593" s="1" t="s">
        <v>16313</v>
      </c>
      <c r="C16593" t="str">
        <f>IFERROR(__xludf.DUMMYFUNCTION("GOOGLETRANSLATE(B16593, ""fr"", ""en"")"),"Too small :( damage. Hello Adept cardio, I need adequate support. I thought I had found it. No, too small, a problem also for putting it on. In short return to sender.")</f>
        <v>Too small :( damage. Hello Adept cardio, I need adequate support. I thought I had found it. No, too small, a problem also for putting it on. In short return to sender.</v>
      </c>
    </row>
    <row r="16594">
      <c r="A16594" s="1">
        <v>1.0</v>
      </c>
      <c r="B16594" s="1" t="s">
        <v>16314</v>
      </c>
      <c r="C16594" t="str">
        <f>IFERROR(__xludf.DUMMYFUNCTION("GOOGLETRANSLATE(B16594, ""fr"", ""en"")"),"Super HS alarm but ... after 2 and a half months I received my article on 1 June 2018 and I was very satisfied so far. But after two and a half months: Wake down. More none key works I have only the right to a tick tick tick as if one of the keys of the f"&amp;"ront remained depressed. 67 euros for 2 months very bad investment :-(")</f>
        <v>Super HS alarm but ... after 2 and a half months I received my article on 1 June 2018 and I was very satisfied so far. But after two and a half months: Wake down. More none key works I have only the right to a tick tick tick as if one of the keys of the front remained depressed. 67 euros for 2 months very bad investment :-(</v>
      </c>
    </row>
    <row r="16595">
      <c r="A16595" s="1">
        <v>3.0</v>
      </c>
      <c r="B16595" s="1" t="s">
        <v>16315</v>
      </c>
      <c r="C16595" t="str">
        <f>IFERROR(__xludf.DUMMYFUNCTION("GOOGLETRANSLATE(B16595, ""fr"", ""en"")"),"Pocket A set of 42 packs of 10 tissues. From classic format these bags slip in the bag or pocket. The opening of the bag is easy, without tearing. Handkerchiefs are a usual format and absorb well without tearing. These are tissues of natural fiber from re"&amp;"sponsible sources and 4 thicknesses. The material is soft and does not irritate the nose. A classic white handkerchief in value average price.")</f>
        <v>Pocket A set of 42 packs of 10 tissues. From classic format these bags slip in the bag or pocket. The opening of the bag is easy, without tearing. Handkerchiefs are a usual format and absorb well without tearing. These are tissues of natural fiber from responsible sources and 4 thicknesses. The material is soft and does not irritate the nose. A classic white handkerchief in value average price.</v>
      </c>
    </row>
    <row r="16596">
      <c r="A16596" s="1">
        <v>3.0</v>
      </c>
      <c r="B16596" s="1" t="s">
        <v>16316</v>
      </c>
      <c r="C16596" t="str">
        <f>IFERROR(__xludf.DUMMYFUNCTION("GOOGLETRANSLATE(B16596, ""fr"", ""en"")"),"Good cartridge though ... These cartridges are perfect for canon printer, but I can assure you that the price is outrageous. They are more expensive than the printer (which costs more excessive amount about 70 euros and you can find 58 euros.) Once obsole"&amp;"te gun I myself will get rid quickly and in the meantime I'm just these cheaper cartridges here elsewhere")</f>
        <v>Good cartridge though ... These cartridges are perfect for canon printer, but I can assure you that the price is outrageous. They are more expensive than the printer (which costs more excessive amount about 70 euros and you can find 58 euros.) Once obsolete gun I myself will get rid quickly and in the meantime I'm just these cheaper cartridges here elsewhere</v>
      </c>
    </row>
    <row r="16597">
      <c r="A16597" s="1">
        <v>4.0</v>
      </c>
      <c r="B16597" s="1" t="s">
        <v>16317</v>
      </c>
      <c r="C16597" t="str">
        <f>IFERROR(__xludf.DUMMYFUNCTION("GOOGLETRANSLATE(B16597, ""fr"", ""en"")"),"Consistent with the description article conforms to its description glue well on several area except some murals")</f>
        <v>Consistent with the description article conforms to its description glue well on several area except some murals</v>
      </c>
    </row>
    <row r="16598">
      <c r="A16598" s="1">
        <v>4.0</v>
      </c>
      <c r="B16598" s="1" t="s">
        <v>16318</v>
      </c>
      <c r="C16598" t="str">
        <f>IFERROR(__xludf.DUMMYFUNCTION("GOOGLETRANSLATE(B16598, ""fr"", ""en"")"),"Very very good product good product. Much faster than those of supermarkets ""round"". N not water indeed. I also use the bottles for my ""lansinoh"" narrow neck. A star less because detach the handle to access the stiff brush is a little difficult.")</f>
        <v>Very very good product good product. Much faster than those of supermarkets "round". N not water indeed. I also use the bottles for my "lansinoh" narrow neck. A star less because detach the handle to access the stiff brush is a little difficult.</v>
      </c>
    </row>
    <row r="16599">
      <c r="A16599" s="1">
        <v>4.0</v>
      </c>
      <c r="B16599" s="1" t="s">
        <v>16319</v>
      </c>
      <c r="C16599" t="str">
        <f>IFERROR(__xludf.DUMMYFUNCTION("GOOGLETRANSLATE(B16599, ""fr"", ""en"")"),"Perfect Hello this is really good shoes I use them for home, I think to take a new pair for my father")</f>
        <v>Perfect Hello this is really good shoes I use them for home, I think to take a new pair for my father</v>
      </c>
    </row>
    <row r="16600">
      <c r="A16600" s="1">
        <v>4.0</v>
      </c>
      <c r="B16600" s="1" t="s">
        <v>16320</v>
      </c>
      <c r="C16600" t="str">
        <f>IFERROR(__xludf.DUMMYFUNCTION("GOOGLETRANSLATE(B16600, ""fr"", ""en"")"),"Very beautiful object Superb watch, I have now for 2 months and I wear almost daily (resistant, waterproof) The time setting is done by time zones. Only negative for me, the orange backlight. They could have put it in blue (to recall the edging around the"&amp;" dial or so white!")</f>
        <v>Very beautiful object Superb watch, I have now for 2 months and I wear almost daily (resistant, waterproof) The time setting is done by time zones. Only negative for me, the orange backlight. They could have put it in blue (to recall the edging around the dial or so white!</v>
      </c>
    </row>
    <row r="16601">
      <c r="A16601" s="1">
        <v>5.0</v>
      </c>
      <c r="B16601" s="1" t="s">
        <v>16321</v>
      </c>
      <c r="C16601" t="str">
        <f>IFERROR(__xludf.DUMMYFUNCTION("GOOGLETRANSLATE(B16601, ""fr"", ""en"")"),"Very comfortable Very comfortable")</f>
        <v>Very comfortable Very comfortable</v>
      </c>
    </row>
    <row r="16602">
      <c r="A16602" s="1">
        <v>5.0</v>
      </c>
      <c r="B16602" s="1" t="s">
        <v>16322</v>
      </c>
      <c r="C16602" t="str">
        <f>IFERROR(__xludf.DUMMYFUNCTION("GOOGLETRANSLATE(B16602, ""fr"", ""en"")"),"Finally airpods I lacked Added to my Apple ecosystem, the pair of airpods be connected in seconds. While not having an incomparable sound quality meet the leaders of this type, particularly at low, these headphones are nevertheless the job. The wireless c"&amp;"harging version is really convenient and overall has a good autonomy. For sport, I ordered silicone tips (I expect) to have a good grip especially when I run. No regrets so I'm glad I took this coupon to buy a good pair of headphones")</f>
        <v>Finally airpods I lacked Added to my Apple ecosystem, the pair of airpods be connected in seconds. While not having an incomparable sound quality meet the leaders of this type, particularly at low, these headphones are nevertheless the job. The wireless charging version is really convenient and overall has a good autonomy. For sport, I ordered silicone tips (I expect) to have a good grip especially when I run. No regrets so I'm glad I took this coupon to buy a good pair of headphones</v>
      </c>
    </row>
    <row r="16603">
      <c r="A16603" s="1">
        <v>5.0</v>
      </c>
      <c r="B16603" s="1" t="s">
        <v>16323</v>
      </c>
      <c r="C16603" t="str">
        <f>IFERROR(__xludf.DUMMYFUNCTION("GOOGLETRANSLATE(B16603, ""fr"", ""en"")"),"Superb sneakers comfortable shoes and comfortable to wear")</f>
        <v>Superb sneakers comfortable shoes and comfortable to wear</v>
      </c>
    </row>
    <row r="16604">
      <c r="A16604" s="1">
        <v>5.0</v>
      </c>
      <c r="B16604" s="1" t="s">
        <v>16324</v>
      </c>
      <c r="C16604" t="str">
        <f>IFERROR(__xludf.DUMMYFUNCTION("GOOGLETRANSLATE(B16604, ""fr"", ""en"")"),"sturdy shoes My son had his first pair and loved it. To the extent that it destroys the shoes very quickly that are here to stay. But attention to size. size must be taken below. Just one size smaller. I let myself be tempted by two sizes below and it was"&amp;" too small.")</f>
        <v>sturdy shoes My son had his first pair and loved it. To the extent that it destroys the shoes very quickly that are here to stay. But attention to size. size must be taken below. Just one size smaller. I let myself be tempted by two sizes below and it was too small.</v>
      </c>
    </row>
    <row r="16605">
      <c r="A16605" s="1">
        <v>5.0</v>
      </c>
      <c r="B16605" s="1" t="s">
        <v>16325</v>
      </c>
      <c r="C16605" t="str">
        <f>IFERROR(__xludf.DUMMYFUNCTION("GOOGLETRANSLATE(B16605, ""fr"", ""en"")"),"Very gorgeous beautiful designs. Super !!")</f>
        <v>Very gorgeous beautiful designs. Super !!</v>
      </c>
    </row>
    <row r="16606">
      <c r="A16606" s="1">
        <v>5.0</v>
      </c>
      <c r="B16606" s="1" t="s">
        <v>16326</v>
      </c>
      <c r="C16606" t="str">
        <f>IFERROR(__xludf.DUMMYFUNCTION("GOOGLETRANSLATE(B16606, ""fr"", ""en"")"),"Perfect Perfectly adapted to my brabantia. The bags are very thick and close to bien.pas bag with holes accident. The white is slightly transparent, but it's not really embarrassing.")</f>
        <v>Perfect Perfectly adapted to my brabantia. The bags are very thick and close to bien.pas bag with holes accident. The white is slightly transparent, but it's not really embarrassing.</v>
      </c>
    </row>
    <row r="16607">
      <c r="A16607" s="1">
        <v>5.0</v>
      </c>
      <c r="B16607" s="1" t="s">
        <v>12027</v>
      </c>
      <c r="C16607" t="str">
        <f>IFERROR(__xludf.DUMMYFUNCTION("GOOGLETRANSLATE(B16607, ""fr"", ""en"")"),"Good product Ras")</f>
        <v>Good product Ras</v>
      </c>
    </row>
    <row r="16608">
      <c r="A16608" s="1">
        <v>5.0</v>
      </c>
      <c r="B16608" s="1" t="s">
        <v>16327</v>
      </c>
      <c r="C16608" t="str">
        <f>IFERROR(__xludf.DUMMYFUNCTION("GOOGLETRANSLATE(B16608, ""fr"", ""en"")"),"Meets expectations Rate 0 perfect for a baby a few weeks usually breastfed")</f>
        <v>Meets expectations Rate 0 perfect for a baby a few weeks usually breastfed</v>
      </c>
    </row>
    <row r="16609">
      <c r="A16609" s="1">
        <v>5.0</v>
      </c>
      <c r="B16609" s="1" t="s">
        <v>16328</v>
      </c>
      <c r="C16609" t="str">
        <f>IFERROR(__xludf.DUMMYFUNCTION("GOOGLETRANSLATE(B16609, ""fr"", ""en"")"),"Perfect Perfect big enough, I can put my camera, mini tripod and telescopic boom + what is usually put in a bag. perfect for power and transport have my equipment with me at every moment. I like the look. I have all the same add a little more inside pocke"&amp;"t for different object there is only in the main compartment")</f>
        <v>Perfect Perfect big enough, I can put my camera, mini tripod and telescopic boom + what is usually put in a bag. perfect for power and transport have my equipment with me at every moment. I like the look. I have all the same add a little more inside pocket for different object there is only in the main compartment</v>
      </c>
    </row>
    <row r="16610">
      <c r="A16610" s="1">
        <v>5.0</v>
      </c>
      <c r="B16610" s="1" t="s">
        <v>16329</v>
      </c>
      <c r="C16610" t="str">
        <f>IFERROR(__xludf.DUMMYFUNCTION("GOOGLETRANSLATE(B16610, ""fr"", ""en"")"),"It works ! This year has been disastrous side microbes, school to work as everyone was sick and contaminating each other ... I gave, since mid November 7 drops / day in the morning and my daughter we spent the holidays / vacation fresh as daisies. No flu,"&amp;" a cold, a runny nose in the house until today! I recommend especially I will start next winter! plus it has no taste and you can put it in the juice.")</f>
        <v>It works ! This year has been disastrous side microbes, school to work as everyone was sick and contaminating each other ... I gave, since mid November 7 drops / day in the morning and my daughter we spent the holidays / vacation fresh as daisies. No flu, a cold, a runny nose in the house until today! I recommend especially I will start next winter! plus it has no taste and you can put it in the juice.</v>
      </c>
    </row>
    <row r="16611">
      <c r="A16611" s="1">
        <v>5.0</v>
      </c>
      <c r="B16611" s="1" t="s">
        <v>16330</v>
      </c>
      <c r="C16611" t="str">
        <f>IFERROR(__xludf.DUMMYFUNCTION("GOOGLETRANSLATE(B16611, ""fr"", ""en"")"),"Very good size appropriate to the brand guide, very soft and warm, really comfortable to wear with inside pockets and well-designed flex zones. The jacket is also very good and very true confortable.un more technical and heat for mountain biking.")</f>
        <v>Very good size appropriate to the brand guide, very soft and warm, really comfortable to wear with inside pockets and well-designed flex zones. The jacket is also very good and very true confortable.un more technical and heat for mountain biking.</v>
      </c>
    </row>
    <row r="16612">
      <c r="A16612" s="1">
        <v>5.0</v>
      </c>
      <c r="B16612" s="1" t="s">
        <v>16331</v>
      </c>
      <c r="C16612" t="str">
        <f>IFERROR(__xludf.DUMMYFUNCTION("GOOGLETRANSLATE(B16612, ""fr"", ""en"")"),"Size Very satisfied, pretty, size very well I recommend this product good quality")</f>
        <v>Size Very satisfied, pretty, size very well I recommend this product good quality</v>
      </c>
    </row>
    <row r="16613">
      <c r="A16613" s="1">
        <v>5.0</v>
      </c>
      <c r="B16613" s="1" t="s">
        <v>16332</v>
      </c>
      <c r="C16613" t="str">
        <f>IFERROR(__xludf.DUMMYFUNCTION("GOOGLETRANSLATE(B16613, ""fr"", ""en"")"),"On photo appears smaller Pay attention to measures otherwise good")</f>
        <v>On photo appears smaller Pay attention to measures otherwise good</v>
      </c>
    </row>
    <row r="16614">
      <c r="A16614" s="1">
        <v>5.0</v>
      </c>
      <c r="B16614" s="1" t="s">
        <v>16333</v>
      </c>
      <c r="C16614" t="str">
        <f>IFERROR(__xludf.DUMMYFUNCTION("GOOGLETRANSLATE(B16614, ""fr"", ""en"")"),"Very comfortable very comfortable boots, lined, they keep warm. Purchased to complete a Santa costume, they are perfect for a great price. Although it was not a purchase criterion, they toed. Children can ride on my feet !!")</f>
        <v>Very comfortable very comfortable boots, lined, they keep warm. Purchased to complete a Santa costume, they are perfect for a great price. Although it was not a purchase criterion, they toed. Children can ride on my feet !!</v>
      </c>
    </row>
    <row r="16615">
      <c r="A16615" s="1">
        <v>5.0</v>
      </c>
      <c r="B16615" s="1" t="s">
        <v>16334</v>
      </c>
      <c r="C16615" t="str">
        <f>IFERROR(__xludf.DUMMYFUNCTION("GOOGLETRANSLATE(B16615, ""fr"", ""en"")"),"Super oils that smell very good ideal for diffussseur atmosphere and zen.")</f>
        <v>Super oils that smell very good ideal for diffussseur atmosphere and zen.</v>
      </c>
    </row>
    <row r="16616">
      <c r="A16616" s="1">
        <v>2.0</v>
      </c>
      <c r="B16616" s="1" t="s">
        <v>16335</v>
      </c>
      <c r="C16616" t="str">
        <f>IFERROR(__xludf.DUMMYFUNCTION("GOOGLETRANSLATE(B16616, ""fr"", ""en"")"),"in my case the stone was peeled beautiful jewelry with a lot of disappointment")</f>
        <v>in my case the stone was peeled beautiful jewelry with a lot of disappointment</v>
      </c>
    </row>
    <row r="16617">
      <c r="A16617" s="1">
        <v>1.0</v>
      </c>
      <c r="B16617" s="1" t="s">
        <v>16336</v>
      </c>
      <c r="C16617" t="str">
        <f>IFERROR(__xludf.DUMMYFUNCTION("GOOGLETRANSLATE(B16617, ""fr"", ""en"")"),"Very fine as pockets Ouch! For the price, I would have thought that the leaves are thick! As quickly received, I débale and ho surprise, static electricity, so I can not in any way open, so the fineness of the material is poor. I do not recommend ......")</f>
        <v>Very fine as pockets Ouch! For the price, I would have thought that the leaves are thick! As quickly received, I débale and ho surprise, static electricity, so I can not in any way open, so the fineness of the material is poor. I do not recommend ......</v>
      </c>
    </row>
    <row r="16618">
      <c r="A16618" s="1">
        <v>1.0</v>
      </c>
      <c r="B16618" s="1" t="s">
        <v>16337</v>
      </c>
      <c r="C16618" t="str">
        <f>IFERROR(__xludf.DUMMYFUNCTION("GOOGLETRANSLATE(B16618, ""fr"", ""en"")"),"Disappointed with the quality I used for my work in the building. The shoes abyss my ankle and upper foot too high and do not keep all its indicated. Disposing")</f>
        <v>Disappointed with the quality I used for my work in the building. The shoes abyss my ankle and upper foot too high and do not keep all its indicated. Disposing</v>
      </c>
    </row>
    <row r="16619">
      <c r="A16619" s="1">
        <v>3.0</v>
      </c>
      <c r="B16619" s="1" t="s">
        <v>16338</v>
      </c>
      <c r="C16619" t="str">
        <f>IFERROR(__xludf.DUMMYFUNCTION("GOOGLETRANSLATE(B16619, ""fr"", ""en"")"),"satisfied ... but watch is beautiful, seems reliable. but delivered without instructions, he had to look on forums how to set the date, month and day of the week. more to use the small dials are unreadable and inaccessible information and make these so we"&amp;" wonder why we spend hours trying to fix them.")</f>
        <v>satisfied ... but watch is beautiful, seems reliable. but delivered without instructions, he had to look on forums how to set the date, month and day of the week. more to use the small dials are unreadable and inaccessible information and make these so we wonder why we spend hours trying to fix them.</v>
      </c>
    </row>
    <row r="16620">
      <c r="A16620" s="1">
        <v>3.0</v>
      </c>
      <c r="B16620" s="1" t="s">
        <v>16339</v>
      </c>
      <c r="C16620" t="str">
        <f>IFERROR(__xludf.DUMMYFUNCTION("GOOGLETRANSLATE(B16620, ""fr"", ""en"")"),"Good Ras filter")</f>
        <v>Good Ras filter</v>
      </c>
    </row>
    <row r="16621">
      <c r="A16621" s="1">
        <v>4.0</v>
      </c>
      <c r="B16621" s="1" t="s">
        <v>16340</v>
      </c>
      <c r="C16621" t="str">
        <f>IFERROR(__xludf.DUMMYFUNCTION("GOOGLETRANSLATE(B16621, ""fr"", ""en"")"),"Trainers flashy bling bling The CHIC accessory that can be worn with preppy outfit that relaxed mode, j'adore !!! You sow some glitter on your way but nothing serious, there are many ... I recommend !!!")</f>
        <v>Trainers flashy bling bling The CHIC accessory that can be worn with preppy outfit that relaxed mode, j'adore !!! You sow some glitter on your way but nothing serious, there are many ... I recommend !!!</v>
      </c>
    </row>
    <row r="16622">
      <c r="A16622" s="1">
        <v>4.0</v>
      </c>
      <c r="B16622" s="1" t="s">
        <v>16341</v>
      </c>
      <c r="C16622" t="str">
        <f>IFERROR(__xludf.DUMMYFUNCTION("GOOGLETRANSLATE(B16622, ""fr"", ""en"")"),"Very good for my case I did the 44-45, and for all the socks that I bought I take the sizes below. That is the case here agalement I took for sizes below what is well cut. Otherwise good product, good quality, it's very thick.")</f>
        <v>Very good for my case I did the 44-45, and for all the socks that I bought I take the sizes below. That is the case here agalement I took for sizes below what is well cut. Otherwise good product, good quality, it's very thick.</v>
      </c>
    </row>
    <row r="16623">
      <c r="A16623" s="1">
        <v>4.0</v>
      </c>
      <c r="B16623" s="1" t="s">
        <v>16342</v>
      </c>
      <c r="C16623" t="str">
        <f>IFERROR(__xludf.DUMMYFUNCTION("GOOGLETRANSLATE(B16623, ""fr"", ""en"")"),"Trainers 100% satisfied identical product to the Photo, advice to take one size up were justified. I put on the 38, I ordered 39 and it's perfect. Order received VERY FAST compared to the announced date. (The 12.27.2017 instead of 06-16 / 01/2018). Very s"&amp;"atisfied, thank you.")</f>
        <v>Trainers 100% satisfied identical product to the Photo, advice to take one size up were justified. I put on the 38, I ordered 39 and it's perfect. Order received VERY FAST compared to the announced date. (The 12.27.2017 instead of 06-16 / 01/2018). Very satisfied, thank you.</v>
      </c>
    </row>
    <row r="16624">
      <c r="A16624" s="1">
        <v>4.0</v>
      </c>
      <c r="B16624" s="1" t="s">
        <v>16343</v>
      </c>
      <c r="C16624" t="str">
        <f>IFERROR(__xludf.DUMMYFUNCTION("GOOGLETRANSLATE(B16624, ""fr"", ""en"")"),"Bluetooth headsets in-ear quality serviced by an uneven performance These Bluetooth headsets-ear Xiaomi has a priori all: Light, equipped with the latest Bluetooth available today, 5.0, good sound on both sides during phone calls, reasonable autonomy with"&amp;"out being exceptional, etc. Unfortunately, they sin by uneven performance. Let me explain. The initial pairing headsets is effortless; just go out the right atrium first time in his box charging for it as soon appear in the list of devices available for c"&amp;"onnection on your phone (iOS or Android). It's simple and effective. The following time, start out the right atrium (R) of the box to the left and then load (L) so that the connection is made. So, it's all right. Except that sometimes the connection betwe"&amp;"en the right and left atria and / or between the atria and your smartphone is solid and quality in all circumstances (including the phone at the bottom pocket or bag), while other times the simple act of turning his head lost connection or decreases the s"&amp;"ound quality momentarily. Going back headphones in their cases and then highlight a few seconds later fixes the problem. But not always. It's a shame because otherwise Xiaomi has just: - Sound quality (when it works) very good level - charging case fairly"&amp;" small and compact to fit into any pocket - Bluetooth 5.0 - very light headphones that tight fit, even running - resistant to moisture (sweat or rain) - Autonomy headphones in the average (about 4 hours for a recharge time of just under 2 hours) - Ability"&amp;" to reload headphones 4 times before it needs recharging the charge casing - mini USB connection; surprisingly, the cable is not provided - Intelligent management of background noise, particularly appreciated during phone calls - physical button (not touc"&amp;"h) management functionality of the device (answer / reject a call, go to the next song, etc.) - Compatible with Alexa Amazon, Apple and Google Siri Assistant course, as always, Xiaomi provides three standard sizes of ear plugs (S, M and L). In short, the "&amp;"atria to the undeniable qualities; pity about the erratic connection problem. But when it works well, it works really well!")</f>
        <v>Bluetooth headsets in-ear quality serviced by an uneven performance These Bluetooth headsets-ear Xiaomi has a priori all: Light, equipped with the latest Bluetooth available today, 5.0, good sound on both sides during phone calls, reasonable autonomy without being exceptional, etc. Unfortunately, they sin by uneven performance. Let me explain. The initial pairing headsets is effortless; just go out the right atrium first time in his box charging for it as soon appear in the list of devices available for connection on your phone (iOS or Android). It's simple and effective. The following time, start out the right atrium (R) of the box to the left and then load (L) so that the connection is made. So, it's all right. Except that sometimes the connection between the right and left atria and / or between the atria and your smartphone is solid and quality in all circumstances (including the phone at the bottom pocket or bag), while other times the simple act of turning his head lost connection or decreases the sound quality momentarily. Going back headphones in their cases and then highlight a few seconds later fixes the problem. But not always. It's a shame because otherwise Xiaomi has just: - Sound quality (when it works) very good level - charging case fairly small and compact to fit into any pocket - Bluetooth 5.0 - very light headphones that tight fit, even running - resistant to moisture (sweat or rain) - Autonomy headphones in the average (about 4 hours for a recharge time of just under 2 hours) - Ability to reload headphones 4 times before it needs recharging the charge casing - mini USB connection; surprisingly, the cable is not provided - Intelligent management of background noise, particularly appreciated during phone calls - physical button (not touch) management functionality of the device (answer / reject a call, go to the next song, etc.) - Compatible with Alexa Amazon, Apple and Google Siri Assistant course, as always, Xiaomi provides three standard sizes of ear plugs (S, M and L). In short, the atria to the undeniable qualities; pity about the erratic connection problem. But when it works well, it works really well!</v>
      </c>
    </row>
    <row r="16625">
      <c r="A16625" s="1">
        <v>5.0</v>
      </c>
      <c r="B16625" s="1" t="s">
        <v>16344</v>
      </c>
      <c r="C16625" t="str">
        <f>IFERROR(__xludf.DUMMYFUNCTION("GOOGLETRANSLATE(B16625, ""fr"", ""en"")"),"Although Good product, is easily installed, cut the wind as we would like.")</f>
        <v>Although Good product, is easily installed, cut the wind as we would like.</v>
      </c>
    </row>
    <row r="16626">
      <c r="A16626" s="1">
        <v>5.0</v>
      </c>
      <c r="B16626" s="1" t="s">
        <v>16345</v>
      </c>
      <c r="C16626" t="str">
        <f>IFERROR(__xludf.DUMMYFUNCTION("GOOGLETRANSLATE(B16626, ""fr"", ""en"")"),"Super Super best bottle I find it really great for baby and convenient for cleaning ...")</f>
        <v>Super Super best bottle I find it really great for baby and convenient for cleaning ...</v>
      </c>
    </row>
    <row r="16627">
      <c r="A16627" s="1">
        <v>5.0</v>
      </c>
      <c r="B16627" s="1" t="s">
        <v>16346</v>
      </c>
      <c r="C16627" t="str">
        <f>IFERROR(__xludf.DUMMYFUNCTION("GOOGLETRANSLATE(B16627, ""fr"", ""en"")"),"Comment Trèsbienmalheureusement I buy the laces because there was only one")</f>
        <v>Comment Trèsbienmalheureusement I buy the laces because there was only one</v>
      </c>
    </row>
    <row r="16628">
      <c r="A16628" s="1">
        <v>5.0</v>
      </c>
      <c r="B16628" s="1" t="s">
        <v>16347</v>
      </c>
      <c r="C16628" t="str">
        <f>IFERROR(__xludf.DUMMYFUNCTION("GOOGLETRANSLATE(B16628, ""fr"", ""en"")"),"TB BLUE HIGH CAPACITY")</f>
        <v>TB BLUE HIGH CAPACITY</v>
      </c>
    </row>
    <row r="16629">
      <c r="A16629" s="1">
        <v>5.0</v>
      </c>
      <c r="B16629" s="1" t="s">
        <v>16348</v>
      </c>
      <c r="C16629" t="str">
        <f>IFERROR(__xludf.DUMMYFUNCTION("GOOGLETRANSLATE(B16629, ""fr"", ""en"")"),"Such as the picture Pretty, easy to use ideal for tea lovers since the temperature is adjustable. Heats quickly by making a little noise like all kettles I think. Ideal for small spaces, the only people.")</f>
        <v>Such as the picture Pretty, easy to use ideal for tea lovers since the temperature is adjustable. Heats quickly by making a little noise like all kettles I think. Ideal for small spaces, the only people.</v>
      </c>
    </row>
    <row r="16630">
      <c r="A16630" s="1">
        <v>5.0</v>
      </c>
      <c r="B16630" s="1" t="s">
        <v>16349</v>
      </c>
      <c r="C16630" t="str">
        <f>IFERROR(__xludf.DUMMYFUNCTION("GOOGLETRANSLATE(B16630, ""fr"", ""en"")"),"Very good very good for a return to college. The volume is sufficient. Do not be appropriate for high school and college if you have too many books, books and files, especially if you are a half-boarder.")</f>
        <v>Very good very good for a return to college. The volume is sufficient. Do not be appropriate for high school and college if you have too many books, books and files, especially if you are a half-boarder.</v>
      </c>
    </row>
    <row r="16631">
      <c r="A16631" s="1">
        <v>5.0</v>
      </c>
      <c r="B16631" s="1" t="s">
        <v>16350</v>
      </c>
      <c r="C16631" t="str">
        <f>IFERROR(__xludf.DUMMYFUNCTION("GOOGLETRANSLATE(B16631, ""fr"", ""en"")"),"Okay These headphones are perfect. I did not really understand what is the stuff on there but good. Good sound is the most important")</f>
        <v>Okay These headphones are perfect. I did not really understand what is the stuff on there but good. Good sound is the most important</v>
      </c>
    </row>
    <row r="16632">
      <c r="A16632" s="1">
        <v>5.0</v>
      </c>
      <c r="B16632" s="1" t="s">
        <v>16351</v>
      </c>
      <c r="C16632" t="str">
        <f>IFERROR(__xludf.DUMMYFUNCTION("GOOGLETRANSLATE(B16632, ""fr"", ""en"")"),"A very good product A gift for my husband who is very liked the product. perfect size. Very comfortable even after all day. Product as da description.")</f>
        <v>A very good product A gift for my husband who is very liked the product. perfect size. Very comfortable even after all day. Product as da description.</v>
      </c>
    </row>
    <row r="16633">
      <c r="A16633" s="1">
        <v>5.0</v>
      </c>
      <c r="B16633" s="1" t="s">
        <v>16352</v>
      </c>
      <c r="C16633" t="str">
        <f>IFERROR(__xludf.DUMMYFUNCTION("GOOGLETRANSLATE(B16633, ""fr"", ""en"")"),"Stunning Beautiful shoes, I knew I had to take one size smaller because they cut big, so it's perfect I took a 2 pairs for my son and for my daughter! They love")</f>
        <v>Stunning Beautiful shoes, I knew I had to take one size smaller because they cut big, so it's perfect I took a 2 pairs for my son and for my daughter! They love</v>
      </c>
    </row>
    <row r="16634">
      <c r="A16634" s="1">
        <v>5.0</v>
      </c>
      <c r="B16634" s="1" t="s">
        <v>16353</v>
      </c>
      <c r="C16634" t="str">
        <f>IFERROR(__xludf.DUMMYFUNCTION("GOOGLETRANSLATE(B16634, ""fr"", ""en"")"),"👍 Product consistent with what I was looking for a larger container to store my milk in the fridge after the draw. As they are more than 150 g ml, c is less convenient draw to hold them but now the pr 150ml are sufficient to pull the milk. Good product.")</f>
        <v>👍 Product consistent with what I was looking for a larger container to store my milk in the fridge after the draw. As they are more than 150 g ml, c is less convenient draw to hold them but now the pr 150ml are sufficient to pull the milk. Good product.</v>
      </c>
    </row>
    <row r="16635">
      <c r="A16635" s="1">
        <v>5.0</v>
      </c>
      <c r="B16635" s="1" t="s">
        <v>16354</v>
      </c>
      <c r="C16635" t="str">
        <f>IFERROR(__xludf.DUMMYFUNCTION("GOOGLETRANSLATE(B16635, ""fr"", ""en"")"),"Beautiful and comfortable A beautiful black puma pants composed almost 70% cotton. The fabric is quite thick while letting breathe. The finishes are impeccable, as is the link be tightened at the waist. The pants are cut straight and not tight ankles. A b"&amp;"asic garment quality.")</f>
        <v>Beautiful and comfortable A beautiful black puma pants composed almost 70% cotton. The fabric is quite thick while letting breathe. The finishes are impeccable, as is the link be tightened at the waist. The pants are cut straight and not tight ankles. A basic garment quality.</v>
      </c>
    </row>
    <row r="16636">
      <c r="A16636" s="1">
        <v>5.0</v>
      </c>
      <c r="B16636" s="1" t="s">
        <v>16355</v>
      </c>
      <c r="C16636" t="str">
        <f>IFERROR(__xludf.DUMMYFUNCTION("GOOGLETRANSLATE(B16636, ""fr"", ""en"")"),"Elegant and large tank !! Very nice tea, easy to use, good grip, the kettle is perfect in my kitchen. I am very satisfied with this purchase. I recommend :-)")</f>
        <v>Elegant and large tank !! Very nice tea, easy to use, good grip, the kettle is perfect in my kitchen. I am very satisfied with this purchase. I recommend :-)</v>
      </c>
    </row>
    <row r="16637">
      <c r="A16637" s="1">
        <v>5.0</v>
      </c>
      <c r="B16637" s="1" t="s">
        <v>16356</v>
      </c>
      <c r="C16637" t="str">
        <f>IFERROR(__xludf.DUMMYFUNCTION("GOOGLETRANSLATE(B16637, ""fr"", ""en"")"),"SUPER C ""was for a gift, hey yes !! Beautiful, light, pretty, and the size is consistent. Fast delivery. SO, I recommend.")</f>
        <v>SUPER C "was for a gift, hey yes !! Beautiful, light, pretty, and the size is consistent. Fast delivery. SO, I recommend.</v>
      </c>
    </row>
    <row r="16638">
      <c r="A16638" s="1">
        <v>5.0</v>
      </c>
      <c r="B16638" s="1" t="s">
        <v>16357</v>
      </c>
      <c r="C16638" t="str">
        <f>IFERROR(__xludf.DUMMYFUNCTION("GOOGLETRANSLATE(B16638, ""fr"", ""en"")"),"sarisfaite very perfect product as soon received immediately put it is beautiful with my HIPC")</f>
        <v>sarisfaite very perfect product as soon received immediately put it is beautiful with my HIPC</v>
      </c>
    </row>
    <row r="16639">
      <c r="A16639" s="1">
        <v>5.0</v>
      </c>
      <c r="B16639" s="1" t="s">
        <v>16358</v>
      </c>
      <c r="C16639" t="str">
        <f>IFERROR(__xludf.DUMMYFUNCTION("GOOGLETRANSLATE(B16639, ""fr"", ""en"")"),"I recommend. Earpiece Budget really great for that price, I think the quality is really great. I hearts. For bass lovers, everything is there.")</f>
        <v>I recommend. Earpiece Budget really great for that price, I think the quality is really great. I hearts. For bass lovers, everything is there.</v>
      </c>
    </row>
    <row r="16640">
      <c r="A16640" s="1">
        <v>2.0</v>
      </c>
      <c r="B16640" s="1" t="s">
        <v>16359</v>
      </c>
      <c r="C16640" t="str">
        <f>IFERROR(__xludf.DUMMYFUNCTION("GOOGLETRANSLATE(B16640, ""fr"", ""en"")"),"too petiti size and too small")</f>
        <v>too petiti size and too small</v>
      </c>
    </row>
    <row r="16641">
      <c r="A16641" s="1">
        <v>1.0</v>
      </c>
      <c r="B16641" s="1" t="s">
        <v>16360</v>
      </c>
      <c r="C16641" t="str">
        <f>IFERROR(__xludf.DUMMYFUNCTION("GOOGLETRANSLATE(B16641, ""fr"", ""en"")"),"Compatible with Android Testing with my Galaxy Note 8 and the result is worse with the microphone I highly recommend I received it the same day and I sent it back on.")</f>
        <v>Compatible with Android Testing with my Galaxy Note 8 and the result is worse with the microphone I highly recommend I received it the same day and I sent it back on.</v>
      </c>
    </row>
    <row r="16642">
      <c r="A16642" s="1">
        <v>1.0</v>
      </c>
      <c r="B16642" s="1" t="s">
        <v>16361</v>
      </c>
      <c r="C16642" t="str">
        <f>IFERROR(__xludf.DUMMYFUNCTION("GOOGLETRANSLATE(B16642, ""fr"", ""en"")"),"Very expensive for the quality Disappointed in quality, it is very thin and the cord s is already detached on 2 occasions because it is poorly sewn.")</f>
        <v>Very expensive for the quality Disappointed in quality, it is very thin and the cord s is already detached on 2 occasions because it is poorly sewn.</v>
      </c>
    </row>
    <row r="16643">
      <c r="A16643" s="1">
        <v>3.0</v>
      </c>
      <c r="B16643" s="1" t="s">
        <v>16362</v>
      </c>
      <c r="C16643" t="str">
        <f>IFERROR(__xludf.DUMMYFUNCTION("GOOGLETRANSLATE(B16643, ""fr"", ""en"")"),"Handy bag Very good bag sturdy enough trash does not tear value for money")</f>
        <v>Handy bag Very good bag sturdy enough trash does not tear value for money</v>
      </c>
    </row>
    <row r="16644">
      <c r="A16644" s="1">
        <v>3.0</v>
      </c>
      <c r="B16644" s="1" t="s">
        <v>16363</v>
      </c>
      <c r="C16644" t="str">
        <f>IFERROR(__xludf.DUMMYFUNCTION("GOOGLETRANSLATE(B16644, ""fr"", ""en"")"),"Basketball-sex adult Such low basketball is unsuitable for those with a high ""cost of foot"" even taking several sizes more: in fact it is probably better suited to women than men. Moreover, always for strong feet, 3 Velcro straps are troublesome because"&amp;" they overlap each other.")</f>
        <v>Basketball-sex adult Such low basketball is unsuitable for those with a high "cost of foot" even taking several sizes more: in fact it is probably better suited to women than men. Moreover, always for strong feet, 3 Velcro straps are troublesome because they overlap each other.</v>
      </c>
    </row>
    <row r="16645">
      <c r="A16645" s="1">
        <v>4.0</v>
      </c>
      <c r="B16645" s="1" t="s">
        <v>16364</v>
      </c>
      <c r="C16645" t="str">
        <f>IFERROR(__xludf.DUMMYFUNCTION("GOOGLETRANSLATE(B16645, ""fr"", ""en"")"),"Good quality - nice to wear zipped sweatshirt filled its function")</f>
        <v>Good quality - nice to wear zipped sweatshirt filled its function</v>
      </c>
    </row>
    <row r="16646">
      <c r="A16646" s="1">
        <v>4.0</v>
      </c>
      <c r="B16646" s="1" t="s">
        <v>16365</v>
      </c>
      <c r="C16646" t="str">
        <f>IFERROR(__xludf.DUMMYFUNCTION("GOOGLETRANSLATE(B16646, ""fr"", ""en"")"),"Good product overall Very convenient to mix the milk thickened without lumps just a flat stem is hard to remove for washing so I take it off more.")</f>
        <v>Good product overall Very convenient to mix the milk thickened without lumps just a flat stem is hard to remove for washing so I take it off more.</v>
      </c>
    </row>
    <row r="16647">
      <c r="A16647" s="1">
        <v>4.0</v>
      </c>
      <c r="B16647" s="1" t="s">
        <v>16366</v>
      </c>
      <c r="C16647" t="str">
        <f>IFERROR(__xludf.DUMMYFUNCTION("GOOGLETRANSLATE(B16647, ""fr"", ""en"")"),"Pretty dress Pretty delivered on time this pretty schoolboy and loop ears background a pretty cheap gifts")</f>
        <v>Pretty dress Pretty delivered on time this pretty schoolboy and loop ears background a pretty cheap gifts</v>
      </c>
    </row>
    <row r="16648">
      <c r="A16648" s="1">
        <v>4.0</v>
      </c>
      <c r="B16648" s="1" t="s">
        <v>16367</v>
      </c>
      <c r="C16648" t="str">
        <f>IFERROR(__xludf.DUMMYFUNCTION("GOOGLETRANSLATE(B16648, ""fr"", ""en"")"),"Combi off Product different from the picture, very leg too long. Very comfortable to wear. Very hot. Beautiful patterns.")</f>
        <v>Combi off Product different from the picture, very leg too long. Very comfortable to wear. Very hot. Beautiful patterns.</v>
      </c>
    </row>
    <row r="16649">
      <c r="A16649" s="1">
        <v>5.0</v>
      </c>
      <c r="B16649" s="1" t="s">
        <v>16368</v>
      </c>
      <c r="C16649" t="str">
        <f>IFERROR(__xludf.DUMMYFUNCTION("GOOGLETRANSLATE(B16649, ""fr"", ""en"")"),"Really perfect I tried it, and after a few minutes, many of my pains had disappeared. I'm not back, because I was quite skeptical at departure. I recommend this little.")</f>
        <v>Really perfect I tried it, and after a few minutes, many of my pains had disappeared. I'm not back, because I was quite skeptical at departure. I recommend this little.</v>
      </c>
    </row>
    <row r="16650">
      <c r="A16650" s="1">
        <v>5.0</v>
      </c>
      <c r="B16650" s="1" t="s">
        <v>16369</v>
      </c>
      <c r="C16650" t="str">
        <f>IFERROR(__xludf.DUMMYFUNCTION("GOOGLETRANSLATE(B16650, ""fr"", ""en"")"),"They are great trainers. Comfortable. They feel super good it's a bit weird to say this but it's true, they have a vanilla scent")</f>
        <v>They are great trainers. Comfortable. They feel super good it's a bit weird to say this but it's true, they have a vanilla scent</v>
      </c>
    </row>
    <row r="16651">
      <c r="A16651" s="1">
        <v>5.0</v>
      </c>
      <c r="B16651" s="1" t="s">
        <v>16370</v>
      </c>
      <c r="C16651" t="str">
        <f>IFERROR(__xludf.DUMMYFUNCTION("GOOGLETRANSLATE(B16651, ""fr"", ""en"")"),"Satisfied Same as comfortable resistance description to see after use")</f>
        <v>Satisfied Same as comfortable resistance description to see after use</v>
      </c>
    </row>
    <row r="16652">
      <c r="A16652" s="1">
        <v>5.0</v>
      </c>
      <c r="B16652" s="1" t="s">
        <v>16371</v>
      </c>
      <c r="C16652" t="str">
        <f>IFERROR(__xludf.DUMMYFUNCTION("GOOGLETRANSLATE(B16652, ""fr"", ""en"")"),"Bluetooth Headset nice I am very happy with these headphones without son. Tested with several styles of music. its good quality. The bass are well presented. Good battery life. The material and the look are nice.")</f>
        <v>Bluetooth Headset nice I am very happy with these headphones without son. Tested with several styles of music. its good quality. The bass are well presented. Good battery life. The material and the look are nice.</v>
      </c>
    </row>
    <row r="16653">
      <c r="A16653" s="1">
        <v>5.0</v>
      </c>
      <c r="B16653" s="1" t="s">
        <v>16372</v>
      </c>
      <c r="C16653" t="str">
        <f>IFERROR(__xludf.DUMMYFUNCTION("GOOGLETRANSLATE(B16653, ""fr"", ""en"")"),"Beautiful necklace amber necklace Very pretty dambre received in a small black bag color corresponds to the image (honey color). Clasp to screw 😊 very happy with the result of my little girl.")</f>
        <v>Beautiful necklace amber necklace Very pretty dambre received in a small black bag color corresponds to the image (honey color). Clasp to screw 😊 very happy with the result of my little girl.</v>
      </c>
    </row>
    <row r="16654">
      <c r="A16654" s="1">
        <v>5.0</v>
      </c>
      <c r="B16654" s="1" t="s">
        <v>16373</v>
      </c>
      <c r="C16654" t="str">
        <f>IFERROR(__xludf.DUMMYFUNCTION("GOOGLETRANSLATE(B16654, ""fr"", ""en"")"),"Beautiful original color basketball My daughter loves them very comfortable .. originale..très")</f>
        <v>Beautiful original color basketball My daughter loves them very comfortable .. originale..très</v>
      </c>
    </row>
    <row r="16655">
      <c r="A16655" s="1">
        <v>5.0</v>
      </c>
      <c r="B16655" s="1" t="s">
        <v>16374</v>
      </c>
      <c r="C16655" t="str">
        <f>IFERROR(__xludf.DUMMYFUNCTION("GOOGLETRANSLATE(B16655, ""fr"", ""en"")"),"Very nice Very nice watch")</f>
        <v>Very nice Very nice watch</v>
      </c>
    </row>
    <row r="16656">
      <c r="A16656" s="1">
        <v>5.0</v>
      </c>
      <c r="B16656" s="1" t="s">
        <v>16375</v>
      </c>
      <c r="C16656" t="str">
        <f>IFERROR(__xludf.DUMMYFUNCTION("GOOGLETRANSLATE(B16656, ""fr"", ""en"")"),"nice article Article consistent in size and quality, not disappointed")</f>
        <v>nice article Article consistent in size and quality, not disappointed</v>
      </c>
    </row>
    <row r="16657">
      <c r="A16657" s="1">
        <v>5.0</v>
      </c>
      <c r="B16657" s="1" t="s">
        <v>16376</v>
      </c>
      <c r="C16657" t="str">
        <f>IFERROR(__xludf.DUMMYFUNCTION("GOOGLETRANSLATE(B16657, ""fr"", ""en"")"),"good quality product Very happy with the quality of the products of this brand")</f>
        <v>good quality product Very happy with the quality of the products of this brand</v>
      </c>
    </row>
    <row r="16658">
      <c r="A16658" s="1">
        <v>5.0</v>
      </c>
      <c r="B16658" s="1" t="s">
        <v>16377</v>
      </c>
      <c r="C16658" t="str">
        <f>IFERROR(__xludf.DUMMYFUNCTION("GOOGLETRANSLATE(B16658, ""fr"", ""en"")"),"plastic pouch Okay")</f>
        <v>plastic pouch Okay</v>
      </c>
    </row>
    <row r="16659">
      <c r="A16659" s="1">
        <v>5.0</v>
      </c>
      <c r="B16659" s="1" t="s">
        <v>4637</v>
      </c>
      <c r="C16659" t="str">
        <f>IFERROR(__xludf.DUMMYFUNCTION("GOOGLETRANSLATE(B16659, ""fr"", ""en"")"),"well well")</f>
        <v>well well</v>
      </c>
    </row>
    <row r="16660">
      <c r="A16660" s="1">
        <v>5.0</v>
      </c>
      <c r="B16660" s="1" t="s">
        <v>16378</v>
      </c>
      <c r="C16660" t="str">
        <f>IFERROR(__xludf.DUMMYFUNCTION("GOOGLETRANSLATE(B16660, ""fr"", ""en"")"),"Perfect service from Amazon, as usual! Perfect service from Amazon, as usual! For better image rendering and better conservation of events, I always used inks manufacturer and I have never been clogged nozzles on my various printers.")</f>
        <v>Perfect service from Amazon, as usual! Perfect service from Amazon, as usual! For better image rendering and better conservation of events, I always used inks manufacturer and I have never been clogged nozzles on my various printers.</v>
      </c>
    </row>
    <row r="16661">
      <c r="A16661" s="1">
        <v>5.0</v>
      </c>
      <c r="B16661" s="1" t="s">
        <v>16379</v>
      </c>
      <c r="C16661" t="str">
        <f>IFERROR(__xludf.DUMMYFUNCTION("GOOGLETRANSLATE(B16661, ""fr"", ""en"")"),"Trainers J adore sneakers are n not see all the packaging has been well designed pkus arrives faster than expected Shoe-I of 39 and I have ordered 39 frankly I'm very pleased they are too cool I am in and I wear them from morning to night without sufferin"&amp;"g I highly recommend you")</f>
        <v>Trainers J adore sneakers are n not see all the packaging has been well designed pkus arrives faster than expected Shoe-I of 39 and I have ordered 39 frankly I'm very pleased they are too cool I am in and I wear them from morning to night without suffering I highly recommend you</v>
      </c>
    </row>
    <row r="16662">
      <c r="A16662" s="1">
        <v>5.0</v>
      </c>
      <c r="B16662" s="1" t="s">
        <v>16380</v>
      </c>
      <c r="C16662" t="str">
        <f>IFERROR(__xludf.DUMMYFUNCTION("GOOGLETRANSLATE(B16662, ""fr"", ""en"")"),"Wrist of man Very nice but too big for a woman")</f>
        <v>Wrist of man Very nice but too big for a woman</v>
      </c>
    </row>
    <row r="16663">
      <c r="A16663" s="1">
        <v>5.0</v>
      </c>
      <c r="B16663" s="1" t="s">
        <v>16381</v>
      </c>
      <c r="C16663" t="str">
        <f>IFERROR(__xludf.DUMMYFUNCTION("GOOGLETRANSLATE(B16663, ""fr"", ""en"")"),"Very good Superb nice hat to wear very good to reach only in the winter I recommend fast delivery there wool and warm weather I recommend")</f>
        <v>Very good Superb nice hat to wear very good to reach only in the winter I recommend fast delivery there wool and warm weather I recommend</v>
      </c>
    </row>
    <row r="16664">
      <c r="A16664" s="1">
        <v>2.0</v>
      </c>
      <c r="B16664" s="1" t="s">
        <v>16382</v>
      </c>
      <c r="C16664" t="str">
        <f>IFERROR(__xludf.DUMMYFUNCTION("GOOGLETRANSLATE(B16664, ""fr"", ""en"")"),"low quality for the price of low-quality hand over the price")</f>
        <v>low quality for the price of low-quality hand over the price</v>
      </c>
    </row>
    <row r="16665">
      <c r="A16665" s="1">
        <v>1.0</v>
      </c>
      <c r="B16665" s="1" t="s">
        <v>16383</v>
      </c>
      <c r="C16665" t="str">
        <f>IFERROR(__xludf.DUMMYFUNCTION("GOOGLETRANSLATE(B16665, ""fr"", ""en"")"),"No I put them once they are too bad although I took a size more")</f>
        <v>No I put them once they are too bad although I took a size more</v>
      </c>
    </row>
    <row r="16666">
      <c r="A16666" s="1">
        <v>1.0</v>
      </c>
      <c r="B16666" s="1" t="s">
        <v>16384</v>
      </c>
      <c r="C16666" t="str">
        <f>IFERROR(__xludf.DUMMYFUNCTION("GOOGLETRANSLATE(B16666, ""fr"", ""en"")"),"Decue Disappointed I thought it was compatible with everything but it is only with Apple, I know they are, but Apple is not known to use headphones with other devices ....")</f>
        <v>Decue Disappointed I thought it was compatible with everything but it is only with Apple, I know they are, but Apple is not known to use headphones with other devices ....</v>
      </c>
    </row>
    <row r="16667">
      <c r="A16667" s="1">
        <v>3.0</v>
      </c>
      <c r="B16667" s="1" t="s">
        <v>16385</v>
      </c>
      <c r="C16667" t="str">
        <f>IFERROR(__xludf.DUMMYFUNCTION("GOOGLETRANSLATE(B16667, ""fr"", ""en"")"),"Warning for kitten The product size is consistent. I'm pretty disappointed with the quality of the fabric thicker than I thought ... I do not recommend for large cats.")</f>
        <v>Warning for kitten The product size is consistent. I'm pretty disappointed with the quality of the fabric thicker than I thought ... I do not recommend for large cats.</v>
      </c>
    </row>
    <row r="16668">
      <c r="A16668" s="1">
        <v>4.0</v>
      </c>
      <c r="B16668" s="1" t="s">
        <v>16386</v>
      </c>
      <c r="C16668" t="str">
        <f>IFERROR(__xludf.DUMMYFUNCTION("GOOGLETRANSLATE(B16668, ""fr"", ""en"")"),"Pretty cool Bottles bottles and consistent with the description. Solid, practical, taken in friendly hands. Supplied with 2 teats flow 3. I recommend.")</f>
        <v>Pretty cool Bottles bottles and consistent with the description. Solid, practical, taken in friendly hands. Supplied with 2 teats flow 3. I recommend.</v>
      </c>
    </row>
    <row r="16669">
      <c r="A16669" s="1">
        <v>4.0</v>
      </c>
      <c r="B16669" s="1" t="s">
        <v>16387</v>
      </c>
      <c r="C16669" t="str">
        <f>IFERROR(__xludf.DUMMYFUNCTION("GOOGLETRANSLATE(B16669, ""fr"", ""en"")"),"Socks Very comfortable and strong")</f>
        <v>Socks Very comfortable and strong</v>
      </c>
    </row>
    <row r="16670">
      <c r="A16670" s="1">
        <v>4.0</v>
      </c>
      <c r="B16670" s="1" t="s">
        <v>16388</v>
      </c>
      <c r="C16670" t="str">
        <f>IFERROR(__xludf.DUMMYFUNCTION("GOOGLETRANSLATE(B16670, ""fr"", ""en"")"),"Dress Beautiful velvet dress and pretty velvet.")</f>
        <v>Dress Beautiful velvet dress and pretty velvet.</v>
      </c>
    </row>
    <row r="16671">
      <c r="A16671" s="1">
        <v>4.0</v>
      </c>
      <c r="B16671" s="1" t="s">
        <v>16389</v>
      </c>
      <c r="C16671" t="str">
        <f>IFERROR(__xludf.DUMMYFUNCTION("GOOGLETRANSLATE(B16671, ""fr"", ""en"")"),"Shiatsu massager I love this device that relaxes after use. careful anyway for sensitive people because some pressure points can be very painful to the passage of balls.")</f>
        <v>Shiatsu massager I love this device that relaxes after use. careful anyway for sensitive people because some pressure points can be very painful to the passage of balls.</v>
      </c>
    </row>
    <row r="16672">
      <c r="A16672" s="1">
        <v>5.0</v>
      </c>
      <c r="B16672" s="1" t="s">
        <v>16390</v>
      </c>
      <c r="C16672" t="str">
        <f>IFERROR(__xludf.DUMMYFUNCTION("GOOGLETRANSLATE(B16672, ""fr"", ""en"")"),"Good size . Super slippers, comfortable and nice size 46/47 and is well suited.")</f>
        <v>Good size . Super slippers, comfortable and nice size 46/47 and is well suited.</v>
      </c>
    </row>
    <row r="16673">
      <c r="A16673" s="1">
        <v>5.0</v>
      </c>
      <c r="B16673" s="1" t="s">
        <v>16391</v>
      </c>
      <c r="C16673" t="str">
        <f>IFERROR(__xludf.DUMMYFUNCTION("GOOGLETRANSLATE(B16673, ""fr"", ""en"")"),"Super Conforms to the description the product is original.")</f>
        <v>Super Conforms to the description the product is original.</v>
      </c>
    </row>
    <row r="16674">
      <c r="A16674" s="1">
        <v>5.0</v>
      </c>
      <c r="B16674" s="1" t="s">
        <v>16392</v>
      </c>
      <c r="C16674" t="str">
        <f>IFERROR(__xludf.DUMMYFUNCTION("GOOGLETRANSLATE(B16674, ""fr"", ""en"")"),"The sound value %% &amp; amp; &amp; amp; !!! ""Very practical to have no son to unravel, the sound quality is correct and they keep well in the ears. And they are connected directly, no need of setting. Unfortunately when I received the box was a knock .. I will "&amp;"not return because I need it but shame because it very well at any point &amp; amp; &amp; amp; * !!!!!")</f>
        <v>The sound value %% &amp; amp; &amp; amp; !!! "Very practical to have no son to unravel, the sound quality is correct and they keep well in the ears. And they are connected directly, no need of setting. Unfortunately when I received the box was a knock .. I will not return because I need it but shame because it very well at any point &amp; amp; &amp; amp; * !!!!!</v>
      </c>
    </row>
    <row r="16675">
      <c r="A16675" s="1">
        <v>5.0</v>
      </c>
      <c r="B16675" s="1" t="s">
        <v>16393</v>
      </c>
      <c r="C16675" t="str">
        <f>IFERROR(__xludf.DUMMYFUNCTION("GOOGLETRANSLATE(B16675, ""fr"", ""en"")"),"Very good quality / price I bought these shoes to replace my worn running. It is very well finished, with materials that inspires quality. Comfortable enough it will be perfect for my little walks!")</f>
        <v>Very good quality / price I bought these shoes to replace my worn running. It is very well finished, with materials that inspires quality. Comfortable enough it will be perfect for my little walks!</v>
      </c>
    </row>
    <row r="16676">
      <c r="A16676" s="1">
        <v>5.0</v>
      </c>
      <c r="B16676" s="1" t="s">
        <v>16394</v>
      </c>
      <c r="C16676" t="str">
        <f>IFERROR(__xludf.DUMMYFUNCTION("GOOGLETRANSLATE(B16676, ""fr"", ""en"")"),"Good product Installation is very simple, it works with both USB and WiFi, photo print quality is good and office entirely correct. The touch screen is pleasant to use. This product is, in my opinion, well suited for regular use at home.")</f>
        <v>Good product Installation is very simple, it works with both USB and WiFi, photo print quality is good and office entirely correct. The touch screen is pleasant to use. This product is, in my opinion, well suited for regular use at home.</v>
      </c>
    </row>
    <row r="16677">
      <c r="A16677" s="1">
        <v>5.0</v>
      </c>
      <c r="B16677" s="1" t="s">
        <v>16395</v>
      </c>
      <c r="C16677" t="str">
        <f>IFERROR(__xludf.DUMMYFUNCTION("GOOGLETRANSLATE(B16677, ""fr"", ""en"")"),"The good products and bracelets too rigid and therefore fragile for work. Otherwise very good product.")</f>
        <v>The good products and bracelets too rigid and therefore fragile for work. Otherwise very good product.</v>
      </c>
    </row>
    <row r="16678">
      <c r="A16678" s="1">
        <v>5.0</v>
      </c>
      <c r="B16678" s="1" t="s">
        <v>16396</v>
      </c>
      <c r="C16678" t="str">
        <f>IFERROR(__xludf.DUMMYFUNCTION("GOOGLETRANSLATE(B16678, ""fr"", ""en"")"),"Good product resistant bags Good")</f>
        <v>Good product resistant bags Good</v>
      </c>
    </row>
    <row r="16679">
      <c r="A16679" s="1">
        <v>5.0</v>
      </c>
      <c r="B16679" s="1" t="s">
        <v>16397</v>
      </c>
      <c r="C16679" t="str">
        <f>IFERROR(__xludf.DUMMYFUNCTION("GOOGLETRANSLATE(B16679, ""fr"", ""en"")"),"Very good I use it every night mixed with oil of tea.")</f>
        <v>Very good I use it every night mixed with oil of tea.</v>
      </c>
    </row>
    <row r="16680">
      <c r="A16680" s="1">
        <v>5.0</v>
      </c>
      <c r="B16680" s="1" t="s">
        <v>16398</v>
      </c>
      <c r="C16680" t="str">
        <f>IFERROR(__xludf.DUMMYFUNCTION("GOOGLETRANSLATE(B16680, ""fr"", ""en"")"),"the little black basketball I was looking for a pair of basketball black full black (even the sole). This model of Vans is light and comfortable thanks to the thick sole. The price is 10 to 15 euro less than in stores (this is the advantage). Permeable an"&amp;"d little insulation, it is ideal for summer.")</f>
        <v>the little black basketball I was looking for a pair of basketball black full black (even the sole). This model of Vans is light and comfortable thanks to the thick sole. The price is 10 to 15 euro less than in stores (this is the advantage). Permeable and little insulation, it is ideal for summer.</v>
      </c>
    </row>
    <row r="16681">
      <c r="A16681" s="1">
        <v>5.0</v>
      </c>
      <c r="B16681" s="1" t="s">
        <v>16399</v>
      </c>
      <c r="C16681" t="str">
        <f>IFERROR(__xludf.DUMMYFUNCTION("GOOGLETRANSLATE(B16681, ""fr"", ""en"")"),"I am very glad I am very happy with these awake. It has everything (FM radio, light, time, alarm, alarm clock sunrise simulation of light for alarm, also with different sounds ...) and you can adjust everything very easy with the touch-sensitive buttons f"&amp;"or me are wonderful. On the other hand, the design is very beautiful, modern and minimalist. I made a good purchase :)")</f>
        <v>I am very glad I am very happy with these awake. It has everything (FM radio, light, time, alarm, alarm clock sunrise simulation of light for alarm, also with different sounds ...) and you can adjust everything very easy with the touch-sensitive buttons for me are wonderful. On the other hand, the design is very beautiful, modern and minimalist. I made a good purchase :)</v>
      </c>
    </row>
    <row r="16682">
      <c r="A16682" s="1">
        <v>5.0</v>
      </c>
      <c r="B16682" s="1" t="s">
        <v>16400</v>
      </c>
      <c r="C16682" t="str">
        <f>IFERROR(__xludf.DUMMYFUNCTION("GOOGLETRANSLATE(B16682, ""fr"", ""en"")"),"Super Nice shoes that provide a nice outline feet. They are comfortable to wear although more rigid than conventional vans, however, they are more resistant and not get dirty easily.")</f>
        <v>Super Nice shoes that provide a nice outline feet. They are comfortable to wear although more rigid than conventional vans, however, they are more resistant and not get dirty easily.</v>
      </c>
    </row>
    <row r="16683">
      <c r="A16683" s="1">
        <v>5.0</v>
      </c>
      <c r="B16683" s="1" t="s">
        <v>16401</v>
      </c>
      <c r="C16683" t="str">
        <f>IFERROR(__xludf.DUMMYFUNCTION("GOOGLETRANSLATE(B16683, ""fr"", ""en"")"),"No problem for every day.")</f>
        <v>No problem for every day.</v>
      </c>
    </row>
    <row r="16684">
      <c r="A16684" s="1">
        <v>5.0</v>
      </c>
      <c r="B16684" s="1" t="s">
        <v>16402</v>
      </c>
      <c r="C16684" t="str">
        <f>IFERROR(__xludf.DUMMYFUNCTION("GOOGLETRANSLATE(B16684, ""fr"", ""en"")"),"I wanted a cat pendant necklace original, it is! modern, the cat is matte and shiny chain, I had not seen the fish, but it's fun.")</f>
        <v>I wanted a cat pendant necklace original, it is! modern, the cat is matte and shiny chain, I had not seen the fish, but it's fun.</v>
      </c>
    </row>
    <row r="16685">
      <c r="A16685" s="1">
        <v>5.0</v>
      </c>
      <c r="B16685" s="1" t="s">
        <v>16403</v>
      </c>
      <c r="C16685" t="str">
        <f>IFERROR(__xludf.DUMMYFUNCTION("GOOGLETRANSLATE(B16685, ""fr"", ""en"")"),"impeccable COMPLIANT")</f>
        <v>impeccable COMPLIANT</v>
      </c>
    </row>
    <row r="16686">
      <c r="A16686" s="1">
        <v>5.0</v>
      </c>
      <c r="B16686" s="1" t="s">
        <v>16404</v>
      </c>
      <c r="C16686" t="str">
        <f>IFERROR(__xludf.DUMMYFUNCTION("GOOGLETRANSLATE(B16686, ""fr"", ""en"")"),"timeless watch! 🏆Pour my brother's birthday, I bought this watch for its beauty and timelessness. The watch is awesome and fits like a glove to the handful of my brother. 🌟La his very correct quality and finish for the price 30-35 € The glass is very go"&amp;"od and is resistant to scratches. The strap is soft. Frankly amazed by the price! The pros: ❤️Prix ❤️Design finish and automatic ❤️Bracelet leather ❤️Montre ❤️Notice ❤️Montre The timeless -: ⚠️Packaging low end ❤️❤️Mon brother love it!")</f>
        <v>timeless watch! 🏆Pour my brother's birthday, I bought this watch for its beauty and timelessness. The watch is awesome and fits like a glove to the handful of my brother. 🌟La his very correct quality and finish for the price 30-35 € The glass is very good and is resistant to scratches. The strap is soft. Frankly amazed by the price! The pros: ❤️Prix ❤️Design finish and automatic ❤️Bracelet leather ❤️Montre ❤️Notice ❤️Montre The timeless -: ⚠️Packaging low end ❤️❤️Mon brother love it!</v>
      </c>
    </row>
    <row r="16687">
      <c r="A16687" s="1">
        <v>2.0</v>
      </c>
      <c r="B16687" s="1" t="s">
        <v>16405</v>
      </c>
      <c r="C16687" t="str">
        <f>IFERROR(__xludf.DUMMYFUNCTION("GOOGLETRANSLATE(B16687, ""fr"", ""en"")"),"Smell very desagreablev For against unpleasant odor Washed several times with vinegar and other produces the strong smell of plastic does not share")</f>
        <v>Smell very desagreablev For against unpleasant odor Washed several times with vinegar and other produces the strong smell of plastic does not share</v>
      </c>
    </row>
    <row r="16688">
      <c r="A16688" s="1">
        <v>1.0</v>
      </c>
      <c r="B16688" s="1" t="s">
        <v>16406</v>
      </c>
      <c r="C16688" t="str">
        <f>IFERROR(__xludf.DUMMYFUNCTION("GOOGLETRANSLATE(B16688, ""fr"", ""en"")"),"Poor It must have cost Rubbish sound, there telephony mode has just one earphone that works and sound earpiece is very bad I sent the product")</f>
        <v>Poor It must have cost Rubbish sound, there telephony mode has just one earphone that works and sound earpiece is very bad I sent the product</v>
      </c>
    </row>
    <row r="16689">
      <c r="A16689" s="1">
        <v>3.0</v>
      </c>
      <c r="B16689" s="1" t="s">
        <v>16407</v>
      </c>
      <c r="C16689" t="str">
        <f>IFERROR(__xludf.DUMMYFUNCTION("GOOGLETRANSLATE(B16689, ""fr"", ""en"")"),"gadget a little gadget, but he writes well")</f>
        <v>gadget a little gadget, but he writes well</v>
      </c>
    </row>
    <row r="16690">
      <c r="A16690" s="1">
        <v>3.0</v>
      </c>
      <c r="B16690" s="1" t="s">
        <v>16408</v>
      </c>
      <c r="C16690" t="str">
        <f>IFERROR(__xludf.DUMMYFUNCTION("GOOGLETRANSLATE(B16690, ""fr"", ""en"")"),"a little disappointed .. Everyone talks about black soap and magic ... I do not find at all. This one feels very strong compared to another brand and very viscous. I do not agree with this or has this brand. Besides it took to buy two to be able to receiv"&amp;"e ..")</f>
        <v>a little disappointed .. Everyone talks about black soap and magic ... I do not find at all. This one feels very strong compared to another brand and very viscous. I do not agree with this or has this brand. Besides it took to buy two to be able to receive ..</v>
      </c>
    </row>
    <row r="16691">
      <c r="A16691" s="1">
        <v>4.0</v>
      </c>
      <c r="B16691" s="1" t="s">
        <v>16409</v>
      </c>
      <c r="C16691" t="str">
        <f>IFERROR(__xludf.DUMMYFUNCTION("GOOGLETRANSLATE(B16691, ""fr"", ""en"")"),"Disconcerting but comfortable! .... I must admit that reception we all said, seeing the ""what it is that this stuff"" but after testing we all reached agreement on that firstly they are comfortable and that the other, the ""spikes"" silicone hold in plac"&amp;"e the foot in the basketball and the best seem to support. Good quality workmanship, they are quite breathable and will not heat up even the feet if they are not 100% cotton. One size they are without tourniquet effect at the leg that's fine then see in t"&amp;"ime their holding after repeated washes and uses, but for now it's trying to adopt them ;-)")</f>
        <v>Disconcerting but comfortable! .... I must admit that reception we all said, seeing the "what it is that this stuff" but after testing we all reached agreement on that firstly they are comfortable and that the other, the "spikes" silicone hold in place the foot in the basketball and the best seem to support. Good quality workmanship, they are quite breathable and will not heat up even the feet if they are not 100% cotton. One size they are without tourniquet effect at the leg that's fine then see in time their holding after repeated washes and uses, but for now it's trying to adopt them ;-)</v>
      </c>
    </row>
    <row r="16692">
      <c r="A16692" s="1">
        <v>4.0</v>
      </c>
      <c r="B16692" s="1" t="s">
        <v>16410</v>
      </c>
      <c r="C16692" t="str">
        <f>IFERROR(__xludf.DUMMYFUNCTION("GOOGLETRANSLATE(B16692, ""fr"", ""en"")"),"Good buy no promo for this purchase, so I put 4/5 because the price remains high. gluttonous consumption of these Pilot pens, so you have to buy several refills. But the ink remains very well, writing is fluid, it flows well. It's still the best mark in t"&amp;"he field of erasable pens by this system.")</f>
        <v>Good buy no promo for this purchase, so I put 4/5 because the price remains high. gluttonous consumption of these Pilot pens, so you have to buy several refills. But the ink remains very well, writing is fluid, it flows well. It's still the best mark in the field of erasable pens by this system.</v>
      </c>
    </row>
    <row r="16693">
      <c r="A16693" s="1">
        <v>4.0</v>
      </c>
      <c r="B16693" s="1" t="s">
        <v>16411</v>
      </c>
      <c r="C16693" t="str">
        <f>IFERROR(__xludf.DUMMYFUNCTION("GOOGLETRANSLATE(B16693, ""fr"", ""en"")"),"Very good effective product I use before my sessions muscle building and it's great less pain and the sensation of heat is really nice. urges athletes")</f>
        <v>Very good effective product I use before my sessions muscle building and it's great less pain and the sensation of heat is really nice. urges athletes</v>
      </c>
    </row>
    <row r="16694">
      <c r="A16694" s="1">
        <v>4.0</v>
      </c>
      <c r="B16694" s="1" t="s">
        <v>16412</v>
      </c>
      <c r="C16694" t="str">
        <f>IFERROR(__xludf.DUMMYFUNCTION("GOOGLETRANSLATE(B16694, ""fr"", ""en"")"),"ANKLE To heat 20/20 .... they are comfortable for outdoor when it rains they take the water, so if they go in the snow C IS LIKE THIS! They are not waterproof A FAREWELL WITH SUPPLIER!")</f>
        <v>ANKLE To heat 20/20 .... they are comfortable for outdoor when it rains they take the water, so if they go in the snow C IS LIKE THIS! They are not waterproof A FAREWELL WITH SUPPLIER!</v>
      </c>
    </row>
    <row r="16695">
      <c r="A16695" s="1">
        <v>5.0</v>
      </c>
      <c r="B16695" s="1" t="s">
        <v>16413</v>
      </c>
      <c r="C16695" t="str">
        <f>IFERROR(__xludf.DUMMYFUNCTION("GOOGLETRANSLATE(B16695, ""fr"", ""en"")"),"Good product. I am satisfied Good product. I'm satisfied")</f>
        <v>Good product. I am satisfied Good product. I'm satisfied</v>
      </c>
    </row>
    <row r="16696">
      <c r="A16696" s="1">
        <v>5.0</v>
      </c>
      <c r="B16696" s="1" t="s">
        <v>16414</v>
      </c>
      <c r="C16696" t="str">
        <f>IFERROR(__xludf.DUMMYFUNCTION("GOOGLETRANSLATE(B16696, ""fr"", ""en"")"),"perfect product Upon first use the earphones are connected smoothly to my phone. Possibility to use one or both. The earphone storage box, doing basic office design reloading is really small. The display indicating the load earphones is a plus.")</f>
        <v>perfect product Upon first use the earphones are connected smoothly to my phone. Possibility to use one or both. The earphone storage box, doing basic office design reloading is really small. The display indicating the load earphones is a plus.</v>
      </c>
    </row>
    <row r="16697">
      <c r="A16697" s="1">
        <v>5.0</v>
      </c>
      <c r="B16697" s="1" t="s">
        <v>16415</v>
      </c>
      <c r="C16697" t="str">
        <f>IFERROR(__xludf.DUMMYFUNCTION("GOOGLETRANSLATE(B16697, ""fr"", ""en"")"),"Perfect Perfect!")</f>
        <v>Perfect Perfect!</v>
      </c>
    </row>
    <row r="16698">
      <c r="A16698" s="1">
        <v>5.0</v>
      </c>
      <c r="B16698" s="1" t="s">
        <v>16416</v>
      </c>
      <c r="C16698" t="str">
        <f>IFERROR(__xludf.DUMMYFUNCTION("GOOGLETRANSLATE(B16698, ""fr"", ""en"")"),"Wonderful shows About this nice watch very light product quality good price well packaged in a precious bag is also made to offer as gifts, beautiful midnight blue I love I am very happy with my purchase nothing to say I recommend it without hesitation so"&amp;"rry for the photo and that's helpful for me thank you amazon.")</f>
        <v>Wonderful shows About this nice watch very light product quality good price well packaged in a precious bag is also made to offer as gifts, beautiful midnight blue I love I am very happy with my purchase nothing to say I recommend it without hesitation sorry for the photo and that's helpful for me thank you amazon.</v>
      </c>
    </row>
    <row r="16699">
      <c r="A16699" s="1">
        <v>5.0</v>
      </c>
      <c r="B16699" s="1" t="s">
        <v>16417</v>
      </c>
      <c r="C16699" t="str">
        <f>IFERROR(__xludf.DUMMYFUNCTION("GOOGLETRANSLATE(B16699, ""fr"", ""en"")"),"Very friendly and good quality / price I normally shoe size 44 (28.5 cm foot) and in this size I'm a little cramped in these shoes, especially in width. I took a half size above (44.5) and it's perfect. Other than that, they are comfortable and aesthetica"&amp;"lly very nice (I just receive them so I do not say to me on their sustainability).")</f>
        <v>Very friendly and good quality / price I normally shoe size 44 (28.5 cm foot) and in this size I'm a little cramped in these shoes, especially in width. I took a half size above (44.5) and it's perfect. Other than that, they are comfortable and aesthetically very nice (I just receive them so I do not say to me on their sustainability).</v>
      </c>
    </row>
    <row r="16700">
      <c r="A16700" s="1">
        <v>5.0</v>
      </c>
      <c r="B16700" s="1" t="s">
        <v>16418</v>
      </c>
      <c r="C16700" t="str">
        <f>IFERROR(__xludf.DUMMYFUNCTION("GOOGLETRANSLATE(B16700, ""fr"", ""en"")"),"Very good price / quality ratio The product matches the description. The disign is not bad, beautiful material. There are many functions but simple enough to use. My biggest fear was the radio because in complicated we capture. Well, I am delighted. Satis"&amp;"fied with my purchase.")</f>
        <v>Very good price / quality ratio The product matches the description. The disign is not bad, beautiful material. There are many functions but simple enough to use. My biggest fear was the radio because in complicated we capture. Well, I am delighted. Satisfied with my purchase.</v>
      </c>
    </row>
    <row r="16701">
      <c r="A16701" s="1">
        <v>5.0</v>
      </c>
      <c r="B16701" s="1" t="s">
        <v>16419</v>
      </c>
      <c r="C16701" t="str">
        <f>IFERROR(__xludf.DUMMYFUNCTION("GOOGLETRANSLATE(B16701, ""fr"", ""en"")"),"It is simple and convenient. I am very satisfied with the size and does not take up too much space. The temperature can be adjusted, it is very simple and convenient to use and does not consume too much energy.")</f>
        <v>It is simple and convenient. I am very satisfied with the size and does not take up too much space. The temperature can be adjusted, it is very simple and convenient to use and does not consume too much energy.</v>
      </c>
    </row>
    <row r="16702">
      <c r="A16702" s="1">
        <v>5.0</v>
      </c>
      <c r="B16702" s="1" t="s">
        <v>7879</v>
      </c>
      <c r="C16702" t="str">
        <f>IFERROR(__xludf.DUMMYFUNCTION("GOOGLETRANSLATE(B16702, ""fr"", ""en"")"),"very well thank you very much thank you")</f>
        <v>very well thank you very much thank you</v>
      </c>
    </row>
    <row r="16703">
      <c r="A16703" s="1">
        <v>5.0</v>
      </c>
      <c r="B16703" s="1" t="s">
        <v>16420</v>
      </c>
      <c r="C16703" t="str">
        <f>IFERROR(__xludf.DUMMYFUNCTION("GOOGLETRANSLATE(B16703, ""fr"", ""en"")"),"PERFECT ! The product was at an extremely competitive price. It was delivered in a very short time. perfectly conditioned. And it is very good and quite consistent with my order and my expectations! Perfect!")</f>
        <v>PERFECT ! The product was at an extremely competitive price. It was delivered in a very short time. perfectly conditioned. And it is very good and quite consistent with my order and my expectations! Perfect!</v>
      </c>
    </row>
    <row r="16704">
      <c r="A16704" s="1">
        <v>5.0</v>
      </c>
      <c r="B16704" s="1" t="s">
        <v>16421</v>
      </c>
      <c r="C16704" t="str">
        <f>IFERROR(__xludf.DUMMYFUNCTION("GOOGLETRANSLATE(B16704, ""fr"", ""en"")"),"Top quality Beautiful shows class and refined, it fits perfectly on my wrist. No worries this time, several little tricks and more: alarm, stopwatch Original ... by the way also set the time. I am very satisfied! rapid and serious delivery.")</f>
        <v>Top quality Beautiful shows class and refined, it fits perfectly on my wrist. No worries this time, several little tricks and more: alarm, stopwatch Original ... by the way also set the time. I am very satisfied! rapid and serious delivery.</v>
      </c>
    </row>
    <row r="16705">
      <c r="A16705" s="1">
        <v>5.0</v>
      </c>
      <c r="B16705" s="1" t="s">
        <v>16422</v>
      </c>
      <c r="C16705" t="str">
        <f>IFERROR(__xludf.DUMMYFUNCTION("GOOGLETRANSLATE(B16705, ""fr"", ""en"")"),"High tech and class Lovely shows light and comfortable to wear thanks to its very soft and flexible silicone strap. To which of the config can not be simpler, is the loading (about 1:30 for full battery) to a USB port of the PC, the brand program is downl"&amp;"oaded automatically and the watch tells you what to do to adjust (country / date / your body / sports program etc.) in 2 minutes c is made as intuitive. What has encourage m has ordered this watch is its style and GPS function. Unfortunately I have not be"&amp;"en able to test this latter function as the GPS signal is weak at home, but I will come back and also on my review then. This watch is called ""mixed"" but I find it a little big for a woman, but it s my opinion and that of my companion. Conclusion: I lov"&amp;"e this show, its very qualitative style and technology concentrated that it contains. I order it not a batch of screen protectors to avoid damaging or soiling mineral glass. If the comment has helped you, thank you to click on ""useful"", this is always f"&amp;"un ^^.")</f>
        <v>High tech and class Lovely shows light and comfortable to wear thanks to its very soft and flexible silicone strap. To which of the config can not be simpler, is the loading (about 1:30 for full battery) to a USB port of the PC, the brand program is downloaded automatically and the watch tells you what to do to adjust (country / date / your body / sports program etc.) in 2 minutes c is made as intuitive. What has encourage m has ordered this watch is its style and GPS function. Unfortunately I have not been able to test this latter function as the GPS signal is weak at home, but I will come back and also on my review then. This watch is called "mixed" but I find it a little big for a woman, but it s my opinion and that of my companion. Conclusion: I love this show, its very qualitative style and technology concentrated that it contains. I order it not a batch of screen protectors to avoid damaging or soiling mineral glass. If the comment has helped you, thank you to click on "useful", this is always fun ^^.</v>
      </c>
    </row>
    <row r="16706">
      <c r="A16706" s="1">
        <v>5.0</v>
      </c>
      <c r="B16706" s="1" t="s">
        <v>16423</v>
      </c>
      <c r="C16706" t="str">
        <f>IFERROR(__xludf.DUMMYFUNCTION("GOOGLETRANSLATE(B16706, ""fr"", ""en"")"),"Perfect! Vans perfectly consistent with my expectations. I normally shoe size 40 but I know I have to take 39 to Vans and they fit me hair cell. The Authentic are timeless and are worn with everything. In short, I am delighted +++")</f>
        <v>Perfect! Vans perfectly consistent with my expectations. I normally shoe size 40 but I know I have to take 39 to Vans and they fit me hair cell. The Authentic are timeless and are worn with everything. In short, I am delighted +++</v>
      </c>
    </row>
    <row r="16707">
      <c r="A16707" s="1">
        <v>5.0</v>
      </c>
      <c r="B16707" s="1" t="s">
        <v>16424</v>
      </c>
      <c r="C16707" t="str">
        <f>IFERROR(__xludf.DUMMYFUNCTION("GOOGLETRANSLATE(B16707, ""fr"", ""en"")"),"Meets the announcement complies with the announcement")</f>
        <v>Meets the announcement complies with the announcement</v>
      </c>
    </row>
    <row r="16708">
      <c r="A16708" s="1">
        <v>5.0</v>
      </c>
      <c r="B16708" s="1" t="s">
        <v>16425</v>
      </c>
      <c r="C16708" t="str">
        <f>IFERROR(__xludf.DUMMYFUNCTION("GOOGLETRANSLATE(B16708, ""fr"", ""en"")"),"Vans sneakers woman Filmore Decon Decon Vans Filmore, Trainers Woman For two years I command these sneakers for my teenage daughter, she is very happy. It is well cut, wearable and not too fragile.")</f>
        <v>Vans sneakers woman Filmore Decon Decon Vans Filmore, Trainers Woman For two years I command these sneakers for my teenage daughter, she is very happy. It is well cut, wearable and not too fragile.</v>
      </c>
    </row>
    <row r="16709">
      <c r="A16709" s="1">
        <v>5.0</v>
      </c>
      <c r="B16709" s="1" t="s">
        <v>16426</v>
      </c>
      <c r="C16709" t="str">
        <f>IFERROR(__xludf.DUMMYFUNCTION("GOOGLETRANSLATE(B16709, ""fr"", ""en"")"),"I recommend this product gift for my husband, sweatshirt very well cut and very nice texture")</f>
        <v>I recommend this product gift for my husband, sweatshirt very well cut and very nice texture</v>
      </c>
    </row>
    <row r="16710">
      <c r="A16710" s="1">
        <v>2.0</v>
      </c>
      <c r="B16710" s="1" t="s">
        <v>16427</v>
      </c>
      <c r="C16710" t="str">
        <f>IFERROR(__xludf.DUMMYFUNCTION("GOOGLETRANSLATE(B16710, ""fr"", ""en"")"),"Too fragile a cable has broken at the jack from the first use, yet I am very careful. I did not used the second, to see if he will do the same ...")</f>
        <v>Too fragile a cable has broken at the jack from the first use, yet I am very careful. I did not used the second, to see if he will do the same ...</v>
      </c>
    </row>
    <row r="16711">
      <c r="A16711" s="1">
        <v>1.0</v>
      </c>
      <c r="B16711" s="1" t="s">
        <v>16428</v>
      </c>
      <c r="C16711" t="str">
        <f>IFERROR(__xludf.DUMMYFUNCTION("GOOGLETRANSLATE(B16711, ""fr"", ""en"")"),"Does not work Does not work")</f>
        <v>Does not work Does not work</v>
      </c>
    </row>
    <row r="16712">
      <c r="A16712" s="1">
        <v>1.0</v>
      </c>
      <c r="B16712" s="1" t="s">
        <v>16429</v>
      </c>
      <c r="C16712" t="str">
        <f>IFERROR(__xludf.DUMMYFUNCTION("GOOGLETRANSLATE(B16712, ""fr"", ""en"")"),"Not with glasses. Not for several hours. The sound is good. I can not see the difference for noise reduction, but I can not be a hearing suffisemment developed. By cons with glasses helmet becomes very tedious after a few hours. To use an hour or two this"&amp;" headset can do the trick. For longer it becomes too heavy and uncomfortable. Referred to Amazon. Too bad because otherwise it was good.")</f>
        <v>Not with glasses. Not for several hours. The sound is good. I can not see the difference for noise reduction, but I can not be a hearing suffisemment developed. By cons with glasses helmet becomes very tedious after a few hours. To use an hour or two this headset can do the trick. For longer it becomes too heavy and uncomfortable. Referred to Amazon. Too bad because otherwise it was good.</v>
      </c>
    </row>
    <row r="16713">
      <c r="A16713" s="1">
        <v>3.0</v>
      </c>
      <c r="B16713" s="1" t="s">
        <v>16430</v>
      </c>
      <c r="C16713" t="str">
        <f>IFERROR(__xludf.DUMMYFUNCTION("GOOGLETRANSLATE(B16713, ""fr"", ""en"")"),"Warning color to the gray color focus is green (green agave) and not gray like the picture shown")</f>
        <v>Warning color to the gray color focus is green (green agave) and not gray like the picture shown</v>
      </c>
    </row>
    <row r="16714">
      <c r="A16714" s="1">
        <v>3.0</v>
      </c>
      <c r="B16714" s="1" t="s">
        <v>16431</v>
      </c>
      <c r="C16714" t="str">
        <f>IFERROR(__xludf.DUMMYFUNCTION("GOOGLETRANSLATE(B16714, ""fr"", ""en"")"),"Above expectations The product arrived on time, except for the driver who is allowed to open and keep open the gate despite the big sign 'Beware of Dog' '. Footwear color does not correspond at all, I got white instead of gray .. Fortunately, the size is "&amp;"perfect and the coloring exist.")</f>
        <v>Above expectations The product arrived on time, except for the driver who is allowed to open and keep open the gate despite the big sign 'Beware of Dog' '. Footwear color does not correspond at all, I got white instead of gray .. Fortunately, the size is perfect and the coloring exist.</v>
      </c>
    </row>
    <row r="16715">
      <c r="A16715" s="1">
        <v>4.0</v>
      </c>
      <c r="B16715" s="1" t="s">
        <v>16432</v>
      </c>
      <c r="C16715" t="str">
        <f>IFERROR(__xludf.DUMMYFUNCTION("GOOGLETRANSLATE(B16715, ""fr"", ""en"")"),"Satisfied It had its effect on prices")</f>
        <v>Satisfied It had its effect on prices</v>
      </c>
    </row>
    <row r="16716">
      <c r="A16716" s="1">
        <v>4.0</v>
      </c>
      <c r="B16716" s="1" t="s">
        <v>16433</v>
      </c>
      <c r="C16716" t="str">
        <f>IFERROR(__xludf.DUMMYFUNCTION("GOOGLETRANSLATE(B16716, ""fr"", ""en"")"),"Do the job 👍")</f>
        <v>Do the job 👍</v>
      </c>
    </row>
    <row r="16717">
      <c r="A16717" s="1">
        <v>4.0</v>
      </c>
      <c r="B16717" s="1" t="s">
        <v>16434</v>
      </c>
      <c r="C16717" t="str">
        <f>IFERROR(__xludf.DUMMYFUNCTION("GOOGLETRANSLATE(B16717, ""fr"", ""en"")"),"Roll of thick protective films not yet useful, but seems strong enough and good Span width over the pants should not exceed.")</f>
        <v>Roll of thick protective films not yet useful, but seems strong enough and good Span width over the pants should not exceed.</v>
      </c>
    </row>
    <row r="16718">
      <c r="A16718" s="1">
        <v>4.0</v>
      </c>
      <c r="B16718" s="1" t="s">
        <v>16435</v>
      </c>
      <c r="C16718" t="str">
        <f>IFERROR(__xludf.DUMMYFUNCTION("GOOGLETRANSLATE(B16718, ""fr"", ""en"")"),"Perfect Perfect when you have back pain or neck")</f>
        <v>Perfect Perfect when you have back pain or neck</v>
      </c>
    </row>
    <row r="16719">
      <c r="A16719" s="1">
        <v>5.0</v>
      </c>
      <c r="B16719" s="1" t="s">
        <v>16436</v>
      </c>
      <c r="C16719" t="str">
        <f>IFERROR(__xludf.DUMMYFUNCTION("GOOGLETRANSLATE(B16719, ""fr"", ""en"")"),"super fast delivery recommend very happy and great for people who have osteoarthritis, back pain ect .....")</f>
        <v>super fast delivery recommend very happy and great for people who have osteoarthritis, back pain ect .....</v>
      </c>
    </row>
    <row r="16720">
      <c r="A16720" s="1">
        <v>5.0</v>
      </c>
      <c r="B16720" s="1" t="s">
        <v>16437</v>
      </c>
      <c r="C16720" t="str">
        <f>IFERROR(__xludf.DUMMYFUNCTION("GOOGLETRANSLATE(B16720, ""fr"", ""en"")"),"Robust After testing the trash bags from under brands iol is no photo, HandyBag reliable. I have never had a bag with holes with those above. I programmed automatic delivery every 2 months. I'm not a dry bag!")</f>
        <v>Robust After testing the trash bags from under brands iol is no photo, HandyBag reliable. I have never had a bag with holes with those above. I programmed automatic delivery every 2 months. I'm not a dry bag!</v>
      </c>
    </row>
    <row r="16721">
      <c r="A16721" s="1">
        <v>5.0</v>
      </c>
      <c r="B16721" s="1" t="s">
        <v>16438</v>
      </c>
      <c r="C16721" t="str">
        <f>IFERROR(__xludf.DUMMYFUNCTION("GOOGLETRANSLATE(B16721, ""fr"", ""en"")"),"Maxwelll Good listener and only downside is the lack sufficient power (lack of decibel).")</f>
        <v>Maxwelll Good listener and only downside is the lack sufficient power (lack of decibel).</v>
      </c>
    </row>
    <row r="16722">
      <c r="A16722" s="1">
        <v>5.0</v>
      </c>
      <c r="B16722" s="1" t="s">
        <v>16439</v>
      </c>
      <c r="C16722" t="str">
        <f>IFERROR(__xludf.DUMMYFUNCTION("GOOGLETRANSLATE(B16722, ""fr"", ""en"")"),"Bottle upscale and glass Tommee Tippee is positioned on top of sustainable range on the bottle. The products are excellent and provide all the necessary guarantees and labels. It comes with this product at a great value: the glass baby bottle. Sterilizati"&amp;"on and cleaning very easy, and a nipple that baby like and easy to clean. A great value.")</f>
        <v>Bottle upscale and glass Tommee Tippee is positioned on top of sustainable range on the bottle. The products are excellent and provide all the necessary guarantees and labels. It comes with this product at a great value: the glass baby bottle. Sterilization and cleaning very easy, and a nipple that baby like and easy to clean. A great value.</v>
      </c>
    </row>
    <row r="16723">
      <c r="A16723" s="1">
        <v>5.0</v>
      </c>
      <c r="B16723" s="1" t="s">
        <v>16440</v>
      </c>
      <c r="C16723" t="str">
        <f>IFERROR(__xludf.DUMMYFUNCTION("GOOGLETRANSLATE(B16723, ""fr"", ""en"")"),"Pretty Nice and respected color.")</f>
        <v>Pretty Nice and respected color.</v>
      </c>
    </row>
    <row r="16724">
      <c r="A16724" s="1">
        <v>5.0</v>
      </c>
      <c r="B16724" s="1" t="s">
        <v>16441</v>
      </c>
      <c r="C16724" t="str">
        <f>IFERROR(__xludf.DUMMYFUNCTION("GOOGLETRANSLATE(B16724, ""fr"", ""en"")"),"Comfortable but dressed me I do not need a Kevin or my husband to have glitter in my life, I débouille alone, with these lovely shoes! 😜 (For those who do not understand the reference, see the sketch Ines Reg ""glitter in my life"")")</f>
        <v>Comfortable but dressed me I do not need a Kevin or my husband to have glitter in my life, I débouille alone, with these lovely shoes! 😜 (For those who do not understand the reference, see the sketch Ines Reg "glitter in my life")</v>
      </c>
    </row>
    <row r="16725">
      <c r="A16725" s="1">
        <v>5.0</v>
      </c>
      <c r="B16725" s="1" t="s">
        <v>16442</v>
      </c>
      <c r="C16725" t="str">
        <f>IFERROR(__xludf.DUMMYFUNCTION("GOOGLETRANSLATE(B16725, ""fr"", ""en"")"),"nice feel-good! Nice to see and more efficient and the color change is fun to see- it also makes a lovely light")</f>
        <v>nice feel-good! Nice to see and more efficient and the color change is fun to see- it also makes a lovely light</v>
      </c>
    </row>
    <row r="16726">
      <c r="A16726" s="1">
        <v>5.0</v>
      </c>
      <c r="B16726" s="1" t="s">
        <v>16443</v>
      </c>
      <c r="C16726" t="str">
        <f>IFERROR(__xludf.DUMMYFUNCTION("GOOGLETRANSLATE(B16726, ""fr"", ""en"")"),"Bag Offered teen teenager. This bag was a sensation. He always uses. Pretty solid and durable. It is suitable for a wallet and a phone.")</f>
        <v>Bag Offered teen teenager. This bag was a sensation. He always uses. Pretty solid and durable. It is suitable for a wallet and a phone.</v>
      </c>
    </row>
    <row r="16727">
      <c r="A16727" s="1">
        <v>5.0</v>
      </c>
      <c r="B16727" s="1" t="s">
        <v>16444</v>
      </c>
      <c r="C16727" t="str">
        <f>IFERROR(__xludf.DUMMYFUNCTION("GOOGLETRANSLATE(B16727, ""fr"", ""en"")"),"perfect headset I use it to listen to music or watch movies on my laptop I am delighted sound quality and comfort are perfect helmet")</f>
        <v>perfect headset I use it to listen to music or watch movies on my laptop I am delighted sound quality and comfort are perfect helmet</v>
      </c>
    </row>
    <row r="16728">
      <c r="A16728" s="1">
        <v>5.0</v>
      </c>
      <c r="B16728" s="1" t="s">
        <v>16445</v>
      </c>
      <c r="C16728" t="str">
        <f>IFERROR(__xludf.DUMMYFUNCTION("GOOGLETRANSLATE(B16728, ""fr"", ""en"")"),"A good microphone for podcast and voiceovers I needed a microphone specially dedicated to recording voice, and online courses with my students. Very convenient because it is used exclusively by plugging in USB, this mic is very good. The voice, clear and "&amp;"clean, no grain, and the anti-pop filter does its job! A quality microphone!")</f>
        <v>A good microphone for podcast and voiceovers I needed a microphone specially dedicated to recording voice, and online courses with my students. Very convenient because it is used exclusively by plugging in USB, this mic is very good. The voice, clear and clean, no grain, and the anti-pop filter does its job! A quality microphone!</v>
      </c>
    </row>
    <row r="16729">
      <c r="A16729" s="1">
        <v>5.0</v>
      </c>
      <c r="B16729" s="1" t="s">
        <v>16446</v>
      </c>
      <c r="C16729" t="str">
        <f>IFERROR(__xludf.DUMMYFUNCTION("GOOGLETRANSLATE(B16729, ""fr"", ""en"")"),"Very good quality Received quickly and well packaged A man carrying case very nice, I love the model and very convenient with all the storage space inside and two small front pockets. I can easily put my small computer asus tablet. Good quality and nice f"&amp;"inish I recommend this shoulder bag for men as for women")</f>
        <v>Very good quality Received quickly and well packaged A man carrying case very nice, I love the model and very convenient with all the storage space inside and two small front pockets. I can easily put my small computer asus tablet. Good quality and nice finish I recommend this shoulder bag for men as for women</v>
      </c>
    </row>
    <row r="16730">
      <c r="A16730" s="1">
        <v>5.0</v>
      </c>
      <c r="B16730" s="1" t="s">
        <v>16447</v>
      </c>
      <c r="C16730" t="str">
        <f>IFERROR(__xludf.DUMMYFUNCTION("GOOGLETRANSLATE(B16730, ""fr"", ""en"")"),"This is a shell of the 14-18 war? A silent kettle? Really ? Well yes, this kettle Russell Hobbs makes no noise (I actually thought she was not working when I switched on). Besides the fact that it is efficient and high capacity, she really has style with "&amp;"its airs of shell 14-18. Big ""more"", it does not drip and does not splash. As for the price? Less than 50 euros, I think it is really cheap considering the quality of the object. Superb!")</f>
        <v>This is a shell of the 14-18 war? A silent kettle? Really ? Well yes, this kettle Russell Hobbs makes no noise (I actually thought she was not working when I switched on). Besides the fact that it is efficient and high capacity, she really has style with its airs of shell 14-18. Big "more", it does not drip and does not splash. As for the price? Less than 50 euros, I think it is really cheap considering the quality of the object. Superb!</v>
      </c>
    </row>
    <row r="16731">
      <c r="A16731" s="1">
        <v>5.0</v>
      </c>
      <c r="B16731" s="1" t="s">
        <v>16448</v>
      </c>
      <c r="C16731" t="str">
        <f>IFERROR(__xludf.DUMMYFUNCTION("GOOGLETRANSLATE(B16731, ""fr"", ""en"")"),"Superb baskette basketball pretty comfortable. As for myself bought a size bigger. But no need for normal size and not small")</f>
        <v>Superb baskette basketball pretty comfortable. As for myself bought a size bigger. But no need for normal size and not small</v>
      </c>
    </row>
    <row r="16732">
      <c r="A16732" s="1">
        <v>5.0</v>
      </c>
      <c r="B16732" s="1" t="s">
        <v>16449</v>
      </c>
      <c r="C16732" t="str">
        <f>IFERROR(__xludf.DUMMYFUNCTION("GOOGLETRANSLATE(B16732, ""fr"", ""en"")"),"Micro very satisfactory very satisfactory, remember to put it in his étiu to protect it from dust, or put the case on the mic if it is established.")</f>
        <v>Micro very satisfactory very satisfactory, remember to put it in his étiu to protect it from dust, or put the case on the mic if it is established.</v>
      </c>
    </row>
    <row r="16733">
      <c r="A16733" s="1">
        <v>5.0</v>
      </c>
      <c r="B16733" s="1" t="s">
        <v>16450</v>
      </c>
      <c r="C16733" t="str">
        <f>IFERROR(__xludf.DUMMYFUNCTION("GOOGLETRANSLATE(B16733, ""fr"", ""en"")"),"Very happy shoes arrived punctually. They are the same of the photo. My son loved. Very happy")</f>
        <v>Very happy shoes arrived punctually. They are the same of the photo. My son loved. Very happy</v>
      </c>
    </row>
    <row r="16734">
      <c r="A16734" s="1">
        <v>5.0</v>
      </c>
      <c r="B16734" s="1" t="s">
        <v>16451</v>
      </c>
      <c r="C16734" t="str">
        <f>IFERROR(__xludf.DUMMYFUNCTION("GOOGLETRANSLATE(B16734, ""fr"", ""en"")"),"Price and quality at the top Super bottles my daughter was accepted immediately and to give bibi evening with grain that's great. Design is more than beautiful to recommend especially for the price")</f>
        <v>Price and quality at the top Super bottles my daughter was accepted immediately and to give bibi evening with grain that's great. Design is more than beautiful to recommend especially for the price</v>
      </c>
    </row>
    <row r="16735">
      <c r="A16735" s="1">
        <v>2.0</v>
      </c>
      <c r="B16735" s="1" t="s">
        <v>16452</v>
      </c>
      <c r="C16735" t="str">
        <f>IFERROR(__xludf.DUMMYFUNCTION("GOOGLETRANSLATE(B16735, ""fr"", ""en"")"),"disappointed by the size I made the 105B, size not easy to find, and as usual it is too small in turn, I should add extensions ... it's still unfortunate not to find a single brand can SG adapted to a ...")</f>
        <v>disappointed by the size I made the 105B, size not easy to find, and as usual it is too small in turn, I should add extensions ... it's still unfortunate not to find a single brand can SG adapted to a ...</v>
      </c>
    </row>
    <row r="16736">
      <c r="A16736" s="1">
        <v>1.0</v>
      </c>
      <c r="B16736" s="1" t="s">
        <v>16453</v>
      </c>
      <c r="C16736" t="str">
        <f>IFERROR(__xludf.DUMMYFUNCTION("GOOGLETRANSLATE(B16736, ""fr"", ""en"")"),"Watch casio After reading a lot of comments if this article today I can do my criticism, I got this watch in the 80s, this one is just like the 80s, size more matches a handle for children, lighting is more modest (illuminates only 1/3 of the watch, the b"&amp;"racelet is not quality, even for the price, it really tcheap, but worse still really size not for a handful of adults, at best go to a female handle. not disappointed but almost")</f>
        <v>Watch casio After reading a lot of comments if this article today I can do my criticism, I got this watch in the 80s, this one is just like the 80s, size more matches a handle for children, lighting is more modest (illuminates only 1/3 of the watch, the bracelet is not quality, even for the price, it really tcheap, but worse still really size not for a handful of adults, at best go to a female handle. not disappointed but almost</v>
      </c>
    </row>
    <row r="16737">
      <c r="A16737" s="1">
        <v>1.0</v>
      </c>
      <c r="B16737" s="1" t="s">
        <v>16454</v>
      </c>
      <c r="C16737" t="str">
        <f>IFERROR(__xludf.DUMMYFUNCTION("GOOGLETRANSLATE(B16737, ""fr"", ""en"")"),"Article size very small very disappointed because the size XL looks like Mr.")</f>
        <v>Article size very small very disappointed because the size XL looks like Mr.</v>
      </c>
    </row>
    <row r="16738">
      <c r="A16738" s="1">
        <v>3.0</v>
      </c>
      <c r="B16738" s="1" t="s">
        <v>16455</v>
      </c>
      <c r="C16738" t="str">
        <f>IFERROR(__xludf.DUMMYFUNCTION("GOOGLETRANSLATE(B16738, ""fr"", ""en"")"),"Noise, dear Bcp bruit.de funds les.enregistrements. I know this is pas.si him or gable de.mixage. pas.danq.les.enceintes the noise out so ....")</f>
        <v>Noise, dear Bcp bruit.de funds les.enregistrements. I know this is pas.si him or gable de.mixage. pas.danq.les.enceintes the noise out so ....</v>
      </c>
    </row>
    <row r="16739">
      <c r="A16739" s="1">
        <v>4.0</v>
      </c>
      <c r="B16739" s="1" t="s">
        <v>16456</v>
      </c>
      <c r="C16739" t="str">
        <f>IFERROR(__xludf.DUMMYFUNCTION("GOOGLETRANSLATE(B16739, ""fr"", ""en"")"),"Well why not pleasant at the shoulder blade must Although the position as can hurt by cons in the back and bottom of super efficient back instantly relieves")</f>
        <v>Well why not pleasant at the shoulder blade must Although the position as can hurt by cons in the back and bottom of super efficient back instantly relieves</v>
      </c>
    </row>
    <row r="16740">
      <c r="A16740" s="1">
        <v>4.0</v>
      </c>
      <c r="B16740" s="1" t="s">
        <v>16457</v>
      </c>
      <c r="C16740" t="str">
        <f>IFERROR(__xludf.DUMMYFUNCTION("GOOGLETRANSLATE(B16740, ""fr"", ""en"")"),"although it is the second that I buy because I am satisfied and I recommend it to those with vertebrae problems")</f>
        <v>although it is the second that I buy because I am satisfied and I recommend it to those with vertebrae problems</v>
      </c>
    </row>
    <row r="16741">
      <c r="A16741" s="1">
        <v>4.0</v>
      </c>
      <c r="B16741" s="1" t="s">
        <v>16458</v>
      </c>
      <c r="C16741" t="str">
        <f>IFERROR(__xludf.DUMMYFUNCTION("GOOGLETRANSLATE(B16741, ""fr"", ""en"")"),"Very Satisfied Hello, very pleased with the product, it provides warmth, relaxation throughout the back and neck ... Of course to have all these feelings you have to cut all lie quietly on the carpet a subdued atmosphere and soft music . I practice 4 time"&amp;"s ps 30mn week it's awesome ***")</f>
        <v>Very Satisfied Hello, very pleased with the product, it provides warmth, relaxation throughout the back and neck ... Of course to have all these feelings you have to cut all lie quietly on the carpet a subdued atmosphere and soft music . I practice 4 times ps 30mn week it's awesome ***</v>
      </c>
    </row>
    <row r="16742">
      <c r="A16742" s="1">
        <v>4.0</v>
      </c>
      <c r="B16742" s="1" t="s">
        <v>16459</v>
      </c>
      <c r="C16742" t="str">
        <f>IFERROR(__xludf.DUMMYFUNCTION("GOOGLETRANSLATE(B16742, ""fr"", ""en"")"),"good quality bag Jolie bag Complies Product Description good quality leather")</f>
        <v>good quality bag Jolie bag Complies Product Description good quality leather</v>
      </c>
    </row>
    <row r="16743">
      <c r="A16743" s="1">
        <v>4.0</v>
      </c>
      <c r="B16743" s="1" t="s">
        <v>16460</v>
      </c>
      <c r="C16743" t="str">
        <f>IFERROR(__xludf.DUMMYFUNCTION("GOOGLETRANSLATE(B16743, ""fr"", ""en"")"),"Good quality / price The microphone is not a great quality, but good. Good pack but to provide a sound card to use it. The media and other accessories are of good quality, to see if it takes time. Anyway good value for this pack.")</f>
        <v>Good quality / price The microphone is not a great quality, but good. Good pack but to provide a sound card to use it. The media and other accessories are of good quality, to see if it takes time. Anyway good value for this pack.</v>
      </c>
    </row>
    <row r="16744">
      <c r="A16744" s="1">
        <v>5.0</v>
      </c>
      <c r="B16744" s="1" t="s">
        <v>16461</v>
      </c>
      <c r="C16744" t="str">
        <f>IFERROR(__xludf.DUMMYFUNCTION("GOOGLETRANSLATE(B16744, ""fr"", ""en"")"),"Perfect! Wanting to reproduce the same working environment I have in the office, I bought this articulated arm for 2 screens and I am fully satisfied. Easy to set up and very strong. Just great, I recommend!")</f>
        <v>Perfect! Wanting to reproduce the same working environment I have in the office, I bought this articulated arm for 2 screens and I am fully satisfied. Easy to set up and very strong. Just great, I recommend!</v>
      </c>
    </row>
    <row r="16745">
      <c r="A16745" s="1">
        <v>5.0</v>
      </c>
      <c r="B16745" s="1" t="s">
        <v>16462</v>
      </c>
      <c r="C16745" t="str">
        <f>IFERROR(__xludf.DUMMYFUNCTION("GOOGLETRANSLATE(B16745, ""fr"", ""en"")"),"Perfect ! Stabilo Boss Original quality (along with their reputation is second to none). I did nothing wrong, they all work and the box was not damaged. I recommend this product without a shadow of a doubt.")</f>
        <v>Perfect ! Stabilo Boss Original quality (along with their reputation is second to none). I did nothing wrong, they all work and the box was not damaged. I recommend this product without a shadow of a doubt.</v>
      </c>
    </row>
    <row r="16746">
      <c r="A16746" s="1">
        <v>5.0</v>
      </c>
      <c r="B16746" s="1" t="s">
        <v>16463</v>
      </c>
      <c r="C16746" t="str">
        <f>IFERROR(__xludf.DUMMYFUNCTION("GOOGLETRANSLATE(B16746, ""fr"", ""en"")"),"From awesome super good quality, and even two spare clips in case !!!! It is very steady and top with 30 ties!")</f>
        <v>From awesome super good quality, and even two spare clips in case !!!! It is very steady and top with 30 ties!</v>
      </c>
    </row>
    <row r="16747">
      <c r="A16747" s="1">
        <v>5.0</v>
      </c>
      <c r="B16747" s="1" t="s">
        <v>16464</v>
      </c>
      <c r="C16747" t="str">
        <f>IFERROR(__xludf.DUMMYFUNCTION("GOOGLETRANSLATE(B16747, ""fr"", ""en"")"),"The price is unbeatable Good product")</f>
        <v>The price is unbeatable Good product</v>
      </c>
    </row>
    <row r="16748">
      <c r="A16748" s="1">
        <v>5.0</v>
      </c>
      <c r="B16748" s="1" t="s">
        <v>16465</v>
      </c>
      <c r="C16748" t="str">
        <f>IFERROR(__xludf.DUMMYFUNCTION("GOOGLETRANSLATE(B16748, ""fr"", ""en"")"),"Fashmond dangling earrings feathers. Very beautiful earrings. I have had nothing but compliments. I recommend. Good value for money.")</f>
        <v>Fashmond dangling earrings feathers. Very beautiful earrings. I have had nothing but compliments. I recommend. Good value for money.</v>
      </c>
    </row>
    <row r="16749">
      <c r="A16749" s="1">
        <v>5.0</v>
      </c>
      <c r="B16749" s="1" t="s">
        <v>16466</v>
      </c>
      <c r="C16749" t="str">
        <f>IFERROR(__xludf.DUMMYFUNCTION("GOOGLETRANSLATE(B16749, ""fr"", ""en"")"),"Beautiful item for a girl. It's a gift for my daughter. Beautiful basketball.")</f>
        <v>Beautiful item for a girl. It's a gift for my daughter. Beautiful basketball.</v>
      </c>
    </row>
    <row r="16750">
      <c r="A16750" s="1">
        <v>5.0</v>
      </c>
      <c r="B16750" s="1" t="s">
        <v>16467</v>
      </c>
      <c r="C16750" t="str">
        <f>IFERROR(__xludf.DUMMYFUNCTION("GOOGLETRANSLATE(B16750, ""fr"", ""en"")"),"sweat quality")</f>
        <v>sweat quality</v>
      </c>
    </row>
    <row r="16751">
      <c r="A16751" s="1">
        <v>5.0</v>
      </c>
      <c r="B16751" s="1" t="s">
        <v>16468</v>
      </c>
      <c r="C16751" t="str">
        <f>IFERROR(__xludf.DUMMYFUNCTION("GOOGLETRANSLATE(B16751, ""fr"", ""en"")"),"gift I bought this watch to my husband for his birthday, we love it and never left. even the box in which it is located is beautiful! And you can receive quickly with the premium offer so it's really nice")</f>
        <v>gift I bought this watch to my husband for his birthday, we love it and never left. even the box in which it is located is beautiful! And you can receive quickly with the premium offer so it's really nice</v>
      </c>
    </row>
    <row r="16752">
      <c r="A16752" s="1">
        <v>5.0</v>
      </c>
      <c r="B16752" s="1" t="s">
        <v>16469</v>
      </c>
      <c r="C16752" t="str">
        <f>IFERROR(__xludf.DUMMYFUNCTION("GOOGLETRANSLATE(B16752, ""fr"", ""en"")"),"Owl Beautiful top quality. size good")</f>
        <v>Owl Beautiful top quality. size good</v>
      </c>
    </row>
    <row r="16753">
      <c r="A16753" s="1">
        <v>5.0</v>
      </c>
      <c r="B16753" s="1" t="s">
        <v>16470</v>
      </c>
      <c r="C16753" t="str">
        <f>IFERROR(__xludf.DUMMYFUNCTION("GOOGLETRANSLATE(B16753, ""fr"", ""en"")"),"Dress neck a necklace I was looking for a wedding dress neck that does not make false and a budget raisonnable.j found everyone I was looking for in this collier.les diamonds sparkle and the pendant is of good quality, size the heart is rather large, and "&amp;"is very smart.")</f>
        <v>Dress neck a necklace I was looking for a wedding dress neck that does not make false and a budget raisonnable.j found everyone I was looking for in this collier.les diamonds sparkle and the pendant is of good quality, size the heart is rather large, and is very smart.</v>
      </c>
    </row>
    <row r="16754">
      <c r="A16754" s="1">
        <v>5.0</v>
      </c>
      <c r="B16754" s="1" t="s">
        <v>16471</v>
      </c>
      <c r="C16754" t="str">
        <f>IFERROR(__xludf.DUMMYFUNCTION("GOOGLETRANSLATE(B16754, ""fr"", ""en"")"),"super really fits the description and images and ads dimensions. This is a desktop calendar to have. This calendar is perfect for me")</f>
        <v>super really fits the description and images and ads dimensions. This is a desktop calendar to have. This calendar is perfect for me</v>
      </c>
    </row>
    <row r="16755">
      <c r="A16755" s="1">
        <v>5.0</v>
      </c>
      <c r="B16755" s="1" t="s">
        <v>16472</v>
      </c>
      <c r="C16755" t="str">
        <f>IFERROR(__xludf.DUMMYFUNCTION("GOOGLETRANSLATE(B16755, ""fr"", ""en"")"),"Super tough lightweight practice ...... well received thank you! Nickel")</f>
        <v>Super tough lightweight practice ...... well received thank you! Nickel</v>
      </c>
    </row>
    <row r="16756">
      <c r="A16756" s="1">
        <v>5.0</v>
      </c>
      <c r="B16756" s="1" t="s">
        <v>16473</v>
      </c>
      <c r="C16756" t="str">
        <f>IFERROR(__xludf.DUMMYFUNCTION("GOOGLETRANSLATE(B16756, ""fr"", ""en"")"),"Excellent transaction Very good buy. reliable seller.")</f>
        <v>Excellent transaction Very good buy. reliable seller.</v>
      </c>
    </row>
    <row r="16757">
      <c r="A16757" s="1">
        <v>5.0</v>
      </c>
      <c r="B16757" s="1" t="s">
        <v>16474</v>
      </c>
      <c r="C16757" t="str">
        <f>IFERROR(__xludf.DUMMYFUNCTION("GOOGLETRANSLATE(B16757, ""fr"", ""en"")"),"Perfect Good size, very nice, very flexible as articulated sole very comfortable, we bought pourvamortir of no noise and it is perfect more noise")</f>
        <v>Perfect Good size, very nice, very flexible as articulated sole very comfortable, we bought pourvamortir of no noise and it is perfect more noise</v>
      </c>
    </row>
    <row r="16758">
      <c r="A16758" s="1">
        <v>5.0</v>
      </c>
      <c r="B16758" s="1" t="s">
        <v>16475</v>
      </c>
      <c r="C16758" t="str">
        <f>IFERROR(__xludf.DUMMYFUNCTION("GOOGLETRANSLATE(B16758, ""fr"", ""en"")"),"All the material for me")</f>
        <v>All the material for me</v>
      </c>
    </row>
    <row r="16759">
      <c r="A16759" s="1">
        <v>2.0</v>
      </c>
      <c r="B16759" s="1" t="s">
        <v>16476</v>
      </c>
      <c r="C16759" t="str">
        <f>IFERROR(__xludf.DUMMYFUNCTION("GOOGLETRANSLATE(B16759, ""fr"", ""en"")"),"Not worth more than the price Conforms to the picture but average comfort.")</f>
        <v>Not worth more than the price Conforms to the picture but average comfort.</v>
      </c>
    </row>
    <row r="16760">
      <c r="A16760" s="1">
        <v>1.0</v>
      </c>
      <c r="B16760" s="1" t="s">
        <v>16477</v>
      </c>
      <c r="C16760" t="str">
        <f>IFERROR(__xludf.DUMMYFUNCTION("GOOGLETRANSLATE(B16760, ""fr"", ""en"")"),"Poor quality poor quality of printing smudges on quality paper, a lighter black ink of the first impression. A vague gray really away !!!")</f>
        <v>Poor quality poor quality of printing smudges on quality paper, a lighter black ink of the first impression. A vague gray really away !!!</v>
      </c>
    </row>
    <row r="16761">
      <c r="A16761" s="1">
        <v>3.0</v>
      </c>
      <c r="B16761" s="1" t="s">
        <v>16478</v>
      </c>
      <c r="C16761" t="str">
        <f>IFERROR(__xludf.DUMMYFUNCTION("GOOGLETRANSLATE(B16761, ""fr"", ""en"")"),"Very nice but ... I bought this watch for my companion and as beautiful as I imagined only downside, she arrived with leather well damaged and scratched behind, and it is unlikely that the leather work but a sharp object that did this. And I do not reach "&amp;"the seller for an explanation or compensation Although not really alter the product, given the price is expected to perfection")</f>
        <v>Very nice but ... I bought this watch for my companion and as beautiful as I imagined only downside, she arrived with leather well damaged and scratched behind, and it is unlikely that the leather work but a sharp object that did this. And I do not reach the seller for an explanation or compensation Although not really alter the product, given the price is expected to perfection</v>
      </c>
    </row>
    <row r="16762">
      <c r="A16762" s="1">
        <v>3.0</v>
      </c>
      <c r="B16762" s="1" t="s">
        <v>16479</v>
      </c>
      <c r="C16762" t="str">
        <f>IFERROR(__xludf.DUMMYFUNCTION("GOOGLETRANSLATE(B16762, ""fr"", ""en"")"),"Pat Good value")</f>
        <v>Pat Good value</v>
      </c>
    </row>
    <row r="16763">
      <c r="A16763" s="1">
        <v>4.0</v>
      </c>
      <c r="B16763" s="1" t="s">
        <v>16480</v>
      </c>
      <c r="C16763" t="str">
        <f>IFERROR(__xludf.DUMMYFUNCTION("GOOGLETRANSLATE(B16763, ""fr"", ""en"")"),"Very good quality / price ratio ""Since using these cartridges (on my Epson printer), I have to clean my printer to each use. I concluded that the quality is not great. However, depending on use you want to do this can be still useful in terms of price. "&amp;""" The after sale of this product has been very responsive since in view of my previous comment, it was decided to send me a new package to replace one that was potentially defective. After testing, I correct my comment: my printer prints much better, I s"&amp;"ee no difference with Epson cartridges I used before. I can make as much impression of the same quality but lower took.")</f>
        <v>Very good quality / price ratio "Since using these cartridges (on my Epson printer), I have to clean my printer to each use. I concluded that the quality is not great. However, depending on use you want to do this can be still useful in terms of price. " The after sale of this product has been very responsive since in view of my previous comment, it was decided to send me a new package to replace one that was potentially defective. After testing, I correct my comment: my printer prints much better, I see no difference with Epson cartridges I used before. I can make as much impression of the same quality but lower took.</v>
      </c>
    </row>
    <row r="16764">
      <c r="A16764" s="1">
        <v>4.0</v>
      </c>
      <c r="B16764" s="1" t="s">
        <v>16481</v>
      </c>
      <c r="C16764" t="str">
        <f>IFERROR(__xludf.DUMMYFUNCTION("GOOGLETRANSLATE(B16764, ""fr"", ""en"")"),"very light very beautiful at the foot")</f>
        <v>very light very beautiful at the foot</v>
      </c>
    </row>
    <row r="16765">
      <c r="A16765" s="1">
        <v>4.0</v>
      </c>
      <c r="B16765" s="1" t="s">
        <v>16482</v>
      </c>
      <c r="C16765" t="str">
        <f>IFERROR(__xludf.DUMMYFUNCTION("GOOGLETRANSLATE(B16765, ""fr"", ""en"")"),"I recommend it I like bcq such as that which I have bought with my mobile phone and bcq cheaper")</f>
        <v>I recommend it I like bcq such as that which I have bought with my mobile phone and bcq cheaper</v>
      </c>
    </row>
    <row r="16766">
      <c r="A16766" s="1">
        <v>4.0</v>
      </c>
      <c r="B16766" s="1" t="s">
        <v>16483</v>
      </c>
      <c r="C16766" t="str">
        <f>IFERROR(__xludf.DUMMYFUNCTION("GOOGLETRANSLATE(B16766, ""fr"", ""en"")"),"It pleases my son for whom I bought it but for the price, the product should have at least bluetooth music broadcasting or even usb ... hence the 4 stars. Dear anyway.")</f>
        <v>It pleases my son for whom I bought it but for the price, the product should have at least bluetooth music broadcasting or even usb ... hence the 4 stars. Dear anyway.</v>
      </c>
    </row>
    <row r="16767">
      <c r="A16767" s="1">
        <v>5.0</v>
      </c>
      <c r="B16767" s="1" t="s">
        <v>16484</v>
      </c>
      <c r="C16767" t="str">
        <f>IFERROR(__xludf.DUMMYFUNCTION("GOOGLETRANSLATE(B16767, ""fr"", ""en"")"),"comfortable match my expectations: the same as the picture, comfortable shoe, shoe size")</f>
        <v>comfortable match my expectations: the same as the picture, comfortable shoe, shoe size</v>
      </c>
    </row>
    <row r="16768">
      <c r="A16768" s="1">
        <v>5.0</v>
      </c>
      <c r="B16768" s="1" t="s">
        <v>16485</v>
      </c>
      <c r="C16768" t="str">
        <f>IFERROR(__xludf.DUMMYFUNCTION("GOOGLETRANSLATE(B16768, ""fr"", ""en"")"),"a super great product especially for what have twin preparing bottles super fast after sales service is very good - we were relocated part of the bottle warmer because it does not heat well")</f>
        <v>a super great product especially for what have twin preparing bottles super fast after sales service is very good - we were relocated part of the bottle warmer because it does not heat well</v>
      </c>
    </row>
    <row r="16769">
      <c r="A16769" s="1">
        <v>5.0</v>
      </c>
      <c r="B16769" s="1" t="s">
        <v>16486</v>
      </c>
      <c r="C16769" t="str">
        <f>IFERROR(__xludf.DUMMYFUNCTION("GOOGLETRANSLATE(B16769, ""fr"", ""en"")"),"quality does not undo wash")</f>
        <v>quality does not undo wash</v>
      </c>
    </row>
    <row r="16770">
      <c r="A16770" s="1">
        <v>5.0</v>
      </c>
      <c r="B16770" s="1" t="s">
        <v>16487</v>
      </c>
      <c r="C16770" t="str">
        <f>IFERROR(__xludf.DUMMYFUNCTION("GOOGLETRANSLATE(B16770, ""fr"", ""en"")"),"I top Top")</f>
        <v>I top Top</v>
      </c>
    </row>
    <row r="16771">
      <c r="A16771" s="1">
        <v>5.0</v>
      </c>
      <c r="B16771" s="1" t="s">
        <v>16488</v>
      </c>
      <c r="C16771" t="str">
        <f>IFERROR(__xludf.DUMMYFUNCTION("GOOGLETRANSLATE(B16771, ""fr"", ""en"")"),"very well. Tested with a small one-month and 1 week. No worries resume breast! My little one month and one week right after love. It alternates with breast carefree!")</f>
        <v>very well. Tested with a small one-month and 1 week. No worries resume breast! My little one month and one week right after love. It alternates with breast carefree!</v>
      </c>
    </row>
    <row r="16772">
      <c r="A16772" s="1">
        <v>5.0</v>
      </c>
      <c r="B16772" s="1" t="s">
        <v>16489</v>
      </c>
      <c r="C16772" t="str">
        <f>IFERROR(__xludf.DUMMYFUNCTION("GOOGLETRANSLATE(B16772, ""fr"", ""en"")"),"Super practical Helmet received very quickly, well packaged and in addition with its small carrying pouch and location of the charging wire !! It is very easy over wire using dragging and the top is that the headphones are magnetized suddenly when they ar"&amp;"e not used they remain hung around the neck collar way. I left them more in transportation to listen to music without taking the phone to sport unencumbered by son ... I love them !!")</f>
        <v>Super practical Helmet received very quickly, well packaged and in addition with its small carrying pouch and location of the charging wire !! It is very easy over wire using dragging and the top is that the headphones are magnetized suddenly when they are not used they remain hung around the neck collar way. I left them more in transportation to listen to music without taking the phone to sport unencumbered by son ... I love them !!</v>
      </c>
    </row>
    <row r="16773">
      <c r="A16773" s="1">
        <v>5.0</v>
      </c>
      <c r="B16773" s="1" t="s">
        <v>16490</v>
      </c>
      <c r="C16773" t="str">
        <f>IFERROR(__xludf.DUMMYFUNCTION("GOOGLETRANSLATE(B16773, ""fr"", ""en"")"),"too good thank you I have received my order")</f>
        <v>too good thank you I have received my order</v>
      </c>
    </row>
    <row r="16774">
      <c r="A16774" s="1">
        <v>5.0</v>
      </c>
      <c r="B16774" s="1" t="s">
        <v>16491</v>
      </c>
      <c r="C16774" t="str">
        <f>IFERROR(__xludf.DUMMYFUNCTION("GOOGLETRANSLATE(B16774, ""fr"", ""en"")"),"Super I bought for my husband works with it'm glad fine for the season")</f>
        <v>Super I bought for my husband works with it'm glad fine for the season</v>
      </c>
    </row>
    <row r="16775">
      <c r="A16775" s="1">
        <v>5.0</v>
      </c>
      <c r="B16775" s="1" t="s">
        <v>16492</v>
      </c>
      <c r="C16775" t="str">
        <f>IFERROR(__xludf.DUMMYFUNCTION("GOOGLETRANSLATE(B16775, ""fr"", ""en"")"),"VERY VERY GOOD PRODUCT! THIS IS A VERY VERY GOOD PRODUCT AND FOR THE PRICE THAT COST IS JUST PERFECT! HOWEVER BEWARE, THE WHITE IS VERY DIRTY ..")</f>
        <v>VERY VERY GOOD PRODUCT! THIS IS A VERY VERY GOOD PRODUCT AND FOR THE PRICE THAT COST IS JUST PERFECT! HOWEVER BEWARE, THE WHITE IS VERY DIRTY ..</v>
      </c>
    </row>
    <row r="16776">
      <c r="A16776" s="1">
        <v>5.0</v>
      </c>
      <c r="B16776" s="1" t="s">
        <v>16493</v>
      </c>
      <c r="C16776" t="str">
        <f>IFERROR(__xludf.DUMMYFUNCTION("GOOGLETRANSLATE(B16776, ""fr"", ""en"")"),"Perfect heats water as all the kettles to heat water bottles from my little trip bou")</f>
        <v>Perfect heats water as all the kettles to heat water bottles from my little trip bou</v>
      </c>
    </row>
    <row r="16777">
      <c r="A16777" s="1">
        <v>5.0</v>
      </c>
      <c r="B16777" s="1" t="s">
        <v>16494</v>
      </c>
      <c r="C16777" t="str">
        <f>IFERROR(__xludf.DUMMYFUNCTION("GOOGLETRANSLATE(B16777, ""fr"", ""en"")"),"happy with my command lightweight trainer is that feels great in just one will see if they will last because I did a lot of walking I think you would make a good investment for the price for my part I'm redoing my closets (shoe) will be of another order p"&amp;"rovided !!!")</f>
        <v>happy with my command lightweight trainer is that feels great in just one will see if they will last because I did a lot of walking I think you would make a good investment for the price for my part I'm redoing my closets (shoe) will be of another order provided !!!</v>
      </c>
    </row>
    <row r="16778">
      <c r="A16778" s="1">
        <v>5.0</v>
      </c>
      <c r="B16778" s="1" t="s">
        <v>16495</v>
      </c>
      <c r="C16778" t="str">
        <f>IFERROR(__xludf.DUMMYFUNCTION("GOOGLETRANSLATE(B16778, ""fr"", ""en"")"),"Trail Shoes Trail Shoes very efficient and comfortable. Breathable and effective grip. neat finishes. I recommend this article for those who love the great outdoors.")</f>
        <v>Trail Shoes Trail Shoes very efficient and comfortable. Breathable and effective grip. neat finishes. I recommend this article for those who love the great outdoors.</v>
      </c>
    </row>
    <row r="16779">
      <c r="A16779" s="1">
        <v>5.0</v>
      </c>
      <c r="B16779" s="1" t="s">
        <v>16496</v>
      </c>
      <c r="C16779" t="str">
        <f>IFERROR(__xludf.DUMMYFUNCTION("GOOGLETRANSLATE(B16779, ""fr"", ""en"")"),"Effectiveness An effective product on the pain, welfare of the freshness of the product Thank you for your additional information received today to better use the gel Regards")</f>
        <v>Effectiveness An effective product on the pain, welfare of the freshness of the product Thank you for your additional information received today to better use the gel Regards</v>
      </c>
    </row>
    <row r="16780">
      <c r="A16780" s="1">
        <v>5.0</v>
      </c>
      <c r="B16780" s="1" t="s">
        <v>16497</v>
      </c>
      <c r="C16780" t="str">
        <f>IFERROR(__xludf.DUMMYFUNCTION("GOOGLETRANSLATE(B16780, ""fr"", ""en"")"),"Cable Good Quality Section important, top quality")</f>
        <v>Cable Good Quality Section important, top quality</v>
      </c>
    </row>
    <row r="16781">
      <c r="A16781" s="1">
        <v>5.0</v>
      </c>
      <c r="B16781" s="1" t="s">
        <v>16498</v>
      </c>
      <c r="C16781" t="str">
        <f>IFERROR(__xludf.DUMMYFUNCTION("GOOGLETRANSLATE(B16781, ""fr"", ""en"")"),"Great product filled perfectly its alarm function. The sunset function is great especially for my son asleep 6 months !!!")</f>
        <v>Great product filled perfectly its alarm function. The sunset function is great especially for my son asleep 6 months !!!</v>
      </c>
    </row>
    <row r="16782">
      <c r="A16782" s="1">
        <v>2.0</v>
      </c>
      <c r="B16782" s="1" t="s">
        <v>16499</v>
      </c>
      <c r="C16782" t="str">
        <f>IFERROR(__xludf.DUMMYFUNCTION("GOOGLETRANSLATE(B16782, ""fr"", ""en"")"),"Hello There, the net weight is 1.9 kg and 3.4 kg not, it changes the game quality, damage.")</f>
        <v>Hello There, the net weight is 1.9 kg and 3.4 kg not, it changes the game quality, damage.</v>
      </c>
    </row>
    <row r="16783">
      <c r="A16783" s="1">
        <v>1.0</v>
      </c>
      <c r="B16783" s="1" t="s">
        <v>16500</v>
      </c>
      <c r="C16783" t="str">
        <f>IFERROR(__xludf.DUMMYFUNCTION("GOOGLETRANSLATE(B16783, ""fr"", ""en"")"),"scam shows that the stops that I am more mouvement.c'est to say the night.")</f>
        <v>scam shows that the stops that I am more mouvement.c'est to say the night.</v>
      </c>
    </row>
    <row r="16784">
      <c r="A16784" s="1">
        <v>1.0</v>
      </c>
      <c r="B16784" s="1" t="s">
        <v>16501</v>
      </c>
      <c r="C16784" t="str">
        <f>IFERROR(__xludf.DUMMYFUNCTION("GOOGLETRANSLATE(B16784, ""fr"", ""en"")"),"Very disappointed and angry Avoid! Pretty but size too small even taking one size bigger. Seller not accommodating at all to return!")</f>
        <v>Very disappointed and angry Avoid! Pretty but size too small even taking one size bigger. Seller not accommodating at all to return!</v>
      </c>
    </row>
    <row r="16785">
      <c r="A16785" s="1">
        <v>3.0</v>
      </c>
      <c r="B16785" s="1" t="s">
        <v>16502</v>
      </c>
      <c r="C16785" t="str">
        <f>IFERROR(__xludf.DUMMYFUNCTION("GOOGLETRANSLATE(B16785, ""fr"", ""en"")"),"Light too strong and too white for Bought replaced an old dawn simulator from another brand which I was very satisfied, I find this dawn simulator much less enjoyable than the last. The product complies with the description. It is very aesthetic and easy "&amp;"to use. But its light is too bright, too white when it lights up and the sound is unpleasant")</f>
        <v>Light too strong and too white for Bought replaced an old dawn simulator from another brand which I was very satisfied, I find this dawn simulator much less enjoyable than the last. The product complies with the description. It is very aesthetic and easy to use. But its light is too bright, too white when it lights up and the sound is unpleasant</v>
      </c>
    </row>
    <row r="16786">
      <c r="A16786" s="1">
        <v>3.0</v>
      </c>
      <c r="B16786" s="1" t="s">
        <v>16503</v>
      </c>
      <c r="C16786" t="str">
        <f>IFERROR(__xludf.DUMMYFUNCTION("GOOGLETRANSLATE(B16786, ""fr"", ""en"")"),"Do not feel very strong Purchased for less than what is found in commerce. I feel they are diluted or not natural because they feel bcp less strong than others. Then I put more in the diffuser, and therefore not so economical that ... damage.")</f>
        <v>Do not feel very strong Purchased for less than what is found in commerce. I feel they are diluted or not natural because they feel bcp less strong than others. Then I put more in the diffuser, and therefore not so economical that ... damage.</v>
      </c>
    </row>
    <row r="16787">
      <c r="A16787" s="1">
        <v>4.0</v>
      </c>
      <c r="B16787" s="1" t="s">
        <v>16504</v>
      </c>
      <c r="C16787" t="str">
        <f>IFERROR(__xludf.DUMMYFUNCTION("GOOGLETRANSLATE(B16787, ""fr"", ""en"")"),"Good My fiance was very happy after receiving his gift.")</f>
        <v>Good My fiance was very happy after receiving his gift.</v>
      </c>
    </row>
    <row r="16788">
      <c r="A16788" s="1">
        <v>4.0</v>
      </c>
      <c r="B16788" s="1" t="s">
        <v>16505</v>
      </c>
      <c r="C16788" t="str">
        <f>IFERROR(__xludf.DUMMYFUNCTION("GOOGLETRANSLATE(B16788, ""fr"", ""en"")"),"I love buying Super super comfortable material I do a good 38 it fits me like a glove the only problem is that it is very long long I can go back in squarely above the navel. Forced to make a hem or I love. Bra on top too.")</f>
        <v>I love buying Super super comfortable material I do a good 38 it fits me like a glove the only problem is that it is very long long I can go back in squarely above the navel. Forced to make a hem or I love. Bra on top too.</v>
      </c>
    </row>
    <row r="16789">
      <c r="A16789" s="1">
        <v>4.0</v>
      </c>
      <c r="B16789" s="1" t="s">
        <v>16506</v>
      </c>
      <c r="C16789" t="str">
        <f>IFERROR(__xludf.DUMMYFUNCTION("GOOGLETRANSLATE(B16789, ""fr"", ""en"")"),"From sieve 3 cups better than the sieve in the coffee standard piston, perfect to replace a punctured sieve but could be cheaper or toll")</f>
        <v>From sieve 3 cups better than the sieve in the coffee standard piston, perfect to replace a punctured sieve but could be cheaper or toll</v>
      </c>
    </row>
    <row r="16790">
      <c r="A16790" s="1">
        <v>4.0</v>
      </c>
      <c r="B16790" s="1" t="s">
        <v>16507</v>
      </c>
      <c r="C16790" t="str">
        <f>IFERROR(__xludf.DUMMYFUNCTION("GOOGLETRANSLATE(B16790, ""fr"", ""en"")"),"Ink cheap I decided to buy this lot of ink because it was cheaper than the original brand of my printer. The ink works very well, despite the fact that my printer was detected that it was not good ""brand"" ink. Nothing to say, it works and it's cheaper")</f>
        <v>Ink cheap I decided to buy this lot of ink because it was cheaper than the original brand of my printer. The ink works very well, despite the fact that my printer was detected that it was not good "brand" ink. Nothing to say, it works and it's cheaper</v>
      </c>
    </row>
    <row r="16791">
      <c r="A16791" s="1">
        <v>5.0</v>
      </c>
      <c r="B16791" s="1" t="s">
        <v>16508</v>
      </c>
      <c r="C16791" t="str">
        <f>IFERROR(__xludf.DUMMYFUNCTION("GOOGLETRANSLATE(B16791, ""fr"", ""en"")"),"Very good very good uses it's pacifier")</f>
        <v>Very good very good uses it's pacifier</v>
      </c>
    </row>
    <row r="16792">
      <c r="A16792" s="1">
        <v>5.0</v>
      </c>
      <c r="B16792" s="1" t="s">
        <v>16509</v>
      </c>
      <c r="C16792" t="str">
        <f>IFERROR(__xludf.DUMMYFUNCTION("GOOGLETRANSLATE(B16792, ""fr"", ""en"")"),"Perfect Vials are very focused, I use them in an automatic distributor, and it's just great, just a few drops to the smell be present, it's simple, I love it! There are many sweet, tea tree, lavender, peppermint, eucalyptus, sandalwood, lemon, orange, cha"&amp;"momile, jasmine, my favorite remains lemongrass. The cover is a more than I like, too, because I do not lose the bottle in a drawer! In short I am satisfied with the product.")</f>
        <v>Perfect Vials are very focused, I use them in an automatic distributor, and it's just great, just a few drops to the smell be present, it's simple, I love it! There are many sweet, tea tree, lavender, peppermint, eucalyptus, sandalwood, lemon, orange, chamomile, jasmine, my favorite remains lemongrass. The cover is a more than I like, too, because I do not lose the bottle in a drawer! In short I am satisfied with the product.</v>
      </c>
    </row>
    <row r="16793">
      <c r="A16793" s="1">
        <v>5.0</v>
      </c>
      <c r="B16793" s="1" t="s">
        <v>16510</v>
      </c>
      <c r="C16793" t="str">
        <f>IFERROR(__xludf.DUMMYFUNCTION("GOOGLETRANSLATE(B16793, ""fr"", ""en"")"),"Excellent purchase. Watch for a small upscale taken.")</f>
        <v>Excellent purchase. Watch for a small upscale taken.</v>
      </c>
    </row>
    <row r="16794">
      <c r="A16794" s="1">
        <v>5.0</v>
      </c>
      <c r="B16794" s="1" t="s">
        <v>16511</v>
      </c>
      <c r="C16794" t="str">
        <f>IFERROR(__xludf.DUMMYFUNCTION("GOOGLETRANSLATE(B16794, ""fr"", ""en"")"),"Practice For a woman 38 en I took the woman size 7 / size 5. Product handy man")</f>
        <v>Practice For a woman 38 en I took the woman size 7 / size 5. Product handy man</v>
      </c>
    </row>
    <row r="16795">
      <c r="A16795" s="1">
        <v>5.0</v>
      </c>
      <c r="B16795" s="1" t="s">
        <v>16512</v>
      </c>
      <c r="C16795" t="str">
        <f>IFERROR(__xludf.DUMMYFUNCTION("GOOGLETRANSLATE(B16795, ""fr"", ""en"")"),"Comfortable correct product for small walk but no more")</f>
        <v>Comfortable correct product for small walk but no more</v>
      </c>
    </row>
    <row r="16796">
      <c r="A16796" s="1">
        <v>5.0</v>
      </c>
      <c r="B16796" s="1" t="s">
        <v>16513</v>
      </c>
      <c r="C16796" t="str">
        <f>IFERROR(__xludf.DUMMYFUNCTION("GOOGLETRANSLATE(B16796, ""fr"", ""en"")"),"Great Value Great Value for money! The rendering is top, the pockets are top, top material, it is width. It is not too thick but it holds very warm. The material is super nice, she's really sweet either inside or outside (the same tissue). No problem with"&amp;" the dryer. I recommend")</f>
        <v>Great Value Great Value for money! The rendering is top, the pockets are top, top material, it is width. It is not too thick but it holds very warm. The material is super nice, she's really sweet either inside or outside (the same tissue). No problem with the dryer. I recommend</v>
      </c>
    </row>
    <row r="16797">
      <c r="A16797" s="1">
        <v>5.0</v>
      </c>
      <c r="B16797" s="1" t="s">
        <v>16514</v>
      </c>
      <c r="C16797" t="str">
        <f>IFERROR(__xludf.DUMMYFUNCTION("GOOGLETRANSLATE(B16797, ""fr"", ""en"")"),"Great!!! very comfortable, lightweight, fit perfectly in my stride. impeccable grip. Shoe normally: foresee 1/2 size compared to dress shoes I recommend")</f>
        <v>Great!!! very comfortable, lightweight, fit perfectly in my stride. impeccable grip. Shoe normally: foresee 1/2 size compared to dress shoes I recommend</v>
      </c>
    </row>
    <row r="16798">
      <c r="A16798" s="1">
        <v>5.0</v>
      </c>
      <c r="B16798" s="1" t="s">
        <v>16515</v>
      </c>
      <c r="C16798" t="str">
        <f>IFERROR(__xludf.DUMMYFUNCTION("GOOGLETRANSLATE(B16798, ""fr"", ""en"")"),"On top keeping with this reputation. I took the 80 ohm version for use on my PC. The sound is largely safe, max volume PC is held 1min but this is too much so it's good. Test with my smartphone Xiaomi Mi A1 which has a fairly powerful audio output, it is "&amp;"not bad also dutout! A bit weaker than the PC but more than adequate. I did not buy for use with such anyway ...")</f>
        <v>On top keeping with this reputation. I took the 80 ohm version for use on my PC. The sound is largely safe, max volume PC is held 1min but this is too much so it's good. Test with my smartphone Xiaomi Mi A1 which has a fairly powerful audio output, it is not bad also dutout! A bit weaker than the PC but more than adequate. I did not buy for use with such anyway ...</v>
      </c>
    </row>
    <row r="16799">
      <c r="A16799" s="1">
        <v>5.0</v>
      </c>
      <c r="B16799" s="1" t="s">
        <v>16516</v>
      </c>
      <c r="C16799" t="str">
        <f>IFERROR(__xludf.DUMMYFUNCTION("GOOGLETRANSLATE(B16799, ""fr"", ""en"")"),"The sports bra sports bra and pleasant worn. It has the area too small but just know a trompe l'oeil.")</f>
        <v>The sports bra sports bra and pleasant worn. It has the area too small but just know a trompe l'oeil.</v>
      </c>
    </row>
    <row r="16800">
      <c r="A16800" s="1">
        <v>5.0</v>
      </c>
      <c r="B16800" s="1" t="s">
        <v>16517</v>
      </c>
      <c r="C16800" t="str">
        <f>IFERROR(__xludf.DUMMYFUNCTION("GOOGLETRANSLATE(B16800, ""fr"", ""en"")"),"Certe a bit heavy but comfortable and warm, perfect for a warm winter! Very good product for walking and keeps you warm, they are a little heavy, certainly, but it feels comfortable, warm and safe. Good size I always watch to take a little more especially"&amp;" for this type of shoe, my son did not need time to adapt and felt immediately at ease. I highly recommend, they are really great shoes that allow to winter and the days of heavy rains in the dry! I recommend the waterproofing with a special product for p"&amp;"reserving ...")</f>
        <v>Certe a bit heavy but comfortable and warm, perfect for a warm winter! Very good product for walking and keeps you warm, they are a little heavy, certainly, but it feels comfortable, warm and safe. Good size I always watch to take a little more especially for this type of shoe, my son did not need time to adapt and felt immediately at ease. I highly recommend, they are really great shoes that allow to winter and the days of heavy rains in the dry! I recommend the waterproofing with a special product for preserving ...</v>
      </c>
    </row>
    <row r="16801">
      <c r="A16801" s="1">
        <v>5.0</v>
      </c>
      <c r="B16801" s="1" t="s">
        <v>16518</v>
      </c>
      <c r="C16801" t="str">
        <f>IFERROR(__xludf.DUMMYFUNCTION("GOOGLETRANSLATE(B16801, ""fr"", ""en"")"),"extra! it is extra everything! extra soft and extra practice heats just what it takes, good value for money ..")</f>
        <v>extra! it is extra everything! extra soft and extra practice heats just what it takes, good value for money ..</v>
      </c>
    </row>
    <row r="16802">
      <c r="A16802" s="1">
        <v>5.0</v>
      </c>
      <c r="B16802" s="1" t="s">
        <v>16519</v>
      </c>
      <c r="C16802" t="str">
        <f>IFERROR(__xludf.DUMMYFUNCTION("GOOGLETRANSLATE(B16802, ""fr"", ""en"")"),"Perfect Matches the description")</f>
        <v>Perfect Matches the description</v>
      </c>
    </row>
    <row r="16803">
      <c r="A16803" s="1">
        <v>5.0</v>
      </c>
      <c r="B16803" s="1" t="s">
        <v>16520</v>
      </c>
      <c r="C16803" t="str">
        <f>IFERROR(__xludf.DUMMYFUNCTION("GOOGLETRANSLATE(B16803, ""fr"", ""en"")"),"Simple and efficient This agenda m accompanied throughout the year, annual schedule, the week on a page, school holidays, public holidays, telephone clues to the size of a notebook, practical and discreet.")</f>
        <v>Simple and efficient This agenda m accompanied throughout the year, annual schedule, the week on a page, school holidays, public holidays, telephone clues to the size of a notebook, practical and discreet.</v>
      </c>
    </row>
    <row r="16804">
      <c r="A16804" s="1">
        <v>5.0</v>
      </c>
      <c r="B16804" s="1" t="s">
        <v>16521</v>
      </c>
      <c r="C16804" t="str">
        <f>IFERROR(__xludf.DUMMYFUNCTION("GOOGLETRANSLATE(B16804, ""fr"", ""en"")"),"Super practices very compact and convenient earphones transport. The small shipping box also allows the recharging, allowing to hold all day without problems. More son who tangled in pockets or who cling to doorknobs, it is priceless!")</f>
        <v>Super practices very compact and convenient earphones transport. The small shipping box also allows the recharging, allowing to hold all day without problems. More son who tangled in pockets or who cling to doorknobs, it is priceless!</v>
      </c>
    </row>
    <row r="16805">
      <c r="A16805" s="1">
        <v>5.0</v>
      </c>
      <c r="B16805" s="1" t="s">
        <v>16522</v>
      </c>
      <c r="C16805" t="str">
        <f>IFERROR(__xludf.DUMMYFUNCTION("GOOGLETRANSLATE(B16805, ""fr"", ""en"")"),"Okay His biggest strength: the paper is thick, which prevents the card is torn when you scratch. She is very well and is pretty to look at. (Same for the map of Europe.) The only thing is the pick to scrape sold is soft plastic, so not super convenient to"&amp;" scratch but if it's just that, it is okay.")</f>
        <v>Okay His biggest strength: the paper is thick, which prevents the card is torn when you scratch. She is very well and is pretty to look at. (Same for the map of Europe.) The only thing is the pick to scrape sold is soft plastic, so not super convenient to scratch but if it's just that, it is okay.</v>
      </c>
    </row>
    <row r="16806">
      <c r="A16806" s="1">
        <v>2.0</v>
      </c>
      <c r="B16806" s="1" t="s">
        <v>16523</v>
      </c>
      <c r="C16806" t="str">
        <f>IFERROR(__xludf.DUMMYFUNCTION("GOOGLETRANSLATE(B16806, ""fr"", ""en"")"),"User quickly Shoes very comfortable certe but doing 2 months I wear them and there's already a hole in the sole and the edge of the shoe is detached nicely. Not long periods shoes.")</f>
        <v>User quickly Shoes very comfortable certe but doing 2 months I wear them and there's already a hole in the sole and the edge of the shoe is detached nicely. Not long periods shoes.</v>
      </c>
    </row>
    <row r="16807">
      <c r="A16807" s="1">
        <v>1.0</v>
      </c>
      <c r="B16807" s="1" t="s">
        <v>16524</v>
      </c>
      <c r="C16807" t="str">
        <f>IFERROR(__xludf.DUMMYFUNCTION("GOOGLETRANSLATE(B16807, ""fr"", ""en"")"),"Quality Driven 2fois the boot shoe take off his beautiful but very disappointed in the end I do not recommend at all")</f>
        <v>Quality Driven 2fois the boot shoe take off his beautiful but very disappointed in the end I do not recommend at all</v>
      </c>
    </row>
    <row r="16808">
      <c r="A16808" s="1">
        <v>1.0</v>
      </c>
      <c r="B16808" s="1" t="s">
        <v>16525</v>
      </c>
      <c r="C16808" t="str">
        <f>IFERROR(__xludf.DUMMYFUNCTION("GOOGLETRANSLATE(B16808, ""fr"", ""en"")"),"disappointed the product is beautiful but it broke the first day!")</f>
        <v>disappointed the product is beautiful but it broke the first day!</v>
      </c>
    </row>
    <row r="16809">
      <c r="A16809" s="1">
        <v>3.0</v>
      </c>
      <c r="B16809" s="1" t="s">
        <v>16526</v>
      </c>
      <c r="C16809" t="str">
        <f>IFERROR(__xludf.DUMMYFUNCTION("GOOGLETRANSLATE(B16809, ""fr"", ""en"")"),"No effect dry soft and resistant paper but then big negative there was drier in effect at all. I think I will continue with those mio bambino.")</f>
        <v>No effect dry soft and resistant paper but then big negative there was drier in effect at all. I think I will continue with those mio bambino.</v>
      </c>
    </row>
    <row r="16810">
      <c r="A16810" s="1">
        <v>3.0</v>
      </c>
      <c r="B16810" s="1" t="s">
        <v>16527</v>
      </c>
      <c r="C16810" t="str">
        <f>IFERROR(__xludf.DUMMYFUNCTION("GOOGLETRANSLATE(B16810, ""fr"", ""en"")"),"Complicated It was really complicated !! I ordered this pair for the birthday of a friend who had found the beautiful at the foot of my daughter (I had told him a few weeks before in purple worry) I had to send them 2 times before the .. good size I wante"&amp;"d the 39 and I received either a 40 or a 38. I do have are therefore not received in time for the anniversary Despite tt she is very pretty worn my friend and my daughter are delighted")</f>
        <v>Complicated It was really complicated !! I ordered this pair for the birthday of a friend who had found the beautiful at the foot of my daughter (I had told him a few weeks before in purple worry) I had to send them 2 times before the .. good size I wanted the 39 and I received either a 40 or a 38. I do have are therefore not received in time for the anniversary Despite tt she is very pretty worn my friend and my daughter are delighted</v>
      </c>
    </row>
    <row r="16811">
      <c r="A16811" s="1">
        <v>4.0</v>
      </c>
      <c r="B16811" s="1" t="s">
        <v>16528</v>
      </c>
      <c r="C16811" t="str">
        <f>IFERROR(__xludf.DUMMYFUNCTION("GOOGLETRANSLATE(B16811, ""fr"", ""en"")"),"Color consistent with the picture that achat.Mais Glad to be aware that the s / m is actually quite a large M .Très well cut comfortable, well for this season")</f>
        <v>Color consistent with the picture that achat.Mais Glad to be aware that the s / m is actually quite a large M .Très well cut comfortable, well for this season</v>
      </c>
    </row>
    <row r="16812">
      <c r="A16812" s="1">
        <v>4.0</v>
      </c>
      <c r="B16812" s="1" t="s">
        <v>16529</v>
      </c>
      <c r="C16812" t="str">
        <f>IFERROR(__xludf.DUMMYFUNCTION("GOOGLETRANSLATE(B16812, ""fr"", ""en"")"),"good product quality clothing, size as it should, consistent with the description. Definitely suitable for a teenager or young adult.")</f>
        <v>good product quality clothing, size as it should, consistent with the description. Definitely suitable for a teenager or young adult.</v>
      </c>
    </row>
    <row r="16813">
      <c r="A16813" s="1">
        <v>4.0</v>
      </c>
      <c r="B16813" s="1" t="s">
        <v>16530</v>
      </c>
      <c r="C16813" t="str">
        <f>IFERROR(__xludf.DUMMYFUNCTION("GOOGLETRANSLATE(B16813, ""fr"", ""en"")"),"Good for the evo From baby Okay baby a grip")</f>
        <v>Good for the evo From baby Okay baby a grip</v>
      </c>
    </row>
    <row r="16814">
      <c r="A16814" s="1">
        <v>4.0</v>
      </c>
      <c r="B16814" s="1" t="s">
        <v>16531</v>
      </c>
      <c r="C16814" t="str">
        <f>IFERROR(__xludf.DUMMYFUNCTION("GOOGLETRANSLATE(B16814, ""fr"", ""en"")"),"A bargain € 60, it's a very good deal. I can not wait to try the snow. But be careful that very right size, I recommend a half size bigger.")</f>
        <v>A bargain € 60, it's a very good deal. I can not wait to try the snow. But be careful that very right size, I recommend a half size bigger.</v>
      </c>
    </row>
    <row r="16815">
      <c r="A16815" s="1">
        <v>5.0</v>
      </c>
      <c r="B16815" s="1" t="s">
        <v>16532</v>
      </c>
      <c r="C16815" t="str">
        <f>IFERROR(__xludf.DUMMYFUNCTION("GOOGLETRANSLATE(B16815, ""fr"", ""en"")"),"Very good article super louse my printer paper")</f>
        <v>Very good article super louse my printer paper</v>
      </c>
    </row>
    <row r="16816">
      <c r="A16816" s="1">
        <v>5.0</v>
      </c>
      <c r="B16816" s="1" t="s">
        <v>16533</v>
      </c>
      <c r="C16816" t="str">
        <f>IFERROR(__xludf.DUMMYFUNCTION("GOOGLETRANSLATE(B16816, ""fr"", ""en"")"),"Pretty and practical mac This is light. fluid material and well cut. Can slip ds bag easily. Well cut, blue is bright. I tested under normal and impeccable rain. This is similar to a well known brand that I can not mention except that the price is not the"&amp;" same")</f>
        <v>Pretty and practical mac This is light. fluid material and well cut. Can slip ds bag easily. Well cut, blue is bright. I tested under normal and impeccable rain. This is similar to a well known brand that I can not mention except that the price is not the same</v>
      </c>
    </row>
    <row r="16817">
      <c r="A16817" s="1">
        <v>5.0</v>
      </c>
      <c r="B16817" s="1" t="s">
        <v>16534</v>
      </c>
      <c r="C16817" t="str">
        <f>IFERROR(__xludf.DUMMYFUNCTION("GOOGLETRANSLATE(B16817, ""fr"", ""en"")"),"very beautiful bracelet heart to a beautiful blue following a remark in the comments, I have half a little glue on the back of crystal to avoid losing good wife bracelet around the wrist. The small chain is a good tip for size adjustment I'm happy with my"&amp;" purchase")</f>
        <v>very beautiful bracelet heart to a beautiful blue following a remark in the comments, I have half a little glue on the back of crystal to avoid losing good wife bracelet around the wrist. The small chain is a good tip for size adjustment I'm happy with my purchase</v>
      </c>
    </row>
    <row r="16818">
      <c r="A16818" s="1">
        <v>5.0</v>
      </c>
      <c r="B16818" s="1" t="s">
        <v>16535</v>
      </c>
      <c r="C16818" t="str">
        <f>IFERROR(__xludf.DUMMYFUNCTION("GOOGLETRANSLATE(B16818, ""fr"", ""en"")"),"does the job! perfect for a volume of tea or tea leaf reasonable. about 3 mug well filled (3X 33 cl). convenient. useful and profitable acaht!")</f>
        <v>does the job! perfect for a volume of tea or tea leaf reasonable. about 3 mug well filled (3X 33 cl). convenient. useful and profitable acaht!</v>
      </c>
    </row>
    <row r="16819">
      <c r="A16819" s="1">
        <v>5.0</v>
      </c>
      <c r="B16819" s="1" t="s">
        <v>16536</v>
      </c>
      <c r="C16819" t="str">
        <f>IFERROR(__xludf.DUMMYFUNCTION("GOOGLETRANSLATE(B16819, ""fr"", ""en"")"),"Great product Very very good product highly resistant I am electrician and I doors all week nothing to say")</f>
        <v>Great product Very very good product highly resistant I am electrician and I doors all week nothing to say</v>
      </c>
    </row>
    <row r="16820">
      <c r="A16820" s="1">
        <v>5.0</v>
      </c>
      <c r="B16820" s="1" t="s">
        <v>16537</v>
      </c>
      <c r="C16820" t="str">
        <f>IFERROR(__xludf.DUMMYFUNCTION("GOOGLETRANSLATE(B16820, ""fr"", ""en"")"),"very quiet, and easy to use kettle of good quality, easy to use in terms of temperature, the faster it is very quiet and I recommend this article.")</f>
        <v>very quiet, and easy to use kettle of good quality, easy to use in terms of temperature, the faster it is very quiet and I recommend this article.</v>
      </c>
    </row>
    <row r="16821">
      <c r="A16821" s="1">
        <v>5.0</v>
      </c>
      <c r="B16821" s="1" t="s">
        <v>16538</v>
      </c>
      <c r="C16821" t="str">
        <f>IFERROR(__xludf.DUMMYFUNCTION("GOOGLETRANSLATE(B16821, ""fr"", ""en"")"),"perfect is a sweat as sweet like not too hot wide as I like")</f>
        <v>perfect is a sweat as sweet like not too hot wide as I like</v>
      </c>
    </row>
    <row r="16822">
      <c r="A16822" s="1">
        <v>5.0</v>
      </c>
      <c r="B16822" s="1" t="s">
        <v>16539</v>
      </c>
      <c r="C16822" t="str">
        <f>IFERROR(__xludf.DUMMYFUNCTION("GOOGLETRANSLATE(B16822, ""fr"", ""en"")"),"Price / quality Bluetooth earphones in quality / price impeccable, I use at work are at the top of autonomy and a little more than indicated, the perfect sound (JBL in general) nickel.")</f>
        <v>Price / quality Bluetooth earphones in quality / price impeccable, I use at work are at the top of autonomy and a little more than indicated, the perfect sound (JBL in general) nickel.</v>
      </c>
    </row>
    <row r="16823">
      <c r="A16823" s="1">
        <v>5.0</v>
      </c>
      <c r="B16823" s="1" t="s">
        <v>16540</v>
      </c>
      <c r="C16823" t="str">
        <f>IFERROR(__xludf.DUMMYFUNCTION("GOOGLETRANSLATE(B16823, ""fr"", ""en"")"),"warm hiking shoes I am delighted to have chosen these shoes. I love the design, it is both sporty and casual, shoes go well with any outfit. Comfortable, soft and warm, he assured me of the best walks.")</f>
        <v>warm hiking shoes I am delighted to have chosen these shoes. I love the design, it is both sporty and casual, shoes go well with any outfit. Comfortable, soft and warm, he assured me of the best walks.</v>
      </c>
    </row>
    <row r="16824">
      <c r="A16824" s="1">
        <v>5.0</v>
      </c>
      <c r="B16824" s="1" t="s">
        <v>16541</v>
      </c>
      <c r="C16824" t="str">
        <f>IFERROR(__xludf.DUMMYFUNCTION("GOOGLETRANSLATE(B16824, ""fr"", ""en"")"),"Top Very nice design. Blends in with the decor. The pack contains a diffuser, a remote control, a metering device, the power supply to the diffuser and a note. You can adjust the steaming time, the color of strip light .. Remote really convenient. I just "&amp;"love it.")</f>
        <v>Top Very nice design. Blends in with the decor. The pack contains a diffuser, a remote control, a metering device, the power supply to the diffuser and a note. You can adjust the steaming time, the color of strip light .. Remote really convenient. I just love it.</v>
      </c>
    </row>
    <row r="16825">
      <c r="A16825" s="1">
        <v>5.0</v>
      </c>
      <c r="B16825" s="1" t="s">
        <v>16542</v>
      </c>
      <c r="C16825" t="str">
        <f>IFERROR(__xludf.DUMMYFUNCTION("GOOGLETRANSLATE(B16825, ""fr"", ""en"")"),"Meets the description Very comfortable for both massaged for the masseur. I recommend it. Thick foam and easy to mount as to carry.")</f>
        <v>Meets the description Very comfortable for both massaged for the masseur. I recommend it. Thick foam and easy to mount as to carry.</v>
      </c>
    </row>
    <row r="16826">
      <c r="A16826" s="1">
        <v>5.0</v>
      </c>
      <c r="B16826" s="1" t="s">
        <v>16543</v>
      </c>
      <c r="C16826" t="str">
        <f>IFERROR(__xludf.DUMMYFUNCTION("GOOGLETRANSLATE(B16826, ""fr"", ""en"")"),"a beautiful sport watch I gave this watch to my son, who never leaves her. The bracelet is comfortable although silicone. The dial is not too large, making it a discreet watch, suitable for both men and women or teens. My son loves the fact that the secon"&amp;"d hand is orange, and it finds that the legibility of the time is very easy. Otherwise, it is the quality Ice Watch. We have others at home, they last over time. I recommend.")</f>
        <v>a beautiful sport watch I gave this watch to my son, who never leaves her. The bracelet is comfortable although silicone. The dial is not too large, making it a discreet watch, suitable for both men and women or teens. My son loves the fact that the second hand is orange, and it finds that the legibility of the time is very easy. Otherwise, it is the quality Ice Watch. We have others at home, they last over time. I recommend.</v>
      </c>
    </row>
    <row r="16827">
      <c r="A16827" s="1">
        <v>5.0</v>
      </c>
      <c r="B16827" s="1" t="s">
        <v>16544</v>
      </c>
      <c r="C16827" t="str">
        <f>IFERROR(__xludf.DUMMYFUNCTION("GOOGLETRANSLATE(B16827, ""fr"", ""en"")"),"Nice and comfortable Very nice jackets, I ordered 3 black. I took the L to a 95D, slightly smaller but still very comfortable. Very good support. I recommend. I now pass a new order in white this time and I try XL.")</f>
        <v>Nice and comfortable Very nice jackets, I ordered 3 black. I took the L to a 95D, slightly smaller but still very comfortable. Very good support. I recommend. I now pass a new order in white this time and I try XL.</v>
      </c>
    </row>
    <row r="16828">
      <c r="A16828" s="1">
        <v>5.0</v>
      </c>
      <c r="B16828" s="1" t="s">
        <v>16545</v>
      </c>
      <c r="C16828" t="str">
        <f>IFERROR(__xludf.DUMMYFUNCTION("GOOGLETRANSLATE(B16828, ""fr"", ""en"")"),"Superb Simply beautiful, I pprte every day.")</f>
        <v>Superb Simply beautiful, I pprte every day.</v>
      </c>
    </row>
    <row r="16829">
      <c r="A16829" s="1">
        <v>5.0</v>
      </c>
      <c r="B16829" s="1" t="s">
        <v>16546</v>
      </c>
      <c r="C16829" t="str">
        <f>IFERROR(__xludf.DUMMYFUNCTION("GOOGLETRANSLATE(B16829, ""fr"", ""en"")"),"Article conforms to my expectations Article entirely conform to the presentation, the transparent substrates are discreet and nice, however the adhesion leaves to be desired, but it is always a Fulani same problem with this kind of article, so I'll add gl"&amp;"ue")</f>
        <v>Article conforms to my expectations Article entirely conform to the presentation, the transparent substrates are discreet and nice, however the adhesion leaves to be desired, but it is always a Fulani same problem with this kind of article, so I'll add glue</v>
      </c>
    </row>
    <row r="16830">
      <c r="A16830" s="1">
        <v>2.0</v>
      </c>
      <c r="B16830" s="1" t="s">
        <v>16547</v>
      </c>
      <c r="C16830" t="str">
        <f>IFERROR(__xludf.DUMMYFUNCTION("GOOGLETRANSLATE(B16830, ""fr"", ""en"")"),"poor quality product too large and the quality is average. I do not know what happened at the design, certainly a bad run. Disappointed.")</f>
        <v>poor quality product too large and the quality is average. I do not know what happened at the design, certainly a bad run. Disappointed.</v>
      </c>
    </row>
    <row r="16831">
      <c r="A16831" s="1">
        <v>1.0</v>
      </c>
      <c r="B16831" s="1" t="s">
        <v>16548</v>
      </c>
      <c r="C16831" t="str">
        <f>IFERROR(__xludf.DUMMYFUNCTION("GOOGLETRANSLATE(B16831, ""fr"", ""en"")"),"nice product but lacking from the 2nd wash Very nice product. Size good. The only problem, not least, is that after the 2nd wash, bp at the drawstring: the plastic locking ring which retains the son, literally removed, the son is therefore loosened. And n"&amp;"o way to put a noose replace because the cord is sewn into the hood!")</f>
        <v>nice product but lacking from the 2nd wash Very nice product. Size good. The only problem, not least, is that after the 2nd wash, bp at the drawstring: the plastic locking ring which retains the son, literally removed, the son is therefore loosened. And no way to put a noose replace because the cord is sewn into the hood!</v>
      </c>
    </row>
    <row r="16832">
      <c r="A16832" s="1">
        <v>1.0</v>
      </c>
      <c r="B16832" s="1" t="s">
        <v>16549</v>
      </c>
      <c r="C16832" t="str">
        <f>IFERROR(__xludf.DUMMYFUNCTION("GOOGLETRANSLATE(B16832, ""fr"", ""en"")"),"Disappointed A the area pretty hot item but will not last long and poor quality various default (as if there had various burns on fabric")</f>
        <v>Disappointed A the area pretty hot item but will not last long and poor quality various default (as if there had various burns on fabric</v>
      </c>
    </row>
    <row r="16833">
      <c r="A16833" s="1">
        <v>3.0</v>
      </c>
      <c r="B16833" s="1" t="s">
        <v>16550</v>
      </c>
      <c r="C16833" t="str">
        <f>IFERROR(__xludf.DUMMYFUNCTION("GOOGLETRANSLATE(B16833, ""fr"", ""en"")"),"Beautiful bag, as described in the picture, can be a little stiff but very beautiful and stylish, it had its effect, it is convenient.")</f>
        <v>Beautiful bag, as described in the picture, can be a little stiff but very beautiful and stylish, it had its effect, it is convenient.</v>
      </c>
    </row>
    <row r="16834">
      <c r="A16834" s="1">
        <v>4.0</v>
      </c>
      <c r="B16834" s="1" t="s">
        <v>16551</v>
      </c>
      <c r="C16834" t="str">
        <f>IFERROR(__xludf.DUMMYFUNCTION("GOOGLETRANSLATE(B16834, ""fr"", ""en"")"),"Use rechargeable batteries ... Bought to remove crumbs table without having to shake the spoon each time. Fulfills its purpose, provided that the crumbs are not too big (but in this case, they are easily removed by hand) and that battery power is quite go"&amp;"od. As I use it two or three times a day, I opted to power with rechargeable batteries, because the other does not ""take"" as 8 to 10 days. Very satisfied with my purchase.")</f>
        <v>Use rechargeable batteries ... Bought to remove crumbs table without having to shake the spoon each time. Fulfills its purpose, provided that the crumbs are not too big (but in this case, they are easily removed by hand) and that battery power is quite good. As I use it two or three times a day, I opted to power with rechargeable batteries, because the other does not "take" as 8 to 10 days. Very satisfied with my purchase.</v>
      </c>
    </row>
    <row r="16835">
      <c r="A16835" s="1">
        <v>4.0</v>
      </c>
      <c r="B16835" s="1" t="s">
        <v>16552</v>
      </c>
      <c r="C16835" t="str">
        <f>IFERROR(__xludf.DUMMYFUNCTION("GOOGLETRANSLATE(B16835, ""fr"", ""en"")"),"Surprising Regarding the product my first surprise was to see its light while remaining a well-finished product. The touch façade has a very good sensitivity and excellent responsiveness. In the black keys are extinguished but simply press anywhere on the"&amp;" display so that the keys come back on again. It is possible, via a button on the foot, adjust the lighting power of the hour. By a button on the front panel can also be adjusted (0 to 10) the lamp power (which serves alarm but also pilot). Continuing the"&amp;" walk we find a button to choose between the two alarm sounds (birdsong). Even if the document is short it is very easy to set the alarm clock. After a few days of use I see the light correctly wake up (no need to put my old alarm clock if the light does "&amp;"not wake me). However I do not wake up if the light is low so I am obliged to leave at full power. Likewise must the clock is level of the head may not be awakened. If the light would have no impact, birdsong takes over. I only regret that there was not a"&amp;"n emergency alarm that will trigger after birdsong 10min for example. This would be sure to wake up. After 7 days of use I am satisfied with the product but my wife can not stand this revival. Very sensitive to light she is awake 30 minutes before the usu"&amp;"al ringing of my alarm clock and it bothers a lot. We therefore found it another use. We put in the room of our small-son to gradually awaken in the morning. He was only 4 years and it will wake up not completely but I think it improves its wake")</f>
        <v>Surprising Regarding the product my first surprise was to see its light while remaining a well-finished product. The touch façade has a very good sensitivity and excellent responsiveness. In the black keys are extinguished but simply press anywhere on the display so that the keys come back on again. It is possible, via a button on the foot, adjust the lighting power of the hour. By a button on the front panel can also be adjusted (0 to 10) the lamp power (which serves alarm but also pilot). Continuing the walk we find a button to choose between the two alarm sounds (birdsong). Even if the document is short it is very easy to set the alarm clock. After a few days of use I see the light correctly wake up (no need to put my old alarm clock if the light does not wake me). However I do not wake up if the light is low so I am obliged to leave at full power. Likewise must the clock is level of the head may not be awakened. If the light would have no impact, birdsong takes over. I only regret that there was not an emergency alarm that will trigger after birdsong 10min for example. This would be sure to wake up. After 7 days of use I am satisfied with the product but my wife can not stand this revival. Very sensitive to light she is awake 30 minutes before the usual ringing of my alarm clock and it bothers a lot. We therefore found it another use. We put in the room of our small-son to gradually awaken in the morning. He was only 4 years and it will wake up not completely but I think it improves its wake</v>
      </c>
    </row>
    <row r="16836">
      <c r="A16836" s="1">
        <v>4.0</v>
      </c>
      <c r="B16836" s="1" t="s">
        <v>16553</v>
      </c>
      <c r="C16836" t="str">
        <f>IFERROR(__xludf.DUMMYFUNCTION("GOOGLETRANSLATE(B16836, ""fr"", ""en"")"),"Top Good product. Fits very well to bottles and is of good quality. Really nothing else to say. I recommend this product.")</f>
        <v>Top Good product. Fits very well to bottles and is of good quality. Really nothing else to say. I recommend this product.</v>
      </c>
    </row>
    <row r="16837">
      <c r="A16837" s="1">
        <v>4.0</v>
      </c>
      <c r="B16837" s="1" t="s">
        <v>16554</v>
      </c>
      <c r="C16837" t="str">
        <f>IFERROR(__xludf.DUMMYFUNCTION("GOOGLETRANSLATE(B16837, ""fr"", ""en"")"),"Very good children's listening duo Bought for my grandchildren ages 3 and 6, to listen duo or solo quiet (for parents too ;-)), the Lunii, manufactures stories. Pleasant to the eyes and to the touch to start. My granddaughter 3 years old: ""Oh, I love pin"&amp;"k This one is for me."" And true that the two colors used to differentiate, to each his headset. Comfortable on the head (the Mamy tested), everything is soft and ""padded"" as and where it is necessary, first. The helmets are adjustable to properly fit t"&amp;"he child's head and position them on the ears for good listening. The sound is good, and actually, volume limiter. It is a well and ... it may be too. No aggressive decibels so. But the Lunii why I chose these headphones, also ensures the ears of cherubim"&amp;" and that the maximum volume does not assaulting their eardrums. Did caring limitation Lunii + other benevolent limitation helmets? Headphones plugged in, I find that listening is the same limit with the Lunii maximum volume. We understand the whole story"&amp;" but it should not be too noisy environments around. The child must listen ... (I do not think it's a default headphones sin but a cumulative attention to small ears which that volume becomes almost too low). Conversely, with the headphones and sound, the"&amp;" child always hears what he is told and what is going on around him, which is also a plus! Very well then, and still, for a moment of calm, by car, in a waiting room, and many other uses of the children of a bill product that seems good and cared for chil"&amp;"dren. With a reference to support for this pair of headphones that allows many complicities between brother / sister and sister / brother or between boyfriend / girlfriend! I've seen on my two grandchildren day create full accomplices moments listening to"&amp;" the same story under their helmets, and it was so cute to see! PS: I had taken care to also buy an ""audio splitter"", in other words, an audio plug to plug two headphone outputs ... in the shape of bear head, cute, allowing that my two little can connec"&amp;"t any two helmets in one device and enjoy together in the same story. So good quality headphones and purchase bundled Lunii + Adapter Kit + 2 helmets are a very good formula.")</f>
        <v>Very good children's listening duo Bought for my grandchildren ages 3 and 6, to listen duo or solo quiet (for parents too ;-)), the Lunii, manufactures stories. Pleasant to the eyes and to the touch to start. My granddaughter 3 years old: "Oh, I love pink This one is for me." And true that the two colors used to differentiate, to each his headset. Comfortable on the head (the Mamy tested), everything is soft and "padded" as and where it is necessary, first. The helmets are adjustable to properly fit the child's head and position them on the ears for good listening. The sound is good, and actually, volume limiter. It is a well and ... it may be too. No aggressive decibels so. But the Lunii why I chose these headphones, also ensures the ears of cherubim and that the maximum volume does not assaulting their eardrums. Did caring limitation Lunii + other benevolent limitation helmets? Headphones plugged in, I find that listening is the same limit with the Lunii maximum volume. We understand the whole story but it should not be too noisy environments around. The child must listen ... (I do not think it's a default headphones sin but a cumulative attention to small ears which that volume becomes almost too low). Conversely, with the headphones and sound, the child always hears what he is told and what is going on around him, which is also a plus! Very well then, and still, for a moment of calm, by car, in a waiting room, and many other uses of the children of a bill product that seems good and cared for children. With a reference to support for this pair of headphones that allows many complicities between brother / sister and sister / brother or between boyfriend / girlfriend! I've seen on my two grandchildren day create full accomplices moments listening to the same story under their helmets, and it was so cute to see! PS: I had taken care to also buy an "audio splitter", in other words, an audio plug to plug two headphone outputs ... in the shape of bear head, cute, allowing that my two little can connect any two helmets in one device and enjoy together in the same story. So good quality headphones and purchase bundled Lunii + Adapter Kit + 2 helmets are a very good formula.</v>
      </c>
    </row>
    <row r="16838">
      <c r="A16838" s="1">
        <v>5.0</v>
      </c>
      <c r="B16838" s="1" t="s">
        <v>16555</v>
      </c>
      <c r="C16838" t="str">
        <f>IFERROR(__xludf.DUMMYFUNCTION("GOOGLETRANSLATE(B16838, ""fr"", ""en"")"),"Very good lamp, very good lamp, very practical, good value for money. And surprise: two light types are offered by this lamp, which is convenient and enjoyable! I recommend")</f>
        <v>Very good lamp, very good lamp, very practical, good value for money. And surprise: two light types are offered by this lamp, which is convenient and enjoyable! I recommend</v>
      </c>
    </row>
    <row r="16839">
      <c r="A16839" s="1">
        <v>5.0</v>
      </c>
      <c r="B16839" s="1" t="s">
        <v>16556</v>
      </c>
      <c r="C16839" t="str">
        <f>IFERROR(__xludf.DUMMYFUNCTION("GOOGLETRANSLATE(B16839, ""fr"", ""en"")"),"Tipp-Ex good size is really suitable even for small cupboards. This Tipp-ex is convenient.")</f>
        <v>Tipp-Ex good size is really suitable even for small cupboards. This Tipp-ex is convenient.</v>
      </c>
    </row>
    <row r="16840">
      <c r="A16840" s="1">
        <v>5.0</v>
      </c>
      <c r="B16840" s="1" t="s">
        <v>16557</v>
      </c>
      <c r="C16840" t="str">
        <f>IFERROR(__xludf.DUMMYFUNCTION("GOOGLETRANSLATE(B16840, ""fr"", ""en"")"),"Very nice and good quality")</f>
        <v>Very nice and good quality</v>
      </c>
    </row>
    <row r="16841">
      <c r="A16841" s="1">
        <v>5.0</v>
      </c>
      <c r="B16841" s="1" t="s">
        <v>16558</v>
      </c>
      <c r="C16841" t="str">
        <f>IFERROR(__xludf.DUMMYFUNCTION("GOOGLETRANSLATE(B16841, ""fr"", ""en"")"),"Great ! In view of the price compared to the price in the shop I was afraid of having an infringement but ultimately are not well and truly authentic converse, received in the original box. The brand shoes big so it must be thought to take one size smalle"&amp;"r. Delivery very fast I can only recommend!")</f>
        <v>Great ! In view of the price compared to the price in the shop I was afraid of having an infringement but ultimately are not well and truly authentic converse, received in the original box. The brand shoes big so it must be thought to take one size smaller. Delivery very fast I can only recommend!</v>
      </c>
    </row>
    <row r="16842">
      <c r="A16842" s="1">
        <v>5.0</v>
      </c>
      <c r="B16842" s="1" t="s">
        <v>16559</v>
      </c>
      <c r="C16842" t="str">
        <f>IFERROR(__xludf.DUMMYFUNCTION("GOOGLETRANSLATE(B16842, ""fr"", ""en"")"),"Vans rising all black and white school The shoe is beautiful, as the pictures. In addition I received the super fast and in good condition with its box. And I would point out that THIS IS NOT THE INFRINGEMENT ... believe me I always told the truth and her"&amp;"e I congratulate vendueur 👏👏")</f>
        <v>Vans rising all black and white school The shoe is beautiful, as the pictures. In addition I received the super fast and in good condition with its box. And I would point out that THIS IS NOT THE INFRINGEMENT ... believe me I always told the truth and here I congratulate vendueur 👏👏</v>
      </c>
    </row>
    <row r="16843">
      <c r="A16843" s="1">
        <v>5.0</v>
      </c>
      <c r="B16843" s="1" t="s">
        <v>16560</v>
      </c>
      <c r="C16843" t="str">
        <f>IFERROR(__xludf.DUMMYFUNCTION("GOOGLETRANSLATE(B16843, ""fr"", ""en"")"),"Complete We are delighted to have chosen this article. It conforms in all respects. It is very convenient. We highly recommend.")</f>
        <v>Complete We are delighted to have chosen this article. It conforms in all respects. It is very convenient. We highly recommend.</v>
      </c>
    </row>
    <row r="16844">
      <c r="A16844" s="1">
        <v>5.0</v>
      </c>
      <c r="B16844" s="1" t="s">
        <v>16561</v>
      </c>
      <c r="C16844" t="str">
        <f>IFERROR(__xludf.DUMMYFUNCTION("GOOGLETRANSLATE(B16844, ""fr"", ""en"")"),"Very glad I bought a laptop and I needed a bag to the door. But I wanted a bag with more space to carry more things, not just the computer. I found this shoulder bag that turns into a backpack, and is pretty, class and resist, and I am very happy with my "&amp;"purchase.")</f>
        <v>Very glad I bought a laptop and I needed a bag to the door. But I wanted a bag with more space to carry more things, not just the computer. I found this shoulder bag that turns into a backpack, and is pretty, class and resist, and I am very happy with my purchase.</v>
      </c>
    </row>
    <row r="16845">
      <c r="A16845" s="1">
        <v>5.0</v>
      </c>
      <c r="B16845" s="1" t="s">
        <v>14371</v>
      </c>
      <c r="C16845" t="str">
        <f>IFERROR(__xludf.DUMMYFUNCTION("GOOGLETRANSLATE(B16845, ""fr"", ""en"")"),"shoe very well")</f>
        <v>shoe very well</v>
      </c>
    </row>
    <row r="16846">
      <c r="A16846" s="1">
        <v>5.0</v>
      </c>
      <c r="B16846" s="1" t="s">
        <v>16562</v>
      </c>
      <c r="C16846" t="str">
        <f>IFERROR(__xludf.DUMMYFUNCTION("GOOGLETRANSLATE(B16846, ""fr"", ""en"")"),"Super quality and made robust I use it every day and I am surprised by the quality especially for the price of 14.99 delivered ..")</f>
        <v>Super quality and made robust I use it every day and I am surprised by the quality especially for the price of 14.99 delivered ..</v>
      </c>
    </row>
    <row r="16847">
      <c r="A16847" s="1">
        <v>5.0</v>
      </c>
      <c r="B16847" s="1" t="s">
        <v>16563</v>
      </c>
      <c r="C16847" t="str">
        <f>IFERROR(__xludf.DUMMYFUNCTION("GOOGLETRANSLATE(B16847, ""fr"", ""en"")"),"Nice jacket for ente two seasons Jacket wearable, attractive finish. the hood is ""&amp; nbsp; &amp; nbsp toupee;"" inside for warmth. size correctly")</f>
        <v>Nice jacket for ente two seasons Jacket wearable, attractive finish. the hood is "&amp; nbsp; &amp; nbsp toupee;" inside for warmth. size correctly</v>
      </c>
    </row>
    <row r="16848">
      <c r="A16848" s="1">
        <v>5.0</v>
      </c>
      <c r="B16848" s="1" t="s">
        <v>16564</v>
      </c>
      <c r="C16848" t="str">
        <f>IFERROR(__xludf.DUMMYFUNCTION("GOOGLETRANSLATE(B16848, ""fr"", ""en"")"),"Simple and effective watch that simply fulfills its function: tell the time. For the price the proposed functions are correct (stopwatch, date, alarm). It is said that it is water resistant but I think we can add the water Proof option having tested up to"&amp;" two meters deep. Only drawback, the timer renitialise after 60 minutes.")</f>
        <v>Simple and effective watch that simply fulfills its function: tell the time. For the price the proposed functions are correct (stopwatch, date, alarm). It is said that it is water resistant but I think we can add the water Proof option having tested up to two meters deep. Only drawback, the timer renitialise after 60 minutes.</v>
      </c>
    </row>
    <row r="16849">
      <c r="A16849" s="1">
        <v>5.0</v>
      </c>
      <c r="B16849" s="1" t="s">
        <v>16565</v>
      </c>
      <c r="C16849" t="str">
        <f>IFERROR(__xludf.DUMMYFUNCTION("GOOGLETRANSLATE(B16849, ""fr"", ""en"")"),"Super buy Very satisfied I m using it every day and a real impact on the well being with or without essential oil I recommend this Article")</f>
        <v>Super buy Very satisfied I m using it every day and a real impact on the well being with or without essential oil I recommend this Article</v>
      </c>
    </row>
    <row r="16850">
      <c r="A16850" s="1">
        <v>5.0</v>
      </c>
      <c r="B16850" s="1" t="s">
        <v>16566</v>
      </c>
      <c r="C16850" t="str">
        <f>IFERROR(__xludf.DUMMYFUNCTION("GOOGLETRANSLATE(B16850, ""fr"", ""en"")"),"Watch love that I bought the second time! Perfect discreet it is convenient for all occasions.")</f>
        <v>Watch love that I bought the second time! Perfect discreet it is convenient for all occasions.</v>
      </c>
    </row>
    <row r="16851">
      <c r="A16851" s="1">
        <v>5.0</v>
      </c>
      <c r="B16851" s="1" t="s">
        <v>16567</v>
      </c>
      <c r="C16851" t="str">
        <f>IFERROR(__xludf.DUMMYFUNCTION("GOOGLETRANSLATE(B16851, ""fr"", ""en"")"),"good I'll try it when I receive it and my feet feel good. The quality is also very good. He seems to have some resistance to the athlete's foot. I am a man who has a foot and I feel that my athlete's foot is not so big that I wear for a few days.")</f>
        <v>good I'll try it when I receive it and my feet feel good. The quality is also very good. He seems to have some resistance to the athlete's foot. I am a man who has a foot and I feel that my athlete's foot is not so big that I wear for a few days.</v>
      </c>
    </row>
    <row r="16852">
      <c r="A16852" s="1">
        <v>5.0</v>
      </c>
      <c r="B16852" s="1" t="s">
        <v>16568</v>
      </c>
      <c r="C16852" t="str">
        <f>IFERROR(__xludf.DUMMYFUNCTION("GOOGLETRANSLATE(B16852, ""fr"", ""en"")"),"shoe brush suede brush It is a perfectly suitable for cleaning shoes. It was a good catch in hand to use")</f>
        <v>shoe brush suede brush It is a perfectly suitable for cleaning shoes. It was a good catch in hand to use</v>
      </c>
    </row>
    <row r="16853">
      <c r="A16853" s="1">
        <v>2.0</v>
      </c>
      <c r="B16853" s="1" t="s">
        <v>16569</v>
      </c>
      <c r="C16853" t="str">
        <f>IFERROR(__xludf.DUMMYFUNCTION("GOOGLETRANSLATE(B16853, ""fr"", ""en"")"),"B Aesthetically are good but after a week of use they begin to stick much in You sweat and stains the sock")</f>
        <v>B Aesthetically are good but after a week of use they begin to stick much in You sweat and stains the sock</v>
      </c>
    </row>
    <row r="16854">
      <c r="A16854" s="1">
        <v>1.0</v>
      </c>
      <c r="B16854" s="1" t="s">
        <v>16570</v>
      </c>
      <c r="C16854" t="str">
        <f>IFERROR(__xludf.DUMMYFUNCTION("GOOGLETRANSLATE(B16854, ""fr"", ""en"")"),"not used this is a gift package arrived completely torn from all sides, do not know how he was able to keep its contents ... more")</f>
        <v>not used this is a gift package arrived completely torn from all sides, do not know how he was able to keep its contents ... more</v>
      </c>
    </row>
    <row r="16855">
      <c r="A16855" s="1">
        <v>3.0</v>
      </c>
      <c r="B16855" s="1" t="s">
        <v>16571</v>
      </c>
      <c r="C16855" t="str">
        <f>IFERROR(__xludf.DUMMYFUNCTION("GOOGLETRANSLATE(B16855, ""fr"", ""en"")"),"Not for the true lovers of tea, I think ... I really hesitated between 2 and 3 stars ... Finally, it will be 3 star given the nice product quality: it is a pretty well thought Compact Machine . However, issue ""tea"", I do not see much use. Both the Nespr"&amp;"esso coffee is a success was the (very) good coffee available quickly, as the Special.T ... I do not understand. No significant plusss: tea is simmering water and tea ... which is allowed to infuse for 3 minutes. Basta. It is the quality of the tea leaf t"&amp;"hat counts.")</f>
        <v>Not for the true lovers of tea, I think ... I really hesitated between 2 and 3 stars ... Finally, it will be 3 star given the nice product quality: it is a pretty well thought Compact Machine . However, issue "tea", I do not see much use. Both the Nespresso coffee is a success was the (very) good coffee available quickly, as the Special.T ... I do not understand. No significant plusss: tea is simmering water and tea ... which is allowed to infuse for 3 minutes. Basta. It is the quality of the tea leaf that counts.</v>
      </c>
    </row>
    <row r="16856">
      <c r="A16856" s="1">
        <v>3.0</v>
      </c>
      <c r="B16856" s="1" t="s">
        <v>16572</v>
      </c>
      <c r="C16856" t="str">
        <f>IFERROR(__xludf.DUMMYFUNCTION("GOOGLETRANSLATE(B16856, ""fr"", ""en"")"),"very good qualiter took very good tidy bag with pockets stele")</f>
        <v>very good qualiter took very good tidy bag with pockets stele</v>
      </c>
    </row>
    <row r="16857">
      <c r="A16857" s="1">
        <v>4.0</v>
      </c>
      <c r="B16857" s="1" t="s">
        <v>16573</v>
      </c>
      <c r="C16857" t="str">
        <f>IFERROR(__xludf.DUMMYFUNCTION("GOOGLETRANSLATE(B16857, ""fr"", ""en"")"),"Pleased with my purchase Similar photos. Good value")</f>
        <v>Pleased with my purchase Similar photos. Good value</v>
      </c>
    </row>
    <row r="16858">
      <c r="A16858" s="1">
        <v>4.0</v>
      </c>
      <c r="B16858" s="1" t="s">
        <v>16574</v>
      </c>
      <c r="C16858" t="str">
        <f>IFERROR(__xludf.DUMMYFUNCTION("GOOGLETRANSLATE(B16858, ""fr"", ""en"")"),"good socks they are hot and quite thick, good texture and good finish, I wanted to try this brand, okay I'm not disappointed")</f>
        <v>good socks they are hot and quite thick, good texture and good finish, I wanted to try this brand, okay I'm not disappointed</v>
      </c>
    </row>
    <row r="16859">
      <c r="A16859" s="1">
        <v>4.0</v>
      </c>
      <c r="B16859" s="1" t="s">
        <v>16575</v>
      </c>
      <c r="C16859" t="str">
        <f>IFERROR(__xludf.DUMMYFUNCTION("GOOGLETRANSLATE(B16859, ""fr"", ""en"")"),"pretty at the top but it is a Christmas present and I do not know yet if it will appeal but it is your pretty")</f>
        <v>pretty at the top but it is a Christmas present and I do not know yet if it will appeal but it is your pretty</v>
      </c>
    </row>
    <row r="16860">
      <c r="A16860" s="1">
        <v>4.0</v>
      </c>
      <c r="B16860" s="1" t="s">
        <v>16576</v>
      </c>
      <c r="C16860" t="str">
        <f>IFERROR(__xludf.DUMMYFUNCTION("GOOGLETRANSLATE(B16860, ""fr"", ""en"")"),"Superb microphone windscreen tie Very effective is felt the difference immediately I recommends that they for a second moist microphone. I used it for a micro go pro")</f>
        <v>Superb microphone windscreen tie Very effective is felt the difference immediately I recommends that they for a second moist microphone. I used it for a micro go pro</v>
      </c>
    </row>
    <row r="16861">
      <c r="A16861" s="1">
        <v>5.0</v>
      </c>
      <c r="B16861" s="1" t="s">
        <v>16577</v>
      </c>
      <c r="C16861" t="str">
        <f>IFERROR(__xludf.DUMMYFUNCTION("GOOGLETRANSLATE(B16861, ""fr"", ""en"")"),"Superb As always, Disney allows us to visualize a high fly BD. Whether it be visual or audio, the quality is exceptional. always been in very short time.")</f>
        <v>Superb As always, Disney allows us to visualize a high fly BD. Whether it be visual or audio, the quality is exceptional. always been in very short time.</v>
      </c>
    </row>
    <row r="16862">
      <c r="A16862" s="1">
        <v>5.0</v>
      </c>
      <c r="B16862" s="1" t="s">
        <v>16578</v>
      </c>
      <c r="C16862" t="str">
        <f>IFERROR(__xludf.DUMMYFUNCTION("GOOGLETRANSLATE(B16862, ""fr"", ""en"")"),"Both headphones do not walk along Device received on time but despite the instructions in French, impossible to synchronize the two headsets simultaneously. I hear so one or the other and from the bluetooth on my phone I have apairer both earphones which "&amp;"seems weird .... Fortunately after a mail to the seller, very responsive, he brought me the solution and everything works perfectly!")</f>
        <v>Both headphones do not walk along Device received on time but despite the instructions in French, impossible to synchronize the two headsets simultaneously. I hear so one or the other and from the bluetooth on my phone I have apairer both earphones which seems weird .... Fortunately after a mail to the seller, very responsive, he brought me the solution and everything works perfectly!</v>
      </c>
    </row>
    <row r="16863">
      <c r="A16863" s="1">
        <v>5.0</v>
      </c>
      <c r="B16863" s="1" t="s">
        <v>16579</v>
      </c>
      <c r="C16863" t="str">
        <f>IFERROR(__xludf.DUMMYFUNCTION("GOOGLETRANSLATE(B16863, ""fr"", ""en"")"),"Satisfied Met my expectations, fast delivery")</f>
        <v>Satisfied Met my expectations, fast delivery</v>
      </c>
    </row>
    <row r="16864">
      <c r="A16864" s="1">
        <v>5.0</v>
      </c>
      <c r="B16864" s="1" t="s">
        <v>16580</v>
      </c>
      <c r="C16864" t="str">
        <f>IFERROR(__xludf.DUMMYFUNCTION("GOOGLETRANSLATE(B16864, ""fr"", ""en"")"),"Light and comfortable I'm happy. They are not heavy and have a nice look for safety shoes.")</f>
        <v>Light and comfortable I'm happy. They are not heavy and have a nice look for safety shoes.</v>
      </c>
    </row>
    <row r="16865">
      <c r="A16865" s="1">
        <v>5.0</v>
      </c>
      <c r="B16865" s="1" t="s">
        <v>16581</v>
      </c>
      <c r="C16865" t="str">
        <f>IFERROR(__xludf.DUMMYFUNCTION("GOOGLETRANSLATE(B16865, ""fr"", ""en"")"),"PERFECT Do not pierce, perfect for the kitchen bin. Very solid, I do not take more than the, a subscription is cheaper!")</f>
        <v>PERFECT Do not pierce, perfect for the kitchen bin. Very solid, I do not take more than the, a subscription is cheaper!</v>
      </c>
    </row>
    <row r="16866">
      <c r="A16866" s="1">
        <v>5.0</v>
      </c>
      <c r="B16866" s="1" t="s">
        <v>16582</v>
      </c>
      <c r="C16866" t="str">
        <f>IFERROR(__xludf.DUMMYFUNCTION("GOOGLETRANSLATE(B16866, ""fr"", ""en"")"),"Impeccable with two screens 25 ""Do not move after several months of use. The setting for both screens attach itself takes some time, but nothing has been moved.")</f>
        <v>Impeccable with two screens 25 "Do not move after several months of use. The setting for both screens attach itself takes some time, but nothing has been moved.</v>
      </c>
    </row>
    <row r="16867">
      <c r="A16867" s="1">
        <v>5.0</v>
      </c>
      <c r="B16867" s="1" t="s">
        <v>16583</v>
      </c>
      <c r="C16867" t="str">
        <f>IFERROR(__xludf.DUMMYFUNCTION("GOOGLETRANSLATE(B16867, ""fr"", ""en"")"),"notice shows casio g shock it is strong or very strong. the only thing I'll add is the screen protection because it has a cut but that's all, and despite the blows it has received at work in logistics and Muscle she still holds out for more than a year. I"&amp;" recommend eyes closed")</f>
        <v>notice shows casio g shock it is strong or very strong. the only thing I'll add is the screen protection because it has a cut but that's all, and despite the blows it has received at work in logistics and Muscle she still holds out for more than a year. I recommend eyes closed</v>
      </c>
    </row>
    <row r="16868">
      <c r="A16868" s="1">
        <v>5.0</v>
      </c>
      <c r="B16868" s="1" t="s">
        <v>16584</v>
      </c>
      <c r="C16868" t="str">
        <f>IFERROR(__xludf.DUMMYFUNCTION("GOOGLETRANSLATE(B16868, ""fr"", ""en"")"),"Easy and functional Ideal for children over 8 years. It is functional and easy to use")</f>
        <v>Easy and functional Ideal for children over 8 years. It is functional and easy to use</v>
      </c>
    </row>
    <row r="16869">
      <c r="A16869" s="1">
        <v>5.0</v>
      </c>
      <c r="B16869" s="1" t="s">
        <v>16585</v>
      </c>
      <c r="C16869" t="str">
        <f>IFERROR(__xludf.DUMMYFUNCTION("GOOGLETRANSLATE(B16869, ""fr"", ""en"")"),"A good case of massage oil RECEIVE box quickly, less packaging (not cardboard useless, etc ..) so a good thing for the planet, the texture is best for massage.")</f>
        <v>A good case of massage oil RECEIVE box quickly, less packaging (not cardboard useless, etc ..) so a good thing for the planet, the texture is best for massage.</v>
      </c>
    </row>
    <row r="16870">
      <c r="A16870" s="1">
        <v>5.0</v>
      </c>
      <c r="B16870" s="1" t="s">
        <v>16586</v>
      </c>
      <c r="C16870" t="str">
        <f>IFERROR(__xludf.DUMMYFUNCTION("GOOGLETRANSLATE(B16870, ""fr"", ""en"")"),"CASIO watch practice and shows solid perfect for textbooks because resistant and washable easily.")</f>
        <v>CASIO watch practice and shows solid perfect for textbooks because resistant and washable easily.</v>
      </c>
    </row>
    <row r="16871">
      <c r="A16871" s="1">
        <v>5.0</v>
      </c>
      <c r="B16871" s="1" t="s">
        <v>16587</v>
      </c>
      <c r="C16871" t="str">
        <f>IFERROR(__xludf.DUMMYFUNCTION("GOOGLETRANSLATE(B16871, ""fr"", ""en"")"),"period of very fast delivery I am delighted with my purchase. I use it everyday. beautiful teapot fast, silent.")</f>
        <v>period of very fast delivery I am delighted with my purchase. I use it everyday. beautiful teapot fast, silent.</v>
      </c>
    </row>
    <row r="16872">
      <c r="A16872" s="1">
        <v>5.0</v>
      </c>
      <c r="B16872" s="1" t="s">
        <v>16588</v>
      </c>
      <c r="C16872" t="str">
        <f>IFERROR(__xludf.DUMMYFUNCTION("GOOGLETRANSLATE(B16872, ""fr"", ""en"")"),"SUPER COMFORT Size 36, normal foot, it is exactly the right size, I can even put socks in fine, make a very nice walk. do not yawn at the ankle. Very comfortable to walk, perfect camber. The closure on the side a nice little something extra. It is true th"&amp;"at one can feel small seams in the early days but I wet with a product for indoor shoes and they are relaxed. Good inside perhaps not as well finished as designer shoes but frankly for the price should not deny it ... I had the next day because ... if not"&amp;" in stock, 3 weeks or 4 for delivery I have given up.")</f>
        <v>SUPER COMFORT Size 36, normal foot, it is exactly the right size, I can even put socks in fine, make a very nice walk. do not yawn at the ankle. Very comfortable to walk, perfect camber. The closure on the side a nice little something extra. It is true that one can feel small seams in the early days but I wet with a product for indoor shoes and they are relaxed. Good inside perhaps not as well finished as designer shoes but frankly for the price should not deny it ... I had the next day because ... if not in stock, 3 weeks or 4 for delivery I have given up.</v>
      </c>
    </row>
    <row r="16873">
      <c r="A16873" s="1">
        <v>5.0</v>
      </c>
      <c r="B16873" s="1" t="s">
        <v>16589</v>
      </c>
      <c r="C16873" t="str">
        <f>IFERROR(__xludf.DUMMYFUNCTION("GOOGLETRANSLATE(B16873, ""fr"", ""en"")"),"very nice kettle for easy color to use to see in the time scale but if allowed to dry well it should do quickly heats")</f>
        <v>very nice kettle for easy color to use to see in the time scale but if allowed to dry well it should do quickly heats</v>
      </c>
    </row>
    <row r="16874">
      <c r="A16874" s="1">
        <v>5.0</v>
      </c>
      <c r="B16874" s="1" t="s">
        <v>16590</v>
      </c>
      <c r="C16874" t="str">
        <f>IFERROR(__xludf.DUMMYFUNCTION("GOOGLETRANSLATE(B16874, ""fr"", ""en"")"),"The unit is brand new ... Thanks for the bargain ...")</f>
        <v>The unit is brand new ... Thanks for the bargain ...</v>
      </c>
    </row>
    <row r="16875">
      <c r="A16875" s="1">
        <v>5.0</v>
      </c>
      <c r="B16875" s="1" t="s">
        <v>16591</v>
      </c>
      <c r="C16875" t="str">
        <f>IFERROR(__xludf.DUMMYFUNCTION("GOOGLETRANSLATE(B16875, ""fr"", ""en"")"),"JBL wired headset is perfect for small ears of my 11 year old son, who needs to listen to the dialogues in English in college. I recommand it.")</f>
        <v>JBL wired headset is perfect for small ears of my 11 year old son, who needs to listen to the dialogues in English in college. I recommand it.</v>
      </c>
    </row>
    <row r="16876">
      <c r="A16876" s="1">
        <v>2.0</v>
      </c>
      <c r="B16876" s="1" t="s">
        <v>16592</v>
      </c>
      <c r="C16876" t="str">
        <f>IFERROR(__xludf.DUMMYFUNCTION("GOOGLETRANSLATE(B16876, ""fr"", ""en"")"),"2 HEARTS !!! The chain was too thin: she broke very quickly. Hearts are goods without chain they are useless")</f>
        <v>2 HEARTS !!! The chain was too thin: she broke very quickly. Hearts are goods without chain they are useless</v>
      </c>
    </row>
    <row r="16877">
      <c r="A16877" s="1">
        <v>1.0</v>
      </c>
      <c r="B16877" s="1" t="s">
        <v>16593</v>
      </c>
      <c r="C16877" t="str">
        <f>IFERROR(__xludf.DUMMYFUNCTION("GOOGLETRANSLATE(B16877, ""fr"", ""en"")"),"Silver bracelet No breaks for rien.Beaucoup too fragile.Il is already ruined")</f>
        <v>Silver bracelet No breaks for rien.Beaucoup too fragile.Il is already ruined</v>
      </c>
    </row>
    <row r="16878">
      <c r="A16878" s="1">
        <v>1.0</v>
      </c>
      <c r="B16878" s="1" t="s">
        <v>16594</v>
      </c>
      <c r="C16878" t="str">
        <f>IFERROR(__xludf.DUMMYFUNCTION("GOOGLETRANSLATE(B16878, ""fr"", ""en"")"),"coating the shoe crumbled after 1 week almost new. Manufacturing defect? coating the shoe crumbled after 1 week almost new. Manufacturing defect?")</f>
        <v>coating the shoe crumbled after 1 week almost new. Manufacturing defect? coating the shoe crumbled after 1 week almost new. Manufacturing defect?</v>
      </c>
    </row>
    <row r="16879">
      <c r="A16879" s="1">
        <v>3.0</v>
      </c>
      <c r="B16879" s="1" t="s">
        <v>16595</v>
      </c>
      <c r="C16879" t="str">
        <f>IFERROR(__xludf.DUMMYFUNCTION("GOOGLETRANSLATE(B16879, ""fr"", ""en"")"),"Convenient but not very resistant Patafix pre-cut into small squares, very convenient to not end up with too large balls. Perfect for sticking photos or little notes, but nothing more - I tried to use it for Christmas garlands, and they do not tennaient, "&amp;"even with a large amount. Having tried other brands that better, I do not believe in redemption.")</f>
        <v>Convenient but not very resistant Patafix pre-cut into small squares, very convenient to not end up with too large balls. Perfect for sticking photos or little notes, but nothing more - I tried to use it for Christmas garlands, and they do not tennaient, even with a large amount. Having tried other brands that better, I do not believe in redemption.</v>
      </c>
    </row>
    <row r="16880">
      <c r="A16880" s="1">
        <v>3.0</v>
      </c>
      <c r="B16880" s="1" t="s">
        <v>16596</v>
      </c>
      <c r="C16880" t="str">
        <f>IFERROR(__xludf.DUMMYFUNCTION("GOOGLETRANSLATE(B16880, ""fr"", ""en"")"),"Using the comfort for the sport in general. The only negative was the width of the thighs. Otherwise comfortable for sports")</f>
        <v>Using the comfort for the sport in general. The only negative was the width of the thighs. Otherwise comfortable for sports</v>
      </c>
    </row>
    <row r="16881">
      <c r="A16881" s="1">
        <v>4.0</v>
      </c>
      <c r="B16881" s="1" t="s">
        <v>16597</v>
      </c>
      <c r="C16881" t="str">
        <f>IFERROR(__xludf.DUMMYFUNCTION("GOOGLETRANSLATE(B16881, ""fr"", ""en"")"),"Good easy to use product maintenance white leather armchairs")</f>
        <v>Good easy to use product maintenance white leather armchairs</v>
      </c>
    </row>
    <row r="16882">
      <c r="A16882" s="1">
        <v>4.0</v>
      </c>
      <c r="B16882" s="1" t="s">
        <v>16598</v>
      </c>
      <c r="C16882" t="str">
        <f>IFERROR(__xludf.DUMMYFUNCTION("GOOGLETRANSLATE(B16882, ""fr"", ""en"")"),"THE PRODUCT IS VERY WELL BUT NOT EVEN BOX OR PACKAGE PANDORA Too bad the charm is wonderful but to offer there is not even a box of hard to put the pearl or a pocket Pandora as seen on the picture of the Article is a shame")</f>
        <v>THE PRODUCT IS VERY WELL BUT NOT EVEN BOX OR PACKAGE PANDORA Too bad the charm is wonderful but to offer there is not even a box of hard to put the pearl or a pocket Pandora as seen on the picture of the Article is a shame</v>
      </c>
    </row>
    <row r="16883">
      <c r="A16883" s="1">
        <v>4.0</v>
      </c>
      <c r="B16883" s="1" t="s">
        <v>16599</v>
      </c>
      <c r="C16883" t="str">
        <f>IFERROR(__xludf.DUMMYFUNCTION("GOOGLETRANSLATE(B16883, ""fr"", ""en"")"),"Converse all stars To enjoy periods of balances I would converse simple and not too expensive. This is the All Stars. The model is very comfortable and makes me feel young. Very young.")</f>
        <v>Converse all stars To enjoy periods of balances I would converse simple and not too expensive. This is the All Stars. The model is very comfortable and makes me feel young. Very young.</v>
      </c>
    </row>
    <row r="16884">
      <c r="A16884" s="1">
        <v>4.0</v>
      </c>
      <c r="B16884" s="1" t="s">
        <v>16600</v>
      </c>
      <c r="C16884" t="str">
        <f>IFERROR(__xludf.DUMMYFUNCTION("GOOGLETRANSLATE(B16884, ""fr"", ""en"")"),"does not mark the time of the afternoon ex 13 h 15 h etc; but at noon back to 0 that I have not loved c is that it does not mark the time of the afternoon eg 13 hours 16 hours etc .but instead of that, at midday, it returns 0 that I .this I loved c is its"&amp;" lighting for night")</f>
        <v>does not mark the time of the afternoon ex 13 h 15 h etc; but at noon back to 0 that I have not loved c is that it does not mark the time of the afternoon eg 13 hours 16 hours etc .but instead of that, at midday, it returns 0 that I .this I loved c is its lighting for night</v>
      </c>
    </row>
    <row r="16885">
      <c r="A16885" s="1">
        <v>5.0</v>
      </c>
      <c r="B16885" s="1" t="s">
        <v>16601</v>
      </c>
      <c r="C16885" t="str">
        <f>IFERROR(__xludf.DUMMYFUNCTION("GOOGLETRANSLATE(B16885, ""fr"", ""en"")"),"20 20 Excellent product")</f>
        <v>20 20 Excellent product</v>
      </c>
    </row>
    <row r="16886">
      <c r="A16886" s="1">
        <v>5.0</v>
      </c>
      <c r="B16886" s="1" t="s">
        <v>16602</v>
      </c>
      <c r="C16886" t="str">
        <f>IFERROR(__xludf.DUMMYFUNCTION("GOOGLETRANSLATE(B16886, ""fr"", ""en"")"),"perfect Excellent")</f>
        <v>perfect Excellent</v>
      </c>
    </row>
    <row r="16887">
      <c r="A16887" s="1">
        <v>5.0</v>
      </c>
      <c r="B16887" s="1" t="s">
        <v>16603</v>
      </c>
      <c r="C16887" t="str">
        <f>IFERROR(__xludf.DUMMYFUNCTION("GOOGLETRANSLATE(B16887, ""fr"", ""en"")"),"Great quality / price ratio I loved butterflies patterns! The sweatshirt is elegant and soft (100% cotton). Only negative I would have liked it more fitted at the waist. I recommend this brand, the clothes are quality and the price is very reasonable!")</f>
        <v>Great quality / price ratio I loved butterflies patterns! The sweatshirt is elegant and soft (100% cotton). Only negative I would have liked it more fitted at the waist. I recommend this brand, the clothes are quality and the price is very reasonable!</v>
      </c>
    </row>
    <row r="16888">
      <c r="A16888" s="1">
        <v>5.0</v>
      </c>
      <c r="B16888" s="1" t="s">
        <v>16604</v>
      </c>
      <c r="C16888" t="str">
        <f>IFERROR(__xludf.DUMMYFUNCTION("GOOGLETRANSLATE(B16888, ""fr"", ""en"")"),"Although the advice of commantaires I took 2 sizes bigger, and it's too big .. I send them. Otherwise they look nice and warm for the winter and very good manufacturing, indestructible genre. Just that they are really old school, it's totally the slippers"&amp;" of my grandfather .. why not, but I ordered a more modern version in a size that will suit me better I hope.")</f>
        <v>Although the advice of commantaires I took 2 sizes bigger, and it's too big .. I send them. Otherwise they look nice and warm for the winter and very good manufacturing, indestructible genre. Just that they are really old school, it's totally the slippers of my grandfather .. why not, but I ordered a more modern version in a size that will suit me better I hope.</v>
      </c>
    </row>
    <row r="16889">
      <c r="A16889" s="1">
        <v>5.0</v>
      </c>
      <c r="B16889" s="1" t="s">
        <v>16605</v>
      </c>
      <c r="C16889" t="str">
        <f>IFERROR(__xludf.DUMMYFUNCTION("GOOGLETRANSLATE(B16889, ""fr"", ""en"")"),"I recommend this intriguing stories and easy to read for children")</f>
        <v>I recommend this intriguing stories and easy to read for children</v>
      </c>
    </row>
    <row r="16890">
      <c r="A16890" s="1">
        <v>5.0</v>
      </c>
      <c r="B16890" s="1" t="s">
        <v>16606</v>
      </c>
      <c r="C16890" t="str">
        <f>IFERROR(__xludf.DUMMYFUNCTION("GOOGLETRANSLATE(B16890, ""fr"", ""en"")"),"beautiful jewelry I'm really not disappointed by this small pendant, discreet and classy, ​​it changes color, I have already several people who have made me compliments this jewelry, feel free to buy.")</f>
        <v>beautiful jewelry I'm really not disappointed by this small pendant, discreet and classy, ​​it changes color, I have already several people who have made me compliments this jewelry, feel free to buy.</v>
      </c>
    </row>
    <row r="16891">
      <c r="A16891" s="1">
        <v>5.0</v>
      </c>
      <c r="B16891" s="1" t="s">
        <v>16607</v>
      </c>
      <c r="C16891" t="str">
        <f>IFERROR(__xludf.DUMMYFUNCTION("GOOGLETRANSLATE(B16891, ""fr"", ""en"")"),"Basic but good quality case The case is perfect. No reason, just a case to put the gray card. It seems good quality and should last in time")</f>
        <v>Basic but good quality case The case is perfect. No reason, just a case to put the gray card. It seems good quality and should last in time</v>
      </c>
    </row>
    <row r="16892">
      <c r="A16892" s="1">
        <v>5.0</v>
      </c>
      <c r="B16892" s="1" t="s">
        <v>16608</v>
      </c>
      <c r="C16892" t="str">
        <f>IFERROR(__xludf.DUMMYFUNCTION("GOOGLETRANSLATE(B16892, ""fr"", ""en"")"),"takes a long time for a teenager it's perfect")</f>
        <v>takes a long time for a teenager it's perfect</v>
      </c>
    </row>
    <row r="16893">
      <c r="A16893" s="1">
        <v>5.0</v>
      </c>
      <c r="B16893" s="1" t="s">
        <v>16609</v>
      </c>
      <c r="C16893" t="str">
        <f>IFERROR(__xludf.DUMMYFUNCTION("GOOGLETRANSLATE(B16893, ""fr"", ""en"")"),"Labels Practical easy to use and discretion assured for photos")</f>
        <v>Labels Practical easy to use and discretion assured for photos</v>
      </c>
    </row>
    <row r="16894">
      <c r="A16894" s="1">
        <v>5.0</v>
      </c>
      <c r="B16894" s="1" t="s">
        <v>16610</v>
      </c>
      <c r="C16894" t="str">
        <f>IFERROR(__xludf.DUMMYFUNCTION("GOOGLETRANSLATE(B16894, ""fr"", ""en"")"),"Great sound Very good sound quality for a mini price.")</f>
        <v>Great sound Very good sound quality for a mini price.</v>
      </c>
    </row>
    <row r="16895">
      <c r="A16895" s="1">
        <v>5.0</v>
      </c>
      <c r="B16895" s="1" t="s">
        <v>16611</v>
      </c>
      <c r="C16895" t="str">
        <f>IFERROR(__xludf.DUMMYFUNCTION("GOOGLETRANSLATE(B16895, ""fr"", ""en"")"),"A very pretty nice watch very fine, this is the perfect gift")</f>
        <v>A very pretty nice watch very fine, this is the perfect gift</v>
      </c>
    </row>
    <row r="16896">
      <c r="A16896" s="1">
        <v>5.0</v>
      </c>
      <c r="B16896" s="1" t="s">
        <v>16612</v>
      </c>
      <c r="C16896" t="str">
        <f>IFERROR(__xludf.DUMMYFUNCTION("GOOGLETRANSLATE(B16896, ""fr"", ""en"")"),"size properly purchased to make walking in the fields and paths perfect ...")</f>
        <v>size properly purchased to make walking in the fields and paths perfect ...</v>
      </c>
    </row>
    <row r="16897">
      <c r="A16897" s="1">
        <v>5.0</v>
      </c>
      <c r="B16897" s="1" t="s">
        <v>16613</v>
      </c>
      <c r="C16897" t="str">
        <f>IFERROR(__xludf.DUMMYFUNCTION("GOOGLETRANSLATE(B16897, ""fr"", ""en"")"),"Good product Good product, I regularly door and this time they remain in good condition.")</f>
        <v>Good product Good product, I regularly door and this time they remain in good condition.</v>
      </c>
    </row>
    <row r="16898">
      <c r="A16898" s="1">
        <v>5.0</v>
      </c>
      <c r="B16898" s="1" t="s">
        <v>16614</v>
      </c>
      <c r="C16898" t="str">
        <f>IFERROR(__xludf.DUMMYFUNCTION("GOOGLETRANSLATE(B16898, ""fr"", ""en"")"),"very good ! the foot is ensconced in parcontre for removing the shoe must be well shot the tire of all to rule the tongue properly. because once the quark tired foot will not get out of the shoe.")</f>
        <v>very good ! the foot is ensconced in parcontre for removing the shoe must be well shot the tire of all to rule the tongue properly. because once the quark tired foot will not get out of the shoe.</v>
      </c>
    </row>
    <row r="16899">
      <c r="A16899" s="1">
        <v>5.0</v>
      </c>
      <c r="B16899" s="1" t="s">
        <v>16615</v>
      </c>
      <c r="C16899" t="str">
        <f>IFERROR(__xludf.DUMMYFUNCTION("GOOGLETRANSLATE(B16899, ""fr"", ""en"")"),"urban style and class I had a huge crush on this pair of basketball in high school ... More than 15 years later, I broke down again. This is the first time in my life I bought 2 times the same pair of shoes. Love it forever!")</f>
        <v>urban style and class I had a huge crush on this pair of basketball in high school ... More than 15 years later, I broke down again. This is the first time in my life I bought 2 times the same pair of shoes. Love it forever!</v>
      </c>
    </row>
    <row r="16900">
      <c r="A16900" s="1">
        <v>2.0</v>
      </c>
      <c r="B16900" s="1" t="s">
        <v>16616</v>
      </c>
      <c r="C16900" t="str">
        <f>IFERROR(__xludf.DUMMYFUNCTION("GOOGLETRANSLATE(B16900, ""fr"", ""en"")"),"basketball nike basketball small manufacturing defect can be ...")</f>
        <v>basketball nike basketball small manufacturing defect can be ...</v>
      </c>
    </row>
    <row r="16901">
      <c r="A16901" s="1">
        <v>1.0</v>
      </c>
      <c r="B16901" s="1" t="s">
        <v>16617</v>
      </c>
      <c r="C16901" t="str">
        <f>IFERROR(__xludf.DUMMYFUNCTION("GOOGLETRANSLATE(B16901, ""fr"", ""en"")"),"Collier breaks after 1 month For a ""jewel"" made in china value ""invented"" sold € 199.99 € 21.87 This is not even value. His case is worth more. Disappointed disappointed disappointed. I will try to return it under the 1 year warranty. But inpossible f"&amp;"ind the link for repair.")</f>
        <v>Collier breaks after 1 month For a "jewel" made in china value "invented" sold € 199.99 € 21.87 This is not even value. His case is worth more. Disappointed disappointed disappointed. I will try to return it under the 1 year warranty. But inpossible find the link for repair.</v>
      </c>
    </row>
    <row r="16902">
      <c r="A16902" s="1">
        <v>1.0</v>
      </c>
      <c r="B16902" s="1" t="s">
        <v>16618</v>
      </c>
      <c r="C16902" t="str">
        <f>IFERROR(__xludf.DUMMYFUNCTION("GOOGLETRANSLATE(B16902, ""fr"", ""en"")"),"Very disappointed is already broken in two days !!! Zero stars!")</f>
        <v>Very disappointed is already broken in two days !!! Zero stars!</v>
      </c>
    </row>
    <row r="16903">
      <c r="A16903" s="1">
        <v>3.0</v>
      </c>
      <c r="B16903" s="1" t="s">
        <v>16619</v>
      </c>
      <c r="C16903" t="str">
        <f>IFERROR(__xludf.DUMMYFUNCTION("GOOGLETRANSLATE(B16903, ""fr"", ""en"")"),"5XL very small size especially the hats I ordered 5XL announced size 54/56 ... but in fact they are at least one size smaller, or 50/52 for the chest ... when the cups I would these are only sews up .... shame because the tissue seemed very nice and stret"&amp;"chy .... but I will have to return because really too small for me :-(")</f>
        <v>5XL very small size especially the hats I ordered 5XL announced size 54/56 ... but in fact they are at least one size smaller, or 50/52 for the chest ... when the cups I would these are only sews up .... shame because the tissue seemed very nice and stretchy .... but I will have to return because really too small for me :-(</v>
      </c>
    </row>
    <row r="16904">
      <c r="A16904" s="1">
        <v>4.0</v>
      </c>
      <c r="B16904" s="1" t="s">
        <v>16620</v>
      </c>
      <c r="C16904" t="str">
        <f>IFERROR(__xludf.DUMMYFUNCTION("GOOGLETRANSLATE(B16904, ""fr"", ""en"")"),"Very generally satisfactory When talking about music, opinions are always subjective. I will try to be precise and factual. Short version: The finish is good, the sound is okay, it's a good deal. This helmet, as a whole, is a good helmet ... The Marshall "&amp;"Touch always effect and are the subject of many positive remarks about me. The finish of the helmet is polished but the matte plastic material has made cheap. When the strength, only time will tell ... The cushions are comfortable and not too painful for "&amp;"the ears after long listening session. Level sound quality, it defends not too bad. The treble and bass are well represented, the mids are a bit off. In aptX Bluetooth or wired the sound is good (without tying course) for a person like me has no absolute "&amp;"ear but looking for a bit of listening pleasure without passing through the insertion of a Q-tip. :) The cable is in-emmêlable and really has style. The plastic block with the control button and the microphone is too cheap again because of the plastic, bu"&amp;"t also because of the separation too strong (the two plastic parts are not sealed but just clipped), what about the sealing? Prime the cable is separated into two parts in this block, and each of these portions of the cable turns 90 ° within the block ..."&amp;" I fear a big weakness at this level. This headset combines Bluetooth and wired, it was decisive in my choice. I'm not a fan of Bluetooth but am aware that it will soon be a must. The Bluetooth drawback is that the sound is compressed particularly bad for"&amp;" calls and sound notifications. The battery hold well, the 30 hours of playable tracks appear in real situations. The button on the headset works only in Bluetooth mode, damage. It lowers and edit sound and change tracks, another flaw: It does not activat"&amp;"e voice assistants (unlike the button on the cable). The button of the game, blah. When the price / quality ... I bought at 116 € (obviously it passes € 100 a few days later, right) and it's still a good price for a helmet, because it's Marshall. In norma"&amp;"l times I would have rather spent € 80 in the wired version only, especially because Bluetooth is not a correct technology for audio. In short: good helmet, good price! However disappointment because of the look ""cheap"" plastic and doubts about the long"&amp;"evity of the helmet.")</f>
        <v>Very generally satisfactory When talking about music, opinions are always subjective. I will try to be precise and factual. Short version: The finish is good, the sound is okay, it's a good deal. This helmet, as a whole, is a good helmet ... The Marshall Touch always effect and are the subject of many positive remarks about me. The finish of the helmet is polished but the matte plastic material has made cheap. When the strength, only time will tell ... The cushions are comfortable and not too painful for the ears after long listening session. Level sound quality, it defends not too bad. The treble and bass are well represented, the mids are a bit off. In aptX Bluetooth or wired the sound is good (without tying course) for a person like me has no absolute ear but looking for a bit of listening pleasure without passing through the insertion of a Q-tip. :) The cable is in-emmêlable and really has style. The plastic block with the control button and the microphone is too cheap again because of the plastic, but also because of the separation too strong (the two plastic parts are not sealed but just clipped), what about the sealing? Prime the cable is separated into two parts in this block, and each of these portions of the cable turns 90 ° within the block ... I fear a big weakness at this level. This headset combines Bluetooth and wired, it was decisive in my choice. I'm not a fan of Bluetooth but am aware that it will soon be a must. The Bluetooth drawback is that the sound is compressed particularly bad for calls and sound notifications. The battery hold well, the 30 hours of playable tracks appear in real situations. The button on the headset works only in Bluetooth mode, damage. It lowers and edit sound and change tracks, another flaw: It does not activate voice assistants (unlike the button on the cable). The button of the game, blah. When the price / quality ... I bought at 116 € (obviously it passes € 100 a few days later, right) and it's still a good price for a helmet, because it's Marshall. In normal times I would have rather spent € 80 in the wired version only, especially because Bluetooth is not a correct technology for audio. In short: good helmet, good price! However disappointment because of the look "cheap" plastic and doubts about the longevity of the helmet.</v>
      </c>
    </row>
    <row r="16905">
      <c r="A16905" s="1">
        <v>4.0</v>
      </c>
      <c r="B16905" s="1" t="s">
        <v>16621</v>
      </c>
      <c r="C16905" t="str">
        <f>IFERROR(__xludf.DUMMYFUNCTION("GOOGLETRANSLATE(B16905, ""fr"", ""en"")"),"Too small, I found the only pair that small size or what? They are very nice but I do not understand, they carve small compared to my usual size .. I have to return because it is too small so that usually I'm a 41 quite normal. Yet you say she should carv"&amp;"e great !!!")</f>
        <v>Too small, I found the only pair that small size or what? They are very nice but I do not understand, they carve small compared to my usual size .. I have to return because it is too small so that usually I'm a 41 quite normal. Yet you say she should carve great !!!</v>
      </c>
    </row>
    <row r="16906">
      <c r="A16906" s="1">
        <v>4.0</v>
      </c>
      <c r="B16906" s="1" t="s">
        <v>16622</v>
      </c>
      <c r="C16906" t="str">
        <f>IFERROR(__xludf.DUMMYFUNCTION("GOOGLETRANSLATE(B16906, ""fr"", ""en"")"),"little big a pretty Creole")</f>
        <v>little big a pretty Creole</v>
      </c>
    </row>
    <row r="16907">
      <c r="A16907" s="1">
        <v>4.0</v>
      </c>
      <c r="B16907" s="1" t="s">
        <v>16623</v>
      </c>
      <c r="C16907" t="str">
        <f>IFERROR(__xludf.DUMMYFUNCTION("GOOGLETRANSLATE(B16907, ""fr"", ""en"")"),"Lovely lovely ornament, received in perfect condition, well packed. The jewelry are finished after the time I do not know if the color will stay, but very nice.")</f>
        <v>Lovely lovely ornament, received in perfect condition, well packed. The jewelry are finished after the time I do not know if the color will stay, but very nice.</v>
      </c>
    </row>
    <row r="16908">
      <c r="A16908" s="1">
        <v>4.0</v>
      </c>
      <c r="B16908" s="1" t="s">
        <v>16624</v>
      </c>
      <c r="C16908" t="str">
        <f>IFERROR(__xludf.DUMMYFUNCTION("GOOGLETRANSLATE(B16908, ""fr"", ""en"")"),"Always so nice and comfortable. My son carries since qq years and love their simplicity and next goes everywhere. I recommend this purchase for youth and adults")</f>
        <v>Always so nice and comfortable. My son carries since qq years and love their simplicity and next goes everywhere. I recommend this purchase for youth and adults</v>
      </c>
    </row>
    <row r="16909">
      <c r="A16909" s="1">
        <v>5.0</v>
      </c>
      <c r="B16909" s="1" t="s">
        <v>16625</v>
      </c>
      <c r="C16909" t="str">
        <f>IFERROR(__xludf.DUMMYFUNCTION("GOOGLETRANSLATE(B16909, ""fr"", ""en"")"),"Okay well as the comments left think. My son loved the accessories pouch, spare ear, ..... and the presence of a microphone.")</f>
        <v>Okay well as the comments left think. My son loved the accessories pouch, spare ear, ..... and the presence of a microphone.</v>
      </c>
    </row>
    <row r="16910">
      <c r="A16910" s="1">
        <v>5.0</v>
      </c>
      <c r="B16910" s="1" t="s">
        <v>16626</v>
      </c>
      <c r="C16910" t="str">
        <f>IFERROR(__xludf.DUMMYFUNCTION("GOOGLETRANSLATE(B16910, ""fr"", ""en"")"),"Perfect Very good value, perfect !!!")</f>
        <v>Perfect Very good value, perfect !!!</v>
      </c>
    </row>
    <row r="16911">
      <c r="A16911" s="1">
        <v>5.0</v>
      </c>
      <c r="B16911" s="1" t="s">
        <v>16627</v>
      </c>
      <c r="C16911" t="str">
        <f>IFERROR(__xludf.DUMMYFUNCTION("GOOGLETRANSLATE(B16911, ""fr"", ""en"")"),"Has exactly what I wanted Products being as I expected. Missing one or two outer pockets and an inner separation. Anyway, I knew by buying it, the description is clear, therefore, very satisfied!")</f>
        <v>Has exactly what I wanted Products being as I expected. Missing one or two outer pockets and an inner separation. Anyway, I knew by buying it, the description is clear, therefore, very satisfied!</v>
      </c>
    </row>
    <row r="16912">
      <c r="A16912" s="1">
        <v>5.0</v>
      </c>
      <c r="B16912" s="1" t="s">
        <v>16628</v>
      </c>
      <c r="C16912" t="str">
        <f>IFERROR(__xludf.DUMMYFUNCTION("GOOGLETRANSLATE(B16912, ""fr"", ""en"")"),"Everything is in consistent good quality product")</f>
        <v>Everything is in consistent good quality product</v>
      </c>
    </row>
    <row r="16913">
      <c r="A16913" s="1">
        <v>5.0</v>
      </c>
      <c r="B16913" s="1" t="s">
        <v>16629</v>
      </c>
      <c r="C16913" t="str">
        <f>IFERROR(__xludf.DUMMYFUNCTION("GOOGLETRANSLATE(B16913, ""fr"", ""en"")"),"more darker than the picture of Jai washing and brushing more fun for a brown thank you very fast delivery color quality")</f>
        <v>more darker than the picture of Jai washing and brushing more fun for a brown thank you very fast delivery color quality</v>
      </c>
    </row>
    <row r="16914">
      <c r="A16914" s="1">
        <v>5.0</v>
      </c>
      <c r="B16914" s="1" t="s">
        <v>16630</v>
      </c>
      <c r="C16914" t="str">
        <f>IFERROR(__xludf.DUMMYFUNCTION("GOOGLETRANSLATE(B16914, ""fr"", ""en"")"),"Small but efficient space saving guaranteed. Aesthetics sober.")</f>
        <v>Small but efficient space saving guaranteed. Aesthetics sober.</v>
      </c>
    </row>
    <row r="16915">
      <c r="A16915" s="1">
        <v>5.0</v>
      </c>
      <c r="B16915" s="1" t="s">
        <v>16631</v>
      </c>
      <c r="C16915" t="str">
        <f>IFERROR(__xludf.DUMMYFUNCTION("GOOGLETRANSLATE(B16915, ""fr"", ""en"")"),"small and cute, perfect and is perfect for small kitchens as mine, I found super. It works well, I am very satisfied. For this small price, this is great!")</f>
        <v>small and cute, perfect and is perfect for small kitchens as mine, I found super. It works well, I am very satisfied. For this small price, this is great!</v>
      </c>
    </row>
    <row r="16916">
      <c r="A16916" s="1">
        <v>5.0</v>
      </c>
      <c r="B16916" s="1" t="s">
        <v>16632</v>
      </c>
      <c r="C16916" t="str">
        <f>IFERROR(__xludf.DUMMYFUNCTION("GOOGLETRANSLATE(B16916, ""fr"", ""en"")"),"Giesswein puts your feet warm! Giesswein puts your feet warm! We are in our second pair my wife and I, it's really a very good brand, quality and comfort await you.")</f>
        <v>Giesswein puts your feet warm! Giesswein puts your feet warm! We are in our second pair my wife and I, it's really a very good brand, quality and comfort await you.</v>
      </c>
    </row>
    <row r="16917">
      <c r="A16917" s="1">
        <v>5.0</v>
      </c>
      <c r="B16917" s="1" t="s">
        <v>16633</v>
      </c>
      <c r="C16917" t="str">
        <f>IFERROR(__xludf.DUMMYFUNCTION("GOOGLETRANSLATE(B16917, ""fr"", ""en"")"),"excellent! very well, fairly thick cardboard, enough holes, suitable format")</f>
        <v>excellent! very well, fairly thick cardboard, enough holes, suitable format</v>
      </c>
    </row>
    <row r="16918">
      <c r="A16918" s="1">
        <v>5.0</v>
      </c>
      <c r="B16918" s="1" t="s">
        <v>16634</v>
      </c>
      <c r="C16918" t="str">
        <f>IFERROR(__xludf.DUMMYFUNCTION("GOOGLETRANSLATE(B16918, ""fr"", ""en"")"),"Wireless Headphones Pleasantly surprised by its quality headphones. Very easy to use. Manual use French. The touchscreen works very well. Press momentarily on the left atrium to decrease volume and right to increase. The load is indicated. Works under the"&amp;" shower also. The atria tight fit and good sound quality thanks")</f>
        <v>Wireless Headphones Pleasantly surprised by its quality headphones. Very easy to use. Manual use French. The touchscreen works very well. Press momentarily on the left atrium to decrease volume and right to increase. The load is indicated. Works under the shower also. The atria tight fit and good sound quality thanks</v>
      </c>
    </row>
    <row r="16919">
      <c r="A16919" s="1">
        <v>5.0</v>
      </c>
      <c r="B16919" s="1" t="s">
        <v>16635</v>
      </c>
      <c r="C16919" t="str">
        <f>IFERROR(__xludf.DUMMYFUNCTION("GOOGLETRANSLATE(B16919, ""fr"", ""en"")"),"The top price for the top for the price")</f>
        <v>The top price for the top for the price</v>
      </c>
    </row>
    <row r="16920">
      <c r="A16920" s="1">
        <v>5.0</v>
      </c>
      <c r="B16920" s="1" t="s">
        <v>16636</v>
      </c>
      <c r="C16920" t="str">
        <f>IFERROR(__xludf.DUMMYFUNCTION("GOOGLETRANSLATE(B16920, ""fr"", ""en"")"),"Good buy I offered this unit for the arrival of my little girl's parents are very satisfied very convenient to recommend")</f>
        <v>Good buy I offered this unit for the arrival of my little girl's parents are very satisfied very convenient to recommend</v>
      </c>
    </row>
    <row r="16921">
      <c r="A16921" s="1">
        <v>5.0</v>
      </c>
      <c r="B16921" s="1" t="s">
        <v>16637</v>
      </c>
      <c r="C16921" t="str">
        <f>IFERROR(__xludf.DUMMYFUNCTION("GOOGLETRANSLATE(B16921, ""fr"", ""en"")"),"Recommended perfect. Corresponds to our expectations")</f>
        <v>Recommended perfect. Corresponds to our expectations</v>
      </c>
    </row>
    <row r="16922">
      <c r="A16922" s="1">
        <v>5.0</v>
      </c>
      <c r="B16922" s="1" t="s">
        <v>16638</v>
      </c>
      <c r="C16922" t="str">
        <f>IFERROR(__xludf.DUMMYFUNCTION("GOOGLETRANSLATE(B16922, ""fr"", ""en"")"),"Hoodie Comfortable nice and comfortable. Lightweight and not very hot.")</f>
        <v>Hoodie Comfortable nice and comfortable. Lightweight and not very hot.</v>
      </c>
    </row>
    <row r="16923">
      <c r="A16923" s="1">
        <v>5.0</v>
      </c>
      <c r="B16923" s="1" t="s">
        <v>16639</v>
      </c>
      <c r="C16923" t="str">
        <f>IFERROR(__xludf.DUMMYFUNCTION("GOOGLETRANSLATE(B16923, ""fr"", ""en"")"),"quality Work")</f>
        <v>quality Work</v>
      </c>
    </row>
    <row r="16924">
      <c r="A16924" s="1">
        <v>5.0</v>
      </c>
      <c r="B16924" s="1" t="s">
        <v>16640</v>
      </c>
      <c r="C16924" t="str">
        <f>IFERROR(__xludf.DUMMYFUNCTION("GOOGLETRANSLATE(B16924, ""fr"", ""en"")"),"beautiful shoes ultralight sneakers, comfortable, well maintained foot, perfectly adapted size, good value for money. I recommend this product.")</f>
        <v>beautiful shoes ultralight sneakers, comfortable, well maintained foot, perfectly adapted size, good value for money. I recommend this product.</v>
      </c>
    </row>
    <row r="16925">
      <c r="A16925" s="1">
        <v>2.0</v>
      </c>
      <c r="B16925" s="1" t="s">
        <v>16641</v>
      </c>
      <c r="C16925" t="str">
        <f>IFERROR(__xludf.DUMMYFUNCTION("GOOGLETRANSLATE(B16925, ""fr"", ""en"")"),"No brand specified Indeed, as pointed out in a comment, this rug is not identical to the photos presented. No tapusen indicated mark. We can now ask questions about the quality of the carpet, its effectiveness and duration over time. It is better to know."&amp;" As for its effectiveness, I will complete this review later.")</f>
        <v>No brand specified Indeed, as pointed out in a comment, this rug is not identical to the photos presented. No tapusen indicated mark. We can now ask questions about the quality of the carpet, its effectiveness and duration over time. It is better to know. As for its effectiveness, I will complete this review later.</v>
      </c>
    </row>
    <row r="16926">
      <c r="A16926" s="1">
        <v>1.0</v>
      </c>
      <c r="B16926" s="1" t="s">
        <v>16642</v>
      </c>
      <c r="C16926" t="str">
        <f>IFERROR(__xludf.DUMMYFUNCTION("GOOGLETRANSLATE(B16926, ""fr"", ""en"")"),"quality ????? Hello Order twice, and twice returned to default, the first time, default sewing and the second time default on the leather.")</f>
        <v>quality ????? Hello Order twice, and twice returned to default, the first time, default sewing and the second time default on the leather.</v>
      </c>
    </row>
    <row r="16927">
      <c r="A16927" s="1">
        <v>3.0</v>
      </c>
      <c r="B16927" s="1" t="s">
        <v>16643</v>
      </c>
      <c r="C16927" t="str">
        <f>IFERROR(__xludf.DUMMYFUNCTION("GOOGLETRANSLATE(B16927, ""fr"", ""en"")"),"satisfied his good microphone suitable. this mic is very suitable for the use of a child of 9 years in the game")</f>
        <v>satisfied his good microphone suitable. this mic is very suitable for the use of a child of 9 years in the game</v>
      </c>
    </row>
    <row r="16928">
      <c r="A16928" s="1">
        <v>3.0</v>
      </c>
      <c r="B16928" s="1" t="s">
        <v>16644</v>
      </c>
      <c r="C16928" t="str">
        <f>IFERROR(__xludf.DUMMYFUNCTION("GOOGLETRANSLATE(B16928, ""fr"", ""en"")"),"massage cushion This cushion is practical enough to make one massage in the back, but beware if you are full of node it can hurt and it's unpleasant. But overall it's still not bad to relax a bit")</f>
        <v>massage cushion This cushion is practical enough to make one massage in the back, but beware if you are full of node it can hurt and it's unpleasant. But overall it's still not bad to relax a bit</v>
      </c>
    </row>
    <row r="16929">
      <c r="A16929" s="1">
        <v>4.0</v>
      </c>
      <c r="B16929" s="1" t="s">
        <v>16645</v>
      </c>
      <c r="C16929" t="str">
        <f>IFERROR(__xludf.DUMMYFUNCTION("GOOGLETRANSLATE(B16929, ""fr"", ""en"")"),"the watch looks good quality (reliability to do with time) Item delivered quickly the watch looks good quality (reliability to do with time)")</f>
        <v>the watch looks good quality (reliability to do with time) Item delivered quickly the watch looks good quality (reliability to do with time)</v>
      </c>
    </row>
    <row r="16930">
      <c r="A16930" s="1">
        <v>4.0</v>
      </c>
      <c r="B16930" s="1" t="s">
        <v>16646</v>
      </c>
      <c r="C16930" t="str">
        <f>IFERROR(__xludf.DUMMYFUNCTION("GOOGLETRANSLATE(B16930, ""fr"", ""en"")"),"A liege having broken my watch I was looking forward to find pleasant to handle. Which was the case. Perhaps more by putting the French translation")</f>
        <v>A liege having broken my watch I was looking forward to find pleasant to handle. Which was the case. Perhaps more by putting the French translation</v>
      </c>
    </row>
    <row r="16931">
      <c r="A16931" s="1">
        <v>4.0</v>
      </c>
      <c r="B16931" s="1" t="s">
        <v>16647</v>
      </c>
      <c r="C16931" t="str">
        <f>IFERROR(__xludf.DUMMYFUNCTION("GOOGLETRANSLATE(B16931, ""fr"", ""en"")"),"As picture Simple but nice. size good")</f>
        <v>As picture Simple but nice. size good</v>
      </c>
    </row>
    <row r="16932">
      <c r="A16932" s="1">
        <v>4.0</v>
      </c>
      <c r="B16932" s="1" t="s">
        <v>16648</v>
      </c>
      <c r="C16932" t="str">
        <f>IFERROR(__xludf.DUMMYFUNCTION("GOOGLETRANSLATE(B16932, ""fr"", ""en"")"),"Okay earphones on top, they go well into the ear and hold great. The sound is good, and the volume control nice. As against the hands free kit feature some of my interlocutors tell me they hear a loud crackling noise when I use them. This is the only nega"&amp;"tive point for me.")</f>
        <v>Okay earphones on top, they go well into the ear and hold great. The sound is good, and the volume control nice. As against the hands free kit feature some of my interlocutors tell me they hear a loud crackling noise when I use them. This is the only negative point for me.</v>
      </c>
    </row>
    <row r="16933">
      <c r="A16933" s="1">
        <v>5.0</v>
      </c>
      <c r="B16933" s="1" t="s">
        <v>16649</v>
      </c>
      <c r="C16933" t="str">
        <f>IFERROR(__xludf.DUMMYFUNCTION("GOOGLETRANSLATE(B16933, ""fr"", ""en"")"),"SHOE SHOE PLEASANT BEACH WEAR. A BROAD LOW LEVEL TOES (FINS THEY IS OF 2 IN 1, LOL!) ELSE PRETTY MODEL")</f>
        <v>SHOE SHOE PLEASANT BEACH WEAR. A BROAD LOW LEVEL TOES (FINS THEY IS OF 2 IN 1, LOL!) ELSE PRETTY MODEL</v>
      </c>
    </row>
    <row r="16934">
      <c r="A16934" s="1">
        <v>5.0</v>
      </c>
      <c r="B16934" s="1" t="s">
        <v>16650</v>
      </c>
      <c r="C16934" t="str">
        <f>IFERROR(__xludf.DUMMYFUNCTION("GOOGLETRANSLATE(B16934, ""fr"", ""en"")"),"To connect Although my rear speakers")</f>
        <v>To connect Although my rear speakers</v>
      </c>
    </row>
    <row r="16935">
      <c r="A16935" s="1">
        <v>5.0</v>
      </c>
      <c r="B16935" s="1" t="s">
        <v>16651</v>
      </c>
      <c r="C16935" t="str">
        <f>IFERROR(__xludf.DUMMYFUNCTION("GOOGLETRANSLATE(B16935, ""fr"", ""en"")"),"Beautiful I love")</f>
        <v>Beautiful I love</v>
      </c>
    </row>
    <row r="16936">
      <c r="A16936" s="1">
        <v>5.0</v>
      </c>
      <c r="B16936" s="1" t="s">
        <v>16652</v>
      </c>
      <c r="C16936" t="str">
        <f>IFERROR(__xludf.DUMMYFUNCTION("GOOGLETRANSLATE(B16936, ""fr"", ""en"")"),"good value for money I used this chair about 1 to 2 hours a day it is very nice, easy to assemble and very well finished, the seams are correct and additional accessories are provided with the same. He arrived in a neat package, and each well protected el"&amp;"ements. It remains to see for strength in time for now, perfect very good value for money.")</f>
        <v>good value for money I used this chair about 1 to 2 hours a day it is very nice, easy to assemble and very well finished, the seams are correct and additional accessories are provided with the same. He arrived in a neat package, and each well protected elements. It remains to see for strength in time for now, perfect very good value for money.</v>
      </c>
    </row>
    <row r="16937">
      <c r="A16937" s="1">
        <v>5.0</v>
      </c>
      <c r="B16937" s="1" t="s">
        <v>16653</v>
      </c>
      <c r="C16937" t="str">
        <f>IFERROR(__xludf.DUMMYFUNCTION("GOOGLETRANSLATE(B16937, ""fr"", ""en"")"),"Ideal for winter Perfect winter, before or after the race.")</f>
        <v>Ideal for winter Perfect winter, before or after the race.</v>
      </c>
    </row>
    <row r="16938">
      <c r="A16938" s="1">
        <v>5.0</v>
      </c>
      <c r="B16938" s="1" t="s">
        <v>16654</v>
      </c>
      <c r="C16938" t="str">
        <f>IFERROR(__xludf.DUMMYFUNCTION("GOOGLETRANSLATE(B16938, ""fr"", ""en"")"),"Good value simply awesome.")</f>
        <v>Good value simply awesome.</v>
      </c>
    </row>
    <row r="16939">
      <c r="A16939" s="1">
        <v>5.0</v>
      </c>
      <c r="B16939" s="1" t="s">
        <v>16655</v>
      </c>
      <c r="C16939" t="str">
        <f>IFERROR(__xludf.DUMMYFUNCTION("GOOGLETRANSLATE(B16939, ""fr"", ""en"")"),"comfortable stylish identical to the photo I recommend stylish shoe")</f>
        <v>comfortable stylish identical to the photo I recommend stylish shoe</v>
      </c>
    </row>
    <row r="16940">
      <c r="A16940" s="1">
        <v>5.0</v>
      </c>
      <c r="B16940" s="1" t="s">
        <v>16656</v>
      </c>
      <c r="C16940" t="str">
        <f>IFERROR(__xludf.DUMMYFUNCTION("GOOGLETRANSLATE(B16940, ""fr"", ""en"")"),"Good product Good product conforms to what I wanted")</f>
        <v>Good product Good product conforms to what I wanted</v>
      </c>
    </row>
    <row r="16941">
      <c r="A16941" s="1">
        <v>5.0</v>
      </c>
      <c r="B16941" s="1" t="s">
        <v>16657</v>
      </c>
      <c r="C16941" t="str">
        <f>IFERROR(__xludf.DUMMYFUNCTION("GOOGLETRANSLATE(B16941, ""fr"", ""en"")"),"Mom taking care of baby brush very good hygiene bottles, anthracite color is nice modern, I am fully satisfied with this quality product that lasts over time. I recommend")</f>
        <v>Mom taking care of baby brush very good hygiene bottles, anthracite color is nice modern, I am fully satisfied with this quality product that lasts over time. I recommend</v>
      </c>
    </row>
    <row r="16942">
      <c r="A16942" s="1">
        <v>5.0</v>
      </c>
      <c r="B16942" s="1" t="s">
        <v>16658</v>
      </c>
      <c r="C16942" t="str">
        <f>IFERROR(__xludf.DUMMYFUNCTION("GOOGLETRANSLATE(B16942, ""fr"", ""en"")"),"Really luxury I feel that this watch will last long. She fits the description and is as beautiful as the pictures. The finish is perfect. It is suitable for everyday use and for any type of output. I am satisfied with my purchase and I recommend it.")</f>
        <v>Really luxury I feel that this watch will last long. She fits the description and is as beautiful as the pictures. The finish is perfect. It is suitable for everyday use and for any type of output. I am satisfied with my purchase and I recommend it.</v>
      </c>
    </row>
    <row r="16943">
      <c r="A16943" s="1">
        <v>5.0</v>
      </c>
      <c r="B16943" s="1" t="s">
        <v>16659</v>
      </c>
      <c r="C16943" t="str">
        <f>IFERROR(__xludf.DUMMYFUNCTION("GOOGLETRANSLATE(B16943, ""fr"", ""en"")"),"In Impeccable made c My wife has the use but I find suitable device .super")</f>
        <v>In Impeccable made c My wife has the use but I find suitable device .super</v>
      </c>
    </row>
    <row r="16944">
      <c r="A16944" s="1">
        <v>5.0</v>
      </c>
      <c r="B16944" s="1" t="s">
        <v>16660</v>
      </c>
      <c r="C16944" t="str">
        <f>IFERROR(__xludf.DUMMYFUNCTION("GOOGLETRANSLATE(B16944, ""fr"", ""en"")"),"Lacoste Beautiful ideal jacket for winter and spring and very good 👍👍")</f>
        <v>Lacoste Beautiful ideal jacket for winter and spring and very good 👍👍</v>
      </c>
    </row>
    <row r="16945">
      <c r="A16945" s="1">
        <v>5.0</v>
      </c>
      <c r="B16945" s="1" t="s">
        <v>16661</v>
      </c>
      <c r="C16945" t="str">
        <f>IFERROR(__xludf.DUMMYFUNCTION("GOOGLETRANSLATE(B16945, ""fr"", ""en"")"),"Super I recommend to everyone")</f>
        <v>Super I recommend to everyone</v>
      </c>
    </row>
    <row r="16946">
      <c r="A16946" s="1">
        <v>5.0</v>
      </c>
      <c r="B16946" s="1" t="s">
        <v>16662</v>
      </c>
      <c r="C16946" t="str">
        <f>IFERROR(__xludf.DUMMYFUNCTION("GOOGLETRANSLATE(B16946, ""fr"", ""en"")"),"Super Micro works well and there is no saturation")</f>
        <v>Super Micro works well and there is no saturation</v>
      </c>
    </row>
    <row r="16947">
      <c r="A16947" s="1">
        <v>5.0</v>
      </c>
      <c r="B16947" s="1" t="s">
        <v>16663</v>
      </c>
      <c r="C16947" t="str">
        <f>IFERROR(__xludf.DUMMYFUNCTION("GOOGLETRANSLATE(B16947, ""fr"", ""en"")"),"Maped is great product")</f>
        <v>Maped is great product</v>
      </c>
    </row>
    <row r="16948">
      <c r="A16948" s="1">
        <v>2.0</v>
      </c>
      <c r="B16948" s="1" t="s">
        <v>16664</v>
      </c>
      <c r="C16948" t="str">
        <f>IFERROR(__xludf.DUMMYFUNCTION("GOOGLETRANSLATE(B16948, ""fr"", ""en"")"),"Fair for the price I had bought after my bluetooth headphones Sony has given up the ghost. I told myself that headphones are easier to carry and store in my purse (especially when one is in the evening, it niquel pass in a pocket). But the sound quality i"&amp;"s really okay, sometimes it sizzles, even when my phone is in my pocket there are times when the sound cut. On PC it is a disaster, yes it is quickly recognized but disconnects non stop. Take it if you need relief earphones that's all. EDIT: They held 5 m"&amp;"onths, the sound is cut overnight (wire was not even damaged)")</f>
        <v>Fair for the price I had bought after my bluetooth headphones Sony has given up the ghost. I told myself that headphones are easier to carry and store in my purse (especially when one is in the evening, it niquel pass in a pocket). But the sound quality is really okay, sometimes it sizzles, even when my phone is in my pocket there are times when the sound cut. On PC it is a disaster, yes it is quickly recognized but disconnects non stop. Take it if you need relief earphones that's all. EDIT: They held 5 months, the sound is cut overnight (wire was not even damaged)</v>
      </c>
    </row>
    <row r="16949">
      <c r="A16949" s="1">
        <v>1.0</v>
      </c>
      <c r="B16949" s="1" t="s">
        <v>16665</v>
      </c>
      <c r="C16949" t="str">
        <f>IFERROR(__xludf.DUMMYFUNCTION("GOOGLETRANSLATE(B16949, ""fr"", ""en"")"),"Glue dot above and removing torn defective Product")</f>
        <v>Glue dot above and removing torn defective Product</v>
      </c>
    </row>
    <row r="16950">
      <c r="A16950" s="1">
        <v>1.0</v>
      </c>
      <c r="B16950" s="1" t="s">
        <v>1787</v>
      </c>
      <c r="C16950" t="str">
        <f>IFERROR(__xludf.DUMMYFUNCTION("GOOGLETRANSLATE(B16950, ""fr"", ""en"")"),"Too little too small")</f>
        <v>Too little too small</v>
      </c>
    </row>
    <row r="16951">
      <c r="A16951" s="1">
        <v>3.0</v>
      </c>
      <c r="B16951" s="1" t="s">
        <v>16666</v>
      </c>
      <c r="C16951" t="str">
        <f>IFERROR(__xludf.DUMMYFUNCTION("GOOGLETRANSLATE(B16951, ""fr"", ""en"")"),"Problem with this excellent model Brand but curiously this model leaks!")</f>
        <v>Problem with this excellent model Brand but curiously this model leaks!</v>
      </c>
    </row>
    <row r="16952">
      <c r="A16952" s="1">
        <v>3.0</v>
      </c>
      <c r="B16952" s="1" t="s">
        <v>16667</v>
      </c>
      <c r="C16952" t="str">
        <f>IFERROR(__xludf.DUMMYFUNCTION("GOOGLETRANSLATE(B16952, ""fr"", ""en"")"),"Do not expect the ""upscale"" It is simply massaging balls covered with a strip of cloth. Very nice visual effect, but after a while, the feet follow suit and we must reframe the camera.")</f>
        <v>Do not expect the "upscale" It is simply massaging balls covered with a strip of cloth. Very nice visual effect, but after a while, the feet follow suit and we must reframe the camera.</v>
      </c>
    </row>
    <row r="16953">
      <c r="A16953" s="1">
        <v>4.0</v>
      </c>
      <c r="B16953" s="1" t="s">
        <v>16668</v>
      </c>
      <c r="C16953" t="str">
        <f>IFERROR(__xludf.DUMMYFUNCTION("GOOGLETRANSLATE(B16953, ""fr"", ""en"")"),"👍🏻 water heated quickly, a brave and aesthetic design. Small flat, the cover is not very convenient to open (to unclip, and mound on the handle), but you get used Good value")</f>
        <v>👍🏻 water heated quickly, a brave and aesthetic design. Small flat, the cover is not very convenient to open (to unclip, and mound on the handle), but you get used Good value</v>
      </c>
    </row>
    <row r="16954">
      <c r="A16954" s="1">
        <v>4.0</v>
      </c>
      <c r="B16954" s="1" t="s">
        <v>16669</v>
      </c>
      <c r="C16954" t="str">
        <f>IFERROR(__xludf.DUMMYFUNCTION("GOOGLETRANSLATE(B16954, ""fr"", ""en"")"),"Top sounds good helmet, attention to be handled with care it is a little fragile hinges so be the case for transport him a little regret a sponge bag style of play would have been perfect for the ears because the plastic is hot!")</f>
        <v>Top sounds good helmet, attention to be handled with care it is a little fragile hinges so be the case for transport him a little regret a sponge bag style of play would have been perfect for the ears because the plastic is hot!</v>
      </c>
    </row>
    <row r="16955">
      <c r="A16955" s="1">
        <v>4.0</v>
      </c>
      <c r="B16955" s="1" t="s">
        <v>16670</v>
      </c>
      <c r="C16955" t="str">
        <f>IFERROR(__xludf.DUMMYFUNCTION("GOOGLETRANSLATE(B16955, ""fr"", ""en"")"),"Would recommend very nice and well adjusted, beautiful colors perfectly matches my expectations. Perfect for mid-season. I recommend this product.")</f>
        <v>Would recommend very nice and well adjusted, beautiful colors perfectly matches my expectations. Perfect for mid-season. I recommend this product.</v>
      </c>
    </row>
    <row r="16956">
      <c r="A16956" s="1">
        <v>4.0</v>
      </c>
      <c r="B16956" s="1" t="s">
        <v>16671</v>
      </c>
      <c r="C16956" t="str">
        <f>IFERROR(__xludf.DUMMYFUNCTION("GOOGLETRANSLATE(B16956, ""fr"", ""en"")"),"Watch casio pink I thought the show was a little small but hey it's not so serious. She is beautiful")</f>
        <v>Watch casio pink I thought the show was a little small but hey it's not so serious. She is beautiful</v>
      </c>
    </row>
    <row r="16957">
      <c r="A16957" s="1">
        <v>5.0</v>
      </c>
      <c r="B16957" s="1" t="s">
        <v>16672</v>
      </c>
      <c r="C16957" t="str">
        <f>IFERROR(__xludf.DUMMYFUNCTION("GOOGLETRANSLATE(B16957, ""fr"", ""en"")"),"beautiful bracelet, beautiful packaging Beautiful bracelet good quality in a pretty package.")</f>
        <v>beautiful bracelet, beautiful packaging Beautiful bracelet good quality in a pretty package.</v>
      </c>
    </row>
    <row r="16958">
      <c r="A16958" s="1">
        <v>5.0</v>
      </c>
      <c r="B16958" s="1" t="s">
        <v>16673</v>
      </c>
      <c r="C16958" t="str">
        <f>IFERROR(__xludf.DUMMYFUNCTION("GOOGLETRANSLATE(B16958, ""fr"", ""en"")"),"Works perfectly used for a raspberry 3B + powered, it works without any worries.")</f>
        <v>Works perfectly used for a raspberry 3B + powered, it works without any worries.</v>
      </c>
    </row>
    <row r="16959">
      <c r="A16959" s="1">
        <v>5.0</v>
      </c>
      <c r="B16959" s="1" t="s">
        <v>16674</v>
      </c>
      <c r="C16959" t="str">
        <f>IFERROR(__xludf.DUMMYFUNCTION("GOOGLETRANSLATE(B16959, ""fr"", ""en"")"),"Waouwwww Waoywwww How beautiful! Comply with the description, the closures a few seized and leather a little scratched in places very faithful color orange shipping ultrafast")</f>
        <v>Waouwwww Waoywwww How beautiful! Comply with the description, the closures a few seized and leather a little scratched in places very faithful color orange shipping ultrafast</v>
      </c>
    </row>
    <row r="16960">
      <c r="A16960" s="1">
        <v>5.0</v>
      </c>
      <c r="B16960" s="1" t="s">
        <v>16675</v>
      </c>
      <c r="C16960" t="str">
        <f>IFERROR(__xludf.DUMMYFUNCTION("GOOGLETRANSLATE(B16960, ""fr"", ""en"")"),"The best I've found yet Its really very good, take the headphones very much in place. The burden is really fast. Headphones are really light it feels not even once in the ears. Design and finishing treatment. Nothing to envy to airpods or airbuds. I recom"&amp;"mend")</f>
        <v>The best I've found yet Its really very good, take the headphones very much in place. The burden is really fast. Headphones are really light it feels not even once in the ears. Design and finishing treatment. Nothing to envy to airpods or airbuds. I recommend</v>
      </c>
    </row>
    <row r="16961">
      <c r="A16961" s="1">
        <v>5.0</v>
      </c>
      <c r="B16961" s="1" t="s">
        <v>16676</v>
      </c>
      <c r="C16961" t="str">
        <f>IFERROR(__xludf.DUMMYFUNCTION("GOOGLETRANSLATE(B16961, ""fr"", ""en"")"),"Perfect Perfect for me, which is a particular problem with the calf veins, it really relieves me, even if it's temporary for me, it's really good, the advantage is that it stops, and within minutes you can start again, I do not use heat, but mostly I do n"&amp;"ot regret my purchase")</f>
        <v>Perfect Perfect for me, which is a particular problem with the calf veins, it really relieves me, even if it's temporary for me, it's really good, the advantage is that it stops, and within minutes you can start again, I do not use heat, but mostly I do not regret my purchase</v>
      </c>
    </row>
    <row r="16962">
      <c r="A16962" s="1">
        <v>5.0</v>
      </c>
      <c r="B16962" s="1" t="s">
        <v>16677</v>
      </c>
      <c r="C16962" t="str">
        <f>IFERROR(__xludf.DUMMYFUNCTION("GOOGLETRANSLATE(B16962, ""fr"", ""en"")"),"Sleek and Slim Although its attractive price to also guided my choice, I am surprised by the quality of the product. Delivered quickly. I recommend")</f>
        <v>Sleek and Slim Although its attractive price to also guided my choice, I am surprised by the quality of the product. Delivered quickly. I recommend</v>
      </c>
    </row>
    <row r="16963">
      <c r="A16963" s="1">
        <v>5.0</v>
      </c>
      <c r="B16963" s="1" t="s">
        <v>16678</v>
      </c>
      <c r="C16963" t="str">
        <f>IFERROR(__xludf.DUMMYFUNCTION("GOOGLETRANSLATE(B16963, ""fr"", ""en"")"),"Purchased super comfortable shoes for sports, they are super light but pleasantly surprised by the comfortable, very good value for money, they do not hurt the heel and the shoe is the right size.")</f>
        <v>Purchased super comfortable shoes for sports, they are super light but pleasantly surprised by the comfortable, very good value for money, they do not hurt the heel and the shoe is the right size.</v>
      </c>
    </row>
    <row r="16964">
      <c r="A16964" s="1">
        <v>5.0</v>
      </c>
      <c r="B16964" s="1" t="s">
        <v>16679</v>
      </c>
      <c r="C16964" t="str">
        <f>IFERROR(__xludf.DUMMYFUNCTION("GOOGLETRANSLATE(B16964, ""fr"", ""en"")"),"Teapot beautiful, robust and practical Nice, simple and practical teapot. I use it every day to make my tea.")</f>
        <v>Teapot beautiful, robust and practical Nice, simple and practical teapot. I use it every day to make my tea.</v>
      </c>
    </row>
    <row r="16965">
      <c r="A16965" s="1">
        <v>5.0</v>
      </c>
      <c r="B16965" s="1" t="s">
        <v>16680</v>
      </c>
      <c r="C16965" t="str">
        <f>IFERROR(__xludf.DUMMYFUNCTION("GOOGLETRANSLATE(B16965, ""fr"", ""en"")"),"Socks Very good product, good size, good quality")</f>
        <v>Socks Very good product, good size, good quality</v>
      </c>
    </row>
    <row r="16966">
      <c r="A16966" s="1">
        <v>5.0</v>
      </c>
      <c r="B16966" s="1" t="s">
        <v>16681</v>
      </c>
      <c r="C16966" t="str">
        <f>IFERROR(__xludf.DUMMYFUNCTION("GOOGLETRANSLATE(B16966, ""fr"", ""en"")"),"Basketball Super Basketball, pleasant to wear")</f>
        <v>Basketball Super Basketball, pleasant to wear</v>
      </c>
    </row>
    <row r="16967">
      <c r="A16967" s="1">
        <v>5.0</v>
      </c>
      <c r="B16967" s="1" t="s">
        <v>16682</v>
      </c>
      <c r="C16967" t="str">
        <f>IFERROR(__xludf.DUMMYFUNCTION("GOOGLETRANSLATE(B16967, ""fr"", ""en"")"),"good size and pretty cool city shoe products")</f>
        <v>good size and pretty cool city shoe products</v>
      </c>
    </row>
    <row r="16968">
      <c r="A16968" s="1">
        <v>5.0</v>
      </c>
      <c r="B16968" s="1" t="s">
        <v>16683</v>
      </c>
      <c r="C16968" t="str">
        <f>IFERROR(__xludf.DUMMYFUNCTION("GOOGLETRANSLATE(B16968, ""fr"", ""en"")"),"Resistant to seawater It adapts perfectly to the shape of my wrist Resistant to freshwater and saltwater Perfect for me :) Fast delivery also")</f>
        <v>Resistant to seawater It adapts perfectly to the shape of my wrist Resistant to freshwater and saltwater Perfect for me :) Fast delivery also</v>
      </c>
    </row>
    <row r="16969">
      <c r="A16969" s="1">
        <v>5.0</v>
      </c>
      <c r="B16969" s="1" t="s">
        <v>16684</v>
      </c>
      <c r="C16969" t="str">
        <f>IFERROR(__xludf.DUMMYFUNCTION("GOOGLETRANSLATE(B16969, ""fr"", ""en"")"),"Perfect very nice shame that we can not program")</f>
        <v>Perfect very nice shame that we can not program</v>
      </c>
    </row>
    <row r="16970">
      <c r="A16970" s="1">
        <v>5.0</v>
      </c>
      <c r="B16970" s="1" t="s">
        <v>16685</v>
      </c>
      <c r="C16970" t="str">
        <f>IFERROR(__xludf.DUMMYFUNCTION("GOOGLETRANSLATE(B16970, ""fr"", ""en"")"),"Perfect for hiking-trail hike for top-Trail tours of 30-50 km after otherwise they risk being too rigid")</f>
        <v>Perfect for hiking-trail hike for top-Trail tours of 30-50 km after otherwise they risk being too rigid</v>
      </c>
    </row>
    <row r="16971">
      <c r="A16971" s="1">
        <v>5.0</v>
      </c>
      <c r="B16971" s="1" t="s">
        <v>16686</v>
      </c>
      <c r="C16971" t="str">
        <f>IFERROR(__xludf.DUMMYFUNCTION("GOOGLETRANSLATE(B16971, ""fr"", ""en"")"),"magnificent Nothing more to say. For the price it is given.")</f>
        <v>magnificent Nothing more to say. For the price it is given.</v>
      </c>
    </row>
    <row r="16972">
      <c r="A16972" s="1">
        <v>2.0</v>
      </c>
      <c r="B16972" s="1" t="s">
        <v>16687</v>
      </c>
      <c r="C16972" t="str">
        <f>IFERROR(__xludf.DUMMYFUNCTION("GOOGLETRANSLATE(B16972, ""fr"", ""en"")"),"Too hard. Unlike other products of this very good brand, this model is a bit hard and can hurt. I recommend the model with handles that is, in every way, perfect.")</f>
        <v>Too hard. Unlike other products of this very good brand, this model is a bit hard and can hurt. I recommend the model with handles that is, in every way, perfect.</v>
      </c>
    </row>
    <row r="16973">
      <c r="A16973" s="1">
        <v>1.0</v>
      </c>
      <c r="B16973" s="1" t="s">
        <v>16688</v>
      </c>
      <c r="C16973" t="str">
        <f>IFERROR(__xludf.DUMMYFUNCTION("GOOGLETRANSLATE(B16973, ""fr"", ""en"")"),"defective stopped functioned after 2 weeks ..")</f>
        <v>defective stopped functioned after 2 weeks ..</v>
      </c>
    </row>
    <row r="16974">
      <c r="A16974" s="1">
        <v>1.0</v>
      </c>
      <c r="B16974" s="1" t="s">
        <v>16689</v>
      </c>
      <c r="C16974" t="str">
        <f>IFERROR(__xludf.DUMMYFUNCTION("GOOGLETRANSLATE(B16974, ""fr"", ""en"")"),"Disappointed! disappointing matters, Article lack of fluidity, it's a shame! I returned the item.")</f>
        <v>Disappointed! disappointing matters, Article lack of fluidity, it's a shame! I returned the item.</v>
      </c>
    </row>
    <row r="16975">
      <c r="A16975" s="1">
        <v>3.0</v>
      </c>
      <c r="B16975" s="1" t="s">
        <v>16690</v>
      </c>
      <c r="C16975" t="str">
        <f>IFERROR(__xludf.DUMMYFUNCTION("GOOGLETRANSLATE(B16975, ""fr"", ""en"")"),"Not bad I took a size m and c is a bit large mainly in the stomach. So it's not too compressed. Strong smell even after washing the 2nd. And c sweating side is quite limited")</f>
        <v>Not bad I took a size m and c is a bit large mainly in the stomach. So it's not too compressed. Strong smell even after washing the 2nd. And c sweating side is quite limited</v>
      </c>
    </row>
    <row r="16976">
      <c r="A16976" s="1">
        <v>3.0</v>
      </c>
      <c r="B16976" s="1" t="s">
        <v>16691</v>
      </c>
      <c r="C16976" t="str">
        <f>IFERROR(__xludf.DUMMYFUNCTION("GOOGLETRANSLATE(B16976, ""fr"", ""en"")"),"They are pretty lovely but do not hold well. I have long hair and every time I put behind the ear loop falls, if not for the rest we will not complain considering the price ...")</f>
        <v>They are pretty lovely but do not hold well. I have long hair and every time I put behind the ear loop falls, if not for the rest we will not complain considering the price ...</v>
      </c>
    </row>
    <row r="16977">
      <c r="A16977" s="1">
        <v>4.0</v>
      </c>
      <c r="B16977" s="1" t="s">
        <v>16692</v>
      </c>
      <c r="C16977" t="str">
        <f>IFERROR(__xludf.DUMMYFUNCTION("GOOGLETRANSLATE(B16977, ""fr"", ""en"")"),"Size I followed the comments: I'm doing 37 so I ordered the 39/42 (EU) It is ""&amp; nbsp; hair cell &amp; nbsp;"". It was Amazon that should fit its description as indeed received the box, it is well written ... 37/38 The sole is actually a bit hard to do with t"&amp;"ime.")</f>
        <v>Size I followed the comments: I'm doing 37 so I ordered the 39/42 (EU) It is "&amp; nbsp; hair cell &amp; nbsp;". It was Amazon that should fit its description as indeed received the box, it is well written ... 37/38 The sole is actually a bit hard to do with time.</v>
      </c>
    </row>
    <row r="16978">
      <c r="A16978" s="1">
        <v>4.0</v>
      </c>
      <c r="B16978" s="1" t="s">
        <v>16693</v>
      </c>
      <c r="C16978" t="str">
        <f>IFERROR(__xludf.DUMMYFUNCTION("GOOGLETRANSLATE(B16978, ""fr"", ""en"")"),"Although Take half a size smaller Otherwise nickel converses")</f>
        <v>Although Take half a size smaller Otherwise nickel converses</v>
      </c>
    </row>
    <row r="16979">
      <c r="A16979" s="1">
        <v>4.0</v>
      </c>
      <c r="B16979" s="1" t="s">
        <v>16694</v>
      </c>
      <c r="C16979" t="str">
        <f>IFERROR(__xludf.DUMMYFUNCTION("GOOGLETRANSLATE(B16979, ""fr"", ""en"")"),"Top model I purchased this shoulder bag to replace my old bag. I was looking for a smaller and of good quality. This model is quite to my expectations.")</f>
        <v>Top model I purchased this shoulder bag to replace my old bag. I was looking for a smaller and of good quality. This model is quite to my expectations.</v>
      </c>
    </row>
    <row r="16980">
      <c r="A16980" s="1">
        <v>4.0</v>
      </c>
      <c r="B16980" s="1" t="s">
        <v>16695</v>
      </c>
      <c r="C16980" t="str">
        <f>IFERROR(__xludf.DUMMYFUNCTION("GOOGLETRANSLATE(B16980, ""fr"", ""en"")"),"Very good cable. Good cable to the speakers, I used to connect my stereo. it's enough to have a very good sound. Impeccable. but delivery with one day late is rare in Amazon.")</f>
        <v>Very good cable. Good cable to the speakers, I used to connect my stereo. it's enough to have a very good sound. Impeccable. but delivery with one day late is rare in Amazon.</v>
      </c>
    </row>
    <row r="16981">
      <c r="A16981" s="1">
        <v>5.0</v>
      </c>
      <c r="B16981" s="1" t="s">
        <v>16696</v>
      </c>
      <c r="C16981" t="str">
        <f>IFERROR(__xludf.DUMMYFUNCTION("GOOGLETRANSLATE(B16981, ""fr"", ""en"")"),"Great for me. No need to worry you, this vacuum cleaner is very nice, it's very self once programming is complete, attention to pet if your pet is still not clean, you may experience cleaning quality concerns , remember that a vacuum does not pick up pet "&amp;"droppings.")</f>
        <v>Great for me. No need to worry you, this vacuum cleaner is very nice, it's very self once programming is complete, attention to pet if your pet is still not clean, you may experience cleaning quality concerns , remember that a vacuum does not pick up pet droppings.</v>
      </c>
    </row>
    <row r="16982">
      <c r="A16982" s="1">
        <v>5.0</v>
      </c>
      <c r="B16982" s="1" t="s">
        <v>16697</v>
      </c>
      <c r="C16982" t="str">
        <f>IFERROR(__xludf.DUMMYFUNCTION("GOOGLETRANSLATE(B16982, ""fr"", ""en"")"),"Genuine HP To perfect professional use if a bit expensive compared to not reconditioned HP")</f>
        <v>Genuine HP To perfect professional use if a bit expensive compared to not reconditioned HP</v>
      </c>
    </row>
    <row r="16983">
      <c r="A16983" s="1">
        <v>5.0</v>
      </c>
      <c r="B16983" s="1" t="s">
        <v>16698</v>
      </c>
      <c r="C16983" t="str">
        <f>IFERROR(__xludf.DUMMYFUNCTION("GOOGLETRANSLATE(B16983, ""fr"", ""en"")"),"Excellent product line with my expectations Super fast free shipping and product line with my expectations I recommend this product very good without any hesitation Excellent, super easy installation")</f>
        <v>Excellent product line with my expectations Super fast free shipping and product line with my expectations I recommend this product very good without any hesitation Excellent, super easy installation</v>
      </c>
    </row>
    <row r="16984">
      <c r="A16984" s="1">
        <v>5.0</v>
      </c>
      <c r="B16984" s="1" t="s">
        <v>16699</v>
      </c>
      <c r="C16984" t="str">
        <f>IFERROR(__xludf.DUMMYFUNCTION("GOOGLETRANSLATE(B16984, ""fr"", ""en"")"),"Pleasant Super wearable I recommend")</f>
        <v>Pleasant Super wearable I recommend</v>
      </c>
    </row>
    <row r="16985">
      <c r="A16985" s="1">
        <v>5.0</v>
      </c>
      <c r="B16985" s="1" t="s">
        <v>16700</v>
      </c>
      <c r="C16985" t="str">
        <f>IFERROR(__xludf.DUMMYFUNCTION("GOOGLETRANSLATE(B16985, ""fr"", ""en"")"),"Corresponds to the description Meets")</f>
        <v>Corresponds to the description Meets</v>
      </c>
    </row>
    <row r="16986">
      <c r="A16986" s="1">
        <v>5.0</v>
      </c>
      <c r="B16986" s="1" t="s">
        <v>16701</v>
      </c>
      <c r="C16986" t="str">
        <f>IFERROR(__xludf.DUMMYFUNCTION("GOOGLETRANSLATE(B16986, ""fr"", ""en"")"),"Incredible quality / price I was extremely surprised at the quality of this micro / arm. Recommended by a close, it's nickel! I did fall once or twice but it's supported by the quality of materials. If your quality looks bad, check your configuration in y"&amp;"our OS (Windows thank you)")</f>
        <v>Incredible quality / price I was extremely surprised at the quality of this micro / arm. Recommended by a close, it's nickel! I did fall once or twice but it's supported by the quality of materials. If your quality looks bad, check your configuration in your OS (Windows thank you)</v>
      </c>
    </row>
    <row r="16987">
      <c r="A16987" s="1">
        <v>5.0</v>
      </c>
      <c r="B16987" s="1" t="s">
        <v>16702</v>
      </c>
      <c r="C16987" t="str">
        <f>IFERROR(__xludf.DUMMYFUNCTION("GOOGLETRANSLATE(B16987, ""fr"", ""en"")"),"Super awesome ! Nothing to add, I love this helmet. I use it as a monitor headphones for DJ. For cons, I do not think it will be best to just listen to music.")</f>
        <v>Super awesome ! Nothing to add, I love this helmet. I use it as a monitor headphones for DJ. For cons, I do not think it will be best to just listen to music.</v>
      </c>
    </row>
    <row r="16988">
      <c r="A16988" s="1">
        <v>5.0</v>
      </c>
      <c r="B16988" s="1" t="s">
        <v>16703</v>
      </c>
      <c r="C16988" t="str">
        <f>IFERROR(__xludf.DUMMYFUNCTION("GOOGLETRANSLATE(B16988, ""fr"", ""en"")"),"Beautiful discovery Excellent discovery I find to wonder how heat up baby bottles without going to ask in a restaurant ... Brain head but I discovered this thermos fill with boiling water thermos and closed a cap which serves as container to pour the wate"&amp;"r just asking bottle or in small pots and after 3 min it is hot Without electricity completely nomadic")</f>
        <v>Beautiful discovery Excellent discovery I find to wonder how heat up baby bottles without going to ask in a restaurant ... Brain head but I discovered this thermos fill with boiling water thermos and closed a cap which serves as container to pour the water just asking bottle or in small pots and after 3 min it is hot Without electricity completely nomadic</v>
      </c>
    </row>
    <row r="16989">
      <c r="A16989" s="1">
        <v>5.0</v>
      </c>
      <c r="B16989" s="1" t="s">
        <v>16704</v>
      </c>
      <c r="C16989" t="str">
        <f>IFERROR(__xludf.DUMMYFUNCTION("GOOGLETRANSLATE(B16989, ""fr"", ""en"")"),"Like the original Great bracelet identical to the original and much cheaper !!")</f>
        <v>Like the original Great bracelet identical to the original and much cheaper !!</v>
      </c>
    </row>
    <row r="16990">
      <c r="A16990" s="1">
        <v>5.0</v>
      </c>
      <c r="B16990" s="1" t="s">
        <v>16705</v>
      </c>
      <c r="C16990" t="str">
        <f>IFERROR(__xludf.DUMMYFUNCTION("GOOGLETRANSLATE(B16990, ""fr"", ""en"")"),"Excellent value. When we got used to the new assays water / coffee, perfect.")</f>
        <v>Excellent value. When we got used to the new assays water / coffee, perfect.</v>
      </c>
    </row>
    <row r="16991">
      <c r="A16991" s="1">
        <v>5.0</v>
      </c>
      <c r="B16991" s="1" t="s">
        <v>16706</v>
      </c>
      <c r="C16991" t="str">
        <f>IFERROR(__xludf.DUMMYFUNCTION("GOOGLETRANSLATE(B16991, ""fr"", ""en"")"),"Met my expectations First time I buy textile web and I'm not disappointed to see in a few weeks to see if they take time")</f>
        <v>Met my expectations First time I buy textile web and I'm not disappointed to see in a few weeks to see if they take time</v>
      </c>
    </row>
    <row r="16992">
      <c r="A16992" s="1">
        <v>5.0</v>
      </c>
      <c r="B16992" s="1" t="s">
        <v>16707</v>
      </c>
      <c r="C16992" t="str">
        <f>IFERROR(__xludf.DUMMYFUNCTION("GOOGLETRANSLATE(B16992, ""fr"", ""en"")"),"very dry feet in the water? before buying, is what it really is the feet that are dry in the sea or pool ??")</f>
        <v>very dry feet in the water? before buying, is what it really is the feet that are dry in the sea or pool ??</v>
      </c>
    </row>
    <row r="16993">
      <c r="A16993" s="1">
        <v>5.0</v>
      </c>
      <c r="B16993" s="1" t="s">
        <v>16708</v>
      </c>
      <c r="C16993" t="str">
        <f>IFERROR(__xludf.DUMMYFUNCTION("GOOGLETRANSLATE(B16993, ""fr"", ""en"")"),"Although sweater as I expected. Color, size, quality. Parfais. Not disappointed. The price was the interesting side drew me to this purchase.")</f>
        <v>Although sweater as I expected. Color, size, quality. Parfais. Not disappointed. The price was the interesting side drew me to this purchase.</v>
      </c>
    </row>
    <row r="16994">
      <c r="A16994" s="1">
        <v>5.0</v>
      </c>
      <c r="B16994" s="1" t="s">
        <v>16709</v>
      </c>
      <c r="C16994" t="str">
        <f>IFERROR(__xludf.DUMMYFUNCTION("GOOGLETRANSLATE(B16994, ""fr"", ""en"")"),"Super Good hygienic ❤️ brand I recommend. Very good brush with base water collector, hygienic design and the work plan. The brush no longer drag on the dish drainer or on the tree to bottle outdoors.")</f>
        <v>Super Good hygienic ❤️ brand I recommend. Very good brush with base water collector, hygienic design and the work plan. The brush no longer drag on the dish drainer or on the tree to bottle outdoors.</v>
      </c>
    </row>
    <row r="16995">
      <c r="A16995" s="1">
        <v>5.0</v>
      </c>
      <c r="B16995" s="1" t="s">
        <v>16710</v>
      </c>
      <c r="C16995" t="str">
        <f>IFERROR(__xludf.DUMMYFUNCTION("GOOGLETRANSLATE(B16995, ""fr"", ""en"")"),"Christmas Kdo grandchild")</f>
        <v>Christmas Kdo grandchild</v>
      </c>
    </row>
    <row r="16996">
      <c r="A16996" s="1">
        <v>2.0</v>
      </c>
      <c r="B16996" s="1" t="s">
        <v>16711</v>
      </c>
      <c r="C16996" t="str">
        <f>IFERROR(__xludf.DUMMYFUNCTION("GOOGLETRANSLATE(B16996, ""fr"", ""en"")"),"choker Only for neck short! Made in PRC = Made in China !!!! Doubt about the 100% natural! Not enough described: length 45 cm, weight about 650 grams. ... Humidity. ... Personally I find it hanging over the neck even if it ..... well heated in the expecta"&amp;"tion of a larger, more natural ...")</f>
        <v>choker Only for neck short! Made in PRC = Made in China !!!! Doubt about the 100% natural! Not enough described: length 45 cm, weight about 650 grams. ... Humidity. ... Personally I find it hanging over the neck even if it ..... well heated in the expectation of a larger, more natural ...</v>
      </c>
    </row>
    <row r="16997">
      <c r="A16997" s="1">
        <v>1.0</v>
      </c>
      <c r="B16997" s="1" t="s">
        <v>16712</v>
      </c>
      <c r="C16997" t="str">
        <f>IFERROR(__xludf.DUMMYFUNCTION("GOOGLETRANSLATE(B16997, ""fr"", ""en"")"),"Watch with battery already dead then proceeds received quickly, but the battery died and the instruction manual and English and do not even match the pattern, really pathetic, very very disappointed, an expenditure of money for nothing")</f>
        <v>Watch with battery already dead then proceeds received quickly, but the battery died and the instruction manual and English and do not even match the pattern, really pathetic, very very disappointed, an expenditure of money for nothing</v>
      </c>
    </row>
    <row r="16998">
      <c r="A16998" s="1">
        <v>1.0</v>
      </c>
      <c r="B16998" s="1" t="s">
        <v>16713</v>
      </c>
      <c r="C16998" t="str">
        <f>IFERROR(__xludf.DUMMYFUNCTION("GOOGLETRANSLATE(B16998, ""fr"", ""en"")"),"No one has shit! No one has shit !!!! Do not order this microphone. I returned directly. Even a microphone children toy works best. I pro pregnant and must face in to hear a small sound!")</f>
        <v>No one has shit! No one has shit !!!! Do not order this microphone. I returned directly. Even a microphone children toy works best. I pro pregnant and must face in to hear a small sound!</v>
      </c>
    </row>
    <row r="16999">
      <c r="A16999" s="1">
        <v>3.0</v>
      </c>
      <c r="B16999" s="1" t="s">
        <v>16714</v>
      </c>
      <c r="C16999" t="str">
        <f>IFERROR(__xludf.DUMMYFUNCTION("GOOGLETRANSLATE(B16999, ""fr"", ""en"")"),"Somewhat transparent somewhat transparent")</f>
        <v>Somewhat transparent somewhat transparent</v>
      </c>
    </row>
    <row r="17000">
      <c r="A17000" s="1">
        <v>4.0</v>
      </c>
      <c r="B17000" s="1" t="s">
        <v>16715</v>
      </c>
      <c r="C17000" t="str">
        <f>IFERROR(__xludf.DUMMYFUNCTION("GOOGLETRANSLATE(B17000, ""fr"", ""en"")"),"Practice Perfect for cleaning baby bottles! The brush helps to clean the nipples to the end while the large is perfect for the rest!")</f>
        <v>Practice Perfect for cleaning baby bottles! The brush helps to clean the nipples to the end while the large is perfect for the rest!</v>
      </c>
    </row>
    <row r="17001">
      <c r="A17001" s="1">
        <v>4.0</v>
      </c>
      <c r="B17001" s="1" t="s">
        <v>16716</v>
      </c>
      <c r="C17001" t="str">
        <f>IFERROR(__xludf.DUMMYFUNCTION("GOOGLETRANSLATE(B17001, ""fr"", ""en"")"),"Beware the size Superb quality But I had to return because they carve really big. Usually I put the 39, I took 38 and it was still too big.")</f>
        <v>Beware the size Superb quality But I had to return because they carve really big. Usually I put the 39, I took 38 and it was still too big.</v>
      </c>
    </row>
    <row r="17002">
      <c r="A17002" s="1">
        <v>4.0</v>
      </c>
      <c r="B17002" s="1" t="s">
        <v>16717</v>
      </c>
      <c r="C17002" t="str">
        <f>IFERROR(__xludf.DUMMYFUNCTION("GOOGLETRANSLATE(B17002, ""fr"", ""en"")"),"This kettle is not lacking in style wearing her little knit turtleneck !!! This is a hot water bottle that I find particularly funny and friendly wearing her little knit turtleneck. For the rest, it's still a classic PVC hot water bottle. The stopper make"&amp;"s airtight seal. She 20,5cm measure 31cm. The cover is actually knitted with diamonds look great. The screw (female portion) of the cap is made of rigid plastic material which perfectly fulfills its function. The small hole in the upper PVC, above the plu"&amp;"g, is useful for hanging. My wife, a little chilly like many, is delighted to have his feet. She said also that blue goes well with gray: the final touch !!! Ladies, this water bottle is perfect for mine so do not hesitate if in doubt.")</f>
        <v>This kettle is not lacking in style wearing her little knit turtleneck !!! This is a hot water bottle that I find particularly funny and friendly wearing her little knit turtleneck. For the rest, it's still a classic PVC hot water bottle. The stopper makes airtight seal. She 20,5cm measure 31cm. The cover is actually knitted with diamonds look great. The screw (female portion) of the cap is made of rigid plastic material which perfectly fulfills its function. The small hole in the upper PVC, above the plug, is useful for hanging. My wife, a little chilly like many, is delighted to have his feet. She said also that blue goes well with gray: the final touch !!! Ladies, this water bottle is perfect for mine so do not hesitate if in doubt.</v>
      </c>
    </row>
    <row r="17003">
      <c r="A17003" s="1">
        <v>4.0</v>
      </c>
      <c r="B17003" s="1" t="s">
        <v>16718</v>
      </c>
      <c r="C17003" t="str">
        <f>IFERROR(__xludf.DUMMYFUNCTION("GOOGLETRANSLATE(B17003, ""fr"", ""en"")"),"Great product Excellent product that fulfills its function, especially useful in the office. No burning zone (obviously some buyers were able to burn with) because the system is built into the kettle. I do not regret my purchase, I recommend. PS: The pric"&amp;"e changes regularly. I bought once 20 € on this page (new course). Again to my sister this time at 31.99 €, and that's made to 58 €! I strongly advise you to check the manufacturer prices on the web!")</f>
        <v>Great product Excellent product that fulfills its function, especially useful in the office. No burning zone (obviously some buyers were able to burn with) because the system is built into the kettle. I do not regret my purchase, I recommend. PS: The price changes regularly. I bought once 20 € on this page (new course). Again to my sister this time at 31.99 €, and that's made to 58 €! I strongly advise you to check the manufacturer prices on the web!</v>
      </c>
    </row>
    <row r="17004">
      <c r="A17004" s="1">
        <v>5.0</v>
      </c>
      <c r="B17004" s="1" t="s">
        <v>16719</v>
      </c>
      <c r="C17004" t="str">
        <f>IFERROR(__xludf.DUMMYFUNCTION("GOOGLETRANSLATE(B17004, ""fr"", ""en"")"),"Compliance Article delivered quickly. The material is quality, not sticky, stretchy, soft, light, according to the announcement. the little polar layer is very nice for those days when it's cold / wind the top for a ride mountain bike / canivtt in winter,"&amp;" it keeps very well in body temperature without the increase. Washing and quick drying. I would have liked but a zipper pockets on each side are deep enough to store your keys or smartphone. he deserves 5 stars for a simple product and good manufacturing.")</f>
        <v>Compliance Article delivered quickly. The material is quality, not sticky, stretchy, soft, light, according to the announcement. the little polar layer is very nice for those days when it's cold / wind the top for a ride mountain bike / canivtt in winter, it keeps very well in body temperature without the increase. Washing and quick drying. I would have liked but a zipper pockets on each side are deep enough to store your keys or smartphone. he deserves 5 stars for a simple product and good manufacturing.</v>
      </c>
    </row>
    <row r="17005">
      <c r="A17005" s="1">
        <v>5.0</v>
      </c>
      <c r="B17005" s="1" t="s">
        <v>16720</v>
      </c>
      <c r="C17005" t="str">
        <f>IFERROR(__xludf.DUMMYFUNCTION("GOOGLETRANSLATE(B17005, ""fr"", ""en"")"),"Perfect What else, price, quality, made ... thank you")</f>
        <v>Perfect What else, price, quality, made ... thank you</v>
      </c>
    </row>
    <row r="17006">
      <c r="A17006" s="1">
        <v>5.0</v>
      </c>
      <c r="B17006" s="1" t="s">
        <v>16721</v>
      </c>
      <c r="C17006" t="str">
        <f>IFERROR(__xludf.DUMMYFUNCTION("GOOGLETRANSLATE(B17006, ""fr"", ""en"")"),"Nickel! Foldable Headphones pale pink with a good sound, resistant cable, adjustable to enlarge and shrink depending on the size of the head.")</f>
        <v>Nickel! Foldable Headphones pale pink with a good sound, resistant cable, adjustable to enlarge and shrink depending on the size of the head.</v>
      </c>
    </row>
    <row r="17007">
      <c r="A17007" s="1">
        <v>5.0</v>
      </c>
      <c r="B17007" s="1" t="s">
        <v>16722</v>
      </c>
      <c r="C17007" t="str">
        <f>IFERROR(__xludf.DUMMYFUNCTION("GOOGLETRANSLATE(B17007, ""fr"", ""en"")"),"My Beautiful bracelet bracelet is beautiful. It is as beautiful as on the website. The color is true to the photo. I am glad")</f>
        <v>My Beautiful bracelet bracelet is beautiful. It is as beautiful as on the website. The color is true to the photo. I am glad</v>
      </c>
    </row>
    <row r="17008">
      <c r="A17008" s="1">
        <v>5.0</v>
      </c>
      <c r="B17008" s="1" t="s">
        <v>16723</v>
      </c>
      <c r="C17008" t="str">
        <f>IFERROR(__xludf.DUMMYFUNCTION("GOOGLETRANSLATE(B17008, ""fr"", ""en"")"),"Super quality Very good smell, very convenient for my husband chèr who do not know dose laundry")</f>
        <v>Super quality Very good smell, very convenient for my husband chèr who do not know dose laundry</v>
      </c>
    </row>
    <row r="17009">
      <c r="A17009" s="1">
        <v>5.0</v>
      </c>
      <c r="B17009" s="1" t="s">
        <v>16724</v>
      </c>
      <c r="C17009" t="str">
        <f>IFERROR(__xludf.DUMMYFUNCTION("GOOGLETRANSLATE(B17009, ""fr"", ""en"")"),"Size just very nice jacket size but just a little - include one size bigger")</f>
        <v>Size just very nice jacket size but just a little - include one size bigger</v>
      </c>
    </row>
    <row r="17010">
      <c r="A17010" s="1">
        <v>5.0</v>
      </c>
      <c r="B17010" s="1" t="s">
        <v>16725</v>
      </c>
      <c r="C17010" t="str">
        <f>IFERROR(__xludf.DUMMYFUNCTION("GOOGLETRANSLATE(B17010, ""fr"", ""en"")"),"In the top !!! awesome books for beginners My daughter loves")</f>
        <v>In the top !!! awesome books for beginners My daughter loves</v>
      </c>
    </row>
    <row r="17011">
      <c r="A17011" s="1">
        <v>5.0</v>
      </c>
      <c r="B17011" s="1" t="s">
        <v>16726</v>
      </c>
      <c r="C17011" t="str">
        <f>IFERROR(__xludf.DUMMYFUNCTION("GOOGLETRANSLATE(B17011, ""fr"", ""en"")"),"Top I love this product. I did not know in tablets, but I men used to wash clothes for my baby, toilet towels, and the result is nickel. As against the box fast descent. I recommend.")</f>
        <v>Top I love this product. I did not know in tablets, but I men used to wash clothes for my baby, toilet towels, and the result is nickel. As against the box fast descent. I recommend.</v>
      </c>
    </row>
    <row r="17012">
      <c r="A17012" s="1">
        <v>5.0</v>
      </c>
      <c r="B17012" s="1" t="s">
        <v>16727</v>
      </c>
      <c r="C17012" t="str">
        <f>IFERROR(__xludf.DUMMYFUNCTION("GOOGLETRANSLATE(B17012, ""fr"", ""en"")"),"Effective As the description.")</f>
        <v>Effective As the description.</v>
      </c>
    </row>
    <row r="17013">
      <c r="A17013" s="1">
        <v>5.0</v>
      </c>
      <c r="B17013" s="1" t="s">
        <v>16728</v>
      </c>
      <c r="C17013" t="str">
        <f>IFERROR(__xludf.DUMMYFUNCTION("GOOGLETRANSLATE(B17013, ""fr"", ""en"")"),"A very good performance in the ear, great sound a huge sound! I very comfortable, and convenient to find the sport! I use them primarily to run and they will hold well in the ear! A very good battery life also")</f>
        <v>A very good performance in the ear, great sound a huge sound! I very comfortable, and convenient to find the sport! I use them primarily to run and they will hold well in the ear! A very good battery life also</v>
      </c>
    </row>
    <row r="17014">
      <c r="A17014" s="1">
        <v>5.0</v>
      </c>
      <c r="B17014" s="1" t="s">
        <v>16729</v>
      </c>
      <c r="C17014" t="str">
        <f>IFERROR(__xludf.DUMMYFUNCTION("GOOGLETRANSLATE(B17014, ""fr"", ""en"")"),"essential for baby Here is a very good invention. The babies love it and it relieves during dental shoots, you can put a piece of bread or fruit without the danger of swallowing a large piece, what a relief. I am maternal assistant and I find this extraor"&amp;"dinary object.")</f>
        <v>essential for baby Here is a very good invention. The babies love it and it relieves during dental shoots, you can put a piece of bread or fruit without the danger of swallowing a large piece, what a relief. I am maternal assistant and I find this extraordinary object.</v>
      </c>
    </row>
    <row r="17015">
      <c r="A17015" s="1">
        <v>5.0</v>
      </c>
      <c r="B17015" s="1" t="s">
        <v>16730</v>
      </c>
      <c r="C17015" t="str">
        <f>IFERROR(__xludf.DUMMYFUNCTION("GOOGLETRANSLATE(B17015, ""fr"", ""en"")"),"A Very beautiful jewelry class shows. The glass of the dial tone changes depending on the brightness, moving the dial from black to blue, then purple to orange. Dial very strong brand that does not impact (which is rare to be reported). Beautiful black me"&amp;"tal band. Watch recommend and taste without moderation. excellent quality and very robust package. Delivery time very respected (delivered earlier than expected).")</f>
        <v>A Very beautiful jewelry class shows. The glass of the dial tone changes depending on the brightness, moving the dial from black to blue, then purple to orange. Dial very strong brand that does not impact (which is rare to be reported). Beautiful black metal band. Watch recommend and taste without moderation. excellent quality and very robust package. Delivery time very respected (delivered earlier than expected).</v>
      </c>
    </row>
    <row r="17016">
      <c r="A17016" s="1">
        <v>5.0</v>
      </c>
      <c r="B17016" s="1" t="s">
        <v>16731</v>
      </c>
      <c r="C17016" t="str">
        <f>IFERROR(__xludf.DUMMYFUNCTION("GOOGLETRANSLATE(B17016, ""fr"", ""en"")"),"Ring I love this ring is beautiful")</f>
        <v>Ring I love this ring is beautiful</v>
      </c>
    </row>
    <row r="17017">
      <c r="A17017" s="1">
        <v>5.0</v>
      </c>
      <c r="B17017" s="1" t="s">
        <v>16732</v>
      </c>
      <c r="C17017" t="str">
        <f>IFERROR(__xludf.DUMMYFUNCTION("GOOGLETRANSLATE(B17017, ""fr"", ""en"")"),"Top pleasant mask and rather mild Packaging nice glass")</f>
        <v>Top pleasant mask and rather mild Packaging nice glass</v>
      </c>
    </row>
    <row r="17018">
      <c r="A17018" s="1">
        <v>5.0</v>
      </c>
      <c r="B17018" s="1" t="s">
        <v>16733</v>
      </c>
      <c r="C17018" t="str">
        <f>IFERROR(__xludf.DUMMYFUNCTION("GOOGLETRANSLATE(B17018, ""fr"", ""en"")"),"Top My kids love")</f>
        <v>Top My kids love</v>
      </c>
    </row>
    <row r="17019">
      <c r="A17019" s="1">
        <v>2.0</v>
      </c>
      <c r="B17019" s="1" t="s">
        <v>16734</v>
      </c>
      <c r="C17019" t="str">
        <f>IFERROR(__xludf.DUMMYFUNCTION("GOOGLETRANSLATE(B17019, ""fr"", ""en"")"),"blah The part where you put the water dirty very quickly, difficult to empty (water container) Otherwise it works but the capacity is not crazy to the upper floor: - /")</f>
        <v>blah The part where you put the water dirty very quickly, difficult to empty (water container) Otherwise it works but the capacity is not crazy to the upper floor: - /</v>
      </c>
    </row>
    <row r="17020">
      <c r="A17020" s="1">
        <v>1.0</v>
      </c>
      <c r="B17020" s="1" t="s">
        <v>16735</v>
      </c>
      <c r="C17020" t="str">
        <f>IFERROR(__xludf.DUMMYFUNCTION("GOOGLETRANSLATE(B17020, ""fr"", ""en"")"),"He flees the bottle is cute but he fled. The nipple is too small to properly hold at least we screwed so hard that hard to reopen. Moreover, despite the soft side of this pacifier, baby do not recognize this one and pretend to breastfeed. Unsuitable I do "&amp;"not recommend this mini bottle.")</f>
        <v>He flees the bottle is cute but he fled. The nipple is too small to properly hold at least we screwed so hard that hard to reopen. Moreover, despite the soft side of this pacifier, baby do not recognize this one and pretend to breastfeed. Unsuitable I do not recommend this mini bottle.</v>
      </c>
    </row>
    <row r="17021">
      <c r="A17021" s="1">
        <v>3.0</v>
      </c>
      <c r="B17021" s="1" t="s">
        <v>16736</v>
      </c>
      <c r="C17021" t="str">
        <f>IFERROR(__xludf.DUMMYFUNCTION("GOOGLETRANSLATE(B17021, ""fr"", ""en"")"),"Solid correct fabric quality for the price, I wear it very often and still want the road")</f>
        <v>Solid correct fabric quality for the price, I wear it very often and still want the road</v>
      </c>
    </row>
    <row r="17022">
      <c r="A17022" s="1">
        <v>3.0</v>
      </c>
      <c r="B17022" s="1" t="s">
        <v>16737</v>
      </c>
      <c r="C17022" t="str">
        <f>IFERROR(__xludf.DUMMYFUNCTION("GOOGLETRANSLATE(B17022, ""fr"", ""en"")"),"Not bad ... fast seller, Article compliant. Received a very nice package quality: It was fun to open and discover the product. They are all small, comfortable to wear, I do not sense almost. Really amazing! Noise reduction is really good, I enjoy it durin"&amp;"g my lunch break in a noisy canteen: I can stay in my bubble. It's very nice. The sound surprised me because of good quality. No untimely cuts (that I feared a bit). I can go to 7 / 8m goshawks my cell if there is no obstacle, if not a little less, but I "&amp;"have pretty thick walls. The connection is fast and efficient. I have not tried the app, but it will not be long: I will add a comment to this moment. The small box is very compact, it does not take place and I can take it everywhere: it's great and in ad"&amp;"dition it can recharge the atria, it's very convenient. I did not check the number of hours of listening before recharging, but I want more than a week to about 2 hours listening / day. 3 tip sizes are available. 2 caveats: -1 star because I find keeping "&amp;"with the limit ends, they tend to slip, the power suddenly, it's complicated ... I would have liked foam end caps shape memory, it would have been so nice ... I put bits of old, but I have found suitable because they are still in my ears when I want to re"&amp;"move the other ... -1 star because precisely, the case is very well suited to atria and I can not put my foam tips in it ... So, I have to have a small zippered bag with my foam tips ... not very practical ... I would have preferred a slightly larger case"&amp;" but in which I could adapt other bits of my choice. Here ! Good article anyway ...")</f>
        <v>Not bad ... fast seller, Article compliant. Received a very nice package quality: It was fun to open and discover the product. They are all small, comfortable to wear, I do not sense almost. Really amazing! Noise reduction is really good, I enjoy it during my lunch break in a noisy canteen: I can stay in my bubble. It's very nice. The sound surprised me because of good quality. No untimely cuts (that I feared a bit). I can go to 7 / 8m goshawks my cell if there is no obstacle, if not a little less, but I have pretty thick walls. The connection is fast and efficient. I have not tried the app, but it will not be long: I will add a comment to this moment. The small box is very compact, it does not take place and I can take it everywhere: it's great and in addition it can recharge the atria, it's very convenient. I did not check the number of hours of listening before recharging, but I want more than a week to about 2 hours listening / day. 3 tip sizes are available. 2 caveats: -1 star because I find keeping with the limit ends, they tend to slip, the power suddenly, it's complicated ... I would have liked foam end caps shape memory, it would have been so nice ... I put bits of old, but I have found suitable because they are still in my ears when I want to remove the other ... -1 star because precisely, the case is very well suited to atria and I can not put my foam tips in it ... So, I have to have a small zippered bag with my foam tips ... not very practical ... I would have preferred a slightly larger case but in which I could adapt other bits of my choice. Here ! Good article anyway ...</v>
      </c>
    </row>
    <row r="17023">
      <c r="A17023" s="1">
        <v>4.0</v>
      </c>
      <c r="B17023" s="1" t="s">
        <v>16738</v>
      </c>
      <c r="C17023" t="str">
        <f>IFERROR(__xludf.DUMMYFUNCTION("GOOGLETRANSLATE(B17023, ""fr"", ""en"")"),"honest product for its price. Product in accordance with its description; careful though, the volume is not adjustable. Headphones good fit in the ear and are quite discreet. A equa be mandatory because the basic sound is very focused on the bass, which c"&amp;"over just the whole.")</f>
        <v>honest product for its price. Product in accordance with its description; careful though, the volume is not adjustable. Headphones good fit in the ear and are quite discreet. A equa be mandatory because the basic sound is very focused on the bass, which cover just the whole.</v>
      </c>
    </row>
    <row r="17024">
      <c r="A17024" s="1">
        <v>4.0</v>
      </c>
      <c r="B17024" s="1" t="s">
        <v>16739</v>
      </c>
      <c r="C17024" t="str">
        <f>IFERROR(__xludf.DUMMYFUNCTION("GOOGLETRANSLATE(B17024, ""fr"", ""en"")"),"basketball comfortable I bought my size and it's going very well, I'm very comfortable in it from the first try. to dance the night away at my wedding, it will be perfect (I put the time in getting used to, but it's not necessary because no pain by wearin"&amp;"g)")</f>
        <v>basketball comfortable I bought my size and it's going very well, I'm very comfortable in it from the first try. to dance the night away at my wedding, it will be perfect (I put the time in getting used to, but it's not necessary because no pain by wearing)</v>
      </c>
    </row>
    <row r="17025">
      <c r="A17025" s="1">
        <v>4.0</v>
      </c>
      <c r="B17025" s="1" t="s">
        <v>16740</v>
      </c>
      <c r="C17025" t="str">
        <f>IFERROR(__xludf.DUMMYFUNCTION("GOOGLETRANSLATE(B17025, ""fr"", ""en"")"),"satisfied good buy")</f>
        <v>satisfied good buy</v>
      </c>
    </row>
    <row r="17026">
      <c r="A17026" s="1">
        <v>4.0</v>
      </c>
      <c r="B17026" s="1" t="s">
        <v>16741</v>
      </c>
      <c r="C17026" t="str">
        <f>IFERROR(__xludf.DUMMYFUNCTION("GOOGLETRANSLATE(B17026, ""fr"", ""en"")"),"Good value. For this price nothing to say, there is even a small storage box. To the extent this is poor, ç &amp; amp; did think about the old Bluetooth devices with very limited range strike practicality.")</f>
        <v>Good value. For this price nothing to say, there is even a small storage box. To the extent this is poor, ç &amp; amp; did think about the old Bluetooth devices with very limited range strike practicality.</v>
      </c>
    </row>
    <row r="17027">
      <c r="A17027" s="1">
        <v>5.0</v>
      </c>
      <c r="B17027" s="1" t="s">
        <v>16742</v>
      </c>
      <c r="C17027" t="str">
        <f>IFERROR(__xludf.DUMMYFUNCTION("GOOGLETRANSLATE(B17027, ""fr"", ""en"")"),"Wellness lavender fragrance for aches that soothes and relaxes the muscles that")</f>
        <v>Wellness lavender fragrance for aches that soothes and relaxes the muscles that</v>
      </c>
    </row>
    <row r="17028">
      <c r="A17028" s="1">
        <v>5.0</v>
      </c>
      <c r="B17028" s="1" t="s">
        <v>16743</v>
      </c>
      <c r="C17028" t="str">
        <f>IFERROR(__xludf.DUMMYFUNCTION("GOOGLETRANSLATE(B17028, ""fr"", ""en"")"),"Good buy product arrived on time. Very good quality. The first use has generated mixed feelings but it is a possible reaction. After several meeting (the lower intensity), the benefits are immediately apparent. Really effective for heavy legs and circulat"&amp;"ory difficulties. A must have though it should put the price. The mobility of the latter model facilitates the more frequent use (almost daily).")</f>
        <v>Good buy product arrived on time. Very good quality. The first use has generated mixed feelings but it is a possible reaction. After several meeting (the lower intensity), the benefits are immediately apparent. Really effective for heavy legs and circulatory difficulties. A must have though it should put the price. The mobility of the latter model facilitates the more frequent use (almost daily).</v>
      </c>
    </row>
    <row r="17029">
      <c r="A17029" s="1">
        <v>5.0</v>
      </c>
      <c r="B17029" s="1" t="s">
        <v>16744</v>
      </c>
      <c r="C17029" t="str">
        <f>IFERROR(__xludf.DUMMYFUNCTION("GOOGLETRANSLATE(B17029, ""fr"", ""en"")"),"Beautiful canvas shoes as the picture size and well")</f>
        <v>Beautiful canvas shoes as the picture size and well</v>
      </c>
    </row>
    <row r="17030">
      <c r="A17030" s="1">
        <v>5.0</v>
      </c>
      <c r="B17030" s="1" t="s">
        <v>16745</v>
      </c>
      <c r="C17030" t="str">
        <f>IFERROR(__xludf.DUMMYFUNCTION("GOOGLETRANSLATE(B17030, ""fr"", ""en"")"),"Excellent as the picture I'm really satisfied with the product")</f>
        <v>Excellent as the picture I'm really satisfied with the product</v>
      </c>
    </row>
    <row r="17031">
      <c r="A17031" s="1">
        <v>5.0</v>
      </c>
      <c r="B17031" s="1" t="s">
        <v>16746</v>
      </c>
      <c r="C17031" t="str">
        <f>IFERROR(__xludf.DUMMYFUNCTION("GOOGLETRANSLATE(B17031, ""fr"", ""en"")"),"It absorbs odors very well! Excellent product that absorbs moisture well. I use it next to my trash and in the wardrobe shoe and it works for good! I recommend")</f>
        <v>It absorbs odors very well! Excellent product that absorbs moisture well. I use it next to my trash and in the wardrobe shoe and it works for good! I recommend</v>
      </c>
    </row>
    <row r="17032">
      <c r="A17032" s="1">
        <v>5.0</v>
      </c>
      <c r="B17032" s="1" t="s">
        <v>16747</v>
      </c>
      <c r="C17032" t="str">
        <f>IFERROR(__xludf.DUMMYFUNCTION("GOOGLETRANSLATE(B17032, ""fr"", ""en"")"),"What a pleasure ! Offered at a birthday party. Gift highly appreciated!")</f>
        <v>What a pleasure ! Offered at a birthday party. Gift highly appreciated!</v>
      </c>
    </row>
    <row r="17033">
      <c r="A17033" s="1">
        <v>5.0</v>
      </c>
      <c r="B17033" s="1" t="s">
        <v>16748</v>
      </c>
      <c r="C17033" t="str">
        <f>IFERROR(__xludf.DUMMYFUNCTION("GOOGLETRANSLATE(B17033, ""fr"", ""en"")"),"impeccable Perfect")</f>
        <v>impeccable Perfect</v>
      </c>
    </row>
    <row r="17034">
      <c r="A17034" s="1">
        <v>5.0</v>
      </c>
      <c r="B17034" s="1" t="s">
        <v>16749</v>
      </c>
      <c r="C17034" t="str">
        <f>IFERROR(__xludf.DUMMYFUNCTION("GOOGLETRANSLATE(B17034, ""fr"", ""en"")"),"Very happy with this product I am delighted by this. There are good quality, the fabric is soft to the touch and resistant. The seams are clean. Three compartments in the front of the bag in two pressure button zip. Inside main pocket + 2 compartments for"&amp;" eg phone and a zip too. A rear zip pocket. The whole shoulder. Super I recommend buying its size is perfect to put door key telephone sheet etc :)")</f>
        <v>Very happy with this product I am delighted by this. There are good quality, the fabric is soft to the touch and resistant. The seams are clean. Three compartments in the front of the bag in two pressure button zip. Inside main pocket + 2 compartments for eg phone and a zip too. A rear zip pocket. The whole shoulder. Super I recommend buying its size is perfect to put door key telephone sheet etc :)</v>
      </c>
    </row>
    <row r="17035">
      <c r="A17035" s="1">
        <v>5.0</v>
      </c>
      <c r="B17035" s="1" t="s">
        <v>16750</v>
      </c>
      <c r="C17035" t="str">
        <f>IFERROR(__xludf.DUMMYFUNCTION("GOOGLETRANSLATE(B17035, ""fr"", ""en"")"),"Great. To buy ! Very convenient")</f>
        <v>Great. To buy ! Very convenient</v>
      </c>
    </row>
    <row r="17036">
      <c r="A17036" s="1">
        <v>5.0</v>
      </c>
      <c r="B17036" s="1" t="s">
        <v>16751</v>
      </c>
      <c r="C17036" t="str">
        <f>IFERROR(__xludf.DUMMYFUNCTION("GOOGLETRANSLATE(B17036, ""fr"", ""en"")"),"PARFAITT BELLS WATCHES! GREAT QUALITY! PERFECT THANK YOU !!!")</f>
        <v>PARFAITT BELLS WATCHES! GREAT QUALITY! PERFECT THANK YOU !!!</v>
      </c>
    </row>
    <row r="17037">
      <c r="A17037" s="1">
        <v>5.0</v>
      </c>
      <c r="B17037" s="1" t="s">
        <v>16752</v>
      </c>
      <c r="C17037" t="str">
        <f>IFERROR(__xludf.DUMMYFUNCTION("GOOGLETRANSLATE(B17037, ""fr"", ""en"")"),"Product compliant The main use is that I listen to music in public transport. The sound is okay, neither perfect nor bad, for acceptable price.")</f>
        <v>Product compliant The main use is that I listen to music in public transport. The sound is okay, neither perfect nor bad, for acceptable price.</v>
      </c>
    </row>
    <row r="17038">
      <c r="A17038" s="1">
        <v>5.0</v>
      </c>
      <c r="B17038" s="1" t="s">
        <v>16753</v>
      </c>
      <c r="C17038" t="str">
        <f>IFERROR(__xludf.DUMMYFUNCTION("GOOGLETRANSLATE(B17038, ""fr"", ""en"")"),"Compliant Product nickel comme.convenu. Warning no french but good in la.notice not matter in my case.")</f>
        <v>Compliant Product nickel comme.convenu. Warning no french but good in la.notice not matter in my case.</v>
      </c>
    </row>
    <row r="17039">
      <c r="A17039" s="1">
        <v>5.0</v>
      </c>
      <c r="B17039" s="1" t="s">
        <v>16754</v>
      </c>
      <c r="C17039" t="str">
        <f>IFERROR(__xludf.DUMMYFUNCTION("GOOGLETRANSLATE(B17039, ""fr"", ""en"")"),"I highly recommend I tried the receipt, c is fantastic and great fun for small children will karaoké.mes s burst.")</f>
        <v>I highly recommend I tried the receipt, c is fantastic and great fun for small children will karaoké.mes s burst.</v>
      </c>
    </row>
    <row r="17040">
      <c r="A17040" s="1">
        <v>5.0</v>
      </c>
      <c r="B17040" s="1" t="s">
        <v>224</v>
      </c>
      <c r="C17040" t="str">
        <f>IFERROR(__xludf.DUMMYFUNCTION("GOOGLETRANSLATE(B17040, ""fr"", ""en"")"),"perfect perfect")</f>
        <v>perfect perfect</v>
      </c>
    </row>
    <row r="17041">
      <c r="A17041" s="1">
        <v>5.0</v>
      </c>
      <c r="B17041" s="1" t="s">
        <v>16755</v>
      </c>
      <c r="C17041" t="str">
        <f>IFERROR(__xludf.DUMMYFUNCTION("GOOGLETRANSLATE(B17041, ""fr"", ""en"")"),"Very comfortable ! Very happy with my purchase very beautiful, good quality, fabric soft and comfortable, not at all transparent, it conforms well to the shape and patterns are extras. I put it to the indoor sport and it's perfect! He does not move and ve"&amp;"ry comfortable compared to a basic leggings. I recommend this product !")</f>
        <v>Very comfortable ! Very happy with my purchase very beautiful, good quality, fabric soft and comfortable, not at all transparent, it conforms well to the shape and patterns are extras. I put it to the indoor sport and it's perfect! He does not move and very comfortable compared to a basic leggings. I recommend this product !</v>
      </c>
    </row>
    <row r="17042">
      <c r="A17042" s="1">
        <v>2.0</v>
      </c>
      <c r="B17042" s="1" t="s">
        <v>16756</v>
      </c>
      <c r="C17042" t="str">
        <f>IFERROR(__xludf.DUMMYFUNCTION("GOOGLETRANSLATE(B17042, ""fr"", ""en"")"),"Disappointed .. Take a size above ... too")</f>
        <v>Disappointed .. Take a size above ... too</v>
      </c>
    </row>
    <row r="17043">
      <c r="A17043" s="1">
        <v>1.0</v>
      </c>
      <c r="B17043" s="1" t="s">
        <v>16757</v>
      </c>
      <c r="C17043" t="str">
        <f>IFERROR(__xludf.DUMMYFUNCTION("GOOGLETRANSLATE(B17043, ""fr"", ""en"")"),"bad Sorry, but just bad, it is not comfortable to have an earache. Moreover, I who did not want to disturb anyone. It entent me the sound in the room next to a straw for a headset that works better than the speakers.")</f>
        <v>bad Sorry, but just bad, it is not comfortable to have an earache. Moreover, I who did not want to disturb anyone. It entent me the sound in the room next to a straw for a headset that works better than the speakers.</v>
      </c>
    </row>
    <row r="17044">
      <c r="A17044" s="1">
        <v>1.0</v>
      </c>
      <c r="B17044" s="1" t="s">
        <v>16758</v>
      </c>
      <c r="C17044" t="str">
        <f>IFERROR(__xludf.DUMMYFUNCTION("GOOGLETRANSLATE(B17044, ""fr"", ""en"")"),"Not recommended for personal and daily use. Very disappointed as damaged water (off) when she was supposed waterproof up to 30m")</f>
        <v>Not recommended for personal and daily use. Very disappointed as damaged water (off) when she was supposed waterproof up to 30m</v>
      </c>
    </row>
    <row r="17045">
      <c r="A17045" s="1">
        <v>3.0</v>
      </c>
      <c r="B17045" s="1" t="s">
        <v>16759</v>
      </c>
      <c r="C17045" t="str">
        <f>IFERROR(__xludf.DUMMYFUNCTION("GOOGLETRANSLATE(B17045, ""fr"", ""en"")"),"Good product quality in line with my expectations")</f>
        <v>Good product quality in line with my expectations</v>
      </c>
    </row>
    <row r="17046">
      <c r="A17046" s="1">
        <v>3.0</v>
      </c>
      <c r="B17046" s="1" t="s">
        <v>16760</v>
      </c>
      <c r="C17046" t="str">
        <f>IFERROR(__xludf.DUMMYFUNCTION("GOOGLETRANSLATE(B17046, ""fr"", ""en"")"),"Means I have to buy for my son and already riddled 1 jour😕😕 unsecure")</f>
        <v>Means I have to buy for my son and already riddled 1 jour😕😕 unsecure</v>
      </c>
    </row>
    <row r="17047">
      <c r="A17047" s="1">
        <v>4.0</v>
      </c>
      <c r="B17047" s="1" t="s">
        <v>16761</v>
      </c>
      <c r="C17047" t="str">
        <f>IFERROR(__xludf.DUMMYFUNCTION("GOOGLETRANSLATE(B17047, ""fr"", ""en"")"),"Ideal but fragile if not Quincaille For the second high school pretty good but seems weak I preferred to casio Same as Picture")</f>
        <v>Ideal but fragile if not Quincaille For the second high school pretty good but seems weak I preferred to casio Same as Picture</v>
      </c>
    </row>
    <row r="17048">
      <c r="A17048" s="1">
        <v>4.0</v>
      </c>
      <c r="B17048" s="1" t="s">
        <v>16762</v>
      </c>
      <c r="C17048" t="str">
        <f>IFERROR(__xludf.DUMMYFUNCTION("GOOGLETRANSLATE(B17048, ""fr"", ""en"")"),"good product value comfortable price. solid, worn daily for 4 months. received in time. good product value. I Conceil")</f>
        <v>good product value comfortable price. solid, worn daily for 4 months. received in time. good product value. I Conceil</v>
      </c>
    </row>
    <row r="17049">
      <c r="A17049" s="1">
        <v>4.0</v>
      </c>
      <c r="B17049" s="1" t="s">
        <v>16763</v>
      </c>
      <c r="C17049" t="str">
        <f>IFERROR(__xludf.DUMMYFUNCTION("GOOGLETRANSLATE(B17049, ""fr"", ""en"")"),"I recommend I was looking for a kettle with adjustable temperature. It's the case. In addition it is insulated, so keeping warm is present. Weak points: the lid that must be removed for filling, and level only visible inside, not very convenient! I took a"&amp;"dvantage of a flash sale, so unbeatable price!")</f>
        <v>I recommend I was looking for a kettle with adjustable temperature. It's the case. In addition it is insulated, so keeping warm is present. Weak points: the lid that must be removed for filling, and level only visible inside, not very convenient! I took advantage of a flash sale, so unbeatable price!</v>
      </c>
    </row>
    <row r="17050">
      <c r="A17050" s="1">
        <v>4.0</v>
      </c>
      <c r="B17050" s="1" t="s">
        <v>16764</v>
      </c>
      <c r="C17050" t="str">
        <f>IFERROR(__xludf.DUMMYFUNCTION("GOOGLETRANSLATE(B17050, ""fr"", ""en"")"),"REPORT SHOWS NIKEL QUALITER PRICE RECEIVED 2 DAYS AFTER ORDER. WATCH FOR LOW CORRECT I TIP TO AVOID TO BUY BRAND. I COUNCIL, TO SEE IN HARD")</f>
        <v>REPORT SHOWS NIKEL QUALITER PRICE RECEIVED 2 DAYS AFTER ORDER. WATCH FOR LOW CORRECT I TIP TO AVOID TO BUY BRAND. I COUNCIL, TO SEE IN HARD</v>
      </c>
    </row>
    <row r="17051">
      <c r="A17051" s="1">
        <v>4.0</v>
      </c>
      <c r="B17051" s="1" t="s">
        <v>16765</v>
      </c>
      <c r="C17051" t="str">
        <f>IFERROR(__xludf.DUMMYFUNCTION("GOOGLETRANSLATE(B17051, ""fr"", ""en"")"),"missing valves to shake ... NUK is a super brand manufacturer of great bottles. This new version is an improvement, however, it lacks the valves that allowed to shake the capacity of the bottle without clogging the nipple.")</f>
        <v>missing valves to shake ... NUK is a super brand manufacturer of great bottles. This new version is an improvement, however, it lacks the valves that allowed to shake the capacity of the bottle without clogging the nipple.</v>
      </c>
    </row>
    <row r="17052">
      <c r="A17052" s="1">
        <v>5.0</v>
      </c>
      <c r="B17052" s="1" t="s">
        <v>16766</v>
      </c>
      <c r="C17052" t="str">
        <f>IFERROR(__xludf.DUMMYFUNCTION("GOOGLETRANSLATE(B17052, ""fr"", ""en"")"),"Pretty athletic shoes compensated compensated pretty athletic shoes, and conform to its description. It normally size, so no need to take one size bigger.")</f>
        <v>Pretty athletic shoes compensated compensated pretty athletic shoes, and conform to its description. It normally size, so no need to take one size bigger.</v>
      </c>
    </row>
    <row r="17053">
      <c r="A17053" s="1">
        <v>5.0</v>
      </c>
      <c r="B17053" s="1" t="s">
        <v>16767</v>
      </c>
      <c r="C17053" t="str">
        <f>IFERROR(__xludf.DUMMYFUNCTION("GOOGLETRANSLATE(B17053, ""fr"", ""en"")"),"clingfilm Very convenient, easy to cut with the cursor, resistant film.")</f>
        <v>clingfilm Very convenient, easy to cut with the cursor, resistant film.</v>
      </c>
    </row>
    <row r="17054">
      <c r="A17054" s="1">
        <v>5.0</v>
      </c>
      <c r="B17054" s="1" t="s">
        <v>16768</v>
      </c>
      <c r="C17054" t="str">
        <f>IFERROR(__xludf.DUMMYFUNCTION("GOOGLETRANSLATE(B17054, ""fr"", ""en"")"),"Perfect Always wearable, beautiful color, my daughter calls it the ""Tardis blue"" (for fans of the Dr Who series)!")</f>
        <v>Perfect Always wearable, beautiful color, my daughter calls it the "Tardis blue" (for fans of the Dr Who series)!</v>
      </c>
    </row>
    <row r="17055">
      <c r="A17055" s="1">
        <v>5.0</v>
      </c>
      <c r="B17055" s="1" t="s">
        <v>16769</v>
      </c>
      <c r="C17055" t="str">
        <f>IFERROR(__xludf.DUMMYFUNCTION("GOOGLETRANSLATE(B17055, ""fr"", ""en"")"),"Nothing to say. I received this cable it two weeks ago and I use it every day for my personal use (recording with a microphone). No problem, the cable did his job very well, like ... a single cable. A very good finish quality, with a good impression of st"&amp;"rength and solidity (connection aluminum?). The cable in it - even robust air, that - one having a certain thickness. A very good price / quality ratio, a cable of very good quality.")</f>
        <v>Nothing to say. I received this cable it two weeks ago and I use it every day for my personal use (recording with a microphone). No problem, the cable did his job very well, like ... a single cable. A very good finish quality, with a good impression of strength and solidity (connection aluminum?). The cable in it - even robust air, that - one having a certain thickness. A very good price / quality ratio, a cable of very good quality.</v>
      </c>
    </row>
    <row r="17056">
      <c r="A17056" s="1">
        <v>5.0</v>
      </c>
      <c r="B17056" s="1" t="s">
        <v>16770</v>
      </c>
      <c r="C17056" t="str">
        <f>IFERROR(__xludf.DUMMYFUNCTION("GOOGLETRANSLATE(B17056, ""fr"", ""en"")"),"Very good stain remover. Off very well the tasks on the halos seat sky textile roof. effective product. For use with microfiber to recover the stain")</f>
        <v>Very good stain remover. Off very well the tasks on the halos seat sky textile roof. effective product. For use with microfiber to recover the stain</v>
      </c>
    </row>
    <row r="17057">
      <c r="A17057" s="1">
        <v>5.0</v>
      </c>
      <c r="B17057" s="1" t="s">
        <v>16771</v>
      </c>
      <c r="C17057" t="str">
        <f>IFERROR(__xludf.DUMMYFUNCTION("GOOGLETRANSLATE(B17057, ""fr"", ""en"")"),"decorative and functional object Very nice, works great and 400ml reserve is very interesting. You can put the LEDs started to give a night effect. The program allows to let it out without supervision on a specific duration.")</f>
        <v>decorative and functional object Very nice, works great and 400ml reserve is very interesting. You can put the LEDs started to give a night effect. The program allows to let it out without supervision on a specific duration.</v>
      </c>
    </row>
    <row r="17058">
      <c r="A17058" s="1">
        <v>5.0</v>
      </c>
      <c r="B17058" s="1" t="s">
        <v>16772</v>
      </c>
      <c r="C17058" t="str">
        <f>IFERROR(__xludf.DUMMYFUNCTION("GOOGLETRANSLATE(B17058, ""fr"", ""en"")"),"Lot 100 sachets Plastic Zip 6x8 cm - 60x80 mm for packages to sell on a flea market")</f>
        <v>Lot 100 sachets Plastic Zip 6x8 cm - 60x80 mm for packages to sell on a flea market</v>
      </c>
    </row>
    <row r="17059">
      <c r="A17059" s="1">
        <v>5.0</v>
      </c>
      <c r="B17059" s="1" t="s">
        <v>16773</v>
      </c>
      <c r="C17059" t="str">
        <f>IFERROR(__xludf.DUMMYFUNCTION("GOOGLETRANSLATE(B17059, ""fr"", ""en"")"),"Done Excellent for sports bra for sports. Very comfortable. Excellent support and beautiful breasts. I'm surprised to find it at that price. Nice surprise.")</f>
        <v>Done Excellent for sports bra for sports. Very comfortable. Excellent support and beautiful breasts. I'm surprised to find it at that price. Nice surprise.</v>
      </c>
    </row>
    <row r="17060">
      <c r="A17060" s="1">
        <v>5.0</v>
      </c>
      <c r="B17060" s="1" t="s">
        <v>16774</v>
      </c>
      <c r="C17060" t="str">
        <f>IFERROR(__xludf.DUMMYFUNCTION("GOOGLETRANSLATE(B17060, ""fr"", ""en"")"),"I love that they not only have an integrated microphone and volume controls, and they provide excellent quality and sound quality extended while reducing noise. The small internal silicone leg is a real advantage for earphones in place even during sports "&amp;"sessions.")</f>
        <v>I love that they not only have an integrated microphone and volume controls, and they provide excellent quality and sound quality extended while reducing noise. The small internal silicone leg is a real advantage for earphones in place even during sports sessions.</v>
      </c>
    </row>
    <row r="17061">
      <c r="A17061" s="1">
        <v>5.0</v>
      </c>
      <c r="B17061" s="1" t="s">
        <v>16775</v>
      </c>
      <c r="C17061" t="str">
        <f>IFERROR(__xludf.DUMMYFUNCTION("GOOGLETRANSLATE(B17061, ""fr"", ""en"")"),"Very good product. Very good product.")</f>
        <v>Very good product. Very good product.</v>
      </c>
    </row>
    <row r="17062">
      <c r="A17062" s="1">
        <v>5.0</v>
      </c>
      <c r="B17062" s="1" t="s">
        <v>16776</v>
      </c>
      <c r="C17062" t="str">
        <f>IFERROR(__xludf.DUMMYFUNCTION("GOOGLETRANSLATE(B17062, ""fr"", ""en"")"),"Beautiful great product, I am very happy apparent material: very beautiful. Speed ​​of water combustion: very fast. Insulation temperature: The isolation function is very good. Cleaning: easy to clean. Clear glass looks clean.")</f>
        <v>Beautiful great product, I am very happy apparent material: very beautiful. Speed ​​of water combustion: very fast. Insulation temperature: The isolation function is very good. Cleaning: easy to clean. Clear glass looks clean.</v>
      </c>
    </row>
    <row r="17063">
      <c r="A17063" s="1">
        <v>5.0</v>
      </c>
      <c r="B17063" s="1" t="s">
        <v>16777</v>
      </c>
      <c r="C17063" t="str">
        <f>IFERROR(__xludf.DUMMYFUNCTION("GOOGLETRANSLATE(B17063, ""fr"", ""en"")"),"Quick compliant")</f>
        <v>Quick compliant</v>
      </c>
    </row>
    <row r="17064">
      <c r="A17064" s="1">
        <v>5.0</v>
      </c>
      <c r="B17064" s="1" t="s">
        <v>16778</v>
      </c>
      <c r="C17064" t="str">
        <f>IFERROR(__xludf.DUMMYFUNCTION("GOOGLETRANSLATE(B17064, ""fr"", ""en"")"),"Perfect I'm delighted to have made her a year I buy foreshore and I'm always so happy. Perfect for back pain as well as for cramp. Easy maintenance and consistent with my expectation.")</f>
        <v>Perfect I'm delighted to have made her a year I buy foreshore and I'm always so happy. Perfect for back pain as well as for cramp. Easy maintenance and consistent with my expectation.</v>
      </c>
    </row>
    <row r="17065">
      <c r="A17065" s="1">
        <v>5.0</v>
      </c>
      <c r="B17065" s="1" t="s">
        <v>16779</v>
      </c>
      <c r="C17065" t="str">
        <f>IFERROR(__xludf.DUMMYFUNCTION("GOOGLETRANSLATE(B17065, ""fr"", ""en"")"),"Meets Hello, I received the cable in time. The product is as described. After a period of use, I can say that the quality is correct and in the medium / high basket. While aesthetics is not the appointment but that's not why I I bought this cable. In addi"&amp;"tion, there are several ways to integrate it into your interior, whether hidden or in plain view if you like a steampunk style. What interested me was above the signal transmission from the amp to the speakers and the gain. On that side nothing wrong, it'"&amp;"s classic copper but good. For better would require the cable is not copper, but gold, but the price would not be the same ;-) By cons, where you can improve a little bit the quality of transmission, it will be installing plugs 18k gold plated ends, we fi"&amp;"nd quality at reasonable prices to all types of sound sites including Amazon. Here. So I recommend this product, vendor and Amazon. If you read this review thank you to check if you was useful Regards Isidore")</f>
        <v>Meets Hello, I received the cable in time. The product is as described. After a period of use, I can say that the quality is correct and in the medium / high basket. While aesthetics is not the appointment but that's not why I I bought this cable. In addition, there are several ways to integrate it into your interior, whether hidden or in plain view if you like a steampunk style. What interested me was above the signal transmission from the amp to the speakers and the gain. On that side nothing wrong, it's classic copper but good. For better would require the cable is not copper, but gold, but the price would not be the same ;-) By cons, where you can improve a little bit the quality of transmission, it will be installing plugs 18k gold plated ends, we find quality at reasonable prices to all types of sound sites including Amazon. Here. So I recommend this product, vendor and Amazon. If you read this review thank you to check if you was useful Regards Isidore</v>
      </c>
    </row>
    <row r="17066">
      <c r="A17066" s="1">
        <v>5.0</v>
      </c>
      <c r="B17066" s="1" t="s">
        <v>16780</v>
      </c>
      <c r="C17066" t="str">
        <f>IFERROR(__xludf.DUMMYFUNCTION("GOOGLETRANSLATE(B17066, ""fr"", ""en"")"),"Consistent with the description. Hello, This diffuser does its job. It is pretty, practical and easy to use. its LED is more that makes it even more friendly in the dark I recommend")</f>
        <v>Consistent with the description. Hello, This diffuser does its job. It is pretty, practical and easy to use. its LED is more that makes it even more friendly in the dark I recommend</v>
      </c>
    </row>
    <row r="17067">
      <c r="A17067" s="1">
        <v>2.0</v>
      </c>
      <c r="B17067" s="1" t="s">
        <v>16781</v>
      </c>
      <c r="C17067" t="str">
        <f>IFERROR(__xludf.DUMMYFUNCTION("GOOGLETRANSLATE(B17067, ""fr"", ""en"")"),"Not the right size I ordered a sweater S and I received an M But fast delivery and the quality appears to be good and well packaged")</f>
        <v>Not the right size I ordered a sweater S and I received an M But fast delivery and the quality appears to be good and well packaged</v>
      </c>
    </row>
    <row r="17068">
      <c r="A17068" s="1">
        <v>1.0</v>
      </c>
      <c r="B17068" s="1" t="s">
        <v>16782</v>
      </c>
      <c r="C17068" t="str">
        <f>IFERROR(__xludf.DUMMYFUNCTION("GOOGLETRANSLATE(B17068, ""fr"", ""en"")"),"Totally unusable This bottle warmer is absolutely not heat. Even leaving the bottle a long time - 1/2 hour minimum - the milk is still not warm. Do not talk to heat a small pot, it is ""mission impossible."" I do not understand that Philips can bring to m"&amp;"arket a device that does not work. FYI we did exchange the defective first we thought, but same result with the second.")</f>
        <v>Totally unusable This bottle warmer is absolutely not heat. Even leaving the bottle a long time - 1/2 hour minimum - the milk is still not warm. Do not talk to heat a small pot, it is "mission impossible." I do not understand that Philips can bring to market a device that does not work. FYI we did exchange the defective first we thought, but same result with the second.</v>
      </c>
    </row>
    <row r="17069">
      <c r="A17069" s="1">
        <v>1.0</v>
      </c>
      <c r="B17069" s="1" t="s">
        <v>16783</v>
      </c>
      <c r="C17069" t="str">
        <f>IFERROR(__xludf.DUMMYFUNCTION("GOOGLETRANSLATE(B17069, ""fr"", ""en"")"),"Format to see actually being extra wide these wipes are handkerchiefs and can only be used for small areas or large numbers")</f>
        <v>Format to see actually being extra wide these wipes are handkerchiefs and can only be used for small areas or large numbers</v>
      </c>
    </row>
    <row r="17070">
      <c r="A17070" s="1">
        <v>3.0</v>
      </c>
      <c r="B17070" s="1" t="s">
        <v>16784</v>
      </c>
      <c r="C17070" t="str">
        <f>IFERROR(__xludf.DUMMYFUNCTION("GOOGLETRANSLATE(B17070, ""fr"", ""en"")"),"delicate screen. An easy to use watch, it is still regrettable that the glass of the watch is too fragile to an Outlook template.")</f>
        <v>delicate screen. An easy to use watch, it is still regrettable that the glass of the watch is too fragile to an Outlook template.</v>
      </c>
    </row>
    <row r="17071">
      <c r="A17071" s="1">
        <v>3.0</v>
      </c>
      <c r="B17071" s="1" t="s">
        <v>16785</v>
      </c>
      <c r="C17071" t="str">
        <f>IFERROR(__xludf.DUMMYFUNCTION("GOOGLETRANSLATE(B17071, ""fr"", ""en"")"),"very good but not great, adidas is not what it was when I was young !!! pity! it deserves pleu more quality but good coming from them today")</f>
        <v>very good but not great, adidas is not what it was when I was young !!! pity! it deserves pleu more quality but good coming from them today</v>
      </c>
    </row>
    <row r="17072">
      <c r="A17072" s="1">
        <v>4.0</v>
      </c>
      <c r="B17072" s="1" t="s">
        <v>16786</v>
      </c>
      <c r="C17072" t="str">
        <f>IFERROR(__xludf.DUMMYFUNCTION("GOOGLETRANSLATE(B17072, ""fr"", ""en"")"),"Shoe woman Security basketball A quality product, not trop.lourde, just a little big, but with a gel bonne.semelle c is just perfect")</f>
        <v>Shoe woman Security basketball A quality product, not trop.lourde, just a little big, but with a gel bonne.semelle c is just perfect</v>
      </c>
    </row>
    <row r="17073">
      <c r="A17073" s="1">
        <v>4.0</v>
      </c>
      <c r="B17073" s="1" t="s">
        <v>16787</v>
      </c>
      <c r="C17073" t="str">
        <f>IFERROR(__xludf.DUMMYFUNCTION("GOOGLETRANSLATE(B17073, ""fr"", ""en"")"),"How long does the heat I bought for my mom who always cold feet")</f>
        <v>How long does the heat I bought for my mom who always cold feet</v>
      </c>
    </row>
    <row r="17074">
      <c r="A17074" s="1">
        <v>4.0</v>
      </c>
      <c r="B17074" s="1" t="s">
        <v>16788</v>
      </c>
      <c r="C17074" t="str">
        <f>IFERROR(__xludf.DUMMYFUNCTION("GOOGLETRANSLATE(B17074, ""fr"", ""en"")"),"Beautiful watch It's a nice solid watch in stainless steel with Japanese mechanism. Only one thing, I am not convinced by the closure of the bracelet. If not regret, ready to buy another!")</f>
        <v>Beautiful watch It's a nice solid watch in stainless steel with Japanese mechanism. Only one thing, I am not convinced by the closure of the bracelet. If not regret, ready to buy another!</v>
      </c>
    </row>
    <row r="17075">
      <c r="A17075" s="1">
        <v>4.0</v>
      </c>
      <c r="B17075" s="1" t="s">
        <v>16789</v>
      </c>
      <c r="C17075" t="str">
        <f>IFERROR(__xludf.DUMMYFUNCTION("GOOGLETRANSLATE(B17075, ""fr"", ""en"")"),"Compliance Works perfectly as planned. Solid &amp; amp; reliable.")</f>
        <v>Compliance Works perfectly as planned. Solid &amp; amp; reliable.</v>
      </c>
    </row>
    <row r="17076">
      <c r="A17076" s="1">
        <v>5.0</v>
      </c>
      <c r="B17076" s="1" t="s">
        <v>16790</v>
      </c>
      <c r="C17076" t="str">
        <f>IFERROR(__xludf.DUMMYFUNCTION("GOOGLETRANSLATE(B17076, ""fr"", ""en"")"),"Satisfied simple earphone use, with resistance to very comfortable levels ears. The sound is very good. Their case is compact and quite pretty. This allows the easy storage and put them everywhere.")</f>
        <v>Satisfied simple earphone use, with resistance to very comfortable levels ears. The sound is very good. Their case is compact and quite pretty. This allows the easy storage and put them everywhere.</v>
      </c>
    </row>
    <row r="17077">
      <c r="A17077" s="1">
        <v>5.0</v>
      </c>
      <c r="B17077" s="1" t="s">
        <v>16791</v>
      </c>
      <c r="C17077" t="str">
        <f>IFERROR(__xludf.DUMMYFUNCTION("GOOGLETRANSLATE(B17077, ""fr"", ""en"")"),"A practical and stylish backpack Pleasantly surprised by this backpack that combines aesthetics and practicality. The different pockets are really practical to separate business, the back is well padded and the original form! I do not regret.")</f>
        <v>A practical and stylish backpack Pleasantly surprised by this backpack that combines aesthetics and practicality. The different pockets are really practical to separate business, the back is well padded and the original form! I do not regret.</v>
      </c>
    </row>
    <row r="17078">
      <c r="A17078" s="1">
        <v>5.0</v>
      </c>
      <c r="B17078" s="1" t="s">
        <v>16792</v>
      </c>
      <c r="C17078" t="str">
        <f>IFERROR(__xludf.DUMMYFUNCTION("GOOGLETRANSLATE(B17078, ""fr"", ""en"")"),"Ravi Order received this morning I am very satisfied with the jewelry is just beautiful and my daughter is more than happy.")</f>
        <v>Ravi Order received this morning I am very satisfied with the jewelry is just beautiful and my daughter is more than happy.</v>
      </c>
    </row>
    <row r="17079">
      <c r="A17079" s="1">
        <v>5.0</v>
      </c>
      <c r="B17079" s="1" t="s">
        <v>16793</v>
      </c>
      <c r="C17079" t="str">
        <f>IFERROR(__xludf.DUMMYFUNCTION("GOOGLETRANSLATE(B17079, ""fr"", ""en"")"),"Beautiful and comfortable shoe really comfortable when I do my jogging. I highly recommend it.")</f>
        <v>Beautiful and comfortable shoe really comfortable when I do my jogging. I highly recommend it.</v>
      </c>
    </row>
    <row r="17080">
      <c r="A17080" s="1">
        <v>5.0</v>
      </c>
      <c r="B17080" s="1" t="s">
        <v>969</v>
      </c>
      <c r="C17080" t="str">
        <f>IFERROR(__xludf.DUMMYFUNCTION("GOOGLETRANSLATE(B17080, ""fr"", ""en"")"),"compliant compliant")</f>
        <v>compliant compliant</v>
      </c>
    </row>
    <row r="17081">
      <c r="A17081" s="1">
        <v>5.0</v>
      </c>
      <c r="B17081" s="1" t="s">
        <v>16794</v>
      </c>
      <c r="C17081" t="str">
        <f>IFERROR(__xludf.DUMMYFUNCTION("GOOGLETRANSLATE(B17081, ""fr"", ""en"")"),"Excellent helmet, unbeatable quality for money Do not worry about the high impedance headphones works perfectly without amp (tested on Galaxy S8 + jack hi-fi or TV) with an exceptional record")</f>
        <v>Excellent helmet, unbeatable quality for money Do not worry about the high impedance headphones works perfectly without amp (tested on Galaxy S8 + jack hi-fi or TV) with an exceptional record</v>
      </c>
    </row>
    <row r="17082">
      <c r="A17082" s="1">
        <v>5.0</v>
      </c>
      <c r="B17082" s="1" t="s">
        <v>16795</v>
      </c>
      <c r="C17082" t="str">
        <f>IFERROR(__xludf.DUMMYFUNCTION("GOOGLETRANSLATE(B17082, ""fr"", ""en"")"),"Kettle perfect design corresponds well to Boch products. Matches my expectations. Beautiful design classic and classy effect.")</f>
        <v>Kettle perfect design corresponds well to Boch products. Matches my expectations. Beautiful design classic and classy effect.</v>
      </c>
    </row>
    <row r="17083">
      <c r="A17083" s="1">
        <v>5.0</v>
      </c>
      <c r="B17083" s="1" t="s">
        <v>16796</v>
      </c>
      <c r="C17083" t="str">
        <f>IFERROR(__xludf.DUMMYFUNCTION("GOOGLETRANSLATE(B17083, ""fr"", ""en"")"),"Satisfied Very good product I tested and I would not change my dishes out very own I am very satisfied")</f>
        <v>Satisfied Very good product I tested and I would not change my dishes out very own I am very satisfied</v>
      </c>
    </row>
    <row r="17084">
      <c r="A17084" s="1">
        <v>5.0</v>
      </c>
      <c r="B17084" s="1" t="s">
        <v>16797</v>
      </c>
      <c r="C17084" t="str">
        <f>IFERROR(__xludf.DUMMYFUNCTION("GOOGLETRANSLATE(B17084, ""fr"", ""en"")"),"Perfect fine and keeps you warm, I did not check the tightness")</f>
        <v>Perfect fine and keeps you warm, I did not check the tightness</v>
      </c>
    </row>
    <row r="17085">
      <c r="A17085" s="1">
        <v>5.0</v>
      </c>
      <c r="B17085" s="1" t="s">
        <v>16798</v>
      </c>
      <c r="C17085" t="str">
        <f>IFERROR(__xludf.DUMMYFUNCTION("GOOGLETRANSLATE(B17085, ""fr"", ""en"")"),"superb! Even better than I expected. Gift successful.")</f>
        <v>superb! Even better than I expected. Gift successful.</v>
      </c>
    </row>
    <row r="17086">
      <c r="A17086" s="1">
        <v>5.0</v>
      </c>
      <c r="B17086" s="1" t="s">
        <v>16799</v>
      </c>
      <c r="C17086" t="str">
        <f>IFERROR(__xludf.DUMMYFUNCTION("GOOGLETRANSLATE(B17086, ""fr"", ""en"")"),"Very handy handy when you are outside. I bought 2 in case I go head day. It avoids taking the box that it is cumbersome.")</f>
        <v>Very handy handy when you are outside. I bought 2 in case I go head day. It avoids taking the box that it is cumbersome.</v>
      </c>
    </row>
    <row r="17087">
      <c r="A17087" s="1">
        <v>5.0</v>
      </c>
      <c r="B17087" s="1" t="s">
        <v>16800</v>
      </c>
      <c r="C17087" t="str">
        <f>IFERROR(__xludf.DUMMYFUNCTION("GOOGLETRANSLATE(B17087, ""fr"", ""en"")"),"The original Good quality, which is normal given the brand and price")</f>
        <v>The original Good quality, which is normal given the brand and price</v>
      </c>
    </row>
    <row r="17088">
      <c r="A17088" s="1">
        <v>5.0</v>
      </c>
      <c r="B17088" s="1" t="s">
        <v>16801</v>
      </c>
      <c r="C17088" t="str">
        <f>IFERROR(__xludf.DUMMYFUNCTION("GOOGLETRANSLATE(B17088, ""fr"", ""en"")"),"Audio Connections Product consistent with the description Really glad I buy this product top top top His works fine on my monitor pregnant ... Plug into a drum machine ... Really good think")</f>
        <v>Audio Connections Product consistent with the description Really glad I buy this product top top top His works fine on my monitor pregnant ... Plug into a drum machine ... Really good think</v>
      </c>
    </row>
    <row r="17089">
      <c r="A17089" s="1">
        <v>5.0</v>
      </c>
      <c r="B17089" s="1" t="s">
        <v>16802</v>
      </c>
      <c r="C17089" t="str">
        <f>IFERROR(__xludf.DUMMYFUNCTION("GOOGLETRANSLATE(B17089, ""fr"", ""en"")"),"Super Ring teen")</f>
        <v>Super Ring teen</v>
      </c>
    </row>
    <row r="17090">
      <c r="A17090" s="1">
        <v>5.0</v>
      </c>
      <c r="B17090" s="1" t="s">
        <v>16803</v>
      </c>
      <c r="C17090" t="str">
        <f>IFERROR(__xludf.DUMMYFUNCTION("GOOGLETRANSLATE(B17090, ""fr"", ""en"")"),"Item Item as expected as expected")</f>
        <v>Item Item as expected as expected</v>
      </c>
    </row>
    <row r="17091">
      <c r="A17091" s="1">
        <v>2.0</v>
      </c>
      <c r="B17091" s="1" t="s">
        <v>16804</v>
      </c>
      <c r="C17091" t="str">
        <f>IFERROR(__xludf.DUMMYFUNCTION("GOOGLETRANSLATE(B17091, ""fr"", ""en"")"),"Neutral is neutral! I have carefully read the ratings on various sites and I finally opted for this is the helmet of the many statements qualities. No problem on the headset itself is very comfortable to wear. By cons for listening on different reference "&amp;"pieces (Gun's say strait, adele, BO film) with good sampling (CD, MP3 320 kps ...) I thought I would fall asleep . No bass and no relief, whether using the equalizer in the corner. Ok it takes lapping, but there! such neutrality is crying! So back at amaz"&amp;"on.")</f>
        <v>Neutral is neutral! I have carefully read the ratings on various sites and I finally opted for this is the helmet of the many statements qualities. No problem on the headset itself is very comfortable to wear. By cons for listening on different reference pieces (Gun's say strait, adele, BO film) with good sampling (CD, MP3 320 kps ...) I thought I would fall asleep . No bass and no relief, whether using the equalizer in the corner. Ok it takes lapping, but there! such neutrality is crying! So back at amazon.</v>
      </c>
    </row>
    <row r="17092">
      <c r="A17092" s="1">
        <v>1.0</v>
      </c>
      <c r="B17092" s="1" t="s">
        <v>16805</v>
      </c>
      <c r="C17092" t="str">
        <f>IFERROR(__xludf.DUMMYFUNCTION("GOOGLETRANSLATE(B17092, ""fr"", ""en"")"),"A defective product first use, I noticed that the kettle leaked")</f>
        <v>A defective product first use, I noticed that the kettle leaked</v>
      </c>
    </row>
    <row r="17093">
      <c r="A17093" s="1">
        <v>1.0</v>
      </c>
      <c r="B17093" s="1" t="s">
        <v>16806</v>
      </c>
      <c r="C17093" t="str">
        <f>IFERROR(__xludf.DUMMYFUNCTION("GOOGLETRANSLATE(B17093, ""fr"", ""en"")"),"Pb Referred size as too small, yet I took my size ...")</f>
        <v>Pb Referred size as too small, yet I took my size ...</v>
      </c>
    </row>
    <row r="17094">
      <c r="A17094" s="1">
        <v>3.0</v>
      </c>
      <c r="B17094" s="1" t="s">
        <v>16807</v>
      </c>
      <c r="C17094" t="str">
        <f>IFERROR(__xludf.DUMMYFUNCTION("GOOGLETRANSLATE(B17094, ""fr"", ""en"")"),"Size tiny careful! Not bad for the price, but beware that very small size! The size is equivalent to a good French S, do not be fooled by the word ""oversize"", otherwise top to see after the first wash against .......")</f>
        <v>Size tiny careful! Not bad for the price, but beware that very small size! The size is equivalent to a good French S, do not be fooled by the word "oversize", otherwise top to see after the first wash against .......</v>
      </c>
    </row>
    <row r="17095">
      <c r="A17095" s="1">
        <v>4.0</v>
      </c>
      <c r="B17095" s="1" t="s">
        <v>16808</v>
      </c>
      <c r="C17095" t="str">
        <f>IFERROR(__xludf.DUMMYFUNCTION("GOOGLETRANSLATE(B17095, ""fr"", ""en"")"),"Good but ... I advise tremendously this microphone, it captures well the sounds near and far just buy phantom power 20 € Neewer an external sound card is not enough I try ... You will have a sound horrible background so well but with phantom power.")</f>
        <v>Good but ... I advise tremendously this microphone, it captures well the sounds near and far just buy phantom power 20 € Neewer an external sound card is not enough I try ... You will have a sound horrible background so well but with phantom power.</v>
      </c>
    </row>
    <row r="17096">
      <c r="A17096" s="1">
        <v>4.0</v>
      </c>
      <c r="B17096" s="1" t="s">
        <v>16809</v>
      </c>
      <c r="C17096" t="str">
        <f>IFERROR(__xludf.DUMMYFUNCTION("GOOGLETRANSLATE(B17096, ""fr"", ""en"")"),"Value for money price at the top. Especially for the amount that there is then also made of whether the true lavender. Ideal for lice prevention. Attention dilute well. This is of also stipulated in the manual. For my daughter I diluted in shampoo or in t"&amp;"he nucleus of apricot oil with the comb. The latter if there are lice seen in hair. I recommend")</f>
        <v>Value for money price at the top. Especially for the amount that there is then also made of whether the true lavender. Ideal for lice prevention. Attention dilute well. This is of also stipulated in the manual. For my daughter I diluted in shampoo or in the nucleus of apricot oil with the comb. The latter if there are lice seen in hair. I recommend</v>
      </c>
    </row>
    <row r="17097">
      <c r="A17097" s="1">
        <v>4.0</v>
      </c>
      <c r="B17097" s="1" t="s">
        <v>16810</v>
      </c>
      <c r="C17097" t="str">
        <f>IFERROR(__xludf.DUMMYFUNCTION("GOOGLETRANSLATE(B17097, ""fr"", ""en"")"),"A noise reduction headset bluffing comfortable while remaining discreet, sound is a little ""flat"" with the headphones extinguish. The level of noise reduction is settable via Bose Music application (from 0 to 10) with 3 Recordable favorites. The Bluetoo"&amp;"th connection quality remains despite the few meters separating me from my phone")</f>
        <v>A noise reduction headset bluffing comfortable while remaining discreet, sound is a little "flat" with the headphones extinguish. The level of noise reduction is settable via Bose Music application (from 0 to 10) with 3 Recordable favorites. The Bluetooth connection quality remains despite the few meters separating me from my phone</v>
      </c>
    </row>
    <row r="17098">
      <c r="A17098" s="1">
        <v>4.0</v>
      </c>
      <c r="B17098" s="1" t="s">
        <v>16811</v>
      </c>
      <c r="C17098" t="str">
        <f>IFERROR(__xludf.DUMMYFUNCTION("GOOGLETRANSLATE(B17098, ""fr"", ""en"")"),"Very good Excellent basketball with a unique style but too big (but I know she will). It was just to try!")</f>
        <v>Very good Excellent basketball with a unique style but too big (but I know she will). It was just to try!</v>
      </c>
    </row>
    <row r="17099">
      <c r="A17099" s="1">
        <v>5.0</v>
      </c>
      <c r="B17099" s="1" t="s">
        <v>16812</v>
      </c>
      <c r="C17099" t="str">
        <f>IFERROR(__xludf.DUMMYFUNCTION("GOOGLETRANSLATE(B17099, ""fr"", ""en"")"),"Good design good product I tested the headphones and have adopted. They are simply great practices. Charging is simple, we put the headphones in the box (they are very appropriate) and store. The light indicates the end of the load. Moreover, it is very l"&amp;"ight to carry and comfortable to wear. The result is perfect.")</f>
        <v>Good design good product I tested the headphones and have adopted. They are simply great practices. Charging is simple, we put the headphones in the box (they are very appropriate) and store. The light indicates the end of the load. Moreover, it is very light to carry and comfortable to wear. The result is perfect.</v>
      </c>
    </row>
    <row r="17100">
      <c r="A17100" s="1">
        <v>5.0</v>
      </c>
      <c r="B17100" s="1" t="s">
        <v>16813</v>
      </c>
      <c r="C17100" t="str">
        <f>IFERROR(__xludf.DUMMYFUNCTION("GOOGLETRANSLATE(B17100, ""fr"", ""en"")"),"it work that mass and it's relaxing, it's what I was looking")</f>
        <v>it work that mass and it's relaxing, it's what I was looking</v>
      </c>
    </row>
    <row r="17101">
      <c r="A17101" s="1">
        <v>5.0</v>
      </c>
      <c r="B17101" s="1" t="s">
        <v>16814</v>
      </c>
      <c r="C17101" t="str">
        <f>IFERROR(__xludf.DUMMYFUNCTION("GOOGLETRANSLATE(B17101, ""fr"", ""en"")"),"It's too good It takes all orreil not mean the people spoke")</f>
        <v>It's too good It takes all orreil not mean the people spoke</v>
      </c>
    </row>
    <row r="17102">
      <c r="A17102" s="1">
        <v>5.0</v>
      </c>
      <c r="B17102" s="1" t="s">
        <v>16815</v>
      </c>
      <c r="C17102" t="str">
        <f>IFERROR(__xludf.DUMMYFUNCTION("GOOGLETRANSLATE(B17102, ""fr"", ""en"")"),"Beautiful story and beautiful illustrations Beautiful illustrations and beautiful story! I bought this album for my three year old daughter who adores her.")</f>
        <v>Beautiful story and beautiful illustrations Beautiful illustrations and beautiful story! I bought this album for my three year old daughter who adores her.</v>
      </c>
    </row>
    <row r="17103">
      <c r="A17103" s="1">
        <v>5.0</v>
      </c>
      <c r="B17103" s="1" t="s">
        <v>16816</v>
      </c>
      <c r="C17103" t="str">
        <f>IFERROR(__xludf.DUMMYFUNCTION("GOOGLETRANSLATE(B17103, ""fr"", ""en"")"),"Comfort Walk with the golf shoes on the beach - very comfortable and pleasant to wear")</f>
        <v>Comfort Walk with the golf shoes on the beach - very comfortable and pleasant to wear</v>
      </c>
    </row>
    <row r="17104">
      <c r="A17104" s="1">
        <v>5.0</v>
      </c>
      <c r="B17104" s="1" t="s">
        <v>16817</v>
      </c>
      <c r="C17104" t="str">
        <f>IFERROR(__xludf.DUMMYFUNCTION("GOOGLETRANSLATE(B17104, ""fr"", ""en"")"),"Pretty whole night together but somewhat transparent")</f>
        <v>Pretty whole night together but somewhat transparent</v>
      </c>
    </row>
    <row r="17105">
      <c r="A17105" s="1">
        <v>5.0</v>
      </c>
      <c r="B17105" s="1" t="s">
        <v>16818</v>
      </c>
      <c r="C17105" t="str">
        <f>IFERROR(__xludf.DUMMYFUNCTION("GOOGLETRANSLATE(B17105, ""fr"", ""en"")"),"perfect nothing to say very comfortable")</f>
        <v>perfect nothing to say very comfortable</v>
      </c>
    </row>
    <row r="17106">
      <c r="A17106" s="1">
        <v>5.0</v>
      </c>
      <c r="B17106" s="1" t="s">
        <v>16819</v>
      </c>
      <c r="C17106" t="str">
        <f>IFERROR(__xludf.DUMMYFUNCTION("GOOGLETRANSLATE(B17106, ""fr"", ""en"")"),"Stable tripod I ordered this for my bird um1 because not only did I need a microphone mobile carrier that goes into a backpack but the articulated arms did not inspire me at all. I hesitated to buy this tripod because of comments indicating poor stability"&amp;". Well it is very very stable! I think users failed adjust feet. Just the rule properly and lock their position thanks to the ingenious clamp knob. Believe me, if you need a simple desktop device, mobile and effective, it will be perfect.")</f>
        <v>Stable tripod I ordered this for my bird um1 because not only did I need a microphone mobile carrier that goes into a backpack but the articulated arms did not inspire me at all. I hesitated to buy this tripod because of comments indicating poor stability. Well it is very very stable! I think users failed adjust feet. Just the rule properly and lock their position thanks to the ingenious clamp knob. Believe me, if you need a simple desktop device, mobile and effective, it will be perfect.</v>
      </c>
    </row>
    <row r="17107">
      <c r="A17107" s="1">
        <v>5.0</v>
      </c>
      <c r="B17107" s="1" t="s">
        <v>16820</v>
      </c>
      <c r="C17107" t="str">
        <f>IFERROR(__xludf.DUMMYFUNCTION("GOOGLETRANSLATE(B17107, ""fr"", ""en"")"),"Effective very effective product, makes shine your silver jewelry even a little old. Useful and practical, long lasting")</f>
        <v>Effective very effective product, makes shine your silver jewelry even a little old. Useful and practical, long lasting</v>
      </c>
    </row>
    <row r="17108">
      <c r="A17108" s="1">
        <v>5.0</v>
      </c>
      <c r="B17108" s="1" t="s">
        <v>16821</v>
      </c>
      <c r="C17108" t="str">
        <f>IFERROR(__xludf.DUMMYFUNCTION("GOOGLETRANSLATE(B17108, ""fr"", ""en"")"),"very nice watch I wanted to offer me a nice watch at a reasonable price, here is done !! leather bracelet high quality and robust, the look of the watch is similar to the picture and fully satisfied my expectations all the needles turn instructions French"&amp;" present in its pretty little box I did not know this brand of watch, I recommend to all those spineless afford or offer a nice watch")</f>
        <v>very nice watch I wanted to offer me a nice watch at a reasonable price, here is done !! leather bracelet high quality and robust, the look of the watch is similar to the picture and fully satisfied my expectations all the needles turn instructions French present in its pretty little box I did not know this brand of watch, I recommend to all those spineless afford or offer a nice watch</v>
      </c>
    </row>
    <row r="17109">
      <c r="A17109" s="1">
        <v>5.0</v>
      </c>
      <c r="B17109" s="1" t="s">
        <v>16822</v>
      </c>
      <c r="C17109" t="str">
        <f>IFERROR(__xludf.DUMMYFUNCTION("GOOGLETRANSLATE(B17109, ""fr"", ""en"")"),"Really top quality / price !!! The size very well no problems on that side, I ordered 1 cap above but ultimately I should have taken my usual size! I will have to return to resume in the right size. It really holds very well, he is a very nice chest shape"&amp;"ly and well-rounded. It is a bit difficult to attach and remove back because actually is not ""classic"", but just a little patience. It's really worth as very pleasant. Molded cups semi-rigid that I particularly appreciate. In short this bra sport is a r"&amp;"eal favorite and it's rare because I am very picky. I recommend it 100%")</f>
        <v>Really top quality / price !!! The size very well no problems on that side, I ordered 1 cap above but ultimately I should have taken my usual size! I will have to return to resume in the right size. It really holds very well, he is a very nice chest shapely and well-rounded. It is a bit difficult to attach and remove back because actually is not "classic", but just a little patience. It's really worth as very pleasant. Molded cups semi-rigid that I particularly appreciate. In short this bra sport is a real favorite and it's rare because I am very picky. I recommend it 100%</v>
      </c>
    </row>
    <row r="17110">
      <c r="A17110" s="1">
        <v>5.0</v>
      </c>
      <c r="B17110" s="1" t="s">
        <v>16823</v>
      </c>
      <c r="C17110" t="str">
        <f>IFERROR(__xludf.DUMMYFUNCTION("GOOGLETRANSLATE(B17110, ""fr"", ""en"")"),"Very satisfied !! I just acquire it and my first experiences are very satisfactory, good quality sound, good quality materials, The headset is extremely comfortable even for spectacle wearers (the helmet does not rely at all on the branches) charging take"&amp;"s time. Overall I was very pleased with my new wireless headset, I installed on its carrier Turtle Beach !! He deserves it ;-)")</f>
        <v>Very satisfied !! I just acquire it and my first experiences are very satisfactory, good quality sound, good quality materials, The headset is extremely comfortable even for spectacle wearers (the helmet does not rely at all on the branches) charging takes time. Overall I was very pleased with my new wireless headset, I installed on its carrier Turtle Beach !! He deserves it ;-)</v>
      </c>
    </row>
    <row r="17111">
      <c r="A17111" s="1">
        <v>5.0</v>
      </c>
      <c r="B17111" s="1" t="s">
        <v>16824</v>
      </c>
      <c r="C17111" t="str">
        <f>IFERROR(__xludf.DUMMYFUNCTION("GOOGLETRANSLATE(B17111, ""fr"", ""en"")"),"Good basketball Very good and cheaper than in a store")</f>
        <v>Good basketball Very good and cheaper than in a store</v>
      </c>
    </row>
    <row r="17112">
      <c r="A17112" s="1">
        <v>5.0</v>
      </c>
      <c r="B17112" s="1" t="s">
        <v>16825</v>
      </c>
      <c r="C17112" t="str">
        <f>IFERROR(__xludf.DUMMYFUNCTION("GOOGLETRANSLATE(B17112, ""fr"", ""en"")"),"Find socks to his foot ENCHANTED")</f>
        <v>Find socks to his foot ENCHANTED</v>
      </c>
    </row>
    <row r="17113">
      <c r="A17113" s="1">
        <v>5.0</v>
      </c>
      <c r="B17113" s="1" t="s">
        <v>16826</v>
      </c>
      <c r="C17113" t="str">
        <f>IFERROR(__xludf.DUMMYFUNCTION("GOOGLETRANSLATE(B17113, ""fr"", ""en"")"),"Good teats Very useful or even essential for Blédine")</f>
        <v>Good teats Very useful or even essential for Blédine</v>
      </c>
    </row>
    <row r="17114">
      <c r="A17114" s="1">
        <v>5.0</v>
      </c>
      <c r="B17114" s="1" t="s">
        <v>16827</v>
      </c>
      <c r="C17114" t="str">
        <f>IFERROR(__xludf.DUMMYFUNCTION("GOOGLETRANSLATE(B17114, ""fr"", ""en"")"),"Sizes Europe just perfect comfortable")</f>
        <v>Sizes Europe just perfect comfortable</v>
      </c>
    </row>
    <row r="17115">
      <c r="A17115" s="1">
        <v>2.0</v>
      </c>
      <c r="B17115" s="1" t="s">
        <v>16828</v>
      </c>
      <c r="C17115" t="str">
        <f>IFERROR(__xludf.DUMMYFUNCTION("GOOGLETRANSLATE(B17115, ""fr"", ""en"")"),"poor quality pants already damaged after 3 passes to the machine. The back seam is frayed.")</f>
        <v>poor quality pants already damaged after 3 passes to the machine. The back seam is frayed.</v>
      </c>
    </row>
    <row r="17116">
      <c r="A17116" s="1">
        <v>1.0</v>
      </c>
      <c r="B17116" s="1" t="s">
        <v>16829</v>
      </c>
      <c r="C17116" t="str">
        <f>IFERROR(__xludf.DUMMYFUNCTION("GOOGLETRANSLATE(B17116, ""fr"", ""en"")"),"Very very large bracelets are really big, they do not suit me at all. Suitable for very large wrists but not for the purposes wrists or normal.")</f>
        <v>Very very large bracelets are really big, they do not suit me at all. Suitable for very large wrists but not for the purposes wrists or normal.</v>
      </c>
    </row>
    <row r="17117">
      <c r="A17117" s="1">
        <v>3.0</v>
      </c>
      <c r="B17117" s="1" t="s">
        <v>16830</v>
      </c>
      <c r="C17117" t="str">
        <f>IFERROR(__xludf.DUMMYFUNCTION("GOOGLETRANSLATE(B17117, ""fr"", ""en"")"),"doc martens early use nothing to say. However they are damaged on the outside and on the inside and impossible today spans a little disappointed")</f>
        <v>doc martens early use nothing to say. However they are damaged on the outside and on the inside and impossible today spans a little disappointed</v>
      </c>
    </row>
    <row r="17118">
      <c r="A17118" s="1">
        <v>3.0</v>
      </c>
      <c r="B17118" s="1" t="s">
        <v>16831</v>
      </c>
      <c r="C17118" t="str">
        <f>IFERROR(__xludf.DUMMYFUNCTION("GOOGLETRANSLATE(B17118, ""fr"", ""en"")"),"Beautiful shoes .. but not mixed! A very nice pair of shoes, but not at all adapted to the foot of a man (too thin at the toes, and yet I end the walk). Moreover strawberry tagada chemical smell is not necessarily bad but .. really far from being male (ye"&amp;"s it feels far!). In short I sold to a friend who liked them! Level quality no complaints, very good price / quality ratio. In short, DO NOT AGREE TO A MAN.")</f>
        <v>Beautiful shoes .. but not mixed! A very nice pair of shoes, but not at all adapted to the foot of a man (too thin at the toes, and yet I end the walk). Moreover strawberry tagada chemical smell is not necessarily bad but .. really far from being male (yes it feels far!). In short I sold to a friend who liked them! Level quality no complaints, very good price / quality ratio. In short, DO NOT AGREE TO A MAN.</v>
      </c>
    </row>
    <row r="17119">
      <c r="A17119" s="1">
        <v>4.0</v>
      </c>
      <c r="B17119" s="1" t="s">
        <v>16832</v>
      </c>
      <c r="C17119" t="str">
        <f>IFERROR(__xludf.DUMMYFUNCTION("GOOGLETRANSLATE(B17119, ""fr"", ""en"")"),"simple but pratque Done his job and allows the transport of food at the right temperature of the home to the crib, without breaking the cold chain. We also use it to keep the water cool when we leave for the day. That said, a day is a long time to keep it"&amp;" fresh, but that's common sense! I just could fault the lack of attachment to eventually be able to hang on to a backpack or diaper bag.")</f>
        <v>simple but pratque Done his job and allows the transport of food at the right temperature of the home to the crib, without breaking the cold chain. We also use it to keep the water cool when we leave for the day. That said, a day is a long time to keep it fresh, but that's common sense! I just could fault the lack of attachment to eventually be able to hang on to a backpack or diaper bag.</v>
      </c>
    </row>
    <row r="17120">
      <c r="A17120" s="1">
        <v>4.0</v>
      </c>
      <c r="B17120" s="1" t="s">
        <v>16833</v>
      </c>
      <c r="C17120" t="str">
        <f>IFERROR(__xludf.DUMMYFUNCTION("GOOGLETRANSLATE(B17120, ""fr"", ""en"")"),"Although size a little big but very comfortable Very class to see the light in the wear")</f>
        <v>Although size a little big but very comfortable Very class to see the light in the wear</v>
      </c>
    </row>
    <row r="17121">
      <c r="A17121" s="1">
        <v>4.0</v>
      </c>
      <c r="B17121" s="1" t="s">
        <v>16834</v>
      </c>
      <c r="C17121" t="str">
        <f>IFERROR(__xludf.DUMMYFUNCTION("GOOGLETRANSLATE(B17121, ""fr"", ""en"")"),"Satisfied I liked everything")</f>
        <v>Satisfied I liked everything</v>
      </c>
    </row>
    <row r="17122">
      <c r="A17122" s="1">
        <v>4.0</v>
      </c>
      <c r="B17122" s="1" t="s">
        <v>16835</v>
      </c>
      <c r="C17122" t="str">
        <f>IFERROR(__xludf.DUMMYFUNCTION("GOOGLETRANSLATE(B17122, ""fr"", ""en"")"),"watch or bracelet? This is the fourth show that I buy because its biggest flaw is its bracelet that breaks after a year. Given the price I found it advantageous to buy a watch because it's cheaper than a new bracelet. The watch is discreet, reliable, wear"&amp;"-free battery, and I like the integrated alarm")</f>
        <v>watch or bracelet? This is the fourth show that I buy because its biggest flaw is its bracelet that breaks after a year. Given the price I found it advantageous to buy a watch because it's cheaper than a new bracelet. The watch is discreet, reliable, wear-free battery, and I like the integrated alarm</v>
      </c>
    </row>
    <row r="17123">
      <c r="A17123" s="1">
        <v>5.0</v>
      </c>
      <c r="B17123" s="1" t="s">
        <v>16836</v>
      </c>
      <c r="C17123" t="str">
        <f>IFERROR(__xludf.DUMMYFUNCTION("GOOGLETRANSLATE(B17123, ""fr"", ""en"")"),"Clothing Very good")</f>
        <v>Clothing Very good</v>
      </c>
    </row>
    <row r="17124">
      <c r="A17124" s="1">
        <v>5.0</v>
      </c>
      <c r="B17124" s="1" t="s">
        <v>16837</v>
      </c>
      <c r="C17124" t="str">
        <f>IFERROR(__xludf.DUMMYFUNCTION("GOOGLETRANSLATE(B17124, ""fr"", ""en"")"),"A real relief at joint level Hello, I use this ointment for two weeks and I noticed my joints for a better, less pain and more flexibility.")</f>
        <v>A real relief at joint level Hello, I use this ointment for two weeks and I noticed my joints for a better, less pain and more flexibility.</v>
      </c>
    </row>
    <row r="17125">
      <c r="A17125" s="1">
        <v>5.0</v>
      </c>
      <c r="B17125" s="1" t="s">
        <v>16838</v>
      </c>
      <c r="C17125" t="str">
        <f>IFERROR(__xludf.DUMMYFUNCTION("GOOGLETRANSLATE(B17125, ""fr"", ""en"")"),"I recommend Good Perfect")</f>
        <v>I recommend Good Perfect</v>
      </c>
    </row>
    <row r="17126">
      <c r="A17126" s="1">
        <v>5.0</v>
      </c>
      <c r="B17126" s="1" t="s">
        <v>16839</v>
      </c>
      <c r="C17126" t="str">
        <f>IFERROR(__xludf.DUMMYFUNCTION("GOOGLETRANSLATE(B17126, ""fr"", ""en"")"),"shoes pros! Hello, excellent, perfect impeccable quality. in addition they are comfortable.")</f>
        <v>shoes pros! Hello, excellent, perfect impeccable quality. in addition they are comfortable.</v>
      </c>
    </row>
    <row r="17127">
      <c r="A17127" s="1">
        <v>5.0</v>
      </c>
      <c r="B17127" s="1" t="s">
        <v>16840</v>
      </c>
      <c r="C17127" t="str">
        <f>IFERROR(__xludf.DUMMYFUNCTION("GOOGLETRANSLATE(B17127, ""fr"", ""en"")"),"Super Micro for family fun I bought this mic to play with my daughters, we love to sing on music: super nice look, holds well in hand Besides it is very easy to use, good sound, ideal to do a little karaoke at home")</f>
        <v>Super Micro for family fun I bought this mic to play with my daughters, we love to sing on music: super nice look, holds well in hand Besides it is very easy to use, good sound, ideal to do a little karaoke at home</v>
      </c>
    </row>
    <row r="17128">
      <c r="A17128" s="1">
        <v>5.0</v>
      </c>
      <c r="B17128" s="1" t="s">
        <v>16841</v>
      </c>
      <c r="C17128" t="str">
        <f>IFERROR(__xludf.DUMMYFUNCTION("GOOGLETRANSLATE(B17128, ""fr"", ""en"")"),"Perfect for summer The size chart is very well done. Light dress that will be perfect for birthday party my son a maritime theme, and that I could rely on other occasion. I would add perhaps a wide belt to emphasize even more the size. Fabrics of quality "&amp;"and finishes well done")</f>
        <v>Perfect for summer The size chart is very well done. Light dress that will be perfect for birthday party my son a maritime theme, and that I could rely on other occasion. I would add perhaps a wide belt to emphasize even more the size. Fabrics of quality and finishes well done</v>
      </c>
    </row>
    <row r="17129">
      <c r="A17129" s="1">
        <v>5.0</v>
      </c>
      <c r="B17129" s="1" t="s">
        <v>16842</v>
      </c>
      <c r="C17129" t="str">
        <f>IFERROR(__xludf.DUMMYFUNCTION("GOOGLETRANSLATE(B17129, ""fr"", ""en"")"),"Jogging For optimal support no further! Super bra! I run three times a week and frankly it gives wings !! Absolute comfort!")</f>
        <v>Jogging For optimal support no further! Super bra! I run three times a week and frankly it gives wings !! Absolute comfort!</v>
      </c>
    </row>
    <row r="17130">
      <c r="A17130" s="1">
        <v>5.0</v>
      </c>
      <c r="B17130" s="1" t="s">
        <v>16843</v>
      </c>
      <c r="C17130" t="str">
        <f>IFERROR(__xludf.DUMMYFUNCTION("GOOGLETRANSLATE(B17130, ""fr"", ""en"")"),"Very good quality very professional I use. Takes not care and hold out")</f>
        <v>Very good quality very professional I use. Takes not care and hold out</v>
      </c>
    </row>
    <row r="17131">
      <c r="A17131" s="1">
        <v>5.0</v>
      </c>
      <c r="B17131" s="1" t="s">
        <v>16844</v>
      </c>
      <c r="C17131" t="str">
        <f>IFERROR(__xludf.DUMMYFUNCTION("GOOGLETRANSLATE(B17131, ""fr"", ""en"")"),"Product Delivery expected more than fast, good quality Especially not counterfeit, that was my fear. Size just yet, my son is 1.85m, but is thin enough big bust big arms, I have almost had to take a size L. It is a half-season jacket, or else take a size "&amp;"up to put a sweater underneath.")</f>
        <v>Product Delivery expected more than fast, good quality Especially not counterfeit, that was my fear. Size just yet, my son is 1.85m, but is thin enough big bust big arms, I have almost had to take a size L. It is a half-season jacket, or else take a size up to put a sweater underneath.</v>
      </c>
    </row>
    <row r="17132">
      <c r="A17132" s="1">
        <v>5.0</v>
      </c>
      <c r="B17132" s="1" t="s">
        <v>16845</v>
      </c>
      <c r="C17132" t="str">
        <f>IFERROR(__xludf.DUMMYFUNCTION("GOOGLETRANSLATE(B17132, ""fr"", ""en"")"),"Belle invention !!! Excellent. My baby has tasted much fruit thanks to the nipple.")</f>
        <v>Belle invention !!! Excellent. My baby has tasted much fruit thanks to the nipple.</v>
      </c>
    </row>
    <row r="17133">
      <c r="A17133" s="1">
        <v>5.0</v>
      </c>
      <c r="B17133" s="1" t="s">
        <v>16846</v>
      </c>
      <c r="C17133" t="str">
        <f>IFERROR(__xludf.DUMMYFUNCTION("GOOGLETRANSLATE(B17133, ""fr"", ""en"")"),"use the right product fit, comfortable and quiet on the floor; Attention to the beginning of the use, the felt of the sole may be slippery. A matter of days.")</f>
        <v>use the right product fit, comfortable and quiet on the floor; Attention to the beginning of the use, the felt of the sole may be slippery. A matter of days.</v>
      </c>
    </row>
    <row r="17134">
      <c r="A17134" s="1">
        <v>5.0</v>
      </c>
      <c r="B17134" s="1" t="s">
        <v>16847</v>
      </c>
      <c r="C17134" t="str">
        <f>IFERROR(__xludf.DUMMYFUNCTION("GOOGLETRANSLATE(B17134, ""fr"", ""en"")"),"beautiful line, beautiful colors, beautiful finishes buy it for my son, dress shoes")</f>
        <v>beautiful line, beautiful colors, beautiful finishes buy it for my son, dress shoes</v>
      </c>
    </row>
    <row r="17135">
      <c r="A17135" s="1">
        <v>5.0</v>
      </c>
      <c r="B17135" s="1" t="s">
        <v>16848</v>
      </c>
      <c r="C17135" t="str">
        <f>IFERROR(__xludf.DUMMYFUNCTION("GOOGLETRANSLATE(B17135, ""fr"", ""en"")"),"Bag A useful everyday bag")</f>
        <v>Bag A useful everyday bag</v>
      </c>
    </row>
    <row r="17136">
      <c r="A17136" s="1">
        <v>5.0</v>
      </c>
      <c r="B17136" s="1" t="s">
        <v>16849</v>
      </c>
      <c r="C17136" t="str">
        <f>IFERROR(__xludf.DUMMYFUNCTION("GOOGLETRANSLATE(B17136, ""fr"", ""en"")"),"Works with USB Good chronograph. But I struggled to make it work via the audio jack of my smartphone. Fortunately he communicates very well via the USB port with an adapter ""on the go"" connected to my phone on the charging plug or PC connection. No prob"&amp;"lem on the return of shot values. The Caldwell application is available on Google Play and allows recovery sessions via email with an Excel format. It must be equipped with a USB cable at least 3 mêtres and adapter On The Go and all is well.")</f>
        <v>Works with USB Good chronograph. But I struggled to make it work via the audio jack of my smartphone. Fortunately he communicates very well via the USB port with an adapter "on the go" connected to my phone on the charging plug or PC connection. No problem on the return of shot values. The Caldwell application is available on Google Play and allows recovery sessions via email with an Excel format. It must be equipped with a USB cable at least 3 mêtres and adapter On The Go and all is well.</v>
      </c>
    </row>
    <row r="17137">
      <c r="A17137" s="1">
        <v>5.0</v>
      </c>
      <c r="B17137" s="1" t="s">
        <v>16850</v>
      </c>
      <c r="C17137" t="str">
        <f>IFERROR(__xludf.DUMMYFUNCTION("GOOGLETRANSLATE(B17137, ""fr"", ""en"")"),"WITHOUT REGRET ~~~ `` `` $%! ""I am absolutely blown away by the quality of the karaoke kit. It arrived quickly and is professional quality! The sound quality is great and the rules are easy to make. I love it so much I do not know what to say to . the ot"&amp;"her can connect to multiple things (TV, computer etc.) can connect one or more micro I was really pleased and I recommend $ &amp; amp;.! &amp; amp; #")</f>
        <v>WITHOUT REGRET ~~~ `` `` $%! "I am absolutely blown away by the quality of the karaoke kit. It arrived quickly and is professional quality! The sound quality is great and the rules are easy to make. I love it so much I do not know what to say to . the other can connect to multiple things (TV, computer etc.) can connect one or more micro I was really pleased and I recommend $ &amp; amp;.! &amp; amp; #</v>
      </c>
    </row>
    <row r="17138">
      <c r="A17138" s="1">
        <v>2.0</v>
      </c>
      <c r="B17138" s="1" t="s">
        <v>16851</v>
      </c>
      <c r="C17138" t="str">
        <f>IFERROR(__xludf.DUMMYFUNCTION("GOOGLETRANSLATE(B17138, ""fr"", ""en"")"),"Electric blanket fine but failed housing Very disappointed in the quality of housing. Indeed the quilt itself is fine, however, after a month of buying the box to select temperature is already dead ... disappointing at the price of coverage.")</f>
        <v>Electric blanket fine but failed housing Very disappointed in the quality of housing. Indeed the quilt itself is fine, however, after a month of buying the box to select temperature is already dead ... disappointing at the price of coverage.</v>
      </c>
    </row>
    <row r="17139">
      <c r="A17139" s="1">
        <v>1.0</v>
      </c>
      <c r="B17139" s="1" t="s">
        <v>16852</v>
      </c>
      <c r="C17139" t="str">
        <f>IFERROR(__xludf.DUMMYFUNCTION("GOOGLETRANSLATE(B17139, ""fr"", ""en"")"),"A disaster! A disaster, a real bag! Huge and no cutting, no holding. But where is the real fruit of the loom")</f>
        <v>A disaster! A disaster, a real bag! Huge and no cutting, no holding. But where is the real fruit of the loom</v>
      </c>
    </row>
    <row r="17140">
      <c r="A17140" s="1">
        <v>1.0</v>
      </c>
      <c r="B17140" s="1" t="s">
        <v>16853</v>
      </c>
      <c r="C17140" t="str">
        <f>IFERROR(__xludf.DUMMYFUNCTION("GOOGLETRANSLATE(B17140, ""fr"", ""en"")"),"No Dummies")</f>
        <v>No Dummies</v>
      </c>
    </row>
    <row r="17141">
      <c r="A17141" s="1">
        <v>3.0</v>
      </c>
      <c r="B17141" s="1" t="s">
        <v>16854</v>
      </c>
      <c r="C17141" t="str">
        <f>IFERROR(__xludf.DUMMYFUNCTION("GOOGLETRANSLATE(B17141, ""fr"", ""en"")"),"Good product Very nice but all three are formed relatively quickly between the fabric and the elastic bottom, small enough size for the top from the bottom.")</f>
        <v>Good product Very nice but all three are formed relatively quickly between the fabric and the elastic bottom, small enough size for the top from the bottom.</v>
      </c>
    </row>
    <row r="17142">
      <c r="A17142" s="1">
        <v>3.0</v>
      </c>
      <c r="B17142" s="1" t="s">
        <v>16855</v>
      </c>
      <c r="C17142" t="str">
        <f>IFERROR(__xludf.DUMMYFUNCTION("GOOGLETRANSLATE(B17142, ""fr"", ""en"")"),"HS fine but after three months :-( Kettle beautiful and practical with its programmer. But I do not know if it's the fault of bad luck, but after 3 months she is HS. Customer Service Amazon still has the nickel refunded.")</f>
        <v>HS fine but after three months :-( Kettle beautiful and practical with its programmer. But I do not know if it's the fault of bad luck, but after 3 months she is HS. Customer Service Amazon still has the nickel refunded.</v>
      </c>
    </row>
    <row r="17143">
      <c r="A17143" s="1">
        <v>4.0</v>
      </c>
      <c r="B17143" s="1" t="s">
        <v>16856</v>
      </c>
      <c r="C17143" t="str">
        <f>IFERROR(__xludf.DUMMYFUNCTION("GOOGLETRANSLATE(B17143, ""fr"", ""en"")"),"Although Fast delivery. In fact it's a roll and is cut according to its needs. The small cord on the side is very convenient. No leakage everything stays closed")</f>
        <v>Although Fast delivery. In fact it's a roll and is cut according to its needs. The small cord on the side is very convenient. No leakage everything stays closed</v>
      </c>
    </row>
    <row r="17144">
      <c r="A17144" s="1">
        <v>4.0</v>
      </c>
      <c r="B17144" s="1" t="s">
        <v>16857</v>
      </c>
      <c r="C17144" t="str">
        <f>IFERROR(__xludf.DUMMYFUNCTION("GOOGLETRANSLATE(B17144, ""fr"", ""en"")"),"very beautiful very good quality content")</f>
        <v>very beautiful very good quality content</v>
      </c>
    </row>
    <row r="17145">
      <c r="A17145" s="1">
        <v>4.0</v>
      </c>
      <c r="B17145" s="1" t="s">
        <v>16858</v>
      </c>
      <c r="C17145" t="str">
        <f>IFERROR(__xludf.DUMMYFUNCTION("GOOGLETRANSLATE(B17145, ""fr"", ""en"")"),"dificult !!! Yes! we do not know how to the (open May !!! it's perfect, she's fine and pretty tes that's what I expected")</f>
        <v>dificult !!! Yes! we do not know how to the (open May !!! it's perfect, she's fine and pretty tes that's what I expected</v>
      </c>
    </row>
    <row r="17146">
      <c r="A17146" s="1">
        <v>4.0</v>
      </c>
      <c r="B17146" s="1" t="s">
        <v>16859</v>
      </c>
      <c r="C17146" t="str">
        <f>IFERROR(__xludf.DUMMYFUNCTION("GOOGLETRANSLATE(B17146, ""fr"", ""en"")"),"Galaxy Ajourée I hesitated between buy real Pandora charms for my bracelet, or copies much more affordable ... A friend has real charm Pandora, so we could see the differences - the charm ""Changeable"" more dark (pulls on the dark gray). Its color contra"&amp;"sts with my bracelet almost new (light gray). - the rhinestones are bigger: the coup hooks to hold are smaller = less money - the ""hole"" of Pandora charm is narrower and narrower (more material). - Pandora is ""silver"" while Changeable is ""sterling si"&amp;"lver"". Is this the same thing? Visually it does not look At the diameter is the same. I have attached two pictures to illustrate my point. I specify that the Pandora photo 2 years and Changeable is new. In the end, the price difference is still interesti"&amp;"ng (17 euros against 49 euros). Comes with a small plastic box transparent cover + cardboard to assemble tape + + velvet pouch. No guarantee certificate. To see in the time it ages well and keep the rhinestones.")</f>
        <v>Galaxy Ajourée I hesitated between buy real Pandora charms for my bracelet, or copies much more affordable ... A friend has real charm Pandora, so we could see the differences - the charm "Changeable" more dark (pulls on the dark gray). Its color contrasts with my bracelet almost new (light gray). - the rhinestones are bigger: the coup hooks to hold are smaller = less money - the "hole" of Pandora charm is narrower and narrower (more material). - Pandora is "silver" while Changeable is "sterling silver". Is this the same thing? Visually it does not look At the diameter is the same. I have attached two pictures to illustrate my point. I specify that the Pandora photo 2 years and Changeable is new. In the end, the price difference is still interesting (17 euros against 49 euros). Comes with a small plastic box transparent cover + cardboard to assemble tape + + velvet pouch. No guarantee certificate. To see in the time it ages well and keep the rhinestones.</v>
      </c>
    </row>
    <row r="17147">
      <c r="A17147" s="1">
        <v>5.0</v>
      </c>
      <c r="B17147" s="1" t="s">
        <v>16860</v>
      </c>
      <c r="C17147" t="str">
        <f>IFERROR(__xludf.DUMMYFUNCTION("GOOGLETRANSLATE(B17147, ""fr"", ""en"")"),"Good article hot Boots and comfortable non-slip sole. lovely blue color with small really elegant black fur Take the size bigger value for money")</f>
        <v>Good article hot Boots and comfortable non-slip sole. lovely blue color with small really elegant black fur Take the size bigger value for money</v>
      </c>
    </row>
    <row r="17148">
      <c r="A17148" s="1">
        <v>5.0</v>
      </c>
      <c r="B17148" s="1" t="s">
        <v>16861</v>
      </c>
      <c r="C17148" t="str">
        <f>IFERROR(__xludf.DUMMYFUNCTION("GOOGLETRANSLATE(B17148, ""fr"", ""en"")"),"very well nothing to say very well, nothing to say, go there with confidence to purchase this item, perfect for Isticks eleaf pico, big or small, good stability over time, 3 weeks of tranquility, before changing resistance")</f>
        <v>very well nothing to say very well, nothing to say, go there with confidence to purchase this item, perfect for Isticks eleaf pico, big or small, good stability over time, 3 weeks of tranquility, before changing resistance</v>
      </c>
    </row>
    <row r="17149">
      <c r="A17149" s="1">
        <v>5.0</v>
      </c>
      <c r="B17149" s="1" t="s">
        <v>16862</v>
      </c>
      <c r="C17149" t="str">
        <f>IFERROR(__xludf.DUMMYFUNCTION("GOOGLETRANSLATE(B17149, ""fr"", ""en"")"),"Great product Meets the description and nickel size.")</f>
        <v>Great product Meets the description and nickel size.</v>
      </c>
    </row>
    <row r="17150">
      <c r="A17150" s="1">
        <v>5.0</v>
      </c>
      <c r="B17150" s="1" t="s">
        <v>16863</v>
      </c>
      <c r="C17150" t="str">
        <f>IFERROR(__xludf.DUMMYFUNCTION("GOOGLETRANSLATE(B17150, ""fr"", ""en"")"),"Produced top quality products that works great headsets are slightly magnetized to the box like this one is sure that they are well positioned for loading, you see right away with the lights if charged my husband loved it so much that I already stung :) t"&amp;"here are also two ways of loading which is just great. Thank you")</f>
        <v>Produced top quality products that works great headsets are slightly magnetized to the box like this one is sure that they are well positioned for loading, you see right away with the lights if charged my husband loved it so much that I already stung :) there are also two ways of loading which is just great. Thank you</v>
      </c>
    </row>
    <row r="17151">
      <c r="A17151" s="1">
        <v>5.0</v>
      </c>
      <c r="B17151" s="1" t="s">
        <v>16864</v>
      </c>
      <c r="C17151" t="str">
        <f>IFERROR(__xludf.DUMMYFUNCTION("GOOGLETRANSLATE(B17151, ""fr"", ""en"")"),"Delighted with my purchase quality, quality. This will do a happy")</f>
        <v>Delighted with my purchase quality, quality. This will do a happy</v>
      </c>
    </row>
    <row r="17152">
      <c r="A17152" s="1">
        <v>5.0</v>
      </c>
      <c r="B17152" s="1" t="s">
        <v>16865</v>
      </c>
      <c r="C17152" t="str">
        <f>IFERROR(__xludf.DUMMYFUNCTION("GOOGLETRANSLATE(B17152, ""fr"", ""en"")"),"Perfect ! Bought as a birthday gift from a close, she is very satisfied. Pros: Good quality. Collier provided. Product identical to the visual. The -: No. Conclusion: Buy it if you wish to make a small gesture, the product will suit any relationship (fami"&amp;"ly, friendly although it may seem suspicious, or love).")</f>
        <v>Perfect ! Bought as a birthday gift from a close, she is very satisfied. Pros: Good quality. Collier provided. Product identical to the visual. The -: No. Conclusion: Buy it if you wish to make a small gesture, the product will suit any relationship (family, friendly although it may seem suspicious, or love).</v>
      </c>
    </row>
    <row r="17153">
      <c r="A17153" s="1">
        <v>5.0</v>
      </c>
      <c r="B17153" s="1" t="s">
        <v>16866</v>
      </c>
      <c r="C17153" t="str">
        <f>IFERROR(__xludf.DUMMYFUNCTION("GOOGLETRANSLATE(B17153, ""fr"", ""en"")"),"rvlf shows great functional state impecable")</f>
        <v>rvlf shows great functional state impecable</v>
      </c>
    </row>
    <row r="17154">
      <c r="A17154" s="1">
        <v>5.0</v>
      </c>
      <c r="B17154" s="1" t="s">
        <v>16867</v>
      </c>
      <c r="C17154" t="str">
        <f>IFERROR(__xludf.DUMMYFUNCTION("GOOGLETRANSLATE(B17154, ""fr"", ""en"")"),"Beautiful top sports for Fall A sports tee with a very nice look! This top is thin, slim, tight neck (but not turtleneck). It is suitable for fall or winter, .: I think because it's hot too so I can put it right now! The top is very close to the body, but"&amp;" long enough. Able to put 36 the 38 suits me perfectly, so you see if he does not choose a size bigger.")</f>
        <v>Beautiful top sports for Fall A sports tee with a very nice look! This top is thin, slim, tight neck (but not turtleneck). It is suitable for fall or winter, .: I think because it's hot too so I can put it right now! The top is very close to the body, but long enough. Able to put 36 the 38 suits me perfectly, so you see if he does not choose a size bigger.</v>
      </c>
    </row>
    <row r="17155">
      <c r="A17155" s="1">
        <v>5.0</v>
      </c>
      <c r="B17155" s="1" t="s">
        <v>16868</v>
      </c>
      <c r="C17155" t="str">
        <f>IFERROR(__xludf.DUMMYFUNCTION("GOOGLETRANSLATE(B17155, ""fr"", ""en"")"),"Pretty nice and comfortable shoes Delivery time")</f>
        <v>Pretty nice and comfortable shoes Delivery time</v>
      </c>
    </row>
    <row r="17156">
      <c r="A17156" s="1">
        <v>5.0</v>
      </c>
      <c r="B17156" s="1" t="s">
        <v>16869</v>
      </c>
      <c r="C17156" t="str">
        <f>IFERROR(__xludf.DUMMYFUNCTION("GOOGLETRANSLATE(B17156, ""fr"", ""en"")"),"Recommend absolutely Grille quickly and well, rather nice and well finished despite its low weight (plastic). Replaces a brand toaster paid 3 times as much and asking 5 minutes to toast 4 slices")</f>
        <v>Recommend absolutely Grille quickly and well, rather nice and well finished despite its low weight (plastic). Replaces a brand toaster paid 3 times as much and asking 5 minutes to toast 4 slices</v>
      </c>
    </row>
    <row r="17157">
      <c r="A17157" s="1">
        <v>5.0</v>
      </c>
      <c r="B17157" s="1" t="s">
        <v>16870</v>
      </c>
      <c r="C17157" t="str">
        <f>IFERROR(__xludf.DUMMYFUNCTION("GOOGLETRANSLATE(B17157, ""fr"", ""en"")"),"Essential oils Corresponds entirely to the description, smell good and good value.")</f>
        <v>Essential oils Corresponds entirely to the description, smell good and good value.</v>
      </c>
    </row>
    <row r="17158">
      <c r="A17158" s="1">
        <v>5.0</v>
      </c>
      <c r="B17158" s="1" t="s">
        <v>16871</v>
      </c>
      <c r="C17158" t="str">
        <f>IFERROR(__xludf.DUMMYFUNCTION("GOOGLETRANSLATE(B17158, ""fr"", ""en"")"),"Very well! Very good quality of teats!")</f>
        <v>Very well! Very good quality of teats!</v>
      </c>
    </row>
    <row r="17159">
      <c r="A17159" s="1">
        <v>5.0</v>
      </c>
      <c r="B17159" s="1" t="s">
        <v>16872</v>
      </c>
      <c r="C17159" t="str">
        <f>IFERROR(__xludf.DUMMYFUNCTION("GOOGLETRANSLATE(B17159, ""fr"", ""en"")"),"Kdo Kdo idea for a birthday that appealed")</f>
        <v>Kdo Kdo idea for a birthday that appealed</v>
      </c>
    </row>
    <row r="17160">
      <c r="A17160" s="1">
        <v>5.0</v>
      </c>
      <c r="B17160" s="1" t="s">
        <v>16873</v>
      </c>
      <c r="C17160" t="str">
        <f>IFERROR(__xludf.DUMMYFUNCTION("GOOGLETRANSLATE(B17160, ""fr"", ""en"")"),"Excellent! For a very reasonable price, I received this cell mounted on its support, even need to use the ancien.J'ai been re listening to my old records (more than 40 years ...). I found him a very good definition and I was surprised to have to listen so"&amp;" few crunches, or not at all depending on the state of the disc, and excellent dynamics. I recommend !")</f>
        <v>Excellent! For a very reasonable price, I received this cell mounted on its support, even need to use the ancien.J'ai been re listening to my old records (more than 40 years ...). I found him a very good definition and I was surprised to have to listen so few crunches, or not at all depending on the state of the disc, and excellent dynamics. I recommend !</v>
      </c>
    </row>
    <row r="17161">
      <c r="A17161" s="1">
        <v>5.0</v>
      </c>
      <c r="B17161" s="1" t="s">
        <v>16874</v>
      </c>
      <c r="C17161" t="str">
        <f>IFERROR(__xludf.DUMMYFUNCTION("GOOGLETRANSLATE(B17161, ""fr"", ""en"")"),"very nice I am delighted with my ring it's just as I imagined beautiful volume to the tune has her finger is a plus.")</f>
        <v>very nice I am delighted with my ring it's just as I imagined beautiful volume to the tune has her finger is a plus.</v>
      </c>
    </row>
    <row r="17162">
      <c r="A17162" s="1">
        <v>2.0</v>
      </c>
      <c r="B17162" s="1" t="s">
        <v>16875</v>
      </c>
      <c r="C17162" t="str">
        <f>IFERROR(__xludf.DUMMYFUNCTION("GOOGLETRANSLATE(B17162, ""fr"", ""en"")"),"If too fragile breaks very quickly is a pity")</f>
        <v>If too fragile breaks very quickly is a pity</v>
      </c>
    </row>
    <row r="17163">
      <c r="A17163" s="1">
        <v>1.0</v>
      </c>
      <c r="B17163" s="1" t="s">
        <v>16876</v>
      </c>
      <c r="C17163" t="str">
        <f>IFERROR(__xludf.DUMMYFUNCTION("GOOGLETRANSLATE(B17163, ""fr"", ""en"")"),"Not compatible Bose Soundlike 3 The charger is not compatible so unfortunately it does not work for this Bose. I do not recommend")</f>
        <v>Not compatible Bose Soundlike 3 The charger is not compatible so unfortunately it does not work for this Bose. I do not recommend</v>
      </c>
    </row>
    <row r="17164">
      <c r="A17164" s="1">
        <v>1.0</v>
      </c>
      <c r="B17164" s="1" t="s">
        <v>16877</v>
      </c>
      <c r="C17164" t="str">
        <f>IFERROR(__xludf.DUMMYFUNCTION("GOOGLETRANSLATE(B17164, ""fr"", ""en"")"),"No Does not stick")</f>
        <v>No Does not stick</v>
      </c>
    </row>
    <row r="17165">
      <c r="A17165" s="1">
        <v>3.0</v>
      </c>
      <c r="B17165" s="1" t="s">
        <v>16878</v>
      </c>
      <c r="C17165" t="str">
        <f>IFERROR(__xludf.DUMMYFUNCTION("GOOGLETRANSLATE(B17165, ""fr"", ""en"")"),"Not useful, I can not used ..")</f>
        <v>Not useful, I can not used ..</v>
      </c>
    </row>
    <row r="17166">
      <c r="A17166" s="1">
        <v>4.0</v>
      </c>
      <c r="B17166" s="1" t="s">
        <v>16879</v>
      </c>
      <c r="C17166" t="str">
        <f>IFERROR(__xludf.DUMMYFUNCTION("GOOGLETRANSLATE(B17166, ""fr"", ""en"")"),"frankly good product for the price, so do not deny it. Comfortable light, proper noise heater. To see in time. I recommend")</f>
        <v>frankly good product for the price, so do not deny it. Comfortable light, proper noise heater. To see in time. I recommend</v>
      </c>
    </row>
    <row r="17167">
      <c r="A17167" s="1">
        <v>4.0</v>
      </c>
      <c r="B17167" s="1" t="s">
        <v>16880</v>
      </c>
      <c r="C17167" t="str">
        <f>IFERROR(__xludf.DUMMYFUNCTION("GOOGLETRANSLATE(B17167, ""fr"", ""en"")"),"Light and elegant Very light and elegant, easy to use and to adjust the time and alarms. The time setting does not-have a year, so I guess That monthly check of the time is needed.")</f>
        <v>Light and elegant Very light and elegant, easy to use and to adjust the time and alarms. The time setting does not-have a year, so I guess That monthly check of the time is needed.</v>
      </c>
    </row>
    <row r="17168">
      <c r="A17168" s="1">
        <v>4.0</v>
      </c>
      <c r="B17168" s="1" t="s">
        <v>16881</v>
      </c>
      <c r="C17168" t="str">
        <f>IFERROR(__xludf.DUMMYFUNCTION("GOOGLETRANSLATE(B17168, ""fr"", ""en"")"),"solid size small but I now wearing for months without worry. There are hot and the soles are thick. By planning against one size larger, they run small")</f>
        <v>solid size small but I now wearing for months without worry. There are hot and the soles are thick. By planning against one size larger, they run small</v>
      </c>
    </row>
    <row r="17169">
      <c r="A17169" s="1">
        <v>4.0</v>
      </c>
      <c r="B17169" s="1" t="s">
        <v>16882</v>
      </c>
      <c r="C17169" t="str">
        <f>IFERROR(__xludf.DUMMYFUNCTION("GOOGLETRANSLATE(B17169, ""fr"", ""en"")"),"nice, durable brushes are comfortable to hold, the hair hold the handle is not detached after several hours in water")</f>
        <v>nice, durable brushes are comfortable to hold, the hair hold the handle is not detached after several hours in water</v>
      </c>
    </row>
    <row r="17170">
      <c r="A17170" s="1">
        <v>5.0</v>
      </c>
      <c r="B17170" s="1" t="s">
        <v>1163</v>
      </c>
      <c r="C17170" t="str">
        <f>IFERROR(__xludf.DUMMYFUNCTION("GOOGLETRANSLATE(B17170, ""fr"", ""en"")"),"excelente excelente")</f>
        <v>excelente excelente</v>
      </c>
    </row>
    <row r="17171">
      <c r="A17171" s="1">
        <v>5.0</v>
      </c>
      <c r="B17171" s="1" t="s">
        <v>16883</v>
      </c>
      <c r="C17171" t="str">
        <f>IFERROR(__xludf.DUMMYFUNCTION("GOOGLETRANSLATE(B17171, ""fr"", ""en"")"),"Good product Helmet")</f>
        <v>Good product Helmet</v>
      </c>
    </row>
    <row r="17172">
      <c r="A17172" s="1">
        <v>5.0</v>
      </c>
      <c r="B17172" s="1" t="s">
        <v>16884</v>
      </c>
      <c r="C17172" t="str">
        <f>IFERROR(__xludf.DUMMYFUNCTION("GOOGLETRANSLATE(B17172, ""fr"", ""en"")"),"R A S VERY GOOD PRODUCT, NICE, functional, nice article !!! I RECOMMEND !!")</f>
        <v>R A S VERY GOOD PRODUCT, NICE, functional, nice article !!! I RECOMMEND !!</v>
      </c>
    </row>
    <row r="17173">
      <c r="A17173" s="1">
        <v>5.0</v>
      </c>
      <c r="B17173" s="1" t="s">
        <v>16885</v>
      </c>
      <c r="C17173" t="str">
        <f>IFERROR(__xludf.DUMMYFUNCTION("GOOGLETRANSLATE(B17173, ""fr"", ""en"")"),"At the top Finally a clasp that will not slip! And very nice shine !! I recommend !")</f>
        <v>At the top Finally a clasp that will not slip! And very nice shine !! I recommend !</v>
      </c>
    </row>
    <row r="17174">
      <c r="A17174" s="1">
        <v>5.0</v>
      </c>
      <c r="B17174" s="1" t="s">
        <v>16886</v>
      </c>
      <c r="C17174" t="str">
        <f>IFERROR(__xludf.DUMMYFUNCTION("GOOGLETRANSLATE(B17174, ""fr"", ""en"")"),"Answer streamlined design in every respect to what can be expected of a pair of wireless headphones :)")</f>
        <v>Answer streamlined design in every respect to what can be expected of a pair of wireless headphones :)</v>
      </c>
    </row>
    <row r="17175">
      <c r="A17175" s="1">
        <v>5.0</v>
      </c>
      <c r="B17175" s="1" t="s">
        <v>16887</v>
      </c>
      <c r="C17175" t="str">
        <f>IFERROR(__xludf.DUMMYFUNCTION("GOOGLETRANSLATE(B17175, ""fr"", ""en"")"),"zero waste to make my reusable food packaging, it's great, easy and convenient")</f>
        <v>zero waste to make my reusable food packaging, it's great, easy and convenient</v>
      </c>
    </row>
    <row r="17176">
      <c r="A17176" s="1">
        <v>5.0</v>
      </c>
      <c r="B17176" s="1" t="s">
        <v>16888</v>
      </c>
      <c r="C17176" t="str">
        <f>IFERROR(__xludf.DUMMYFUNCTION("GOOGLETRANSLATE(B17176, ""fr"", ""en"")"),"trash bags absolutely satisfied! I'll have to ensure you do not run. They fit entirely made in the garbage of the same brand ""Simplehuman"" they do not slip, are sealed.")</f>
        <v>trash bags absolutely satisfied! I'll have to ensure you do not run. They fit entirely made in the garbage of the same brand "Simplehuman" they do not slip, are sealed.</v>
      </c>
    </row>
    <row r="17177">
      <c r="A17177" s="1">
        <v>5.0</v>
      </c>
      <c r="B17177" s="1" t="s">
        <v>16889</v>
      </c>
      <c r="C17177" t="str">
        <f>IFERROR(__xludf.DUMMYFUNCTION("GOOGLETRANSLATE(B17177, ""fr"", ""en"")"),"Much better than I had given up fivefingers minimalist shoes for the trail after having a huge hematoma under the arch has caise of fivefingers. Yet this type of footwear was recommended by my podiatrist sports. These shoes are a huge surprise. 1 / they c"&amp;"ost 1/3 of a pair of five fingers 2 / it is in as in slippers, with or without socks (A toes or normal) and no 3 / bulbs every few ""walks"" walking, I could not run with out having to suffer the pebbles on the path trail So, I bought a second pair. I too"&amp;"k my usual size and it fits perfectly. Really, I highly recommend")</f>
        <v>Much better than I had given up fivefingers minimalist shoes for the trail after having a huge hematoma under the arch has caise of fivefingers. Yet this type of footwear was recommended by my podiatrist sports. These shoes are a huge surprise. 1 / they cost 1/3 of a pair of five fingers 2 / it is in as in slippers, with or without socks (A toes or normal) and no 3 / bulbs every few "walks" walking, I could not run with out having to suffer the pebbles on the path trail So, I bought a second pair. I took my usual size and it fits perfectly. Really, I highly recommend</v>
      </c>
    </row>
    <row r="17178">
      <c r="A17178" s="1">
        <v>5.0</v>
      </c>
      <c r="B17178" s="1" t="s">
        <v>16890</v>
      </c>
      <c r="C17178" t="str">
        <f>IFERROR(__xludf.DUMMYFUNCTION("GOOGLETRANSLATE(B17178, ""fr"", ""en"")"),"In the top!!! Very hot !!! And solid !!! This product is perfect !!! Very good !!! They are warm and very good resistance to the dryer !!!")</f>
        <v>In the top!!! Very hot !!! And solid !!! This product is perfect !!! Very good !!! They are warm and very good resistance to the dryer !!!</v>
      </c>
    </row>
    <row r="17179">
      <c r="A17179" s="1">
        <v>5.0</v>
      </c>
      <c r="B17179" s="1" t="s">
        <v>16891</v>
      </c>
      <c r="C17179" t="str">
        <f>IFERROR(__xludf.DUMMYFUNCTION("GOOGLETRANSLATE(B17179, ""fr"", ""en"")"),"Very useful Very practical to synthesize Diagrams for courses and have an overall vision. good size")</f>
        <v>Very useful Very practical to synthesize Diagrams for courses and have an overall vision. good size</v>
      </c>
    </row>
    <row r="17180">
      <c r="A17180" s="1">
        <v>5.0</v>
      </c>
      <c r="B17180" s="1" t="s">
        <v>16892</v>
      </c>
      <c r="C17180" t="str">
        <f>IFERROR(__xludf.DUMMYFUNCTION("GOOGLETRANSLATE(B17180, ""fr"", ""en"")"),"basketball ditto the picture Very good")</f>
        <v>basketball ditto the picture Very good</v>
      </c>
    </row>
    <row r="17181">
      <c r="A17181" s="1">
        <v>5.0</v>
      </c>
      <c r="B17181" s="1" t="s">
        <v>16893</v>
      </c>
      <c r="C17181" t="str">
        <f>IFERROR(__xludf.DUMMYFUNCTION("GOOGLETRANSLATE(B17181, ""fr"", ""en"")"),"sneakers They deserve the highest rating because they are beautiful, comfortable, airy, and are adapted to the size. They are perfect for long walks I do every day!")</f>
        <v>sneakers They deserve the highest rating because they are beautiful, comfortable, airy, and are adapted to the size. They are perfect for long walks I do every day!</v>
      </c>
    </row>
    <row r="17182">
      <c r="A17182" s="1">
        <v>5.0</v>
      </c>
      <c r="B17182" s="1" t="s">
        <v>16894</v>
      </c>
      <c r="C17182" t="str">
        <f>IFERROR(__xludf.DUMMYFUNCTION("GOOGLETRANSLATE(B17182, ""fr"", ""en"")"),"Perfect, as in the description The thing about these headphones is the sound quality and noise reduction that it, although it can do better, is interesting. The battery is sufficient for my use. I am also satisfied with the design. It fits comfortably in "&amp;"the ear even moving your head. There are several possible sizes of earbuds which is good when you have small ears. Synchronization is simple. I think it is a quality product with good value for money. I do not regret my purchase.")</f>
        <v>Perfect, as in the description The thing about these headphones is the sound quality and noise reduction that it, although it can do better, is interesting. The battery is sufficient for my use. I am also satisfied with the design. It fits comfortably in the ear even moving your head. There are several possible sizes of earbuds which is good when you have small ears. Synchronization is simple. I think it is a quality product with good value for money. I do not regret my purchase.</v>
      </c>
    </row>
    <row r="17183">
      <c r="A17183" s="1">
        <v>5.0</v>
      </c>
      <c r="B17183" s="1" t="s">
        <v>16895</v>
      </c>
      <c r="C17183" t="str">
        <f>IFERROR(__xludf.DUMMYFUNCTION("GOOGLETRANSLATE(B17183, ""fr"", ""en"")"),"Excellent I find these high performance headphones, and clearly quite up to those of the Apple brand I had previously. Only small problem for me, they do not always stay in place but it is very related to the fact that my ears are small.")</f>
        <v>Excellent I find these high performance headphones, and clearly quite up to those of the Apple brand I had previously. Only small problem for me, they do not always stay in place but it is very related to the fact that my ears are small.</v>
      </c>
    </row>
    <row r="17184">
      <c r="A17184" s="1">
        <v>5.0</v>
      </c>
      <c r="B17184" s="1" t="s">
        <v>16896</v>
      </c>
      <c r="C17184" t="str">
        <f>IFERROR(__xludf.DUMMYFUNCTION("GOOGLETRANSLATE(B17184, ""fr"", ""en"")"),"Nickel Basketball very nice and comfortable I recommend.")</f>
        <v>Nickel Basketball very nice and comfortable I recommend.</v>
      </c>
    </row>
    <row r="17185">
      <c r="A17185" s="1">
        <v>2.0</v>
      </c>
      <c r="B17185" s="1" t="s">
        <v>16897</v>
      </c>
      <c r="C17185" t="str">
        <f>IFERROR(__xludf.DUMMYFUNCTION("GOOGLETRANSLATE(B17185, ""fr"", ""en"")"),"The microphone is not up to par, the active reduction of not really hum noise. The microphone is unusable. With each call, you did not hear me. The sound quality is correct, however, noise reduction is more than perfectible (bp certainly related to the qu"&amp;"ality of the microphone). I sent this headset and I bought a SONY 1000XM3. Both headsets are clearly not in the same category. For those who expect a real audio quality and noise reduction. go your way. For those who want a Bluetooth headset to listen to "&amp;"their good music, it can do the trick.")</f>
        <v>The microphone is not up to par, the active reduction of not really hum noise. The microphone is unusable. With each call, you did not hear me. The sound quality is correct, however, noise reduction is more than perfectible (bp certainly related to the quality of the microphone). I sent this headset and I bought a SONY 1000XM3. Both headsets are clearly not in the same category. For those who expect a real audio quality and noise reduction. go your way. For those who want a Bluetooth headset to listen to their good music, it can do the trick.</v>
      </c>
    </row>
    <row r="17186">
      <c r="A17186" s="1">
        <v>1.0</v>
      </c>
      <c r="B17186" s="1" t="s">
        <v>16898</v>
      </c>
      <c r="C17186" t="str">
        <f>IFERROR(__xludf.DUMMYFUNCTION("GOOGLETRANSLATE(B17186, ""fr"", ""en"")"),"Poor Done sore foot despite good size")</f>
        <v>Poor Done sore foot despite good size</v>
      </c>
    </row>
    <row r="17187">
      <c r="A17187" s="1">
        <v>3.0</v>
      </c>
      <c r="B17187" s="1" t="s">
        <v>16899</v>
      </c>
      <c r="C17187" t="str">
        <f>IFERROR(__xludf.DUMMYFUNCTION("GOOGLETRANSLATE(B17187, ""fr"", ""en"")"),"👍 👍👍👍👍")</f>
        <v>👍 👍👍👍👍</v>
      </c>
    </row>
    <row r="17188">
      <c r="A17188" s="1">
        <v>3.0</v>
      </c>
      <c r="B17188" s="1" t="s">
        <v>16900</v>
      </c>
      <c r="C17188" t="str">
        <f>IFERROR(__xludf.DUMMYFUNCTION("GOOGLETRANSLATE(B17188, ""fr"", ""en"")"),"I like I tried, great!")</f>
        <v>I like I tried, great!</v>
      </c>
    </row>
    <row r="17189">
      <c r="A17189" s="1">
        <v>4.0</v>
      </c>
      <c r="B17189" s="1" t="s">
        <v>16901</v>
      </c>
      <c r="C17189" t="str">
        <f>IFERROR(__xludf.DUMMYFUNCTION("GOOGLETRANSLATE(B17189, ""fr"", ""en"")"),"Chausse perfectly, I took my size 38 c perfect ... nice effect as the evening photo, city")</f>
        <v>Chausse perfectly, I took my size 38 c perfect ... nice effect as the evening photo, city</v>
      </c>
    </row>
    <row r="17190">
      <c r="A17190" s="1">
        <v>4.0</v>
      </c>
      <c r="B17190" s="1" t="s">
        <v>16902</v>
      </c>
      <c r="C17190" t="str">
        <f>IFERROR(__xludf.DUMMYFUNCTION("GOOGLETRANSLATE(B17190, ""fr"", ""en"")"),"Good product but ... Bought this as poor circulation and swollen feet. Each user feels good and relaxes my legs BUT my feet do not deflate. But I persevere ...")</f>
        <v>Good product but ... Bought this as poor circulation and swollen feet. Each user feels good and relaxes my legs BUT my feet do not deflate. But I persevere ...</v>
      </c>
    </row>
    <row r="17191">
      <c r="A17191" s="1">
        <v>4.0</v>
      </c>
      <c r="B17191" s="1" t="s">
        <v>16903</v>
      </c>
      <c r="C17191" t="str">
        <f>IFERROR(__xludf.DUMMYFUNCTION("GOOGLETRANSLATE(B17191, ""fr"", ""en"")"),"Good quality a priori Good but a bit small size.")</f>
        <v>Good quality a priori Good but a bit small size.</v>
      </c>
    </row>
    <row r="17192">
      <c r="A17192" s="1">
        <v>4.0</v>
      </c>
      <c r="B17192" s="1" t="s">
        <v>16904</v>
      </c>
      <c r="C17192" t="str">
        <f>IFERROR(__xludf.DUMMYFUNCTION("GOOGLETRANSLATE(B17192, ""fr"", ""en"")"),"A s offer or offer Very good quality report Joli price for any wrist")</f>
        <v>A s offer or offer Very good quality report Joli price for any wrist</v>
      </c>
    </row>
    <row r="17193">
      <c r="A17193" s="1">
        <v>4.0</v>
      </c>
      <c r="B17193" s="1" t="s">
        <v>16905</v>
      </c>
      <c r="C17193" t="str">
        <f>IFERROR(__xludf.DUMMYFUNCTION("GOOGLETRANSLATE(B17193, ""fr"", ""en"")"),"Original Obviously it can not be the only accessory of an office, but it has the merit of being original, entirely consistent with the description and color also")</f>
        <v>Original Obviously it can not be the only accessory of an office, but it has the merit of being original, entirely consistent with the description and color also</v>
      </c>
    </row>
    <row r="17194">
      <c r="A17194" s="1">
        <v>5.0</v>
      </c>
      <c r="B17194" s="1" t="s">
        <v>16906</v>
      </c>
      <c r="C17194" t="str">
        <f>IFERROR(__xludf.DUMMYFUNCTION("GOOGLETRANSLATE(B17194, ""fr"", ""en"")"),"Very nice sneakers This article was for my son. He loves them very much. However, as he knew they hewed pretty big, it took half a size less than your usual size. Result: perfect")</f>
        <v>Very nice sneakers This article was for my son. He loves them very much. However, as he knew they hewed pretty big, it took half a size less than your usual size. Result: perfect</v>
      </c>
    </row>
    <row r="17195">
      <c r="A17195" s="1">
        <v>5.0</v>
      </c>
      <c r="B17195" s="1" t="s">
        <v>16907</v>
      </c>
      <c r="C17195" t="str">
        <f>IFERROR(__xludf.DUMMYFUNCTION("GOOGLETRANSLATE(B17195, ""fr"", ""en"")"),"Super Super alarm clock, my daughter was more than happy, the color of beautiful lights, she loves to listen to music until morning when he decided not to emit sounds .... It's expensive for a month of use . After an email the seller sent a new awakening "&amp;"précieusement.merci yet")</f>
        <v>Super Super alarm clock, my daughter was more than happy, the color of beautiful lights, she loves to listen to music until morning when he decided not to emit sounds .... It's expensive for a month of use . After an email the seller sent a new awakening précieusement.merci yet</v>
      </c>
    </row>
    <row r="17196">
      <c r="A17196" s="1">
        <v>5.0</v>
      </c>
      <c r="B17196" s="1" t="s">
        <v>16908</v>
      </c>
      <c r="C17196" t="str">
        <f>IFERROR(__xludf.DUMMYFUNCTION("GOOGLETRANSLATE(B17196, ""fr"", ""en"")"),"Very satisfied very pleasant fragrance. The presence of oil makes it very soft scrub and moisturizer. The ball obviously help exfoliate well. I am very satisfied with my purchase")</f>
        <v>Very satisfied very pleasant fragrance. The presence of oil makes it very soft scrub and moisturizer. The ball obviously help exfoliate well. I am very satisfied with my purchase</v>
      </c>
    </row>
    <row r="17197">
      <c r="A17197" s="1">
        <v>5.0</v>
      </c>
      <c r="B17197" s="1" t="s">
        <v>16909</v>
      </c>
      <c r="C17197" t="str">
        <f>IFERROR(__xludf.DUMMYFUNCTION("GOOGLETRANSLATE(B17197, ""fr"", ""en"")"),"Excellent Used daily for 8 months, it works well. Do not whistle or little. No fault. Temperature rise fast enough.")</f>
        <v>Excellent Used daily for 8 months, it works well. Do not whistle or little. No fault. Temperature rise fast enough.</v>
      </c>
    </row>
    <row r="17198">
      <c r="A17198" s="1">
        <v>5.0</v>
      </c>
      <c r="B17198" s="1" t="s">
        <v>16910</v>
      </c>
      <c r="C17198" t="str">
        <f>IFERROR(__xludf.DUMMYFUNCTION("GOOGLETRANSLATE(B17198, ""fr"", ""en"")"),"Convinced No worries with mam pacifiers")</f>
        <v>Convinced No worries with mam pacifiers</v>
      </c>
    </row>
    <row r="17199">
      <c r="A17199" s="1">
        <v>5.0</v>
      </c>
      <c r="B17199" s="1" t="s">
        <v>16911</v>
      </c>
      <c r="C17199" t="str">
        <f>IFERROR(__xludf.DUMMYFUNCTION("GOOGLETRANSLATE(B17199, ""fr"", ""en"")"),"good original cartridges are fine")</f>
        <v>good original cartridges are fine</v>
      </c>
    </row>
    <row r="17200">
      <c r="A17200" s="1">
        <v>5.0</v>
      </c>
      <c r="B17200" s="1" t="s">
        <v>16912</v>
      </c>
      <c r="C17200" t="str">
        <f>IFERROR(__xludf.DUMMYFUNCTION("GOOGLETRANSLATE(B17200, ""fr"", ""en"")"),"Unbeatable quality / price! Conform to the description. Bought with a blackboard glass, markers are the most beautiful effect on it. Wipe clean with a simple cloth (wet or not). Remarkable quality / price. View to use the holding time (drying time tanks, "&amp;"etc.).")</f>
        <v>Unbeatable quality / price! Conform to the description. Bought with a blackboard glass, markers are the most beautiful effect on it. Wipe clean with a simple cloth (wet or not). Remarkable quality / price. View to use the holding time (drying time tanks, etc.).</v>
      </c>
    </row>
    <row r="17201">
      <c r="A17201" s="1">
        <v>5.0</v>
      </c>
      <c r="B17201" s="1" t="s">
        <v>16913</v>
      </c>
      <c r="C17201" t="str">
        <f>IFERROR(__xludf.DUMMYFUNCTION("GOOGLETRANSLATE(B17201, ""fr"", ""en"")"),"Easy uses handy device for massaging the various body parts. Massage is flexible and changing rotation of heads direction approximately every minute, the thermal mode is independent, stopping automatically. Human hands of printing was. I loved.")</f>
        <v>Easy uses handy device for massaging the various body parts. Massage is flexible and changing rotation of heads direction approximately every minute, the thermal mode is independent, stopping automatically. Human hands of printing was. I loved.</v>
      </c>
    </row>
    <row r="17202">
      <c r="A17202" s="1">
        <v>5.0</v>
      </c>
      <c r="B17202" s="1" t="s">
        <v>16914</v>
      </c>
      <c r="C17202" t="str">
        <f>IFERROR(__xludf.DUMMYFUNCTION("GOOGLETRANSLATE(B17202, ""fr"", ""en"")"),"Super quality Top quality")</f>
        <v>Super quality Top quality</v>
      </c>
    </row>
    <row r="17203">
      <c r="A17203" s="1">
        <v>5.0</v>
      </c>
      <c r="B17203" s="1" t="s">
        <v>16915</v>
      </c>
      <c r="C17203" t="str">
        <f>IFERROR(__xludf.DUMMYFUNCTION("GOOGLETRANSLATE(B17203, ""fr"", ""en"")"),"Ergonomics very satisfactory This watch is on my wrist in H24, whether during the sessions of jogging or swimming or everyday life.")</f>
        <v>Ergonomics very satisfactory This watch is on my wrist in H24, whether during the sessions of jogging or swimming or everyday life.</v>
      </c>
    </row>
    <row r="17204">
      <c r="A17204" s="1">
        <v>5.0</v>
      </c>
      <c r="B17204" s="1" t="s">
        <v>16916</v>
      </c>
      <c r="C17204" t="str">
        <f>IFERROR(__xludf.DUMMYFUNCTION("GOOGLETRANSLATE(B17204, ""fr"", ""en"")"),"TOP great support sports bras, very good support and very pleasant to wear! have taken too white but this is just the beginning!")</f>
        <v>TOP great support sports bras, very good support and very pleasant to wear! have taken too white but this is just the beginning!</v>
      </c>
    </row>
    <row r="17205">
      <c r="A17205" s="1">
        <v>5.0</v>
      </c>
      <c r="B17205" s="1" t="s">
        <v>16917</v>
      </c>
      <c r="C17205" t="str">
        <f>IFERROR(__xludf.DUMMYFUNCTION("GOOGLETRANSLATE(B17205, ""fr"", ""en"")"),"Hooded Sweatshirt thick plain perfect for my part it is cut, it is blue, I took a black too !! Keeps you warm and is also good to stay at home than to work with, maybe a bit slightly a little big but nothing disappointing because on the contrary it is com"&amp;"fortable having a polo underneath Nothing to criticize because I repeat myself it is at the top !! I recommend many thanks !!")</f>
        <v>Hooded Sweatshirt thick plain perfect for my part it is cut, it is blue, I took a black too !! Keeps you warm and is also good to stay at home than to work with, maybe a bit slightly a little big but nothing disappointing because on the contrary it is comfortable having a polo underneath Nothing to criticize because I repeat myself it is at the top !! I recommend many thanks !!</v>
      </c>
    </row>
    <row r="17206">
      <c r="A17206" s="1">
        <v>5.0</v>
      </c>
      <c r="B17206" s="1" t="s">
        <v>16918</v>
      </c>
      <c r="C17206" t="str">
        <f>IFERROR(__xludf.DUMMYFUNCTION("GOOGLETRANSLATE(B17206, ""fr"", ""en"")"),"Necklace amber I buy an amber necklace for teeth My two year old son. The diameter is perfect, and I must say that we did not have to complain. No pain or crying thank you Mother Nature")</f>
        <v>Necklace amber I buy an amber necklace for teeth My two year old son. The diameter is perfect, and I must say that we did not have to complain. No pain or crying thank you Mother Nature</v>
      </c>
    </row>
    <row r="17207">
      <c r="A17207" s="1">
        <v>5.0</v>
      </c>
      <c r="B17207" s="1" t="s">
        <v>16919</v>
      </c>
      <c r="C17207" t="str">
        <f>IFERROR(__xludf.DUMMYFUNCTION("GOOGLETRANSLATE(B17207, ""fr"", ""en"")"),"Quality. Excellent product, durable, versatile and affordable. I highly recommend it. I have it for over a year now and it has n not a single hitch.")</f>
        <v>Quality. Excellent product, durable, versatile and affordable. I highly recommend it. I have it for over a year now and it has n not a single hitch.</v>
      </c>
    </row>
    <row r="17208">
      <c r="A17208" s="1">
        <v>5.0</v>
      </c>
      <c r="B17208" s="1" t="s">
        <v>16920</v>
      </c>
      <c r="C17208" t="str">
        <f>IFERROR(__xludf.DUMMYFUNCTION("GOOGLETRANSLATE(B17208, ""fr"", ""en"")"),"Perfect for running I am very happy with my purchase. These headphones good fit in the ear for the race distance. And the sound is excellent")</f>
        <v>Perfect for running I am very happy with my purchase. These headphones good fit in the ear for the race distance. And the sound is excellent</v>
      </c>
    </row>
    <row r="17209">
      <c r="A17209" s="1">
        <v>2.0</v>
      </c>
      <c r="B17209" s="1" t="s">
        <v>16921</v>
      </c>
      <c r="C17209" t="str">
        <f>IFERROR(__xludf.DUMMYFUNCTION("GOOGLETRANSLATE(B17209, ""fr"", ""en"")"),"Photos misleading Not identical came with only 3 colors.")</f>
        <v>Photos misleading Not identical came with only 3 colors.</v>
      </c>
    </row>
    <row r="17210">
      <c r="A17210" s="1">
        <v>1.0</v>
      </c>
      <c r="B17210" s="1" t="s">
        <v>16922</v>
      </c>
      <c r="C17210" t="str">
        <f>IFERROR(__xludf.DUMMYFUNCTION("GOOGLETRANSLATE(B17210, ""fr"", ""en"")"),"Obsolescence Programmed Programmed obsolescence of the printer empty cartridge in the printer, the printer 2017, made several test on the implementation and daily, and after 2 weeks the cartridge was empty. I printed pages zero. Thank you programmed obsol"&amp;"escence")</f>
        <v>Obsolescence Programmed Programmed obsolescence of the printer empty cartridge in the printer, the printer 2017, made several test on the implementation and daily, and after 2 weeks the cartridge was empty. I printed pages zero. Thank you programmed obsolescence</v>
      </c>
    </row>
    <row r="17211">
      <c r="A17211" s="1">
        <v>1.0</v>
      </c>
      <c r="B17211" s="1" t="s">
        <v>16923</v>
      </c>
      <c r="C17211" t="str">
        <f>IFERROR(__xludf.DUMMYFUNCTION("GOOGLETRANSLATE(B17211, ""fr"", ""en"")"),"Very disappointed Did duration 15 days originally purchased for its size if I printed fifty pages")</f>
        <v>Very disappointed Did duration 15 days originally purchased for its size if I printed fifty pages</v>
      </c>
    </row>
    <row r="17212">
      <c r="A17212" s="1">
        <v>3.0</v>
      </c>
      <c r="B17212" s="1" t="s">
        <v>16924</v>
      </c>
      <c r="C17212" t="str">
        <f>IFERROR(__xludf.DUMMYFUNCTION("GOOGLETRANSLATE(B17212, ""fr"", ""en"")"),"The quality is bad Very beautiful and has good size but the quality is very bad")</f>
        <v>The quality is bad Very beautiful and has good size but the quality is very bad</v>
      </c>
    </row>
    <row r="17213">
      <c r="A17213" s="1">
        <v>3.0</v>
      </c>
      <c r="B17213" s="1" t="s">
        <v>8946</v>
      </c>
      <c r="C17213" t="str">
        <f>IFERROR(__xludf.DUMMYFUNCTION("GOOGLETRANSLATE(B17213, ""fr"", ""en"")"),"is not the right size I order I received from 37/38 35/36 NOT Contante")</f>
        <v>is not the right size I order I received from 37/38 35/36 NOT Contante</v>
      </c>
    </row>
    <row r="17214">
      <c r="A17214" s="1">
        <v>4.0</v>
      </c>
      <c r="B17214" s="1" t="s">
        <v>16925</v>
      </c>
      <c r="C17214" t="str">
        <f>IFERROR(__xludf.DUMMYFUNCTION("GOOGLETRANSLATE(B17214, ""fr"", ""en"")"),"Shoes Receiving the product on time and in line with expectations")</f>
        <v>Shoes Receiving the product on time and in line with expectations</v>
      </c>
    </row>
    <row r="17215">
      <c r="A17215" s="1">
        <v>4.0</v>
      </c>
      <c r="B17215" s="1" t="s">
        <v>16926</v>
      </c>
      <c r="C17215" t="str">
        <f>IFERROR(__xludf.DUMMYFUNCTION("GOOGLETRANSLATE(B17215, ""fr"", ""en"")"),"pretty solid and Ordered for valentine this year, I left more since. Compliant with the photo and description")</f>
        <v>pretty solid and Ordered for valentine this year, I left more since. Compliant with the photo and description</v>
      </c>
    </row>
    <row r="17216">
      <c r="A17216" s="1">
        <v>4.0</v>
      </c>
      <c r="B17216" s="1" t="s">
        <v>16927</v>
      </c>
      <c r="C17216" t="str">
        <f>IFERROR(__xludf.DUMMYFUNCTION("GOOGLETRANSLATE(B17216, ""fr"", ""en"")"),"Child Helmet used by my 9 year old daughter to watch movies during car trips. The volume of the block is significant. It has the air suffisement robust to withstand handling child a few years.")</f>
        <v>Child Helmet used by my 9 year old daughter to watch movies during car trips. The volume of the block is significant. It has the air suffisement robust to withstand handling child a few years.</v>
      </c>
    </row>
    <row r="17217">
      <c r="A17217" s="1">
        <v>4.0</v>
      </c>
      <c r="B17217" s="1" t="s">
        <v>16928</v>
      </c>
      <c r="C17217" t="str">
        <f>IFERROR(__xludf.DUMMYFUNCTION("GOOGLETRANSLATE(B17217, ""fr"", ""en"")"),"Watch fossil Not disappointed with the shows, like the Internet in real! To wait for Christmas to see what it gives :)")</f>
        <v>Watch fossil Not disappointed with the shows, like the Internet in real! To wait for Christmas to see what it gives :)</v>
      </c>
    </row>
    <row r="17218">
      <c r="A17218" s="1">
        <v>5.0</v>
      </c>
      <c r="B17218" s="1" t="s">
        <v>16929</v>
      </c>
      <c r="C17218" t="str">
        <f>IFERROR(__xludf.DUMMYFUNCTION("GOOGLETRANSLATE(B17218, ""fr"", ""en"")"),"perfect service I use for years precaution, without access to pipes of the bath without breaking any particular if necessary ... so to avoid this course, I use it every week the smell is not unpleasant as Destop example !!! I'm satisfied.")</f>
        <v>perfect service I use for years precaution, without access to pipes of the bath without breaking any particular if necessary ... so to avoid this course, I use it every week the smell is not unpleasant as Destop example !!! I'm satisfied.</v>
      </c>
    </row>
    <row r="17219">
      <c r="A17219" s="1">
        <v>5.0</v>
      </c>
      <c r="B17219" s="1" t="s">
        <v>16930</v>
      </c>
      <c r="C17219" t="str">
        <f>IFERROR(__xludf.DUMMYFUNCTION("GOOGLETRANSLATE(B17219, ""fr"", ""en"")"),"Very convenient, I recommend very practical to clean baby bottles and there is even a smaller brush to the pacifier!")</f>
        <v>Very convenient, I recommend very practical to clean baby bottles and there is even a smaller brush to the pacifier!</v>
      </c>
    </row>
    <row r="17220">
      <c r="A17220" s="1">
        <v>5.0</v>
      </c>
      <c r="B17220" s="1" t="s">
        <v>16931</v>
      </c>
      <c r="C17220" t="str">
        <f>IFERROR(__xludf.DUMMYFUNCTION("GOOGLETRANSLATE(B17220, ""fr"", ""en"")"),"No above, test !!! Convenient and intuitive. The touch controls are simple. Headphones take good ears be it sport or at home, they do not move. In addition, there is a wide range of tip that can really suited to the ear. This also allows to hear without b"&amp;"eing disturb by surrounding noise, which is very convenient in communication or when listening to music. As for the battery, it has a good battery life and if its small storage box handles put the battery fully.")</f>
        <v>No above, test !!! Convenient and intuitive. The touch controls are simple. Headphones take good ears be it sport or at home, they do not move. In addition, there is a wide range of tip that can really suited to the ear. This also allows to hear without being disturb by surrounding noise, which is very convenient in communication or when listening to music. As for the battery, it has a good battery life and if its small storage box handles put the battery fully.</v>
      </c>
    </row>
    <row r="17221">
      <c r="A17221" s="1">
        <v>5.0</v>
      </c>
      <c r="B17221" s="1" t="s">
        <v>16932</v>
      </c>
      <c r="C17221" t="str">
        <f>IFERROR(__xludf.DUMMYFUNCTION("GOOGLETRANSLATE(B17221, ""fr"", ""en"")"),"Perfect Very good product, it's been 3 years that I command several times a year and I am never disappointed by the quality of paper and mailing!")</f>
        <v>Perfect Very good product, it's been 3 years that I command several times a year and I am never disappointed by the quality of paper and mailing!</v>
      </c>
    </row>
    <row r="17222">
      <c r="A17222" s="1">
        <v>5.0</v>
      </c>
      <c r="B17222" s="1" t="s">
        <v>16933</v>
      </c>
      <c r="C17222" t="str">
        <f>IFERROR(__xludf.DUMMYFUNCTION("GOOGLETRANSLATE(B17222, ""fr"", ""en"")"),"True Light shoes slippers, easy to put on and very comfortable to wear")</f>
        <v>True Light shoes slippers, easy to put on and very comfortable to wear</v>
      </c>
    </row>
    <row r="17223">
      <c r="A17223" s="1">
        <v>5.0</v>
      </c>
      <c r="B17223" s="1" t="s">
        <v>16934</v>
      </c>
      <c r="C17223" t="str">
        <f>IFERROR(__xludf.DUMMYFUNCTION("GOOGLETRANSLATE(B17223, ""fr"", ""en"")"),"A good microphone for beginners This microphone is ideal for beginners or those wishing to get good audio quality without breaking the bank. The included accessories are very useful, even if the arm can seem a little weak compared to big brands, but it is"&amp;" quite normal: it was worth our money. I recommend very strongly this.")</f>
        <v>A good microphone for beginners This microphone is ideal for beginners or those wishing to get good audio quality without breaking the bank. The included accessories are very useful, even if the arm can seem a little weak compared to big brands, but it is quite normal: it was worth our money. I recommend very strongly this.</v>
      </c>
    </row>
    <row r="17224">
      <c r="A17224" s="1">
        <v>5.0</v>
      </c>
      <c r="B17224" s="1" t="s">
        <v>16935</v>
      </c>
      <c r="C17224" t="str">
        <f>IFERROR(__xludf.DUMMYFUNCTION("GOOGLETRANSLATE(B17224, ""fr"", ""en"")"),"Heart to heart suits him so well *** At first glance it seems simple pendant, bright with pretty colors, it is clean and that's what makes it beautiful. Although named Heart to heart, it is full of symbols. It weighs only 3g with its chain, measures just "&amp;"2cm in diameter, slightly more length with his bail, but it burns with love. *** A circle inlaid rhinestones crescendo more one goes down, reminds a cozy nest at the bottom of which lie two pretty little pink cabochons supported shaped heart set on the mo"&amp;"ney. The back is cute since it represents 4 arranged hearts as 4-leaf clovers. It is a pendant for a couple happy and lucky. *** Then we note that under these 2 hearts, 2 other smaller gold and also form petals, hearts welded to a small bright. As another"&amp;" 4-leaf clover. So this pendant takes on another meaning, the family circle of two people who love and have two wonderful children. One lucky family. *** A family together by love, bail is another small heart encrusted with diamond dust, placed on the top"&amp;" of the circle. The chain passes through the sides, it really is fine and simple, round clasp. 55cm finesse with the extension ended with a heart charm on which is stamped fine silver 925. *** The necklace comes in a beautiful black box, the outline is ma"&amp;"de of simple motifs and gold, inlaid with the name of the seller middle: Ninasun. Sun and golden sun. It is presented on black velvet, it appears great. A small cloth to polish the pendant comes with. An elegant statement jewelry really cute fantasy.")</f>
        <v>Heart to heart suits him so well *** At first glance it seems simple pendant, bright with pretty colors, it is clean and that's what makes it beautiful. Although named Heart to heart, it is full of symbols. It weighs only 3g with its chain, measures just 2cm in diameter, slightly more length with his bail, but it burns with love. *** A circle inlaid rhinestones crescendo more one goes down, reminds a cozy nest at the bottom of which lie two pretty little pink cabochons supported shaped heart set on the money. The back is cute since it represents 4 arranged hearts as 4-leaf clovers. It is a pendant for a couple happy and lucky. *** Then we note that under these 2 hearts, 2 other smaller gold and also form petals, hearts welded to a small bright. As another 4-leaf clover. So this pendant takes on another meaning, the family circle of two people who love and have two wonderful children. One lucky family. *** A family together by love, bail is another small heart encrusted with diamond dust, placed on the top of the circle. The chain passes through the sides, it really is fine and simple, round clasp. 55cm finesse with the extension ended with a heart charm on which is stamped fine silver 925. *** The necklace comes in a beautiful black box, the outline is made of simple motifs and gold, inlaid with the name of the seller middle: Ninasun. Sun and golden sun. It is presented on black velvet, it appears great. A small cloth to polish the pendant comes with. An elegant statement jewelry really cute fantasy.</v>
      </c>
    </row>
    <row r="17225">
      <c r="A17225" s="1">
        <v>5.0</v>
      </c>
      <c r="B17225" s="1" t="s">
        <v>16936</v>
      </c>
      <c r="C17225" t="str">
        <f>IFERROR(__xludf.DUMMYFUNCTION("GOOGLETRANSLATE(B17225, ""fr"", ""en"")"),"Good idea that the black background with the flags of the countries! Beautiful map of the world and Europe")</f>
        <v>Good idea that the black background with the flags of the countries! Beautiful map of the world and Europe</v>
      </c>
    </row>
    <row r="17226">
      <c r="A17226" s="1">
        <v>5.0</v>
      </c>
      <c r="B17226" s="1" t="s">
        <v>16937</v>
      </c>
      <c r="C17226" t="str">
        <f>IFERROR(__xludf.DUMMYFUNCTION("GOOGLETRANSLATE(B17226, ""fr"", ""en"")"),"Really satisfied .... Thanks pillow just right in size. Article at a price interessant.Donne very well and applies perfectly to the back massage and jambes.Je recommend it to others too noisy. Super nice. We never tire ! The massage balls are not too viol"&amp;"ent while remaining effective. The heating system is a plus. I recommend this product !")</f>
        <v>Really satisfied .... Thanks pillow just right in size. Article at a price interessant.Donne very well and applies perfectly to the back massage and jambes.Je recommend it to others too noisy. Super nice. We never tire ! The massage balls are not too violent while remaining effective. The heating system is a plus. I recommend this product !</v>
      </c>
    </row>
    <row r="17227">
      <c r="A17227" s="1">
        <v>5.0</v>
      </c>
      <c r="B17227" s="1" t="s">
        <v>16938</v>
      </c>
      <c r="C17227" t="str">
        <f>IFERROR(__xludf.DUMMYFUNCTION("GOOGLETRANSLATE(B17227, ""fr"", ""en"")"),"Relaxation at home &lt;div id = ""video-block-R3F3MMVI2Q66OJ"" class = ""a-section-spacing-small in-spacing-top mini video-block""&gt; &lt;/ div&gt; &lt;input type = ""hidden"" name = """" value = ""https://images-eu.ssl-images-amazon.com/images/I/B1FqwNMrOSS.mp4"" clas"&amp;"s = ""video-url""&gt; &lt;input type = ""hidden"" name = """" value = ""https://images-eu.ssl-images-amazon.com/images/I/91ajLKceyHS.png"" class = ""video-slate-img-url""&gt; &amp; nbsp; J have received this massaging device which is very nice ! Perfect for relaxing t"&amp;"he neck, but also for the upper back and lower back! There are different movements of rotations that are quite nice although it will never replace a real massage but this is a good alternative device. There is also a heating function! J already love this "&amp;"device")</f>
        <v>Relaxation at home &lt;div id = "video-block-R3F3MMVI2Q66OJ" class = "a-section-spacing-small in-spacing-top mini video-block"&gt; &lt;/ div&gt; &lt;input type = "hidden" name = "" value = "https://images-eu.ssl-images-amazon.com/images/I/B1FqwNMrOSS.mp4" class = "video-url"&gt; &lt;input type = "hidden" name = "" value = "https://images-eu.ssl-images-amazon.com/images/I/91ajLKceyHS.png" class = "video-slate-img-url"&gt; &amp; nbsp; J have received this massaging device which is very nice ! Perfect for relaxing the neck, but also for the upper back and lower back! There are different movements of rotations that are quite nice although it will never replace a real massage but this is a good alternative device. There is also a heating function! J already love this device</v>
      </c>
    </row>
    <row r="17228">
      <c r="A17228" s="1">
        <v>5.0</v>
      </c>
      <c r="B17228" s="1" t="s">
        <v>16939</v>
      </c>
      <c r="C17228" t="str">
        <f>IFERROR(__xludf.DUMMYFUNCTION("GOOGLETRANSLATE(B17228, ""fr"", ""en"")"),"At the top Super product works perfectly")</f>
        <v>At the top Super product works perfectly</v>
      </c>
    </row>
    <row r="17229">
      <c r="A17229" s="1">
        <v>5.0</v>
      </c>
      <c r="B17229" s="1" t="s">
        <v>16940</v>
      </c>
      <c r="C17229" t="str">
        <f>IFERROR(__xludf.DUMMYFUNCTION("GOOGLETRANSLATE(B17229, ""fr"", ""en"")"),"light sweater is the perfect imag light and my expectations on stylish black trousers eg no regrets please, go there ..........")</f>
        <v>light sweater is the perfect imag light and my expectations on stylish black trousers eg no regrets please, go there ..........</v>
      </c>
    </row>
    <row r="17230">
      <c r="A17230" s="1">
        <v>5.0</v>
      </c>
      <c r="B17230" s="1" t="s">
        <v>16941</v>
      </c>
      <c r="C17230" t="str">
        <f>IFERROR(__xludf.DUMMYFUNCTION("GOOGLETRANSLATE(B17230, ""fr"", ""en"")"),"Fast R.A.S good product")</f>
        <v>Fast R.A.S good product</v>
      </c>
    </row>
    <row r="17231">
      <c r="A17231" s="1">
        <v>5.0</v>
      </c>
      <c r="B17231" s="1" t="s">
        <v>16942</v>
      </c>
      <c r="C17231" t="str">
        <f>IFERROR(__xludf.DUMMYFUNCTION("GOOGLETRANSLATE(B17231, ""fr"", ""en"")"),"Very good choice Socks are in accordance with the very nice image to wear very good product I recommend it even happens before the scheduled")</f>
        <v>Very good choice Socks are in accordance with the very nice image to wear very good product I recommend it even happens before the scheduled</v>
      </c>
    </row>
    <row r="17232">
      <c r="A17232" s="1">
        <v>5.0</v>
      </c>
      <c r="B17232" s="1" t="s">
        <v>16943</v>
      </c>
      <c r="C17232" t="str">
        <f>IFERROR(__xludf.DUMMYFUNCTION("GOOGLETRANSLATE(B17232, ""fr"", ""en"")"),"Shoes for all occasions Well, not messy, good comfort.")</f>
        <v>Shoes for all occasions Well, not messy, good comfort.</v>
      </c>
    </row>
    <row r="17233">
      <c r="A17233" s="1">
        <v>2.0</v>
      </c>
      <c r="B17233" s="1" t="s">
        <v>16944</v>
      </c>
      <c r="C17233" t="str">
        <f>IFERROR(__xludf.DUMMYFUNCTION("GOOGLETRANSLATE(B17233, ""fr"", ""en"")"),"Jam systematic overvalued if more than 6 sheets (70 / 80g), the destruction of a cd blocks the machine in the middle of it ... I can hardly believe all the ""glowing"" comments previously posted. ..")</f>
        <v>Jam systematic overvalued if more than 6 sheets (70 / 80g), the destruction of a cd blocks the machine in the middle of it ... I can hardly believe all the "glowing" comments previously posted. ..</v>
      </c>
    </row>
    <row r="17234">
      <c r="A17234" s="1">
        <v>1.0</v>
      </c>
      <c r="B17234" s="1" t="s">
        <v>16945</v>
      </c>
      <c r="C17234" t="str">
        <f>IFERROR(__xludf.DUMMYFUNCTION("GOOGLETRANSLATE(B17234, ""fr"", ""en"")"),"Shoulder straps again! I took the L as I had already ordered but there, the size does not fit all, the straps are too long which does not maintain all the chest.")</f>
        <v>Shoulder straps again! I took the L as I had already ordered but there, the size does not fit all, the straps are too long which does not maintain all the chest.</v>
      </c>
    </row>
    <row r="17235">
      <c r="A17235" s="1">
        <v>1.0</v>
      </c>
      <c r="B17235" s="1" t="s">
        <v>16946</v>
      </c>
      <c r="C17235" t="str">
        <f>IFERROR(__xludf.DUMMYFUNCTION("GOOGLETRANSLATE(B17235, ""fr"", ""en"")"),"Many heavy too heavy")</f>
        <v>Many heavy too heavy</v>
      </c>
    </row>
    <row r="17236">
      <c r="A17236" s="1">
        <v>3.0</v>
      </c>
      <c r="B17236" s="1" t="s">
        <v>16947</v>
      </c>
      <c r="C17236" t="str">
        <f>IFERROR(__xludf.DUMMYFUNCTION("GOOGLETRANSLATE(B17236, ""fr"", ""en"")"),"Although I recommend Pouch")</f>
        <v>Although I recommend Pouch</v>
      </c>
    </row>
    <row r="17237">
      <c r="A17237" s="1">
        <v>3.0</v>
      </c>
      <c r="B17237" s="1" t="s">
        <v>16948</v>
      </c>
      <c r="C17237" t="str">
        <f>IFERROR(__xludf.DUMMYFUNCTION("GOOGLETRANSLATE(B17237, ""fr"", ""en"")"),"At the top Top")</f>
        <v>At the top Top</v>
      </c>
    </row>
    <row r="17238">
      <c r="A17238" s="1">
        <v>4.0</v>
      </c>
      <c r="B17238" s="1" t="s">
        <v>16949</v>
      </c>
      <c r="C17238" t="str">
        <f>IFERROR(__xludf.DUMMYFUNCTION("GOOGLETRANSLATE(B17238, ""fr"", ""en"")"),"Gadget Gadget practice but I expected it moves alone!")</f>
        <v>Gadget Gadget practice but I expected it moves alone!</v>
      </c>
    </row>
    <row r="17239">
      <c r="A17239" s="1">
        <v>4.0</v>
      </c>
      <c r="B17239" s="1" t="s">
        <v>16950</v>
      </c>
      <c r="C17239" t="str">
        <f>IFERROR(__xludf.DUMMYFUNCTION("GOOGLETRANSLATE(B17239, ""fr"", ""en"")"),"Pretty good ! My daughter no longer wish to consume industrial stewed in school, I invested in this device that can fill reusable water bottles with homemade sauce - and even if I put a little time to understand how to avoid disaster, I'm pretty happy. A "&amp;"little trick: wet pink tip before pushing stewed in water bottles - it slides better (yes, like the cups). :-) My daughter also likes the sauce does not need to be super smooth, although still small pieces, it goes anyway :-) tube is easy to clean, the wa"&amp;"ter bottles a little less but there happens anyway :-)")</f>
        <v>Pretty good ! My daughter no longer wish to consume industrial stewed in school, I invested in this device that can fill reusable water bottles with homemade sauce - and even if I put a little time to understand how to avoid disaster, I'm pretty happy. A little trick: wet pink tip before pushing stewed in water bottles - it slides better (yes, like the cups). :-) My daughter also likes the sauce does not need to be super smooth, although still small pieces, it goes anyway :-) tube is easy to clean, the water bottles a little less but there happens anyway :-)</v>
      </c>
    </row>
    <row r="17240">
      <c r="A17240" s="1">
        <v>4.0</v>
      </c>
      <c r="B17240" s="1" t="s">
        <v>16951</v>
      </c>
      <c r="C17240" t="str">
        <f>IFERROR(__xludf.DUMMYFUNCTION("GOOGLETRANSLATE(B17240, ""fr"", ""en"")"),"Bag Bag faithful to the description corresponding entirely to the idea that one can do with the description and photos. It has the rugged look and dimensions are those announced. I do not put 5 stars because I think the opening of the bag is not convenien"&amp;"t, I expected there to be magnets under the straps.")</f>
        <v>Bag Bag faithful to the description corresponding entirely to the idea that one can do with the description and photos. It has the rugged look and dimensions are those announced. I do not put 5 stars because I think the opening of the bag is not convenient, I expected there to be magnets under the straps.</v>
      </c>
    </row>
    <row r="17241">
      <c r="A17241" s="1">
        <v>4.0</v>
      </c>
      <c r="B17241" s="1" t="s">
        <v>16952</v>
      </c>
      <c r="C17241" t="str">
        <f>IFERROR(__xludf.DUMMYFUNCTION("GOOGLETRANSLATE(B17241, ""fr"", ""en"")"),"Nice I like the model! As against the comfort is not great! too rigid to walk long")</f>
        <v>Nice I like the model! As against the comfort is not great! too rigid to walk long</v>
      </c>
    </row>
    <row r="17242">
      <c r="A17242" s="1">
        <v>5.0</v>
      </c>
      <c r="B17242" s="1" t="s">
        <v>16953</v>
      </c>
      <c r="C17242" t="str">
        <f>IFERROR(__xludf.DUMMYFUNCTION("GOOGLETRANSLATE(B17242, ""fr"", ""en"")"),"Massage device for the feet I use this massager for the feet as I often sore feet after days to stand and walk. It's nice to have a foot massage at home. Fifteen minutes is enough to feel better. I recommend this product")</f>
        <v>Massage device for the feet I use this massager for the feet as I often sore feet after days to stand and walk. It's nice to have a foot massage at home. Fifteen minutes is enough to feel better. I recommend this product</v>
      </c>
    </row>
    <row r="17243">
      <c r="A17243" s="1">
        <v>5.0</v>
      </c>
      <c r="B17243" s="1" t="s">
        <v>16954</v>
      </c>
      <c r="C17243" t="str">
        <f>IFERROR(__xludf.DUMMYFUNCTION("GOOGLETRANSLATE(B17243, ""fr"", ""en"")"),"cool crew")</f>
        <v>cool crew</v>
      </c>
    </row>
    <row r="17244">
      <c r="A17244" s="1">
        <v>5.0</v>
      </c>
      <c r="B17244" s="1" t="s">
        <v>16955</v>
      </c>
      <c r="C17244" t="str">
        <f>IFERROR(__xludf.DUMMYFUNCTION("GOOGLETRANSLATE(B17244, ""fr"", ""en"")"),"*** small but nice to put in 2nd position see 3rd")</f>
        <v>*** small but nice to put in 2nd position see 3rd</v>
      </c>
    </row>
    <row r="17245">
      <c r="A17245" s="1">
        <v>5.0</v>
      </c>
      <c r="B17245" s="1" t="s">
        <v>16956</v>
      </c>
      <c r="C17245" t="str">
        <f>IFERROR(__xludf.DUMMYFUNCTION("GOOGLETRANSLATE(B17245, ""fr"", ""en"")"),"Perfect tightly wrapped parcel arrived in due time! Teat very appreciate of my good girl grip, easy cleaning. By cons pacifier not suitable for milk thickens with mix magician, but why there are variable flow teats that are great about the mix magic!")</f>
        <v>Perfect tightly wrapped parcel arrived in due time! Teat very appreciate of my good girl grip, easy cleaning. By cons pacifier not suitable for milk thickens with mix magician, but why there are variable flow teats that are great about the mix magic!</v>
      </c>
    </row>
    <row r="17246">
      <c r="A17246" s="1">
        <v>5.0</v>
      </c>
      <c r="B17246" s="1" t="s">
        <v>16957</v>
      </c>
      <c r="C17246" t="str">
        <f>IFERROR(__xludf.DUMMYFUNCTION("GOOGLETRANSLATE(B17246, ""fr"", ""en"")"),"A must have classic Using a pointer USB key check is cleverly integrated into the tool only drawback is battery operated which are not even provided. Still a good price")</f>
        <v>A must have classic Using a pointer USB key check is cleverly integrated into the tool only drawback is battery operated which are not even provided. Still a good price</v>
      </c>
    </row>
    <row r="17247">
      <c r="A17247" s="1">
        <v>5.0</v>
      </c>
      <c r="B17247" s="1" t="s">
        <v>16958</v>
      </c>
      <c r="C17247" t="str">
        <f>IFERROR(__xludf.DUMMYFUNCTION("GOOGLETRANSLATE(B17247, ""fr"", ""en"")"),"In the top ! Casio G-Shock with a rugged look that shows you do leave more! At the swimming-pool or at work I keep it all the time on me! Even in the evening it is the most beautiful effect! Whatever my activities it is professional or personal, in sports"&amp;" or relaxation exit to the pool it fits perfectly! No fear of seeing her take water pressure resistance and shock is the asset that made me buy it!")</f>
        <v>In the top ! Casio G-Shock with a rugged look that shows you do leave more! At the swimming-pool or at work I keep it all the time on me! Even in the evening it is the most beautiful effect! Whatever my activities it is professional or personal, in sports or relaxation exit to the pool it fits perfectly! No fear of seeing her take water pressure resistance and shock is the asset that made me buy it!</v>
      </c>
    </row>
    <row r="17248">
      <c r="A17248" s="1">
        <v>5.0</v>
      </c>
      <c r="B17248" s="1" t="s">
        <v>16959</v>
      </c>
      <c r="C17248" t="str">
        <f>IFERROR(__xludf.DUMMYFUNCTION("GOOGLETRANSLATE(B17248, ""fr"", ""en"")"),"Impeccable interior / exterior I was skeptical a bit with some comments about the temperature difference between the inside and outside probe and unpacking, a small fraiyeur 2 ° C difference ... but faded in minutes having a difference of 0.4 ° C, which f"&amp;"or me is quite acceptable (this can be +0.2 and -0.2 for both ...) Otherwise, complete package with batteries, USB charger for external probe , manual, etc. We can put on a display of furniture, but also magnetically hang in the refrigerator or else a wal"&amp;"l using a nail. It may take several probes but I have not tried this. In short very practical, very readable, even without activating the backlight. I am for now very happy with my purchase!")</f>
        <v>Impeccable interior / exterior I was skeptical a bit with some comments about the temperature difference between the inside and outside probe and unpacking, a small fraiyeur 2 ° C difference ... but faded in minutes having a difference of 0.4 ° C, which for me is quite acceptable (this can be +0.2 and -0.2 for both ...) Otherwise, complete package with batteries, USB charger for external probe , manual, etc. We can put on a display of furniture, but also magnetically hang in the refrigerator or else a wall using a nail. It may take several probes but I have not tried this. In short very practical, very readable, even without activating the backlight. I am for now very happy with my purchase!</v>
      </c>
    </row>
    <row r="17249">
      <c r="A17249" s="1">
        <v>5.0</v>
      </c>
      <c r="B17249" s="1" t="s">
        <v>16960</v>
      </c>
      <c r="C17249" t="str">
        <f>IFERROR(__xludf.DUMMYFUNCTION("GOOGLETRANSLATE(B17249, ""fr"", ""en"")"),"very good article super gel works very well")</f>
        <v>very good article super gel works very well</v>
      </c>
    </row>
    <row r="17250">
      <c r="A17250" s="1">
        <v>5.0</v>
      </c>
      <c r="B17250" s="1" t="s">
        <v>16961</v>
      </c>
      <c r="C17250" t="str">
        <f>IFERROR(__xludf.DUMMYFUNCTION("GOOGLETRANSLATE(B17250, ""fr"", ""en"")"),"Flawless Excellent phone. He has the tape b20, the most widespread in France")</f>
        <v>Flawless Excellent phone. He has the tape b20, the most widespread in France</v>
      </c>
    </row>
    <row r="17251">
      <c r="A17251" s="1">
        <v>5.0</v>
      </c>
      <c r="B17251" s="1" t="s">
        <v>16962</v>
      </c>
      <c r="C17251" t="str">
        <f>IFERROR(__xludf.DUMMYFUNCTION("GOOGLETRANSLATE(B17251, ""fr"", ""en"")"),"Film ideal protection. Excellent product. Conditonnement efficient which ensures the permanence of the cleanliness of the film and allows easy use. convenient storage.")</f>
        <v>Film ideal protection. Excellent product. Conditonnement efficient which ensures the permanence of the cleanliness of the film and allows easy use. convenient storage.</v>
      </c>
    </row>
    <row r="17252">
      <c r="A17252" s="1">
        <v>5.0</v>
      </c>
      <c r="B17252" s="1" t="s">
        <v>16963</v>
      </c>
      <c r="C17252" t="str">
        <f>IFERROR(__xludf.DUMMYFUNCTION("GOOGLETRANSLATE(B17252, ""fr"", ""en"")"),"Good price thank you very useful to put in the machine or to relax in the bath and many other things but it's great that essential oil and good quality thank you")</f>
        <v>Good price thank you very useful to put in the machine or to relax in the bath and many other things but it's great that essential oil and good quality thank you</v>
      </c>
    </row>
    <row r="17253">
      <c r="A17253" s="1">
        <v>5.0</v>
      </c>
      <c r="B17253" s="1" t="s">
        <v>16964</v>
      </c>
      <c r="C17253" t="str">
        <f>IFERROR(__xludf.DUMMYFUNCTION("GOOGLETRANSLATE(B17253, ""fr"", ""en"")"),"Good quality mobile Eyes good. We lined the way home to school: the street is much more cheerful!")</f>
        <v>Good quality mobile Eyes good. We lined the way home to school: the street is much more cheerful!</v>
      </c>
    </row>
    <row r="17254">
      <c r="A17254" s="1">
        <v>5.0</v>
      </c>
      <c r="B17254" s="1" t="s">
        <v>16965</v>
      </c>
      <c r="C17254" t="str">
        <f>IFERROR(__xludf.DUMMYFUNCTION("GOOGLETRANSLATE(B17254, ""fr"", ""en"")"),"very good super screen protection glass comes in a box delivered solid storage by 2 very solid no bubble screen to install my screen is totally protected from scratches fingerprints would definitely recommend and if necessary I will recommend without hesi"&amp;"tation.")</f>
        <v>very good super screen protection glass comes in a box delivered solid storage by 2 very solid no bubble screen to install my screen is totally protected from scratches fingerprints would definitely recommend and if necessary I will recommend without hesitation.</v>
      </c>
    </row>
    <row r="17255">
      <c r="A17255" s="1">
        <v>5.0</v>
      </c>
      <c r="B17255" s="1" t="s">
        <v>16966</v>
      </c>
      <c r="C17255" t="str">
        <f>IFERROR(__xludf.DUMMYFUNCTION("GOOGLETRANSLATE(B17255, ""fr"", ""en"")"),"Great gift !!! It's a bracelet that I bought to give to my second for his return to The bracelet is super nice, it is solid and the small heart is adorable")</f>
        <v>Great gift !!! It's a bracelet that I bought to give to my second for his return to The bracelet is super nice, it is solid and the small heart is adorable</v>
      </c>
    </row>
    <row r="17256">
      <c r="A17256" s="1">
        <v>5.0</v>
      </c>
      <c r="B17256" s="1" t="s">
        <v>16967</v>
      </c>
      <c r="C17256" t="str">
        <f>IFERROR(__xludf.DUMMYFUNCTION("GOOGLETRANSLATE(B17256, ""fr"", ""en"")"),"At the top product on top with his jet from the palace and not to the throat immediately, gives an effect in with the wide nipple, washes very well!")</f>
        <v>At the top product on top with his jet from the palace and not to the throat immediately, gives an effect in with the wide nipple, washes very well!</v>
      </c>
    </row>
    <row r="17257">
      <c r="A17257" s="1">
        <v>2.0</v>
      </c>
      <c r="B17257" s="1" t="s">
        <v>16968</v>
      </c>
      <c r="C17257" t="str">
        <f>IFERROR(__xludf.DUMMYFUNCTION("GOOGLETRANSLATE(B17257, ""fr"", ""en"")"),"3 year warranty. Off after 1 year and 5 months when I want to make the warranty on Amazon.fr, I am redirected to Makita-Dolmar. I register on the site and want recorded my purchase to activate the warranty but no reference my pump in the drop down menu an"&amp;"d then I can read (for the first time) that I should save my pump in thirty days of purchase to obtain warranty !!! Bad joke.")</f>
        <v>3 year warranty. Off after 1 year and 5 months when I want to make the warranty on Amazon.fr, I am redirected to Makita-Dolmar. I register on the site and want recorded my purchase to activate the warranty but no reference my pump in the drop down menu and then I can read (for the first time) that I should save my pump in thirty days of purchase to obtain warranty !!! Bad joke.</v>
      </c>
    </row>
    <row r="17258">
      <c r="A17258" s="1">
        <v>1.0</v>
      </c>
      <c r="B17258" s="1" t="s">
        <v>16969</v>
      </c>
      <c r="C17258" t="str">
        <f>IFERROR(__xludf.DUMMYFUNCTION("GOOGLETRANSLATE(B17258, ""fr"", ""en"")"),"Disappointing I do not know if my battery is faulty but it does not take all the load. If I load a day and want to use it the next day the battery was drained! It's very annoying! Short bought in May 2018, regular use and not really results. Rather disapp"&amp;"ointing.")</f>
        <v>Disappointing I do not know if my battery is faulty but it does not take all the load. If I load a day and want to use it the next day the battery was drained! It's very annoying! Short bought in May 2018, regular use and not really results. Rather disappointing.</v>
      </c>
    </row>
    <row r="17259">
      <c r="A17259" s="1">
        <v>1.0</v>
      </c>
      <c r="B17259" s="1" t="s">
        <v>16970</v>
      </c>
      <c r="C17259" t="str">
        <f>IFERROR(__xludf.DUMMYFUNCTION("GOOGLETRANSLATE(B17259, ""fr"", ""en"")"),"Pump HS after 14 months Pump purchased in November 2016 is now out of order, it has an electrical fault that triggers the differential (probably a problem sealing ...). The Makita Warranty is 12 months. I highly recommend this very poor.")</f>
        <v>Pump HS after 14 months Pump purchased in November 2016 is now out of order, it has an electrical fault that triggers the differential (probably a problem sealing ...). The Makita Warranty is 12 months. I highly recommend this very poor.</v>
      </c>
    </row>
    <row r="17260">
      <c r="A17260" s="1">
        <v>3.0</v>
      </c>
      <c r="B17260" s="1" t="s">
        <v>16971</v>
      </c>
      <c r="C17260" t="str">
        <f>IFERROR(__xludf.DUMMYFUNCTION("GOOGLETRANSLATE(B17260, ""fr"", ""en"")"),"Too big I had already ordered 2 different colors (white and black) with a perfect cut but no, size too large and also neck and no longer gives the same effect as the first to identical in size.")</f>
        <v>Too big I had already ordered 2 different colors (white and black) with a perfect cut but no, size too large and also neck and no longer gives the same effect as the first to identical in size.</v>
      </c>
    </row>
    <row r="17261">
      <c r="A17261" s="1">
        <v>4.0</v>
      </c>
      <c r="B17261" s="1" t="s">
        <v>16972</v>
      </c>
      <c r="C17261" t="str">
        <f>IFERROR(__xludf.DUMMYFUNCTION("GOOGLETRANSLATE(B17261, ""fr"", ""en"")"),"Nice sweater! Good quality, to be seen to use! delivered quickly")</f>
        <v>Nice sweater! Good quality, to be seen to use! delivered quickly</v>
      </c>
    </row>
    <row r="17262">
      <c r="A17262" s="1">
        <v>4.0</v>
      </c>
      <c r="B17262" s="1" t="s">
        <v>16973</v>
      </c>
      <c r="C17262" t="str">
        <f>IFERROR(__xludf.DUMMYFUNCTION("GOOGLETRANSLATE(B17262, ""fr"", ""en"")"),"Practice I use to weigh my herbs (it must be remembered that there are +/- 0.2g gap with reality. Otherwise very good operation but surprised at the size really small plateau. I expected more. for now I put 4 stars but I just received today, to see if ove"&amp;"r time it holds the road!")</f>
        <v>Practice I use to weigh my herbs (it must be remembered that there are +/- 0.2g gap with reality. Otherwise very good operation but surprised at the size really small plateau. I expected more. for now I put 4 stars but I just received today, to see if over time it holds the road!</v>
      </c>
    </row>
    <row r="17263">
      <c r="A17263" s="1">
        <v>4.0</v>
      </c>
      <c r="B17263" s="1" t="s">
        <v>16974</v>
      </c>
      <c r="C17263" t="str">
        <f>IFERROR(__xludf.DUMMYFUNCTION("GOOGLETRANSLATE(B17263, ""fr"", ""en"")"),"Good value I bought these shoes for intensive walking into town it are personal but having wide feet, my little toe was a compressed can ...")</f>
        <v>Good value I bought these shoes for intensive walking into town it are personal but having wide feet, my little toe was a compressed can ...</v>
      </c>
    </row>
    <row r="17264">
      <c r="A17264" s="1">
        <v>4.0</v>
      </c>
      <c r="B17264" s="1" t="s">
        <v>16975</v>
      </c>
      <c r="C17264" t="str">
        <f>IFERROR(__xludf.DUMMYFUNCTION("GOOGLETRANSLATE(B17264, ""fr"", ""en"")"),"very good product The article description. Very light and handy features. I confirm that this watch is very solid when practicing sports / leisure. The reception deadline was met. To recommend.")</f>
        <v>very good product The article description. Very light and handy features. I confirm that this watch is very solid when practicing sports / leisure. The reception deadline was met. To recommend.</v>
      </c>
    </row>
    <row r="17265">
      <c r="A17265" s="1">
        <v>5.0</v>
      </c>
      <c r="B17265" s="1" t="s">
        <v>16976</v>
      </c>
      <c r="C17265" t="str">
        <f>IFERROR(__xludf.DUMMYFUNCTION("GOOGLETRANSLATE(B17265, ""fr"", ""en"")"),"Good product is exactly what I expected Printing very good document results")</f>
        <v>Good product is exactly what I expected Printing very good document results</v>
      </c>
    </row>
    <row r="17266">
      <c r="A17266" s="1">
        <v>5.0</v>
      </c>
      <c r="B17266" s="1" t="s">
        <v>16977</v>
      </c>
      <c r="C17266" t="str">
        <f>IFERROR(__xludf.DUMMYFUNCTION("GOOGLETRANSLATE(B17266, ""fr"", ""en"")"),"Nike top as usual Nike quality known nothing wrong. Comfort is now, it seems to wear nothing.")</f>
        <v>Nike top as usual Nike quality known nothing wrong. Comfort is now, it seems to wear nothing.</v>
      </c>
    </row>
    <row r="17267">
      <c r="A17267" s="1">
        <v>5.0</v>
      </c>
      <c r="B17267" s="1" t="s">
        <v>16978</v>
      </c>
      <c r="C17267" t="str">
        <f>IFERROR(__xludf.DUMMYFUNCTION("GOOGLETRANSLATE(B17267, ""fr"", ""en"")"),"Doing his job! I bought this anti-pop cover for my Bird UM1 and it does work well, ie not break the ears with the words ""P"". It may be a little big for Bird but it is not even a disadvantage, on the contrary it is even better. Do not hesitate to buy it,"&amp;" it's even better than a filter that is compact.")</f>
        <v>Doing his job! I bought this anti-pop cover for my Bird UM1 and it does work well, ie not break the ears with the words "P". It may be a little big for Bird but it is not even a disadvantage, on the contrary it is even better. Do not hesitate to buy it, it's even better than a filter that is compact.</v>
      </c>
    </row>
    <row r="17268">
      <c r="A17268" s="1">
        <v>5.0</v>
      </c>
      <c r="B17268" s="1" t="s">
        <v>16979</v>
      </c>
      <c r="C17268" t="str">
        <f>IFERROR(__xludf.DUMMYFUNCTION("GOOGLETRANSLATE(B17268, ""fr"", ""en"")"),"great product the cable is flexible, dt white; it is flat so discreet mounting, easy to assemble the resulting sound is perfect on my evo set Focal Atmospheric delivery on time, all is perfect")</f>
        <v>great product the cable is flexible, dt white; it is flat so discreet mounting, easy to assemble the resulting sound is perfect on my evo set Focal Atmospheric delivery on time, all is perfect</v>
      </c>
    </row>
    <row r="17269">
      <c r="A17269" s="1">
        <v>5.0</v>
      </c>
      <c r="B17269" s="1" t="s">
        <v>16980</v>
      </c>
      <c r="C17269" t="str">
        <f>IFERROR(__xludf.DUMMYFUNCTION("GOOGLETRANSLATE(B17269, ""fr"", ""en"")"),"Everything works as it should be no surprise, I received an order as it was planned, although embalage the match description, quality depending on the price. I have no opportunity to compare with others but it works well boot dryer (I have two children of"&amp;" rugby and have a dry like that - this is vital) Thank you))))")</f>
        <v>Everything works as it should be no surprise, I received an order as it was planned, although embalage the match description, quality depending on the price. I have no opportunity to compare with others but it works well boot dryer (I have two children of rugby and have a dry like that - this is vital) Thank you))))</v>
      </c>
    </row>
    <row r="17270">
      <c r="A17270" s="1">
        <v>5.0</v>
      </c>
      <c r="B17270" s="1" t="s">
        <v>16981</v>
      </c>
      <c r="C17270" t="str">
        <f>IFERROR(__xludf.DUMMYFUNCTION("GOOGLETRANSLATE(B17270, ""fr"", ""en"")"),"I recommend for the price it works very well")</f>
        <v>I recommend for the price it works very well</v>
      </c>
    </row>
    <row r="17271">
      <c r="A17271" s="1">
        <v>5.0</v>
      </c>
      <c r="B17271" s="1" t="s">
        <v>16982</v>
      </c>
      <c r="C17271" t="str">
        <f>IFERROR(__xludf.DUMMYFUNCTION("GOOGLETRANSLATE(B17271, ""fr"", ""en"")"),"Good product Product according to the description.")</f>
        <v>Good product Product according to the description.</v>
      </c>
    </row>
    <row r="17272">
      <c r="A17272" s="1">
        <v>5.0</v>
      </c>
      <c r="B17272" s="1" t="s">
        <v>16983</v>
      </c>
      <c r="C17272" t="str">
        <f>IFERROR(__xludf.DUMMYFUNCTION("GOOGLETRANSLATE(B17272, ""fr"", ""en"")"),"Good quality I often have allergic reactions to jewelry but not with this one. I probably will redeem. I recommend them without hesitation")</f>
        <v>Good quality I often have allergic reactions to jewelry but not with this one. I probably will redeem. I recommend them without hesitation</v>
      </c>
    </row>
    <row r="17273">
      <c r="A17273" s="1">
        <v>5.0</v>
      </c>
      <c r="B17273" s="1" t="s">
        <v>16984</v>
      </c>
      <c r="C17273" t="str">
        <f>IFERROR(__xludf.DUMMYFUNCTION("GOOGLETRANSLATE(B17273, ""fr"", ""en"")"),"Good product, good price It's Timberland, no disappointment and good price.")</f>
        <v>Good product, good price It's Timberland, no disappointment and good price.</v>
      </c>
    </row>
    <row r="17274">
      <c r="A17274" s="1">
        <v>5.0</v>
      </c>
      <c r="B17274" s="1" t="s">
        <v>16985</v>
      </c>
      <c r="C17274" t="str">
        <f>IFERROR(__xludf.DUMMYFUNCTION("GOOGLETRANSLATE(B17274, ""fr"", ""en"")"),"The kettle almost perfect! My kettle has dropped me, I turned to this one because it shares the same characteristics. The temperature setting is handy when drinking different types of tea and aside from the high beeps indicating the judgment of the kettle"&amp;", it is quieter than my old one. The brewer is effective and the advantage of this cover is that it allows the manual cleaning of the kettle to make the most of its aesthetics, excellent product!")</f>
        <v>The kettle almost perfect! My kettle has dropped me, I turned to this one because it shares the same characteristics. The temperature setting is handy when drinking different types of tea and aside from the high beeps indicating the judgment of the kettle, it is quieter than my old one. The brewer is effective and the advantage of this cover is that it allows the manual cleaning of the kettle to make the most of its aesthetics, excellent product!</v>
      </c>
    </row>
    <row r="17275">
      <c r="A17275" s="1">
        <v>5.0</v>
      </c>
      <c r="B17275" s="1" t="s">
        <v>16986</v>
      </c>
      <c r="C17275" t="str">
        <f>IFERROR(__xludf.DUMMYFUNCTION("GOOGLETRANSLATE(B17275, ""fr"", ""en"")"),"topissime tbon material consistent with my expectation")</f>
        <v>topissime tbon material consistent with my expectation</v>
      </c>
    </row>
    <row r="17276">
      <c r="A17276" s="1">
        <v>5.0</v>
      </c>
      <c r="B17276" s="1" t="s">
        <v>16987</v>
      </c>
      <c r="C17276" t="str">
        <f>IFERROR(__xludf.DUMMYFUNCTION("GOOGLETRANSLATE(B17276, ""fr"", ""en"")"),"very good excellent")</f>
        <v>very good excellent</v>
      </c>
    </row>
    <row r="17277">
      <c r="A17277" s="1">
        <v>5.0</v>
      </c>
      <c r="B17277" s="1" t="s">
        <v>16988</v>
      </c>
      <c r="C17277" t="str">
        <f>IFERROR(__xludf.DUMMYFUNCTION("GOOGLETRANSLATE(B17277, ""fr"", ""en"")"),"Awesome! Excellent quality and great comfort!")</f>
        <v>Awesome! Excellent quality and great comfort!</v>
      </c>
    </row>
    <row r="17278">
      <c r="A17278" s="1">
        <v>5.0</v>
      </c>
      <c r="B17278" s="1" t="s">
        <v>16989</v>
      </c>
      <c r="C17278" t="str">
        <f>IFERROR(__xludf.DUMMYFUNCTION("GOOGLETRANSLATE(B17278, ""fr"", ""en"")"),"Very glad I ordered a first helmet. Amazon Logistics has left ""instead of"" in the lobby of my building ... On returning home at night, the package was gone. I reported that Amazon was very pleasant and arrange I was refunded without problem. I recommend"&amp;"ed the same product that has this time been left in the mailbox. The helmet is very good value, only downside radio is unusable. Very happy anyway")</f>
        <v>Very glad I ordered a first helmet. Amazon Logistics has left "instead of" in the lobby of my building ... On returning home at night, the package was gone. I reported that Amazon was very pleasant and arrange I was refunded without problem. I recommended the same product that has this time been left in the mailbox. The helmet is very good value, only downside radio is unusable. Very happy anyway</v>
      </c>
    </row>
    <row r="17279">
      <c r="A17279" s="1">
        <v>5.0</v>
      </c>
      <c r="B17279" s="1" t="s">
        <v>16990</v>
      </c>
      <c r="C17279" t="str">
        <f>IFERROR(__xludf.DUMMYFUNCTION("GOOGLETRANSLATE(B17279, ""fr"", ""en"")"),"Size good Matches exactly my expectations. And looks good to see over time if my impressions are good.")</f>
        <v>Size good Matches exactly my expectations. And looks good to see over time if my impressions are good.</v>
      </c>
    </row>
    <row r="17280">
      <c r="A17280" s="1">
        <v>5.0</v>
      </c>
      <c r="B17280" s="1" t="s">
        <v>16991</v>
      </c>
      <c r="C17280" t="str">
        <f>IFERROR(__xludf.DUMMYFUNCTION("GOOGLETRANSLATE(B17280, ""fr"", ""en"")"),"for school mapping For now, this is the most interesting stencil for making sketches and diagrams in high school (diversity of shapes, sizes figured, rectangle used to make the cartridges ...). Slide between two manuals, it even manages to survive in a hi"&amp;"gh school bag (if still not train casting bag as an Olympic discipline ... as some do). The two strips of either side allow you to work with ink without risking ruin everything by sweeping the track still fresh with the rule (the stencil does not touch th"&amp;"e sheet).")</f>
        <v>for school mapping For now, this is the most interesting stencil for making sketches and diagrams in high school (diversity of shapes, sizes figured, rectangle used to make the cartridges ...). Slide between two manuals, it even manages to survive in a high school bag (if still not train casting bag as an Olympic discipline ... as some do). The two strips of either side allow you to work with ink without risking ruin everything by sweeping the track still fresh with the rule (the stencil does not touch the sheet).</v>
      </c>
    </row>
    <row r="17281">
      <c r="A17281" s="1">
        <v>2.0</v>
      </c>
      <c r="B17281" s="1" t="s">
        <v>16992</v>
      </c>
      <c r="C17281" t="str">
        <f>IFERROR(__xludf.DUMMYFUNCTION("GOOGLETRANSLATE(B17281, ""fr"", ""en"")"),"Otherwise though there is no key code supplied with so it works for 1 month and then nothing. It must still pay")</f>
        <v>Otherwise though there is no key code supplied with so it works for 1 month and then nothing. It must still pay</v>
      </c>
    </row>
    <row r="17282">
      <c r="A17282" s="1">
        <v>1.0</v>
      </c>
      <c r="B17282" s="1" t="s">
        <v>16993</v>
      </c>
      <c r="C17282" t="str">
        <f>IFERROR(__xludf.DUMMYFUNCTION("GOOGLETRANSLATE(B17282, ""fr"", ""en"")"),"The description is false because the article is a t-shirt and a sweater and not even a sweatshirt. Warning ! This is not a sweatshirt as description, this is just a shirt. The size is smaller than the usual size. Considering the price I keep.")</f>
        <v>The description is false because the article is a t-shirt and a sweater and not even a sweatshirt. Warning ! This is not a sweatshirt as description, this is just a shirt. The size is smaller than the usual size. Considering the price I keep.</v>
      </c>
    </row>
    <row r="17283">
      <c r="A17283" s="1">
        <v>3.0</v>
      </c>
      <c r="B17283" s="1" t="s">
        <v>16994</v>
      </c>
      <c r="C17283" t="str">
        <f>IFERROR(__xludf.DUMMYFUNCTION("GOOGLETRANSLATE(B17283, ""fr"", ""en"")"),"Yeah Friendly but image quality not top, stability: difficult to remain stable")</f>
        <v>Yeah Friendly but image quality not top, stability: difficult to remain stable</v>
      </c>
    </row>
    <row r="17284">
      <c r="A17284" s="1">
        <v>3.0</v>
      </c>
      <c r="B17284" s="1" t="s">
        <v>16995</v>
      </c>
      <c r="C17284" t="str">
        <f>IFERROR(__xludf.DUMMYFUNCTION("GOOGLETRANSLATE(B17284, ""fr"", ""en"")"),"SHIRT SUPERMAN COMPRESSION STRETCH VERY GOOD MAN T-SHIRT MARVEL SUPER HERO ETC PROBLEM THIS WASHING AND DRYING ITS STILL HAND ABOVE not MACHINE OR PRODUCT DETERGENT ETC ::: !!!!")</f>
        <v>SHIRT SUPERMAN COMPRESSION STRETCH VERY GOOD MAN T-SHIRT MARVEL SUPER HERO ETC PROBLEM THIS WASHING AND DRYING ITS STILL HAND ABOVE not MACHINE OR PRODUCT DETERGENT ETC ::: !!!!</v>
      </c>
    </row>
    <row r="17285">
      <c r="A17285" s="1">
        <v>4.0</v>
      </c>
      <c r="B17285" s="1" t="s">
        <v>16996</v>
      </c>
      <c r="C17285" t="str">
        <f>IFERROR(__xludf.DUMMYFUNCTION("GOOGLETRANSLATE(B17285, ""fr"", ""en"")"),"Good quality work")</f>
        <v>Good quality work</v>
      </c>
    </row>
    <row r="17286">
      <c r="A17286" s="1">
        <v>4.0</v>
      </c>
      <c r="B17286" s="1" t="s">
        <v>16997</v>
      </c>
      <c r="C17286" t="str">
        <f>IFERROR(__xludf.DUMMYFUNCTION("GOOGLETRANSLATE(B17286, ""fr"", ""en"")"),"Good value Good value")</f>
        <v>Good value Good value</v>
      </c>
    </row>
    <row r="17287">
      <c r="A17287" s="1">
        <v>4.0</v>
      </c>
      <c r="B17287" s="1" t="s">
        <v>16998</v>
      </c>
      <c r="C17287" t="str">
        <f>IFERROR(__xludf.DUMMYFUNCTION("GOOGLETRANSLATE(B17287, ""fr"", ""en"")"),"Practical Works well, ergonomic. However, automatic connection to the computer does not work and again I need the procedure to reconnect to each use. Only negative and perhaps decisive compared to other similar tools.")</f>
        <v>Practical Works well, ergonomic. However, automatic connection to the computer does not work and again I need the procedure to reconnect to each use. Only negative and perhaps decisive compared to other similar tools.</v>
      </c>
    </row>
    <row r="17288">
      <c r="A17288" s="1">
        <v>4.0</v>
      </c>
      <c r="B17288" s="1" t="s">
        <v>16999</v>
      </c>
      <c r="C17288" t="str">
        <f>IFERROR(__xludf.DUMMYFUNCTION("GOOGLETRANSLATE(B17288, ""fr"", ""en"")"),"The belt does his work has replaced the original one that was beginning to relax. It no longer patina is hoped that the holding time is good.")</f>
        <v>The belt does his work has replaced the original one that was beginning to relax. It no longer patina is hoped that the holding time is good.</v>
      </c>
    </row>
    <row r="17289">
      <c r="A17289" s="1">
        <v>5.0</v>
      </c>
      <c r="B17289" s="1" t="s">
        <v>17000</v>
      </c>
      <c r="C17289" t="str">
        <f>IFERROR(__xludf.DUMMYFUNCTION("GOOGLETRANSLATE(B17289, ""fr"", ""en"")"),"Top imperative to have My daughter introduced me to this magical soap and it is true that it is always best to have at home and it is very economical")</f>
        <v>Top imperative to have My daughter introduced me to this magical soap and it is true that it is always best to have at home and it is very economical</v>
      </c>
    </row>
    <row r="17290">
      <c r="A17290" s="1">
        <v>5.0</v>
      </c>
      <c r="B17290" s="1" t="s">
        <v>17001</v>
      </c>
      <c r="C17290" t="str">
        <f>IFERROR(__xludf.DUMMYFUNCTION("GOOGLETRANSLATE(B17290, ""fr"", ""en"")"),"PERFECT True to the picture, pretty, good quality, size matching, pretty closed shoes for those who are tired of being crushed toes in the SBK (salsa bachata kiz)! received quickly as usual with Syrads :)")</f>
        <v>PERFECT True to the picture, pretty, good quality, size matching, pretty closed shoes for those who are tired of being crushed toes in the SBK (salsa bachata kiz)! received quickly as usual with Syrads :)</v>
      </c>
    </row>
    <row r="17291">
      <c r="A17291" s="1">
        <v>5.0</v>
      </c>
      <c r="B17291" s="1" t="s">
        <v>17002</v>
      </c>
      <c r="C17291" t="str">
        <f>IFERROR(__xludf.DUMMYFUNCTION("GOOGLETRANSLATE(B17291, ""fr"", ""en"")"),"The price Good quality")</f>
        <v>The price Good quality</v>
      </c>
    </row>
    <row r="17292">
      <c r="A17292" s="1">
        <v>5.0</v>
      </c>
      <c r="B17292" s="1" t="s">
        <v>17003</v>
      </c>
      <c r="C17292" t="str">
        <f>IFERROR(__xludf.DUMMYFUNCTION("GOOGLETRANSLATE(B17292, ""fr"", ""en"")"),"Effective Super useful in the bathroom, there is much less moisture!")</f>
        <v>Effective Super useful in the bathroom, there is much less moisture!</v>
      </c>
    </row>
    <row r="17293">
      <c r="A17293" s="1">
        <v>5.0</v>
      </c>
      <c r="B17293" s="1" t="s">
        <v>17004</v>
      </c>
      <c r="C17293" t="str">
        <f>IFERROR(__xludf.DUMMYFUNCTION("GOOGLETRANSLATE(B17293, ""fr"", ""en"")"),"A good brand of garbage bags Very happy with this brand. Rugged and waterproof, these bags are really good quality. A good brand I recommend. Product arrived on time and well packaged. I recommend this article. If interested you comment or proved helpful,"&amp;" click 'Yes'. It's always nice to find out useful and / or read.")</f>
        <v>A good brand of garbage bags Very happy with this brand. Rugged and waterproof, these bags are really good quality. A good brand I recommend. Product arrived on time and well packaged. I recommend this article. If interested you comment or proved helpful, click 'Yes'. It's always nice to find out useful and / or read.</v>
      </c>
    </row>
    <row r="17294">
      <c r="A17294" s="1">
        <v>5.0</v>
      </c>
      <c r="B17294" s="1" t="s">
        <v>17005</v>
      </c>
      <c r="C17294" t="str">
        <f>IFERROR(__xludf.DUMMYFUNCTION("GOOGLETRANSLATE(B17294, ""fr"", ""en"")"),"Retro look nice in my childhood memories this watch was bigger. Nevertheless it is nice. While the buttons are not really used daily but I mostly bought for its retro look. In short for the price satisfied. At first the watch while plastic seems a little "&amp;"light but it seems wrist more.")</f>
        <v>Retro look nice in my childhood memories this watch was bigger. Nevertheless it is nice. While the buttons are not really used daily but I mostly bought for its retro look. In short for the price satisfied. At first the watch while plastic seems a little light but it seems wrist more.</v>
      </c>
    </row>
    <row r="17295">
      <c r="A17295" s="1">
        <v>5.0</v>
      </c>
      <c r="B17295" s="1" t="s">
        <v>17006</v>
      </c>
      <c r="C17295" t="str">
        <f>IFERROR(__xludf.DUMMYFUNCTION("GOOGLETRANSLATE(B17295, ""fr"", ""en"")"),"Very happy with this purchase I discovered this product in an advertisement on a well-known social network but I did not buy a dubious Chinese site so I went through Amazon ... It is now 3 weeks I ' uses each shampoo (I wanted to step back before making t"&amp;"he assessment because I wash my hair every 4 days) and I must say I do not regret this purchase! At scalp level it's very nice when shampoo, brush a lot foam product which allows to use less insofar result (I put the shampoo on my hair but can also be put"&amp;" directly on the brush). In terms of hair I have more volume on top of the skull whereas before they tended to remain clad in a shampoo without this brush (my hair is curly and very curly mainly on round the face). But be careful do not scratch the skull "&amp;"before your shampoo: when I first use my scalp was raw because I had scratched my head in the day, result: the first shampoo was painful but it was my fault and not that of the brush.")</f>
        <v>Very happy with this purchase I discovered this product in an advertisement on a well-known social network but I did not buy a dubious Chinese site so I went through Amazon ... It is now 3 weeks I ' uses each shampoo (I wanted to step back before making the assessment because I wash my hair every 4 days) and I must say I do not regret this purchase! At scalp level it's very nice when shampoo, brush a lot foam product which allows to use less insofar result (I put the shampoo on my hair but can also be put directly on the brush). In terms of hair I have more volume on top of the skull whereas before they tended to remain clad in a shampoo without this brush (my hair is curly and very curly mainly on round the face). But be careful do not scratch the skull before your shampoo: when I first use my scalp was raw because I had scratched my head in the day, result: the first shampoo was painful but it was my fault and not that of the brush.</v>
      </c>
    </row>
    <row r="17296">
      <c r="A17296" s="1">
        <v>5.0</v>
      </c>
      <c r="B17296" s="1" t="s">
        <v>17007</v>
      </c>
      <c r="C17296" t="str">
        <f>IFERROR(__xludf.DUMMYFUNCTION("GOOGLETRANSLATE(B17296, ""fr"", ""en"")"),"👍👍👍 parfais")</f>
        <v>👍👍👍 parfais</v>
      </c>
    </row>
    <row r="17297">
      <c r="A17297" s="1">
        <v>5.0</v>
      </c>
      <c r="B17297" s="1" t="s">
        <v>17008</v>
      </c>
      <c r="C17297" t="str">
        <f>IFERROR(__xludf.DUMMYFUNCTION("GOOGLETRANSLATE(B17297, ""fr"", ""en"")"),"Well I think these headphones are good and the sound is very satisfying. The price is very correct. I'm happy with my purchase.")</f>
        <v>Well I think these headphones are good and the sound is very satisfying. The price is very correct. I'm happy with my purchase.</v>
      </c>
    </row>
    <row r="17298">
      <c r="A17298" s="1">
        <v>5.0</v>
      </c>
      <c r="B17298" s="1" t="s">
        <v>17009</v>
      </c>
      <c r="C17298" t="str">
        <f>IFERROR(__xludf.DUMMYFUNCTION("GOOGLETRANSLATE(B17298, ""fr"", ""en"")"),"quite consistent product delivered on time appropriately wrapped item complies material suitable for my Canon printer")</f>
        <v>quite consistent product delivered on time appropriately wrapped item complies material suitable for my Canon printer</v>
      </c>
    </row>
    <row r="17299">
      <c r="A17299" s="1">
        <v>5.0</v>
      </c>
      <c r="B17299" s="1" t="s">
        <v>17010</v>
      </c>
      <c r="C17299" t="str">
        <f>IFERROR(__xludf.DUMMYFUNCTION("GOOGLETRANSLATE(B17299, ""fr"", ""en"")"),"I take advantage of the benefits of aramatherapie safe handling this diffuser essential oils is discreet. colors bring a warm atmosphere. the large tank capacity allows the use of several hours. c is a well finished and perfectly aligned in my heart")</f>
        <v>I take advantage of the benefits of aramatherapie safe handling this diffuser essential oils is discreet. colors bring a warm atmosphere. the large tank capacity allows the use of several hours. c is a well finished and perfectly aligned in my heart</v>
      </c>
    </row>
    <row r="17300">
      <c r="A17300" s="1">
        <v>5.0</v>
      </c>
      <c r="B17300" s="1" t="s">
        <v>17011</v>
      </c>
      <c r="C17300" t="str">
        <f>IFERROR(__xludf.DUMMYFUNCTION("GOOGLETRANSLATE(B17300, ""fr"", ""en"")"),"cheap EXCELLENT Very good listener top quality for what it is. Better than I buy earpods usual, good voices and all that goes with it unfortunately its control is not easy because you have to drag and it is not connected to the phone so if you put the Sou"&amp;"nd bottom of the phone but at least no sound headphones will not go out after I was not too bothered. Too bad just for low not deep enough for me but otherwise perfect for € 10 excellent.")</f>
        <v>cheap EXCELLENT Very good listener top quality for what it is. Better than I buy earpods usual, good voices and all that goes with it unfortunately its control is not easy because you have to drag and it is not connected to the phone so if you put the Sound bottom of the phone but at least no sound headphones will not go out after I was not too bothered. Too bad just for low not deep enough for me but otherwise perfect for € 10 excellent.</v>
      </c>
    </row>
    <row r="17301">
      <c r="A17301" s="1">
        <v>5.0</v>
      </c>
      <c r="B17301" s="1" t="s">
        <v>17012</v>
      </c>
      <c r="C17301" t="str">
        <f>IFERROR(__xludf.DUMMYFUNCTION("GOOGLETRANSLATE(B17301, ""fr"", ""en"")"),"SUPER Magnificent Basketball delivery date on date I recommend this product Glad to this purchase")</f>
        <v>SUPER Magnificent Basketball delivery date on date I recommend this product Glad to this purchase</v>
      </c>
    </row>
    <row r="17302">
      <c r="A17302" s="1">
        <v>5.0</v>
      </c>
      <c r="B17302" s="1" t="s">
        <v>17013</v>
      </c>
      <c r="C17302" t="str">
        <f>IFERROR(__xludf.DUMMYFUNCTION("GOOGLETRANSLATE(B17302, ""fr"", ""en"")"),"The Product Quality at Astro always top TOP")</f>
        <v>The Product Quality at Astro always top TOP</v>
      </c>
    </row>
    <row r="17303">
      <c r="A17303" s="1">
        <v>5.0</v>
      </c>
      <c r="B17303" s="1" t="s">
        <v>17014</v>
      </c>
      <c r="C17303" t="str">
        <f>IFERROR(__xludf.DUMMYFUNCTION("GOOGLETRANSLATE(B17303, ""fr"", ""en"")"),"The boot shoe with shell for the job, simple and understated compared to some safety shoe, size well and comfortable even for wide feet.")</f>
        <v>The boot shoe with shell for the job, simple and understated compared to some safety shoe, size well and comfortable even for wide feet.</v>
      </c>
    </row>
    <row r="17304">
      <c r="A17304" s="1">
        <v>2.0</v>
      </c>
      <c r="B17304" s="1" t="s">
        <v>17015</v>
      </c>
      <c r="C17304" t="str">
        <f>IFERROR(__xludf.DUMMYFUNCTION("GOOGLETRANSLATE(B17304, ""fr"", ""en"")"),"Very satistifait before malfunctioning buttons. Very satisfied with the first few uses. However at the end of the second month the buttons began to MALFUNCTION making it difficult to use this alarm clock. I have doubts about the build quality of this prod"&amp;"uct. Too bad it was essential to me! I'll turn to a concurente brand.")</f>
        <v>Very satistifait before malfunctioning buttons. Very satisfied with the first few uses. However at the end of the second month the buttons began to MALFUNCTION making it difficult to use this alarm clock. I have doubts about the build quality of this product. Too bad it was essential to me! I'll turn to a concurente brand.</v>
      </c>
    </row>
    <row r="17305">
      <c r="A17305" s="1">
        <v>1.0</v>
      </c>
      <c r="B17305" s="1" t="s">
        <v>17016</v>
      </c>
      <c r="C17305" t="str">
        <f>IFERROR(__xludf.DUMMYFUNCTION("GOOGLETRANSLATE(B17305, ""fr"", ""en"")"),"Not received the ordered size !!!!! Commissioned in emergency 36 and half received 37 and a half ..... impossible to exchange the pair against another smaller ... obliged to recommend and wait 2 weeks for the pair !!!! very very very disappointed")</f>
        <v>Not received the ordered size !!!!! Commissioned in emergency 36 and half received 37 and a half ..... impossible to exchange the pair against another smaller ... obliged to recommend and wait 2 weeks for the pair !!!! very very very disappointed</v>
      </c>
    </row>
    <row r="17306">
      <c r="A17306" s="1">
        <v>1.0</v>
      </c>
      <c r="B17306" s="1" t="s">
        <v>17017</v>
      </c>
      <c r="C17306" t="str">
        <f>IFERROR(__xludf.DUMMYFUNCTION("GOOGLETRANSLATE(B17306, ""fr"", ""en"")"),"NUL mediocre product's disgusting huge form no connection autonomy pitiful bluetooth phone worn no ln puts hands on PAF earphone AC cup! Wholesale shit has gone your way")</f>
        <v>NUL mediocre product's disgusting huge form no connection autonomy pitiful bluetooth phone worn no ln puts hands on PAF earphone AC cup! Wholesale shit has gone your way</v>
      </c>
    </row>
    <row r="17307">
      <c r="A17307" s="1">
        <v>3.0</v>
      </c>
      <c r="B17307" s="1" t="s">
        <v>17018</v>
      </c>
      <c r="C17307" t="str">
        <f>IFERROR(__xludf.DUMMYFUNCTION("GOOGLETRANSLATE(B17307, ""fr"", ""en"")"),"Capacity XL on the photo of the ad ... The label brings up the word XL on the picture of the ad on the copies received is in small print ... I had not seen and if we rebuild the text of the ad, it does not specify if the XL! This raises doubts? But consid"&amp;"ering the price I keep these items. A therefore see the use ...")</f>
        <v>Capacity XL on the photo of the ad ... The label brings up the word XL on the picture of the ad on the copies received is in small print ... I had not seen and if we rebuild the text of the ad, it does not specify if the XL! This raises doubts? But considering the price I keep these items. A therefore see the use ...</v>
      </c>
    </row>
    <row r="17308">
      <c r="A17308" s="1">
        <v>3.0</v>
      </c>
      <c r="B17308" s="1" t="s">
        <v>17019</v>
      </c>
      <c r="C17308" t="str">
        <f>IFERROR(__xludf.DUMMYFUNCTION("GOOGLETRANSLATE(B17308, ""fr"", ""en"")"),"c is really essential the essential accessory to use the keyboard Casio CTK-1200 Keyboard 61 keys Gray, after trying a standard adapter but it did not work, shame to have to pay so much for a brand adapter")</f>
        <v>c is really essential the essential accessory to use the keyboard Casio CTK-1200 Keyboard 61 keys Gray, after trying a standard adapter but it did not work, shame to have to pay so much for a brand adapter</v>
      </c>
    </row>
    <row r="17309">
      <c r="A17309" s="1">
        <v>4.0</v>
      </c>
      <c r="B17309" s="1" t="s">
        <v>17020</v>
      </c>
      <c r="C17309" t="str">
        <f>IFERROR(__xludf.DUMMYFUNCTION("GOOGLETRANSLATE(B17309, ""fr"", ""en"")"),"DETARTRANT correct")</f>
        <v>DETARTRANT correct</v>
      </c>
    </row>
    <row r="17310">
      <c r="A17310" s="1">
        <v>4.0</v>
      </c>
      <c r="B17310" s="1" t="s">
        <v>4637</v>
      </c>
      <c r="C17310" t="str">
        <f>IFERROR(__xludf.DUMMYFUNCTION("GOOGLETRANSLATE(B17310, ""fr"", ""en"")"),"well well")</f>
        <v>well well</v>
      </c>
    </row>
    <row r="17311">
      <c r="A17311" s="1">
        <v>4.0</v>
      </c>
      <c r="B17311" s="1" t="s">
        <v>7047</v>
      </c>
      <c r="C17311" t="str">
        <f>IFERROR(__xludf.DUMMYFUNCTION("GOOGLETRANSLATE(B17311, ""fr"", ""en"")"),"incredible incredible")</f>
        <v>incredible incredible</v>
      </c>
    </row>
    <row r="17312">
      <c r="A17312" s="1">
        <v>4.0</v>
      </c>
      <c r="B17312" s="1" t="s">
        <v>17021</v>
      </c>
      <c r="C17312" t="str">
        <f>IFERROR(__xludf.DUMMYFUNCTION("GOOGLETRANSLATE(B17312, ""fr"", ""en"")"),"Good but .... well but plastic straps a little hard for my taste. I do not the door more than an hour of the shot.")</f>
        <v>Good but .... well but plastic straps a little hard for my taste. I do not the door more than an hour of the shot.</v>
      </c>
    </row>
    <row r="17313">
      <c r="A17313" s="1">
        <v>5.0</v>
      </c>
      <c r="B17313" s="1" t="s">
        <v>17022</v>
      </c>
      <c r="C17313" t="str">
        <f>IFERROR(__xludf.DUMMYFUNCTION("GOOGLETRANSLATE(B17313, ""fr"", ""en"")"),"Top Perfect as expected")</f>
        <v>Top Perfect as expected</v>
      </c>
    </row>
    <row r="17314">
      <c r="A17314" s="1">
        <v>5.0</v>
      </c>
      <c r="B17314" s="1" t="s">
        <v>17023</v>
      </c>
      <c r="C17314" t="str">
        <f>IFERROR(__xludf.DUMMYFUNCTION("GOOGLETRANSLATE(B17314, ""fr"", ""en"")"),"Even after 2 weeks of use every day, no problem. It stays in place and is comfortable to wear")</f>
        <v>Even after 2 weeks of use every day, no problem. It stays in place and is comfortable to wear</v>
      </c>
    </row>
    <row r="17315">
      <c r="A17315" s="1">
        <v>5.0</v>
      </c>
      <c r="B17315" s="1" t="s">
        <v>17024</v>
      </c>
      <c r="C17315" t="str">
        <f>IFERROR(__xludf.DUMMYFUNCTION("GOOGLETRANSLATE(B17315, ""fr"", ""en"")"),"Buy very well for the first time after bcp read comments on all existing lines I stopped on it. I do not regret. The texture resembles a jelly. When it stalls lmost sweet and a little soapy. I do not know if this is the product that is peeling or if the a"&amp;"ction of kessa glove néanmoin all works very well. This removes dead skin and impurities. It leaves a pleasant feeling of cleanliness. The skin is not attacked. No unpleasant odor. After use I apply a moisturizer and I find it really absorbs better. Very "&amp;"satisfied, I recommend.")</f>
        <v>Buy very well for the first time after bcp read comments on all existing lines I stopped on it. I do not regret. The texture resembles a jelly. When it stalls lmost sweet and a little soapy. I do not know if this is the product that is peeling or if the action of kessa glove néanmoin all works very well. This removes dead skin and impurities. It leaves a pleasant feeling of cleanliness. The skin is not attacked. No unpleasant odor. After use I apply a moisturizer and I find it really absorbs better. Very satisfied, I recommend.</v>
      </c>
    </row>
    <row r="17316">
      <c r="A17316" s="1">
        <v>5.0</v>
      </c>
      <c r="B17316" s="1" t="s">
        <v>17025</v>
      </c>
      <c r="C17316" t="str">
        <f>IFERROR(__xludf.DUMMYFUNCTION("GOOGLETRANSLATE(B17316, ""fr"", ""en"")"),"Bullets V2 OnePlus OnePlus good pair of headphones to its correct Quality")</f>
        <v>Bullets V2 OnePlus OnePlus good pair of headphones to its correct Quality</v>
      </c>
    </row>
    <row r="17317">
      <c r="A17317" s="1">
        <v>5.0</v>
      </c>
      <c r="B17317" s="1" t="s">
        <v>17026</v>
      </c>
      <c r="C17317" t="str">
        <f>IFERROR(__xludf.DUMMYFUNCTION("GOOGLETRANSLATE(B17317, ""fr"", ""en"")"),"cute pendant I offered this pendant to my friend who is very pretty, very feminine!")</f>
        <v>cute pendant I offered this pendant to my friend who is very pretty, very feminine!</v>
      </c>
    </row>
    <row r="17318">
      <c r="A17318" s="1">
        <v>5.0</v>
      </c>
      <c r="B17318" s="1" t="s">
        <v>17027</v>
      </c>
      <c r="C17318" t="str">
        <f>IFERROR(__xludf.DUMMYFUNCTION("GOOGLETRANSLATE(B17318, ""fr"", ""en"")"),"Clean and simple. Although arrive timely, well packaged. This necklace comes in a beautiful box presentation dark color with the product brand write on it in silver. The contrast is pretty well and the spring writing. A real case. Inside we find a beautif"&amp;"ul necklace with a beautiful chain the original mesh. The chain is thin and stylish, it changes the usual mesh. The pendant is in the shape of heart on the right side it is decorated zirconia two ranger, who are a very beautiful effect. The other side rem"&amp;"ains uncluttered. It is nice in the pictures but true rendering is simply superb. The necklace is delivered with its storage box or transportation, perfect to offer. Also with a cloth to maintain it and make it shine. We realize ""the pendant hands,"" it'"&amp;"s a quality product, with a really good design and a full pack. My wife is delighted and for the price, I can offer him more often, to have pleasure.")</f>
        <v>Clean and simple. Although arrive timely, well packaged. This necklace comes in a beautiful box presentation dark color with the product brand write on it in silver. The contrast is pretty well and the spring writing. A real case. Inside we find a beautiful necklace with a beautiful chain the original mesh. The chain is thin and stylish, it changes the usual mesh. The pendant is in the shape of heart on the right side it is decorated zirconia two ranger, who are a very beautiful effect. The other side remains uncluttered. It is nice in the pictures but true rendering is simply superb. The necklace is delivered with its storage box or transportation, perfect to offer. Also with a cloth to maintain it and make it shine. We realize "the pendant hands," it's a quality product, with a really good design and a full pack. My wife is delighted and for the price, I can offer him more often, to have pleasure.</v>
      </c>
    </row>
    <row r="17319">
      <c r="A17319" s="1">
        <v>5.0</v>
      </c>
      <c r="B17319" s="1" t="s">
        <v>17028</v>
      </c>
      <c r="C17319" t="str">
        <f>IFERROR(__xludf.DUMMYFUNCTION("GOOGLETRANSLATE(B17319, ""fr"", ""en"")"),"Magnificent Voila several months the port and it remains intact it goes under water resistant to shock, the watch is easy to use.")</f>
        <v>Magnificent Voila several months the port and it remains intact it goes under water resistant to shock, the watch is easy to use.</v>
      </c>
    </row>
    <row r="17320">
      <c r="A17320" s="1">
        <v>5.0</v>
      </c>
      <c r="B17320" s="1" t="s">
        <v>17029</v>
      </c>
      <c r="C17320" t="str">
        <f>IFERROR(__xludf.DUMMYFUNCTION("GOOGLETRANSLATE(B17320, ""fr"", ""en"")"),"Super comfortable! I am very satisfied with the product at any point of life: comfort, quality, price. Accuse hesitation to recommend. Super comfortable!")</f>
        <v>Super comfortable! I am very satisfied with the product at any point of life: comfort, quality, price. Accuse hesitation to recommend. Super comfortable!</v>
      </c>
    </row>
    <row r="17321">
      <c r="A17321" s="1">
        <v>5.0</v>
      </c>
      <c r="B17321" s="1" t="s">
        <v>17030</v>
      </c>
      <c r="C17321" t="str">
        <f>IFERROR(__xludf.DUMMYFUNCTION("GOOGLETRANSLATE(B17321, ""fr"", ""en"")"),"Really good size is perfect, the material is nice. It keeps you warm. My husband is very satisfied")</f>
        <v>Really good size is perfect, the material is nice. It keeps you warm. My husband is very satisfied</v>
      </c>
    </row>
    <row r="17322">
      <c r="A17322" s="1">
        <v>5.0</v>
      </c>
      <c r="B17322" s="1" t="s">
        <v>17031</v>
      </c>
      <c r="C17322" t="str">
        <f>IFERROR(__xludf.DUMMYFUNCTION("GOOGLETRANSLATE(B17322, ""fr"", ""en"")"),"Beautiful and efficient I was looking for essential oil diffuser beautiful, zen and easy to use and I found it. If I add the 700ml water capacity and its content price, it all good. In the box you will find a leaflet offering four blends of essential oils"&amp;" (sweet dreams, goodbye mold, boost your brain and relax).")</f>
        <v>Beautiful and efficient I was looking for essential oil diffuser beautiful, zen and easy to use and I found it. If I add the 700ml water capacity and its content price, it all good. In the box you will find a leaflet offering four blends of essential oils (sweet dreams, goodbye mold, boost your brain and relax).</v>
      </c>
    </row>
    <row r="17323">
      <c r="A17323" s="1">
        <v>5.0</v>
      </c>
      <c r="B17323" s="1" t="s">
        <v>17032</v>
      </c>
      <c r="C17323" t="str">
        <f>IFERROR(__xludf.DUMMYFUNCTION("GOOGLETRANSLATE(B17323, ""fr"", ""en"")"),"Sports tights - Women Good quality and adequate size. Reasonable price. I bought 3 for jogging, tennis and hiking. To recommend !")</f>
        <v>Sports tights - Women Good quality and adequate size. Reasonable price. I bought 3 for jogging, tennis and hiking. To recommend !</v>
      </c>
    </row>
    <row r="17324">
      <c r="A17324" s="1">
        <v>5.0</v>
      </c>
      <c r="B17324" s="1" t="s">
        <v>17033</v>
      </c>
      <c r="C17324" t="str">
        <f>IFERROR(__xludf.DUMMYFUNCTION("GOOGLETRANSLATE(B17324, ""fr"", ""en"")"),"Comfortable Excellent quality")</f>
        <v>Comfortable Excellent quality</v>
      </c>
    </row>
    <row r="17325">
      <c r="A17325" s="1">
        <v>5.0</v>
      </c>
      <c r="B17325" s="1" t="s">
        <v>17034</v>
      </c>
      <c r="C17325" t="str">
        <f>IFERROR(__xludf.DUMMYFUNCTION("GOOGLETRANSLATE(B17325, ""fr"", ""en"")"),"super super I'm glad I bought this item everything went well, although we must not forget to support the music stores by purchasing products like this at home before they disappear, which would be a shame !!! A word;)")</f>
        <v>super super I'm glad I bought this item everything went well, although we must not forget to support the music stores by purchasing products like this at home before they disappear, which would be a shame !!! A word;)</v>
      </c>
    </row>
    <row r="17326">
      <c r="A17326" s="1">
        <v>5.0</v>
      </c>
      <c r="B17326" s="1" t="s">
        <v>17035</v>
      </c>
      <c r="C17326" t="str">
        <f>IFERROR(__xludf.DUMMYFUNCTION("GOOGLETRANSLATE(B17326, ""fr"", ""en"")"),"Sport earphones headphones conform to the description. Small, very well hold in the ear and good battery :)")</f>
        <v>Sport earphones headphones conform to the description. Small, very well hold in the ear and good battery :)</v>
      </c>
    </row>
    <row r="17327">
      <c r="A17327" s="1">
        <v>5.0</v>
      </c>
      <c r="B17327" s="1" t="s">
        <v>17036</v>
      </c>
      <c r="C17327" t="str">
        <f>IFERROR(__xludf.DUMMYFUNCTION("GOOGLETRANSLATE(B17327, ""fr"", ""en"")"),"Best for my hearing problems! hard of hearing, I needed a helmet with very crisp highs and balanced allow me to hear the radio ... same brand previously purchased via Amazon .... ..... and this without ruining me .. ......Now all is fine !")</f>
        <v>Best for my hearing problems! hard of hearing, I needed a helmet with very crisp highs and balanced allow me to hear the radio ... same brand previously purchased via Amazon .... ..... and this without ruining me .. ......Now all is fine !</v>
      </c>
    </row>
    <row r="17328">
      <c r="A17328" s="1">
        <v>2.0</v>
      </c>
      <c r="B17328" s="1" t="s">
        <v>17037</v>
      </c>
      <c r="C17328" t="str">
        <f>IFERROR(__xludf.DUMMYFUNCTION("GOOGLETRANSLATE(B17328, ""fr"", ""en"")"),"Tommee Tippee Very good product. Already bought my first child. But this time it does not close the water flows even if you block the cap. Besides my husband burned his hand with boiling water because of this defect")</f>
        <v>Tommee Tippee Very good product. Already bought my first child. But this time it does not close the water flows even if you block the cap. Besides my husband burned his hand with boiling water because of this defect</v>
      </c>
    </row>
    <row r="17329">
      <c r="A17329" s="1">
        <v>1.0</v>
      </c>
      <c r="B17329" s="1" t="s">
        <v>17038</v>
      </c>
      <c r="C17329" t="str">
        <f>IFERROR(__xludf.DUMMYFUNCTION("GOOGLETRANSLATE(B17329, ""fr"", ""en"")"),"It is a windbreaker CAHOUET I returned because this jacket is actually a cut CAHOUET wind. I'm disappointed")</f>
        <v>It is a windbreaker CAHOUET I returned because this jacket is actually a cut CAHOUET wind. I'm disappointed</v>
      </c>
    </row>
    <row r="17330">
      <c r="A17330" s="1">
        <v>1.0</v>
      </c>
      <c r="B17330" s="1" t="s">
        <v>17039</v>
      </c>
      <c r="C17330" t="str">
        <f>IFERROR(__xludf.DUMMYFUNCTION("GOOGLETRANSLATE(B17330, ""fr"", ""en"")"),"Tracksuit poor I am very disappointed to sweat, the ties are broken off, poor quality")</f>
        <v>Tracksuit poor I am very disappointed to sweat, the ties are broken off, poor quality</v>
      </c>
    </row>
    <row r="17331">
      <c r="A17331" s="1">
        <v>3.0</v>
      </c>
      <c r="B17331" s="1" t="s">
        <v>17040</v>
      </c>
      <c r="C17331" t="str">
        <f>IFERROR(__xludf.DUMMYFUNCTION("GOOGLETRANSLATE(B17331, ""fr"", ""en"")"),"nice, atttention to size! we know what we order, we finally imagine..chausse a little big and stiff leather, attention, feet fragiles..un little disappointed but nice product anyway!")</f>
        <v>nice, atttention to size! we know what we order, we finally imagine..chausse a little big and stiff leather, attention, feet fragiles..un little disappointed but nice product anyway!</v>
      </c>
    </row>
    <row r="17332">
      <c r="A17332" s="1">
        <v>4.0</v>
      </c>
      <c r="B17332" s="1" t="s">
        <v>17041</v>
      </c>
      <c r="C17332" t="str">
        <f>IFERROR(__xludf.DUMMYFUNCTION("GOOGLETRANSLATE(B17332, ""fr"", ""en"")"),"although it is not perfect, but given the price, it is good value, brightness change comes in spurts and the sound is way for some melodies, but a few of which I 'I found that can light up just 10 minutes before the alarm clock, which I appreciate particu"&amp;"larly.")</f>
        <v>although it is not perfect, but given the price, it is good value, brightness change comes in spurts and the sound is way for some melodies, but a few of which I 'I found that can light up just 10 minutes before the alarm clock, which I appreciate particularly.</v>
      </c>
    </row>
    <row r="17333">
      <c r="A17333" s="1">
        <v>4.0</v>
      </c>
      <c r="B17333" s="1" t="s">
        <v>17042</v>
      </c>
      <c r="C17333" t="str">
        <f>IFERROR(__xludf.DUMMYFUNCTION("GOOGLETRANSLATE(B17333, ""fr"", ""en"")"),"MEET THE DESCRIPTION product conforms to the same description, this glue is better than UHU because it sticks better, it is much nomic BIC")</f>
        <v>MEET THE DESCRIPTION product conforms to the same description, this glue is better than UHU because it sticks better, it is much nomic BIC</v>
      </c>
    </row>
    <row r="17334">
      <c r="A17334" s="1">
        <v>4.0</v>
      </c>
      <c r="B17334" s="1" t="s">
        <v>17043</v>
      </c>
      <c r="C17334" t="str">
        <f>IFERROR(__xludf.DUMMYFUNCTION("GOOGLETRANSLATE(B17334, ""fr"", ""en"")"),"top gift that for sure is fun")</f>
        <v>top gift that for sure is fun</v>
      </c>
    </row>
    <row r="17335">
      <c r="A17335" s="1">
        <v>4.0</v>
      </c>
      <c r="B17335" s="1" t="s">
        <v>17044</v>
      </c>
      <c r="C17335" t="str">
        <f>IFERROR(__xludf.DUMMYFUNCTION("GOOGLETRANSLATE(B17335, ""fr"", ""en"")"),"Perfect gift for my dad he loved")</f>
        <v>Perfect gift for my dad he loved</v>
      </c>
    </row>
    <row r="17336">
      <c r="A17336" s="1">
        <v>4.0</v>
      </c>
      <c r="B17336" s="1" t="s">
        <v>17045</v>
      </c>
      <c r="C17336" t="str">
        <f>IFERROR(__xludf.DUMMYFUNCTION("GOOGLETRANSLATE(B17336, ""fr"", ""en"")"),"nickel does not move even at the dryer, perfect")</f>
        <v>nickel does not move even at the dryer, perfect</v>
      </c>
    </row>
    <row r="17337">
      <c r="A17337" s="1">
        <v>5.0</v>
      </c>
      <c r="B17337" s="1" t="s">
        <v>17046</v>
      </c>
      <c r="C17337" t="str">
        <f>IFERROR(__xludf.DUMMYFUNCTION("GOOGLETRANSLATE(B17337, ""fr"", ""en"")"),"Good product Very nice shoes and matching size!")</f>
        <v>Good product Very nice shoes and matching size!</v>
      </c>
    </row>
    <row r="17338">
      <c r="A17338" s="1">
        <v>5.0</v>
      </c>
      <c r="B17338" s="1" t="s">
        <v>17047</v>
      </c>
      <c r="C17338" t="str">
        <f>IFERROR(__xludf.DUMMYFUNCTION("GOOGLETRANSLATE(B17338, ""fr"", ""en"")"),"Always a good product Good product, as usual because I always order the same on Amazon and I am never disappointed with the HP 301 cartridge")</f>
        <v>Always a good product Good product, as usual because I always order the same on Amazon and I am never disappointed with the HP 301 cartridge</v>
      </c>
    </row>
    <row r="17339">
      <c r="A17339" s="1">
        <v>5.0</v>
      </c>
      <c r="B17339" s="1" t="s">
        <v>17048</v>
      </c>
      <c r="C17339" t="str">
        <f>IFERROR(__xludf.DUMMYFUNCTION("GOOGLETRANSLATE(B17339, ""fr"", ""en"")"),"Nice product Perfect")</f>
        <v>Nice product Perfect</v>
      </c>
    </row>
    <row r="17340">
      <c r="A17340" s="1">
        <v>5.0</v>
      </c>
      <c r="B17340" s="1" t="s">
        <v>17049</v>
      </c>
      <c r="C17340" t="str">
        <f>IFERROR(__xludf.DUMMYFUNCTION("GOOGLETRANSLATE(B17340, ""fr"", ""en"")"),"Place your needs, you will be satisfied incredible well-being, I recommend !!")</f>
        <v>Place your needs, you will be satisfied incredible well-being, I recommend !!</v>
      </c>
    </row>
    <row r="17341">
      <c r="A17341" s="1">
        <v>5.0</v>
      </c>
      <c r="B17341" s="1" t="s">
        <v>17050</v>
      </c>
      <c r="C17341" t="str">
        <f>IFERROR(__xludf.DUMMYFUNCTION("GOOGLETRANSLATE(B17341, ""fr"", ""en"")"),"good Cool")</f>
        <v>good Cool</v>
      </c>
    </row>
    <row r="17342">
      <c r="A17342" s="1">
        <v>5.0</v>
      </c>
      <c r="B17342" s="1" t="s">
        <v>17051</v>
      </c>
      <c r="C17342" t="str">
        <f>IFERROR(__xludf.DUMMYFUNCTION("GOOGLETRANSLATE(B17342, ""fr"", ""en"")"),"Good quality Advent bottles are perfect, no complaints. I love this brand and ""natural"" bottles are fine baby is feeding well")</f>
        <v>Good quality Advent bottles are perfect, no complaints. I love this brand and "natural" bottles are fine baby is feeding well</v>
      </c>
    </row>
    <row r="17343">
      <c r="A17343" s="1">
        <v>5.0</v>
      </c>
      <c r="B17343" s="1" t="s">
        <v>17052</v>
      </c>
      <c r="C17343" t="str">
        <f>IFERROR(__xludf.DUMMYFUNCTION("GOOGLETRANSLATE(B17343, ""fr"", ""en"")"),"Very nice for the price! Very nice jewelry every day for the price. Very satisfied.")</f>
        <v>Very nice for the price! Very nice jewelry every day for the price. Very satisfied.</v>
      </c>
    </row>
    <row r="17344">
      <c r="A17344" s="1">
        <v>5.0</v>
      </c>
      <c r="B17344" s="1" t="s">
        <v>17053</v>
      </c>
      <c r="C17344" t="str">
        <f>IFERROR(__xludf.DUMMYFUNCTION("GOOGLETRANSLATE(B17344, ""fr"", ""en"")"),"Well Well, practice. A bit too big I think.")</f>
        <v>Well Well, practice. A bit too big I think.</v>
      </c>
    </row>
    <row r="17345">
      <c r="A17345" s="1">
        <v>5.0</v>
      </c>
      <c r="B17345" s="1" t="s">
        <v>17054</v>
      </c>
      <c r="C17345" t="str">
        <f>IFERROR(__xludf.DUMMYFUNCTION("GOOGLETRANSLATE(B17345, ""fr"", ""en"")"),"Good variegated. I bought this box of essential oils 12. It is sealed arrived, but when the shell is removed, a powerful and pleasant fragrance has been issued and no bottles had fled! It would be a great gift because there are 12 different bottles of 10 "&amp;"ml of oil to try, which helps everyone to decide his future purchase and its favorites.")</f>
        <v>Good variegated. I bought this box of essential oils 12. It is sealed arrived, but when the shell is removed, a powerful and pleasant fragrance has been issued and no bottles had fled! It would be a great gift because there are 12 different bottles of 10 ml of oil to try, which helps everyone to decide his future purchase and its favorites.</v>
      </c>
    </row>
    <row r="17346">
      <c r="A17346" s="1">
        <v>5.0</v>
      </c>
      <c r="B17346" s="1" t="s">
        <v>17055</v>
      </c>
      <c r="C17346" t="str">
        <f>IFERROR(__xludf.DUMMYFUNCTION("GOOGLETRANSLATE(B17346, ""fr"", ""en"")"),"Great product Very good article fully meets expectations. Satisfied I recommend around in my surroundings. Quick and simple hand baby")</f>
        <v>Great product Very good article fully meets expectations. Satisfied I recommend around in my surroundings. Quick and simple hand baby</v>
      </c>
    </row>
    <row r="17347">
      <c r="A17347" s="1">
        <v>5.0</v>
      </c>
      <c r="B17347" s="1" t="s">
        <v>17056</v>
      </c>
      <c r="C17347" t="str">
        <f>IFERROR(__xludf.DUMMYFUNCTION("GOOGLETRANSLATE(B17347, ""fr"", ""en"")"),"Solid and practical A little handy and sturdy bag. The fabric used is of good quality. We find inside a zippered pocket. Dimensions thoughtful, neither too large nor too small. Everything of course depends on the use we want to make. But in any case the p"&amp;"roduct is really good. * Product supplied with discount neutral comment *")</f>
        <v>Solid and practical A little handy and sturdy bag. The fabric used is of good quality. We find inside a zippered pocket. Dimensions thoughtful, neither too large nor too small. Everything of course depends on the use we want to make. But in any case the product is really good. * Product supplied with discount neutral comment *</v>
      </c>
    </row>
    <row r="17348">
      <c r="A17348" s="1">
        <v>5.0</v>
      </c>
      <c r="B17348" s="1" t="s">
        <v>17057</v>
      </c>
      <c r="C17348" t="str">
        <f>IFERROR(__xludf.DUMMYFUNCTION("GOOGLETRANSLATE(B17348, ""fr"", ""en"")"),"beautiful buying fast shipment, the picture is beautiful, it adheres well with the magnets and they were well packaged. Delighted!")</f>
        <v>beautiful buying fast shipment, the picture is beautiful, it adheres well with the magnets and they were well packaged. Delighted!</v>
      </c>
    </row>
    <row r="17349">
      <c r="A17349" s="1">
        <v>5.0</v>
      </c>
      <c r="B17349" s="1" t="s">
        <v>17058</v>
      </c>
      <c r="C17349" t="str">
        <f>IFERROR(__xludf.DUMMYFUNCTION("GOOGLETRANSLATE(B17349, ""fr"", ""en"")"),"Gift Pouch man that appealed to the person who has already had a brand pouch. just perfect format for necessary This is a product Easpak, solid")</f>
        <v>Gift Pouch man that appealed to the person who has already had a brand pouch. just perfect format for necessary This is a product Easpak, solid</v>
      </c>
    </row>
    <row r="17350">
      <c r="A17350" s="1">
        <v>5.0</v>
      </c>
      <c r="B17350" s="1" t="s">
        <v>17059</v>
      </c>
      <c r="C17350" t="str">
        <f>IFERROR(__xludf.DUMMYFUNCTION("GOOGLETRANSLATE(B17350, ""fr"", ""en"")"),"Very nice Magnificent goumette")</f>
        <v>Very nice Magnificent goumette</v>
      </c>
    </row>
    <row r="17351">
      <c r="A17351" s="1">
        <v>5.0</v>
      </c>
      <c r="B17351" s="1" t="s">
        <v>17060</v>
      </c>
      <c r="C17351" t="str">
        <f>IFERROR(__xludf.DUMMYFUNCTION("GOOGLETRANSLATE(B17351, ""fr"", ""en"")"),"Very nice shoes very pretty, comfortable, for they are against slippery grrrr")</f>
        <v>Very nice shoes very pretty, comfortable, for they are against slippery grrrr</v>
      </c>
    </row>
    <row r="17352">
      <c r="A17352" s="1">
        <v>2.0</v>
      </c>
      <c r="B17352" s="1" t="s">
        <v>17061</v>
      </c>
      <c r="C17352" t="str">
        <f>IFERROR(__xludf.DUMMYFUNCTION("GOOGLETRANSLATE(B17352, ""fr"", ""en"")"),"Disappointed Comfort is frankly not terrible. I do not recommend this article")</f>
        <v>Disappointed Comfort is frankly not terrible. I do not recommend this article</v>
      </c>
    </row>
    <row r="17353">
      <c r="A17353" s="1">
        <v>1.0</v>
      </c>
      <c r="B17353" s="1" t="s">
        <v>17062</v>
      </c>
      <c r="C17353" t="str">
        <f>IFERROR(__xludf.DUMMYFUNCTION("GOOGLETRANSLATE(B17353, ""fr"", ""en"")"),"Necklace junk not to offer from the junk. Photos are misleading. The collar is not offrable in the state. C is clearly a scam. It is neither 60 nor Euro 18. I request the return")</f>
        <v>Necklace junk not to offer from the junk. Photos are misleading. The collar is not offrable in the state. C is clearly a scam. It is neither 60 nor Euro 18. I request the return</v>
      </c>
    </row>
    <row r="17354">
      <c r="A17354" s="1">
        <v>3.0</v>
      </c>
      <c r="B17354" s="1" t="s">
        <v>17063</v>
      </c>
      <c r="C17354" t="str">
        <f>IFERROR(__xludf.DUMMYFUNCTION("GOOGLETRANSLATE(B17354, ""fr"", ""en"")"),"Trainers Grinds too when walking")</f>
        <v>Trainers Grinds too when walking</v>
      </c>
    </row>
    <row r="17355">
      <c r="A17355" s="1">
        <v>3.0</v>
      </c>
      <c r="B17355" s="1" t="s">
        <v>17064</v>
      </c>
      <c r="C17355" t="str">
        <f>IFERROR(__xludf.DUMMYFUNCTION("GOOGLETRANSLATE(B17355, ""fr"", ""en"")"),"Not meet my expectations I wanted sth that compresses! But this is not the case however I took a size. express below! A bit disappointed with this purchase. Serve all the same.")</f>
        <v>Not meet my expectations I wanted sth that compresses! But this is not the case however I took a size. express below! A bit disappointed with this purchase. Serve all the same.</v>
      </c>
    </row>
    <row r="17356">
      <c r="A17356" s="1">
        <v>4.0</v>
      </c>
      <c r="B17356" s="1" t="s">
        <v>17065</v>
      </c>
      <c r="C17356" t="str">
        <f>IFERROR(__xludf.DUMMYFUNCTION("GOOGLETRANSLATE(B17356, ""fr"", ""en"")"),"Perfect Perfect. Helped me to survive the winter. I felt a difference on fatigue and mood. . I recommend this product.")</f>
        <v>Perfect Perfect. Helped me to survive the winter. I felt a difference on fatigue and mood. . I recommend this product.</v>
      </c>
    </row>
    <row r="17357">
      <c r="A17357" s="1">
        <v>4.0</v>
      </c>
      <c r="B17357" s="1" t="s">
        <v>17066</v>
      </c>
      <c r="C17357" t="str">
        <f>IFERROR(__xludf.DUMMYFUNCTION("GOOGLETRANSLATE(B17357, ""fr"", ""en"")"),"Very good very good, only downside is very small.")</f>
        <v>Very good very good, only downside is very small.</v>
      </c>
    </row>
    <row r="17358">
      <c r="A17358" s="1">
        <v>4.0</v>
      </c>
      <c r="B17358" s="1" t="s">
        <v>17067</v>
      </c>
      <c r="C17358" t="str">
        <f>IFERROR(__xludf.DUMMYFUNCTION("GOOGLETRANSLATE(B17358, ""fr"", ""en"")"),"Puma well-trimmed socks, warm enough without being too big. My son loves them and made me order more items like this one.")</f>
        <v>Puma well-trimmed socks, warm enough without being too big. My son loves them and made me order more items like this one.</v>
      </c>
    </row>
    <row r="17359">
      <c r="A17359" s="1">
        <v>4.0</v>
      </c>
      <c r="B17359" s="1" t="s">
        <v>17068</v>
      </c>
      <c r="C17359" t="str">
        <f>IFERROR(__xludf.DUMMYFUNCTION("GOOGLETRANSLATE(B17359, ""fr"", ""en"")"),"quality bristles cleans out the walls and bottoms, also happens to the nipples (bottles range MAM) but the tip rigid profits me nothing. Good quality brush.")</f>
        <v>quality bristles cleans out the walls and bottoms, also happens to the nipples (bottles range MAM) but the tip rigid profits me nothing. Good quality brush.</v>
      </c>
    </row>
    <row r="17360">
      <c r="A17360" s="1">
        <v>5.0</v>
      </c>
      <c r="B17360" s="1" t="s">
        <v>17069</v>
      </c>
      <c r="C17360" t="str">
        <f>IFERROR(__xludf.DUMMYFUNCTION("GOOGLETRANSLATE(B17360, ""fr"", ""en"")"),"Hello great product, the product is great. I recommade, my bottles are ready for an ideal temperature which prevents digestion problems in addition to my baby.")</f>
        <v>Hello great product, the product is great. I recommade, my bottles are ready for an ideal temperature which prevents digestion problems in addition to my baby.</v>
      </c>
    </row>
    <row r="17361">
      <c r="A17361" s="1">
        <v>5.0</v>
      </c>
      <c r="B17361" s="1" t="s">
        <v>17070</v>
      </c>
      <c r="C17361" t="str">
        <f>IFERROR(__xludf.DUMMYFUNCTION("GOOGLETRANSLATE(B17361, ""fr"", ""en"")"),"A kettle handy! Very pleased with this kettle plastic dark burgundy color that replaces the boiler of a known brand but was metal. Metal who eventually rust at the lid. It must be said that here the use of the kettle is quite intensive. The capacity of 1."&amp;"7 l suits me perfectly. It will be easy to clean: just pour white vinegar and boil (rinse well afterwards!) And the removable filter is easy to clean which is a plus. It does not take too much space. I enclose a photo. After four months of use, I see as o"&amp;"thers that the kettle bubbling long before stopping automatically. I prefer to stop myself most of the time. It cleans easily with white vinegar as I wrote, the filter also. However, I remain satisfied with my purchase.")</f>
        <v>A kettle handy! Very pleased with this kettle plastic dark burgundy color that replaces the boiler of a known brand but was metal. Metal who eventually rust at the lid. It must be said that here the use of the kettle is quite intensive. The capacity of 1.7 l suits me perfectly. It will be easy to clean: just pour white vinegar and boil (rinse well afterwards!) And the removable filter is easy to clean which is a plus. It does not take too much space. I enclose a photo. After four months of use, I see as others that the kettle bubbling long before stopping automatically. I prefer to stop myself most of the time. It cleans easily with white vinegar as I wrote, the filter also. However, I remain satisfied with my purchase.</v>
      </c>
    </row>
    <row r="17362">
      <c r="A17362" s="1">
        <v>5.0</v>
      </c>
      <c r="B17362" s="1" t="s">
        <v>17071</v>
      </c>
      <c r="C17362" t="str">
        <f>IFERROR(__xludf.DUMMYFUNCTION("GOOGLETRANSLATE(B17362, ""fr"", ""en"")"),"Great ! Excellent micro very good! Although some problems were encountered during installation on my PC. It is resistant, and high quality, great product.")</f>
        <v>Great ! Excellent micro very good! Although some problems were encountered during installation on my PC. It is resistant, and high quality, great product.</v>
      </c>
    </row>
    <row r="17363">
      <c r="A17363" s="1">
        <v>5.0</v>
      </c>
      <c r="B17363" s="1" t="s">
        <v>17072</v>
      </c>
      <c r="C17363" t="str">
        <f>IFERROR(__xludf.DUMMYFUNCTION("GOOGLETRANSLATE(B17363, ""fr"", ""en"")"),"I advise you the best, good size and no worries of receiving the package. What to say ? Except that this is a good choice")</f>
        <v>I advise you the best, good size and no worries of receiving the package. What to say ? Except that this is a good choice</v>
      </c>
    </row>
    <row r="17364">
      <c r="A17364" s="1">
        <v>5.0</v>
      </c>
      <c r="B17364" s="1" t="s">
        <v>17073</v>
      </c>
      <c r="C17364" t="str">
        <f>IFERROR(__xludf.DUMMYFUNCTION("GOOGLETRANSLATE(B17364, ""fr"", ""en"")"),"We adore My daughter is delighted, great quality and it is jealous. We love them. I should have taken me a pair!")</f>
        <v>We adore My daughter is delighted, great quality and it is jealous. We love them. I should have taken me a pair!</v>
      </c>
    </row>
    <row r="17365">
      <c r="A17365" s="1">
        <v>5.0</v>
      </c>
      <c r="B17365" s="1" t="s">
        <v>17074</v>
      </c>
      <c r="C17365" t="str">
        <f>IFERROR(__xludf.DUMMYFUNCTION("GOOGLETRANSLATE(B17365, ""fr"", ""en"")"),"Perfect ! Sending ultra fast and produces the top ... at this price !!!!")</f>
        <v>Perfect ! Sending ultra fast and produces the top ... at this price !!!!</v>
      </c>
    </row>
    <row r="17366">
      <c r="A17366" s="1">
        <v>5.0</v>
      </c>
      <c r="B17366" s="1" t="s">
        <v>17075</v>
      </c>
      <c r="C17366" t="str">
        <f>IFERROR(__xludf.DUMMYFUNCTION("GOOGLETRANSLATE(B17366, ""fr"", ""en"")"),"Black leather strap. Quality that appears to be. We'll see in time .... Very easy to mount with integrated system. Small tool to remove the old wristband. Anyway for now that's good! Especially at this price ... Edict: after 2 intensive months of use, I c"&amp;"an say that the quality is there. I use a smart watch, I almost 24/24 because I sleep with, so I run with sweat and bracelet does not move. As well as the original, which was also in leather! Very well then! Especially given the price.")</f>
        <v>Black leather strap. Quality that appears to be. We'll see in time .... Very easy to mount with integrated system. Small tool to remove the old wristband. Anyway for now that's good! Especially at this price ... Edict: after 2 intensive months of use, I can say that the quality is there. I use a smart watch, I almost 24/24 because I sleep with, so I run with sweat and bracelet does not move. As well as the original, which was also in leather! Very well then! Especially given the price.</v>
      </c>
    </row>
    <row r="17367">
      <c r="A17367" s="1">
        <v>5.0</v>
      </c>
      <c r="B17367" s="1" t="s">
        <v>17076</v>
      </c>
      <c r="C17367" t="str">
        <f>IFERROR(__xludf.DUMMYFUNCTION("GOOGLETRANSLATE(B17367, ""fr"", ""en"")"),"Answer my expectations hood that fits perfectly to my kitchen. It is entirely melted in it. It covers a large sour face and suction power is very good (I do not expect that). The lamps are very convenient for the evening! Several power levels (in order to"&amp;" have a compromise between noise and efficiency!).")</f>
        <v>Answer my expectations hood that fits perfectly to my kitchen. It is entirely melted in it. It covers a large sour face and suction power is very good (I do not expect that). The lamps are very convenient for the evening! Several power levels (in order to have a compromise between noise and efficiency!).</v>
      </c>
    </row>
    <row r="17368">
      <c r="A17368" s="1">
        <v>5.0</v>
      </c>
      <c r="B17368" s="1" t="s">
        <v>17077</v>
      </c>
      <c r="C17368" t="str">
        <f>IFERROR(__xludf.DUMMYFUNCTION("GOOGLETRANSLATE(B17368, ""fr"", ""en"")"),"very good Product bought for very effective all winter: a few drops in the morning helped to prevent recurrent ear infections though my daughter since she was nasopharyngitis. With propolis, colds disappear within a few days without any complications.")</f>
        <v>very good Product bought for very effective all winter: a few drops in the morning helped to prevent recurrent ear infections though my daughter since she was nasopharyngitis. With propolis, colds disappear within a few days without any complications.</v>
      </c>
    </row>
    <row r="17369">
      <c r="A17369" s="1">
        <v>5.0</v>
      </c>
      <c r="B17369" s="1" t="s">
        <v>17078</v>
      </c>
      <c r="C17369" t="str">
        <f>IFERROR(__xludf.DUMMYFUNCTION("GOOGLETRANSLATE(B17369, ""fr"", ""en"")"),"Magnificent Magnificent necklace received before the expected date I could see the slightly larger but as the person he loves art for discreet jewelery is the top.")</f>
        <v>Magnificent Magnificent necklace received before the expected date I could see the slightly larger but as the person he loves art for discreet jewelery is the top.</v>
      </c>
    </row>
    <row r="17370">
      <c r="A17370" s="1">
        <v>5.0</v>
      </c>
      <c r="B17370" s="1" t="s">
        <v>17079</v>
      </c>
      <c r="C17370" t="str">
        <f>IFERROR(__xludf.DUMMYFUNCTION("GOOGLETRANSLATE(B17370, ""fr"", ""en"")"),"The watches chronograph watches so I love beautiful color, easy to put the same arm for a handicap, it's not like all watches ?????")</f>
        <v>The watches chronograph watches so I love beautiful color, easy to put the same arm for a handicap, it's not like all watches ?????</v>
      </c>
    </row>
    <row r="17371">
      <c r="A17371" s="1">
        <v>5.0</v>
      </c>
      <c r="B17371" s="1" t="s">
        <v>17080</v>
      </c>
      <c r="C17371" t="str">
        <f>IFERROR(__xludf.DUMMYFUNCTION("GOOGLETRANSLATE(B17371, ""fr"", ""en"")"),"Fair Very good size very poor quality")</f>
        <v>Fair Very good size very poor quality</v>
      </c>
    </row>
    <row r="17372">
      <c r="A17372" s="1">
        <v>5.0</v>
      </c>
      <c r="B17372" s="1" t="s">
        <v>17081</v>
      </c>
      <c r="C17372" t="str">
        <f>IFERROR(__xludf.DUMMYFUNCTION("GOOGLETRANSLATE(B17372, ""fr"", ""en"")"),"Great Clips have helped us to hang the light string outside. It was clean before the paste on PVC banners. We were able to hang our garland of 100m without problems. It is a little over a month everything is installed and no clip fell despite the wind and"&amp;" rain that may have these days. I recommend +++")</f>
        <v>Great Clips have helped us to hang the light string outside. It was clean before the paste on PVC banners. We were able to hang our garland of 100m without problems. It is a little over a month everything is installed and no clip fell despite the wind and rain that may have these days. I recommend +++</v>
      </c>
    </row>
    <row r="17373">
      <c r="A17373" s="1">
        <v>5.0</v>
      </c>
      <c r="B17373" s="1" t="s">
        <v>17082</v>
      </c>
      <c r="C17373" t="str">
        <f>IFERROR(__xludf.DUMMYFUNCTION("GOOGLETRANSLATE(B17373, ""fr"", ""en"")"),"Nickel Nothing to say. Conforms to title")</f>
        <v>Nickel Nothing to say. Conforms to title</v>
      </c>
    </row>
    <row r="17374">
      <c r="A17374" s="1">
        <v>5.0</v>
      </c>
      <c r="B17374" s="1" t="s">
        <v>17083</v>
      </c>
      <c r="C17374" t="str">
        <f>IFERROR(__xludf.DUMMYFUNCTION("GOOGLETRANSLATE(B17374, ""fr"", ""en"")"),"They work perfectly well without drying. These cartridges are expensive but they do not dry and working perfectly bien.Je therefore recommends despite their high prices.")</f>
        <v>They work perfectly well without drying. These cartridges are expensive but they do not dry and working perfectly bien.Je therefore recommends despite their high prices.</v>
      </c>
    </row>
    <row r="17375">
      <c r="A17375" s="1">
        <v>2.0</v>
      </c>
      <c r="B17375" s="1" t="s">
        <v>17084</v>
      </c>
      <c r="C17375" t="str">
        <f>IFERROR(__xludf.DUMMYFUNCTION("GOOGLETRANSLATE(B17375, ""fr"", ""en"")"),"Disappointed Keeps well in front as I wished but poor quality materials: The outside is felt abyss very quickly and interior padding quickly became nauseous when I do not have a sweating problem feet and more I uses almost systematically with socks")</f>
        <v>Disappointed Keeps well in front as I wished but poor quality materials: The outside is felt abyss very quickly and interior padding quickly became nauseous when I do not have a sweating problem feet and more I uses almost systematically with socks</v>
      </c>
    </row>
    <row r="17376">
      <c r="A17376" s="1">
        <v>1.0</v>
      </c>
      <c r="B17376" s="1" t="s">
        <v>17085</v>
      </c>
      <c r="C17376" t="str">
        <f>IFERROR(__xludf.DUMMYFUNCTION("GOOGLETRANSLATE(B17376, ""fr"", ""en"")"),"Maivaise quality of the sole. After 1 month and a half, then I am a truck driver (so they do not suffer too), the sole is already cracked on the side. Not good")</f>
        <v>Maivaise quality of the sole. After 1 month and a half, then I am a truck driver (so they do not suffer too), the sole is already cracked on the side. Not good</v>
      </c>
    </row>
    <row r="17377">
      <c r="A17377" s="1">
        <v>1.0</v>
      </c>
      <c r="B17377" s="1" t="s">
        <v>17086</v>
      </c>
      <c r="C17377" t="str">
        <f>IFERROR(__xludf.DUMMYFUNCTION("GOOGLETRANSLATE(B17377, ""fr"", ""en"")"),"Not good not good because veiled SEVERAL months we have to buy for the whole family and it deforms are not comfortable when walking for white soles is damaged too fast, damage")</f>
        <v>Not good not good because veiled SEVERAL months we have to buy for the whole family and it deforms are not comfortable when walking for white soles is damaged too fast, damage</v>
      </c>
    </row>
    <row r="17378">
      <c r="A17378" s="1">
        <v>3.0</v>
      </c>
      <c r="B17378" s="1" t="s">
        <v>17087</v>
      </c>
      <c r="C17378" t="str">
        <f>IFERROR(__xludf.DUMMYFUNCTION("GOOGLETRANSLATE(B17378, ""fr"", ""en"")"),"practical and sober ... for everyday use, simple and practical that matches my expectations a ... a book shelf, a magazine ... a reusable bag for any shopping ... My papers and others, everything goes without inflate the bag ... practice what")</f>
        <v>practical and sober ... for everyday use, simple and practical that matches my expectations a ... a book shelf, a magazine ... a reusable bag for any shopping ... My papers and others, everything goes without inflate the bag ... practice what</v>
      </c>
    </row>
    <row r="17379">
      <c r="A17379" s="1">
        <v>3.0</v>
      </c>
      <c r="B17379" s="1" t="s">
        <v>17088</v>
      </c>
      <c r="C17379" t="str">
        <f>IFERROR(__xludf.DUMMYFUNCTION("GOOGLETRANSLATE(B17379, ""fr"", ""en"")"),"Stiafaite. pretty necklace")</f>
        <v>Stiafaite. pretty necklace</v>
      </c>
    </row>
    <row r="17380">
      <c r="A17380" s="1">
        <v>4.0</v>
      </c>
      <c r="B17380" s="1" t="s">
        <v>17089</v>
      </c>
      <c r="C17380" t="str">
        <f>IFERROR(__xludf.DUMMYFUNCTION("GOOGLETRANSLATE(B17380, ""fr"", ""en"")"),"This classic kettle is very traditional in both its design and in its functionality. The brushed steel look is now very widespread, it lacks a bit of whimsy. Compared to my old model, I note a very rapid rise in temperature, its main asset to me. I like t"&amp;"he removable anti limestone filter principle that can be easily cleaned. The price is in the upper range of this type of product, so it will not be here a purchase argument. After boiling, the water flows very well, which avoids getting burned, the system"&amp;" is well designed. Made in China. Russell Hobbs is an English brand, specialized in small appliances, with headquarters located in England. 2 year warranty but another year is offered provided they register on the site of Russell Hobbs.")</f>
        <v>This classic kettle is very traditional in both its design and in its functionality. The brushed steel look is now very widespread, it lacks a bit of whimsy. Compared to my old model, I note a very rapid rise in temperature, its main asset to me. I like the removable anti limestone filter principle that can be easily cleaned. The price is in the upper range of this type of product, so it will not be here a purchase argument. After boiling, the water flows very well, which avoids getting burned, the system is well designed. Made in China. Russell Hobbs is an English brand, specialized in small appliances, with headquarters located in England. 2 year warranty but another year is offered provided they register on the site of Russell Hobbs.</v>
      </c>
    </row>
    <row r="17381">
      <c r="A17381" s="1">
        <v>4.0</v>
      </c>
      <c r="B17381" s="1" t="s">
        <v>17090</v>
      </c>
      <c r="C17381" t="str">
        <f>IFERROR(__xludf.DUMMYFUNCTION("GOOGLETRANSLATE(B17381, ""fr"", ""en"")"),"Practice perfect presentation, practical and ideal use for multiple tasks. Good quality / price, fast delivery.")</f>
        <v>Practice perfect presentation, practical and ideal use for multiple tasks. Good quality / price, fast delivery.</v>
      </c>
    </row>
    <row r="17382">
      <c r="A17382" s="1">
        <v>4.0</v>
      </c>
      <c r="B17382" s="1" t="s">
        <v>17091</v>
      </c>
      <c r="C17382" t="str">
        <f>IFERROR(__xludf.DUMMYFUNCTION("GOOGLETRANSLATE(B17382, ""fr"", ""en"")"),"Using noise reduction by train and public transport: very effective reduction of continuous noise (working triune, traffic ...) In use as a pedestrian, do not push the background noise reduction for isolation can become dangerous .")</f>
        <v>Using noise reduction by train and public transport: very effective reduction of continuous noise (working triune, traffic ...) In use as a pedestrian, do not push the background noise reduction for isolation can become dangerous .</v>
      </c>
    </row>
    <row r="17383">
      <c r="A17383" s="1">
        <v>4.0</v>
      </c>
      <c r="B17383" s="1" t="s">
        <v>17092</v>
      </c>
      <c r="C17383" t="str">
        <f>IFERROR(__xludf.DUMMYFUNCTION("GOOGLETRANSLATE(B17383, ""fr"", ""en"")"),"The quality for me")</f>
        <v>The quality for me</v>
      </c>
    </row>
    <row r="17384">
      <c r="A17384" s="1">
        <v>5.0</v>
      </c>
      <c r="B17384" s="1" t="s">
        <v>17093</v>
      </c>
      <c r="C17384" t="str">
        <f>IFERROR(__xludf.DUMMYFUNCTION("GOOGLETRANSLATE(B17384, ""fr"", ""en"")"),"Bingo fact a beautiful watch - jewelry. I note a slight shift on the second hand. A good product A strongly advise")</f>
        <v>Bingo fact a beautiful watch - jewelry. I note a slight shift on the second hand. A good product A strongly advise</v>
      </c>
    </row>
    <row r="17385">
      <c r="A17385" s="1">
        <v>5.0</v>
      </c>
      <c r="B17385" s="1" t="s">
        <v>17094</v>
      </c>
      <c r="C17385" t="str">
        <f>IFERROR(__xludf.DUMMYFUNCTION("GOOGLETRANSLATE(B17385, ""fr"", ""en"")"),"What a joy to be home this massager massage Okay seat but did not ground the shoulders of the great. The balls are a little hard at the beginning and after you get used to.")</f>
        <v>What a joy to be home this massager massage Okay seat but did not ground the shoulders of the great. The balls are a little hard at the beginning and after you get used to.</v>
      </c>
    </row>
    <row r="17386">
      <c r="A17386" s="1">
        <v>5.0</v>
      </c>
      <c r="B17386" s="1" t="s">
        <v>17095</v>
      </c>
      <c r="C17386" t="str">
        <f>IFERROR(__xludf.DUMMYFUNCTION("GOOGLETRANSLATE(B17386, ""fr"", ""en"")"),"Ras ink cartridges")</f>
        <v>Ras ink cartridges</v>
      </c>
    </row>
    <row r="17387">
      <c r="A17387" s="1">
        <v>5.0</v>
      </c>
      <c r="B17387" s="1" t="s">
        <v>17096</v>
      </c>
      <c r="C17387" t="str">
        <f>IFERROR(__xludf.DUMMYFUNCTION("GOOGLETRANSLATE(B17387, ""fr"", ""en"")"),"Bottle MAM Perfect!")</f>
        <v>Bottle MAM Perfect!</v>
      </c>
    </row>
    <row r="17388">
      <c r="A17388" s="1">
        <v>5.0</v>
      </c>
      <c r="B17388" s="1" t="s">
        <v>17097</v>
      </c>
      <c r="C17388" t="str">
        <f>IFERROR(__xludf.DUMMYFUNCTION("GOOGLETRANSLATE(B17388, ""fr"", ""en"")"),"Mam Pending use")</f>
        <v>Mam Pending use</v>
      </c>
    </row>
    <row r="17389">
      <c r="A17389" s="1">
        <v>5.0</v>
      </c>
      <c r="B17389" s="1" t="s">
        <v>17098</v>
      </c>
      <c r="C17389" t="str">
        <f>IFERROR(__xludf.DUMMYFUNCTION("GOOGLETRANSLATE(B17389, ""fr"", ""en"")"),"It is not provided and wish good Eats and works very well")</f>
        <v>It is not provided and wish good Eats and works very well</v>
      </c>
    </row>
    <row r="17390">
      <c r="A17390" s="1">
        <v>5.0</v>
      </c>
      <c r="B17390" s="1" t="s">
        <v>17099</v>
      </c>
      <c r="C17390" t="str">
        <f>IFERROR(__xludf.DUMMYFUNCTION("GOOGLETRANSLATE(B17390, ""fr"", ""en"")"),"I was completely Adher this bottle I love. I recommend to all mothers. There is no better product for washing baby bottles. The fate peoduit foam liquid and not blow his not remain hanging on the bottle and leaves no odor")</f>
        <v>I was completely Adher this bottle I love. I recommend to all mothers. There is no better product for washing baby bottles. The fate peoduit foam liquid and not blow his not remain hanging on the bottle and leaves no odor</v>
      </c>
    </row>
    <row r="17391">
      <c r="A17391" s="1">
        <v>5.0</v>
      </c>
      <c r="B17391" s="1" t="s">
        <v>17100</v>
      </c>
      <c r="C17391" t="str">
        <f>IFERROR(__xludf.DUMMYFUNCTION("GOOGLETRANSLATE(B17391, ""fr"", ""en"")"),"Super Beautiful build quality, fine finish. The pellet of ceramic mist is covered with Teflon, which guarantees a good life. Lighting effects are adjustable and pretty cool. Misting is very thin and rises high enough thanks to embedded fan that is rather "&amp;"discreet. I recommend 👍")</f>
        <v>Super Beautiful build quality, fine finish. The pellet of ceramic mist is covered with Teflon, which guarantees a good life. Lighting effects are adjustable and pretty cool. Misting is very thin and rises high enough thanks to embedded fan that is rather discreet. I recommend 👍</v>
      </c>
    </row>
    <row r="17392">
      <c r="A17392" s="1">
        <v>5.0</v>
      </c>
      <c r="B17392" s="1" t="s">
        <v>17101</v>
      </c>
      <c r="C17392" t="str">
        <f>IFERROR(__xludf.DUMMYFUNCTION("GOOGLETRANSLATE(B17392, ""fr"", ""en"")"),"Absolutely brilliant and the word is weak My sincere woman who suffered at the neck back and shoulder (we do a lot of bike for professional reasons), used this device, and it relieves really well. apparatus which can be really used on other parts of the b"&amp;"ack shoulder neck and kidneys. I ssay for fun on my side, although hè pleasantly surprised efficiency it gives (me it is rather the kidneys suffering we sincerely recommend.")</f>
        <v>Absolutely brilliant and the word is weak My sincere woman who suffered at the neck back and shoulder (we do a lot of bike for professional reasons), used this device, and it relieves really well. apparatus which can be really used on other parts of the back shoulder neck and kidneys. I ssay for fun on my side, although hè pleasantly surprised efficiency it gives (me it is rather the kidneys suffering we sincerely recommend.</v>
      </c>
    </row>
    <row r="17393">
      <c r="A17393" s="1">
        <v>5.0</v>
      </c>
      <c r="B17393" s="1" t="s">
        <v>17102</v>
      </c>
      <c r="C17393" t="str">
        <f>IFERROR(__xludf.DUMMYFUNCTION("GOOGLETRANSLATE(B17393, ""fr"", ""en"")"),"Good quality Daily use according shoe")</f>
        <v>Good quality Daily use according shoe</v>
      </c>
    </row>
    <row r="17394">
      <c r="A17394" s="1">
        <v>5.0</v>
      </c>
      <c r="B17394" s="1" t="s">
        <v>17103</v>
      </c>
      <c r="C17394" t="str">
        <f>IFERROR(__xludf.DUMMYFUNCTION("GOOGLETRANSLATE(B17394, ""fr"", ""en"")"),"PERFECT! After several postponements, my son returned to LEVIS 511 Slim. HEADED SOUTH color is very beautiful, slim fit but not sticky (slim!), Comfortable material and perfect 30/34 to 1.78m / 60kg. Received 24 and threaded to the school in the wake!")</f>
        <v>PERFECT! After several postponements, my son returned to LEVIS 511 Slim. HEADED SOUTH color is very beautiful, slim fit but not sticky (slim!), Comfortable material and perfect 30/34 to 1.78m / 60kg. Received 24 and threaded to the school in the wake!</v>
      </c>
    </row>
    <row r="17395">
      <c r="A17395" s="1">
        <v>5.0</v>
      </c>
      <c r="B17395" s="1" t="s">
        <v>17104</v>
      </c>
      <c r="C17395" t="str">
        <f>IFERROR(__xludf.DUMMYFUNCTION("GOOGLETRANSLATE(B17395, ""fr"", ""en"")"),"Cheap and comfortable! With the Indian summer in the south west, I found myself short of thin sock ... I have therefore orders the one ... and I'm satisfied !! they hold well ... they look good quality ... I do not perspire al interior, and essential, the"&amp;"y are comfortable! short, I recommend!")</f>
        <v>Cheap and comfortable! With the Indian summer in the south west, I found myself short of thin sock ... I have therefore orders the one ... and I'm satisfied !! they hold well ... they look good quality ... I do not perspire al interior, and essential, they are comfortable! short, I recommend!</v>
      </c>
    </row>
    <row r="17396">
      <c r="A17396" s="1">
        <v>5.0</v>
      </c>
      <c r="B17396" s="1" t="s">
        <v>17105</v>
      </c>
      <c r="C17396" t="str">
        <f>IFERROR(__xludf.DUMMYFUNCTION("GOOGLETRANSLATE(B17396, ""fr"", ""en"")"),"Good quality and good surprise for generic cartridges When receives, we wonder if they will really work because not breathe manufacturing strength. After installation, no surprises. The prints are beautiful, no ink stains.")</f>
        <v>Good quality and good surprise for generic cartridges When receives, we wonder if they will really work because not breathe manufacturing strength. After installation, no surprises. The prints are beautiful, no ink stains.</v>
      </c>
    </row>
    <row r="17397">
      <c r="A17397" s="1">
        <v>5.0</v>
      </c>
      <c r="B17397" s="1" t="s">
        <v>17106</v>
      </c>
      <c r="C17397" t="str">
        <f>IFERROR(__xludf.DUMMYFUNCTION("GOOGLETRANSLATE(B17397, ""fr"", ""en"")"),"Great for beginners! Functional and cheap. If you need a good microphone and cheap this is it. You have full YouTube videos on how to install and use. You will in addition a separate 48V power source also easily found on Amazon. Very good product that has"&amp;" passed the test ""used by a teenager"" :)")</f>
        <v>Great for beginners! Functional and cheap. If you need a good microphone and cheap this is it. You have full YouTube videos on how to install and use. You will in addition a separate 48V power source also easily found on Amazon. Very good product that has passed the test "used by a teenager" :)</v>
      </c>
    </row>
    <row r="17398">
      <c r="A17398" s="1">
        <v>5.0</v>
      </c>
      <c r="B17398" s="1" t="s">
        <v>17107</v>
      </c>
      <c r="C17398" t="str">
        <f>IFERROR(__xludf.DUMMYFUNCTION("GOOGLETRANSLATE(B17398, ""fr"", ""en"")"),"satisfaction I do a lot of photo to have no problem with the printer (HP) I take the brand cartridges for a long time and I never had any problems cleaning ^ t read you or black traces")</f>
        <v>satisfaction I do a lot of photo to have no problem with the printer (HP) I take the brand cartridges for a long time and I never had any problems cleaning ^ t read you or black traces</v>
      </c>
    </row>
    <row r="17399">
      <c r="A17399" s="1">
        <v>2.0</v>
      </c>
      <c r="B17399" s="1" t="s">
        <v>17108</v>
      </c>
      <c r="C17399" t="str">
        <f>IFERROR(__xludf.DUMMYFUNCTION("GOOGLETRANSLATE(B17399, ""fr"", ""en"")"),"Size small small size")</f>
        <v>Size small small size</v>
      </c>
    </row>
    <row r="17400">
      <c r="A17400" s="1">
        <v>1.0</v>
      </c>
      <c r="B17400" s="1" t="s">
        <v>17109</v>
      </c>
      <c r="C17400" t="str">
        <f>IFERROR(__xludf.DUMMYFUNCTION("GOOGLETRANSLATE(B17400, ""fr"", ""en"")"),"To avoid. 60 balls in the teeth. This pair of shoes is totally uncomfortable, size too small, and it's a real ice rink. I've worn one day and my feet suffered. Also I almost broke my face several times during the day as the soles slip on wet surfaces. How"&amp;" can they call the ""for runner"" is suicidal to run with that ...")</f>
        <v>To avoid. 60 balls in the teeth. This pair of shoes is totally uncomfortable, size too small, and it's a real ice rink. I've worn one day and my feet suffered. Also I almost broke my face several times during the day as the soles slip on wet surfaces. How can they call the "for runner" is suicidal to run with that ...</v>
      </c>
    </row>
    <row r="17401">
      <c r="A17401" s="1">
        <v>1.0</v>
      </c>
      <c r="B17401" s="1" t="s">
        <v>17110</v>
      </c>
      <c r="C17401" t="str">
        <f>IFERROR(__xludf.DUMMYFUNCTION("GOOGLETRANSLATE(B17401, ""fr"", ""en"")"),"Watch child I asked three. I received three, but child. I'm tired of returns. I park the watches. I would find someone to provide child watches these small, but be aware that they show false information.")</f>
        <v>Watch child I asked three. I received three, but child. I'm tired of returns. I park the watches. I would find someone to provide child watches these small, but be aware that they show false information.</v>
      </c>
    </row>
    <row r="17402">
      <c r="A17402" s="1">
        <v>3.0</v>
      </c>
      <c r="B17402" s="1" t="s">
        <v>17111</v>
      </c>
      <c r="C17402" t="str">
        <f>IFERROR(__xludf.DUMMYFUNCTION("GOOGLETRANSLATE(B17402, ""fr"", ""en"")"),"Sent wrong color color received does not match the color ordered. J got the dark Marrin instead of cordo leather (which is pretty burgundy). So a little disappointed. Product nonetheless good qualité.envoi ok.")</f>
        <v>Sent wrong color color received does not match the color ordered. J got the dark Marrin instead of cordo leather (which is pretty burgundy). So a little disappointed. Product nonetheless good qualité.envoi ok.</v>
      </c>
    </row>
    <row r="17403">
      <c r="A17403" s="1">
        <v>3.0</v>
      </c>
      <c r="B17403" s="1" t="s">
        <v>17112</v>
      </c>
      <c r="C17403" t="str">
        <f>IFERROR(__xludf.DUMMYFUNCTION("GOOGLETRANSLATE(B17403, ""fr"", ""en"")"),"Trainers and women dressed I took my usual size. These sneakers are a foot thin so are rather dressed and feminine. By cons must have actually end up to be comfortable in it.")</f>
        <v>Trainers and women dressed I took my usual size. These sneakers are a foot thin so are rather dressed and feminine. By cons must have actually end up to be comfortable in it.</v>
      </c>
    </row>
    <row r="17404">
      <c r="A17404" s="1">
        <v>4.0</v>
      </c>
      <c r="B17404" s="1" t="s">
        <v>17113</v>
      </c>
      <c r="C17404" t="str">
        <f>IFERROR(__xludf.DUMMYFUNCTION("GOOGLETRANSLATE(B17404, ""fr"", ""en"")"),"circum-aural headphones Hello hello The sound: I think very well, I'm not so dj headphones to ears heated in winter and listened to music is top. Headphone quality: I think he looks so frail a careful Battery: THE TOP will soon connect the device Not disa"&amp;"ppointed product and price The cushion is comfortable for instant.avoir with temp")</f>
        <v>circum-aural headphones Hello hello The sound: I think very well, I'm not so dj headphones to ears heated in winter and listened to music is top. Headphone quality: I think he looks so frail a careful Battery: THE TOP will soon connect the device Not disappointed product and price The cushion is comfortable for instant.avoir with temp</v>
      </c>
    </row>
    <row r="17405">
      <c r="A17405" s="1">
        <v>4.0</v>
      </c>
      <c r="B17405" s="1" t="s">
        <v>17114</v>
      </c>
      <c r="C17405" t="str">
        <f>IFERROR(__xludf.DUMMYFUNCTION("GOOGLETRANSLATE(B17405, ""fr"", ""en"")"),"choker silver chain to wear the little silver pendants in the hope that the chain is solid despite its extreme thinness")</f>
        <v>choker silver chain to wear the little silver pendants in the hope that the chain is solid despite its extreme thinness</v>
      </c>
    </row>
    <row r="17406">
      <c r="A17406" s="1">
        <v>4.0</v>
      </c>
      <c r="B17406" s="1" t="s">
        <v>17115</v>
      </c>
      <c r="C17406" t="str">
        <f>IFERROR(__xludf.DUMMYFUNCTION("GOOGLETRANSLATE(B17406, ""fr"", ""en"")"),"Not bad I takes only 4 stars because although it's a bit more powerful than another wireless that I tested, it is still less powerful than a sector model. A good point for the + and - buttons that adjust the intensity while keeping the same mode. I will p"&amp;"revent it stopped working for a year (the industry models that I had all lasted about a year).")</f>
        <v>Not bad I takes only 4 stars because although it's a bit more powerful than another wireless that I tested, it is still less powerful than a sector model. A good point for the + and - buttons that adjust the intensity while keeping the same mode. I will prevent it stopped working for a year (the industry models that I had all lasted about a year).</v>
      </c>
    </row>
    <row r="17407">
      <c r="A17407" s="1">
        <v>4.0</v>
      </c>
      <c r="B17407" s="1" t="s">
        <v>17116</v>
      </c>
      <c r="C17407" t="str">
        <f>IFERROR(__xludf.DUMMYFUNCTION("GOOGLETRANSLATE(B17407, ""fr"", ""en"")"),"the price of a can how long")</f>
        <v>the price of a can how long</v>
      </c>
    </row>
    <row r="17408">
      <c r="A17408" s="1">
        <v>5.0</v>
      </c>
      <c r="B17408" s="1" t="s">
        <v>17117</v>
      </c>
      <c r="C17408" t="str">
        <f>IFERROR(__xludf.DUMMYFUNCTION("GOOGLETRANSLATE(B17408, ""fr"", ""en"")"),"Awesome ! Very discreet and elegant this necklace is perfect for going out. successful Christmas present for me. I recommend for the low price for this quality.")</f>
        <v>Awesome ! Very discreet and elegant this necklace is perfect for going out. successful Christmas present for me. I recommend for the low price for this quality.</v>
      </c>
    </row>
    <row r="17409">
      <c r="A17409" s="1">
        <v>5.0</v>
      </c>
      <c r="B17409" s="1" t="s">
        <v>17118</v>
      </c>
      <c r="C17409" t="str">
        <f>IFERROR(__xludf.DUMMYFUNCTION("GOOGLETRANSLATE(B17409, ""fr"", ""en"")"),"Beautiful earrings Article ears consistent with the description, fast delivery and all at an unbeatable price. They are just beautiful, not too small, not too big and they are chic. Elegant while remaining sober. I recommend.")</f>
        <v>Beautiful earrings Article ears consistent with the description, fast delivery and all at an unbeatable price. They are just beautiful, not too small, not too big and they are chic. Elegant while remaining sober. I recommend.</v>
      </c>
    </row>
    <row r="17410">
      <c r="A17410" s="1">
        <v>5.0</v>
      </c>
      <c r="B17410" s="1" t="s">
        <v>17119</v>
      </c>
      <c r="C17410" t="str">
        <f>IFERROR(__xludf.DUMMYFUNCTION("GOOGLETRANSLATE(B17410, ""fr"", ""en"")"),"I love Great product made some noise but it's light it also serves as a night light for children")</f>
        <v>I love Great product made some noise but it's light it also serves as a night light for children</v>
      </c>
    </row>
    <row r="17411">
      <c r="A17411" s="1">
        <v>5.0</v>
      </c>
      <c r="B17411" s="1" t="s">
        <v>17120</v>
      </c>
      <c r="C17411" t="str">
        <f>IFERROR(__xludf.DUMMYFUNCTION("GOOGLETRANSLATE(B17411, ""fr"", ""en"")"),"Magnificent! I love this sweatshirt. It is too beautiful and super snug. The effect is just perfect shirt. I wear it very often. It's really good.")</f>
        <v>Magnificent! I love this sweatshirt. It is too beautiful and super snug. The effect is just perfect shirt. I wear it very often. It's really good.</v>
      </c>
    </row>
    <row r="17412">
      <c r="A17412" s="1">
        <v>5.0</v>
      </c>
      <c r="B17412" s="1" t="s">
        <v>17121</v>
      </c>
      <c r="C17412" t="str">
        <f>IFERROR(__xludf.DUMMYFUNCTION("GOOGLETRANSLATE(B17412, ""fr"", ""en"")"),"Beautiful box with Christmas decoration Very pleasantly surprised by the quality and cabinet design. Perfect for Christmas. Nothing that raising the blister is already feeling the scent of the box. Very nice gift")</f>
        <v>Beautiful box with Christmas decoration Very pleasantly surprised by the quality and cabinet design. Perfect for Christmas. Nothing that raising the blister is already feeling the scent of the box. Very nice gift</v>
      </c>
    </row>
    <row r="17413">
      <c r="A17413" s="1">
        <v>5.0</v>
      </c>
      <c r="B17413" s="1" t="s">
        <v>17122</v>
      </c>
      <c r="C17413" t="str">
        <f>IFERROR(__xludf.DUMMYFUNCTION("GOOGLETRANSLATE(B17413, ""fr"", ""en"")"),"Super Super I recommend to take one size below for your size That great quality Super J in my third pair Very pleasant to walk")</f>
        <v>Super Super I recommend to take one size below for your size That great quality Super J in my third pair Very pleasant to walk</v>
      </c>
    </row>
    <row r="17414">
      <c r="A17414" s="1">
        <v>5.0</v>
      </c>
      <c r="B17414" s="1" t="s">
        <v>17123</v>
      </c>
      <c r="C17414" t="str">
        <f>IFERROR(__xludf.DUMMYFUNCTION("GOOGLETRANSLATE(B17414, ""fr"", ""en"")"),"very good product product received very good with lots of room to store all the papers and another including mobile everything is zip and clip to prevent an attacker to open it, now have to see over time if it gives the wear level")</f>
        <v>very good product product received very good with lots of room to store all the papers and another including mobile everything is zip and clip to prevent an attacker to open it, now have to see over time if it gives the wear level</v>
      </c>
    </row>
    <row r="17415">
      <c r="A17415" s="1">
        <v>5.0</v>
      </c>
      <c r="B17415" s="1" t="s">
        <v>17124</v>
      </c>
      <c r="C17415" t="str">
        <f>IFERROR(__xludf.DUMMYFUNCTION("GOOGLETRANSLATE(B17415, ""fr"", ""en"")"),"Puma Very good product very good price is affordable to kind of shoes. (There go great with jeans).")</f>
        <v>Puma Very good product very good price is affordable to kind of shoes. (There go great with jeans).</v>
      </c>
    </row>
    <row r="17416">
      <c r="A17416" s="1">
        <v>5.0</v>
      </c>
      <c r="B17416" s="1" t="s">
        <v>17125</v>
      </c>
      <c r="C17416" t="str">
        <f>IFERROR(__xludf.DUMMYFUNCTION("GOOGLETRANSLATE(B17416, ""fr"", ""en"")"),"Practical and aesthetic well equipped with pockets and nice material, this bag is very decent for its price. Very convenient for my trips.")</f>
        <v>Practical and aesthetic well equipped with pockets and nice material, this bag is very decent for its price. Very convenient for my trips.</v>
      </c>
    </row>
    <row r="17417">
      <c r="A17417" s="1">
        <v>5.0</v>
      </c>
      <c r="B17417" s="1" t="s">
        <v>17126</v>
      </c>
      <c r="C17417" t="str">
        <f>IFERROR(__xludf.DUMMYFUNCTION("GOOGLETRANSLATE(B17417, ""fr"", ""en"")"),"Jolie shows trendy Very nice watch received well protected. It is imposing without being too which is nice once the wrist. The leather strap is rigid and it is well within a week. The mixture chronograph and digital display is pleasant especially with the"&amp;" light function illuminates the hour. This is a very nice watch as a gift idea.")</f>
        <v>Jolie shows trendy Very nice watch received well protected. It is imposing without being too which is nice once the wrist. The leather strap is rigid and it is well within a week. The mixture chronograph and digital display is pleasant especially with the light function illuminates the hour. This is a very nice watch as a gift idea.</v>
      </c>
    </row>
    <row r="17418">
      <c r="A17418" s="1">
        <v>5.0</v>
      </c>
      <c r="B17418" s="1" t="s">
        <v>17127</v>
      </c>
      <c r="C17418" t="str">
        <f>IFERROR(__xludf.DUMMYFUNCTION("GOOGLETRANSLATE(B17418, ""fr"", ""en"")"),"Perfect Do not hesitate a second to buy this lamp perfect for a child's room. Acts as pilot for the night, the child can choose his favorite color, perfect to read the stories in the evening. Easy to use ... Really quality / price ratio excellent!")</f>
        <v>Perfect Do not hesitate a second to buy this lamp perfect for a child's room. Acts as pilot for the night, the child can choose his favorite color, perfect to read the stories in the evening. Easy to use ... Really quality / price ratio excellent!</v>
      </c>
    </row>
    <row r="17419">
      <c r="A17419" s="1">
        <v>5.0</v>
      </c>
      <c r="B17419" s="1" t="s">
        <v>17128</v>
      </c>
      <c r="C17419" t="str">
        <f>IFERROR(__xludf.DUMMYFUNCTION("GOOGLETRANSLATE(B17419, ""fr"", ""en"")"),"wilit lamp With 3 intensities of light and orientation as you want, this lamp is perfect. Its modern look is appreciated by my teenagers. Its color light basis that one chooses is really nice. Note that one can turn the colored base + light or only the li"&amp;"ght or only the base. I am very happy with this purchase for 2 of my youth (boy and girl).")</f>
        <v>wilit lamp With 3 intensities of light and orientation as you want, this lamp is perfect. Its modern look is appreciated by my teenagers. Its color light basis that one chooses is really nice. Note that one can turn the colored base + light or only the light or only the base. I am very happy with this purchase for 2 of my youth (boy and girl).</v>
      </c>
    </row>
    <row r="17420">
      <c r="A17420" s="1">
        <v>5.0</v>
      </c>
      <c r="B17420" s="1" t="s">
        <v>17129</v>
      </c>
      <c r="C17420" t="str">
        <f>IFERROR(__xludf.DUMMYFUNCTION("GOOGLETRANSLATE(B17420, ""fr"", ""en"")"),"Watch Pretty simple, small to handle small")</f>
        <v>Watch Pretty simple, small to handle small</v>
      </c>
    </row>
    <row r="17421">
      <c r="A17421" s="1">
        <v>5.0</v>
      </c>
      <c r="B17421" s="1" t="s">
        <v>17130</v>
      </c>
      <c r="C17421" t="str">
        <f>IFERROR(__xludf.DUMMYFUNCTION("GOOGLETRANSLATE(B17421, ""fr"", ""en"")"),"practice good product")</f>
        <v>practice good product</v>
      </c>
    </row>
    <row r="17422">
      <c r="A17422" s="1">
        <v>5.0</v>
      </c>
      <c r="B17422" s="1" t="s">
        <v>17131</v>
      </c>
      <c r="C17422" t="str">
        <f>IFERROR(__xludf.DUMMYFUNCTION("GOOGLETRANSLATE(B17422, ""fr"", ""en"")"),"shoulder bag Beautiful leather bag slung and very strong. I am very happy with my purchase.")</f>
        <v>shoulder bag Beautiful leather bag slung and very strong. I am very happy with my purchase.</v>
      </c>
    </row>
    <row r="17423">
      <c r="A17423" s="1">
        <v>2.0</v>
      </c>
      <c r="B17423" s="1" t="s">
        <v>17132</v>
      </c>
      <c r="C17423" t="str">
        <f>IFERROR(__xludf.DUMMYFUNCTION("GOOGLETRANSLATE(B17423, ""fr"", ""en"")"),"Burglar Parcel received very beautiful but unfortunately with a burglar.")</f>
        <v>Burglar Parcel received very beautiful but unfortunately with a burglar.</v>
      </c>
    </row>
    <row r="17424">
      <c r="A17424" s="1">
        <v>1.0</v>
      </c>
      <c r="B17424" s="1" t="s">
        <v>17133</v>
      </c>
      <c r="C17424" t="str">
        <f>IFERROR(__xludf.DUMMYFUNCTION("GOOGLETRANSLATE(B17424, ""fr"", ""en"")"),"Poor product that is only half. Right atrium does not work, a voice constantly indicates the battery is discharged. Sound quality of the headset poor left. Difficult to extract the atria of the load box. Return of the essential product.")</f>
        <v>Poor product that is only half. Right atrium does not work, a voice constantly indicates the battery is discharged. Sound quality of the headset poor left. Difficult to extract the atria of the load box. Return of the essential product.</v>
      </c>
    </row>
    <row r="17425">
      <c r="A17425" s="1">
        <v>1.0</v>
      </c>
      <c r="B17425" s="1" t="s">
        <v>17134</v>
      </c>
      <c r="C17425" t="str">
        <f>IFERROR(__xludf.DUMMYFUNCTION("GOOGLETRANSLATE(B17425, ""fr"", ""en"")"),"Your Mis its price once ... torn between legs")</f>
        <v>Your Mis its price once ... torn between legs</v>
      </c>
    </row>
    <row r="17426">
      <c r="A17426" s="1">
        <v>3.0</v>
      </c>
      <c r="B17426" s="1" t="s">
        <v>17135</v>
      </c>
      <c r="C17426" t="str">
        <f>IFERROR(__xludf.DUMMYFUNCTION("GOOGLETRANSLATE(B17426, ""fr"", ""en"")"),"Compliant with level control size, great debate on the subject, I do a good 44 and they are all battery (not even half a centimeter in front and at the rear) so it suits me. Level color, great and consistent with the picture! When I tried them, I do not k"&amp;"now if it's lack of habit, but I found this model ""rigid"", the flat sole and heavy and blue laces slightly hurt feet. We will see over time if they are ... Content with purchase at this time")</f>
        <v>Compliant with level control size, great debate on the subject, I do a good 44 and they are all battery (not even half a centimeter in front and at the rear) so it suits me. Level color, great and consistent with the picture! When I tried them, I do not know if it's lack of habit, but I found this model "rigid", the flat sole and heavy and blue laces slightly hurt feet. We will see over time if they are ... Content with purchase at this time</v>
      </c>
    </row>
    <row r="17427">
      <c r="A17427" s="1">
        <v>4.0</v>
      </c>
      <c r="B17427" s="1" t="s">
        <v>17136</v>
      </c>
      <c r="C17427" t="str">
        <f>IFERROR(__xludf.DUMMYFUNCTION("GOOGLETRANSLATE(B17427, ""fr"", ""en"")"),"I am very happy with my ...... felt very good material, I received my felts 48 hours after my order. there is no duplicate. The canister !!!! great idea! and 3 felt pads also can be well spread all colors and see the gradient? and work in detail ... the t"&amp;"ips are ultra fine! I'm REALLY happy with these felts ..amateurs coloring !!!! go for the purchase they are too good too !!!!")</f>
        <v>I am very happy with my ...... felt very good material, I received my felts 48 hours after my order. there is no duplicate. The canister !!!! great idea! and 3 felt pads also can be well spread all colors and see the gradient? and work in detail ... the tips are ultra fine! I'm REALLY happy with these felts ..amateurs coloring !!!! go for the purchase they are too good too !!!!</v>
      </c>
    </row>
    <row r="17428">
      <c r="A17428" s="1">
        <v>4.0</v>
      </c>
      <c r="B17428" s="1" t="s">
        <v>16997</v>
      </c>
      <c r="C17428" t="str">
        <f>IFERROR(__xludf.DUMMYFUNCTION("GOOGLETRANSLATE(B17428, ""fr"", ""en"")"),"Good value Good value")</f>
        <v>Good value Good value</v>
      </c>
    </row>
    <row r="17429">
      <c r="A17429" s="1">
        <v>4.0</v>
      </c>
      <c r="B17429" s="1" t="s">
        <v>17137</v>
      </c>
      <c r="C17429" t="str">
        <f>IFERROR(__xludf.DUMMYFUNCTION("GOOGLETRANSLATE(B17429, ""fr"", ""en"")"),"Fits perfectly These pellets are very effective because they really stick well. Only the system to remove is not always very stuck sometimes.")</f>
        <v>Fits perfectly These pellets are very effective because they really stick well. Only the system to remove is not always very stuck sometimes.</v>
      </c>
    </row>
    <row r="17430">
      <c r="A17430" s="1">
        <v>4.0</v>
      </c>
      <c r="B17430" s="1" t="s">
        <v>17138</v>
      </c>
      <c r="C17430" t="str">
        <f>IFERROR(__xludf.DUMMYFUNCTION("GOOGLETRANSLATE(B17430, ""fr"", ""en"")"),"different view My little girl 4 years 1/2 since I have to appreciate the ""(re-re-re) read"". However, it does not mean the content of the book as usually, she questions the behavior, motivation, words of the characters. For me, this is a difficult book t"&amp;"o read, putting it in life, during the first reading. The story is good, the means drawings, the end is joyful. I'm pretty mixed.")</f>
        <v>different view My little girl 4 years 1/2 since I have to appreciate the "(re-re-re) read". However, it does not mean the content of the book as usually, she questions the behavior, motivation, words of the characters. For me, this is a difficult book to read, putting it in life, during the first reading. The story is good, the means drawings, the end is joyful. I'm pretty mixed.</v>
      </c>
    </row>
    <row r="17431">
      <c r="A17431" s="1">
        <v>5.0</v>
      </c>
      <c r="B17431" s="1" t="s">
        <v>17139</v>
      </c>
      <c r="C17431" t="str">
        <f>IFERROR(__xludf.DUMMYFUNCTION("GOOGLETRANSLATE(B17431, ""fr"", ""en"")"),"Very comfortable Very comfortable")</f>
        <v>Very comfortable Very comfortable</v>
      </c>
    </row>
    <row r="17432">
      <c r="A17432" s="1">
        <v>5.0</v>
      </c>
      <c r="B17432" s="1" t="s">
        <v>17140</v>
      </c>
      <c r="C17432" t="str">
        <f>IFERROR(__xludf.DUMMYFUNCTION("GOOGLETRANSLATE(B17432, ""fr"", ""en"")"),"Perfect Loved the package at first the note in the house and decoupage joy on her face she adored the true diamond crystal too beautiful this pendant")</f>
        <v>Perfect Loved the package at first the note in the house and decoupage joy on her face she adored the true diamond crystal too beautiful this pendant</v>
      </c>
    </row>
    <row r="17433">
      <c r="A17433" s="1">
        <v>5.0</v>
      </c>
      <c r="B17433" s="1" t="s">
        <v>17141</v>
      </c>
      <c r="C17433" t="str">
        <f>IFERROR(__xludf.DUMMYFUNCTION("GOOGLETRANSLATE(B17433, ""fr"", ""en"")"),"Comfortable and lightweight Suffering from tendinitis Achilles heel and heel spurs, my physio advised me to buy shoes with raised heels to not have all the weight on the heels. And as I wear insoles not easy to find .... I tried these sneakers, I put on t"&amp;"he 39 and to be comfortable with the insoles and does not compress the walk I took the size 41 (the form sneakers made little feet so it's not a problem) ... er well and I'm finally relieved the pain gradually disappear. Also are very light and the foot b"&amp;"reathe ... in short I recommend.")</f>
        <v>Comfortable and lightweight Suffering from tendinitis Achilles heel and heel spurs, my physio advised me to buy shoes with raised heels to not have all the weight on the heels. And as I wear insoles not easy to find .... I tried these sneakers, I put on the 39 and to be comfortable with the insoles and does not compress the walk I took the size 41 (the form sneakers made little feet so it's not a problem) ... er well and I'm finally relieved the pain gradually disappear. Also are very light and the foot breathe ... in short I recommend.</v>
      </c>
    </row>
    <row r="17434">
      <c r="A17434" s="1">
        <v>5.0</v>
      </c>
      <c r="B17434" s="1" t="s">
        <v>17142</v>
      </c>
      <c r="C17434" t="str">
        <f>IFERROR(__xludf.DUMMYFUNCTION("GOOGLETRANSLATE(B17434, ""fr"", ""en"")"),"Good buy Met my expectations.")</f>
        <v>Good buy Met my expectations.</v>
      </c>
    </row>
    <row r="17435">
      <c r="A17435" s="1">
        <v>5.0</v>
      </c>
      <c r="B17435" s="1" t="s">
        <v>17143</v>
      </c>
      <c r="C17435" t="str">
        <f>IFERROR(__xludf.DUMMYFUNCTION("GOOGLETRANSLATE(B17435, ""fr"", ""en"")"),"nothing to say for the price. in this heat, this dress is a true pleasure to wear. the value for money is very correct. I recommend. I ordered one size bigger than mine, and that's good.")</f>
        <v>nothing to say for the price. in this heat, this dress is a true pleasure to wear. the value for money is very correct. I recommend. I ordered one size bigger than mine, and that's good.</v>
      </c>
    </row>
    <row r="17436">
      <c r="A17436" s="1">
        <v>5.0</v>
      </c>
      <c r="B17436" s="1" t="s">
        <v>17144</v>
      </c>
      <c r="C17436" t="str">
        <f>IFERROR(__xludf.DUMMYFUNCTION("GOOGLETRANSLATE(B17436, ""fr"", ""en"")"),"Positive Meets always cheaper than trade description")</f>
        <v>Positive Meets always cheaper than trade description</v>
      </c>
    </row>
    <row r="17437">
      <c r="A17437" s="1">
        <v>5.0</v>
      </c>
      <c r="B17437" s="1" t="s">
        <v>17145</v>
      </c>
      <c r="C17437" t="str">
        <f>IFERROR(__xludf.DUMMYFUNCTION("GOOGLETRANSLATE(B17437, ""fr"", ""en"")"),"Efficient Kettle beautiful, beautiful, relatively quiet A problem with the first model, but the service of Russell Hobbs quickly and responds well")</f>
        <v>Efficient Kettle beautiful, beautiful, relatively quiet A problem with the first model, but the service of Russell Hobbs quickly and responds well</v>
      </c>
    </row>
    <row r="17438">
      <c r="A17438" s="1">
        <v>5.0</v>
      </c>
      <c r="B17438" s="1" t="s">
        <v>17146</v>
      </c>
      <c r="C17438" t="str">
        <f>IFERROR(__xludf.DUMMYFUNCTION("GOOGLETRANSLATE(B17438, ""fr"", ""en"")"),"A pure sound like in the movies! RAS helmet coupled with a good quality helmet astro.La MixAmp is indisputable, the sound is pure and indescriptible.Petite precision that I had not found before buying my MMX300, YES it is quite possible to have this helme"&amp;"t without MixAmp! On ps4 friends hear you perfectly and the sound will bon.Simplement to get the full potential of MMX300 and what makes the reason for his fame (and price), it is clear that MixAmp is indispensable.le MMX300 c ' is like a very good home c"&amp;"inema but directly in oreilles.Ideal for call of duty.")</f>
        <v>A pure sound like in the movies! RAS helmet coupled with a good quality helmet astro.La MixAmp is indisputable, the sound is pure and indescriptible.Petite precision that I had not found before buying my MMX300, YES it is quite possible to have this helmet without MixAmp! On ps4 friends hear you perfectly and the sound will bon.Simplement to get the full potential of MMX300 and what makes the reason for his fame (and price), it is clear that MixAmp is indispensable.le MMX300 c ' is like a very good home cinema but directly in oreilles.Ideal for call of duty.</v>
      </c>
    </row>
    <row r="17439">
      <c r="A17439" s="1">
        <v>5.0</v>
      </c>
      <c r="B17439" s="1" t="s">
        <v>17147</v>
      </c>
      <c r="C17439" t="str">
        <f>IFERROR(__xludf.DUMMYFUNCTION("GOOGLETRANSLATE(B17439, ""fr"", ""en"")"),"Model lovely These loops are small so discreet enough for someone who does not like big jewelry. The color is nice because it shines well. Great")</f>
        <v>Model lovely These loops are small so discreet enough for someone who does not like big jewelry. The color is nice because it shines well. Great</v>
      </c>
    </row>
    <row r="17440">
      <c r="A17440" s="1">
        <v>5.0</v>
      </c>
      <c r="B17440" s="1" t="s">
        <v>17148</v>
      </c>
      <c r="C17440" t="str">
        <f>IFERROR(__xludf.DUMMYFUNCTION("GOOGLETRANSLATE(B17440, ""fr"", ""en"")"),"Very good very fast delivery, product conformity and properly packaged Still not tested but I have no doubt about the quality Adam Hall in the light of comments on forums")</f>
        <v>Very good very fast delivery, product conformity and properly packaged Still not tested but I have no doubt about the quality Adam Hall in the light of comments on forums</v>
      </c>
    </row>
    <row r="17441">
      <c r="A17441" s="1">
        <v>5.0</v>
      </c>
      <c r="B17441" s="1" t="s">
        <v>17149</v>
      </c>
      <c r="C17441" t="str">
        <f>IFERROR(__xludf.DUMMYFUNCTION("GOOGLETRANSLATE(B17441, ""fr"", ""en"")"),"Trainers Okay")</f>
        <v>Trainers Okay</v>
      </c>
    </row>
    <row r="17442">
      <c r="A17442" s="1">
        <v>5.0</v>
      </c>
      <c r="B17442" s="1" t="s">
        <v>17150</v>
      </c>
      <c r="C17442" t="str">
        <f>IFERROR(__xludf.DUMMYFUNCTION("GOOGLETRANSLATE(B17442, ""fr"", ""en"")"),"Filters MELITTA 1X4 I use these filters for years, and I am always satisfied")</f>
        <v>Filters MELITTA 1X4 I use these filters for years, and I am always satisfied</v>
      </c>
    </row>
    <row r="17443">
      <c r="A17443" s="1">
        <v>5.0</v>
      </c>
      <c r="B17443" s="1" t="s">
        <v>17151</v>
      </c>
      <c r="C17443" t="str">
        <f>IFERROR(__xludf.DUMMYFUNCTION("GOOGLETRANSLATE(B17443, ""fr"", ""en"")"),"Top Top!")</f>
        <v>Top Top!</v>
      </c>
    </row>
    <row r="17444">
      <c r="A17444" s="1">
        <v>5.0</v>
      </c>
      <c r="B17444" s="1" t="s">
        <v>17152</v>
      </c>
      <c r="C17444" t="str">
        <f>IFERROR(__xludf.DUMMYFUNCTION("GOOGLETRANSLATE(B17444, ""fr"", ""en"")"),"Beautiful design with style. I recommend. Leather good quality, flexible and vintage. Perfect for everyday use. The product complies with pictures and description. Beautiful design, sober and with style !! Beautiful finish interior and exterior. I am very"&amp;" satisfied and I recommend it.")</f>
        <v>Beautiful design with style. I recommend. Leather good quality, flexible and vintage. Perfect for everyday use. The product complies with pictures and description. Beautiful design, sober and with style !! Beautiful finish interior and exterior. I am very satisfied and I recommend it.</v>
      </c>
    </row>
    <row r="17445">
      <c r="A17445" s="1">
        <v>5.0</v>
      </c>
      <c r="B17445" s="1" t="s">
        <v>17153</v>
      </c>
      <c r="C17445" t="str">
        <f>IFERROR(__xludf.DUMMYFUNCTION("GOOGLETRANSLATE(B17445, ""fr"", ""en"")"),"Pickups robust and high quality Great product with excellent quality / price ratio. Only switches have the fragile air and do not slide well. Too bad because everything else seems very good quality (thick aluminum with robust micro display for frequencies"&amp;", receiver unit with digital display). The sound is also excellent for a product of this award and there is very little feedback. The scope is very large (30m). Powered by 2 AA batteries. Frankly, at that price, it should not hesitate for karaoke or other"&amp;" use.")</f>
        <v>Pickups robust and high quality Great product with excellent quality / price ratio. Only switches have the fragile air and do not slide well. Too bad because everything else seems very good quality (thick aluminum with robust micro display for frequencies, receiver unit with digital display). The sound is also excellent for a product of this award and there is very little feedback. The scope is very large (30m). Powered by 2 AA batteries. Frankly, at that price, it should not hesitate for karaoke or other use.</v>
      </c>
    </row>
    <row r="17446">
      <c r="A17446" s="1">
        <v>2.0</v>
      </c>
      <c r="B17446" s="1" t="s">
        <v>17154</v>
      </c>
      <c r="C17446" t="str">
        <f>IFERROR(__xludf.DUMMYFUNCTION("GOOGLETRANSLATE(B17446, ""fr"", ""en"")"),"Do not disappear! I bought these chalk markers thinking that I could use them on the board slate that I had, But! All happy, I started writing it and when to delete, oops, it did not leave. I took a cloth, a wet sponge, put soap, but the trace remains. Ma"&amp;"ybe it takes special tables for these markers. I'll take the classic chalk blow.")</f>
        <v>Do not disappear! I bought these chalk markers thinking that I could use them on the board slate that I had, But! All happy, I started writing it and when to delete, oops, it did not leave. I took a cloth, a wet sponge, put soap, but the trace remains. Maybe it takes special tables for these markers. I'll take the classic chalk blow.</v>
      </c>
    </row>
    <row r="17447">
      <c r="A17447" s="1">
        <v>1.0</v>
      </c>
      <c r="B17447" s="1" t="s">
        <v>17155</v>
      </c>
      <c r="C17447" t="str">
        <f>IFERROR(__xludf.DUMMYFUNCTION("GOOGLETRANSLATE(B17447, ""fr"", ""en"")"),"Bad batch I was particularly disappointed with this model. Indeed, true to the brand, I have for many years had several model. After that the old have laché (after 1 year and a half), I therefore turned to these two, hoping they would last as long. Howeve"&amp;"r, the plastic part broke in less than 3 weeks I'm very disappointed, so I bought another model, and I would turn more towards this one.")</f>
        <v>Bad batch I was particularly disappointed with this model. Indeed, true to the brand, I have for many years had several model. After that the old have laché (after 1 year and a half), I therefore turned to these two, hoping they would last as long. However, the plastic part broke in less than 3 weeks I'm very disappointed, so I bought another model, and I would turn more towards this one.</v>
      </c>
    </row>
    <row r="17448">
      <c r="A17448" s="1">
        <v>3.0</v>
      </c>
      <c r="B17448" s="1" t="s">
        <v>17156</v>
      </c>
      <c r="C17448" t="str">
        <f>IFERROR(__xludf.DUMMYFUNCTION("GOOGLETRANSLATE(B17448, ""fr"", ""en"")"),"Indispensable for a rig but .... To connect my LG V30 my RODE microphone was the essential accessory for mounting on a rigid rig. But absolutely not suitable for connecting a rode on a gimbal such as smooth Zhiyun 4. Indeed the cable pulls on the smartpho"&amp;"ne and imbalance totally horizontality that must have the device. You end up with a smartphone focused on the cable side.")</f>
        <v>Indispensable for a rig but .... To connect my LG V30 my RODE microphone was the essential accessory for mounting on a rigid rig. But absolutely not suitable for connecting a rode on a gimbal such as smooth Zhiyun 4. Indeed the cable pulls on the smartphone and imbalance totally horizontality that must have the device. You end up with a smartphone focused on the cable side.</v>
      </c>
    </row>
    <row r="17449">
      <c r="A17449" s="1">
        <v>3.0</v>
      </c>
      <c r="B17449" s="1" t="s">
        <v>17157</v>
      </c>
      <c r="C17449" t="str">
        <f>IFERROR(__xludf.DUMMYFUNCTION("GOOGLETRANSLATE(B17449, ""fr"", ""en"")"),"good but too late I could have put 4 stars because for the price, not bad. except it's too late. it must be put on the old mouse pad, if it is the same size. but even so, it slips over the old carpet ... I'll have to stick it .... So, in the end: good but"&amp;" too late! (Hence the title)")</f>
        <v>good but too late I could have put 4 stars because for the price, not bad. except it's too late. it must be put on the old mouse pad, if it is the same size. but even so, it slips over the old carpet ... I'll have to stick it .... So, in the end: good but too late! (Hence the title)</v>
      </c>
    </row>
    <row r="17450">
      <c r="A17450" s="1">
        <v>4.0</v>
      </c>
      <c r="B17450" s="1" t="s">
        <v>17158</v>
      </c>
      <c r="C17450" t="str">
        <f>IFERROR(__xludf.DUMMYFUNCTION("GOOGLETRANSLATE(B17450, ""fr"", ""en"")"),"its dimensions product easy to install, I just wish that the central tube is not long enough to allow the positioning of the above screens. Good quality.")</f>
        <v>its dimensions product easy to install, I just wish that the central tube is not long enough to allow the positioning of the above screens. Good quality.</v>
      </c>
    </row>
    <row r="17451">
      <c r="A17451" s="1">
        <v>4.0</v>
      </c>
      <c r="B17451" s="1" t="s">
        <v>17159</v>
      </c>
      <c r="C17451" t="str">
        <f>IFERROR(__xludf.DUMMYFUNCTION("GOOGLETRANSLATE(B17451, ""fr"", ""en"")"),"German quality product with this beautiful design filled his role well and especially has a very good heat retention. To advice.")</f>
        <v>German quality product with this beautiful design filled his role well and especially has a very good heat retention. To advice.</v>
      </c>
    </row>
    <row r="17452">
      <c r="A17452" s="1">
        <v>4.0</v>
      </c>
      <c r="B17452" s="1" t="s">
        <v>17160</v>
      </c>
      <c r="C17452" t="str">
        <f>IFERROR(__xludf.DUMMYFUNCTION("GOOGLETRANSLATE(B17452, ""fr"", ""en"")"),"Lovely cards lovely cards but a little small. Be careful when you scratch it leaves traces.")</f>
        <v>Lovely cards lovely cards but a little small. Be careful when you scratch it leaves traces.</v>
      </c>
    </row>
    <row r="17453">
      <c r="A17453" s="1">
        <v>4.0</v>
      </c>
      <c r="B17453" s="1" t="s">
        <v>17161</v>
      </c>
      <c r="C17453" t="str">
        <f>IFERROR(__xludf.DUMMYFUNCTION("GOOGLETRANSLATE(B17453, ""fr"", ""en"")"),"Watch a giant display space saving ... but hey, I was looking for an easily readable watch and this is the case. Bel also lighting. Really what I wanted.")</f>
        <v>Watch a giant display space saving ... but hey, I was looking for an easily readable watch and this is the case. Bel also lighting. Really what I wanted.</v>
      </c>
    </row>
    <row r="17454">
      <c r="A17454" s="1">
        <v>5.0</v>
      </c>
      <c r="B17454" s="1" t="s">
        <v>17162</v>
      </c>
      <c r="C17454" t="str">
        <f>IFERROR(__xludf.DUMMYFUNCTION("GOOGLETRANSLATE(B17454, ""fr"", ""en"")"),"Satisfaction Item received perfectly consistent. Better to read the user manual completely before adjusting the clock. Once set, the watch is well customized (language, date format, time change summer / winter self, etc ...). The automatic time setting is"&amp;" done every night by radiocontrol. For shortening the strap, go snooping on YouTube because no explanation in the manual. In summary: very nice watch.")</f>
        <v>Satisfaction Item received perfectly consistent. Better to read the user manual completely before adjusting the clock. Once set, the watch is well customized (language, date format, time change summer / winter self, etc ...). The automatic time setting is done every night by radiocontrol. For shortening the strap, go snooping on YouTube because no explanation in the manual. In summary: very nice watch.</v>
      </c>
    </row>
    <row r="17455">
      <c r="A17455" s="1">
        <v>5.0</v>
      </c>
      <c r="B17455" s="1" t="s">
        <v>17163</v>
      </c>
      <c r="C17455" t="str">
        <f>IFERROR(__xludf.DUMMYFUNCTION("GOOGLETRANSLATE(B17455, ""fr"", ""en"")"),"Good coffee After a few weeks of use, good coffee, satisfying design, original lighting. The water arrives very quickly to the boil. Filled all expectations kettle. Item very positive: resistance to heat water is not apparent as it was in my old kettle.")</f>
        <v>Good coffee After a few weeks of use, good coffee, satisfying design, original lighting. The water arrives very quickly to the boil. Filled all expectations kettle. Item very positive: resistance to heat water is not apparent as it was in my old kettle.</v>
      </c>
    </row>
    <row r="17456">
      <c r="A17456" s="1">
        <v>5.0</v>
      </c>
      <c r="B17456" s="1" t="s">
        <v>17164</v>
      </c>
      <c r="C17456" t="str">
        <f>IFERROR(__xludf.DUMMYFUNCTION("GOOGLETRANSLATE(B17456, ""fr"", ""en"")"),"Parfais for sport! Very comfortable to wear, well sticks to the skin perfect for sports!")</f>
        <v>Parfais for sport! Very comfortable to wear, well sticks to the skin perfect for sports!</v>
      </c>
    </row>
    <row r="17457">
      <c r="A17457" s="1">
        <v>5.0</v>
      </c>
      <c r="B17457" s="1" t="s">
        <v>17165</v>
      </c>
      <c r="C17457" t="str">
        <f>IFERROR(__xludf.DUMMYFUNCTION("GOOGLETRANSLATE(B17457, ""fr"", ""en"")"),"ARIZONA I always take it very comfortable model birks that take 2 years in slippers mode to 365 days. - Size 38 always take one size smaller. Delighted with this modèle.tient well at the feet I suggest quality and price on Amazon nowhere else.")</f>
        <v>ARIZONA I always take it very comfortable model birks that take 2 years in slippers mode to 365 days. - Size 38 always take one size smaller. Delighted with this modèle.tient well at the feet I suggest quality and price on Amazon nowhere else.</v>
      </c>
    </row>
    <row r="17458">
      <c r="A17458" s="1">
        <v>5.0</v>
      </c>
      <c r="B17458" s="1" t="s">
        <v>17166</v>
      </c>
      <c r="C17458" t="str">
        <f>IFERROR(__xludf.DUMMYFUNCTION("GOOGLETRANSLATE(B17458, ""fr"", ""en"")"),"They sneakers Air Shoe very well. I put on the 38 and I have ordered 38. Perfect. Very light on his feet. The shape makes us a really nice walk. I highly recommend.")</f>
        <v>They sneakers Air Shoe very well. I put on the 38 and I have ordered 38. Perfect. Very light on his feet. The shape makes us a really nice walk. I highly recommend.</v>
      </c>
    </row>
    <row r="17459">
      <c r="A17459" s="1">
        <v>5.0</v>
      </c>
      <c r="B17459" s="1" t="s">
        <v>17167</v>
      </c>
      <c r="C17459" t="str">
        <f>IFERROR(__xludf.DUMMYFUNCTION("GOOGLETRANSLATE(B17459, ""fr"", ""en"")"),"The brand says it all simply because it is an excellent product. he fills his role and vintage side is very pretty. I had the kettle which I completed with this toaster I advise using these multiple settings and ease of use.")</f>
        <v>The brand says it all simply because it is an excellent product. he fills his role and vintage side is very pretty. I had the kettle which I completed with this toaster I advise using these multiple settings and ease of use.</v>
      </c>
    </row>
    <row r="17460">
      <c r="A17460" s="1">
        <v>5.0</v>
      </c>
      <c r="B17460" s="1" t="s">
        <v>17168</v>
      </c>
      <c r="C17460" t="str">
        <f>IFERROR(__xludf.DUMMYFUNCTION("GOOGLETRANSLATE(B17460, ""fr"", ""en"")"),"super convenient Keeps the same heavy tables without making holes in the walls and easy to remove - Leaves no trace.")</f>
        <v>super convenient Keeps the same heavy tables without making holes in the walls and easy to remove - Leaves no trace.</v>
      </c>
    </row>
    <row r="17461">
      <c r="A17461" s="1">
        <v>5.0</v>
      </c>
      <c r="B17461" s="1" t="s">
        <v>224</v>
      </c>
      <c r="C17461" t="str">
        <f>IFERROR(__xludf.DUMMYFUNCTION("GOOGLETRANSLATE(B17461, ""fr"", ""en"")"),"perfect perfect")</f>
        <v>perfect perfect</v>
      </c>
    </row>
    <row r="17462">
      <c r="A17462" s="1">
        <v>5.0</v>
      </c>
      <c r="B17462" s="1" t="s">
        <v>17169</v>
      </c>
      <c r="C17462" t="str">
        <f>IFERROR(__xludf.DUMMYFUNCTION("GOOGLETRANSLATE(B17462, ""fr"", ""en"")"),"great this is the second time I take this model My son had received a pair last year at Christmas and they are still in very good condition, so why buy him because gentleman wandered barefoot in and they stink and he does not want them, ah teens! In short"&amp;", I looked for a pair of slippers sheepskin to offer and I returned to this model very good although a bit expensive. They are very comfortable. Wool eventually settle at its foot, it's nice. The advantage of the sheep is that it keeps warm without taking"&amp;" too hot, it is quite breathable. Besides myself I wear slippers of the brand: the soles do not move. By cons they are a bit expensive because it's not wool inside but synthetic. This is stunning but it's true. Leather is true by cons.")</f>
        <v>great this is the second time I take this model My son had received a pair last year at Christmas and they are still in very good condition, so why buy him because gentleman wandered barefoot in and they stink and he does not want them, ah teens! In short, I looked for a pair of slippers sheepskin to offer and I returned to this model very good although a bit expensive. They are very comfortable. Wool eventually settle at its foot, it's nice. The advantage of the sheep is that it keeps warm without taking too hot, it is quite breathable. Besides myself I wear slippers of the brand: the soles do not move. By cons they are a bit expensive because it's not wool inside but synthetic. This is stunning but it's true. Leather is true by cons.</v>
      </c>
    </row>
    <row r="17463">
      <c r="A17463" s="1">
        <v>5.0</v>
      </c>
      <c r="B17463" s="1" t="s">
        <v>17170</v>
      </c>
      <c r="C17463" t="str">
        <f>IFERROR(__xludf.DUMMYFUNCTION("GOOGLETRANSLATE(B17463, ""fr"", ""en"")"),"Compliant Product easy to use product in accordance with the expected offered in the near and enjoyed the touch side and device can stay or store especially in transport")</f>
        <v>Compliant Product easy to use product in accordance with the expected offered in the near and enjoyed the touch side and device can stay or store especially in transport</v>
      </c>
    </row>
    <row r="17464">
      <c r="A17464" s="1">
        <v>5.0</v>
      </c>
      <c r="B17464" s="1" t="s">
        <v>17171</v>
      </c>
      <c r="C17464" t="str">
        <f>IFERROR(__xludf.DUMMYFUNCTION("GOOGLETRANSLATE(B17464, ""fr"", ""en"")"),"Almost perfect Very effective for my back pain from the first use I use it regularly, however, as the balls are a little hard at first, it is enough to add a small towel. However the elastic strap to attach a file is really too short.")</f>
        <v>Almost perfect Very effective for my back pain from the first use I use it regularly, however, as the balls are a little hard at first, it is enough to add a small towel. However the elastic strap to attach a file is really too short.</v>
      </c>
    </row>
    <row r="17465">
      <c r="A17465" s="1">
        <v>5.0</v>
      </c>
      <c r="B17465" s="1" t="s">
        <v>17172</v>
      </c>
      <c r="C17465" t="str">
        <f>IFERROR(__xludf.DUMMYFUNCTION("GOOGLETRANSLATE(B17465, ""fr"", ""en"")"),"Bigger and still practice a little larger than the calendar that I had taken for 2019, it is the same style, and allows to note or mark his schedule, visits or events (abbreviated course) . It will be perfect next year, although on the wall. Please note: "&amp;"it is 2020.")</f>
        <v>Bigger and still practice a little larger than the calendar that I had taken for 2019, it is the same style, and allows to note or mark his schedule, visits or events (abbreviated course) . It will be perfect next year, although on the wall. Please note: it is 2020.</v>
      </c>
    </row>
    <row r="17466">
      <c r="A17466" s="1">
        <v>5.0</v>
      </c>
      <c r="B17466" s="1" t="s">
        <v>17173</v>
      </c>
      <c r="C17466" t="str">
        <f>IFERROR(__xludf.DUMMYFUNCTION("GOOGLETRANSLATE(B17466, ""fr"", ""en"")"),"Stunning Beautiful slippers comfortable slippers for winter evenings. I put on the 39 and I have taken my size. Nickel! The sole is non-slip. The delivery was very quick with premium. I'm so glad of my purchase")</f>
        <v>Stunning Beautiful slippers comfortable slippers for winter evenings. I put on the 39 and I have taken my size. Nickel! The sole is non-slip. The delivery was very quick with premium. I'm so glad of my purchase</v>
      </c>
    </row>
    <row r="17467">
      <c r="A17467" s="1">
        <v>5.0</v>
      </c>
      <c r="B17467" s="1" t="s">
        <v>17174</v>
      </c>
      <c r="C17467" t="str">
        <f>IFERROR(__xludf.DUMMYFUNCTION("GOOGLETRANSLATE(B17467, ""fr"", ""en"")"),"👍🏻 Nikckek it is not moving and is very comfortable")</f>
        <v>👍🏻 Nikckek it is not moving and is very comfortable</v>
      </c>
    </row>
    <row r="17468">
      <c r="A17468" s="1">
        <v>5.0</v>
      </c>
      <c r="B17468" s="1" t="s">
        <v>17175</v>
      </c>
      <c r="C17468" t="str">
        <f>IFERROR(__xludf.DUMMYFUNCTION("GOOGLETRANSLATE(B17468, ""fr"", ""en"")"),"Very good and pleasant Great product")</f>
        <v>Very good and pleasant Great product</v>
      </c>
    </row>
    <row r="17469">
      <c r="A17469" s="1">
        <v>5.0</v>
      </c>
      <c r="B17469" s="1" t="s">
        <v>17176</v>
      </c>
      <c r="C17469" t="str">
        <f>IFERROR(__xludf.DUMMYFUNCTION("GOOGLETRANSLATE(B17469, ""fr"", ""en"")"),"Super headphones, very comfortable Really, I'm thrilled! I tested several headphones but I'm pretty sensitive and I found them all to wear painful after an hour or two. He is perfect very adaptable with earphones that turn dan every way, I can keep it for"&amp;" hours on the head without it bothers me. It is really very comfortable! Noise reduction is doing its job. The sound is good and the volume can be played on a high amplitude. I fall asleep and often can turn it down low, it's enjoyable. Little more, unlik"&amp;"e many others, do not you screaming in the ears when it comes on, logs on or off and above all it does not scream ""Mute"" when reducing the sound !!!! It really takes a long time to load and recharges rather quickly elsewhere. The storage box is very con"&amp;"venient. In short, I had some reservations to take it, I really wanted a comfortable helmet and efficient and I was wondering if, given its price, it would be enough. . . and ben no regrets and no reason to put more expensive!")</f>
        <v>Super headphones, very comfortable Really, I'm thrilled! I tested several headphones but I'm pretty sensitive and I found them all to wear painful after an hour or two. He is perfect very adaptable with earphones that turn dan every way, I can keep it for hours on the head without it bothers me. It is really very comfortable! Noise reduction is doing its job. The sound is good and the volume can be played on a high amplitude. I fall asleep and often can turn it down low, it's enjoyable. Little more, unlike many others, do not you screaming in the ears when it comes on, logs on or off and above all it does not scream "Mute" when reducing the sound !!!! It really takes a long time to load and recharges rather quickly elsewhere. The storage box is very convenient. In short, I had some reservations to take it, I really wanted a comfortable helmet and efficient and I was wondering if, given its price, it would be enough. . . and ben no regrets and no reason to put more expensive!</v>
      </c>
    </row>
    <row r="17470">
      <c r="A17470" s="1">
        <v>2.0</v>
      </c>
      <c r="B17470" s="1" t="s">
        <v>17177</v>
      </c>
      <c r="C17470" t="str">
        <f>IFERROR(__xludf.DUMMYFUNCTION("GOOGLETRANSLATE(B17470, ""fr"", ""en"")"),"Mixed review The overall quality seemed perfect but after 2 weeks soles peel off and the labels behind rubber heels. I hope it is a fault (this can happen even on a pair of Vans brand) and not counterfeit. (Exchange course required)")</f>
        <v>Mixed review The overall quality seemed perfect but after 2 weeks soles peel off and the labels behind rubber heels. I hope it is a fault (this can happen even on a pair of Vans brand) and not counterfeit. (Exchange course required)</v>
      </c>
    </row>
    <row r="17471">
      <c r="A17471" s="1">
        <v>1.0</v>
      </c>
      <c r="B17471" s="1" t="s">
        <v>17178</v>
      </c>
      <c r="C17471" t="str">
        <f>IFERROR(__xludf.DUMMYFUNCTION("GOOGLETRANSLATE(B17471, ""fr"", ""en"")"),"Although Adidas sweater too badly cut")</f>
        <v>Although Adidas sweater too badly cut</v>
      </c>
    </row>
    <row r="17472">
      <c r="A17472" s="1">
        <v>1.0</v>
      </c>
      <c r="B17472" s="1" t="s">
        <v>17179</v>
      </c>
      <c r="C17472" t="str">
        <f>IFERROR(__xludf.DUMMYFUNCTION("GOOGLETRANSLATE(B17472, ""fr"", ""en"")"),"Not too well insulated from noise Very bad for a guitar, when I move the cables resonate in the filled 😬")</f>
        <v>Not too well insulated from noise Very bad for a guitar, when I move the cables resonate in the filled 😬</v>
      </c>
    </row>
    <row r="17473">
      <c r="A17473" s="1">
        <v>3.0</v>
      </c>
      <c r="B17473" s="1" t="s">
        <v>17180</v>
      </c>
      <c r="C17473" t="str">
        <f>IFERROR(__xludf.DUMMYFUNCTION("GOOGLETRANSLATE(B17473, ""fr"", ""en"")"),"Good product Very practical, it is no longer easy to use. Only criticism: the wire may be a little short, but who accommodates")</f>
        <v>Good product Very practical, it is no longer easy to use. Only criticism: the wire may be a little short, but who accommodates</v>
      </c>
    </row>
    <row r="17474">
      <c r="A17474" s="1">
        <v>3.0</v>
      </c>
      <c r="B17474" s="1" t="s">
        <v>17181</v>
      </c>
      <c r="C17474" t="str">
        <f>IFERROR(__xludf.DUMMYFUNCTION("GOOGLETRANSLATE(B17474, ""fr"", ""en"")"),"Ok to the outside for now insole which deteriorates up once")</f>
        <v>Ok to the outside for now insole which deteriorates up once</v>
      </c>
    </row>
    <row r="17475">
      <c r="A17475" s="1">
        <v>4.0</v>
      </c>
      <c r="B17475" s="1" t="s">
        <v>17182</v>
      </c>
      <c r="C17475" t="str">
        <f>IFERROR(__xludf.DUMMYFUNCTION("GOOGLETRANSLATE(B17475, ""fr"", ""en"")"),"Excellent Excellent, easy to install. Make some noise with the water but still discreet.")</f>
        <v>Excellent Excellent, easy to install. Make some noise with the water but still discreet.</v>
      </c>
    </row>
    <row r="17476">
      <c r="A17476" s="1">
        <v>4.0</v>
      </c>
      <c r="B17476" s="1" t="s">
        <v>17183</v>
      </c>
      <c r="C17476" t="str">
        <f>IFERROR(__xludf.DUMMYFUNCTION("GOOGLETRANSLATE(B17476, ""fr"", ""en"")"),"Very good quality / purchase prix.Bon Beautiful class shows for the quality / prix.Fidèle description.Je to recommend this article and other models who wants to offer a gift or for yourself.")</f>
        <v>Very good quality / purchase prix.Bon Beautiful class shows for the quality / prix.Fidèle description.Je to recommend this article and other models who wants to offer a gift or for yourself.</v>
      </c>
    </row>
    <row r="17477">
      <c r="A17477" s="1">
        <v>4.0</v>
      </c>
      <c r="B17477" s="1" t="s">
        <v>17184</v>
      </c>
      <c r="C17477" t="str">
        <f>IFERROR(__xludf.DUMMYFUNCTION("GOOGLETRANSLATE(B17477, ""fr"", ""en"")"),"Easy to install, adjust, correct image projector easy to install and adjust. I screwed a camera up, it's easier (for my taste) to store after the screening. A perennial plant would require a ceiling mount as others have done ... Some buyers have complaine"&amp;"d about the noise, I did not find annoying sound film easily covers. But it saturates if you push the volume. Think about investing in speakers (or plug in stereo, the RCA cables supplied, and an HDMI cable). Fast delivery, proper packaging. Warning ! Mak"&amp;"e darkness in the room for best results. I also invested in a quality projection screen, almost as expensive as the projector! In summary, great value for money!")</f>
        <v>Easy to install, adjust, correct image projector easy to install and adjust. I screwed a camera up, it's easier (for my taste) to store after the screening. A perennial plant would require a ceiling mount as others have done ... Some buyers have complained about the noise, I did not find annoying sound film easily covers. But it saturates if you push the volume. Think about investing in speakers (or plug in stereo, the RCA cables supplied, and an HDMI cable). Fast delivery, proper packaging. Warning ! Make darkness in the room for best results. I also invested in a quality projection screen, almost as expensive as the projector! In summary, great value for money!</v>
      </c>
    </row>
    <row r="17478">
      <c r="A17478" s="1">
        <v>4.0</v>
      </c>
      <c r="B17478" s="1" t="s">
        <v>17185</v>
      </c>
      <c r="C17478" t="str">
        <f>IFERROR(__xludf.DUMMYFUNCTION("GOOGLETRANSLATE(B17478, ""fr"", ""en"")"),"Bottle top Bottle very practical, easy to clean, easy handling. The teats are well suited for baby, with different sizes. I used size 0-6 months for milk S AR carefree. Currently, baby still drinks his AR milk with cereals; he 6 months, I am nipple size M"&amp;" 6-18 see L. The valve for the air bubbles works very well.")</f>
        <v>Bottle top Bottle very practical, easy to clean, easy handling. The teats are well suited for baby, with different sizes. I used size 0-6 months for milk S AR carefree. Currently, baby still drinks his AR milk with cereals; he 6 months, I am nipple size M 6-18 see L. The valve for the air bubbles works very well.</v>
      </c>
    </row>
    <row r="17479">
      <c r="A17479" s="1">
        <v>5.0</v>
      </c>
      <c r="B17479" s="1" t="s">
        <v>17186</v>
      </c>
      <c r="C17479" t="str">
        <f>IFERROR(__xludf.DUMMYFUNCTION("GOOGLETRANSLATE(B17479, ""fr"", ""en"")"),"Air Max respect")</f>
        <v>Air Max respect</v>
      </c>
    </row>
    <row r="17480">
      <c r="A17480" s="1">
        <v>5.0</v>
      </c>
      <c r="B17480" s="1" t="s">
        <v>17187</v>
      </c>
      <c r="C17480" t="str">
        <f>IFERROR(__xludf.DUMMYFUNCTION("GOOGLETRANSLATE(B17480, ""fr"", ""en"")"),"Gentle wake for kids This is the second time we buy this awakening after a forgetfulness on vacation, and it's really great. The music is pleasant, the dawn function allows children to wake up gently to school each morning. easy and intuitive use. Very li"&amp;"ght flat on the fact that all functions are not accessible when it is not plugged in.")</f>
        <v>Gentle wake for kids This is the second time we buy this awakening after a forgetfulness on vacation, and it's really great. The music is pleasant, the dawn function allows children to wake up gently to school each morning. easy and intuitive use. Very light flat on the fact that all functions are not accessible when it is not plugged in.</v>
      </c>
    </row>
    <row r="17481">
      <c r="A17481" s="1">
        <v>5.0</v>
      </c>
      <c r="B17481" s="1" t="s">
        <v>17188</v>
      </c>
      <c r="C17481" t="str">
        <f>IFERROR(__xludf.DUMMYFUNCTION("GOOGLETRANSLATE(B17481, ""fr"", ""en"")"),"Very nice jewelry I recommend")</f>
        <v>Very nice jewelry I recommend</v>
      </c>
    </row>
    <row r="17482">
      <c r="A17482" s="1">
        <v>5.0</v>
      </c>
      <c r="B17482" s="1" t="s">
        <v>17189</v>
      </c>
      <c r="C17482" t="str">
        <f>IFERROR(__xludf.DUMMYFUNCTION("GOOGLETRANSLATE(B17482, ""fr"", ""en"")"),"satisfied she is scope watch and goes very well on his arm, he is satisfied, it is ready to recommend")</f>
        <v>satisfied she is scope watch and goes very well on his arm, he is satisfied, it is ready to recommend</v>
      </c>
    </row>
    <row r="17483">
      <c r="A17483" s="1">
        <v>5.0</v>
      </c>
      <c r="B17483" s="1" t="s">
        <v>17190</v>
      </c>
      <c r="C17483" t="str">
        <f>IFERROR(__xludf.DUMMYFUNCTION("GOOGLETRANSLATE(B17483, ""fr"", ""en"")"),"Chill a massaging seat convenient and enjoyable. We can put it on the couch, a chair or lying down, it will work fine. We can even put it in the car with a cigarette lighter. It is super complete with seat massage, back and also neck and neck what really "&amp;"makes the difference compared to other simpler products. The intensity is not adjustable but I think it's due to shiatsu (massage technique), anyway I find the perfect dosage. It is good and I use it regularly in the evening to relax without having to com"&amp;"plain.")</f>
        <v>Chill a massaging seat convenient and enjoyable. We can put it on the couch, a chair or lying down, it will work fine. We can even put it in the car with a cigarette lighter. It is super complete with seat massage, back and also neck and neck what really makes the difference compared to other simpler products. The intensity is not adjustable but I think it's due to shiatsu (massage technique), anyway I find the perfect dosage. It is good and I use it regularly in the evening to relax without having to complain.</v>
      </c>
    </row>
    <row r="17484">
      <c r="A17484" s="1">
        <v>5.0</v>
      </c>
      <c r="B17484" s="1" t="s">
        <v>17191</v>
      </c>
      <c r="C17484" t="str">
        <f>IFERROR(__xludf.DUMMYFUNCTION("GOOGLETRANSLATE(B17484, ""fr"", ""en"")"),"Very good! Nice watch very simple needles s light readable dial. Watch for a very full price. I recommend!")</f>
        <v>Very good! Nice watch very simple needles s light readable dial. Watch for a very full price. I recommend!</v>
      </c>
    </row>
    <row r="17485">
      <c r="A17485" s="1">
        <v>5.0</v>
      </c>
      <c r="B17485" s="1" t="s">
        <v>17192</v>
      </c>
      <c r="C17485" t="str">
        <f>IFERROR(__xludf.DUMMYFUNCTION("GOOGLETRANSLATE(B17485, ""fr"", ""en"")"),"MaJ incompatible compatible and just perfect I just replaced an empty cartridge for my printer and despite what is stated on the package in terms of compatibility, the card is not recognized by my ho officejet 8210. What can I to do? MaJ: After contact wi"&amp;"th the HP worries came from my printer that regionalization was not correct. Problem solved. The cartridges work perfectly.")</f>
        <v>MaJ incompatible compatible and just perfect I just replaced an empty cartridge for my printer and despite what is stated on the package in terms of compatibility, the card is not recognized by my ho officejet 8210. What can I to do? MaJ: After contact with the HP worries came from my printer that regionalization was not correct. Problem solved. The cartridges work perfectly.</v>
      </c>
    </row>
    <row r="17486">
      <c r="A17486" s="1">
        <v>5.0</v>
      </c>
      <c r="B17486" s="1" t="s">
        <v>17193</v>
      </c>
      <c r="C17486" t="str">
        <f>IFERROR(__xludf.DUMMYFUNCTION("GOOGLETRANSLATE(B17486, ""fr"", ""en"")"),"Top &lt;div id = ""video-block-R2D9MRBHWSOPHG"" class = ""a-section-spacing-small in-spacing-top mini video-block""&gt; &lt;div tabindex = ""0"" class = ""airy airy-svg vmin-supported airy-skin-beacon ""style ="" background-color: rgb (0, 0, 0); position: relative"&amp;"; width: 100%; height: 100%; font-size: 0px; overflow: hidden; outline : none; ""&gt; &lt;div class ="" airy-renderer-container ""style ="" position: relative; height: 100%; width: 100%; ""&gt; &lt;video id ="" 23 ""preload ="" auto ""src ="" https://images-eu.ssl-im"&amp;"ages-amazon.com/images/I/A1uxvQE4qvS.mp4 ""style ="" position: absolute; left: 0px; top: 0px; overflow: hidden; height: 1px; width: 1px ; ""&gt; &lt;/ video&gt; &lt;/ div&gt; &lt;div id ="" airy-slate-preload ""style ="" background-color: rgb (0, 0, 0); background-image: u"&amp;"rl (&amp; quot; https: // images-eu.ssl-images-amazon.com/images/I/91i7XkSEx7S.png&amp;quot;); background-size: contain; background-position: center center; background-repeat: no-repeat; position: absolute; top: 0px ; left: 0px; visibility: visible; width: 100%; "&amp;"height: 100% ""&gt; &lt;/ div&gt; &lt;iframe scrolling ="" no ""fram eBorder = ""0"" src = ""about: blank"" style = ""display: none;""&gt; &lt;/ iframe&gt; &lt;div tabindex = ""- 1"" class = ""airy-controls-container"" style = ""opacity: 0; visibility: hidden; ""&gt; &lt;div tabindex "&amp;"="" - 1 ""class ="" airy-screen-size-toggle airy-fullscreen ""&gt; &lt;/ div&gt; &lt;div tabindex ="" - 1 ""class ="" airy-container-bottom "" &gt; &lt;div tabindex = ""- 1"" class = ""airy-track-bar spacer-left"" style = ""width: 11px;""&gt; &lt;/ div&gt; &lt;div tabindex = ""- 1"" c"&amp;"lass = ""airy-play- toggle airy-play ""style ="" width: 12px; margin-right: 12px; ""&gt; &lt;/ div&gt; &lt;div tabindex ="" - 1 ""class ="" airy-audio-elements ""style ="" float: right; width: 34px; ""&gt; &lt;div tabindex ="" - 1 ""class ="" airy-audio-toggle airy-on ""&gt; "&amp;"&lt;/ div&gt; &lt;div tabindex ="" - 1 ""class ="" airy-audio-container ""style = ""opacity: 0; visibility: hidden; ""&gt; &lt;div tabindex ="" - 1 ""class ="" airy-audio-track-bar ""style ="" height: 80%; ""&gt; &lt;div tabindex ="" - 1 ""class ="" airy-audio- scrubber bar "&amp;"""style ="" height: 85% ""&gt; &lt;/ div&gt; &lt;div tabindex ="" - 1 ""class ="" airy-audio-scrubber ""style ="" height: 12px; bottom: 85% ""&gt; &lt;/ div&gt; &lt;/ div&gt; &lt;/ div&gt; &lt;/ div&gt; &lt;div tabindex ="" - 1 ""class ="" airy-duration-label ""style ="" float: right; width: 26px"&amp;"; margin-right: 4px; text-align: center; ""&gt; 0:00 &lt;/ div&gt; &lt;div tabindex ="" - 1 ""class ="" airy-track-bar spacer-right ""style ="" float: right; width: 11px; ""&gt; &lt;/ div&gt; &lt;div tabindex ="" - 1 ""class ="" airy-track-bar-container ""style ="" margin-left: "&amp;"35px; margin-right: 75px; ""&gt; &lt;div tabindex ="" - 1 ""class ="" airy-airy-track-bar vertical-centering-table ""&gt; &lt;div tabindex ="" - 1 ""class ="" airy-vertical-centering- table-cell ""&gt; &lt;div tabindex ="" - 1 ""class ="" airy-track-bar elements ""&gt; &lt;div t"&amp;"abindex ="" - 1 ""class ="" airy-progress bar ""&gt; &lt;/ div&gt; &lt;div tabindex = ""- 1"" class = ""airy-scrubber bar""&gt; &lt;/ div&gt; &lt;div tabindex = ""- 1"" class = ""airy-scrubber""&gt; &lt;div tabindex = ""- 1"" class = ""airy-scrubber- icon ""&gt; &lt;/ div&gt; &lt;div tabindex ="""&amp;" - 1 ""class ="" airy-adjusted-aui-tooltip ""style ="" opacity: 0; visibility: hidden; ""&gt; &lt;div tabindex ="" - 1 ""class ="" airy-adjusted-aui-tooltip-inner ""&gt; &lt;div tabindex ="" - 1 ""class ="" airy-current-time-label ""&gt; 0 00 &lt;/ div&gt; &lt;/ div&gt; &lt;div tabind"&amp;"ex = ""- 1"" class = ""airy-adjusted-aui-arrow-border""&gt; &lt;div tabindex = ""- 1"" class = ""airy-adjusted-aui-arrow"" &gt; &lt;/ div&gt; &lt;/ div&gt; &lt;/ div&gt; &lt;/ div&gt; &lt;/ div&gt; &lt;/ div&gt; &lt;/ div&gt; &lt;/ div&gt; &lt;/ div&gt; &lt;/ div&gt; &lt;div tabindex = ""- 1"" class = ""airy-airy-age-gate cou"&amp;"rse airy-vertical-centering table-airy-dialog"" style = ""opacity: 0; visibility: hidden; ""&gt; &lt;div tabindex ="" - 1 ""class ="" airy-age-gate-vertical-centering-table-cell airy-vertical-centering-table-cell ""&gt; &lt;div tabindex ="" - 1 ""class = ""airy-verti"&amp;"cal-centering-wrapper airy-age-gate-elements-wrapper""&gt; &lt;div tabindex = ""- 1"" class = ""airy-age-gate-elements airy-dialog-elements""&gt; &lt;div tabindex = "" -1 ""class ="" airy-age-gate-prompt ""&gt; This video is not Intended for all audiences What time were"&amp;" you born &lt;/ div&gt; &lt;div tabindex =.?"" - 1 ""class ="" airy-age-gate -inputs airy-dialog-inner-elements ""&gt; &lt;select tabindex ="" - 1 ""class ="" airy-age-gate-month ""&gt; &lt;option value ="" 1 ""&gt; January &lt;/ option&gt; &lt;option value ="" 2 ""&gt; February &lt;/ option&gt; "&amp;"&lt;option value ="" 3 ""&gt; March &lt;/ option&gt; &lt;option value ="" 4 ""&gt; April &lt;/ option&gt; &lt;option value ="" 5 ""&gt; May &lt;/ option&gt; &lt;option value = ""6""&gt; June &lt;/ option&gt; &lt;option value = ""7""&gt; July &lt;/ option&gt; &lt;option value = ""8""&gt; August &lt;/ option&gt; &lt;option value ="&amp;" ""9""&gt; September &lt;/ option&gt; &lt;option value = ""10""&gt; October &lt;/ option&gt; &lt;option value = ""11""&gt; November &lt;/ option&gt; &lt;option value = ""12""&gt; December &lt;/ option&gt; &lt;/ select&gt; &lt;select tabindex = ""- 1"" class = ""airy-age-gate-day""&gt; &lt;opti = One value ""1""&gt; 1"&amp;" &lt;/ option&gt; &lt;option value = ""2""&gt; 2 &lt;/ option&gt; &lt;option value = ""3""&gt; 3 &lt;/ option&gt; &lt;option value = ""4""&gt; 4 &lt;/ option &gt; &lt;option value = ""5""&gt; 5 &lt;/ option&gt; &lt;option value = ""6""&gt; 6 &lt;/ option&gt; &lt;option value = ""7""&gt; 7 &lt;/ option&gt; &lt;option value = ""8""&gt; 8 &lt;"&amp;" / option&gt; &lt;option value = ""9""&gt; 9 &lt;/ option&gt; &lt;option value = ""10""&gt; 10 &lt;/ option&gt; &lt;option value = ""11""&gt; 11 &lt;/ option&gt; &lt;option value = ""12""&gt; 12 &lt;/ option&gt; &lt;option value = ""13""&gt; 13 &lt;/ option&gt; &lt;option value = ""14""&gt; 14 &lt;/ option&gt; &lt;option value = """&amp;"15""&gt; 15 &lt;/ option&gt; &lt;option value = ""16 ""&gt; 16 &lt;/ option&gt; &lt;option value ="" 17 ""&gt; 17 &lt;/ option&gt; &lt;option value ="" 18 ""&gt; 18 &lt;/ option&gt; &lt;option value ="" 19 ""&gt; 19 &lt;/ option&gt; &lt;option value = ""20""&gt; 20 &lt;/ option&gt; &lt;option value = ""21""&gt; 21 &lt;/ option&gt; &lt;op"&amp;"tion value = ""22""&gt; 22 &lt;/ option&gt; &lt;option value = ""23""&gt; 23 &lt;/ option&gt; &lt;option value = ""24""&gt; 24 &lt;/ option&gt; &lt;option value = ""25""&gt; 25 &lt;/ option&gt; &lt;option value = ""26""&gt; 26 &lt;/ option&gt; &lt;option value = ""27""&gt; 27 &lt;/ option&gt; &lt;option value = ""28""&gt; 28 &lt;/ "&amp;"option&gt; &lt;option value = ""29""&gt; 29 &lt;/ option&gt; &lt;option value = ""30""&gt; 30 &lt;/ option&gt; &lt;option value = ""31""&gt; 31 &lt;/ option&gt; &lt;/ select&gt; &lt;select tabindex = ""- 1"" class = ""airy-age-gate-year""&gt; &lt;option value = ""2019""&gt; 2019 &lt;/ option&gt; &lt; option value = ""20"&amp;"18""&gt; 2018 &lt;/ option&gt; &lt;option value = ""2017""&gt; 2017 &lt;/ option&gt; &lt;option value = ""2016""&gt; ​​2016 &lt;/ option&gt; &lt;option value = ""2015""&gt; 2015 &lt;/ option &gt; &lt;option value = ""2014""&gt; 2014 &lt;/ option&gt; &lt;option value = ""2013""&gt; 2013 &lt;/ option&gt; &lt;option value = ""20"&amp;"12""&gt; 2012 &lt;/ option&gt; &lt;option value = ""2011""&gt; 2011 &lt; / option&gt; &lt;option value = ""2010""&gt; 2010 &lt;/ option&gt; &lt;option value = ""2009""&gt; 2009 &lt;/ option&gt; &lt;option value = ""2008""&gt; 2008 &lt;/ option&gt; &lt;option value = ""2007""&gt; 2007 &lt;/ option&gt; &lt;option value = ""2006"&amp;"""&gt; 2006 &lt;/ option&gt; &lt;option value = ""2005""&gt; 2005 &lt;/ option&gt; &lt;option value = ""2004""&gt; 2004 &lt;/ option&gt; &lt;option value = ""2003 ""&gt; 2003 &lt;/ option&gt; &lt;option value ="" 2002 ""&gt; 2002 &lt;/ option&gt; &lt;option value ="" 2001 ""&gt; 2001 &lt;/ option&gt; &lt;option value ="" 2000"&amp;" ""&gt; 2000 &lt;/ option&gt; &lt;option value = ""1999""&gt; 1999 &lt;/ option&gt; &lt;option value = ""1998""&gt; 1998 &lt;/ option&gt; &lt;option value = ""1997""&gt; 1997 &lt;/ option&gt; &lt;option value = ""1996""&gt; 1996 &lt;/ option&gt; &lt;option value = ""1995""&gt; 1995 &lt;/ option&gt; &lt;option value = ""1994"""&amp;"&gt; 1994 &lt;/ option&gt; &lt;option value = ""1993""&gt; 1993 &lt;/ option&gt; &lt;option value = ""1992""&gt; 1992 &lt;/ option&gt; &lt;option value = ""1991""&gt; 1991 &lt;/ option&gt; &lt;option value = ""1990""&gt; 1990 &lt;/ option&gt; &lt;option value = "" 1989 ""&gt; 1989 &lt;/ option&gt; &lt;option value ="" 1988 """&amp;"&gt; 1988 &lt;/ option&gt; &lt;option value ="" 1987 ""&gt; 1987 &lt;/ option&gt; &lt;option value ="" 1986 ""&gt; 1986 &lt;/ option&gt; &lt;option value = ""1985""&gt; 1985 &lt;/ option&gt; &lt;option value = ""1984""&gt; 1984 &lt;/ option&gt; &lt;option value = ""1983""&gt; 1983 &lt;/ option&gt; &lt;option value = ""1982""&gt;"&amp;" 1982 &lt;/ option&gt; &lt; option value = ""1981""&gt; 1981 &lt;/ option&gt; &lt;option value = ""1980""&gt; 1980 &lt;/ option&gt; &lt;option value = ""1979""&gt; 1979 &lt;/ option&gt; &lt;option value = ""1978""&gt; 1978 &lt;/ option &gt; &lt;option value = ""1977""&gt; 1977 &lt;/ option&gt; &lt;option value = ""1976""&gt; "&amp;"1976 &lt;/ option&gt; &lt;option value = ""1975""&gt; 1975 &lt;/ option&gt; &lt;option value = ""1974""&gt; 1974 &lt; / option&gt; &lt;option value = ""1973""&gt; 1973 &lt;/ option&gt; &lt;option value = ""1972""&gt; 1972 &lt;/ option&gt; &lt;option value = ""1971""&gt; 1971 &lt;/ option&gt; &lt;option value = ""1970""&gt; 19"&amp;"70 &lt;/ option&gt; &lt;option value = ""1969""&gt; 1969 &lt;/ option&gt; &lt;option value = ""1968""&gt; 1968 &lt;/ option&gt; &lt;option value = ""1967""&gt; 1967 &lt;/ option&gt; &lt;option value = ""1966 ""&gt; 1966 &lt;/ option&gt; &lt;option value ="" 1965 ""&gt; 1965 &lt;/ option&gt; &lt;option value ="" 1964 ""&gt; 19"&amp;"64 &lt;/ option&gt; &lt;option value ="" 1963 ""&gt; 1963 &lt;/ option&gt; &lt;option value = ""1962""&gt; 1962 &lt;/ option&gt; &lt;option value = ""1961""&gt; 1961 &lt;/ option&gt; &lt;option value = ""1960""&gt; 1960 &lt;/ op tion&gt; &lt;option value = ""1959""&gt; 1959 &lt;/ option&gt; &lt;option value = ""1958""&gt; 195"&amp;"8 &lt;/ option&gt; &lt;option value = ""1957""&gt; 1957 &lt;/ option&gt; &lt;option value = ""1956""&gt; 1956 &lt;/ option&gt; &lt;option value = ""1955""&gt; 1955 &lt;/ option&gt; &lt;option value = ""1954""&gt; 1954 &lt;/ option&gt; &lt;option value = ""1953""&gt; 1953 &lt;/ option&gt; &lt;option value = ""1952"" &gt; 1952 "&amp;"&lt;/ option&gt; &lt;option value = ""1951""&gt; 1951 &lt;/ option&gt; &lt;option value = ""1950""&gt; 1950 &lt;/ option&gt; &lt;option value = ""1949""&gt; 1949 &lt;/ option&gt; &lt;option value = "" 1948 ""&gt; 1948 &lt;/ option&gt; &lt;option value ="" 1947 ""&gt; 1947 &lt;/ option&gt; &lt;option value ="" 1946 ""&gt; 1946"&amp;" &lt;/ option&gt; &lt;option value ="" 1945 ""&gt; 1945 &lt;/ option&gt; &lt;option value = ""1944""&gt; 1944 &lt;/ option&gt; &lt;option value = ""1943""&gt; 1943 &lt;/ option&gt; &lt;option value = ""1942""&gt; 1942 &lt;/ option&gt; &lt;option value = ""1941""&gt; 1941 &lt;/ option&gt; &lt; option value = ""1940""&gt; 1940 "&amp;"&lt;/ option&gt; &lt;option value = ""1939""&gt; 1939 &lt;/ option&gt; &lt;option value = ""1938""&gt; 1938 &lt;/ option&gt; &lt;option value = ""1937""&gt; 1937 &lt;/ option &gt; &lt;option value = ""1936""&gt; 1936 &lt;/ option&gt; &lt;option value = ""1935""&gt; 1935 &lt;/ option&gt; &lt;option value = ""1934""&gt; 1934 &lt;/"&amp;" option&gt; &lt;option value = ""1933""&gt; 1933 &lt; / option&gt; &lt;option value = ""1932""&gt; 1932 &lt;/ option&gt; &lt;option value = ""1931""&gt; 1931 &lt;/ option&gt; &lt;option v alue = ""1930""&gt; 1930 &lt;/ option&gt; &lt;option value = ""1929""&gt; 1929 &lt;/ option&gt; &lt;option value = ""1928""&gt; 1928 &lt;/ "&amp;"option&gt; &lt;option value = ""1927""&gt; 1927 &lt;/ option&gt; &lt;option value = ""1926""&gt; 1926 &lt;/ option&gt; &lt;option value = ""1925""&gt; 1925 &lt;/ option&gt; &lt;option value = ""1924""&gt; 1924 &lt;/ option&gt; &lt;option value = ""1923""&gt; 1923 &lt;/ option&gt; &lt;option value = ""1922""&gt; 1922 &lt;/ opt"&amp;"ion&gt; &lt;option value = ""1921""&gt; 1921 &lt;/ option&gt; &lt;option value = ""1920""&gt; 1920 &lt;/ option&gt; &lt;option value = ""1919""&gt; 1919 &lt;/ option&gt; &lt;option value = ""1918""&gt; 1918 &lt;/ option&gt; &lt;option value = ""1917""&gt; 1917 &lt;/ option&gt; &lt;option value = ""1916""&gt; 1916 &lt;/ option"&amp;"&gt; &lt;option value = ""1915"" &gt; 1915 &lt;/ option&gt; &lt;option value = ""1914""&gt; 1914 &lt;/ option&gt; &lt;option value = ""1913""&gt; 1913 &lt;/ option&gt; &lt;option value = ""1912""&gt; 1912 &lt;/ option&gt; &lt;option value = "" 1911 ""&gt; 1911 &lt;/ option&gt; &lt;option value ="" 1910 ""&gt; 1910 &lt;/ optio"&amp;"n&gt; &lt;option value ="" 1909 ""&gt; 1909 &lt;/ option&gt; &lt;option value ="" 1908 ""&gt; 1908 &lt;/ option&gt; &lt;option value = ""1907""&gt; 1907 &lt;/ option&gt; &lt;option value = ""1906""&gt; 1906 &lt;/ option&gt; &lt;option value = ""1905""&gt; 1905 &lt;/ option&gt; &lt;option value = ""1904""&gt; 1904 &lt;/ option"&amp;"&gt; &lt; option value = ""1903""&gt; 1903 &lt;/ option&gt; &lt;option value = ""1902""&gt; 1902 &lt;/ option&gt; &lt;option value = ""1901""&gt; 19 01 &lt;/ option&gt; &lt;option value = ""1900""&gt; 1900 &lt;/ option&gt; &lt;/ select&gt; &lt;div tabindex = ""- 1"" class = ""airy-age-gate-submit airy-submit-butto"&amp;"n airy airy-submit- disabled ""&gt; Submit &lt;/ div&gt; &lt;/ div&gt; &lt;/ div&gt; &lt;/ div&gt; &lt;/ div&gt; &lt;/ div&gt; &lt;div tabindex ="" - 1 ""class ="" airy-install-flash-dialog airy-course airy -Vertical-centering-table dialog airy-airy-denied ""style ="" opacity: 0; visibility: hidd"&amp;"en; ""&gt; &lt;div tabindex ="" - 1 ""class ="" airy-install-flash-vertical-centering-table-cell airy-vertical-centering-table-cell ""&gt; &lt;div tabindex ="" - 1 ""class = ""airy-vertical-centering-wrapper airy-install-flash-elements-wrapper""&gt; &lt;div tabindex = ""- "&amp;"1"" class = ""airy-install-flash-elements airy-dialog-elements""&gt; &lt;div tabindex = "" -1 ""class ="" airy-install-flash-prompt ""&gt; Adobe Flash Player is required to watch this video &lt;/ div&gt; &lt;div = tabindex."" - 1 ""class ="" airy-install-flash-button-wrapp"&amp;"er airy -dialog-inner-elements ""&gt; &lt;div tabindex ="" - 1 ""class ="" airy-install-flash-button airy-button ""&gt; install Flash Player &lt;/ div&gt; &lt;/ div&gt; &lt;/ div&gt; &lt;/ div&gt; &lt;/ div&gt; &lt;/ div&gt; &lt;div tabindex = ""- 1"" class = ""airy-video-unsupported-dialog airy-course"&amp;" airy-vertical-centering table-airy-dialog airy-denied"" style = ""opacity: 0; visibility: hidden; ""&gt; &lt;div tabindex ="" - 1 ""class ="" airy-video-unsupported-vertical-centering-table-cell airy-vertical-centering-table-cell ""&gt; &lt;div tabindex ="" - 1 ""cl"&amp;"ass = ""airy-vertical-centering-wrapper airy-video-unsupported-elements-wrapper""&gt; &lt;div tabindex = ""- 1"" class = ""airy-video-unsupported-elements airy-dialog-elements""&gt; &lt;div tabindex = "" -1 ""class ="" airy-video-unsupported-prompt ""&gt; &lt;/ div&gt; &lt;/ div"&amp;"&gt; &lt;/ div&gt; &lt;/ div&gt; &lt;/ div&gt; &lt;div tabindex ="" - 1 ""class ="" airy-loading- spinner-stage airy-stage ""&gt; &lt;div tabindex ="" - 1 ""class ="" airy-loading-spinner-vertical-centering-table-cell airy-vertical-centering-table-cell ""&gt; &lt;div tabindex ="" - 1 ""clas"&amp;"s ="" airy-loading-spinner container airy-scalable-hint-container ""&gt; &lt;div tabindex ="" - 1 ""class ="" airy-loading-spinner-dummy airy-scalable-dummy ""&gt; &lt;/ div&gt; &lt; div tabindex = ""- 1"" class = ""airy-loading-spinner airy-hint"" style = ""visibility: hi"&amp;"dden;""&gt; &lt;/ div&gt; &lt;/ div&gt; &lt;/ div&gt; &lt;/ div&gt; &lt;div tabindex = ""- 1 ""class ="" airy-ads-screen-size-toggle airy-screen-size-toggle airy-fullscreen ""style ="" visibility: hidden; ""&gt; &lt;/ div&gt; &lt;div tabindex = ""-1"" class = ""airy-ad-prompt-container"" style = "&amp;"""visibility: hidden;""&gt; &lt;div tabindex = ""- 1"" class = ""airy-ad-prompt-vertical-centering table-airy-vertical- centering-table ""&gt; &lt;div tabindex ="" - 1 ""class ="" airy-ad-prompt-vertical-centering-table-cell airy-vertical-centering-table-cell ""&gt; &lt;di"&amp;"v tabindex ="" - 1 ""class = ""airy-ad-prompt-label""&gt; &lt;/ div&gt; &lt;/ div&gt; &lt;/ div&gt; &lt;/ div&gt; &lt;div tabindex = ""- 1"" class = ""airy-ads-controls-container"" style = ""visibility: hidden; ""&gt; &lt;div tabindex ="" - 1 ""class ="" airy-ads-audio-toggle airy-audio-tog"&amp;"gle airy-on ""style ="" visibility: hidden; ""&gt; &lt;/ div&gt; &lt;div tabindex ="" - 1 ""class ="" airy-time-remaining-label-container ""&gt; &lt;div tabindex ="" - 1 ""class ="" airy-time-remaining-vertical-centering table-airy-vertical-centering-table ""&gt; &lt;div tabinde"&amp;"x = ""- 1"" class = ""airy-time-remaining-vertical-centering-table-cell airy-vertical-centering-table-cell""&gt; &lt;div tabindex = ""- 1"" class = ""airy-vertical-centering-wrapper airy-time-remaining-label-wrapper ""&gt; &lt;div tabindex ="" - 1 ""class ="" airy-ti"&amp;"me-remaining-label ""style ="" visibility: hidden; ""&gt; &lt;/ div&gt; &lt;div tabi ndex = ""- 1"" class = ""airy-ad-skip"" style = ""visibility: hidden;""&gt; &lt;/ div&gt; &lt;div tabindex = ""- 1"" class = ""airy-ad-end"" style = ""visibility: hidden; ""&gt; &lt;/ div&gt; &lt;/ div&gt; &lt;/ "&amp;"div&gt; &lt;/ div&gt; &lt;/ div&gt; &lt;div tabindex ="" - 1 ""class ="" airy-learn-more ""style ="" visibility: hidden; ""&gt; &lt;/ div&gt; &lt;/ div&gt; &lt;div tabindex = ""- 1"" class = ""airy-play-toggle-hint-stage airy-course airy-cursor""&gt; &lt;div tabindex = ""- 1"" class = ""airy-play"&amp;" -toggle-hint-vertical-centering-table-cell airy-vertical-centering-table-cell airy-cursor ""&gt; &lt;div tabindex ="" - 1 ""class ="" airy-play-toggle-hint-container airy-scalable- hint-container ""&gt; &lt;div tabindex ="" - 1 ""class ="" airy-play-toggle-hint-dumm"&amp;"y airy-scalable-dummy ""&gt; &lt;/ div&gt; &lt;div tabindex ="" - 1 ""class ="" airy-play -toggle airy-hint-hint-hint airy-play ""style ="" opacity: 1; visibility: visible; ""&gt; &lt;/ div&gt; &lt;/ div&gt; &lt;/ div&gt; &lt;/ div&gt; &lt;div tabindex ="" - 1 ""class ="" airy-replay-hint-stage a"&amp;"iry-stage ""style ="" visibility: hidden ; ""&gt; &lt;div tabindex ="" - 1 ""class ="" airy-replay-hint-vertical-centering-table-cell airy-vertical-centering-table-cell airy-cursor ""&gt; &lt;div tabindex ="" - 1 ""class = ""airy-replay-hint-container airy-scalable-h"&amp;"int-container""&gt; &lt;div tabindex = ""- 1"" class = ""airy-replay-hint-dummy airy-scalable-dummy""&gt; &lt;/ div&gt; &lt;div tabindex = ""- 1"" class = ""airy-replay-hint airy-hint""&gt; &lt;/ div&gt; &lt;/ div&gt; &lt;/ div&gt; &lt;/ div&gt; &lt;div tabindex = ""- 1"" class = ""airy-autoplay-hint -"&amp;"stage airy-stage ""style ="" visibility: hidden; ""&gt; &lt;div tabindex ="" - 1 ""class ="" airy-autoplay-hint-vertical-centering-table-cell airy-vertical-centering-table-cell airy- cursor ""&gt; &lt;div tabindex ="" - 1 ""class ="" autoplay airy-airy-hint-container"&amp;"-scalable-hint-container ""&gt; &lt;div tabindex ="" - 1 ""class ="" airy-autoplay-hint-dummy airy- scalable-dummy ""&gt; &lt;/ div&gt; &lt;/ div&gt; &lt;/ div&gt; &lt;/ div&gt; &lt;/ div&gt; &lt;/ div&gt; &lt;input type ="" hidden ""name ="" ""value ="" https: // pictures-eu .ssl-image amazon.com / im"&amp;"ages / I / A1uxvQE4qvS.mp4 ""Class ="" video-url ""&gt; &lt;input type ="" hidden ""name ="" ""value ="" https://images-eu.ssl-images-amazon.com/images/I/91i7XkSEx7S.png ""class ="" video-slate-img-url ""&gt; &amp; nbsp; the headphones are really quality packaging any"&amp;"thing that we feel that it is the quality, sound and just perfect compared to my old headset be .. by D ... bass at the top is its clear storage box and takes little space but it is very convenient, I can only recommend this headset is money we are top.")</f>
        <v>Top &lt;div id = "video-block-R2D9MRBHWSOPHG" class = "a-section-spacing-small in-spacing-top mini video-block"&gt; &lt;div tabindex = "0" class = "airy airy-svg vmin-supported airy-skin-beacon "style =" background-color: rgb (0, 0, 0); position: relative; width: 100%; height: 100%; font-size: 0px; overflow: hidden; outline : none; "&gt; &lt;div class =" airy-renderer-container "style =" position: relative; height: 100%; width: 100%; "&gt; &lt;video id =" 23 "preload =" auto "src =" https://images-eu.ssl-images-amazon.com/images/I/A1uxvQE4qvS.mp4 "style =" position: absolute; left: 0px; top: 0px; overflow: hidden; height: 1px; width: 1px ; "&gt; &lt;/ video&gt; &lt;/ div&gt; &lt;div id =" airy-slate-preload "style =" background-color: rgb (0, 0, 0); background-image: url (&amp; quot; https: // images-eu.ssl-images-amazon.com/images/I/91i7XkSEx7S.png&amp;quot;); background-size: contain; background-position: center center; background-repeat: no-repeat; position: absolute; top: 0px ; left: 0px; visibility: visible; width: 100%; height: 100% "&gt; &lt;/ div&gt; &lt;iframe scrolling =" no "fram 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A1uxvQE4qvS.mp4 "Class =" video-url "&gt; &lt;input type =" hidden "name =" "value =" https://images-eu.ssl-images-amazon.com/images/I/91i7XkSEx7S.png "class =" video-slate-img-url "&gt; &amp; nbsp; the headphones are really quality packaging anything that we feel that it is the quality, sound and just perfect compared to my old headset be .. by D ... bass at the top is its clear storage box and takes little space but it is very convenient, I can only recommend this headset is money we are top.</v>
      </c>
    </row>
    <row r="17487">
      <c r="A17487" s="1">
        <v>5.0</v>
      </c>
      <c r="B17487" s="1" t="s">
        <v>17194</v>
      </c>
      <c r="C17487" t="str">
        <f>IFERROR(__xludf.DUMMYFUNCTION("GOOGLETRANSLATE(B17487, ""fr"", ""en"")"),"Comfort and still a very good footwear comfort ally as always with Merrell at a very good fit. These loafers slip on quickly and are great for the city or for driving. It's Shoe quickly after a hike or a workout. Quality Nubuck leather is perfect as well "&amp;"as the seams. I personally adds a correction with sole vault (D4) in Merrell Take one size larger.")</f>
        <v>Comfort and still a very good footwear comfort ally as always with Merrell at a very good fit. These loafers slip on quickly and are great for the city or for driving. It's Shoe quickly after a hike or a workout. Quality Nubuck leather is perfect as well as the seams. I personally adds a correction with sole vault (D4) in Merrell Take one size larger.</v>
      </c>
    </row>
    <row r="17488">
      <c r="A17488" s="1">
        <v>5.0</v>
      </c>
      <c r="B17488" s="1" t="s">
        <v>17195</v>
      </c>
      <c r="C17488" t="str">
        <f>IFERROR(__xludf.DUMMYFUNCTION("GOOGLETRANSLATE(B17488, ""fr"", ""en"")"),"Gift with a lot of effects !!! Delivered on time with Amazon Prime. Gift with sweetheart for her birthday. She gets off !!! Standard size, lightweight and stylish too. This gift had the effect I wanted. Very good value for money. I recommend it as a gift "&amp;"idea. Good buy at all !!!")</f>
        <v>Gift with a lot of effects !!! Delivered on time with Amazon Prime. Gift with sweetheart for her birthday. She gets off !!! Standard size, lightweight and stylish too. This gift had the effect I wanted. Very good value for money. I recommend it as a gift idea. Good buy at all !!!</v>
      </c>
    </row>
    <row r="17489">
      <c r="A17489" s="1">
        <v>5.0</v>
      </c>
      <c r="B17489" s="1" t="s">
        <v>17196</v>
      </c>
      <c r="C17489" t="str">
        <f>IFERROR(__xludf.DUMMYFUNCTION("GOOGLETRANSLATE(B17489, ""fr"", ""en"")"),"Great I'm really happy with this purchase! The sneakers are fine cut, great rooms are comfortable and light")</f>
        <v>Great I'm really happy with this purchase! The sneakers are fine cut, great rooms are comfortable and light</v>
      </c>
    </row>
    <row r="17490">
      <c r="A17490" s="1">
        <v>5.0</v>
      </c>
      <c r="B17490" s="1" t="s">
        <v>17197</v>
      </c>
      <c r="C17490" t="str">
        <f>IFERROR(__xludf.DUMMYFUNCTION("GOOGLETRANSLATE(B17490, ""fr"", ""en"")"),"Nickel and class. Not expensive for this quality. I received last Friday February 1st. As agreed in time. Article very comfortable and pleasant to wear and even warm enough for winter weather and sunny days. I highly recommend it to all men for value for "&amp;"money and brand. Size L. This is impeccable. I measure 1.67 meters and 76 kilos. Perfect thank you.")</f>
        <v>Nickel and class. Not expensive for this quality. I received last Friday February 1st. As agreed in time. Article very comfortable and pleasant to wear and even warm enough for winter weather and sunny days. I highly recommend it to all men for value for money and brand. Size L. This is impeccable. I measure 1.67 meters and 76 kilos. Perfect thank you.</v>
      </c>
    </row>
    <row r="17491">
      <c r="A17491" s="1">
        <v>5.0</v>
      </c>
      <c r="B17491" s="1" t="s">
        <v>17198</v>
      </c>
      <c r="C17491" t="str">
        <f>IFERROR(__xludf.DUMMYFUNCTION("GOOGLETRANSLATE(B17491, ""fr"", ""en"")"),"Very good product! Great! Exactly what I needed! I hurt all the time and this neck massager did a great job and never gets tired :)))) I am very glad of this brand is the second product that I bought and I think also to buy my sister. I recommend!")</f>
        <v>Very good product! Great! Exactly what I needed! I hurt all the time and this neck massager did a great job and never gets tired :)))) I am very glad of this brand is the second product that I bought and I think also to buy my sister. I recommend!</v>
      </c>
    </row>
    <row r="17492">
      <c r="A17492" s="1">
        <v>5.0</v>
      </c>
      <c r="B17492" s="1" t="s">
        <v>17199</v>
      </c>
      <c r="C17492" t="str">
        <f>IFERROR(__xludf.DUMMYFUNCTION("GOOGLETRANSLATE(B17492, ""fr"", ""en"")"),"this is the perfect water bottle to have. Really very good and efficient. No odor contrerement other comments I've read.")</f>
        <v>this is the perfect water bottle to have. Really very good and efficient. No odor contrerement other comments I've read.</v>
      </c>
    </row>
    <row r="17493">
      <c r="A17493" s="1">
        <v>5.0</v>
      </c>
      <c r="B17493" s="1" t="s">
        <v>17200</v>
      </c>
      <c r="C17493" t="str">
        <f>IFERROR(__xludf.DUMMYFUNCTION("GOOGLETRANSLATE(B17493, ""fr"", ""en"")"),"I am very satisfied with this product, never disappointed with the Timberland brand will never disappoint a product !!!! 100 / 100.je article.l recommend this product was exactly what I attendais.livraison very fast and efficace.timberland")</f>
        <v>I am very satisfied with this product, never disappointed with the Timberland brand will never disappoint a product !!!! 100 / 100.je article.l recommend this product was exactly what I attendais.livraison very fast and efficace.timberland</v>
      </c>
    </row>
    <row r="17494">
      <c r="A17494" s="1">
        <v>2.0</v>
      </c>
      <c r="B17494" s="1" t="s">
        <v>17201</v>
      </c>
      <c r="C17494" t="str">
        <f>IFERROR(__xludf.DUMMYFUNCTION("GOOGLETRANSLATE(B17494, ""fr"", ""en"")"),"questionable price-quality ratio of 7 € (price to date) both moisture absorbers to hang in wardrobe is a bit expensive compared to the actual effectiveness: in fact, a real moisture problem in a home does not deal with disposable solutions after 6 weeks. "&amp;"You still have to note that Rubson has not set an aggressive scent, which is a positive. Otherwise, it will find something else to deal with a constant moisture problem: the constraints and limitations of this type of products are too strong. Pity !")</f>
        <v>questionable price-quality ratio of 7 € (price to date) both moisture absorbers to hang in wardrobe is a bit expensive compared to the actual effectiveness: in fact, a real moisture problem in a home does not deal with disposable solutions after 6 weeks. You still have to note that Rubson has not set an aggressive scent, which is a positive. Otherwise, it will find something else to deal with a constant moisture problem: the constraints and limitations of this type of products are too strong. Pity !</v>
      </c>
    </row>
    <row r="17495">
      <c r="A17495" s="1">
        <v>1.0</v>
      </c>
      <c r="B17495" s="1" t="s">
        <v>17202</v>
      </c>
      <c r="C17495" t="str">
        <f>IFERROR(__xludf.DUMMYFUNCTION("GOOGLETRANSLATE(B17495, ""fr"", ""en"")"),"No Then, crap .... the paper is not worth the quality of a quality paper 👍le prize winner at Aldi dia .... or .... I strongly recommended")</f>
        <v>No Then, crap .... the paper is not worth the quality of a quality paper 👍le prize winner at Aldi dia .... or .... I strongly recommended</v>
      </c>
    </row>
    <row r="17496">
      <c r="A17496" s="1">
        <v>1.0</v>
      </c>
      <c r="B17496" s="1" t="s">
        <v>17203</v>
      </c>
      <c r="C17496" t="str">
        <f>IFERROR(__xludf.DUMMYFUNCTION("GOOGLETRANSLATE(B17496, ""fr"", ""en"")"),"Beware of Deception sizes. J'm sure I look before ordering ... what about when the sizes are not noted that in us and so obviously too small.")</f>
        <v>Beware of Deception sizes. J'm sure I look before ordering ... what about when the sizes are not noted that in us and so obviously too small.</v>
      </c>
    </row>
    <row r="17497">
      <c r="A17497" s="1">
        <v>3.0</v>
      </c>
      <c r="B17497" s="1" t="s">
        <v>17204</v>
      </c>
      <c r="C17497" t="str">
        <f>IFERROR(__xludf.DUMMYFUNCTION("GOOGLETRANSLATE(B17497, ""fr"", ""en"")"),"HS armrest .. Hi, I bought this table there a month ago, I use 5 to 6 times a week and the armrest attached to the tétieère is already broken .. the small plastic tab on which attaches straps is broken .. which makes it unusable. The arm rests on the side"&amp;"s .. saw the holding system ... I do not put the same, it may be very old to retire hurt and handed over quite often. For the rest, it does its job ... to see if the table itself takes longer than plastics arm rests. It nevertheless remains comfortable.")</f>
        <v>HS armrest .. Hi, I bought this table there a month ago, I use 5 to 6 times a week and the armrest attached to the tétieère is already broken .. the small plastic tab on which attaches straps is broken .. which makes it unusable. The arm rests on the sides .. saw the holding system ... I do not put the same, it may be very old to retire hurt and handed over quite often. For the rest, it does its job ... to see if the table itself takes longer than plastics arm rests. It nevertheless remains comfortable.</v>
      </c>
    </row>
    <row r="17498">
      <c r="A17498" s="1">
        <v>4.0</v>
      </c>
      <c r="B17498" s="1" t="s">
        <v>17205</v>
      </c>
      <c r="C17498" t="str">
        <f>IFERROR(__xludf.DUMMYFUNCTION("GOOGLETRANSLATE(B17498, ""fr"", ""en"")"),"Easy to use. In addition two electrodes Excellent device to trigger muscle contractions by electric currents transmitted over the feet and go solicited various muscles of the feet, leg, to trigger tipping the foot at the ankle. Depending on the intensity "&amp;"set, it requests more distant muscles soles.")</f>
        <v>Easy to use. In addition two electrodes Excellent device to trigger muscle contractions by electric currents transmitted over the feet and go solicited various muscles of the feet, leg, to trigger tipping the foot at the ankle. Depending on the intensity set, it requests more distant muscles soles.</v>
      </c>
    </row>
    <row r="17499">
      <c r="A17499" s="1">
        <v>4.0</v>
      </c>
      <c r="B17499" s="1" t="s">
        <v>17206</v>
      </c>
      <c r="C17499" t="str">
        <f>IFERROR(__xludf.DUMMYFUNCTION("GOOGLETRANSLATE(B17499, ""fr"", ""en"")"),"BEAU SWEAT SHIRT Beautiful item, cheap and good quality, this is the second that I buy nothing wrong and in addition very fast delivery.")</f>
        <v>BEAU SWEAT SHIRT Beautiful item, cheap and good quality, this is the second that I buy nothing wrong and in addition very fast delivery.</v>
      </c>
    </row>
    <row r="17500">
      <c r="A17500" s="1">
        <v>4.0</v>
      </c>
      <c r="B17500" s="1" t="s">
        <v>17207</v>
      </c>
      <c r="C17500" t="str">
        <f>IFERROR(__xludf.DUMMYFUNCTION("GOOGLETRANSLATE(B17500, ""fr"", ""en"")"),"Beautiful watch at great prices a flat leaflet in English (not a problem for me) is not well detailed and comes with the tool to remove links is not suitable for the bracelet. As I have a kit that did not ask me too many problems. The result is a stylish "&amp;"watch that should do the job. I recommend")</f>
        <v>Beautiful watch at great prices a flat leaflet in English (not a problem for me) is not well detailed and comes with the tool to remove links is not suitable for the bracelet. As I have a kit that did not ask me too many problems. The result is a stylish watch that should do the job. I recommend</v>
      </c>
    </row>
    <row r="17501">
      <c r="A17501" s="1">
        <v>4.0</v>
      </c>
      <c r="B17501" s="1" t="s">
        <v>17208</v>
      </c>
      <c r="C17501" t="str">
        <f>IFERROR(__xludf.DUMMYFUNCTION("GOOGLETRANSLATE(B17501, ""fr"", ""en"")"),"good brushes Lot includes a good range of flat brushes. I like least two pallets. It would have been better to put a but closes to avoid having to wash (and spoil the paint) each time. I nevertheless advise.")</f>
        <v>good brushes Lot includes a good range of flat brushes. I like least two pallets. It would have been better to put a but closes to avoid having to wash (and spoil the paint) each time. I nevertheless advise.</v>
      </c>
    </row>
    <row r="17502">
      <c r="A17502" s="1">
        <v>4.0</v>
      </c>
      <c r="B17502" s="1" t="s">
        <v>17209</v>
      </c>
      <c r="C17502" t="str">
        <f>IFERROR(__xludf.DUMMYFUNCTION("GOOGLETRANSLATE(B17502, ""fr"", ""en"")"),"sweet simple, effective and durable, very useful in everyday life. It became a regular purchase")</f>
        <v>sweet simple, effective and durable, very useful in everyday life. It became a regular purchase</v>
      </c>
    </row>
    <row r="17503">
      <c r="A17503" s="1">
        <v>5.0</v>
      </c>
      <c r="B17503" s="1" t="s">
        <v>17210</v>
      </c>
      <c r="C17503" t="str">
        <f>IFERROR(__xludf.DUMMYFUNCTION("GOOGLETRANSLATE(B17503, ""fr"", ""en"")"),"Tigex perfect Really surprised by the price cheap and ultra convenient. I can put up to 4 bottles dismantled it. And large it's the same. Just the perfect shot, sterilization in 3 minutes in the microwave. Changes life.")</f>
        <v>Tigex perfect Really surprised by the price cheap and ultra convenient. I can put up to 4 bottles dismantled it. And large it's the same. Just the perfect shot, sterilization in 3 minutes in the microwave. Changes life.</v>
      </c>
    </row>
    <row r="17504">
      <c r="A17504" s="1">
        <v>5.0</v>
      </c>
      <c r="B17504" s="1" t="s">
        <v>17211</v>
      </c>
      <c r="C17504" t="str">
        <f>IFERROR(__xludf.DUMMYFUNCTION("GOOGLETRANSLATE(B17504, ""fr"", ""en"")"),"The earrings are quality is very pretty. Very satisfied with my order.")</f>
        <v>The earrings are quality is very pretty. Very satisfied with my order.</v>
      </c>
    </row>
    <row r="17505">
      <c r="A17505" s="1">
        <v>5.0</v>
      </c>
      <c r="B17505" s="1" t="s">
        <v>17212</v>
      </c>
      <c r="C17505" t="str">
        <f>IFERROR(__xludf.DUMMYFUNCTION("GOOGLETRANSLATE(B17505, ""fr"", ""en"")"),"Well equipped ! Hiking, as soon as one begins to trudge on steep paths, it becomes essential to properly equip themselves in order to have shoes that adheres well, with good cushioning and where the ankle is well maintained to avoid sprain main danger mou"&amp;"ntain the height consisting of a waterproof pair during the course of water crossings where it is not uncommon to end up in the water. The pair meets all these requirements with a more classic look, dark colored, so they do not get dirty too quickly or at"&amp;" least that it is too visible. Taken into size 44 shoes for me that usually the 43, I used to take one size larger in order to insert orthotics. And there they fit me perfectly with my shoe that fits smoothly. One can take its usual size. The sealed side "&amp;"is checked in puddles. Inevitably, it will not completely set foot in the water at the risk of unpleasant surprises, because at the ankles, we are no longer protected. too many risks sometimes tends to embolden and take into thinking that we are well prot"&amp;"ected and seen too wide at crossings with water well above the ankle that lead directly into the shoe . Accustomed brand, I have never been disappointed with really good quality products that last in time. The price is in the industry average (around 90 €"&amp;" for the Brown 44) for high shoes, comfortable to wear and waterproof.")</f>
        <v>Well equipped ! Hiking, as soon as one begins to trudge on steep paths, it becomes essential to properly equip themselves in order to have shoes that adheres well, with good cushioning and where the ankle is well maintained to avoid sprain main danger mountain the height consisting of a waterproof pair during the course of water crossings where it is not uncommon to end up in the water. The pair meets all these requirements with a more classic look, dark colored, so they do not get dirty too quickly or at least that it is too visible. Taken into size 44 shoes for me that usually the 43, I used to take one size larger in order to insert orthotics. And there they fit me perfectly with my shoe that fits smoothly. One can take its usual size. The sealed side is checked in puddles. Inevitably, it will not completely set foot in the water at the risk of unpleasant surprises, because at the ankles, we are no longer protected. too many risks sometimes tends to embolden and take into thinking that we are well protected and seen too wide at crossings with water well above the ankle that lead directly into the shoe . Accustomed brand, I have never been disappointed with really good quality products that last in time. The price is in the industry average (around 90 € for the Brown 44) for high shoes, comfortable to wear and waterproof.</v>
      </c>
    </row>
    <row r="17506">
      <c r="A17506" s="1">
        <v>5.0</v>
      </c>
      <c r="B17506" s="1" t="s">
        <v>17213</v>
      </c>
      <c r="C17506" t="str">
        <f>IFERROR(__xludf.DUMMYFUNCTION("GOOGLETRANSLATE(B17506, ""fr"", ""en"")"),"Bought for a gift for the person who I bought these sneakers is totally delighted")</f>
        <v>Bought for a gift for the person who I bought these sneakers is totally delighted</v>
      </c>
    </row>
    <row r="17507">
      <c r="A17507" s="1">
        <v>5.0</v>
      </c>
      <c r="B17507" s="1" t="s">
        <v>17214</v>
      </c>
      <c r="C17507" t="str">
        <f>IFERROR(__xludf.DUMMYFUNCTION("GOOGLETRANSLATE(B17507, ""fr"", ""en"")"),"Nice watch Beautiful watch, very elegant, we'll see in time!")</f>
        <v>Nice watch Beautiful watch, very elegant, we'll see in time!</v>
      </c>
    </row>
    <row r="17508">
      <c r="A17508" s="1">
        <v>5.0</v>
      </c>
      <c r="B17508" s="1" t="s">
        <v>17215</v>
      </c>
      <c r="C17508" t="str">
        <f>IFERROR(__xludf.DUMMYFUNCTION("GOOGLETRANSLATE(B17508, ""fr"", ""en"")"),"Joli lot! Very nice set of 3 bottles to look nice and well designed! No baby care that will fit easily through the flat nipples. In addition, the bottles are glass, which is recommended for small for safety. A very good buy can be a nice useful gift!")</f>
        <v>Joli lot! Very nice set of 3 bottles to look nice and well designed! No baby care that will fit easily through the flat nipples. In addition, the bottles are glass, which is recommended for small for safety. A very good buy can be a nice useful gift!</v>
      </c>
    </row>
    <row r="17509">
      <c r="A17509" s="1">
        <v>5.0</v>
      </c>
      <c r="B17509" s="1" t="s">
        <v>17216</v>
      </c>
      <c r="C17509" t="str">
        <f>IFERROR(__xludf.DUMMYFUNCTION("GOOGLETRANSLATE(B17509, ""fr"", ""en"")"),"gray pouch Eastpark I am delighted with this purchase which matches perfectly to my needs, ie a discrete shoulder bag in order to store the laptop, qques essential accessories etc ...... ..lors ballads and even in town. The product is fully consistent wit"&amp;"h the description. Has multiple partitions, nice finish, a look, a beautiful gray average trend. Perhaps as they say some, strap a little wider? ....... I recommend this product. Marie Claire")</f>
        <v>gray pouch Eastpark I am delighted with this purchase which matches perfectly to my needs, ie a discrete shoulder bag in order to store the laptop, qques essential accessories etc ...... ..lors ballads and even in town. The product is fully consistent with the description. Has multiple partitions, nice finish, a look, a beautiful gray average trend. Perhaps as they say some, strap a little wider? ....... I recommend this product. Marie Claire</v>
      </c>
    </row>
    <row r="17510">
      <c r="A17510" s="1">
        <v>5.0</v>
      </c>
      <c r="B17510" s="1" t="s">
        <v>17217</v>
      </c>
      <c r="C17510" t="str">
        <f>IFERROR(__xludf.DUMMYFUNCTION("GOOGLETRANSLATE(B17510, ""fr"", ""en"")"),"Stunning Beautiful, comfortable shoes, size correctly. Sending fast and well packaged.")</f>
        <v>Stunning Beautiful, comfortable shoes, size correctly. Sending fast and well packaged.</v>
      </c>
    </row>
    <row r="17511">
      <c r="A17511" s="1">
        <v>5.0</v>
      </c>
      <c r="B17511" s="1" t="s">
        <v>17218</v>
      </c>
      <c r="C17511" t="str">
        <f>IFERROR(__xludf.DUMMYFUNCTION("GOOGLETRANSLATE(B17511, ""fr"", ""en"")"),"Top Baby is happy with his pacifier! Wash the dishwasher without problem!")</f>
        <v>Top Baby is happy with his pacifier! Wash the dishwasher without problem!</v>
      </c>
    </row>
    <row r="17512">
      <c r="A17512" s="1">
        <v>5.0</v>
      </c>
      <c r="B17512" s="1" t="s">
        <v>17219</v>
      </c>
      <c r="C17512" t="str">
        <f>IFERROR(__xludf.DUMMYFUNCTION("GOOGLETRANSLATE(B17512, ""fr"", ""en"")"),"Super sweat logo embroidered therefore less fragile and cleaner that a good quality and very pretty sweater flocage.Très")</f>
        <v>Super sweat logo embroidered therefore less fragile and cleaner that a good quality and very pretty sweater flocage.Très</v>
      </c>
    </row>
    <row r="17513">
      <c r="A17513" s="1">
        <v>5.0</v>
      </c>
      <c r="B17513" s="1" t="s">
        <v>17220</v>
      </c>
      <c r="C17513" t="str">
        <f>IFERROR(__xludf.DUMMYFUNCTION("GOOGLETRANSLATE(B17513, ""fr"", ""en"")"),"Bracelet Perfectly adapted to my bracelet")</f>
        <v>Bracelet Perfectly adapted to my bracelet</v>
      </c>
    </row>
    <row r="17514">
      <c r="A17514" s="1">
        <v>5.0</v>
      </c>
      <c r="B17514" s="1" t="s">
        <v>17221</v>
      </c>
      <c r="C17514" t="str">
        <f>IFERROR(__xludf.DUMMYFUNCTION("GOOGLETRANSLATE(B17514, ""fr"", ""en"")"),"For mega STAR functionality and coffee output a marvel nothing beats this process, I recommend it to all lovers of good coffee.")</f>
        <v>For mega STAR functionality and coffee output a marvel nothing beats this process, I recommend it to all lovers of good coffee.</v>
      </c>
    </row>
    <row r="17515">
      <c r="A17515" s="1">
        <v>5.0</v>
      </c>
      <c r="B17515" s="1" t="s">
        <v>17222</v>
      </c>
      <c r="C17515" t="str">
        <f>IFERROR(__xludf.DUMMYFUNCTION("GOOGLETRANSLATE(B17515, ""fr"", ""en"")"),"Very good product Good headphones")</f>
        <v>Very good product Good headphones</v>
      </c>
    </row>
    <row r="17516">
      <c r="A17516" s="1">
        <v>5.0</v>
      </c>
      <c r="B17516" s="1" t="s">
        <v>17223</v>
      </c>
      <c r="C17516" t="str">
        <f>IFERROR(__xludf.DUMMYFUNCTION("GOOGLETRANSLATE(B17516, ""fr"", ""en"")"),"Nice product, !!! I use the diffuser for two weeks and I am satisfied with the product. Broadcaster is working perfectly and it is automatic so it is possible to set the timer and stops automatically. In addition, the shape of the diffuser is attractive w"&amp;"hen the color of the diffuser is maintained. There are different colors that can be defined and its look is really nice. I totally recommend")</f>
        <v>Nice product, !!! I use the diffuser for two weeks and I am satisfied with the product. Broadcaster is working perfectly and it is automatic so it is possible to set the timer and stops automatically. In addition, the shape of the diffuser is attractive when the color of the diffuser is maintained. There are different colors that can be defined and its look is really nice. I totally recommend</v>
      </c>
    </row>
    <row r="17517">
      <c r="A17517" s="1">
        <v>5.0</v>
      </c>
      <c r="B17517" s="1" t="s">
        <v>17224</v>
      </c>
      <c r="C17517" t="str">
        <f>IFERROR(__xludf.DUMMYFUNCTION("GOOGLETRANSLATE(B17517, ""fr"", ""en"")"),"Although women jacket warm and good performance even in the wash. I recommend")</f>
        <v>Although women jacket warm and good performance even in the wash. I recommend</v>
      </c>
    </row>
    <row r="17518">
      <c r="A17518" s="1">
        <v>2.0</v>
      </c>
      <c r="B17518" s="1" t="s">
        <v>17225</v>
      </c>
      <c r="C17518" t="str">
        <f>IFERROR(__xludf.DUMMYFUNCTION("GOOGLETRANSLATE(B17518, ""fr"", ""en"")"),"Medium grade quality. Pretty disappointing. It is not thick enough and therefore tears easily. I do not recommend it.")</f>
        <v>Medium grade quality. Pretty disappointing. It is not thick enough and therefore tears easily. I do not recommend it.</v>
      </c>
    </row>
    <row r="17519">
      <c r="A17519" s="1">
        <v>1.0</v>
      </c>
      <c r="B17519" s="1" t="s">
        <v>17226</v>
      </c>
      <c r="C17519" t="str">
        <f>IFERROR(__xludf.DUMMYFUNCTION("GOOGLETRANSLATE(B17519, ""fr"", ""en"")"),"Decue The shoes were torn on one edge on the second shot that I wore and irreparable. I'm really disappointed !")</f>
        <v>Decue The shoes were torn on one edge on the second shot that I wore and irreparable. I'm really disappointed !</v>
      </c>
    </row>
    <row r="17520">
      <c r="A17520" s="1">
        <v>3.0</v>
      </c>
      <c r="B17520" s="1" t="s">
        <v>17227</v>
      </c>
      <c r="C17520" t="str">
        <f>IFERROR(__xludf.DUMMYFUNCTION("GOOGLETRANSLATE(B17520, ""fr"", ""en"")"),"Nice but ... Although disappointed but still it is good but it is tight in the stomach and legs too wide suddenly rendering blah I colopathe so I do not support elastic too tight on your stomach so I can not take size m will be over tighten ... shame beca"&amp;"use otherwise they are very beautiful")</f>
        <v>Nice but ... Although disappointed but still it is good but it is tight in the stomach and legs too wide suddenly rendering blah I colopathe so I do not support elastic too tight on your stomach so I can not take size m will be over tighten ... shame because otherwise they are very beautiful</v>
      </c>
    </row>
    <row r="17521">
      <c r="A17521" s="1">
        <v>3.0</v>
      </c>
      <c r="B17521" s="1" t="s">
        <v>17228</v>
      </c>
      <c r="C17521" t="str">
        <f>IFERROR(__xludf.DUMMYFUNCTION("GOOGLETRANSLATE(B17521, ""fr"", ""en"")"),"sweet hooded XL corresponds to the L so pay attention to the size")</f>
        <v>sweet hooded XL corresponds to the L so pay attention to the size</v>
      </c>
    </row>
    <row r="17522">
      <c r="A17522" s="1">
        <v>4.0</v>
      </c>
      <c r="B17522" s="1" t="s">
        <v>17229</v>
      </c>
      <c r="C17522" t="str">
        <f>IFERROR(__xludf.DUMMYFUNCTION("GOOGLETRANSLATE(B17522, ""fr"", ""en"")"),"necklace wraps a little, little pouch, very discreet and consistent as transparent")</f>
        <v>necklace wraps a little, little pouch, very discreet and consistent as transparent</v>
      </c>
    </row>
    <row r="17523">
      <c r="A17523" s="1">
        <v>4.0</v>
      </c>
      <c r="B17523" s="1" t="s">
        <v>17230</v>
      </c>
      <c r="C17523" t="str">
        <f>IFERROR(__xludf.DUMMYFUNCTION("GOOGLETRANSLATE(B17523, ""fr"", ""en"")"),"Practical and beautiful arrival in time true to the photo ie Nike carve smaller (a size below) always provide a size bigger but comply and beautiful as the picture")</f>
        <v>Practical and beautiful arrival in time true to the photo ie Nike carve smaller (a size below) always provide a size bigger but comply and beautiful as the picture</v>
      </c>
    </row>
    <row r="17524">
      <c r="A17524" s="1">
        <v>4.0</v>
      </c>
      <c r="B17524" s="1" t="s">
        <v>17231</v>
      </c>
      <c r="C17524" t="str">
        <f>IFERROR(__xludf.DUMMYFUNCTION("GOOGLETRANSLATE(B17524, ""fr"", ""en"")"),"I highly recommend I highly recommend")</f>
        <v>I highly recommend I highly recommend</v>
      </c>
    </row>
    <row r="17525">
      <c r="A17525" s="1">
        <v>4.0</v>
      </c>
      <c r="B17525" s="1" t="s">
        <v>17232</v>
      </c>
      <c r="C17525" t="str">
        <f>IFERROR(__xludf.DUMMYFUNCTION("GOOGLETRANSLATE(B17525, ""fr"", ""en"")"),"Good product to see strength in time ... but if not, indeed, very quiet, fast and easy and convenient setting temperature ... Just for fun side, I would have liked that the water gauge s' lights also blue ...")</f>
        <v>Good product to see strength in time ... but if not, indeed, very quiet, fast and easy and convenient setting temperature ... Just for fun side, I would have liked that the water gauge s' lights also blue ...</v>
      </c>
    </row>
    <row r="17526">
      <c r="A17526" s="1">
        <v>5.0</v>
      </c>
      <c r="B17526" s="1" t="s">
        <v>17233</v>
      </c>
      <c r="C17526" t="str">
        <f>IFERROR(__xludf.DUMMYFUNCTION("GOOGLETRANSLATE(B17526, ""fr"", ""en"")"),"Very good boxes very comfortable and very good quality. Perfect for gardening and walks Do not deform and are rather nice.")</f>
        <v>Very good boxes very comfortable and very good quality. Perfect for gardening and walks Do not deform and are rather nice.</v>
      </c>
    </row>
    <row r="17527">
      <c r="A17527" s="1">
        <v>5.0</v>
      </c>
      <c r="B17527" s="1" t="s">
        <v>17234</v>
      </c>
      <c r="C17527" t="str">
        <f>IFERROR(__xludf.DUMMYFUNCTION("GOOGLETRANSLATE(B17527, ""fr"", ""en"")"),"impeccable hello I just received my order of socks are good size corresponds to my order the product has exactly the description I am delighted with my order thank you")</f>
        <v>impeccable hello I just received my order of socks are good size corresponds to my order the product has exactly the description I am delighted with my order thank you</v>
      </c>
    </row>
    <row r="17528">
      <c r="A17528" s="1">
        <v>5.0</v>
      </c>
      <c r="B17528" s="1" t="s">
        <v>17235</v>
      </c>
      <c r="C17528" t="str">
        <f>IFERROR(__xludf.DUMMYFUNCTION("GOOGLETRANSLATE(B17528, ""fr"", ""en"")"),"Well Plastic heater just be careful not to burn. But its small size it is largely the case!")</f>
        <v>Well Plastic heater just be careful not to burn. But its small size it is largely the case!</v>
      </c>
    </row>
    <row r="17529">
      <c r="A17529" s="1">
        <v>5.0</v>
      </c>
      <c r="B17529" s="1" t="s">
        <v>17236</v>
      </c>
      <c r="C17529" t="str">
        <f>IFERROR(__xludf.DUMMYFUNCTION("GOOGLETRANSLATE(B17529, ""fr"", ""en"")"),"Nice and comfortable too happy received to date and I do not regret having taken the offer flash sales, shoes are Perfect!")</f>
        <v>Nice and comfortable too happy received to date and I do not regret having taken the offer flash sales, shoes are Perfect!</v>
      </c>
    </row>
    <row r="17530">
      <c r="A17530" s="1">
        <v>5.0</v>
      </c>
      <c r="B17530" s="1" t="s">
        <v>17237</v>
      </c>
      <c r="C17530" t="str">
        <f>IFERROR(__xludf.DUMMYFUNCTION("GOOGLETRANSLATE(B17530, ""fr"", ""en"")"),"Kit complete kit always helpful cartridges.")</f>
        <v>Kit complete kit always helpful cartridges.</v>
      </c>
    </row>
    <row r="17531">
      <c r="A17531" s="1">
        <v>5.0</v>
      </c>
      <c r="B17531" s="1" t="s">
        <v>17238</v>
      </c>
      <c r="C17531" t="str">
        <f>IFERROR(__xludf.DUMMYFUNCTION("GOOGLETRANSLATE(B17531, ""fr"", ""en"")"),"Excellent! This is THE micro to have for his camera. It's just best of the best to make vlog or video of your holiday.")</f>
        <v>Excellent! This is THE micro to have for his camera. It's just best of the best to make vlog or video of your holiday.</v>
      </c>
    </row>
    <row r="17532">
      <c r="A17532" s="1">
        <v>5.0</v>
      </c>
      <c r="B17532" s="1" t="s">
        <v>17239</v>
      </c>
      <c r="C17532" t="str">
        <f>IFERROR(__xludf.DUMMYFUNCTION("GOOGLETRANSLATE(B17532, ""fr"", ""en"")"),"Perfect Match has totally description. Really good ... Nothing to report on the packaging. Speed ​​of sending perfect. I recommend and if need more I bought the same.")</f>
        <v>Perfect Match has totally description. Really good ... Nothing to report on the packaging. Speed ​​of sending perfect. I recommend and if need more I bought the same.</v>
      </c>
    </row>
    <row r="17533">
      <c r="A17533" s="1">
        <v>5.0</v>
      </c>
      <c r="B17533" s="1" t="s">
        <v>17240</v>
      </c>
      <c r="C17533" t="str">
        <f>IFERROR(__xludf.DUMMYFUNCTION("GOOGLETRANSLATE(B17533, ""fr"", ""en"")"),"Product compliant What more for half the price. Impec for those who smoke the rolled with filters")</f>
        <v>Product compliant What more for half the price. Impec for those who smoke the rolled with filters</v>
      </c>
    </row>
    <row r="17534">
      <c r="A17534" s="1">
        <v>5.0</v>
      </c>
      <c r="B17534" s="1" t="s">
        <v>17241</v>
      </c>
      <c r="C17534" t="str">
        <f>IFERROR(__xludf.DUMMYFUNCTION("GOOGLETRANSLATE(B17534, ""fr"", ""en"")"),"Not disappointed Value for money 🏆 it's been the third time I order with them and I am really disappointed and I intend to continue.")</f>
        <v>Not disappointed Value for money 🏆 it's been the third time I order with them and I am really disappointed and I intend to continue.</v>
      </c>
    </row>
    <row r="17535">
      <c r="A17535" s="1">
        <v>5.0</v>
      </c>
      <c r="B17535" s="1" t="s">
        <v>17242</v>
      </c>
      <c r="C17535" t="str">
        <f>IFERROR(__xludf.DUMMYFUNCTION("GOOGLETRANSLATE(B17535, ""fr"", ""en"")"),"The top I wrote the article after 3 years of loyal service. She is always there. The battery also elsewhere. I do not get enough.")</f>
        <v>The top I wrote the article after 3 years of loyal service. She is always there. The battery also elsewhere. I do not get enough.</v>
      </c>
    </row>
    <row r="17536">
      <c r="A17536" s="1">
        <v>5.0</v>
      </c>
      <c r="B17536" s="1" t="s">
        <v>17243</v>
      </c>
      <c r="C17536" t="str">
        <f>IFERROR(__xludf.DUMMYFUNCTION("GOOGLETRANSLATE(B17536, ""fr"", ""en"")"),"Lovely bracelet Who really pleased with my mom")</f>
        <v>Lovely bracelet Who really pleased with my mom</v>
      </c>
    </row>
    <row r="17537">
      <c r="A17537" s="1">
        <v>5.0</v>
      </c>
      <c r="B17537" s="1" t="s">
        <v>17244</v>
      </c>
      <c r="C17537" t="str">
        <f>IFERROR(__xludf.DUMMYFUNCTION("GOOGLETRANSLATE(B17537, ""fr"", ""en"")"),"sté R. S. . COM. a thank you to the first ste R. S. .COM which to put at my disposal a new radar much younger while maintaining the same price. hat !!! . rs.com to was thanked by email upon receipt of the unit. for the time being I can not pronounced me c"&amp;"orrectly on this camera which is being tested in my car.")</f>
        <v>sté R. S. . COM. a thank you to the first ste R. S. .COM which to put at my disposal a new radar much younger while maintaining the same price. hat !!! . rs.com to was thanked by email upon receipt of the unit. for the time being I can not pronounced me correctly on this camera which is being tested in my car.</v>
      </c>
    </row>
    <row r="17538">
      <c r="A17538" s="1">
        <v>5.0</v>
      </c>
      <c r="B17538" s="1" t="s">
        <v>17245</v>
      </c>
      <c r="C17538" t="str">
        <f>IFERROR(__xludf.DUMMYFUNCTION("GOOGLETRANSLATE(B17538, ""fr"", ""en"")"),"Size Price evil of 44 is too small yet my size")</f>
        <v>Size Price evil of 44 is too small yet my size</v>
      </c>
    </row>
    <row r="17539">
      <c r="A17539" s="1">
        <v>5.0</v>
      </c>
      <c r="B17539" s="1" t="s">
        <v>17246</v>
      </c>
      <c r="C17539" t="str">
        <f>IFERROR(__xludf.DUMMYFUNCTION("GOOGLETRANSLATE(B17539, ""fr"", ""en"")"),"Excellent! Excellent! For the price I can not believe it. Looking secu shoes without leather, I brought to this model. I'm very happy! They are comfortable and well designed, and seem robust and strong, to see in the time now. But I do not expect that the"&amp;"y last me more than a year, as all shoes secu I had. Attention to size, however, usually I take the 43 and then I took 42 and is nickel. I highly recommend.")</f>
        <v>Excellent! Excellent! For the price I can not believe it. Looking secu shoes without leather, I brought to this model. I'm very happy! They are comfortable and well designed, and seem robust and strong, to see in the time now. But I do not expect that they last me more than a year, as all shoes secu I had. Attention to size, however, usually I take the 43 and then I took 42 and is nickel. I highly recommend.</v>
      </c>
    </row>
    <row r="17540">
      <c r="A17540" s="1">
        <v>5.0</v>
      </c>
      <c r="B17540" s="1" t="s">
        <v>17247</v>
      </c>
      <c r="C17540" t="str">
        <f>IFERROR(__xludf.DUMMYFUNCTION("GOOGLETRANSLATE(B17540, ""fr"", ""en"")"),"Glad I'm delighted with my purchase. happened before the date announced. For a size XL it very well (I'm a 48 low).")</f>
        <v>Glad I'm delighted with my purchase. happened before the date announced. For a size XL it very well (I'm a 48 low).</v>
      </c>
    </row>
    <row r="17541">
      <c r="A17541" s="1">
        <v>2.0</v>
      </c>
      <c r="B17541" s="1" t="s">
        <v>17248</v>
      </c>
      <c r="C17541" t="str">
        <f>IFERROR(__xludf.DUMMYFUNCTION("GOOGLETRANSLATE(B17541, ""fr"", ""en"")"),"Sold by Amazon.FR - 220V plug ""Italian"" inconsistent. Product sold as new, reconditioned and sold by Amazon Amazon.FR ... The received product was new, still sealed box sealed by Philips, but the description on the box, as the leaflet was not in French "&amp;". I was happy to have received a new, but I became disillusioned when I found that the flat plug 220V plug was an Italian 3-pin compatible (within sawing the center pin). I returned the product unusable. Pity. (view the photo)")</f>
        <v>Sold by Amazon.FR - 220V plug "Italian" inconsistent. Product sold as new, reconditioned and sold by Amazon Amazon.FR ... The received product was new, still sealed box sealed by Philips, but the description on the box, as the leaflet was not in French . I was happy to have received a new, but I became disillusioned when I found that the flat plug 220V plug was an Italian 3-pin compatible (within sawing the center pin). I returned the product unusable. Pity. (view the photo)</v>
      </c>
    </row>
    <row r="17542">
      <c r="A17542" s="1">
        <v>1.0</v>
      </c>
      <c r="B17542" s="1" t="s">
        <v>17249</v>
      </c>
      <c r="C17542" t="str">
        <f>IFERROR(__xludf.DUMMYFUNCTION("GOOGLETRANSLATE(B17542, ""fr"", ""en"")"),"is what really lurks? the quality is totally unbelievable rode I not think of do too bad foams I'm really disappointed want to save a few euros is not worth going on holiday with a product that probably do not serve me")</f>
        <v>is what really lurks? the quality is totally unbelievable rode I not think of do too bad foams I'm really disappointed want to save a few euros is not worth going on holiday with a product that probably do not serve me</v>
      </c>
    </row>
    <row r="17543">
      <c r="A17543" s="1">
        <v>1.0</v>
      </c>
      <c r="B17543" s="1" t="s">
        <v>17250</v>
      </c>
      <c r="C17543" t="str">
        <f>IFERROR(__xludf.DUMMYFUNCTION("GOOGLETRANSLATE(B17543, ""fr"", ""en"")"),"Product nonconforming product different from the picture, and nonfunctional. When I opened the package there was a white plastic shows the wrong style icewatche .... I do not know if the delivery or the company but FLEE!")</f>
        <v>Product nonconforming product different from the picture, and nonfunctional. When I opened the package there was a white plastic shows the wrong style icewatche .... I do not know if the delivery or the company but FLEE!</v>
      </c>
    </row>
    <row r="17544">
      <c r="A17544" s="1">
        <v>3.0</v>
      </c>
      <c r="B17544" s="1" t="s">
        <v>17251</v>
      </c>
      <c r="C17544" t="str">
        <f>IFERROR(__xludf.DUMMYFUNCTION("GOOGLETRANSLATE(B17544, ""fr"", ""en"")"),"size does not much very good but watch this sweatshirt size not large so do not rely on measurements at chest level to choose the size.")</f>
        <v>size does not much very good but watch this sweatshirt size not large so do not rely on measurements at chest level to choose the size.</v>
      </c>
    </row>
    <row r="17545">
      <c r="A17545" s="1">
        <v>3.0</v>
      </c>
      <c r="B17545" s="1" t="s">
        <v>17252</v>
      </c>
      <c r="C17545" t="str">
        <f>IFERROR(__xludf.DUMMYFUNCTION("GOOGLETRANSLATE(B17545, ""fr"", ""en"")"),"In keeping with the .. Price: Not yet used, but disappointed by the aesthetics. The box is really great and it take up space in the diaper bag. Also I think it looks a little '&amp; nbsp; cheap &amp; nbsp; ""the blow a bit on my end ... to see when using!")</f>
        <v>In keeping with the .. Price: Not yet used, but disappointed by the aesthetics. The box is really great and it take up space in the diaper bag. Also I think it looks a little '&amp; nbsp; cheap &amp; nbsp; "the blow a bit on my end ... to see when using!</v>
      </c>
    </row>
    <row r="17546">
      <c r="A17546" s="1">
        <v>4.0</v>
      </c>
      <c r="B17546" s="1" t="s">
        <v>17253</v>
      </c>
      <c r="C17546" t="str">
        <f>IFERROR(__xludf.DUMMYFUNCTION("GOOGLETRANSLATE(B17546, ""fr"", ""en"")"),"Satisfied Good product for the price")</f>
        <v>Satisfied Good product for the price</v>
      </c>
    </row>
    <row r="17547">
      <c r="A17547" s="1">
        <v>4.0</v>
      </c>
      <c r="B17547" s="1" t="s">
        <v>17254</v>
      </c>
      <c r="C17547" t="str">
        <f>IFERROR(__xludf.DUMMYFUNCTION("GOOGLETRANSLATE(B17547, ""fr"", ""en"")"),"superb! arrived quickly, my husband is gorgeous inside, very pretty! I recommend!")</f>
        <v>superb! arrived quickly, my husband is gorgeous inside, very pretty! I recommend!</v>
      </c>
    </row>
    <row r="17548">
      <c r="A17548" s="1">
        <v>4.0</v>
      </c>
      <c r="B17548" s="1" t="s">
        <v>17255</v>
      </c>
      <c r="C17548" t="str">
        <f>IFERROR(__xludf.DUMMYFUNCTION("GOOGLETRANSLATE(B17548, ""fr"", ""en"")"),"small but ultra cute all is said in the title! great with leggings, comfortable and warm! perfectly fits the picture !!!! I left him more! just awesome! if I had to put a bemole it would be that I would have liked the same model and longer for outright us"&amp;"e dress! but this is really history to find a negative point! go ahead ... taking one size bigger! ;-)")</f>
        <v>small but ultra cute all is said in the title! great with leggings, comfortable and warm! perfectly fits the picture !!!! I left him more! just awesome! if I had to put a bemole it would be that I would have liked the same model and longer for outright use dress! but this is really history to find a negative point! go ahead ... taking one size bigger! ;-)</v>
      </c>
    </row>
    <row r="17549">
      <c r="A17549" s="1">
        <v>4.0</v>
      </c>
      <c r="B17549" s="1" t="s">
        <v>17256</v>
      </c>
      <c r="C17549" t="str">
        <f>IFERROR(__xludf.DUMMYFUNCTION("GOOGLETRANSLATE(B17549, ""fr"", ""en"")"),"objective opinion Hello, I received his shoes, they keep your feet warm, they are comfortable, they are hanging, its avoids slipping. However it is long put. That is, if its helped you, do not forget the useful vote;)")</f>
        <v>objective opinion Hello, I received his shoes, they keep your feet warm, they are comfortable, they are hanging, its avoids slipping. However it is long put. That is, if its helped you, do not forget the useful vote;)</v>
      </c>
    </row>
    <row r="17550">
      <c r="A17550" s="1">
        <v>5.0</v>
      </c>
      <c r="B17550" s="1" t="s">
        <v>17257</v>
      </c>
      <c r="C17550" t="str">
        <f>IFERROR(__xludf.DUMMYFUNCTION("GOOGLETRANSLATE(B17550, ""fr"", ""en"")"),"Perfect ! superbly in a plastic pouch. Then in a pocket in the tissue contained. It corresponds perfectly to the photo! I recommend it to 1000000000 percent!")</f>
        <v>Perfect ! superbly in a plastic pouch. Then in a pocket in the tissue contained. It corresponds perfectly to the photo! I recommend it to 1000000000 percent!</v>
      </c>
    </row>
    <row r="17551">
      <c r="A17551" s="1">
        <v>5.0</v>
      </c>
      <c r="B17551" s="1" t="s">
        <v>17258</v>
      </c>
      <c r="C17551" t="str">
        <f>IFERROR(__xludf.DUMMYFUNCTION("GOOGLETRANSLATE(B17551, ""fr"", ""en"")"),"Very good value 2nd purchase of this BT headphones and really glad of this article. It is true that attaches the headset is a little fragile ... 1, which still works, broke in this place but with a resistant scotch I could maintain. I am the User to liste"&amp;"n to audiobooks and movies ... I found him a very good listener. Ditto for calls telephoniques.L equipment is easy")</f>
        <v>Very good value 2nd purchase of this BT headphones and really glad of this article. It is true that attaches the headset is a little fragile ... 1, which still works, broke in this place but with a resistant scotch I could maintain. I am the User to listen to audiobooks and movies ... I found him a very good listener. Ditto for calls telephoniques.L equipment is easy</v>
      </c>
    </row>
    <row r="17552">
      <c r="A17552" s="1">
        <v>5.0</v>
      </c>
      <c r="B17552" s="1" t="s">
        <v>17259</v>
      </c>
      <c r="C17552" t="str">
        <f>IFERROR(__xludf.DUMMYFUNCTION("GOOGLETRANSLATE(B17552, ""fr"", ""en"")"),"awesome super model, normally size, lace pattern and not to scratch, no bulbs in the 1st uses, I recommend !!!")</f>
        <v>awesome super model, normally size, lace pattern and not to scratch, no bulbs in the 1st uses, I recommend !!!</v>
      </c>
    </row>
    <row r="17553">
      <c r="A17553" s="1">
        <v>5.0</v>
      </c>
      <c r="B17553" s="1" t="s">
        <v>17260</v>
      </c>
      <c r="C17553" t="str">
        <f>IFERROR(__xludf.DUMMYFUNCTION("GOOGLETRANSLATE(B17553, ""fr"", ""en"")"),"Super Handy Bag trash bags I recommend it very solid sounds and you n e flees not very pleasant")</f>
        <v>Super Handy Bag trash bags I recommend it very solid sounds and you n e flees not very pleasant</v>
      </c>
    </row>
    <row r="17554">
      <c r="A17554" s="1">
        <v>5.0</v>
      </c>
      <c r="B17554" s="1" t="s">
        <v>17261</v>
      </c>
      <c r="C17554" t="str">
        <f>IFERROR(__xludf.DUMMYFUNCTION("GOOGLETRANSLATE(B17554, ""fr"", ""en"")"),"Great product received product quickly, I'm happy with this purchase and consistent quality")</f>
        <v>Great product received product quickly, I'm happy with this purchase and consistent quality</v>
      </c>
    </row>
    <row r="17555">
      <c r="A17555" s="1">
        <v>5.0</v>
      </c>
      <c r="B17555" s="1" t="s">
        <v>17262</v>
      </c>
      <c r="C17555" t="str">
        <f>IFERROR(__xludf.DUMMYFUNCTION("GOOGLETRANSLATE(B17555, ""fr"", ""en"")"),"real leather bag without lining is torn and correct countenance I had really pretty basic in bags of plastic leatherette smelly and especially that tear liners (liners where come to lose small items you place in the bag, such as keys), with often fastener"&amp;"s and zippers that break after few uses. Here the leather is strong and is not lined rayon, so you have to reverse the natural brushed leather, the pleasant smell of leather. The closure cover is zipped effectively and doubly protected by an integral flap"&amp;", still thick leather, which comes on top and closed by a magnet, the latter however being arranged only to keep the flap. The strap is thick braided cotton trimmed with leather. Accuracy: It's a bag, it's not a bag, but you will be able to put keys, wall"&amp;"et, checkbook, wallet, card, cell phone, glasses with their cases, and without difficulty ... you will still have some space for pens and other odds, the substantial thickness of the bag permitting. Regarding leather, it will obviously be a little rough, "&amp;"and upon receipt pass it a colorless balm leather, preferably organic to keep all the natural qualities of the leather upholstery. A small regret: there is a shoulder strap, but no hand grip, which would have been perfect.")</f>
        <v>real leather bag without lining is torn and correct countenance I had really pretty basic in bags of plastic leatherette smelly and especially that tear liners (liners where come to lose small items you place in the bag, such as keys), with often fasteners and zippers that break after few uses. Here the leather is strong and is not lined rayon, so you have to reverse the natural brushed leather, the pleasant smell of leather. The closure cover is zipped effectively and doubly protected by an integral flap, still thick leather, which comes on top and closed by a magnet, the latter however being arranged only to keep the flap. The strap is thick braided cotton trimmed with leather. Accuracy: It's a bag, it's not a bag, but you will be able to put keys, wallet, checkbook, wallet, card, cell phone, glasses with their cases, and without difficulty ... you will still have some space for pens and other odds, the substantial thickness of the bag permitting. Regarding leather, it will obviously be a little rough, and upon receipt pass it a colorless balm leather, preferably organic to keep all the natural qualities of the leather upholstery. A small regret: there is a shoulder strap, but no hand grip, which would have been perfect.</v>
      </c>
    </row>
    <row r="17556">
      <c r="A17556" s="1">
        <v>5.0</v>
      </c>
      <c r="B17556" s="1" t="s">
        <v>17263</v>
      </c>
      <c r="C17556" t="str">
        <f>IFERROR(__xludf.DUMMYFUNCTION("GOOGLETRANSLATE(B17556, ""fr"", ""en"")"),"Decorative I think it's a good idea to put colors corresponding to the temperature and it's fun, too bad there is not 75 ° to green tea, but you can still get good tea. The water heats up quickly and for a good amount, I'm delighted for the moment remains"&amp;" to assess the soundness, then I have not enough experience.")</f>
        <v>Decorative I think it's a good idea to put colors corresponding to the temperature and it's fun, too bad there is not 75 ° to green tea, but you can still get good tea. The water heats up quickly and for a good amount, I'm delighted for the moment remains to assess the soundness, then I have not enough experience.</v>
      </c>
    </row>
    <row r="17557">
      <c r="A17557" s="1">
        <v>5.0</v>
      </c>
      <c r="B17557" s="1" t="s">
        <v>17264</v>
      </c>
      <c r="C17557" t="str">
        <f>IFERROR(__xludf.DUMMYFUNCTION("GOOGLETRANSLATE(B17557, ""fr"", ""en"")"),"Solid, pretty, practical Convenient, suitable for all bottles. I also use it for my draws milk. Joli, he passes the dishwasher so easy to clean. I found it more solid than the famous Advent.")</f>
        <v>Solid, pretty, practical Convenient, suitable for all bottles. I also use it for my draws milk. Joli, he passes the dishwasher so easy to clean. I found it more solid than the famous Advent.</v>
      </c>
    </row>
    <row r="17558">
      <c r="A17558" s="1">
        <v>5.0</v>
      </c>
      <c r="B17558" s="1" t="s">
        <v>17265</v>
      </c>
      <c r="C17558" t="str">
        <f>IFERROR(__xludf.DUMMYFUNCTION("GOOGLETRANSLATE(B17558, ""fr"", ""en"")"),"Plaid heating ultra soft fast shipping and in perfect condition. The blanket comes in an elegant box. Its large size is a major asset as its ultra soft texture to the touch. The blanket is connected to a remote control with different thermostat level. Eas"&amp;"y to use and also machine washable. Nothing better to stay warm. I highly recommend this product.")</f>
        <v>Plaid heating ultra soft fast shipping and in perfect condition. The blanket comes in an elegant box. Its large size is a major asset as its ultra soft texture to the touch. The blanket is connected to a remote control with different thermostat level. Easy to use and also machine washable. Nothing better to stay warm. I highly recommend this product.</v>
      </c>
    </row>
    <row r="17559">
      <c r="A17559" s="1">
        <v>5.0</v>
      </c>
      <c r="B17559" s="1" t="s">
        <v>17266</v>
      </c>
      <c r="C17559" t="str">
        <f>IFERROR(__xludf.DUMMYFUNCTION("GOOGLETRANSLATE(B17559, ""fr"", ""en"")"),"Good but watch Asian shoe size. Very good shoes, take care a size or two above for the case of large sizes. Although check sizes before ordering. They are lightweight, comfortable and well protects the metal shell top of the foot and the black model with "&amp;"half red saddle top.")</f>
        <v>Good but watch Asian shoe size. Very good shoes, take care a size or two above for the case of large sizes. Although check sizes before ordering. They are lightweight, comfortable and well protects the metal shell top of the foot and the black model with half red saddle top.</v>
      </c>
    </row>
    <row r="17560">
      <c r="A17560" s="1">
        <v>5.0</v>
      </c>
      <c r="B17560" s="1" t="s">
        <v>17267</v>
      </c>
      <c r="C17560" t="str">
        <f>IFERROR(__xludf.DUMMYFUNCTION("GOOGLETRANSLATE(B17560, ""fr"", ""en"")"),"Pretty appearance and size ideal Lovely means and heats quickly")</f>
        <v>Pretty appearance and size ideal Lovely means and heats quickly</v>
      </c>
    </row>
    <row r="17561">
      <c r="A17561" s="1">
        <v>5.0</v>
      </c>
      <c r="B17561" s="1" t="s">
        <v>17268</v>
      </c>
      <c r="C17561" t="str">
        <f>IFERROR(__xludf.DUMMYFUNCTION("GOOGLETRANSLATE(B17561, ""fr"", ""en"")"),"Super Fast Shipping basketball, basketball super nice and very comfortable really top notch I recommend. Size slightly larger but does not interfere with.")</f>
        <v>Super Fast Shipping basketball, basketball super nice and very comfortable really top notch I recommend. Size slightly larger but does not interfere with.</v>
      </c>
    </row>
    <row r="17562">
      <c r="A17562" s="1">
        <v>5.0</v>
      </c>
      <c r="B17562" s="1" t="s">
        <v>17269</v>
      </c>
      <c r="C17562" t="str">
        <f>IFERROR(__xludf.DUMMYFUNCTION("GOOGLETRANSLATE(B17562, ""fr"", ""en"")"),"Stunning Beautiful rosary offered for communion.")</f>
        <v>Stunning Beautiful rosary offered for communion.</v>
      </c>
    </row>
    <row r="17563">
      <c r="A17563" s="1">
        <v>5.0</v>
      </c>
      <c r="B17563" s="1" t="s">
        <v>17270</v>
      </c>
      <c r="C17563" t="str">
        <f>IFERROR(__xludf.DUMMYFUNCTION("GOOGLETRANSLATE(B17563, ""fr"", ""en"")"),"I recommend Met my expectations")</f>
        <v>I recommend Met my expectations</v>
      </c>
    </row>
    <row r="17564">
      <c r="A17564" s="1">
        <v>5.0</v>
      </c>
      <c r="B17564" s="1" t="s">
        <v>17271</v>
      </c>
      <c r="C17564" t="str">
        <f>IFERROR(__xludf.DUMMYFUNCTION("GOOGLETRANSLATE(B17564, ""fr"", ""en"")"),"very good product not disappointed")</f>
        <v>very good product not disappointed</v>
      </c>
    </row>
    <row r="17565">
      <c r="A17565" s="1">
        <v>2.0</v>
      </c>
      <c r="B17565" s="1" t="s">
        <v>17272</v>
      </c>
      <c r="C17565" t="str">
        <f>IFERROR(__xludf.DUMMYFUNCTION("GOOGLETRANSLATE(B17565, ""fr"", ""en"")"),"Bad 👎🏻")</f>
        <v>Bad 👎🏻</v>
      </c>
    </row>
    <row r="17566">
      <c r="A17566" s="1">
        <v>1.0</v>
      </c>
      <c r="B17566" s="1" t="s">
        <v>17273</v>
      </c>
      <c r="C17566" t="str">
        <f>IFERROR(__xludf.DUMMYFUNCTION("GOOGLETRANSLATE(B17566, ""fr"", ""en"")"),"Disappointing Fabric very end, holding matching pajamas, not a tracksuit")</f>
        <v>Disappointing Fabric very end, holding matching pajamas, not a tracksuit</v>
      </c>
    </row>
    <row r="17567">
      <c r="A17567" s="1">
        <v>1.0</v>
      </c>
      <c r="B17567" s="1" t="s">
        <v>17274</v>
      </c>
      <c r="C17567" t="str">
        <f>IFERROR(__xludf.DUMMYFUNCTION("GOOGLETRANSLATE(B17567, ""fr"", ""en"")"),"No effect On August 10, 2018 I bought this product to exterminate a few roaches (cockroaches) in my apartment ...... ..deux months, despite the six contaminants posed boxes, I do not see any positive result. I threw my money away, I do not recommend this "&amp;"article.")</f>
        <v>No effect On August 10, 2018 I bought this product to exterminate a few roaches (cockroaches) in my apartment ...... ..deux months, despite the six contaminants posed boxes, I do not see any positive result. I threw my money away, I do not recommend this article.</v>
      </c>
    </row>
    <row r="17568">
      <c r="A17568" s="1">
        <v>3.0</v>
      </c>
      <c r="B17568" s="1" t="s">
        <v>17275</v>
      </c>
      <c r="C17568" t="str">
        <f>IFERROR(__xludf.DUMMYFUNCTION("GOOGLETRANSLATE(B17568, ""fr"", ""en"")"),"Good but Fine, just a little disappointed with the bracelet to me the most frail it was what I expected, otherwise it's a casio")</f>
        <v>Good but Fine, just a little disappointed with the bracelet to me the most frail it was what I expected, otherwise it's a casio</v>
      </c>
    </row>
    <row r="17569">
      <c r="A17569" s="1">
        <v>3.0</v>
      </c>
      <c r="B17569" s="1" t="s">
        <v>17276</v>
      </c>
      <c r="C17569" t="str">
        <f>IFERROR(__xludf.DUMMYFUNCTION("GOOGLETRANSLATE(B17569, ""fr"", ""en"")"),"Or are the hedgehogs? I ordered these for my future baby bottles. So no opinion on the use but fast reception, the only problem. The drawing is not consistent with the image, I have small elephants instead of little hedgehogs on bibs. And I also took for "&amp;"drawing hedgehogs therefore a little disappointed ....")</f>
        <v>Or are the hedgehogs? I ordered these for my future baby bottles. So no opinion on the use but fast reception, the only problem. The drawing is not consistent with the image, I have small elephants instead of little hedgehogs on bibs. And I also took for drawing hedgehogs therefore a little disappointed ....</v>
      </c>
    </row>
    <row r="17570">
      <c r="A17570" s="1">
        <v>4.0</v>
      </c>
      <c r="B17570" s="1" t="s">
        <v>17277</v>
      </c>
      <c r="C17570" t="str">
        <f>IFERROR(__xludf.DUMMYFUNCTION("GOOGLETRANSLATE(B17570, ""fr"", ""en"")"),"Beautiful acquisition Very good small bag Note however that the rather sharp odor when it arrives. It's the smell of leather which is quite pronounced in the early days. To let in the fresh air before use otherwise very aesthetic and easy bag to adapt to "&amp;"any outfit")</f>
        <v>Beautiful acquisition Very good small bag Note however that the rather sharp odor when it arrives. It's the smell of leather which is quite pronounced in the early days. To let in the fresh air before use otherwise very aesthetic and easy bag to adapt to any outfit</v>
      </c>
    </row>
    <row r="17571">
      <c r="A17571" s="1">
        <v>4.0</v>
      </c>
      <c r="B17571" s="1" t="s">
        <v>17278</v>
      </c>
      <c r="C17571" t="str">
        <f>IFERROR(__xludf.DUMMYFUNCTION("GOOGLETRANSLATE(B17571, ""fr"", ""en"")"),"Comfortable and good quality very satisfied despite an excessive price. Please note that the delivery is done by Parcel Private delay .... and unable to call you if problem")</f>
        <v>Comfortable and good quality very satisfied despite an excessive price. Please note that the delivery is done by Parcel Private delay .... and unable to call you if problem</v>
      </c>
    </row>
    <row r="17572">
      <c r="A17572" s="1">
        <v>4.0</v>
      </c>
      <c r="B17572" s="1" t="s">
        <v>17279</v>
      </c>
      <c r="C17572" t="str">
        <f>IFERROR(__xludf.DUMMYFUNCTION("GOOGLETRANSLATE(B17572, ""fr"", ""en"")"),"Good buy Product in accordance with the description")</f>
        <v>Good buy Product in accordance with the description</v>
      </c>
    </row>
    <row r="17573">
      <c r="A17573" s="1">
        <v>4.0</v>
      </c>
      <c r="B17573" s="1" t="s">
        <v>17280</v>
      </c>
      <c r="C17573" t="str">
        <f>IFERROR(__xludf.DUMMYFUNCTION("GOOGLETRANSLATE(B17573, ""fr"", ""en"")"),"Good product Do not hesitate to take half or one size bigger because the brand size very fair. Otherwise, nice product.")</f>
        <v>Good product Do not hesitate to take half or one size bigger because the brand size very fair. Otherwise, nice product.</v>
      </c>
    </row>
    <row r="17574">
      <c r="A17574" s="1">
        <v>5.0</v>
      </c>
      <c r="B17574" s="1" t="s">
        <v>17281</v>
      </c>
      <c r="C17574" t="str">
        <f>IFERROR(__xludf.DUMMYFUNCTION("GOOGLETRANSLATE(B17574, ""fr"", ""en"")"),"very handy for carrying your camera with even a mini tripod! large bag that has space and strong! I recommend.")</f>
        <v>very handy for carrying your camera with even a mini tripod! large bag that has space and strong! I recommend.</v>
      </c>
    </row>
    <row r="17575">
      <c r="A17575" s="1">
        <v>5.0</v>
      </c>
      <c r="B17575" s="1" t="s">
        <v>17282</v>
      </c>
      <c r="C17575" t="str">
        <f>IFERROR(__xludf.DUMMYFUNCTION("GOOGLETRANSLATE(B17575, ""fr"", ""en"")"),"Okay Work")</f>
        <v>Okay Work</v>
      </c>
    </row>
    <row r="17576">
      <c r="A17576" s="1">
        <v>5.0</v>
      </c>
      <c r="B17576" s="1" t="s">
        <v>17283</v>
      </c>
      <c r="C17576" t="str">
        <f>IFERROR(__xludf.DUMMYFUNCTION("GOOGLETRANSLATE(B17576, ""fr"", ""en"")"),"Great helmet, good quality / price I bought this product for everyday use and when I go on vacation, the sound is very clear, the helmet isolate outside noise even without active noise reduction and is very comfortable to wear . The bass I find a strength"&amp;" because I love it when it grows a lot !!!")</f>
        <v>Great helmet, good quality / price I bought this product for everyday use and when I go on vacation, the sound is very clear, the helmet isolate outside noise even without active noise reduction and is very comfortable to wear . The bass I find a strength because I love it when it grows a lot !!!</v>
      </c>
    </row>
    <row r="17577">
      <c r="A17577" s="1">
        <v>5.0</v>
      </c>
      <c r="B17577" s="1" t="s">
        <v>17284</v>
      </c>
      <c r="C17577" t="str">
        <f>IFERROR(__xludf.DUMMYFUNCTION("GOOGLETRANSLATE(B17577, ""fr"", ""en"")"),"Excellent product I admit that it is a great product! I have good results each time I use printing.")</f>
        <v>Excellent product I admit that it is a great product! I have good results each time I use printing.</v>
      </c>
    </row>
    <row r="17578">
      <c r="A17578" s="1">
        <v>5.0</v>
      </c>
      <c r="B17578" s="1" t="s">
        <v>17285</v>
      </c>
      <c r="C17578" t="str">
        <f>IFERROR(__xludf.DUMMYFUNCTION("GOOGLETRANSLATE(B17578, ""fr"", ""en"")"),"BOB Customer AMAZON I wanted a long pilotée.Je solar radio shows think I found what I was looking Satisfied very nice watch Maybe one (flat) the blue color of the dial too dark")</f>
        <v>BOB Customer AMAZON I wanted a long pilotée.Je solar radio shows think I found what I was looking Satisfied very nice watch Maybe one (flat) the blue color of the dial too dark</v>
      </c>
    </row>
    <row r="17579">
      <c r="A17579" s="1">
        <v>5.0</v>
      </c>
      <c r="B17579" s="1" t="s">
        <v>17286</v>
      </c>
      <c r="C17579" t="str">
        <f>IFERROR(__xludf.DUMMYFUNCTION("GOOGLETRANSLATE(B17579, ""fr"", ""en"")"),"Basketball boy Hello, Perfect. Thank you. Vive Amazon.fr")</f>
        <v>Basketball boy Hello, Perfect. Thank you. Vive Amazon.fr</v>
      </c>
    </row>
    <row r="17580">
      <c r="A17580" s="1">
        <v>5.0</v>
      </c>
      <c r="B17580" s="1" t="s">
        <v>17287</v>
      </c>
      <c r="C17580" t="str">
        <f>IFERROR(__xludf.DUMMYFUNCTION("GOOGLETRANSLATE(B17580, ""fr"", ""en"")"),"Nikel As in my memories")</f>
        <v>Nikel As in my memories</v>
      </c>
    </row>
    <row r="17581">
      <c r="A17581" s="1">
        <v>5.0</v>
      </c>
      <c r="B17581" s="1" t="s">
        <v>17288</v>
      </c>
      <c r="C17581" t="str">
        <f>IFERROR(__xludf.DUMMYFUNCTION("GOOGLETRANSLATE(B17581, ""fr"", ""en"")"),"super buy for my daughter in the size 39 nothing to say it corresponded to its size and price and attractive compared store")</f>
        <v>super buy for my daughter in the size 39 nothing to say it corresponded to its size and price and attractive compared store</v>
      </c>
    </row>
    <row r="17582">
      <c r="A17582" s="1">
        <v>5.0</v>
      </c>
      <c r="B17582" s="1" t="s">
        <v>17289</v>
      </c>
      <c r="C17582" t="str">
        <f>IFERROR(__xludf.DUMMYFUNCTION("GOOGLETRANSLATE(B17582, ""fr"", ""en"")"),"Really very good very good very opaque felt and resist properties, the black is not too bright and it's great. A good starting set.")</f>
        <v>Really very good very good very opaque felt and resist properties, the black is not too bright and it's great. A good starting set.</v>
      </c>
    </row>
    <row r="17583">
      <c r="A17583" s="1">
        <v>5.0</v>
      </c>
      <c r="B17583" s="1" t="s">
        <v>17290</v>
      </c>
      <c r="C17583" t="str">
        <f>IFERROR(__xludf.DUMMYFUNCTION("GOOGLETRANSLATE(B17583, ""fr"", ""en"")"),"Calendula oil Used to manufacture a calendula oil for treating skin ailments family. I grow several feet worries for this purpose.")</f>
        <v>Calendula oil Used to manufacture a calendula oil for treating skin ailments family. I grow several feet worries for this purpose.</v>
      </c>
    </row>
    <row r="17584">
      <c r="A17584" s="1">
        <v>5.0</v>
      </c>
      <c r="B17584" s="1" t="s">
        <v>17291</v>
      </c>
      <c r="C17584" t="str">
        <f>IFERROR(__xludf.DUMMYFUNCTION("GOOGLETRANSLATE(B17584, ""fr"", ""en"")"),"Leggings leggings gray sports fitness consistent with the description. There seems good quality and overall maintenance also. None. I recommend.")</f>
        <v>Leggings leggings gray sports fitness consistent with the description. There seems good quality and overall maintenance also. None. I recommend.</v>
      </c>
    </row>
    <row r="17585">
      <c r="A17585" s="1">
        <v>5.0</v>
      </c>
      <c r="B17585" s="1" t="s">
        <v>17292</v>
      </c>
      <c r="C17585" t="str">
        <f>IFERROR(__xludf.DUMMYFUNCTION("GOOGLETRANSLATE(B17585, ""fr"", ""en"")"),"Light Alarm Clock Product very pretty and practical. Consistent with the description, the directions for use and well explained. The awakening is touch you can Mettee batteries or plug in to make it work. I love the atmosphere of lights. I valid !!")</f>
        <v>Light Alarm Clock Product very pretty and practical. Consistent with the description, the directions for use and well explained. The awakening is touch you can Mettee batteries or plug in to make it work. I love the atmosphere of lights. I valid !!</v>
      </c>
    </row>
    <row r="17586">
      <c r="A17586" s="1">
        <v>5.0</v>
      </c>
      <c r="B17586" s="1" t="s">
        <v>17293</v>
      </c>
      <c r="C17586" t="str">
        <f>IFERROR(__xludf.DUMMYFUNCTION("GOOGLETRANSLATE(B17586, ""fr"", ""en"")"),"Good product, quality is present Beautiful jewelry that showcases is really pretty")</f>
        <v>Good product, quality is present Beautiful jewelry that showcases is really pretty</v>
      </c>
    </row>
    <row r="17587">
      <c r="A17587" s="1">
        <v>5.0</v>
      </c>
      <c r="B17587" s="1" t="s">
        <v>17294</v>
      </c>
      <c r="C17587" t="str">
        <f>IFERROR(__xludf.DUMMYFUNCTION("GOOGLETRANSLATE(B17587, ""fr"", ""en"")"),"Super comfortable My son found the top to play 4")</f>
        <v>Super comfortable My son found the top to play 4</v>
      </c>
    </row>
    <row r="17588">
      <c r="A17588" s="1">
        <v>5.0</v>
      </c>
      <c r="B17588" s="1" t="s">
        <v>17295</v>
      </c>
      <c r="C17588" t="str">
        <f>IFERROR(__xludf.DUMMYFUNCTION("GOOGLETRANSLATE(B17588, ""fr"", ""en"")"),"Okay corresponds very well to the need for my children. They are flexible and long lasting. My children always have another brand. I recommend.")</f>
        <v>Okay corresponds very well to the need for my children. They are flexible and long lasting. My children always have another brand. I recommend.</v>
      </c>
    </row>
    <row r="17589">
      <c r="A17589" s="1">
        <v>2.0</v>
      </c>
      <c r="B17589" s="1" t="s">
        <v>17296</v>
      </c>
      <c r="C17589" t="str">
        <f>IFERROR(__xludf.DUMMYFUNCTION("GOOGLETRANSLATE(B17589, ""fr"", ""en"")"),"Very poor quality Referred very cheap appearance. Do certainly not worth the asking price.")</f>
        <v>Very poor quality Referred very cheap appearance. Do certainly not worth the asking price.</v>
      </c>
    </row>
    <row r="17590">
      <c r="A17590" s="1">
        <v>1.0</v>
      </c>
      <c r="B17590" s="1" t="s">
        <v>17297</v>
      </c>
      <c r="C17590" t="str">
        <f>IFERROR(__xludf.DUMMYFUNCTION("GOOGLETRANSLATE(B17590, ""fr"", ""en"")"),"UNRELIABLE down after a month and a half of use (over bluetooth connections !!!) - is already the second !!!! another brand but similar production. The seller is in no hurry to answer hotline and does not work - great Chinese products !!!")</f>
        <v>UNRELIABLE down after a month and a half of use (over bluetooth connections !!!) - is already the second !!!! another brand but similar production. The seller is in no hurry to answer hotline and does not work - great Chinese products !!!</v>
      </c>
    </row>
    <row r="17591">
      <c r="A17591" s="1">
        <v>1.0</v>
      </c>
      <c r="B17591" s="1" t="s">
        <v>17298</v>
      </c>
      <c r="C17591" t="str">
        <f>IFERROR(__xludf.DUMMYFUNCTION("GOOGLETRANSLATE(B17591, ""fr"", ""en"")"),"Beautiful shoes I made the shoes, which are very nice but too small.")</f>
        <v>Beautiful shoes I made the shoes, which are very nice but too small.</v>
      </c>
    </row>
    <row r="17592">
      <c r="A17592" s="1">
        <v>3.0</v>
      </c>
      <c r="B17592" s="1" t="s">
        <v>17299</v>
      </c>
      <c r="C17592" t="str">
        <f>IFERROR(__xludf.DUMMYFUNCTION("GOOGLETRANSLATE(B17592, ""fr"", ""en"")"),"Suitable for single bins Hulan Well adapted to my simple human trash, by cons I find them a little thinner than expected and I already had to deplore leaks")</f>
        <v>Suitable for single bins Hulan Well adapted to my simple human trash, by cons I find them a little thinner than expected and I already had to deplore leaks</v>
      </c>
    </row>
    <row r="17593">
      <c r="A17593" s="1">
        <v>4.0</v>
      </c>
      <c r="B17593" s="1" t="s">
        <v>17300</v>
      </c>
      <c r="C17593" t="str">
        <f>IFERROR(__xludf.DUMMYFUNCTION("GOOGLETRANSLATE(B17593, ""fr"", ""en"")"),"Great product Much less beautiful than I had before, a Russell Hobbs also. However it is very light, heats very quickly and above all extremely silent. Anti scale system is very effective. I recommend this product.")</f>
        <v>Great product Much less beautiful than I had before, a Russell Hobbs also. However it is very light, heats very quickly and above all extremely silent. Anti scale system is very effective. I recommend this product.</v>
      </c>
    </row>
    <row r="17594">
      <c r="A17594" s="1">
        <v>4.0</v>
      </c>
      <c r="B17594" s="1" t="s">
        <v>17301</v>
      </c>
      <c r="C17594" t="str">
        <f>IFERROR(__xludf.DUMMYFUNCTION("GOOGLETRANSLATE(B17594, ""fr"", ""en"")"),"Nice but does not Pretty colors. Personally, I find that the band does not take much. Pity ...")</f>
        <v>Nice but does not Pretty colors. Personally, I find that the band does not take much. Pity ...</v>
      </c>
    </row>
    <row r="17595">
      <c r="A17595" s="1">
        <v>4.0</v>
      </c>
      <c r="B17595" s="1" t="s">
        <v>508</v>
      </c>
      <c r="C17595" t="str">
        <f>IFERROR(__xludf.DUMMYFUNCTION("GOOGLETRANSLATE(B17595, ""fr"", ""en"")"),"Very well very well")</f>
        <v>Very well very well</v>
      </c>
    </row>
    <row r="17596">
      <c r="A17596" s="1">
        <v>4.0</v>
      </c>
      <c r="B17596" s="1" t="s">
        <v>17302</v>
      </c>
      <c r="C17596" t="str">
        <f>IFERROR(__xludf.DUMMYFUNCTION("GOOGLETRANSLATE(B17596, ""fr"", ""en"")"),"Same Article compliant but delivered 4 days later.")</f>
        <v>Same Article compliant but delivered 4 days later.</v>
      </c>
    </row>
    <row r="17597">
      <c r="A17597" s="1">
        <v>5.0</v>
      </c>
      <c r="B17597" s="1" t="s">
        <v>17303</v>
      </c>
      <c r="C17597" t="str">
        <f>IFERROR(__xludf.DUMMYFUNCTION("GOOGLETRANSLATE(B17597, ""fr"", ""en"")"),"Pretty gem! The necklace comes in a nice setting, perfect to offer. I wear it for about a month and I am happy ... I had a lot of compliments on it. I appreciate the chain that is thin and strong. I do not remove the shower and it does not turn green as s"&amp;"ome jewelry do. I recommend !")</f>
        <v>Pretty gem! The necklace comes in a nice setting, perfect to offer. I wear it for about a month and I am happy ... I had a lot of compliments on it. I appreciate the chain that is thin and strong. I do not remove the shower and it does not turn green as some jewelry do. I recommend !</v>
      </c>
    </row>
    <row r="17598">
      <c r="A17598" s="1">
        <v>5.0</v>
      </c>
      <c r="B17598" s="1" t="s">
        <v>1288</v>
      </c>
      <c r="C17598" t="str">
        <f>IFERROR(__xludf.DUMMYFUNCTION("GOOGLETRANSLATE(B17598, ""fr"", ""en"")"),"perfect perfect")</f>
        <v>perfect perfect</v>
      </c>
    </row>
    <row r="17599">
      <c r="A17599" s="1">
        <v>5.0</v>
      </c>
      <c r="B17599" s="1" t="s">
        <v>17304</v>
      </c>
      <c r="C17599" t="str">
        <f>IFERROR(__xludf.DUMMYFUNCTION("GOOGLETRANSLATE(B17599, ""fr"", ""en"")"),"Most are very good value")</f>
        <v>Most are very good value</v>
      </c>
    </row>
    <row r="17600">
      <c r="A17600" s="1">
        <v>5.0</v>
      </c>
      <c r="B17600" s="1" t="s">
        <v>16113</v>
      </c>
      <c r="C17600" t="str">
        <f>IFERROR(__xludf.DUMMYFUNCTION("GOOGLETRANSLATE(B17600, ""fr"", ""en"")"),"In line with expectations in line with expectations")</f>
        <v>In line with expectations in line with expectations</v>
      </c>
    </row>
    <row r="17601">
      <c r="A17601" s="1">
        <v>5.0</v>
      </c>
      <c r="B17601" s="1" t="s">
        <v>17305</v>
      </c>
      <c r="C17601" t="str">
        <f>IFERROR(__xludf.DUMMYFUNCTION("GOOGLETRANSLATE(B17601, ""fr"", ""en"")"),"Size slightly larger size a little larger")</f>
        <v>Size slightly larger size a little larger</v>
      </c>
    </row>
    <row r="17602">
      <c r="A17602" s="1">
        <v>5.0</v>
      </c>
      <c r="B17602" s="1" t="s">
        <v>17306</v>
      </c>
      <c r="C17602" t="str">
        <f>IFERROR(__xludf.DUMMYFUNCTION("GOOGLETRANSLATE(B17602, ""fr"", ""en"")"),"I love this helmet This is my first bluetooth headset and does not need a super expensive headphones I took this one and it suits me really well! It is comfortable and the battery lasts a long time (enough for me anyway;)")</f>
        <v>I love this helmet This is my first bluetooth headset and does not need a super expensive headphones I took this one and it suits me really well! It is comfortable and the battery lasts a long time (enough for me anyway;)</v>
      </c>
    </row>
    <row r="17603">
      <c r="A17603" s="1">
        <v>5.0</v>
      </c>
      <c r="B17603" s="1" t="s">
        <v>17307</v>
      </c>
      <c r="C17603" t="str">
        <f>IFERROR(__xludf.DUMMYFUNCTION("GOOGLETRANSLATE(B17603, ""fr"", ""en"")"),"This article is practice practice. a good point for the cutting system the film is good. Highly recommended")</f>
        <v>This article is practice practice. a good point for the cutting system the film is good. Highly recommended</v>
      </c>
    </row>
    <row r="17604">
      <c r="A17604" s="1">
        <v>5.0</v>
      </c>
      <c r="B17604" s="1" t="s">
        <v>17308</v>
      </c>
      <c r="C17604" t="str">
        <f>IFERROR(__xludf.DUMMYFUNCTION("GOOGLETRANSLATE(B17604, ""fr"", ""en"")"),"Conforms to practice descriptive")</f>
        <v>Conforms to practice descriptive</v>
      </c>
    </row>
    <row r="17605">
      <c r="A17605" s="1">
        <v>5.0</v>
      </c>
      <c r="B17605" s="1" t="s">
        <v>17309</v>
      </c>
      <c r="C17605" t="str">
        <f>IFERROR(__xludf.DUMMYFUNCTION("GOOGLETRANSLATE(B17605, ""fr"", ""en"")"),"Great coffee Finally a real coffee! From the time that I wanted this type of machine, I decided. The freshly brewed coffee taste is much better than other coffee powder for several days or months and who have lost part of their aroma. machine easy to use,"&amp;" and the thermos jug is more convenient.")</f>
        <v>Great coffee Finally a real coffee! From the time that I wanted this type of machine, I decided. The freshly brewed coffee taste is much better than other coffee powder for several days or months and who have lost part of their aroma. machine easy to use, and the thermos jug is more convenient.</v>
      </c>
    </row>
    <row r="17606">
      <c r="A17606" s="1">
        <v>5.0</v>
      </c>
      <c r="B17606" s="1" t="s">
        <v>17310</v>
      </c>
      <c r="C17606" t="str">
        <f>IFERROR(__xludf.DUMMYFUNCTION("GOOGLETRANSLATE(B17606, ""fr"", ""en"")"),"Very good very good and solid.")</f>
        <v>Very good very good and solid.</v>
      </c>
    </row>
    <row r="17607">
      <c r="A17607" s="1">
        <v>5.0</v>
      </c>
      <c r="B17607" s="1" t="s">
        <v>17311</v>
      </c>
      <c r="C17607" t="str">
        <f>IFERROR(__xludf.DUMMYFUNCTION("GOOGLETRANSLATE(B17607, ""fr"", ""en"")"),"Perfect c is the true Gift for my husband are very comfortable are beautiful, clean, no faults, my husband is very happy, have good authentic Stan Smith, thank you I recommend")</f>
        <v>Perfect c is the true Gift for my husband are very comfortable are beautiful, clean, no faults, my husband is very happy, have good authentic Stan Smith, thank you I recommend</v>
      </c>
    </row>
    <row r="17608">
      <c r="A17608" s="1">
        <v>5.0</v>
      </c>
      <c r="B17608" s="1" t="s">
        <v>17312</v>
      </c>
      <c r="C17608" t="str">
        <f>IFERROR(__xludf.DUMMYFUNCTION("GOOGLETRANSLATE(B17608, ""fr"", ""en"")"),"Good sound, nothing to criticize, but fun Interests")</f>
        <v>Good sound, nothing to criticize, but fun Interests</v>
      </c>
    </row>
    <row r="17609">
      <c r="A17609" s="1">
        <v>5.0</v>
      </c>
      <c r="B17609" s="1" t="s">
        <v>17313</v>
      </c>
      <c r="C17609" t="str">
        <f>IFERROR(__xludf.DUMMYFUNCTION("GOOGLETRANSLATE(B17609, ""fr"", ""en"")"),"Comfortable I liked this great no regrets")</f>
        <v>Comfortable I liked this great no regrets</v>
      </c>
    </row>
    <row r="17610">
      <c r="A17610" s="1">
        <v>5.0</v>
      </c>
      <c r="B17610" s="1" t="s">
        <v>17314</v>
      </c>
      <c r="C17610" t="str">
        <f>IFERROR(__xludf.DUMMYFUNCTION("GOOGLETRANSLATE(B17610, ""fr"", ""en"")"),"Delivery and spotless sneakers! I already knew my size so perfect. Notice the feet a little wider, the model is a little tight, especially the early hours laid.")</f>
        <v>Delivery and spotless sneakers! I already knew my size so perfect. Notice the feet a little wider, the model is a little tight, especially the early hours laid.</v>
      </c>
    </row>
    <row r="17611">
      <c r="A17611" s="1">
        <v>5.0</v>
      </c>
      <c r="B17611" s="1" t="s">
        <v>17315</v>
      </c>
      <c r="C17611" t="str">
        <f>IFERROR(__xludf.DUMMYFUNCTION("GOOGLETRANSLATE(B17611, ""fr"", ""en"")"),"Pretty earrings Very happy with this purchase to little. Light and lovely earring To put mainly in the evening I think")</f>
        <v>Pretty earrings Very happy with this purchase to little. Light and lovely earring To put mainly in the evening I think</v>
      </c>
    </row>
    <row r="17612">
      <c r="A17612" s="1">
        <v>2.0</v>
      </c>
      <c r="B17612" s="1" t="s">
        <v>17316</v>
      </c>
      <c r="C17612" t="str">
        <f>IFERROR(__xludf.DUMMYFUNCTION("GOOGLETRANSLATE(B17612, ""fr"", ""en"")"),"safety shoe pity that the shoes do not last long")</f>
        <v>safety shoe pity that the shoes do not last long</v>
      </c>
    </row>
    <row r="17613">
      <c r="A17613" s="1">
        <v>1.0</v>
      </c>
      <c r="B17613" s="1" t="s">
        <v>17317</v>
      </c>
      <c r="C17613" t="str">
        <f>IFERROR(__xludf.DUMMYFUNCTION("GOOGLETRANSLATE(B17613, ""fr"", ""en"")"),"Wear and pilling After a few months of use, power to see that the quality is not to go for these slippers. There is significant pilling, abnormal wear for slippers interior. Too bad")</f>
        <v>Wear and pilling After a few months of use, power to see that the quality is not to go for these slippers. There is significant pilling, abnormal wear for slippers interior. Too bad</v>
      </c>
    </row>
    <row r="17614">
      <c r="A17614" s="1">
        <v>3.0</v>
      </c>
      <c r="B17614" s="1" t="s">
        <v>17318</v>
      </c>
      <c r="C17614" t="str">
        <f>IFERROR(__xludf.DUMMYFUNCTION("GOOGLETRANSLATE(B17614, ""fr"", ""en"")"),"Comfort Not enough comfort level")</f>
        <v>Comfort Not enough comfort level</v>
      </c>
    </row>
    <row r="17615">
      <c r="A17615" s="1">
        <v>3.0</v>
      </c>
      <c r="B17615" s="1" t="s">
        <v>17319</v>
      </c>
      <c r="C17615" t="str">
        <f>IFERROR(__xludf.DUMMYFUNCTION("GOOGLETRANSLATE(B17615, ""fr"", ""en"")"),"Ras Not really hot in places on picture")</f>
        <v>Ras Not really hot in places on picture</v>
      </c>
    </row>
    <row r="17616">
      <c r="A17616" s="1">
        <v>4.0</v>
      </c>
      <c r="B17616" s="1" t="s">
        <v>17320</v>
      </c>
      <c r="C17616" t="str">
        <f>IFERROR(__xludf.DUMMYFUNCTION("GOOGLETRANSLATE(B17616, ""fr"", ""en"")"),"Nice bracelet for the Holidays Having benefited from a promotional sale on this bracelet, I ordered this product received very quickly. I could put it on Eve's Eve. it was a hit! This bracelet is very pretty with these colorful stones. By cons, it is a li"&amp;"ttle heavy on the wrist and clings to clothes too. Beware tights and lace !!!")</f>
        <v>Nice bracelet for the Holidays Having benefited from a promotional sale on this bracelet, I ordered this product received very quickly. I could put it on Eve's Eve. it was a hit! This bracelet is very pretty with these colorful stones. By cons, it is a little heavy on the wrist and clings to clothes too. Beware tights and lace !!!</v>
      </c>
    </row>
    <row r="17617">
      <c r="A17617" s="1">
        <v>4.0</v>
      </c>
      <c r="B17617" s="1" t="s">
        <v>17321</v>
      </c>
      <c r="C17617" t="str">
        <f>IFERROR(__xludf.DUMMYFUNCTION("GOOGLETRANSLATE(B17617, ""fr"", ""en"")"),"GOOD PRODUCT, VERY GOOD PRODUCT")</f>
        <v>GOOD PRODUCT, VERY GOOD PRODUCT</v>
      </c>
    </row>
    <row r="17618">
      <c r="A17618" s="1">
        <v>4.0</v>
      </c>
      <c r="B17618" s="1" t="s">
        <v>17322</v>
      </c>
      <c r="C17618" t="str">
        <f>IFERROR(__xludf.DUMMYFUNCTION("GOOGLETRANSLATE(B17618, ""fr"", ""en"")"),"Good but not the quality expected for Lestissus prices are decent quality, but the seams are weak .. There is a small flaw cutting but nothing serious. The size is a bit small. I can not redeem a similar article.")</f>
        <v>Good but not the quality expected for Lestissus prices are decent quality, but the seams are weak .. There is a small flaw cutting but nothing serious. The size is a bit small. I can not redeem a similar article.</v>
      </c>
    </row>
    <row r="17619">
      <c r="A17619" s="1">
        <v>4.0</v>
      </c>
      <c r="B17619" s="1" t="s">
        <v>17323</v>
      </c>
      <c r="C17619" t="str">
        <f>IFERROR(__xludf.DUMMYFUNCTION("GOOGLETRANSLATE(B17619, ""fr"", ""en"")"),"Recommended Very solid, however you must use the scissors to cut as impossible to cut with a dispenser. However, this proves that it's solid!")</f>
        <v>Recommended Very solid, however you must use the scissors to cut as impossible to cut with a dispenser. However, this proves that it's solid!</v>
      </c>
    </row>
    <row r="17620">
      <c r="A17620" s="1">
        <v>5.0</v>
      </c>
      <c r="B17620" s="1" t="s">
        <v>17324</v>
      </c>
      <c r="C17620" t="str">
        <f>IFERROR(__xludf.DUMMYFUNCTION("GOOGLETRANSLATE(B17620, ""fr"", ""en"")"),"Perfect!!!!!! Perfect")</f>
        <v>Perfect!!!!!! Perfect</v>
      </c>
    </row>
    <row r="17621">
      <c r="A17621" s="1">
        <v>5.0</v>
      </c>
      <c r="B17621" s="1" t="s">
        <v>17325</v>
      </c>
      <c r="C17621" t="str">
        <f>IFERROR(__xludf.DUMMYFUNCTION("GOOGLETRANSLATE(B17621, ""fr"", ""en"")"),"Very good value for money Very good slap helmet with eye gold. I just love it . And the children too. The quality is decent for the price offered. The different functions are satisfactory. The arms of the helmet are strong and well withstand bending. The "&amp;"Case is reinforced and strong: high protection of the helmet. The sound quality is worth the price. This product remains interesting (value for money)")</f>
        <v>Very good value for money Very good slap helmet with eye gold. I just love it . And the children too. The quality is decent for the price offered. The different functions are satisfactory. The arms of the helmet are strong and well withstand bending. The Case is reinforced and strong: high protection of the helmet. The sound quality is worth the price. This product remains interesting (value for money)</v>
      </c>
    </row>
    <row r="17622">
      <c r="A17622" s="1">
        <v>5.0</v>
      </c>
      <c r="B17622" s="1" t="s">
        <v>17326</v>
      </c>
      <c r="C17622" t="str">
        <f>IFERROR(__xludf.DUMMYFUNCTION("GOOGLETRANSLATE(B17622, ""fr"", ""en"")"),"Very functional Cable is really nickel, it works perfectly on my amp, the bent end is very convenient. I recommand it.")</f>
        <v>Very functional Cable is really nickel, it works perfectly on my amp, the bent end is very convenient. I recommand it.</v>
      </c>
    </row>
    <row r="17623">
      <c r="A17623" s="1">
        <v>5.0</v>
      </c>
      <c r="B17623" s="1" t="s">
        <v>17327</v>
      </c>
      <c r="C17623" t="str">
        <f>IFERROR(__xludf.DUMMYFUNCTION("GOOGLETRANSLATE(B17623, ""fr"", ""en"")"),"Genial My daughter loves them")</f>
        <v>Genial My daughter loves them</v>
      </c>
    </row>
    <row r="17624">
      <c r="A17624" s="1">
        <v>5.0</v>
      </c>
      <c r="B17624" s="1" t="s">
        <v>17328</v>
      </c>
      <c r="C17624" t="str">
        <f>IFERROR(__xludf.DUMMYFUNCTION("GOOGLETRANSLATE(B17624, ""fr"", ""en"")"),"ADORABLE Adorable history-changing Christmas banalities. I recommend from the age of 3-4 years. Images beautiful.")</f>
        <v>ADORABLE Adorable history-changing Christmas banalities. I recommend from the age of 3-4 years. Images beautiful.</v>
      </c>
    </row>
    <row r="17625">
      <c r="A17625" s="1">
        <v>5.0</v>
      </c>
      <c r="B17625" s="1" t="s">
        <v>17329</v>
      </c>
      <c r="C17625" t="str">
        <f>IFERROR(__xludf.DUMMYFUNCTION("GOOGLETRANSLATE(B17625, ""fr"", ""en"")"),"The quality is good soft, soft, 2 or 3 mins to preheat is enough, I recommend it. delivery is fast.")</f>
        <v>The quality is good soft, soft, 2 or 3 mins to preheat is enough, I recommend it. delivery is fast.</v>
      </c>
    </row>
    <row r="17626">
      <c r="A17626" s="1">
        <v>5.0</v>
      </c>
      <c r="B17626" s="1" t="s">
        <v>17330</v>
      </c>
      <c r="C17626" t="str">
        <f>IFERROR(__xludf.DUMMYFUNCTION("GOOGLETRANSLATE(B17626, ""fr"", ""en"")"),"I love Super gadget and cheap!")</f>
        <v>I love Super gadget and cheap!</v>
      </c>
    </row>
    <row r="17627">
      <c r="A17627" s="1">
        <v>5.0</v>
      </c>
      <c r="B17627" s="1" t="s">
        <v>1288</v>
      </c>
      <c r="C17627" t="str">
        <f>IFERROR(__xludf.DUMMYFUNCTION("GOOGLETRANSLATE(B17627, ""fr"", ""en"")"),"perfect perfect")</f>
        <v>perfect perfect</v>
      </c>
    </row>
    <row r="17628">
      <c r="A17628" s="1">
        <v>5.0</v>
      </c>
      <c r="B17628" s="1" t="s">
        <v>17331</v>
      </c>
      <c r="C17628" t="str">
        <f>IFERROR(__xludf.DUMMYFUNCTION("GOOGLETRANSLATE(B17628, ""fr"", ""en"")"),"Cable perfect perfectly consistent with my request. It allowed me to connect several pedal guitar and bass are strong enough is shielded to avoid generating noise.")</f>
        <v>Cable perfect perfectly consistent with my request. It allowed me to connect several pedal guitar and bass are strong enough is shielded to avoid generating noise.</v>
      </c>
    </row>
    <row r="17629">
      <c r="A17629" s="1">
        <v>5.0</v>
      </c>
      <c r="B17629" s="1" t="s">
        <v>17332</v>
      </c>
      <c r="C17629" t="str">
        <f>IFERROR(__xludf.DUMMYFUNCTION("GOOGLETRANSLATE(B17629, ""fr"", ""en"")"),"Relieves migraines that I often have headaches I let myself be tempted by this device that a friend had told me. Two modes of vibration. And a red light. Relaxes great &amp; amp; very nice to do. I am delighted, and other family members.")</f>
        <v>Relieves migraines that I often have headaches I let myself be tempted by this device that a friend had told me. Two modes of vibration. And a red light. Relaxes great &amp; amp; very nice to do. I am delighted, and other family members.</v>
      </c>
    </row>
    <row r="17630">
      <c r="A17630" s="1">
        <v>5.0</v>
      </c>
      <c r="B17630" s="1" t="s">
        <v>17333</v>
      </c>
      <c r="C17630" t="str">
        <f>IFERROR(__xludf.DUMMYFUNCTION("GOOGLETRANSLATE(B17630, ""fr"", ""en"")"),"As in A friend who advised me this brand when I was expecting my first child for the similarity in shape between the nipples and breast. Now I have stopped breastfeeding, but this mark seems to be the only one so mimic the shape of the breast, allowing al"&amp;"ternating breast / bottle very serene.")</f>
        <v>As in A friend who advised me this brand when I was expecting my first child for the similarity in shape between the nipples and breast. Now I have stopped breastfeeding, but this mark seems to be the only one so mimic the shape of the breast, allowing alternating breast / bottle very serene.</v>
      </c>
    </row>
    <row r="17631">
      <c r="A17631" s="1">
        <v>5.0</v>
      </c>
      <c r="B17631" s="1" t="s">
        <v>17334</v>
      </c>
      <c r="C17631" t="str">
        <f>IFERROR(__xludf.DUMMYFUNCTION("GOOGLETRANSLATE(B17631, ""fr"", ""en"")"),"Together nice beautiful")</f>
        <v>Together nice beautiful</v>
      </c>
    </row>
    <row r="17632">
      <c r="A17632" s="1">
        <v>5.0</v>
      </c>
      <c r="B17632" s="1" t="s">
        <v>17335</v>
      </c>
      <c r="C17632" t="str">
        <f>IFERROR(__xludf.DUMMYFUNCTION("GOOGLETRANSLATE(B17632, ""fr"", ""en"")"),"At the top Super nice")</f>
        <v>At the top Super nice</v>
      </c>
    </row>
    <row r="17633">
      <c r="A17633" s="1">
        <v>5.0</v>
      </c>
      <c r="B17633" s="1" t="s">
        <v>17336</v>
      </c>
      <c r="C17633" t="str">
        <f>IFERROR(__xludf.DUMMYFUNCTION("GOOGLETRANSLATE(B17633, ""fr"", ""en"")"),"Excellent Superb perfect product I love. known super brand. But worthy of its reputation. To recommend. Pleasant to walk but also to wear.")</f>
        <v>Excellent Superb perfect product I love. known super brand. But worthy of its reputation. To recommend. Pleasant to walk but also to wear.</v>
      </c>
    </row>
    <row r="17634">
      <c r="A17634" s="1">
        <v>5.0</v>
      </c>
      <c r="B17634" s="1" t="s">
        <v>17337</v>
      </c>
      <c r="C17634" t="str">
        <f>IFERROR(__xludf.DUMMYFUNCTION("GOOGLETRANSLATE(B17634, ""fr"", ""en"")"),"Perfect Family Pack This pack of Frixion is ideal for school children's needs. The offer price is much cheaper than the supermarket for the same amount of pens. This model with cap is preferred by my children compared to the retractable model where the gu"&amp;"m and the push to exit / enter the mine are more fragile and less sustainable over time.")</f>
        <v>Perfect Family Pack This pack of Frixion is ideal for school children's needs. The offer price is much cheaper than the supermarket for the same amount of pens. This model with cap is preferred by my children compared to the retractable model where the gum and the push to exit / enter the mine are more fragile and less sustainable over time.</v>
      </c>
    </row>
    <row r="17635">
      <c r="A17635" s="1">
        <v>2.0</v>
      </c>
      <c r="B17635" s="1" t="s">
        <v>17338</v>
      </c>
      <c r="C17635" t="str">
        <f>IFERROR(__xludf.DUMMYFUNCTION("GOOGLETRANSLATE(B17635, ""fr"", ""en"")"),"default of setting the time this watch has a defect and I am very disappointed, because the hour chagement did not regret this fait.Je achat.Me say why the time change did no, nothing so opposed ..")</f>
        <v>default of setting the time this watch has a defect and I am very disappointed, because the hour chagement did not regret this fait.Je achat.Me say why the time change did no, nothing so opposed ..</v>
      </c>
    </row>
    <row r="17636">
      <c r="A17636" s="1">
        <v>1.0</v>
      </c>
      <c r="B17636" s="1" t="s">
        <v>17339</v>
      </c>
      <c r="C17636" t="str">
        <f>IFERROR(__xludf.DUMMYFUNCTION("GOOGLETRANSLATE(B17636, ""fr"", ""en"")"),"large size. Blah blah blah large size. I don not like too much because it is very flat has it. N It is not too much arch on the sole. Very disappointed.")</f>
        <v>large size. Blah blah blah large size. I don not like too much because it is very flat has it. N It is not too much arch on the sole. Very disappointed.</v>
      </c>
    </row>
    <row r="17637">
      <c r="A17637" s="1">
        <v>1.0</v>
      </c>
      <c r="B17637" s="1" t="s">
        <v>17340</v>
      </c>
      <c r="C17637" t="str">
        <f>IFERROR(__xludf.DUMMYFUNCTION("GOOGLETRANSLATE(B17637, ""fr"", ""en"")"),"COAT WATERPROOF very disappointed with this article, it is not waterproof, it is wet from heavy rains")</f>
        <v>COAT WATERPROOF very disappointed with this article, it is not waterproof, it is wet from heavy rains</v>
      </c>
    </row>
    <row r="17638">
      <c r="A17638" s="1">
        <v>3.0</v>
      </c>
      <c r="B17638" s="1" t="s">
        <v>17341</v>
      </c>
      <c r="C17638" t="str">
        <f>IFERROR(__xludf.DUMMYFUNCTION("GOOGLETRANSLATE(B17638, ""fr"", ""en"")"),"Problem with the off button Very good and good for you against he stopped to light after the first week of use, if you press the off button by mistake you can never stop")</f>
        <v>Problem with the off button Very good and good for you against he stopped to light after the first week of use, if you press the off button by mistake you can never stop</v>
      </c>
    </row>
    <row r="17639">
      <c r="A17639" s="1">
        <v>4.0</v>
      </c>
      <c r="B17639" s="1" t="s">
        <v>17342</v>
      </c>
      <c r="C17639" t="str">
        <f>IFERROR(__xludf.DUMMYFUNCTION("GOOGLETRANSLATE(B17639, ""fr"", ""en"")"),"Beautiful retro design. This coffee has a nice retro design. Fits well in a vintage kitchen. Probably a little expensive. ultra fast delivery.")</f>
        <v>Beautiful retro design. This coffee has a nice retro design. Fits well in a vintage kitchen. Probably a little expensive. ultra fast delivery.</v>
      </c>
    </row>
    <row r="17640">
      <c r="A17640" s="1">
        <v>4.0</v>
      </c>
      <c r="B17640" s="1" t="s">
        <v>17343</v>
      </c>
      <c r="C17640" t="str">
        <f>IFERROR(__xludf.DUMMYFUNCTION("GOOGLETRANSLATE(B17640, ""fr"", ""en"")"),"Beautiful shoes Beautiful super comfortable shoes, size a bit small but top")</f>
        <v>Beautiful shoes Beautiful super comfortable shoes, size a bit small but top</v>
      </c>
    </row>
    <row r="17641">
      <c r="A17641" s="1">
        <v>4.0</v>
      </c>
      <c r="B17641" s="1" t="s">
        <v>17344</v>
      </c>
      <c r="C17641" t="str">
        <f>IFERROR(__xludf.DUMMYFUNCTION("GOOGLETRANSLATE(B17641, ""fr"", ""en"")"),"happy I was looking for a glass baby bottle in the gamma Advent, who pulls the milk. The bottle can also be used as potty later with sealing discs.")</f>
        <v>happy I was looking for a glass baby bottle in the gamma Advent, who pulls the milk. The bottle can also be used as potty later with sealing discs.</v>
      </c>
    </row>
    <row r="17642">
      <c r="A17642" s="1">
        <v>4.0</v>
      </c>
      <c r="B17642" s="1" t="s">
        <v>17345</v>
      </c>
      <c r="C17642" t="str">
        <f>IFERROR(__xludf.DUMMYFUNCTION("GOOGLETRANSLATE(B17642, ""fr"", ""en"")"),"Improvements to the laces for sion very good product Not bad, rather it is to feel like sneakers except that is secure. As against the laces are not they awful fray.")</f>
        <v>Improvements to the laces for sion very good product Not bad, rather it is to feel like sneakers except that is secure. As against the laces are not they awful fray.</v>
      </c>
    </row>
    <row r="17643">
      <c r="A17643" s="1">
        <v>5.0</v>
      </c>
      <c r="B17643" s="1" t="s">
        <v>17346</v>
      </c>
      <c r="C17643" t="str">
        <f>IFERROR(__xludf.DUMMYFUNCTION("GOOGLETRANSLATE(B17643, ""fr"", ""en"")"),"Great product compatible ink cartridge in my gun in my screen even if it strikes me that there is a problem of printer, you need not take into account, it works very well, cartridge of excellent quality, fast delivery, I am very satisfied with my purchase"&amp;".")</f>
        <v>Great product compatible ink cartridge in my gun in my screen even if it strikes me that there is a problem of printer, you need not take into account, it works very well, cartridge of excellent quality, fast delivery, I am very satisfied with my purchase.</v>
      </c>
    </row>
    <row r="17644">
      <c r="A17644" s="1">
        <v>5.0</v>
      </c>
      <c r="B17644" s="1" t="s">
        <v>17347</v>
      </c>
      <c r="C17644" t="str">
        <f>IFERROR(__xludf.DUMMYFUNCTION("GOOGLETRANSLATE(B17644, ""fr"", ""en"")"),"Normally all for work")</f>
        <v>Normally all for work</v>
      </c>
    </row>
    <row r="17645">
      <c r="A17645" s="1">
        <v>5.0</v>
      </c>
      <c r="B17645" s="1" t="s">
        <v>17348</v>
      </c>
      <c r="C17645" t="str">
        <f>IFERROR(__xludf.DUMMYFUNCTION("GOOGLETRANSLATE(B17645, ""fr"", ""en"")"),"Rode videomicro Iphone 6s + + This cable work perfectly for video use my mic rode on my iPhone 6S +. Be careful to put the gray side of the jack plug your smartphone!")</f>
        <v>Rode videomicro Iphone 6s + + This cable work perfectly for video use my mic rode on my iPhone 6S +. Be careful to put the gray side of the jack plug your smartphone!</v>
      </c>
    </row>
    <row r="17646">
      <c r="A17646" s="1">
        <v>5.0</v>
      </c>
      <c r="B17646" s="1" t="s">
        <v>17349</v>
      </c>
      <c r="C17646" t="str">
        <f>IFERROR(__xludf.DUMMYFUNCTION("GOOGLETRANSLATE(B17646, ""fr"", ""en"")"),"Getting immediate hand, fits perfectly in my ear and very good sound This is a great product! The earphones fit perfectly well in my ear. There are two pairs of ears smaller or larger in case. The Bluetooth connection is instantaneous and the handling / u"&amp;"se is extremely intuitive. I would emphasize that the manufacturer has put an on / off button on the housing so that we can decide whether to charge the headphones! This may be a detail but extremely practical and intelligent !!! Regarding the sound I use"&amp;" it to play music and videos and the sound is excellent. No cuts while playing sports sizzle.")</f>
        <v>Getting immediate hand, fits perfectly in my ear and very good sound This is a great product! The earphones fit perfectly well in my ear. There are two pairs of ears smaller or larger in case. The Bluetooth connection is instantaneous and the handling / use is extremely intuitive. I would emphasize that the manufacturer has put an on / off button on the housing so that we can decide whether to charge the headphones! This may be a detail but extremely practical and intelligent !!! Regarding the sound I use it to play music and videos and the sound is excellent. No cuts while playing sports sizzle.</v>
      </c>
    </row>
    <row r="17647">
      <c r="A17647" s="1">
        <v>5.0</v>
      </c>
      <c r="B17647" s="1" t="s">
        <v>17350</v>
      </c>
      <c r="C17647" t="str">
        <f>IFERROR(__xludf.DUMMYFUNCTION("GOOGLETRANSLATE(B17647, ""fr"", ""en"")"),"Super Perfect even inside mobile phone pocket, the color of light brown almost cannel cannon! My father loved it!")</f>
        <v>Super Perfect even inside mobile phone pocket, the color of light brown almost cannel cannon! My father loved it!</v>
      </c>
    </row>
    <row r="17648">
      <c r="A17648" s="1">
        <v>5.0</v>
      </c>
      <c r="B17648" s="1" t="s">
        <v>17351</v>
      </c>
      <c r="C17648" t="str">
        <f>IFERROR(__xludf.DUMMYFUNCTION("GOOGLETRANSLATE(B17648, ""fr"", ""en"")"),"Go super great product very beautiful and socks are fine also very good product")</f>
        <v>Go super great product very beautiful and socks are fine also very good product</v>
      </c>
    </row>
    <row r="17649">
      <c r="A17649" s="1">
        <v>5.0</v>
      </c>
      <c r="B17649" s="1" t="s">
        <v>17352</v>
      </c>
      <c r="C17649" t="str">
        <f>IFERROR(__xludf.DUMMYFUNCTION("GOOGLETRANSLATE(B17649, ""fr"", ""en"")"),"Softness and varied features My daughter asked a wake for a while. She has trouble falling asleep at night, with sleep modes (adjustable from 30 to 60 minutes), it subsided. The alarm function is very simple to use, several possible time programs. Melodie"&amp;"s (several choices also) are mild and pleasant. She goes to bed and wakes up gently from the acquisition of this great article. Rise of the light goes out after a while and comes back at the touch touch. No more sleepless nights !!")</f>
        <v>Softness and varied features My daughter asked a wake for a while. She has trouble falling asleep at night, with sleep modes (adjustable from 30 to 60 minutes), it subsided. The alarm function is very simple to use, several possible time programs. Melodies (several choices also) are mild and pleasant. She goes to bed and wakes up gently from the acquisition of this great article. Rise of the light goes out after a while and comes back at the touch touch. No more sleepless nights !!</v>
      </c>
    </row>
    <row r="17650">
      <c r="A17650" s="1">
        <v>5.0</v>
      </c>
      <c r="B17650" s="1" t="s">
        <v>17353</v>
      </c>
      <c r="C17650" t="str">
        <f>IFERROR(__xludf.DUMMYFUNCTION("GOOGLETRANSLATE(B17650, ""fr"", ""en"")"),"great article of very good quality, size is perfect, and received very quickly, nothing to say. especially since I already had a pair of similar shoes. so I know the product")</f>
        <v>great article of very good quality, size is perfect, and received very quickly, nothing to say. especially since I already had a pair of similar shoes. so I know the product</v>
      </c>
    </row>
    <row r="17651">
      <c r="A17651" s="1">
        <v>5.0</v>
      </c>
      <c r="B17651" s="1" t="s">
        <v>17354</v>
      </c>
      <c r="C17651" t="str">
        <f>IFERROR(__xludf.DUMMYFUNCTION("GOOGLETRANSLATE(B17651, ""fr"", ""en"")"),"Super nice Adidog")</f>
        <v>Super nice Adidog</v>
      </c>
    </row>
    <row r="17652">
      <c r="A17652" s="1">
        <v>5.0</v>
      </c>
      <c r="B17652" s="1" t="s">
        <v>17355</v>
      </c>
      <c r="C17652" t="str">
        <f>IFERROR(__xludf.DUMMYFUNCTION("GOOGLETRANSLATE(B17652, ""fr"", ""en"")"),"perfect my baby loves their pacifier. before I took the baby comfort with speed 1 2 3 but I tried following a gift that we have succeeded and I can change it more.")</f>
        <v>perfect my baby loves their pacifier. before I took the baby comfort with speed 1 2 3 but I tried following a gift that we have succeeded and I can change it more.</v>
      </c>
    </row>
    <row r="17653">
      <c r="A17653" s="1">
        <v>5.0</v>
      </c>
      <c r="B17653" s="1" t="s">
        <v>17356</v>
      </c>
      <c r="C17653" t="str">
        <f>IFERROR(__xludf.DUMMYFUNCTION("GOOGLETRANSLATE(B17653, ""fr"", ""en"")"),"👍🏻 👍🏻")</f>
        <v>👍🏻 👍🏻</v>
      </c>
    </row>
    <row r="17654">
      <c r="A17654" s="1">
        <v>5.0</v>
      </c>
      <c r="B17654" s="1" t="s">
        <v>17357</v>
      </c>
      <c r="C17654" t="str">
        <f>IFERROR(__xludf.DUMMYFUNCTION("GOOGLETRANSLATE(B17654, ""fr"", ""en"")"),"extremely resistant trash bags. The ideal size for my trash compactor Joseph Joseph Titan. The bags when loaded, and well compacted, are heavier than for normal trash. The drawstrings are very resistant")</f>
        <v>extremely resistant trash bags. The ideal size for my trash compactor Joseph Joseph Titan. The bags when loaded, and well compacted, are heavier than for normal trash. The drawstrings are very resistant</v>
      </c>
    </row>
    <row r="17655">
      <c r="A17655" s="1">
        <v>5.0</v>
      </c>
      <c r="B17655" s="1" t="s">
        <v>17358</v>
      </c>
      <c r="C17655" t="str">
        <f>IFERROR(__xludf.DUMMYFUNCTION("GOOGLETRANSLATE(B17655, ""fr"", ""en"")"),"Perfect Very nice watch")</f>
        <v>Perfect Very nice watch</v>
      </c>
    </row>
    <row r="17656">
      <c r="A17656" s="1">
        <v>5.0</v>
      </c>
      <c r="B17656" s="1" t="s">
        <v>17359</v>
      </c>
      <c r="C17656" t="str">
        <f>IFERROR(__xludf.DUMMYFUNCTION("GOOGLETRANSLATE(B17656, ""fr"", ""en"")"),"legere satisfied lighter than my old stainless steel")</f>
        <v>legere satisfied lighter than my old stainless steel</v>
      </c>
    </row>
    <row r="17657">
      <c r="A17657" s="1">
        <v>5.0</v>
      </c>
      <c r="B17657" s="1" t="s">
        <v>17360</v>
      </c>
      <c r="C17657" t="str">
        <f>IFERROR(__xludf.DUMMYFUNCTION("GOOGLETRANSLATE(B17657, ""fr"", ""en"")"),"Impeccabe For the price do not hesitate to quality then the little harbor ... And for now allows for vl'impasse the ugly sweater Christmas")</f>
        <v>Impeccabe For the price do not hesitate to quality then the little harbor ... And for now allows for vl'impasse the ugly sweater Christmas</v>
      </c>
    </row>
    <row r="17658">
      <c r="A17658" s="1">
        <v>5.0</v>
      </c>
      <c r="B17658" s="1" t="s">
        <v>17361</v>
      </c>
      <c r="C17658" t="str">
        <f>IFERROR(__xludf.DUMMYFUNCTION("GOOGLETRANSLATE(B17658, ""fr"", ""en"")"),"SUPER MY LITTLE GIRL LOVES SO SAMI READING IS EASY")</f>
        <v>SUPER MY LITTLE GIRL LOVES SO SAMI READING IS EASY</v>
      </c>
    </row>
    <row r="17659">
      <c r="A17659" s="1">
        <v>2.0</v>
      </c>
      <c r="B17659" s="1" t="s">
        <v>17362</v>
      </c>
      <c r="C17659" t="str">
        <f>IFERROR(__xludf.DUMMYFUNCTION("GOOGLETRANSLATE(B17659, ""fr"", ""en"")"),"Good product, but too slow I bought this to replace a previous, this is a good quality product but the heating time is too long, do not count to have a hot meal in less than twenty minutes . A book for those who have time before the baby is hungry.")</f>
        <v>Good product, but too slow I bought this to replace a previous, this is a good quality product but the heating time is too long, do not count to have a hot meal in less than twenty minutes . A book for those who have time before the baby is hungry.</v>
      </c>
    </row>
    <row r="17660">
      <c r="A17660" s="1">
        <v>1.0</v>
      </c>
      <c r="B17660" s="1" t="s">
        <v>17363</v>
      </c>
      <c r="C17660" t="str">
        <f>IFERROR(__xludf.DUMMYFUNCTION("GOOGLETRANSLATE(B17660, ""fr"", ""en"")"),"Disappointing Fragile +++ I buy for a micro helmet, but the product is too small.")</f>
        <v>Disappointing Fragile +++ I buy for a micro helmet, but the product is too small.</v>
      </c>
    </row>
    <row r="17661">
      <c r="A17661" s="1">
        <v>3.0</v>
      </c>
      <c r="B17661" s="1" t="s">
        <v>17364</v>
      </c>
      <c r="C17661" t="str">
        <f>IFERROR(__xludf.DUMMYFUNCTION("GOOGLETRANSLATE(B17661, ""fr"", ""en"")"),"Good sound quality, convincing noise reduction without bluffing, no tips XL Having to leave my Xperia Z3 tablet for Samsung screen 4/3, I lose the native noise reduction to some Sony products, with their owners rather headphones convincing. So try this pa"&amp;"ir of headphones Taotronics pretty well noted by The Digital ""despite its price floor. But as usual with ITE, no bits provided not for me, should be the size XL. I collect rare that XL hang with me, oh miracle, they adapt (the tips are oval on this model"&amp;"). it is not yet perfect, I do not find myself completely isolated from the outside but it helps to have an overview of the her .... and it's pretty good! the controls are well located for me, at the intersection of wires going to the ears, not to be conf"&amp;"used with other models from where orders are close to an ear good answer commands Android, volume + and - buttons.. with play / pause in the middle on the reduction of the sound, it is compelling without being impressive, slightly worse than the Sony Xper"&amp;"ia system but the result is still interesting on some frequencies. I expect to travel by plane to say more, it seems okay now. We should not expect miracles, just a decrease continuous noises to make them a little more bearable, provided you listen to mus"&amp;"ic simultaneously. Last, when active noise reduction on the little box close to the jack, the sound increases ... Regularly flash sale, these headphones do the job for an unbeatable price. To see in the time for the quality and independence of the noise r"&amp;"eduction. Lack of XL ferrules prevents me from fully enjoy the quality of these headphones damage.")</f>
        <v>Good sound quality, convincing noise reduction without bluffing, no tips XL Having to leave my Xperia Z3 tablet for Samsung screen 4/3, I lose the native noise reduction to some Sony products, with their owners rather headphones convincing. So try this pair of headphones Taotronics pretty well noted by The Digital "despite its price floor. But as usual with ITE, no bits provided not for me, should be the size XL. I collect rare that XL hang with me, oh miracle, they adapt (the tips are oval on this model). it is not yet perfect, I do not find myself completely isolated from the outside but it helps to have an overview of the her .... and it's pretty good! the controls are well located for me, at the intersection of wires going to the ears, not to be confused with other models from where orders are close to an ear good answer commands Android, volume + and - buttons.. with play / pause in the middle on the reduction of the sound, it is compelling without being impressive, slightly worse than the Sony Xperia system but the result is still interesting on some frequencies. I expect to travel by plane to say more, it seems okay now. We should not expect miracles, just a decrease continuous noises to make them a little more bearable, provided you listen to music simultaneously. Last, when active noise reduction on the little box close to the jack, the sound increases ... Regularly flash sale, these headphones do the job for an unbeatable price. To see in the time for the quality and independence of the noise reduction. Lack of XL ferrules prevents me from fully enjoy the quality of these headphones damage.</v>
      </c>
    </row>
    <row r="17662">
      <c r="A17662" s="1">
        <v>3.0</v>
      </c>
      <c r="B17662" s="1" t="s">
        <v>17365</v>
      </c>
      <c r="C17662" t="str">
        <f>IFERROR(__xludf.DUMMYFUNCTION("GOOGLETRANSLATE(B17662, ""fr"", ""en"")"),"Value average price Not bad overall. Positives: - no excessive price - fast delivery, Negatives: - Bryante - If you load more than 5 leaves, we feel that the machine has a hard and can even stop after 5 minutes of use . In this case you have to wait 30 mi"&amp;"nutes for it to cool which is very annoying. - the cuts are straight and not cross what is not terrible.")</f>
        <v>Value average price Not bad overall. Positives: - no excessive price - fast delivery, Negatives: - Bryante - If you load more than 5 leaves, we feel that the machine has a hard and can even stop after 5 minutes of use . In this case you have to wait 30 minutes for it to cool which is very annoying. - the cuts are straight and not cross what is not terrible.</v>
      </c>
    </row>
    <row r="17663">
      <c r="A17663" s="1">
        <v>4.0</v>
      </c>
      <c r="B17663" s="1" t="s">
        <v>17366</v>
      </c>
      <c r="C17663" t="str">
        <f>IFERROR(__xludf.DUMMYFUNCTION("GOOGLETRANSLATE(B17663, ""fr"", ""en"")"),"pleasant to wear a support bra cut a little big but I find it very comfortable and especially good support for chest a little strong. I do not use it for sports!")</f>
        <v>pleasant to wear a support bra cut a little big but I find it very comfortable and especially good support for chest a little strong. I do not use it for sports!</v>
      </c>
    </row>
    <row r="17664">
      <c r="A17664" s="1">
        <v>4.0</v>
      </c>
      <c r="B17664" s="1" t="s">
        <v>17367</v>
      </c>
      <c r="C17664" t="str">
        <f>IFERROR(__xludf.DUMMYFUNCTION("GOOGLETRANSLATE(B17664, ""fr"", ""en"")"),"Meets Practice but a bottle (mam so after several elements) already takes almost all the space")</f>
        <v>Meets Practice but a bottle (mam so after several elements) already takes almost all the space</v>
      </c>
    </row>
    <row r="17665">
      <c r="A17665" s="1">
        <v>4.0</v>
      </c>
      <c r="B17665" s="1" t="s">
        <v>17368</v>
      </c>
      <c r="C17665" t="str">
        <f>IFERROR(__xludf.DUMMYFUNCTION("GOOGLETRANSLATE(B17665, ""fr"", ""en"")"),"I bought her this article to be able to connect to my tablet for listening on my movies when I'm plane and thus do not disturb people by its exterior.")</f>
        <v>I bought her this article to be able to connect to my tablet for listening on my movies when I'm plane and thus do not disturb people by its exterior.</v>
      </c>
    </row>
    <row r="17666">
      <c r="A17666" s="1">
        <v>4.0</v>
      </c>
      <c r="B17666" s="1" t="s">
        <v>17369</v>
      </c>
      <c r="C17666" t="str">
        <f>IFERROR(__xludf.DUMMYFUNCTION("GOOGLETRANSLATE(B17666, ""fr"", ""en"")"),"Beautiful but too big I ordered this bracelet for a gift and when I received it I found it very beautiful. It was in a small pouch with wire inside and there was a bag with a small cloth. Apart from that I found the bracelet a little big, it is the only n"&amp;"egative I found. Lapis lazuli is very pretty")</f>
        <v>Beautiful but too big I ordered this bracelet for a gift and when I received it I found it very beautiful. It was in a small pouch with wire inside and there was a bag with a small cloth. Apart from that I found the bracelet a little big, it is the only negative I found. Lapis lazuli is very pretty</v>
      </c>
    </row>
    <row r="17667">
      <c r="A17667" s="1">
        <v>4.0</v>
      </c>
      <c r="B17667" s="1" t="s">
        <v>17370</v>
      </c>
      <c r="C17667" t="str">
        <f>IFERROR(__xludf.DUMMYFUNCTION("GOOGLETRANSLATE(B17667, ""fr"", ""en"")"),"Lightweight and comfortable Super minimalist shoes have unbeatable price for the quality, attention to take at least one size smaller because very large size and material relaxes in the use")</f>
        <v>Lightweight and comfortable Super minimalist shoes have unbeatable price for the quality, attention to take at least one size smaller because very large size and material relaxes in the use</v>
      </c>
    </row>
    <row r="17668">
      <c r="A17668" s="1">
        <v>5.0</v>
      </c>
      <c r="B17668" s="1" t="s">
        <v>17371</v>
      </c>
      <c r="C17668" t="str">
        <f>IFERROR(__xludf.DUMMYFUNCTION("GOOGLETRANSLATE(B17668, ""fr"", ""en"")"),"Bra Fitness For sport, good hold practice opening, development of forms")</f>
        <v>Bra Fitness For sport, good hold practice opening, development of forms</v>
      </c>
    </row>
    <row r="17669">
      <c r="A17669" s="1">
        <v>5.0</v>
      </c>
      <c r="B17669" s="1" t="s">
        <v>17372</v>
      </c>
      <c r="C17669" t="str">
        <f>IFERROR(__xludf.DUMMYFUNCTION("GOOGLETRANSLATE(B17669, ""fr"", ""en"")"),"Small Press, This small press paper to make buchettes, and really in line with, and its description .It is simple and easy to use for a small fee .Very satisfied")</f>
        <v>Small Press, This small press paper to make buchettes, and really in line with, and its description .It is simple and easy to use for a small fee .Very satisfied</v>
      </c>
    </row>
    <row r="17670">
      <c r="A17670" s="1">
        <v>5.0</v>
      </c>
      <c r="B17670" s="1" t="s">
        <v>17373</v>
      </c>
      <c r="C17670" t="str">
        <f>IFERROR(__xludf.DUMMYFUNCTION("GOOGLETRANSLATE(B17670, ""fr"", ""en"")"),"Very happy I listened to all feedback is I did well my darling makes 44.1 / 2 so I was commanded to Christmas of 43.1 / 2 size fits him really well. The quality of this shoe is there, I recommend")</f>
        <v>Very happy I listened to all feedback is I did well my darling makes 44.1 / 2 so I was commanded to Christmas of 43.1 / 2 size fits him really well. The quality of this shoe is there, I recommend</v>
      </c>
    </row>
    <row r="17671">
      <c r="A17671" s="1">
        <v>5.0</v>
      </c>
      <c r="B17671" s="1" t="s">
        <v>17374</v>
      </c>
      <c r="C17671" t="str">
        <f>IFERROR(__xludf.DUMMYFUNCTION("GOOGLETRANSLATE(B17671, ""fr"", ""en"")"),"good comfortable very comfortable outfit Perfect")</f>
        <v>good comfortable very comfortable outfit Perfect</v>
      </c>
    </row>
    <row r="17672">
      <c r="A17672" s="1">
        <v>5.0</v>
      </c>
      <c r="B17672" s="1" t="s">
        <v>17375</v>
      </c>
      <c r="C17672" t="str">
        <f>IFERROR(__xludf.DUMMYFUNCTION("GOOGLETRANSLATE(B17672, ""fr"", ""en"")"),"Beautiful lamp Okay")</f>
        <v>Beautiful lamp Okay</v>
      </c>
    </row>
    <row r="17673">
      <c r="A17673" s="1">
        <v>5.0</v>
      </c>
      <c r="B17673" s="1" t="s">
        <v>17376</v>
      </c>
      <c r="C17673" t="str">
        <f>IFERROR(__xludf.DUMMYFUNCTION("GOOGLETRANSLATE(B17673, ""fr"", ""en"")"),"Excellent purchase Discretion is top of its format. The sound incredibly crisp and clear. Barely received and tested, I think he will accompany me effectively. Very nice design.")</f>
        <v>Excellent purchase Discretion is top of its format. The sound incredibly crisp and clear. Barely received and tested, I think he will accompany me effectively. Very nice design.</v>
      </c>
    </row>
    <row r="17674">
      <c r="A17674" s="1">
        <v>5.0</v>
      </c>
      <c r="B17674" s="1" t="s">
        <v>17377</v>
      </c>
      <c r="C17674" t="str">
        <f>IFERROR(__xludf.DUMMYFUNCTION("GOOGLETRANSLATE(B17674, ""fr"", ""en"")"),"Always the top bensimonn J has long enjoyed the comfortable tennis j adooooorrreee Less expensive at Amazon store that I have recommended a pair today!")</f>
        <v>Always the top bensimonn J has long enjoyed the comfortable tennis j adooooorrreee Less expensive at Amazon store that I have recommended a pair today!</v>
      </c>
    </row>
    <row r="17675">
      <c r="A17675" s="1">
        <v>5.0</v>
      </c>
      <c r="B17675" s="1" t="s">
        <v>17378</v>
      </c>
      <c r="C17675" t="str">
        <f>IFERROR(__xludf.DUMMYFUNCTION("GOOGLETRANSLATE(B17675, ""fr"", ""en"")"),"Bottles Very good product")</f>
        <v>Bottles Very good product</v>
      </c>
    </row>
    <row r="17676">
      <c r="A17676" s="1">
        <v>5.0</v>
      </c>
      <c r="B17676" s="1" t="s">
        <v>17379</v>
      </c>
      <c r="C17676" t="str">
        <f>IFERROR(__xludf.DUMMYFUNCTION("GOOGLETRANSLATE(B17676, ""fr"", ""en"")"),"Very good product The product meets my expectation comfort exceeds my expectation")</f>
        <v>Very good product The product meets my expectation comfort exceeds my expectation</v>
      </c>
    </row>
    <row r="17677">
      <c r="A17677" s="1">
        <v>5.0</v>
      </c>
      <c r="B17677" s="1" t="s">
        <v>17380</v>
      </c>
      <c r="C17677" t="str">
        <f>IFERROR(__xludf.DUMMYFUNCTION("GOOGLETRANSLATE(B17677, ""fr"", ""en"")"),"Bluetooth Headset Good product conforms to the description I recommend without hesitation product to top")</f>
        <v>Bluetooth Headset Good product conforms to the description I recommend without hesitation product to top</v>
      </c>
    </row>
    <row r="17678">
      <c r="A17678" s="1">
        <v>5.0</v>
      </c>
      <c r="B17678" s="1" t="s">
        <v>17381</v>
      </c>
      <c r="C17678" t="str">
        <f>IFERROR(__xludf.DUMMYFUNCTION("GOOGLETRANSLATE(B17678, ""fr"", ""en"")"),"G shock for big wrists G SHOCK KING is a monster, super stylish and massive wrist.")</f>
        <v>G shock for big wrists G SHOCK KING is a monster, super stylish and massive wrist.</v>
      </c>
    </row>
    <row r="17679">
      <c r="A17679" s="1">
        <v>5.0</v>
      </c>
      <c r="B17679" s="1" t="s">
        <v>17382</v>
      </c>
      <c r="C17679" t="str">
        <f>IFERROR(__xludf.DUMMYFUNCTION("GOOGLETRANSLATE(B17679, ""fr"", ""en"")"),"Great product Bonnette very good, use a microphone, it fits easily and stays in place. More noise entering the microphone (breath, breath ...) I recommend this product and seller, which provides quality musical instrument.")</f>
        <v>Great product Bonnette very good, use a microphone, it fits easily and stays in place. More noise entering the microphone (breath, breath ...) I recommend this product and seller, which provides quality musical instrument.</v>
      </c>
    </row>
    <row r="17680">
      <c r="A17680" s="1">
        <v>5.0</v>
      </c>
      <c r="B17680" s="1" t="s">
        <v>17383</v>
      </c>
      <c r="C17680" t="str">
        <f>IFERROR(__xludf.DUMMYFUNCTION("GOOGLETRANSLATE(B17680, ""fr"", ""en"")"),"Teats good Very good teats soft and flat, ideal for the little baby's mouth. Perfect Flow baby (even with a milk anti-regurgitation is a little thick).")</f>
        <v>Teats good Very good teats soft and flat, ideal for the little baby's mouth. Perfect Flow baby (even with a milk anti-regurgitation is a little thick).</v>
      </c>
    </row>
    <row r="17681">
      <c r="A17681" s="1">
        <v>5.0</v>
      </c>
      <c r="B17681" s="1" t="s">
        <v>17384</v>
      </c>
      <c r="C17681" t="str">
        <f>IFERROR(__xludf.DUMMYFUNCTION("GOOGLETRANSLATE(B17681, ""fr"", ""en"")"),"Beau comment pendulum drop of 10 January 2019: Small drop of 2.5 cm long, 20 g with the chain. Chain 19 cm. Although reagent. Comment on 3 July 2019 this drop pendulum is frankly min favorite, beautiful, well-balanced, well-reactive. He has also an import"&amp;"ant asset: its metal does not tarnish contacting the sulfur and is the only one of all the clocks that I bought!")</f>
        <v>Beau comment pendulum drop of 10 January 2019: Small drop of 2.5 cm long, 20 g with the chain. Chain 19 cm. Although reagent. Comment on 3 July 2019 this drop pendulum is frankly min favorite, beautiful, well-balanced, well-reactive. He has also an important asset: its metal does not tarnish contacting the sulfur and is the only one of all the clocks that I bought!</v>
      </c>
    </row>
    <row r="17682">
      <c r="A17682" s="1">
        <v>5.0</v>
      </c>
      <c r="B17682" s="1" t="s">
        <v>17385</v>
      </c>
      <c r="C17682" t="str">
        <f>IFERROR(__xludf.DUMMYFUNCTION("GOOGLETRANSLATE(B17682, ""fr"", ""en"")"),"Nice Nice swatch watch sports. Very elegant and classy. Simple and beautiful. You no longer have excuses for sports while being beautiful.")</f>
        <v>Nice Nice swatch watch sports. Very elegant and classy. Simple and beautiful. You no longer have excuses for sports while being beautiful.</v>
      </c>
    </row>
    <row r="17683">
      <c r="A17683" s="1">
        <v>2.0</v>
      </c>
      <c r="B17683" s="1" t="s">
        <v>17386</v>
      </c>
      <c r="C17683" t="str">
        <f>IFERROR(__xludf.DUMMYFUNCTION("GOOGLETRANSLATE(B17683, ""fr"", ""en"")"),"Product too small it is clearly not the base price. Already the size is a real problem, yet I took a 47/48 and I put on the 46, is still small !!!! After I have a strap that is probably through forced storage, suddenly it hurts my feet. In short it is not"&amp;" worth more than 10 euro")</f>
        <v>Product too small it is clearly not the base price. Already the size is a real problem, yet I took a 47/48 and I put on the 46, is still small !!!! After I have a strap that is probably through forced storage, suddenly it hurts my feet. In short it is not worth more than 10 euro</v>
      </c>
    </row>
    <row r="17684">
      <c r="A17684" s="1">
        <v>1.0</v>
      </c>
      <c r="B17684" s="1" t="s">
        <v>17387</v>
      </c>
      <c r="C17684" t="str">
        <f>IFERROR(__xludf.DUMMYFUNCTION("GOOGLETRANSLATE(B17684, ""fr"", ""en"")"),"Paper and consumer pilling No Paper bouloche..laisse full service micro pieces around the toilet. SCA customer service or ineficace missing in addition to book a Home more than limit !!!")</f>
        <v>Paper and consumer pilling No Paper bouloche..laisse full service micro pieces around the toilet. SCA customer service or ineficace missing in addition to book a Home more than limit !!!</v>
      </c>
    </row>
    <row r="17685">
      <c r="A17685" s="1">
        <v>1.0</v>
      </c>
      <c r="B17685" s="1" t="s">
        <v>17388</v>
      </c>
      <c r="C17685" t="str">
        <f>IFERROR(__xludf.DUMMYFUNCTION("GOOGLETRANSLATE(B17685, ""fr"", ""en"")"),"A defective worked a few hours before being forced to remove the batteries as a very strong and unpleasant noise continuously and can not turn off without removing the batteries. Second attempt, 5 minutes and games and go again. I absolutely do not recomm"&amp;"end this product.")</f>
        <v>A defective worked a few hours before being forced to remove the batteries as a very strong and unpleasant noise continuously and can not turn off without removing the batteries. Second attempt, 5 minutes and games and go again. I absolutely do not recommend this product.</v>
      </c>
    </row>
    <row r="17686">
      <c r="A17686" s="1">
        <v>3.0</v>
      </c>
      <c r="B17686" s="1" t="s">
        <v>17389</v>
      </c>
      <c r="C17686" t="str">
        <f>IFERROR(__xludf.DUMMYFUNCTION("GOOGLETRANSLATE(B17686, ""fr"", ""en"")"),"Good article but complicated cleaning complicated cleaning its shape.")</f>
        <v>Good article but complicated cleaning complicated cleaning its shape.</v>
      </c>
    </row>
    <row r="17687">
      <c r="A17687" s="1">
        <v>3.0</v>
      </c>
      <c r="B17687" s="1" t="s">
        <v>17390</v>
      </c>
      <c r="C17687" t="str">
        <f>IFERROR(__xludf.DUMMYFUNCTION("GOOGLETRANSLATE(B17687, ""fr"", ""en"")"),"Pretty nice but fragile bracelet and effective, except its fragility, I have already ordered three bracelets at the site, but 2 have already broken (the elastic holds stones is too fragile!).")</f>
        <v>Pretty nice but fragile bracelet and effective, except its fragility, I have already ordered three bracelets at the site, but 2 have already broken (the elastic holds stones is too fragile!).</v>
      </c>
    </row>
    <row r="17688">
      <c r="A17688" s="1">
        <v>4.0</v>
      </c>
      <c r="B17688" s="1" t="s">
        <v>17391</v>
      </c>
      <c r="C17688" t="str">
        <f>IFERROR(__xludf.DUMMYFUNCTION("GOOGLETRANSLATE(B17688, ""fr"", ""en"")"),"Although these boots are consistent with their description, no complaints!")</f>
        <v>Although these boots are consistent with their description, no complaints!</v>
      </c>
    </row>
    <row r="17689">
      <c r="A17689" s="1">
        <v>4.0</v>
      </c>
      <c r="B17689" s="1" t="s">
        <v>17392</v>
      </c>
      <c r="C17689" t="str">
        <f>IFERROR(__xludf.DUMMYFUNCTION("GOOGLETRANSLATE(B17689, ""fr"", ""en"")"),"Good Good purchase")</f>
        <v>Good Good purchase</v>
      </c>
    </row>
    <row r="17690">
      <c r="A17690" s="1">
        <v>4.0</v>
      </c>
      <c r="B17690" s="1" t="s">
        <v>17393</v>
      </c>
      <c r="C17690" t="str">
        <f>IFERROR(__xludf.DUMMYFUNCTION("GOOGLETRANSLATE(B17690, ""fr"", ""en"")"),"very good value for money this lamp is very effective and more aesthetic here is acceptable despite its size! His power is such that it is possible to use it at a safe distance of at least 2 meters")</f>
        <v>very good value for money this lamp is very effective and more aesthetic here is acceptable despite its size! His power is such that it is possible to use it at a safe distance of at least 2 meters</v>
      </c>
    </row>
    <row r="17691">
      <c r="A17691" s="1">
        <v>4.0</v>
      </c>
      <c r="B17691" s="1" t="s">
        <v>17394</v>
      </c>
      <c r="C17691" t="str">
        <f>IFERROR(__xludf.DUMMYFUNCTION("GOOGLETRANSLATE(B17691, ""fr"", ""en"")"),"Package Easy to connect but needs a little tweak the audio settings so that there is a good audio quality suitable to the user. I recommend because for cheap microphone was a foot walking fire god :)")</f>
        <v>Package Easy to connect but needs a little tweak the audio settings so that there is a good audio quality suitable to the user. I recommend because for cheap microphone was a foot walking fire god :)</v>
      </c>
    </row>
    <row r="17692">
      <c r="A17692" s="1">
        <v>5.0</v>
      </c>
      <c r="B17692" s="1" t="s">
        <v>17395</v>
      </c>
      <c r="C17692" t="str">
        <f>IFERROR(__xludf.DUMMYFUNCTION("GOOGLETRANSLATE(B17692, ""fr"", ""en"")"),"Bluetooth headset wireless After m to buy a Bluetooth kit for the car, I treated myself to a bluetooth earphone of wireless kit, this kit is interesting because it is composed of a very tasteful housing in which the headphones we arrange in Next to this i"&amp;"t is also used to recharge these, an LCD display indicates the charge level of the earphone, when the internal battery of the housing is empty it suffices to recharge with a supplied cable. The pairing is simple, possibility to use only one atrium or 2 to"&amp;"gether. The buttons have a tactile button that make it simple functions, such as listening to music holding down the left atrium down the sound, long press the right one the rise, double click left puts the previous music, I click on the right goes to the"&amp;" next .... A triple click right turn on voice control of your phone. Depending call a click to clinch ect .... I do not repasserais to conventional headphones;)")</f>
        <v>Bluetooth headset wireless After m to buy a Bluetooth kit for the car, I treated myself to a bluetooth earphone of wireless kit, this kit is interesting because it is composed of a very tasteful housing in which the headphones we arrange in Next to this it is also used to recharge these, an LCD display indicates the charge level of the earphone, when the internal battery of the housing is empty it suffices to recharge with a supplied cable. The pairing is simple, possibility to use only one atrium or 2 together. The buttons have a tactile button that make it simple functions, such as listening to music holding down the left atrium down the sound, long press the right one the rise, double click left puts the previous music, I click on the right goes to the next .... A triple click right turn on voice control of your phone. Depending call a click to clinch ect .... I do not repasserais to conventional headphones;)</v>
      </c>
    </row>
    <row r="17693">
      <c r="A17693" s="1">
        <v>5.0</v>
      </c>
      <c r="B17693" s="1" t="s">
        <v>17396</v>
      </c>
      <c r="C17693" t="str">
        <f>IFERROR(__xludf.DUMMYFUNCTION("GOOGLETRANSLATE(B17693, ""fr"", ""en"")"),"Bluetooth Headset Bluetooth earphone very good excellent sound Easy to use easy to store in its fast charging box Very good article Excellent")</f>
        <v>Bluetooth Headset Bluetooth earphone very good excellent sound Easy to use easy to store in its fast charging box Very good article Excellent</v>
      </c>
    </row>
    <row r="17694">
      <c r="A17694" s="1">
        <v>5.0</v>
      </c>
      <c r="B17694" s="1" t="s">
        <v>17397</v>
      </c>
      <c r="C17694" t="str">
        <f>IFERROR(__xludf.DUMMYFUNCTION("GOOGLETRANSLATE(B17694, ""fr"", ""en"")"),"Nickel. Nothing to say, everything is perfect.")</f>
        <v>Nickel. Nothing to say, everything is perfect.</v>
      </c>
    </row>
    <row r="17695">
      <c r="A17695" s="1">
        <v>5.0</v>
      </c>
      <c r="B17695" s="1" t="s">
        <v>17398</v>
      </c>
      <c r="C17695" t="str">
        <f>IFERROR(__xludf.DUMMYFUNCTION("GOOGLETRANSLATE(B17695, ""fr"", ""en"")"),"4 months with the microphone This 4mois fact that I have the microphone nothing wrong microphone works great 4mois still no problem with you little make quality videos to music or something else the only fault I give little is that there defects 100% sati"&amp;"sfied I recommend the product!")</f>
        <v>4 months with the microphone This 4mois fact that I have the microphone nothing wrong microphone works great 4mois still no problem with you little make quality videos to music or something else the only fault I give little is that there defects 100% satisfied I recommend the product!</v>
      </c>
    </row>
    <row r="17696">
      <c r="A17696" s="1">
        <v>5.0</v>
      </c>
      <c r="B17696" s="1" t="s">
        <v>17399</v>
      </c>
      <c r="C17696" t="str">
        <f>IFERROR(__xludf.DUMMYFUNCTION("GOOGLETRANSLATE(B17696, ""fr"", ""en"")"),"Good quality product Jogging pants pleasant to wear and good quality.")</f>
        <v>Good quality product Jogging pants pleasant to wear and good quality.</v>
      </c>
    </row>
    <row r="17697">
      <c r="A17697" s="1">
        <v>5.0</v>
      </c>
      <c r="B17697" s="1" t="s">
        <v>17400</v>
      </c>
      <c r="C17697" t="str">
        <f>IFERROR(__xludf.DUMMYFUNCTION("GOOGLETRANSLATE(B17697, ""fr"", ""en"")"),"PERFECT! It is used directly after his arrival, he is very well glued, not bad.")</f>
        <v>PERFECT! It is used directly after his arrival, he is very well glued, not bad.</v>
      </c>
    </row>
    <row r="17698">
      <c r="A17698" s="1">
        <v>5.0</v>
      </c>
      <c r="B17698" s="1" t="s">
        <v>17401</v>
      </c>
      <c r="C17698" t="str">
        <f>IFERROR(__xludf.DUMMYFUNCTION("GOOGLETRANSLATE(B17698, ""fr"", ""en"")"),"Always very happy delighted with these books (why, how ...). My kids love their I read.")</f>
        <v>Always very happy delighted with these books (why, how ...). My kids love their I read.</v>
      </c>
    </row>
    <row r="17699">
      <c r="A17699" s="1">
        <v>5.0</v>
      </c>
      <c r="B17699" s="1" t="s">
        <v>17402</v>
      </c>
      <c r="C17699" t="str">
        <f>IFERROR(__xludf.DUMMYFUNCTION("GOOGLETRANSLATE(B17699, ""fr"", ""en"")"),"Puma burgundy perfect Beautiful cougar. The color is identical to the photo. A little wide in 37 but I think that 36 would have been too small. I play 36 1/2 with a broad foot. We just think well waterproofed before using to keep the pretty burgundy color"&amp;".")</f>
        <v>Puma burgundy perfect Beautiful cougar. The color is identical to the photo. A little wide in 37 but I think that 36 would have been too small. I play 36 1/2 with a broad foot. We just think well waterproofed before using to keep the pretty burgundy color.</v>
      </c>
    </row>
    <row r="17700">
      <c r="A17700" s="1">
        <v>5.0</v>
      </c>
      <c r="B17700" s="1" t="s">
        <v>17403</v>
      </c>
      <c r="C17700" t="str">
        <f>IFERROR(__xludf.DUMMYFUNCTION("GOOGLETRANSLATE(B17700, ""fr"", ""en"")"),"The quality I am very satisfied with my product")</f>
        <v>The quality I am very satisfied with my product</v>
      </c>
    </row>
    <row r="17701">
      <c r="A17701" s="1">
        <v>5.0</v>
      </c>
      <c r="B17701" s="1" t="s">
        <v>17404</v>
      </c>
      <c r="C17701" t="str">
        <f>IFERROR(__xludf.DUMMYFUNCTION("GOOGLETRANSLATE(B17701, ""fr"", ""en"")"),"BOTH AND CHEAPER After an upscale HS, we tried this similar product for less 4X and we are not disappointed.")</f>
        <v>BOTH AND CHEAPER After an upscale HS, we tried this similar product for less 4X and we are not disappointed.</v>
      </c>
    </row>
    <row r="17702">
      <c r="A17702" s="1">
        <v>5.0</v>
      </c>
      <c r="B17702" s="1" t="s">
        <v>17405</v>
      </c>
      <c r="C17702" t="str">
        <f>IFERROR(__xludf.DUMMYFUNCTION("GOOGLETRANSLATE(B17702, ""fr"", ""en"")"),"craft product very playful product my little son is delighted The microphone works very well.")</f>
        <v>craft product very playful product my little son is delighted The microphone works very well.</v>
      </c>
    </row>
    <row r="17703">
      <c r="A17703" s="1">
        <v>5.0</v>
      </c>
      <c r="B17703" s="1" t="s">
        <v>17406</v>
      </c>
      <c r="C17703" t="str">
        <f>IFERROR(__xludf.DUMMYFUNCTION("GOOGLETRANSLATE(B17703, ""fr"", ""en"")"),"A micro madness For a great gift !!! And spend your evenings with friends. Very nice color, good sound, we begin soon for a DJ. I recommend this product")</f>
        <v>A micro madness For a great gift !!! And spend your evenings with friends. Very nice color, good sound, we begin soon for a DJ. I recommend this product</v>
      </c>
    </row>
    <row r="17704">
      <c r="A17704" s="1">
        <v>5.0</v>
      </c>
      <c r="B17704" s="1" t="s">
        <v>17407</v>
      </c>
      <c r="C17704" t="str">
        <f>IFERROR(__xludf.DUMMYFUNCTION("GOOGLETRANSLATE(B17704, ""fr"", ""en"")"),"sneakers I bought these shoes for walking and for the life of every day, because I'm much standing. They are very comfortable and do not sweat a lot in it. They have a nice bright color and are discreet at once, and do not give the impression of having a "&amp;"large foot.")</f>
        <v>sneakers I bought these shoes for walking and for the life of every day, because I'm much standing. They are very comfortable and do not sweat a lot in it. They have a nice bright color and are discreet at once, and do not give the impression of having a large foot.</v>
      </c>
    </row>
    <row r="17705">
      <c r="A17705" s="1">
        <v>5.0</v>
      </c>
      <c r="B17705" s="1" t="s">
        <v>17408</v>
      </c>
      <c r="C17705" t="str">
        <f>IFERROR(__xludf.DUMMYFUNCTION("GOOGLETRANSLATE(B17705, ""fr"", ""en"")"),"Price / quality size shoes as prévut good quality and very good price")</f>
        <v>Price / quality size shoes as prévut good quality and very good price</v>
      </c>
    </row>
    <row r="17706">
      <c r="A17706" s="1">
        <v>5.0</v>
      </c>
      <c r="B17706" s="1" t="s">
        <v>17409</v>
      </c>
      <c r="C17706" t="str">
        <f>IFERROR(__xludf.DUMMYFUNCTION("GOOGLETRANSLATE(B17706, ""fr"", ""en"")"),"Very good earphone What to say? Suitable for sports: yes Sound Quality: good Noise Reduction: not Android Accounting: yes Quality good sound")</f>
        <v>Very good earphone What to say? Suitable for sports: yes Sound Quality: good Noise Reduction: not Android Accounting: yes Quality good sound</v>
      </c>
    </row>
    <row r="17707">
      <c r="A17707" s="1">
        <v>2.0</v>
      </c>
      <c r="B17707" s="1" t="s">
        <v>17410</v>
      </c>
      <c r="C17707" t="str">
        <f>IFERROR(__xludf.DUMMYFUNCTION("GOOGLETRANSLATE(B17707, ""fr"", ""en"")"),"Sympa this necklace but ... After 10 min while tangling !!! Pity")</f>
        <v>Sympa this necklace but ... After 10 min while tangling !!! Pity</v>
      </c>
    </row>
    <row r="17708">
      <c r="A17708" s="1">
        <v>1.0</v>
      </c>
      <c r="B17708" s="1" t="s">
        <v>17411</v>
      </c>
      <c r="C17708" t="str">
        <f>IFERROR(__xludf.DUMMYFUNCTION("GOOGLETRANSLATE(B17708, ""fr"", ""en"")"),"2 left feet foot super G received 2 left 😡😡")</f>
        <v>2 left feet foot super G received 2 left 😡😡</v>
      </c>
    </row>
    <row r="17709">
      <c r="A17709" s="1">
        <v>1.0</v>
      </c>
      <c r="B17709" s="1" t="s">
        <v>17412</v>
      </c>
      <c r="C17709" t="str">
        <f>IFERROR(__xludf.DUMMYFUNCTION("GOOGLETRANSLATE(B17709, ""fr"", ""en"")"),"HP cartridge supplier sufficient in their words and in bad faith j ais used cartridges, ink on an HP Photosmart C4680 after a dozen pictures black and white copy and no color more, ink in the j cartridges ais buy cartridges from a local dealer and contrar"&amp;"y to what my show at HP IMPRIMANTEFONCTIONNE mY vERY wELL so the problem comes right from the very poor quality cartridges Please arrange with your supplier to replace the faulty cartridges")</f>
        <v>HP cartridge supplier sufficient in their words and in bad faith j ais used cartridges, ink on an HP Photosmart C4680 after a dozen pictures black and white copy and no color more, ink in the j cartridges ais buy cartridges from a local dealer and contrary to what my show at HP IMPRIMANTEFONCTIONNE mY vERY wELL so the problem comes right from the very poor quality cartridges Please arrange with your supplier to replace the faulty cartridges</v>
      </c>
    </row>
    <row r="17710">
      <c r="A17710" s="1">
        <v>3.0</v>
      </c>
      <c r="B17710" s="1" t="s">
        <v>17413</v>
      </c>
      <c r="C17710" t="str">
        <f>IFERROR(__xludf.DUMMYFUNCTION("GOOGLETRANSLATE(B17710, ""fr"", ""en"")"),"compliant screws are relatively fragile.")</f>
        <v>compliant screws are relatively fragile.</v>
      </c>
    </row>
    <row r="17711">
      <c r="A17711" s="1">
        <v>3.0</v>
      </c>
      <c r="B17711" s="1" t="s">
        <v>17414</v>
      </c>
      <c r="C17711" t="str">
        <f>IFERROR(__xludf.DUMMYFUNCTION("GOOGLETRANSLATE(B17711, ""fr"", ""en"")"),"Gift appreciated very pretty and elegant but a bit too fragile at the nail ear and too hard stroller")</f>
        <v>Gift appreciated very pretty and elegant but a bit too fragile at the nail ear and too hard stroller</v>
      </c>
    </row>
    <row r="17712">
      <c r="A17712" s="1">
        <v>4.0</v>
      </c>
      <c r="B17712" s="1" t="s">
        <v>17415</v>
      </c>
      <c r="C17712" t="str">
        <f>IFERROR(__xludf.DUMMYFUNCTION("GOOGLETRANSLATE(B17712, ""fr"", ""en"")"),"Good product multipoches Meets description. Canvas that seems solid. Black color (rather dark gray) a little dull but all going well. Many storage options for a fairly small satchel. Strength to see over time ....")</f>
        <v>Good product multipoches Meets description. Canvas that seems solid. Black color (rather dark gray) a little dull but all going well. Many storage options for a fairly small satchel. Strength to see over time ....</v>
      </c>
    </row>
    <row r="17713">
      <c r="A17713" s="1">
        <v>4.0</v>
      </c>
      <c r="B17713" s="1" t="s">
        <v>17416</v>
      </c>
      <c r="C17713" t="str">
        <f>IFERROR(__xludf.DUMMYFUNCTION("GOOGLETRANSLATE(B17713, ""fr"", ""en"")"),"Very good product Extremely comfortable with very good cushioning. The front of the shoe a little narrower than the nimbus16 gel.")</f>
        <v>Very good product Extremely comfortable with very good cushioning. The front of the shoe a little narrower than the nimbus16 gel.</v>
      </c>
    </row>
    <row r="17714">
      <c r="A17714" s="1">
        <v>4.0</v>
      </c>
      <c r="B17714" s="1" t="s">
        <v>17417</v>
      </c>
      <c r="C17714" t="str">
        <f>IFERROR(__xludf.DUMMYFUNCTION("GOOGLETRANSLATE(B17714, ""fr"", ""en"")"),"Okay arrived quickly! Manufacturing reusable paper and lip balm")</f>
        <v>Okay arrived quickly! Manufacturing reusable paper and lip balm</v>
      </c>
    </row>
    <row r="17715">
      <c r="A17715" s="1">
        <v>4.0</v>
      </c>
      <c r="B17715" s="1" t="s">
        <v>17418</v>
      </c>
      <c r="C17715" t="str">
        <f>IFERROR(__xludf.DUMMYFUNCTION("GOOGLETRANSLATE(B17715, ""fr"", ""en"")"),"good product arm responds quite well to my expectations: it is easy to move and install. My micro blue yeti could get hooked through the mouthpiece and give it's easy to put his microphone where you want once put on the arm. You can spend a small cable in"&amp;" the middle of the same arm if it is not planned and it prevents completely fold the arms (but lightweight). Unfortunately there is a small flaw in this ... Anti pop filter that is placed at the microphone must be set on a specific defect and does not tak"&amp;"e very well. I solved this problem by removing the attachment means and wrapping the cable around holding the arm close to the microphone. It's not especially inconvenient but hey I wish he did not this problem ... I recommend this product because the qua"&amp;"lity / price is good.")</f>
        <v>good product arm responds quite well to my expectations: it is easy to move and install. My micro blue yeti could get hooked through the mouthpiece and give it's easy to put his microphone where you want once put on the arm. You can spend a small cable in the middle of the same arm if it is not planned and it prevents completely fold the arms (but lightweight). Unfortunately there is a small flaw in this ... Anti pop filter that is placed at the microphone must be set on a specific defect and does not take very well. I solved this problem by removing the attachment means and wrapping the cable around holding the arm close to the microphone. It's not especially inconvenient but hey I wish he did not this problem ... I recommend this product because the quality / price is good.</v>
      </c>
    </row>
    <row r="17716">
      <c r="A17716" s="1">
        <v>5.0</v>
      </c>
      <c r="B17716" s="1" t="s">
        <v>17419</v>
      </c>
      <c r="C17716" t="str">
        <f>IFERROR(__xludf.DUMMYFUNCTION("GOOGLETRANSLATE(B17716, ""fr"", ""en"")"),"Great coffee maker")</f>
        <v>Great coffee maker</v>
      </c>
    </row>
    <row r="17717">
      <c r="A17717" s="1">
        <v>5.0</v>
      </c>
      <c r="B17717" s="1" t="s">
        <v>17420</v>
      </c>
      <c r="C17717" t="str">
        <f>IFERROR(__xludf.DUMMYFUNCTION("GOOGLETRANSLATE(B17717, ""fr"", ""en"")"),"Trainers ultra comfortable Product Completely satisfied: the aesthetic side. The indisputable comfort and breathability is also sizeable. With back problems this model is really well suited.")</f>
        <v>Trainers ultra comfortable Product Completely satisfied: the aesthetic side. The indisputable comfort and breathability is also sizeable. With back problems this model is really well suited.</v>
      </c>
    </row>
    <row r="17718">
      <c r="A17718" s="1">
        <v>5.0</v>
      </c>
      <c r="B17718" s="1" t="s">
        <v>17421</v>
      </c>
      <c r="C17718" t="str">
        <f>IFERROR(__xludf.DUMMYFUNCTION("GOOGLETRANSLATE(B17718, ""fr"", ""en"")"),"Pretty Very good and very original !! A good investment for yourself or to offer, with quality and Zippo lifetime guarantee")</f>
        <v>Pretty Very good and very original !! A good investment for yourself or to offer, with quality and Zippo lifetime guarantee</v>
      </c>
    </row>
    <row r="17719">
      <c r="A17719" s="1">
        <v>5.0</v>
      </c>
      <c r="B17719" s="1" t="s">
        <v>17422</v>
      </c>
      <c r="C17719" t="str">
        <f>IFERROR(__xludf.DUMMYFUNCTION("GOOGLETRANSLATE(B17719, ""fr"", ""en"")"),"Great product Parcel well received as the picture. Very comfortable I recommend this product. Thank you")</f>
        <v>Great product Parcel well received as the picture. Very comfortable I recommend this product. Thank you</v>
      </c>
    </row>
    <row r="17720">
      <c r="A17720" s="1">
        <v>5.0</v>
      </c>
      <c r="B17720" s="1" t="s">
        <v>17423</v>
      </c>
      <c r="C17720" t="str">
        <f>IFERROR(__xludf.DUMMYFUNCTION("GOOGLETRANSLATE(B17720, ""fr"", ""en"")"),"Tracksuit top both class and stylish. Very comfortable, wearable.")</f>
        <v>Tracksuit top both class and stylish. Very comfortable, wearable.</v>
      </c>
    </row>
    <row r="17721">
      <c r="A17721" s="1">
        <v>5.0</v>
      </c>
      <c r="B17721" s="1" t="s">
        <v>17424</v>
      </c>
      <c r="C17721" t="str">
        <f>IFERROR(__xludf.DUMMYFUNCTION("GOOGLETRANSLATE(B17721, ""fr"", ""en"")"),"headphone no problem for the time being to do with the very good time to recommend his problem if in the future I would say")</f>
        <v>headphone no problem for the time being to do with the very good time to recommend his problem if in the future I would say</v>
      </c>
    </row>
    <row r="17722">
      <c r="A17722" s="1">
        <v>5.0</v>
      </c>
      <c r="B17722" s="1" t="s">
        <v>17425</v>
      </c>
      <c r="C17722" t="str">
        <f>IFERROR(__xludf.DUMMYFUNCTION("GOOGLETRANSLATE(B17722, ""fr"", ""en"")"),"Reduction My jewelry is being more mobile it is easy to ask this reducer")</f>
        <v>Reduction My jewelry is being more mobile it is easy to ask this reducer</v>
      </c>
    </row>
    <row r="17723">
      <c r="A17723" s="1">
        <v>5.0</v>
      </c>
      <c r="B17723" s="1" t="s">
        <v>17426</v>
      </c>
      <c r="C17723" t="str">
        <f>IFERROR(__xludf.DUMMYFUNCTION("GOOGLETRANSLATE(B17723, ""fr"", ""en"")"),"RAS Great shirt !!!")</f>
        <v>RAS Great shirt !!!</v>
      </c>
    </row>
    <row r="17724">
      <c r="A17724" s="1">
        <v>5.0</v>
      </c>
      <c r="B17724" s="1" t="s">
        <v>17427</v>
      </c>
      <c r="C17724" t="str">
        <f>IFERROR(__xludf.DUMMYFUNCTION("GOOGLETRANSLATE(B17724, ""fr"", ""en"")"),"Super Lovely")</f>
        <v>Super Lovely</v>
      </c>
    </row>
    <row r="17725">
      <c r="A17725" s="1">
        <v>5.0</v>
      </c>
      <c r="B17725" s="1" t="s">
        <v>17428</v>
      </c>
      <c r="C17725" t="str">
        <f>IFERROR(__xludf.DUMMYFUNCTION("GOOGLETRANSLATE(B17725, ""fr"", ""en"")"),"Fast delivery and good product true to the description, lightweight trainer and a good value")</f>
        <v>Fast delivery and good product true to the description, lightweight trainer and a good value</v>
      </c>
    </row>
    <row r="17726">
      <c r="A17726" s="1">
        <v>5.0</v>
      </c>
      <c r="B17726" s="1" t="s">
        <v>17429</v>
      </c>
      <c r="C17726" t="str">
        <f>IFERROR(__xludf.DUMMYFUNCTION("GOOGLETRANSLATE(B17726, ""fr"", ""en"")"),"lightweight and comfortable shoes very light and comfortable shoes, I wear them to go to work. I suffer from pain in the Achilles tendon and with this pair not the same pain in the evening. The cushioned sole well and the materials used enable flawless fi"&amp;"nish. The size is to order your usual size.")</f>
        <v>lightweight and comfortable shoes very light and comfortable shoes, I wear them to go to work. I suffer from pain in the Achilles tendon and with this pair not the same pain in the evening. The cushioned sole well and the materials used enable flawless finish. The size is to order your usual size.</v>
      </c>
    </row>
    <row r="17727">
      <c r="A17727" s="1">
        <v>5.0</v>
      </c>
      <c r="B17727" s="1" t="s">
        <v>17430</v>
      </c>
      <c r="C17727" t="str">
        <f>IFERROR(__xludf.DUMMYFUNCTION("GOOGLETRANSLATE(B17727, ""fr"", ""en"")"),"Beautiful jewelry Sublimissime my daughter is thrilled bad happened casket broke bad he stayed in that when ordering I'll see if it's possible to order another")</f>
        <v>Beautiful jewelry Sublimissime my daughter is thrilled bad happened casket broke bad he stayed in that when ordering I'll see if it's possible to order another</v>
      </c>
    </row>
    <row r="17728">
      <c r="A17728" s="1">
        <v>5.0</v>
      </c>
      <c r="B17728" s="1" t="s">
        <v>1547</v>
      </c>
      <c r="C17728" t="str">
        <f>IFERROR(__xludf.DUMMYFUNCTION("GOOGLETRANSLATE(B17728, ""fr"", ""en"")"),"Ras Ras")</f>
        <v>Ras Ras</v>
      </c>
    </row>
    <row r="17729">
      <c r="A17729" s="1">
        <v>5.0</v>
      </c>
      <c r="B17729" s="1" t="s">
        <v>17431</v>
      </c>
      <c r="C17729" t="str">
        <f>IFERROR(__xludf.DUMMYFUNCTION("GOOGLETRANSLATE(B17729, ""fr"", ""en"")"),"Very simply With the bottle out my son finally accepts bottles after several tries with different brand. French manufacturing very solid and easy to clean it adopted the more beautiful model")</f>
        <v>Very simply With the bottle out my son finally accepts bottles after several tries with different brand. French manufacturing very solid and easy to clean it adopted the more beautiful model</v>
      </c>
    </row>
    <row r="17730">
      <c r="A17730" s="1">
        <v>5.0</v>
      </c>
      <c r="B17730" s="1" t="s">
        <v>17432</v>
      </c>
      <c r="C17730" t="str">
        <f>IFERROR(__xludf.DUMMYFUNCTION("GOOGLETRANSLATE(B17730, ""fr"", ""en"")"),"pretty excellent quality / price")</f>
        <v>pretty excellent quality / price</v>
      </c>
    </row>
    <row r="17731">
      <c r="A17731" s="1">
        <v>2.0</v>
      </c>
      <c r="B17731" s="1" t="s">
        <v>17433</v>
      </c>
      <c r="C17731" t="str">
        <f>IFERROR(__xludf.DUMMYFUNCTION("GOOGLETRANSLATE(B17731, ""fr"", ""en"")"),"Very average Tested with a Blue Yeti. The foot to set on / under the desk is not possible on a desktop (bamboo) with rounded Ikea, I had to place a plaque. For 2 anti-pop filter I am not convinced at all and one to attach to the arms do not like when the "&amp;"articulated arm, it's really not practical, if I had to choose another one I would not hesitate.")</f>
        <v>Very average Tested with a Blue Yeti. The foot to set on / under the desk is not possible on a desktop (bamboo) with rounded Ikea, I had to place a plaque. For 2 anti-pop filter I am not convinced at all and one to attach to the arms do not like when the articulated arm, it's really not practical, if I had to choose another one I would not hesitate.</v>
      </c>
    </row>
    <row r="17732">
      <c r="A17732" s="1">
        <v>1.0</v>
      </c>
      <c r="B17732" s="1" t="s">
        <v>17434</v>
      </c>
      <c r="C17732" t="str">
        <f>IFERROR(__xludf.DUMMYFUNCTION("GOOGLETRANSLATE(B17732, ""fr"", ""en"")"),"Poor !! These pants are too small to levels of the length and the material is poor ... I do not advise")</f>
        <v>Poor !! These pants are too small to levels of the length and the material is poor ... I do not advise</v>
      </c>
    </row>
    <row r="17733">
      <c r="A17733" s="1">
        <v>1.0</v>
      </c>
      <c r="B17733" s="1" t="s">
        <v>17435</v>
      </c>
      <c r="C17733" t="str">
        <f>IFERROR(__xludf.DUMMYFUNCTION("GOOGLETRANSLATE(B17733, ""fr"", ""en"")"),"Poor Do not buy his joking all the time")</f>
        <v>Poor Do not buy his joking all the time</v>
      </c>
    </row>
    <row r="17734">
      <c r="A17734" s="1">
        <v>3.0</v>
      </c>
      <c r="B17734" s="1" t="s">
        <v>17436</v>
      </c>
      <c r="C17734" t="str">
        <f>IFERROR(__xludf.DUMMYFUNCTION("GOOGLETRANSLATE(B17734, ""fr"", ""en"")"),"I expected to see in the siite It will be nice but it's a shame it really does not cushioned the shock is very pity")</f>
        <v>I expected to see in the siite It will be nice but it's a shame it really does not cushioned the shock is very pity</v>
      </c>
    </row>
    <row r="17735">
      <c r="A17735" s="1">
        <v>4.0</v>
      </c>
      <c r="B17735" s="1" t="s">
        <v>17437</v>
      </c>
      <c r="C17735" t="str">
        <f>IFERROR(__xludf.DUMMYFUNCTION("GOOGLETRANSLATE(B17735, ""fr"", ""en"")"),"Size correctly. Attention very end. Tracksuit light to play football. Normal size (size M to 1m74 and 65 kilos. It has no lining should be avoided to keep out the cold.")</f>
        <v>Size correctly. Attention very end. Tracksuit light to play football. Normal size (size M to 1m74 and 65 kilos. It has no lining should be avoided to keep out the cold.</v>
      </c>
    </row>
    <row r="17736">
      <c r="A17736" s="1">
        <v>4.0</v>
      </c>
      <c r="B17736" s="1" t="s">
        <v>17438</v>
      </c>
      <c r="C17736" t="str">
        <f>IFERROR(__xludf.DUMMYFUNCTION("GOOGLETRANSLATE(B17736, ""fr"", ""en"")"),"Pretty shoes for teen Nice shoes and delivery to the top")</f>
        <v>Pretty shoes for teen Nice shoes and delivery to the top</v>
      </c>
    </row>
    <row r="17737">
      <c r="A17737" s="1">
        <v>4.0</v>
      </c>
      <c r="B17737" s="1" t="s">
        <v>17439</v>
      </c>
      <c r="C17737" t="str">
        <f>IFERROR(__xludf.DUMMYFUNCTION("GOOGLETRANSLATE(B17737, ""fr"", ""en"")"),"Okay product conforms to the description and photo. Attaching to the microphone provided, the foot is however a bit light. Good quality / price ratio for casual use")</f>
        <v>Okay product conforms to the description and photo. Attaching to the microphone provided, the foot is however a bit light. Good quality / price ratio for casual use</v>
      </c>
    </row>
    <row r="17738">
      <c r="A17738" s="1">
        <v>4.0</v>
      </c>
      <c r="B17738" s="1" t="s">
        <v>17440</v>
      </c>
      <c r="C17738" t="str">
        <f>IFERROR(__xludf.DUMMYFUNCTION("GOOGLETRANSLATE(B17738, ""fr"", ""en"")"),"Quality bag of very high quality. I regret that there is not a more pocket for eg separate sheet door of my house keys.")</f>
        <v>Quality bag of very high quality. I regret that there is not a more pocket for eg separate sheet door of my house keys.</v>
      </c>
    </row>
    <row r="17739">
      <c r="A17739" s="1">
        <v>5.0</v>
      </c>
      <c r="B17739" s="1" t="s">
        <v>17441</v>
      </c>
      <c r="C17739" t="str">
        <f>IFERROR(__xludf.DUMMYFUNCTION("GOOGLETRANSLATE(B17739, ""fr"", ""en"")"),"My son adores my son loves to sing with the microphone. it looks like a luxury for a child. the sound is great! the price is right.")</f>
        <v>My son adores my son loves to sing with the microphone. it looks like a luxury for a child. the sound is great! the price is right.</v>
      </c>
    </row>
    <row r="17740">
      <c r="A17740" s="1">
        <v>5.0</v>
      </c>
      <c r="B17740" s="1" t="s">
        <v>17442</v>
      </c>
      <c r="C17740" t="str">
        <f>IFERROR(__xludf.DUMMYFUNCTION("GOOGLETRANSLATE(B17740, ""fr"", ""en"")"),"INTEMPORELLLES Color Sangria, new but old school at once! What's more, you either like or not like it, but they remain always in fashion! Just be careful the size, US models are always larger. So take a good size below his. I am a 39 and here I got a 38. "&amp;"They are perfect.")</f>
        <v>INTEMPORELLLES Color Sangria, new but old school at once! What's more, you either like or not like it, but they remain always in fashion! Just be careful the size, US models are always larger. So take a good size below his. I am a 39 and here I got a 38. They are perfect.</v>
      </c>
    </row>
    <row r="17741">
      <c r="A17741" s="1">
        <v>5.0</v>
      </c>
      <c r="B17741" s="1" t="s">
        <v>17443</v>
      </c>
      <c r="C17741" t="str">
        <f>IFERROR(__xludf.DUMMYFUNCTION("GOOGLETRANSLATE(B17741, ""fr"", ""en"")"),"Very nice book The graphics and story are very nice. Very nice quality of the work. A nice book to offer toddlers.")</f>
        <v>Very nice book The graphics and story are very nice. Very nice quality of the work. A nice book to offer toddlers.</v>
      </c>
    </row>
    <row r="17742">
      <c r="A17742" s="1">
        <v>5.0</v>
      </c>
      <c r="B17742" s="1" t="s">
        <v>17444</v>
      </c>
      <c r="C17742" t="str">
        <f>IFERROR(__xludf.DUMMYFUNCTION("GOOGLETRANSLATE(B17742, ""fr"", ""en"")"),"Top safety shoe Very good quality and very comfortable !!! With their flexibility and their tightness. It was a very very item. I recommend it.")</f>
        <v>Top safety shoe Very good quality and very comfortable !!! With their flexibility and their tightness. It was a very very item. I recommend it.</v>
      </c>
    </row>
    <row r="17743">
      <c r="A17743" s="1">
        <v>5.0</v>
      </c>
      <c r="B17743" s="1" t="s">
        <v>17445</v>
      </c>
      <c r="C17743" t="str">
        <f>IFERROR(__xludf.DUMMYFUNCTION("GOOGLETRANSLATE(B17743, ""fr"", ""en"")"),"Great ! Very happy with this helmet! Use of course in a quiet place and with his suit card. I feel rediscover sounds, great music, but also movies / games, in which the spatial is great!")</f>
        <v>Great ! Very happy with this helmet! Use of course in a quiet place and with his suit card. I feel rediscover sounds, great music, but also movies / games, in which the spatial is great!</v>
      </c>
    </row>
    <row r="17744">
      <c r="A17744" s="1">
        <v>5.0</v>
      </c>
      <c r="B17744" s="1" t="s">
        <v>17446</v>
      </c>
      <c r="C17744" t="str">
        <f>IFERROR(__xludf.DUMMYFUNCTION("GOOGLETRANSLATE(B17744, ""fr"", ""en"")"),"Very easy to sewing and DIY")</f>
        <v>Very easy to sewing and DIY</v>
      </c>
    </row>
    <row r="17745">
      <c r="A17745" s="1">
        <v>5.0</v>
      </c>
      <c r="B17745" s="1" t="s">
        <v>17447</v>
      </c>
      <c r="C17745" t="str">
        <f>IFERROR(__xludf.DUMMYFUNCTION("GOOGLETRANSLATE(B17745, ""fr"", ""en"")"),"Ras Regular")</f>
        <v>Ras Regular</v>
      </c>
    </row>
    <row r="17746">
      <c r="A17746" s="1">
        <v>5.0</v>
      </c>
      <c r="B17746" s="1" t="s">
        <v>17448</v>
      </c>
      <c r="C17746" t="str">
        <f>IFERROR(__xludf.DUMMYFUNCTION("GOOGLETRANSLATE(B17746, ""fr"", ""en"")"),"Top comfortable Basketball that size just right, I'm usually of 41 but for Reebok I take the 40.5! otherwise they are exactly as pictured, no complaints, I recommend.")</f>
        <v>Top comfortable Basketball that size just right, I'm usually of 41 but for Reebok I take the 40.5! otherwise they are exactly as pictured, no complaints, I recommend.</v>
      </c>
    </row>
    <row r="17747">
      <c r="A17747" s="1">
        <v>5.0</v>
      </c>
      <c r="B17747" s="1" t="s">
        <v>17449</v>
      </c>
      <c r="C17747" t="str">
        <f>IFERROR(__xludf.DUMMYFUNCTION("GOOGLETRANSLATE(B17747, ""fr"", ""en"")"),"I recommend Bought ago maintant two weeks. For an entry-level Garmin has something for the running enthusiasts with its very complete application. Moreover it is very easy to customize this watch come the taste and color of each")</f>
        <v>I recommend Bought ago maintant two weeks. For an entry-level Garmin has something for the running enthusiasts with its very complete application. Moreover it is very easy to customize this watch come the taste and color of each</v>
      </c>
    </row>
    <row r="17748">
      <c r="A17748" s="1">
        <v>5.0</v>
      </c>
      <c r="B17748" s="1" t="s">
        <v>17450</v>
      </c>
      <c r="C17748" t="str">
        <f>IFERROR(__xludf.DUMMYFUNCTION("GOOGLETRANSLATE(B17748, ""fr"", ""en"")"),"Excellent teats, met no concern Both nipples sensation + are flat, average flow rate (number 2), and mimic some form of the nipple during breastfeeding, to promote acceptance of the bottle in very young child up 6 months. They have ridges that prevent the"&amp;" walls from sticking, even if the baby sucks hard, and a double valve which promotes air circulation, reducing flatulence, regurgitation and risk of colic (make well to tilt the bottle so that the teat is full of milk and limit the absorption of air). We "&amp;"can already put a little milk thickened to age 1, it goes very well. There is a real difference with nipples debit 1. That said, do not try to go too fast, it is important to provide some breaks and baby drink at their own pace, under penalty of having a "&amp;"stomach ache ... And No 'Remember to generate rototo end by adjusting the baby against you, and patting her back gently. They are compatible with bottles Dodie wide neck Sensation + and + Initiation and easy to clean. Yes, why not, it can be a gift idea ."&amp;".. but with Dodie bottles then!")</f>
        <v>Excellent teats, met no concern Both nipples sensation + are flat, average flow rate (number 2), and mimic some form of the nipple during breastfeeding, to promote acceptance of the bottle in very young child up 6 months. They have ridges that prevent the walls from sticking, even if the baby sucks hard, and a double valve which promotes air circulation, reducing flatulence, regurgitation and risk of colic (make well to tilt the bottle so that the teat is full of milk and limit the absorption of air). We can already put a little milk thickened to age 1, it goes very well. There is a real difference with nipples debit 1. That said, do not try to go too fast, it is important to provide some breaks and baby drink at their own pace, under penalty of having a stomach ache ... And No 'Remember to generate rototo end by adjusting the baby against you, and patting her back gently. They are compatible with bottles Dodie wide neck Sensation + and + Initiation and easy to clean. Yes, why not, it can be a gift idea ... but with Dodie bottles then!</v>
      </c>
    </row>
    <row r="17749">
      <c r="A17749" s="1">
        <v>5.0</v>
      </c>
      <c r="B17749" s="1" t="s">
        <v>17451</v>
      </c>
      <c r="C17749" t="str">
        <f>IFERROR(__xludf.DUMMYFUNCTION("GOOGLETRANSLATE(B17749, ""fr"", ""en"")"),"JAdore quality")</f>
        <v>JAdore quality</v>
      </c>
    </row>
    <row r="17750">
      <c r="A17750" s="1">
        <v>5.0</v>
      </c>
      <c r="B17750" s="1" t="s">
        <v>17452</v>
      </c>
      <c r="C17750" t="str">
        <f>IFERROR(__xludf.DUMMYFUNCTION("GOOGLETRANSLATE(B17750, ""fr"", ""en"")"),"Kettle powerful Certainly, the price is a bit high, but this is the kettle of the most powerful 0.8l (2200w) and quick that I found on the market. I have for several years, no worries, it remained nickel.")</f>
        <v>Kettle powerful Certainly, the price is a bit high, but this is the kettle of the most powerful 0.8l (2200w) and quick that I found on the market. I have for several years, no worries, it remained nickel.</v>
      </c>
    </row>
    <row r="17751">
      <c r="A17751" s="1">
        <v>5.0</v>
      </c>
      <c r="B17751" s="1" t="s">
        <v>17453</v>
      </c>
      <c r="C17751" t="str">
        <f>IFERROR(__xludf.DUMMYFUNCTION("GOOGLETRANSLATE(B17751, ""fr"", ""en"")"),"Comfortable Comfortable shoes, solid appearance. It is difficult to say for sure after such a short time, because the shoes (when it is not too concerned about their look), it is judged over time, but until then, it's fine!")</f>
        <v>Comfortable Comfortable shoes, solid appearance. It is difficult to say for sure after such a short time, because the shoes (when it is not too concerned about their look), it is judged over time, but until then, it's fine!</v>
      </c>
    </row>
    <row r="17752">
      <c r="A17752" s="1">
        <v>5.0</v>
      </c>
      <c r="B17752" s="1" t="s">
        <v>17454</v>
      </c>
      <c r="C17752" t="str">
        <f>IFERROR(__xludf.DUMMYFUNCTION("GOOGLETRANSLATE(B17752, ""fr"", ""en"")"),"EASTPAK my pc 17 inch nickel goes it is really well done")</f>
        <v>EASTPAK my pc 17 inch nickel goes it is really well done</v>
      </c>
    </row>
    <row r="17753">
      <c r="A17753" s="1">
        <v>5.0</v>
      </c>
      <c r="B17753" s="1" t="s">
        <v>17455</v>
      </c>
      <c r="C17753" t="str">
        <f>IFERROR(__xludf.DUMMYFUNCTION("GOOGLETRANSLATE(B17753, ""fr"", ""en"")"),"Very good boots. Product perfect my attentes.Très comfortable and very warm for the winter.")</f>
        <v>Very good boots. Product perfect my attentes.Très comfortable and very warm for the winter.</v>
      </c>
    </row>
    <row r="17754">
      <c r="A17754" s="1">
        <v>2.0</v>
      </c>
      <c r="B17754" s="1" t="s">
        <v>17456</v>
      </c>
      <c r="C17754" t="str">
        <f>IFERROR(__xludf.DUMMYFUNCTION("GOOGLETRANSLATE(B17754, ""fr"", ""en"")"),"I do not recommend. Beautiful pair of sneakers but not really solid. Died after not even two months !!! They take off to the side.")</f>
        <v>I do not recommend. Beautiful pair of sneakers but not really solid. Died after not even two months !!! They take off to the side.</v>
      </c>
    </row>
    <row r="17755">
      <c r="A17755" s="1">
        <v>1.0</v>
      </c>
      <c r="B17755" s="1" t="s">
        <v>17457</v>
      </c>
      <c r="C17755" t="str">
        <f>IFERROR(__xludf.DUMMYFUNCTION("GOOGLETRANSLATE(B17755, ""fr"", ""en"")"),"poor quality paint from the first wash piety quality, I have some doubts about the origin ... A passage in the dishwasher before using, and all the chromium has disappeared, leaving a pitted metal. The original part had yet undergone the same washing doze"&amp;"ns of times!")</f>
        <v>poor quality paint from the first wash piety quality, I have some doubts about the origin ... A passage in the dishwasher before using, and all the chromium has disappeared, leaving a pitted metal. The original part had yet undergone the same washing dozens of times!</v>
      </c>
    </row>
    <row r="17756">
      <c r="A17756" s="1">
        <v>3.0</v>
      </c>
      <c r="B17756" s="1" t="s">
        <v>17458</v>
      </c>
      <c r="C17756" t="str">
        <f>IFERROR(__xludf.DUMMYFUNCTION("GOOGLETRANSLATE(B17756, ""fr"", ""en"")"),"Subject Satisfied compliant, easy to use. Only drawback, not to better adjust the brightness of the simulator with a softer light when triggered.")</f>
        <v>Subject Satisfied compliant, easy to use. Only drawback, not to better adjust the brightness of the simulator with a softer light when triggered.</v>
      </c>
    </row>
    <row r="17757">
      <c r="A17757" s="1">
        <v>3.0</v>
      </c>
      <c r="B17757" s="1" t="s">
        <v>17459</v>
      </c>
      <c r="C17757" t="str">
        <f>IFERROR(__xludf.DUMMYFUNCTION("GOOGLETRANSLATE(B17757, ""fr"", ""en"")"),"Hot Hot")</f>
        <v>Hot Hot</v>
      </c>
    </row>
    <row r="17758">
      <c r="A17758" s="1">
        <v>4.0</v>
      </c>
      <c r="B17758" s="1" t="s">
        <v>17460</v>
      </c>
      <c r="C17758" t="str">
        <f>IFERROR(__xludf.DUMMYFUNCTION("GOOGLETRANSLATE(B17758, ""fr"", ""en"")"),"Good This product is of good quality IT is nice to toe I expected no less from this trusted brand")</f>
        <v>Good This product is of good quality IT is nice to toe I expected no less from this trusted brand</v>
      </c>
    </row>
    <row r="17759">
      <c r="A17759" s="1">
        <v>4.0</v>
      </c>
      <c r="B17759" s="1" t="s">
        <v>17461</v>
      </c>
      <c r="C17759" t="str">
        <f>IFERROR(__xludf.DUMMYFUNCTION("GOOGLETRANSLATE(B17759, ""fr"", ""en"")"),"Too expensive for hair quality of material used Good product a slight lack of weight may BUTTON appears fragile and also cover for the lack of weight essemble appears fragile")</f>
        <v>Too expensive for hair quality of material used Good product a slight lack of weight may BUTTON appears fragile and also cover for the lack of weight essemble appears fragile</v>
      </c>
    </row>
    <row r="17760">
      <c r="A17760" s="1">
        <v>4.0</v>
      </c>
      <c r="B17760" s="1" t="s">
        <v>17462</v>
      </c>
      <c r="C17760" t="str">
        <f>IFERROR(__xludf.DUMMYFUNCTION("GOOGLETRANSLATE(B17760, ""fr"", ""en"")"),"good products as gift ...")</f>
        <v>good products as gift ...</v>
      </c>
    </row>
    <row r="17761">
      <c r="A17761" s="1">
        <v>4.0</v>
      </c>
      <c r="B17761" s="1" t="s">
        <v>17463</v>
      </c>
      <c r="C17761" t="str">
        <f>IFERROR(__xludf.DUMMYFUNCTION("GOOGLETRANSLATE(B17761, ""fr"", ""en"")"),"Great product! But beware ... Great product, good quality, consistent pictures, but attention to the size that is sometimes a bit much ... remember to take 0.5 or 1 size smaller (and in case of specific shoe you should add, take your usual size because th"&amp;"e original insoles are not removable). I recommand it !")</f>
        <v>Great product! But beware ... Great product, good quality, consistent pictures, but attention to the size that is sometimes a bit much ... remember to take 0.5 or 1 size smaller (and in case of specific shoe you should add, take your usual size because the original insoles are not removable). I recommand it !</v>
      </c>
    </row>
    <row r="17762">
      <c r="A17762" s="1">
        <v>5.0</v>
      </c>
      <c r="B17762" s="1" t="s">
        <v>17464</v>
      </c>
      <c r="C17762" t="str">
        <f>IFERROR(__xludf.DUMMYFUNCTION("GOOGLETRANSLATE(B17762, ""fr"", ""en"")"),"very good size well back strain level, legs a little long for me, excellent cut, deep pockets that close. Perfect")</f>
        <v>very good size well back strain level, legs a little long for me, excellent cut, deep pockets that close. Perfect</v>
      </c>
    </row>
    <row r="17763">
      <c r="A17763" s="1">
        <v>5.0</v>
      </c>
      <c r="B17763" s="1" t="s">
        <v>17465</v>
      </c>
      <c r="C17763" t="str">
        <f>IFERROR(__xludf.DUMMYFUNCTION("GOOGLETRANSLATE(B17763, ""fr"", ""en"")"),"Value for money very satisfied, delivery Amazon (the really fast one) I regret having listened to the advise to take a size up because I makes 43 normally and I gained 44 has not to do, but it ' Just is my faute.ILS Sizes !! They are beautiful, elegant, c"&amp;"omfortable, beautiful finishes and color corresponds to the photo .For me, then I recommend 5/5, for size: I put a good sole, and is impeccable ... ..")</f>
        <v>Value for money very satisfied, delivery Amazon (the really fast one) I regret having listened to the advise to take a size up because I makes 43 normally and I gained 44 has not to do, but it ' Just is my faute.ILS Sizes !! They are beautiful, elegant, comfortable, beautiful finishes and color corresponds to the photo .For me, then I recommend 5/5, for size: I put a good sole, and is impeccable ... ..</v>
      </c>
    </row>
    <row r="17764">
      <c r="A17764" s="1">
        <v>5.0</v>
      </c>
      <c r="B17764" s="1" t="s">
        <v>17466</v>
      </c>
      <c r="C17764" t="str">
        <f>IFERROR(__xludf.DUMMYFUNCTION("GOOGLETRANSLATE(B17764, ""fr"", ""en"")"),"Super opinion sock buy")</f>
        <v>Super opinion sock buy</v>
      </c>
    </row>
    <row r="17765">
      <c r="A17765" s="1">
        <v>5.0</v>
      </c>
      <c r="B17765" s="1" t="s">
        <v>17467</v>
      </c>
      <c r="C17765" t="str">
        <f>IFERROR(__xludf.DUMMYFUNCTION("GOOGLETRANSLATE(B17765, ""fr"", ""en"")"),"Pretty socks - good very good quality finish these socks. slightly smaller size.")</f>
        <v>Pretty socks - good very good quality finish these socks. slightly smaller size.</v>
      </c>
    </row>
    <row r="17766">
      <c r="A17766" s="1">
        <v>5.0</v>
      </c>
      <c r="B17766" s="1" t="s">
        <v>17468</v>
      </c>
      <c r="C17766" t="str">
        <f>IFERROR(__xludf.DUMMYFUNCTION("GOOGLETRANSLATE(B17766, ""fr"", ""en"")"),"Very good buy, the quality very good buy Asics")</f>
        <v>Very good buy, the quality very good buy Asics</v>
      </c>
    </row>
    <row r="17767">
      <c r="A17767" s="1">
        <v>5.0</v>
      </c>
      <c r="B17767" s="1" t="s">
        <v>17469</v>
      </c>
      <c r="C17767" t="str">
        <f>IFERROR(__xludf.DUMMYFUNCTION("GOOGLETRANSLATE(B17767, ""fr"", ""en"")"),"S fits perfect to all my devices of different brands, strong and very good sound")</f>
        <v>S fits perfect to all my devices of different brands, strong and very good sound</v>
      </c>
    </row>
    <row r="17768">
      <c r="A17768" s="1">
        <v>5.0</v>
      </c>
      <c r="B17768" s="1" t="s">
        <v>17470</v>
      </c>
      <c r="C17768" t="str">
        <f>IFERROR(__xludf.DUMMYFUNCTION("GOOGLETRANSLATE(B17768, ""fr"", ""en"")"),"Works on blue yeti I put on my blue microphone yeti and pop are both forgotten with my anti pop classic blow filter to make videos is much classier :) by cons provide more elastic because the diameter of a blue yeti, the elastic in broken with time ...")</f>
        <v>Works on blue yeti I put on my blue microphone yeti and pop are both forgotten with my anti pop classic blow filter to make videos is much classier :) by cons provide more elastic because the diameter of a blue yeti, the elastic in broken with time ...</v>
      </c>
    </row>
    <row r="17769">
      <c r="A17769" s="1">
        <v>5.0</v>
      </c>
      <c r="B17769" s="1" t="s">
        <v>17471</v>
      </c>
      <c r="C17769" t="str">
        <f>IFERROR(__xludf.DUMMYFUNCTION("GOOGLETRANSLATE(B17769, ""fr"", ""en"")"),"Top me better now agrees that wireless Bose. it does not hurt because not too tight and enough already mitigates the outside bruis so no need for crossover ... The sound is clear and the volume is more than enough. stylish, light and efficient")</f>
        <v>Top me better now agrees that wireless Bose. it does not hurt because not too tight and enough already mitigates the outside bruis so no need for crossover ... The sound is clear and the volume is more than enough. stylish, light and efficient</v>
      </c>
    </row>
    <row r="17770">
      <c r="A17770" s="1">
        <v>5.0</v>
      </c>
      <c r="B17770" s="1" t="s">
        <v>17472</v>
      </c>
      <c r="C17770" t="str">
        <f>IFERROR(__xludf.DUMMYFUNCTION("GOOGLETRANSLATE(B17770, ""fr"", ""en"")"),"Very handy dispenser handy and compact to get around. Very suitable for doses of 8 to 10 to beyond the size is a little tight.")</f>
        <v>Very handy dispenser handy and compact to get around. Very suitable for doses of 8 to 10 to beyond the size is a little tight.</v>
      </c>
    </row>
    <row r="17771">
      <c r="A17771" s="1">
        <v>5.0</v>
      </c>
      <c r="B17771" s="1" t="s">
        <v>17473</v>
      </c>
      <c r="C17771" t="str">
        <f>IFERROR(__xludf.DUMMYFUNCTION("GOOGLETRANSLATE(B17771, ""fr"", ""en"")"),"Works well I just change 2 so far. They are recognized as the original! For the rest we will see in the long term. I printed a shade of gray page and R.A.S")</f>
        <v>Works well I just change 2 so far. They are recognized as the original! For the rest we will see in the long term. I printed a shade of gray page and R.A.S</v>
      </c>
    </row>
    <row r="17772">
      <c r="A17772" s="1">
        <v>5.0</v>
      </c>
      <c r="B17772" s="1" t="s">
        <v>17474</v>
      </c>
      <c r="C17772" t="str">
        <f>IFERROR(__xludf.DUMMYFUNCTION("GOOGLETRANSLATE(B17772, ""fr"", ""en"")"),"Strong and gentle with the fabric cover. I hesitated before taking it because I was afraid it was perforates. But no ! I use lai has spent several days with the boiling water and no problems. No holes instead ca nursed my back pain and neck. In addition i"&amp;"t heats ... here in the west it's cold .. so I recommend dual use and thank you It keeps the heat long ....")</f>
        <v>Strong and gentle with the fabric cover. I hesitated before taking it because I was afraid it was perforates. But no ! I use lai has spent several days with the boiling water and no problems. No holes instead ca nursed my back pain and neck. In addition it heats ... here in the west it's cold .. so I recommend dual use and thank you It keeps the heat long ....</v>
      </c>
    </row>
    <row r="17773">
      <c r="A17773" s="1">
        <v>5.0</v>
      </c>
      <c r="B17773" s="1" t="s">
        <v>17475</v>
      </c>
      <c r="C17773" t="str">
        <f>IFERROR(__xludf.DUMMYFUNCTION("GOOGLETRANSLATE(B17773, ""fr"", ""en"")"),"☺ it works offered for the feast of mothers who put up the stockings. after a week of using it removed. the legs are less swollen she 3 sessions a day on a morning afternoon and evening. The big downside is that there is no carrying case saw the price of "&amp;"the device.")</f>
        <v>☺ it works offered for the feast of mothers who put up the stockings. after a week of using it removed. the legs are less swollen she 3 sessions a day on a morning afternoon and evening. The big downside is that there is no carrying case saw the price of the device.</v>
      </c>
    </row>
    <row r="17774">
      <c r="A17774" s="1">
        <v>5.0</v>
      </c>
      <c r="B17774" s="1" t="s">
        <v>17476</v>
      </c>
      <c r="C17774" t="str">
        <f>IFERROR(__xludf.DUMMYFUNCTION("GOOGLETRANSLATE(B17774, ""fr"", ""en"")"),"Socks Sports Product of very good quality and very comfortable")</f>
        <v>Socks Sports Product of very good quality and very comfortable</v>
      </c>
    </row>
    <row r="17775">
      <c r="A17775" s="1">
        <v>5.0</v>
      </c>
      <c r="B17775" s="1" t="s">
        <v>17477</v>
      </c>
      <c r="C17775" t="str">
        <f>IFERROR(__xludf.DUMMYFUNCTION("GOOGLETRANSLATE(B17775, ""fr"", ""en"")"),"Top ! of excellent quality speaker cable for a quality / price incredible and not found elsewhere on Amazon! The white jacket is good and black is clearly identified. Very good product that I recommend.")</f>
        <v>Top ! of excellent quality speaker cable for a quality / price incredible and not found elsewhere on Amazon! The white jacket is good and black is clearly identified. Very good product that I recommend.</v>
      </c>
    </row>
    <row r="17776">
      <c r="A17776" s="1">
        <v>5.0</v>
      </c>
      <c r="B17776" s="1" t="s">
        <v>17478</v>
      </c>
      <c r="C17776" t="str">
        <f>IFERROR(__xludf.DUMMYFUNCTION("GOOGLETRANSLATE(B17776, ""fr"", ""en"")"),"good bra to recommend. 1st order in size XL, which corresponds to my size as the grid of recommended sizes, return items, too large, which would not have to maintain the size L. Wash at 30 degrees in a net. The fabric is soft and good quality, lace dresse"&amp;"s well. The hulls of soft fabric are not useful to me, they can retreat through a space in the cap made for this. So we do as we want :-) The bra is comfortable and keeps very well, so it is breathable no oven due to the fabric. It gives a nice shape to t"&amp;"he breasts remain where it should be, look no granny, it is even more sexy. After a day to wear, I recommend that hesitates not to hesitate, the straps do not hurt, comfort and efficiency. I am glad. This is the best bra that I have found so far. I breast"&amp;"feed by lifting, it's perfect.")</f>
        <v>good bra to recommend. 1st order in size XL, which corresponds to my size as the grid of recommended sizes, return items, too large, which would not have to maintain the size L. Wash at 30 degrees in a net. The fabric is soft and good quality, lace dresses well. The hulls of soft fabric are not useful to me, they can retreat through a space in the cap made for this. So we do as we want :-) The bra is comfortable and keeps very well, so it is breathable no oven due to the fabric. It gives a nice shape to the breasts remain where it should be, look no granny, it is even more sexy. After a day to wear, I recommend that hesitates not to hesitate, the straps do not hurt, comfort and efficiency. I am glad. This is the best bra that I have found so far. I breastfeed by lifting, it's perfect.</v>
      </c>
    </row>
    <row r="17777">
      <c r="A17777" s="1">
        <v>2.0</v>
      </c>
      <c r="B17777" s="1" t="s">
        <v>17479</v>
      </c>
      <c r="C17777" t="str">
        <f>IFERROR(__xludf.DUMMYFUNCTION("GOOGLETRANSLATE(B17777, ""fr"", ""en"")"),"Basic Micro Good reception almost all from one moves away a little more we hear very well, and if we talk about it too close gray and too far from the microphone we hear nothing. duration of 2 micro batteries 3h and 4h for the issuer has only max. micro b"&amp;"asic plastic quality.")</f>
        <v>Basic Micro Good reception almost all from one moves away a little more we hear very well, and if we talk about it too close gray and too far from the microphone we hear nothing. duration of 2 micro batteries 3h and 4h for the issuer has only max. micro basic plastic quality.</v>
      </c>
    </row>
    <row r="17778">
      <c r="A17778" s="1">
        <v>1.0</v>
      </c>
      <c r="B17778" s="1" t="s">
        <v>17480</v>
      </c>
      <c r="C17778" t="str">
        <f>IFERROR(__xludf.DUMMYFUNCTION("GOOGLETRANSLATE(B17778, ""fr"", ""en"")"),"Double strength Catastrophic zero. Sewing the torn zipper before my departure. To avoid absolutely!")</f>
        <v>Double strength Catastrophic zero. Sewing the torn zipper before my departure. To avoid absolutely!</v>
      </c>
    </row>
    <row r="17779">
      <c r="A17779" s="1">
        <v>1.0</v>
      </c>
      <c r="B17779" s="1" t="s">
        <v>17481</v>
      </c>
      <c r="C17779" t="str">
        <f>IFERROR(__xludf.DUMMYFUNCTION("GOOGLETRANSLATE(B17779, ""fr"", ""en"")"),"only operated less than three months I was very glad I found this reading cell that was delivered to me very quickly and that worked perfectly up to date, 19 December 2015, is not quite three months. I had installed easily on the arm cell holder in accord"&amp;"ance with the turntable manufacturer (Denon). But today, when I had to listen to the first side of a vinyl record, the start of the second face, I could hear almost nothing, and I found that the tip had penetrated into the cell and that it was rubbing the"&amp;" disc. The previous reading head that I had installed on the turntable was the same (apparently: same brand, same references) and had worked perfectly for several years, until last September.")</f>
        <v>only operated less than three months I was very glad I found this reading cell that was delivered to me very quickly and that worked perfectly up to date, 19 December 2015, is not quite three months. I had installed easily on the arm cell holder in accordance with the turntable manufacturer (Denon). But today, when I had to listen to the first side of a vinyl record, the start of the second face, I could hear almost nothing, and I found that the tip had penetrated into the cell and that it was rubbing the disc. The previous reading head that I had installed on the turntable was the same (apparently: same brand, same references) and had worked perfectly for several years, until last September.</v>
      </c>
    </row>
    <row r="17780">
      <c r="A17780" s="1">
        <v>3.0</v>
      </c>
      <c r="B17780" s="1" t="s">
        <v>17482</v>
      </c>
      <c r="C17780" t="str">
        <f>IFERROR(__xludf.DUMMYFUNCTION("GOOGLETRANSLATE(B17780, ""fr"", ""en"")"),"Great but a little big beautiful necklace but is big enough silver and rhinestone high quality For now I have no allergy to do with the time but I do not think")</f>
        <v>Great but a little big beautiful necklace but is big enough silver and rhinestone high quality For now I have no allergy to do with the time but I do not think</v>
      </c>
    </row>
    <row r="17781">
      <c r="A17781" s="1">
        <v>3.0</v>
      </c>
      <c r="B17781" s="1" t="s">
        <v>17483</v>
      </c>
      <c r="C17781" t="str">
        <f>IFERROR(__xludf.DUMMYFUNCTION("GOOGLETRANSLATE(B17781, ""fr"", ""en"")"),"For a nice gift, made a little '&amp; nbsp; fake &amp; nbsp; """)</f>
        <v>For a nice gift, made a little '&amp; nbsp; fake &amp; nbsp; "</v>
      </c>
    </row>
    <row r="17782">
      <c r="A17782" s="1">
        <v>4.0</v>
      </c>
      <c r="B17782" s="1" t="s">
        <v>17484</v>
      </c>
      <c r="C17782" t="str">
        <f>IFERROR(__xludf.DUMMYFUNCTION("GOOGLETRANSLATE(B17782, ""fr"", ""en"")"),"good quality and very good quality I recommend to do in the long run")</f>
        <v>good quality and very good quality I recommend to do in the long run</v>
      </c>
    </row>
    <row r="17783">
      <c r="A17783" s="1">
        <v>4.0</v>
      </c>
      <c r="B17783" s="1" t="s">
        <v>17485</v>
      </c>
      <c r="C17783" t="str">
        <f>IFERROR(__xludf.DUMMYFUNCTION("GOOGLETRANSLATE(B17783, ""fr"", ""en"")"),"Although nickel product")</f>
        <v>Although nickel product</v>
      </c>
    </row>
    <row r="17784">
      <c r="A17784" s="1">
        <v>4.0</v>
      </c>
      <c r="B17784" s="1" t="s">
        <v>17486</v>
      </c>
      <c r="C17784" t="str">
        <f>IFERROR(__xludf.DUMMYFUNCTION("GOOGLETRANSLATE(B17784, ""fr"", ""en"")"),"Beautiful tea and performing Beautiful kettle looks good. Water heated very rapidly with full visibility of the boiling water. Small flat for my taste, the wrist tends to heat if you are late because the volume of water vapor released when water rushes ar"&amp;"ound the wrist especially when the kettle approaches the horizontal position. In conclusion, I recommend this tea a good quality / price ratio.")</f>
        <v>Beautiful tea and performing Beautiful kettle looks good. Water heated very rapidly with full visibility of the boiling water. Small flat for my taste, the wrist tends to heat if you are late because the volume of water vapor released when water rushes around the wrist especially when the kettle approaches the horizontal position. In conclusion, I recommend this tea a good quality / price ratio.</v>
      </c>
    </row>
    <row r="17785">
      <c r="A17785" s="1">
        <v>4.0</v>
      </c>
      <c r="B17785" s="1" t="s">
        <v>17487</v>
      </c>
      <c r="C17785" t="str">
        <f>IFERROR(__xludf.DUMMYFUNCTION("GOOGLETRANSLATE(B17785, ""fr"", ""en"")"),"a top service Delivery was fast. Unfortunately one of the shoes had a defect. With the Amazon system, the return is simple and free. The pair went back the same day and I received exchanging a few days later. The new pair is perfect!")</f>
        <v>a top service Delivery was fast. Unfortunately one of the shoes had a defect. With the Amazon system, the return is simple and free. The pair went back the same day and I received exchanging a few days later. The new pair is perfect!</v>
      </c>
    </row>
    <row r="17786">
      <c r="A17786" s="1">
        <v>5.0</v>
      </c>
      <c r="B17786" s="1" t="s">
        <v>17488</v>
      </c>
      <c r="C17786" t="str">
        <f>IFERROR(__xludf.DUMMYFUNCTION("GOOGLETRANSLATE(B17786, ""fr"", ""en"")"),"At the top are magnificent Amazon thank you I love it 😀 as I wanted to thank you very much 👍")</f>
        <v>At the top are magnificent Amazon thank you I love it 😀 as I wanted to thank you very much 👍</v>
      </c>
    </row>
    <row r="17787">
      <c r="A17787" s="1">
        <v>5.0</v>
      </c>
      <c r="B17787" s="1" t="s">
        <v>17489</v>
      </c>
      <c r="C17787" t="str">
        <f>IFERROR(__xludf.DUMMYFUNCTION("GOOGLETRANSLATE(B17787, ""fr"", ""en"")"),"Ikeepi Ikeepi massager electric massager is great practice a little heavy, I am disappointed not to have a note of explanation if you could pick one and send me thank you")</f>
        <v>Ikeepi Ikeepi massager electric massager is great practice a little heavy, I am disappointed not to have a note of explanation if you could pick one and send me thank you</v>
      </c>
    </row>
    <row r="17788">
      <c r="A17788" s="1">
        <v>5.0</v>
      </c>
      <c r="B17788" s="1" t="s">
        <v>17490</v>
      </c>
      <c r="C17788" t="str">
        <f>IFERROR(__xludf.DUMMYFUNCTION("GOOGLETRANSLATE(B17788, ""fr"", ""en"")"),"I recommend I bought for my daughter (hence the picture with the headphones still in their boxes). She is happy ! I have already (not the ones) and I confess that if I took these headphones is that she will not be unprepared when the load. And she is very"&amp;" happy.")</f>
        <v>I recommend I bought for my daughter (hence the picture with the headphones still in their boxes). She is happy ! I have already (not the ones) and I confess that if I took these headphones is that she will not be unprepared when the load. And she is very happy.</v>
      </c>
    </row>
    <row r="17789">
      <c r="A17789" s="1">
        <v>5.0</v>
      </c>
      <c r="B17789" s="1" t="s">
        <v>17491</v>
      </c>
      <c r="C17789" t="str">
        <f>IFERROR(__xludf.DUMMYFUNCTION("GOOGLETRANSLATE(B17789, ""fr"", ""en"")"),"Genial Super Marche ergonomic product I fully recommend Very good for beginners in the mix or friends Very count :)")</f>
        <v>Genial Super Marche ergonomic product I fully recommend Very good for beginners in the mix or friends Very count :)</v>
      </c>
    </row>
    <row r="17790">
      <c r="A17790" s="1">
        <v>5.0</v>
      </c>
      <c r="B17790" s="1" t="s">
        <v>17492</v>
      </c>
      <c r="C17790" t="str">
        <f>IFERROR(__xludf.DUMMYFUNCTION("GOOGLETRANSLATE(B17790, ""fr"", ""en"")"),"Same as picture perfect hot booties for winter good quality price identical to the photo of a gray goes negative to say anything anywhere")</f>
        <v>Same as picture perfect hot booties for winter good quality price identical to the photo of a gray goes negative to say anything anywhere</v>
      </c>
    </row>
    <row r="17791">
      <c r="A17791" s="1">
        <v>5.0</v>
      </c>
      <c r="B17791" s="1" t="s">
        <v>17493</v>
      </c>
      <c r="C17791" t="str">
        <f>IFERROR(__xludf.DUMMYFUNCTION("GOOGLETRANSLATE(B17791, ""fr"", ""en"")"),"Economic and ecological I use it in an essential oil diffuser")</f>
        <v>Economic and ecological I use it in an essential oil diffuser</v>
      </c>
    </row>
    <row r="17792">
      <c r="A17792" s="1">
        <v>5.0</v>
      </c>
      <c r="B17792" s="1" t="s">
        <v>17494</v>
      </c>
      <c r="C17792" t="str">
        <f>IFERROR(__xludf.DUMMYFUNCTION("GOOGLETRANSLATE(B17792, ""fr"", ""en"")"),"Size and Quality Very good quality and well cut.")</f>
        <v>Size and Quality Very good quality and well cut.</v>
      </c>
    </row>
    <row r="17793">
      <c r="A17793" s="1">
        <v>5.0</v>
      </c>
      <c r="B17793" s="1" t="s">
        <v>17495</v>
      </c>
      <c r="C17793" t="str">
        <f>IFERROR(__xludf.DUMMYFUNCTION("GOOGLETRANSLATE(B17793, ""fr"", ""en"")"),"Very nice quality sweater good quality sweater. The color matches the photo, wearable mid season. While thinking about taking a size below its usual size. I am very satisfied.")</f>
        <v>Very nice quality sweater good quality sweater. The color matches the photo, wearable mid season. While thinking about taking a size below its usual size. I am very satisfied.</v>
      </c>
    </row>
    <row r="17794">
      <c r="A17794" s="1">
        <v>5.0</v>
      </c>
      <c r="B17794" s="1" t="s">
        <v>17496</v>
      </c>
      <c r="C17794" t="str">
        <f>IFERROR(__xludf.DUMMYFUNCTION("GOOGLETRANSLATE(B17794, ""fr"", ""en"")"),"Bought an unbeatable offer for the offer and the quality / price is excellent. The proposed price is much cheaper than the store. I recommend.")</f>
        <v>Bought an unbeatable offer for the offer and the quality / price is excellent. The proposed price is much cheaper than the store. I recommend.</v>
      </c>
    </row>
    <row r="17795">
      <c r="A17795" s="1">
        <v>5.0</v>
      </c>
      <c r="B17795" s="1" t="s">
        <v>17497</v>
      </c>
      <c r="C17795" t="str">
        <f>IFERROR(__xludf.DUMMYFUNCTION("GOOGLETRANSLATE(B17795, ""fr"", ""en"")"),"I recommend this product really tight, strong and long lasting These are bags that are really tight, and thick enough wall makes them particularly robust. I use it to put fresh bread in the freezer, I go out every day for grilling. Therefore its closure s"&amp;"ystem is applied daily and at this rate each bag that lasts about six months before breaking what is truly honorable.")</f>
        <v>I recommend this product really tight, strong and long lasting These are bags that are really tight, and thick enough wall makes them particularly robust. I use it to put fresh bread in the freezer, I go out every day for grilling. Therefore its closure system is applied daily and at this rate each bag that lasts about six months before breaking what is truly honorable.</v>
      </c>
    </row>
    <row r="17796">
      <c r="A17796" s="1">
        <v>5.0</v>
      </c>
      <c r="B17796" s="1" t="s">
        <v>3359</v>
      </c>
      <c r="C17796" t="str">
        <f>IFERROR(__xludf.DUMMYFUNCTION("GOOGLETRANSLATE(B17796, ""fr"", ""en"")"),"👍 👍")</f>
        <v>👍 👍</v>
      </c>
    </row>
    <row r="17797">
      <c r="A17797" s="1">
        <v>5.0</v>
      </c>
      <c r="B17797" s="1" t="s">
        <v>17498</v>
      </c>
      <c r="C17797" t="str">
        <f>IFERROR(__xludf.DUMMYFUNCTION("GOOGLETRANSLATE(B17797, ""fr"", ""en"")"),"SUPER THANK Super nice and well pack I recommend! The sizes see, suddenly we can really choose his shining beaucouo to see on the time after.")</f>
        <v>SUPER THANK Super nice and well pack I recommend! The sizes see, suddenly we can really choose his shining beaucouo to see on the time after.</v>
      </c>
    </row>
    <row r="17798">
      <c r="A17798" s="1">
        <v>5.0</v>
      </c>
      <c r="B17798" s="1" t="s">
        <v>17499</v>
      </c>
      <c r="C17798" t="str">
        <f>IFERROR(__xludf.DUMMYFUNCTION("GOOGLETRANSLATE(B17798, ""fr"", ""en"")"),"Received beautiful quality and finishing ahead of schedule, super nice bracelet good apparently. Super happy with my purchase :)")</f>
        <v>Received beautiful quality and finishing ahead of schedule, super nice bracelet good apparently. Super happy with my purchase :)</v>
      </c>
    </row>
    <row r="17799">
      <c r="A17799" s="1">
        <v>5.0</v>
      </c>
      <c r="B17799" s="1" t="s">
        <v>17500</v>
      </c>
      <c r="C17799" t="str">
        <f>IFERROR(__xludf.DUMMYFUNCTION("GOOGLETRANSLATE(B17799, ""fr"", ""en"")"),"Nickel! Superb shoe nothing to say!")</f>
        <v>Nickel! Superb shoe nothing to say!</v>
      </c>
    </row>
    <row r="17800">
      <c r="A17800" s="1">
        <v>5.0</v>
      </c>
      <c r="B17800" s="1" t="s">
        <v>17501</v>
      </c>
      <c r="C17800" t="str">
        <f>IFERROR(__xludf.DUMMYFUNCTION("GOOGLETRANSLATE(B17800, ""fr"", ""en"")"),"Very satisfied I am very surprised by the sound quality for such a price. The insulation is excellent giving a good record at the bass. Very easy to use. I highly recommend this product.")</f>
        <v>Very satisfied I am very surprised by the sound quality for such a price. The insulation is excellent giving a good record at the bass. Very easy to use. I highly recommend this product.</v>
      </c>
    </row>
    <row r="17801">
      <c r="A17801" s="1">
        <v>2.0</v>
      </c>
      <c r="B17801" s="1" t="s">
        <v>17502</v>
      </c>
      <c r="C17801" t="str">
        <f>IFERROR(__xludf.DUMMYFUNCTION("GOOGLETRANSLATE(B17801, ""fr"", ""en"")"),"Regrets What a disappointment! It's too tight, yet I took an extra size. Fabric unpleasant to touch and wear. Not very elastic and more. In short, very disappointed")</f>
        <v>Regrets What a disappointment! It's too tight, yet I took an extra size. Fabric unpleasant to touch and wear. Not very elastic and more. In short, very disappointed</v>
      </c>
    </row>
    <row r="17802">
      <c r="A17802" s="1">
        <v>1.0</v>
      </c>
      <c r="B17802" s="1" t="s">
        <v>17503</v>
      </c>
      <c r="C17802" t="str">
        <f>IFERROR(__xludf.DUMMYFUNCTION("GOOGLETRANSLATE(B17802, ""fr"", ""en"")"),"unusable, shit in a box or how to lose 40+ € these headphones rather pretty unfortunately unusable, a hassle to connect, they get out of sync alone without this and when connected with great difficulty and patience, no call n is possible because the micro"&amp;"phone does not always work, not play a video with more than 2 sec audio delay !!! mobile as on pc! and even if it would work at least for music, the ridiculous battery which must take up 10 to 12 minutes will give you just the desire to discard or return "&amp;"them to the box without retouch I RECOMMENDED THE PURCHASE OF THESE HEADPHONES!")</f>
        <v>unusable, shit in a box or how to lose 40+ € these headphones rather pretty unfortunately unusable, a hassle to connect, they get out of sync alone without this and when connected with great difficulty and patience, no call n is possible because the microphone does not always work, not play a video with more than 2 sec audio delay !!! mobile as on pc! and even if it would work at least for music, the ridiculous battery which must take up 10 to 12 minutes will give you just the desire to discard or return them to the box without retouch I RECOMMENDED THE PURCHASE OF THESE HEADPHONES!</v>
      </c>
    </row>
    <row r="17803">
      <c r="A17803" s="1">
        <v>1.0</v>
      </c>
      <c r="B17803" s="1" t="s">
        <v>17504</v>
      </c>
      <c r="C17803" t="str">
        <f>IFERROR(__xludf.DUMMYFUNCTION("GOOGLETRANSLATE(B17803, ""fr"", ""en"")"),"Message size very small result it will all returned")</f>
        <v>Message size very small result it will all returned</v>
      </c>
    </row>
    <row r="17804">
      <c r="A17804" s="1">
        <v>3.0</v>
      </c>
      <c r="B17804" s="1" t="s">
        <v>17505</v>
      </c>
      <c r="C17804" t="str">
        <f>IFERROR(__xludf.DUMMYFUNCTION("GOOGLETRANSLATE(B17804, ""fr"", ""en"")"),"warranty issue I wanted to send my watch as security to a dealer festina because we can not set the time manually, but nothing is indicated on the certificate of guarantee of the blow, the saleswoman in jewelry would like to know what it must noted to be "&amp;"able to walk my guarantee. Thank you to answer me asap !!!")</f>
        <v>warranty issue I wanted to send my watch as security to a dealer festina because we can not set the time manually, but nothing is indicated on the certificate of guarantee of the blow, the saleswoman in jewelry would like to know what it must noted to be able to walk my guarantee. Thank you to answer me asap !!!</v>
      </c>
    </row>
    <row r="17805">
      <c r="A17805" s="1">
        <v>4.0</v>
      </c>
      <c r="B17805" s="1" t="s">
        <v>17506</v>
      </c>
      <c r="C17805" t="str">
        <f>IFERROR(__xludf.DUMMYFUNCTION("GOOGLETRANSLATE(B17805, ""fr"", ""en"")"),"Soundcore Liberty Air Receipts there is not even a week, I noticed that his left ear was blocked, is it the same for you?")</f>
        <v>Soundcore Liberty Air Receipts there is not even a week, I noticed that his left ear was blocked, is it the same for you?</v>
      </c>
    </row>
    <row r="17806">
      <c r="A17806" s="1">
        <v>4.0</v>
      </c>
      <c r="B17806" s="1" t="s">
        <v>17507</v>
      </c>
      <c r="C17806" t="str">
        <f>IFERROR(__xludf.DUMMYFUNCTION("GOOGLETRANSLATE(B17806, ""fr"", ""en"")"),"Packaging correct mainly used initially to heat the Microwave crisp. C.R.")</f>
        <v>Packaging correct mainly used initially to heat the Microwave crisp. C.R.</v>
      </c>
    </row>
    <row r="17807">
      <c r="A17807" s="1">
        <v>4.0</v>
      </c>
      <c r="B17807" s="1" t="s">
        <v>17508</v>
      </c>
      <c r="C17807" t="str">
        <f>IFERROR(__xludf.DUMMYFUNCTION("GOOGLETRANSLATE(B17807, ""fr"", ""en"")"),"New balance mi574 As expected actual size")</f>
        <v>New balance mi574 As expected actual size</v>
      </c>
    </row>
    <row r="17808">
      <c r="A17808" s="1">
        <v>4.0</v>
      </c>
      <c r="B17808" s="1" t="s">
        <v>17509</v>
      </c>
      <c r="C17808" t="str">
        <f>IFERROR(__xludf.DUMMYFUNCTION("GOOGLETRANSLATE(B17808, ""fr"", ""en"")"),"Very good product good for running, a little difficult to remove after having transpired, but it holds up well to the body and we do not feel. After several washings, it has not budged n. I will definitely order a second")</f>
        <v>Very good product good for running, a little difficult to remove after having transpired, but it holds up well to the body and we do not feel. After several washings, it has not budged n. I will definitely order a second</v>
      </c>
    </row>
    <row r="17809">
      <c r="A17809" s="1">
        <v>5.0</v>
      </c>
      <c r="B17809" s="1" t="s">
        <v>17510</v>
      </c>
      <c r="C17809" t="str">
        <f>IFERROR(__xludf.DUMMYFUNCTION("GOOGLETRANSLATE(B17809, ""fr"", ""en"")"),"Nickel size well i took a s I made the 36 sexy 1m59 but blue is not seen through")</f>
        <v>Nickel size well i took a s I made the 36 sexy 1m59 but blue is not seen through</v>
      </c>
    </row>
    <row r="17810">
      <c r="A17810" s="1">
        <v>5.0</v>
      </c>
      <c r="B17810" s="1" t="s">
        <v>17511</v>
      </c>
      <c r="C17810" t="str">
        <f>IFERROR(__xludf.DUMMYFUNCTION("GOOGLETRANSLATE(B17810, ""fr"", ""en"")"),"adidas top top perfect, but it's my 5 pairs! I know!")</f>
        <v>adidas top top perfect, but it's my 5 pairs! I know!</v>
      </c>
    </row>
    <row r="17811">
      <c r="A17811" s="1">
        <v>5.0</v>
      </c>
      <c r="B17811" s="1" t="s">
        <v>17512</v>
      </c>
      <c r="C17811" t="str">
        <f>IFERROR(__xludf.DUMMYFUNCTION("GOOGLETRANSLATE(B17811, ""fr"", ""en"")"),"Great quality")</f>
        <v>Great quality</v>
      </c>
    </row>
    <row r="17812">
      <c r="A17812" s="1">
        <v>5.0</v>
      </c>
      <c r="B17812" s="1" t="s">
        <v>17513</v>
      </c>
      <c r="C17812" t="str">
        <f>IFERROR(__xludf.DUMMYFUNCTION("GOOGLETRANSLATE(B17812, ""fr"", ""en"")"),"Great to wear with any outfit I love it. ! It is elegant and very light. The wire around got a little bent taken good shape when worn.")</f>
        <v>Great to wear with any outfit I love it. ! It is elegant and very light. The wire around got a little bent taken good shape when worn.</v>
      </c>
    </row>
    <row r="17813">
      <c r="A17813" s="1">
        <v>5.0</v>
      </c>
      <c r="B17813" s="1" t="s">
        <v>17514</v>
      </c>
      <c r="C17813" t="str">
        <f>IFERROR(__xludf.DUMMYFUNCTION("GOOGLETRANSLATE(B17813, ""fr"", ""en"")"),"Top Genil, design, cheap and very easy to clean and store")</f>
        <v>Top Genil, design, cheap and very easy to clean and store</v>
      </c>
    </row>
    <row r="17814">
      <c r="A17814" s="1">
        <v>5.0</v>
      </c>
      <c r="B17814" s="1" t="s">
        <v>17515</v>
      </c>
      <c r="C17814" t="str">
        <f>IFERROR(__xludf.DUMMYFUNCTION("GOOGLETRANSLATE(B17814, ""fr"", ""en"")"),"Pretty elegant watch This watch is lovely and works very well, the packaging was great, it was a gift for my son and he loves his watch, he is very happy. I recommend this article")</f>
        <v>Pretty elegant watch This watch is lovely and works very well, the packaging was great, it was a gift for my son and he loves his watch, he is very happy. I recommend this article</v>
      </c>
    </row>
    <row r="17815">
      <c r="A17815" s="1">
        <v>5.0</v>
      </c>
      <c r="B17815" s="1" t="s">
        <v>17516</v>
      </c>
      <c r="C17815" t="str">
        <f>IFERROR(__xludf.DUMMYFUNCTION("GOOGLETRANSLATE(B17815, ""fr"", ""en"")"),"Tefal Collection Black / Stainless Steel Super product, effective, and practical design! The kettle will easily fit in the kitchen where it finds its place no matter the background! Easy maintenance and solid, its price is more reasonable and fits very we"&amp;"ll in a small budget and any enables a fully equipped kitchen small appliances pleasant strong for small tight budgets")</f>
        <v>Tefal Collection Black / Stainless Steel Super product, effective, and practical design! The kettle will easily fit in the kitchen where it finds its place no matter the background! Easy maintenance and solid, its price is more reasonable and fits very well in a small budget and any enables a fully equipped kitchen small appliances pleasant strong for small tight budgets</v>
      </c>
    </row>
    <row r="17816">
      <c r="A17816" s="1">
        <v>5.0</v>
      </c>
      <c r="B17816" s="1" t="s">
        <v>17517</v>
      </c>
      <c r="C17816" t="str">
        <f>IFERROR(__xludf.DUMMYFUNCTION("GOOGLETRANSLATE(B17816, ""fr"", ""en"")"),"Nothing to say Fast delivery, the box was slightly damaged but the product was Indemne. Original cartridge and no worries when replacing.")</f>
        <v>Nothing to say Fast delivery, the box was slightly damaged but the product was Indemne. Original cartridge and no worries when replacing.</v>
      </c>
    </row>
    <row r="17817">
      <c r="A17817" s="1">
        <v>5.0</v>
      </c>
      <c r="B17817" s="1" t="s">
        <v>17518</v>
      </c>
      <c r="C17817" t="str">
        <f>IFERROR(__xludf.DUMMYFUNCTION("GOOGLETRANSLATE(B17817, ""fr"", ""en"")"),"I recommend I got it for my birthday from my colleagues and it was unanimous among them. I do not pass me the only downside is that it does not itself otherwise I highly recommend it.")</f>
        <v>I recommend I got it for my birthday from my colleagues and it was unanimous among them. I do not pass me the only downside is that it does not itself otherwise I highly recommend it.</v>
      </c>
    </row>
    <row r="17818">
      <c r="A17818" s="1">
        <v>5.0</v>
      </c>
      <c r="B17818" s="1" t="s">
        <v>17519</v>
      </c>
      <c r="C17818" t="str">
        <f>IFERROR(__xludf.DUMMYFUNCTION("GOOGLETRANSLATE(B17818, ""fr"", ""en"")"),"A perfect killing. Size at the top. I'm 37 and sometimes 38 I took them 38 they are perfect")</f>
        <v>A perfect killing. Size at the top. I'm 37 and sometimes 38 I took them 38 they are perfect</v>
      </c>
    </row>
    <row r="17819">
      <c r="A17819" s="1">
        <v>5.0</v>
      </c>
      <c r="B17819" s="1" t="s">
        <v>17520</v>
      </c>
      <c r="C17819" t="str">
        <f>IFERROR(__xludf.DUMMYFUNCTION("GOOGLETRANSLATE(B17819, ""fr"", ""en"")"),"Delighted! As usual I go not say enough wonderful things about mam brand. More than two years since I use it and it does not move. Baby accepts that these bottles and the teats. Teat x therefore the biggest flow and bib is very pretty. I am delighted and "&amp;"baby too")</f>
        <v>Delighted! As usual I go not say enough wonderful things about mam brand. More than two years since I use it and it does not move. Baby accepts that these bottles and the teats. Teat x therefore the biggest flow and bib is very pretty. I am delighted and baby too</v>
      </c>
    </row>
    <row r="17820">
      <c r="A17820" s="1">
        <v>5.0</v>
      </c>
      <c r="B17820" s="1" t="s">
        <v>17521</v>
      </c>
      <c r="C17820" t="str">
        <f>IFERROR(__xludf.DUMMYFUNCTION("GOOGLETRANSLATE(B17820, ""fr"", ""en"")"),"Excellent quality and scope We acheyé this to use in a church. The sound quality is excellent and also the distance that the microphones continue to operate the receiver. Raccomandé")</f>
        <v>Excellent quality and scope We acheyé this to use in a church. The sound quality is excellent and also the distance that the microphones continue to operate the receiver. Raccomandé</v>
      </c>
    </row>
    <row r="17821">
      <c r="A17821" s="1">
        <v>5.0</v>
      </c>
      <c r="B17821" s="1" t="s">
        <v>17522</v>
      </c>
      <c r="C17821" t="str">
        <f>IFERROR(__xludf.DUMMYFUNCTION("GOOGLETRANSLATE(B17821, ""fr"", ""en"")"),"Two Super fast! Affordable! Only snag it will calcify Vite (provide white vinegar and regularly). Top double branches mains or cigarette lighter of the car.")</f>
        <v>Two Super fast! Affordable! Only snag it will calcify Vite (provide white vinegar and regularly). Top double branches mains or cigarette lighter of the car.</v>
      </c>
    </row>
    <row r="17822">
      <c r="A17822" s="1">
        <v>5.0</v>
      </c>
      <c r="B17822" s="1" t="s">
        <v>17523</v>
      </c>
      <c r="C17822" t="str">
        <f>IFERROR(__xludf.DUMMYFUNCTION("GOOGLETRANSLATE(B17822, ""fr"", ""en"")"),"Very nice pair of ear Lovely loop")</f>
        <v>Very nice pair of ear Lovely loop</v>
      </c>
    </row>
    <row r="17823">
      <c r="A17823" s="1">
        <v>5.0</v>
      </c>
      <c r="B17823" s="1" t="s">
        <v>17524</v>
      </c>
      <c r="C17823" t="str">
        <f>IFERROR(__xludf.DUMMYFUNCTION("GOOGLETRANSLATE(B17823, ""fr"", ""en"")"),"great and strong ... very much thank you very much thank you super trash bag M Blondel PATRICK ...")</f>
        <v>great and strong ... very much thank you very much thank you super trash bag M Blondel PATRICK ...</v>
      </c>
    </row>
    <row r="17824">
      <c r="A17824" s="1">
        <v>5.0</v>
      </c>
      <c r="B17824" s="1" t="s">
        <v>17525</v>
      </c>
      <c r="C17824" t="str">
        <f>IFERROR(__xludf.DUMMYFUNCTION("GOOGLETRANSLATE(B17824, ""fr"", ""en"")"),"top for a birthday gift")</f>
        <v>top for a birthday gift</v>
      </c>
    </row>
    <row r="17825">
      <c r="A17825" s="1">
        <v>2.0</v>
      </c>
      <c r="B17825" s="1" t="s">
        <v>17526</v>
      </c>
      <c r="C17825" t="str">
        <f>IFERROR(__xludf.DUMMYFUNCTION("GOOGLETRANSLATE(B17825, ""fr"", ""en"")"),"Good idea poorly designed! It starts with a good idea, allow parents to prepare brewed, sauces, purees ... in small reusable water bottles (So easy when you move or when baby gets to eat alone with!) It's been several weeks I tested the product with diffe"&amp;"rent foods. What justifies my negative opinion: -The plastic container and a small cap: When filling the container, a cap that prevents the mixture so as you have not put the gourd (If the mixture is a little liquid kind as yoghurt without pushing on the "&amp;"piston ca already flowing). Suddenly, between two gourds change there's always loss for liquid mixtures because either remove the full bottle for an empty or plug, ca flowing ... It would be so much simpler, greener and more own a small plastic valve with"&amp;" two open positions closed a poor cap (a saving of piece of string ...). - Reusable water bottles: They are very difficult to clean. In fact it is as if you try to clean a trade gourd. There are only the tip as hole to bring food but also wash the gourd! "&amp;"You rinse with (warm) water to clean but therefore not possible to use a bottle brush and open the bottle to clean the little corners. I realized by making a compote with vanilla because the grains remain and looking more ready there it was still a little"&amp;" water never dries squi (a real little nest bacteria). So really disappointed by this aspect of reusable vs. hygiene that is not better than reusing a water bottle market. Some have the added advantage of being metal in and therefore there since it is pla"&amp;"stic you could almost say it and also less dangerous to use (It's also cheaper! ) that reuse the trade gourd (bad plastic bowl and piston does not sell only I think). I'm going to start looking for a gourd system but vacuum to increase food preservation a"&amp;"nd to partially dodge the fridge. Hoping ca exist.")</f>
        <v>Good idea poorly designed! It starts with a good idea, allow parents to prepare brewed, sauces, purees ... in small reusable water bottles (So easy when you move or when baby gets to eat alone with!) It's been several weeks I tested the product with different foods. What justifies my negative opinion: -The plastic container and a small cap: When filling the container, a cap that prevents the mixture so as you have not put the gourd (If the mixture is a little liquid kind as yoghurt without pushing on the piston ca already flowing). Suddenly, between two gourds change there's always loss for liquid mixtures because either remove the full bottle for an empty or plug, ca flowing ... It would be so much simpler, greener and more own a small plastic valve with two open positions closed a poor cap (a saving of piece of string ...). - Reusable water bottles: They are very difficult to clean. In fact it is as if you try to clean a trade gourd. There are only the tip as hole to bring food but also wash the gourd! You rinse with (warm) water to clean but therefore not possible to use a bottle brush and open the bottle to clean the little corners. I realized by making a compote with vanilla because the grains remain and looking more ready there it was still a little water never dries squi (a real little nest bacteria). So really disappointed by this aspect of reusable vs. hygiene that is not better than reusing a water bottle market. Some have the added advantage of being metal in and therefore there since it is plastic you could almost say it and also less dangerous to use (It's also cheaper! ) that reuse the trade gourd (bad plastic bowl and piston does not sell only I think). I'm going to start looking for a gourd system but vacuum to increase food preservation and to partially dodge the fridge. Hoping ca exist.</v>
      </c>
    </row>
    <row r="17826">
      <c r="A17826" s="1">
        <v>1.0</v>
      </c>
      <c r="B17826" s="1" t="s">
        <v>17527</v>
      </c>
      <c r="C17826" t="str">
        <f>IFERROR(__xludf.DUMMYFUNCTION("GOOGLETRANSLATE(B17826, ""fr"", ""en"")"),"Counterfeiting makes super sore foot These shoes do not have any form of converse. The front is almost sharp and not rounded and I know what I'm talking, I'm not at my first pair. In short I returned them. I surely redeem another pair on a competing site "&amp;"because I am bcp too disappointed especially after reading all these reviews that say the same thing: infringement ...")</f>
        <v>Counterfeiting makes super sore foot These shoes do not have any form of converse. The front is almost sharp and not rounded and I know what I'm talking, I'm not at my first pair. In short I returned them. I surely redeem another pair on a competing site because I am bcp too disappointed especially after reading all these reviews that say the same thing: infringement ...</v>
      </c>
    </row>
    <row r="17827">
      <c r="A17827" s="1">
        <v>3.0</v>
      </c>
      <c r="B17827" s="1" t="s">
        <v>17528</v>
      </c>
      <c r="C17827" t="str">
        <f>IFERROR(__xludf.DUMMYFUNCTION("GOOGLETRANSLATE(B17827, ""fr"", ""en"")"),"Means I bought it to use in the car is endless time to warm the bottle over the cable is too short")</f>
        <v>Means I bought it to use in the car is endless time to warm the bottle over the cable is too short</v>
      </c>
    </row>
    <row r="17828">
      <c r="A17828" s="1">
        <v>3.0</v>
      </c>
      <c r="B17828" s="1" t="s">
        <v>17529</v>
      </c>
      <c r="C17828" t="str">
        <f>IFERROR(__xludf.DUMMYFUNCTION("GOOGLETRANSLATE(B17828, ""fr"", ""en"")"),"Far too long If you buy this t shirt to charge for the retouching along its length. Too bad because good finish")</f>
        <v>Far too long If you buy this t shirt to charge for the retouching along its length. Too bad because good finish</v>
      </c>
    </row>
    <row r="17829">
      <c r="A17829" s="1">
        <v>4.0</v>
      </c>
      <c r="B17829" s="1" t="s">
        <v>17530</v>
      </c>
      <c r="C17829" t="str">
        <f>IFERROR(__xludf.DUMMYFUNCTION("GOOGLETRANSLATE(B17829, ""fr"", ""en"")"),"I use a mixer I connected the microphone mixer XLR and the sound is terrible. Already the microphone picks up too many environmental and eles little noises. In comparison, I had a Blue Yeti USB TV reception and the latter much less noise. At the finish no"&amp;"thing to say, it comes with lots of accessories, a low-end arm windscreen and anti pop filter.")</f>
        <v>I use a mixer I connected the microphone mixer XLR and the sound is terrible. Already the microphone picks up too many environmental and eles little noises. In comparison, I had a Blue Yeti USB TV reception and the latter much less noise. At the finish nothing to say, it comes with lots of accessories, a low-end arm windscreen and anti pop filter.</v>
      </c>
    </row>
    <row r="17830">
      <c r="A17830" s="1">
        <v>4.0</v>
      </c>
      <c r="B17830" s="1" t="s">
        <v>17531</v>
      </c>
      <c r="C17830" t="str">
        <f>IFERROR(__xludf.DUMMYFUNCTION("GOOGLETRANSLATE(B17830, ""fr"", ""en"")"),"Excellent quality / price bluffing enough for the price, Article rave of Digital spoken the truth: the sound quality of these headphones is exceptional. It is clearly close to what can offer much more expensive models without the latter justify the price "&amp;"gap, however. Noise reduction is good but not exceptional. It is to his advantage with serious noise in an office environment that is ideal for transport and outdoors, it is much less comfortable and we finally hear surrounding sounds that are only mitiga"&amp;"ted. Everything remains quite ergonomic and compact. On the strength I expect to see, I've obviously got a newer model (TT-EP008 instead of TT-EP001). Hoping that the defects pointed here and there could have been corrected.")</f>
        <v>Excellent quality / price bluffing enough for the price, Article rave of Digital spoken the truth: the sound quality of these headphones is exceptional. It is clearly close to what can offer much more expensive models without the latter justify the price gap, however. Noise reduction is good but not exceptional. It is to his advantage with serious noise in an office environment that is ideal for transport and outdoors, it is much less comfortable and we finally hear surrounding sounds that are only mitigated. Everything remains quite ergonomic and compact. On the strength I expect to see, I've obviously got a newer model (TT-EP008 instead of TT-EP001). Hoping that the defects pointed here and there could have been corrected.</v>
      </c>
    </row>
    <row r="17831">
      <c r="A17831" s="1">
        <v>4.0</v>
      </c>
      <c r="B17831" s="1" t="s">
        <v>17532</v>
      </c>
      <c r="C17831" t="str">
        <f>IFERROR(__xludf.DUMMYFUNCTION("GOOGLETRANSLATE(B17831, ""fr"", ""en"")"),"ras I recommend this product because it is very effective especially on blue or circulation problem Sanguie after surgery")</f>
        <v>ras I recommend this product because it is very effective especially on blue or circulation problem Sanguie after surgery</v>
      </c>
    </row>
    <row r="17832">
      <c r="A17832" s="1">
        <v>4.0</v>
      </c>
      <c r="B17832" s="1" t="s">
        <v>17533</v>
      </c>
      <c r="C17832" t="str">
        <f>IFERROR(__xludf.DUMMYFUNCTION("GOOGLETRANSLATE(B17832, ""fr"", ""en"")"),"ras good bill of product")</f>
        <v>ras good bill of product</v>
      </c>
    </row>
    <row r="17833">
      <c r="A17833" s="1">
        <v>4.0</v>
      </c>
      <c r="B17833" s="1" t="s">
        <v>17534</v>
      </c>
      <c r="C17833" t="str">
        <f>IFERROR(__xludf.DUMMYFUNCTION("GOOGLETRANSLATE(B17833, ""fr"", ""en"")"),"Meets A large tad")</f>
        <v>Meets A large tad</v>
      </c>
    </row>
    <row r="17834">
      <c r="A17834" s="1">
        <v>5.0</v>
      </c>
      <c r="B17834" s="1" t="s">
        <v>17535</v>
      </c>
      <c r="C17834" t="str">
        <f>IFERROR(__xludf.DUMMYFUNCTION("GOOGLETRANSLATE(B17834, ""fr"", ""en"")"),"It's good soisir ponture good pair of shoes thank you cordially")</f>
        <v>It's good soisir ponture good pair of shoes thank you cordially</v>
      </c>
    </row>
    <row r="17835">
      <c r="A17835" s="1">
        <v>5.0</v>
      </c>
      <c r="B17835" s="1" t="s">
        <v>17536</v>
      </c>
      <c r="C17835" t="str">
        <f>IFERROR(__xludf.DUMMYFUNCTION("GOOGLETRANSLATE(B17835, ""fr"", ""en"")"),"sounds spot ... Exactly what I expected: all terrain multipocket and the right size! The 2 large pockets and average 2 enable to adapt to circumstances.")</f>
        <v>sounds spot ... Exactly what I expected: all terrain multipocket and the right size! The 2 large pockets and average 2 enable to adapt to circumstances.</v>
      </c>
    </row>
    <row r="17836">
      <c r="A17836" s="1">
        <v>5.0</v>
      </c>
      <c r="B17836" s="1" t="s">
        <v>17537</v>
      </c>
      <c r="C17836" t="str">
        <f>IFERROR(__xludf.DUMMYFUNCTION("GOOGLETRANSLATE(B17836, ""fr"", ""en"")"),"Super very functional and very practical. I highly recommend.")</f>
        <v>Super very functional and very practical. I highly recommend.</v>
      </c>
    </row>
    <row r="17837">
      <c r="A17837" s="1">
        <v>5.0</v>
      </c>
      <c r="B17837" s="1" t="s">
        <v>17538</v>
      </c>
      <c r="C17837" t="str">
        <f>IFERROR(__xludf.DUMMYFUNCTION("GOOGLETRANSLATE(B17837, ""fr"", ""en"")"),"Super Super product!")</f>
        <v>Super Super product!</v>
      </c>
    </row>
    <row r="17838">
      <c r="A17838" s="1">
        <v>5.0</v>
      </c>
      <c r="B17838" s="1" t="s">
        <v>17539</v>
      </c>
      <c r="C17838" t="str">
        <f>IFERROR(__xludf.DUMMYFUNCTION("GOOGLETRANSLATE(B17838, ""fr"", ""en"")"),"Perfect TRes beautiful colors Works perfectly")</f>
        <v>Perfect TRes beautiful colors Works perfectly</v>
      </c>
    </row>
    <row r="17839">
      <c r="A17839" s="1">
        <v>5.0</v>
      </c>
      <c r="B17839" s="1" t="s">
        <v>17540</v>
      </c>
      <c r="C17839" t="str">
        <f>IFERROR(__xludf.DUMMYFUNCTION("GOOGLETRANSLATE(B17839, ""fr"", ""en"")"),"RAS well made product. Qd longer cable you need not go without at this price")</f>
        <v>RAS well made product. Qd longer cable you need not go without at this price</v>
      </c>
    </row>
    <row r="17840">
      <c r="A17840" s="1">
        <v>5.0</v>
      </c>
      <c r="B17840" s="1" t="s">
        <v>17541</v>
      </c>
      <c r="C17840" t="str">
        <f>IFERROR(__xludf.DUMMYFUNCTION("GOOGLETRANSLATE(B17840, ""fr"", ""en"")"),"Perfect Match price and the picture quality is proportional, end sleeves not very strong, but everything is very correct.")</f>
        <v>Perfect Match price and the picture quality is proportional, end sleeves not very strong, but everything is very correct.</v>
      </c>
    </row>
    <row r="17841">
      <c r="A17841" s="1">
        <v>5.0</v>
      </c>
      <c r="B17841" s="1" t="s">
        <v>17542</v>
      </c>
      <c r="C17841" t="str">
        <f>IFERROR(__xludf.DUMMYFUNCTION("GOOGLETRANSLATE(B17841, ""fr"", ""en"")"),"I recommend lès Since I bought my son there to the well-cushioned but still intact. Good quality I recommend.")</f>
        <v>I recommend lès Since I bought my son there to the well-cushioned but still intact. Good quality I recommend.</v>
      </c>
    </row>
    <row r="17842">
      <c r="A17842" s="1">
        <v>5.0</v>
      </c>
      <c r="B17842" s="1" t="s">
        <v>17543</v>
      </c>
      <c r="C17842" t="str">
        <f>IFERROR(__xludf.DUMMYFUNCTION("GOOGLETRANSLATE(B17842, ""fr"", ""en"")"),"Super kettle After 3 months of use I love the !!!!! not very big c is what I was looking for and that's enough 1l. She is very pretty and quiet and not dangerous .Pratique I advise !!!")</f>
        <v>Super kettle After 3 months of use I love the !!!!! not very big c is what I was looking for and that's enough 1l. She is very pretty and quiet and not dangerous .Pratique I advise !!!</v>
      </c>
    </row>
    <row r="17843">
      <c r="A17843" s="1">
        <v>5.0</v>
      </c>
      <c r="B17843" s="1" t="s">
        <v>17544</v>
      </c>
      <c r="C17843" t="str">
        <f>IFERROR(__xludf.DUMMYFUNCTION("GOOGLETRANSLATE(B17843, ""fr"", ""en"")"),"Top for bee wraps I realized many bee wraps or waxed tissue to replace my eating plastic films, I recommend!")</f>
        <v>Top for bee wraps I realized many bee wraps or waxed tissue to replace my eating plastic films, I recommend!</v>
      </c>
    </row>
    <row r="17844">
      <c r="A17844" s="1">
        <v>5.0</v>
      </c>
      <c r="B17844" s="1" t="s">
        <v>17545</v>
      </c>
      <c r="C17844" t="str">
        <f>IFERROR(__xludf.DUMMYFUNCTION("GOOGLETRANSLATE(B17844, ""fr"", ""en"")"),"Purchased perfect for my son who drinks tea in the evening boarding is just right. 0.6 liters for 1-2 people is good, cordless kettle placed on its base (corded) extra it is excited rapid heating, with automatic stop when the water is hot impeccable")</f>
        <v>Purchased perfect for my son who drinks tea in the evening boarding is just right. 0.6 liters for 1-2 people is good, cordless kettle placed on its base (corded) extra it is excited rapid heating, with automatic stop when the water is hot impeccable</v>
      </c>
    </row>
    <row r="17845">
      <c r="A17845" s="1">
        <v>5.0</v>
      </c>
      <c r="B17845" s="1" t="s">
        <v>17546</v>
      </c>
      <c r="C17845" t="str">
        <f>IFERROR(__xludf.DUMMYFUNCTION("GOOGLETRANSLATE(B17845, ""fr"", ""en"")"),"Excellent product I use this product for chemical toilet caravan. I am very satisfied with effectiveness of this product.")</f>
        <v>Excellent product I use this product for chemical toilet caravan. I am very satisfied with effectiveness of this product.</v>
      </c>
    </row>
    <row r="17846">
      <c r="A17846" s="1">
        <v>5.0</v>
      </c>
      <c r="B17846" s="1" t="s">
        <v>17547</v>
      </c>
      <c r="C17846" t="str">
        <f>IFERROR(__xludf.DUMMYFUNCTION("GOOGLETRANSLATE(B17846, ""fr"", ""en"")"),"really good quality this polo is impeccable. Very well cut, impeccable finishes, pretty color navy blue. The size is perfect. It would have happened logo but it still happens everywhere. My son of 13 years was adopted immediately.")</f>
        <v>really good quality this polo is impeccable. Very well cut, impeccable finishes, pretty color navy blue. The size is perfect. It would have happened logo but it still happens everywhere. My son of 13 years was adopted immediately.</v>
      </c>
    </row>
    <row r="17847">
      <c r="A17847" s="1">
        <v>5.0</v>
      </c>
      <c r="B17847" s="1" t="s">
        <v>17548</v>
      </c>
      <c r="C17847" t="str">
        <f>IFERROR(__xludf.DUMMYFUNCTION("GOOGLETRANSLATE(B17847, ""fr"", ""en"")"),"Refined and attractive price I bought these earrings for a gift. I was pleasantly surprised, they are very nice, refined and very stylish. Good size, I was afraid it is too large. They are discrete. Better in real life than in pictures. I recommend this p"&amp;"urchase. great price value.")</f>
        <v>Refined and attractive price I bought these earrings for a gift. I was pleasantly surprised, they are very nice, refined and very stylish. Good size, I was afraid it is too large. They are discrete. Better in real life than in pictures. I recommend this purchase. great price value.</v>
      </c>
    </row>
    <row r="17848">
      <c r="A17848" s="1">
        <v>5.0</v>
      </c>
      <c r="B17848" s="1" t="s">
        <v>17549</v>
      </c>
      <c r="C17848" t="str">
        <f>IFERROR(__xludf.DUMMYFUNCTION("GOOGLETRANSLATE(B17848, ""fr"", ""en"")"),"Top quality from A to Z Very handy for hands-free phone and music for sport or anywhere. Relatively quiet compared to traditional headphones follows you around and works through walls. Surprising as product just fine attention to person in the skull and s"&amp;"uddenly because contact ear is not done correctly in loss of sound. Perfect for me thank you. I like")</f>
        <v>Top quality from A to Z Very handy for hands-free phone and music for sport or anywhere. Relatively quiet compared to traditional headphones follows you around and works through walls. Surprising as product just fine attention to person in the skull and suddenly because contact ear is not done correctly in loss of sound. Perfect for me thank you. I like</v>
      </c>
    </row>
    <row r="17849">
      <c r="A17849" s="1">
        <v>2.0</v>
      </c>
      <c r="B17849" s="1" t="s">
        <v>17550</v>
      </c>
      <c r="C17849" t="str">
        <f>IFERROR(__xludf.DUMMYFUNCTION("GOOGLETRANSLATE(B17849, ""fr"", ""en"")"),"What is the shelf mouse pratique.facilement An adjustable product but la.molette of la.tablette mouse has prevented the tablet itself to be flat .... like the wheel is below ... and the tablet comes stop on the foot when you put the tablet in bed position"&amp;" ... bad design?")</f>
        <v>What is the shelf mouse pratique.facilement An adjustable product but la.molette of la.tablette mouse has prevented the tablet itself to be flat .... like the wheel is below ... and the tablet comes stop on the foot when you put the tablet in bed position ... bad design?</v>
      </c>
    </row>
    <row r="17850">
      <c r="A17850" s="1">
        <v>1.0</v>
      </c>
      <c r="B17850" s="1" t="s">
        <v>17551</v>
      </c>
      <c r="C17850" t="str">
        <f>IFERROR(__xludf.DUMMYFUNCTION("GOOGLETRANSLATE(B17850, ""fr"", ""en"")"),"Avoid this purchase ⛔ Odorless 🤔😭")</f>
        <v>Avoid this purchase ⛔ Odorless 🤔😭</v>
      </c>
    </row>
    <row r="17851">
      <c r="A17851" s="1">
        <v>1.0</v>
      </c>
      <c r="B17851" s="1" t="s">
        <v>17552</v>
      </c>
      <c r="C17851" t="str">
        <f>IFERROR(__xludf.DUMMYFUNCTION("GOOGLETRANSLATE(B17851, ""fr"", ""en"")"),"Much too large We followed the scale of magnitude (measured in cm feet) founie by the seller, does not correspond at all to the size !!!")</f>
        <v>Much too large We followed the scale of magnitude (measured in cm feet) founie by the seller, does not correspond at all to the size !!!</v>
      </c>
    </row>
    <row r="17852">
      <c r="A17852" s="1">
        <v>3.0</v>
      </c>
      <c r="B17852" s="1" t="s">
        <v>17553</v>
      </c>
      <c r="C17852" t="str">
        <f>IFERROR(__xludf.DUMMYFUNCTION("GOOGLETRANSLATE(B17852, ""fr"", ""en"")"),"Mouai blah! I bought these headphones for studio recording. Although closed on its spring and the micro transplanted. The sound is not great. The only highlight is the comfort on the ears. Quite disappointed that yet widely recommended helmet on the net.")</f>
        <v>Mouai blah! I bought these headphones for studio recording. Although closed on its spring and the micro transplanted. The sound is not great. The only highlight is the comfort on the ears. Quite disappointed that yet widely recommended helmet on the net.</v>
      </c>
    </row>
    <row r="17853">
      <c r="A17853" s="1">
        <v>3.0</v>
      </c>
      <c r="B17853" s="1" t="s">
        <v>17554</v>
      </c>
      <c r="C17853" t="str">
        <f>IFERROR(__xludf.DUMMYFUNCTION("GOOGLETRANSLATE(B17853, ""fr"", ""en"")"),"The practical bag is not bad, she is pretty and practical")</f>
        <v>The practical bag is not bad, she is pretty and practical</v>
      </c>
    </row>
    <row r="17854">
      <c r="A17854" s="1">
        <v>4.0</v>
      </c>
      <c r="B17854" s="1" t="s">
        <v>17555</v>
      </c>
      <c r="C17854" t="str">
        <f>IFERROR(__xludf.DUMMYFUNCTION("GOOGLETRANSLATE(B17854, ""fr"", ""en"")"),"protective sheet roll Parcel arrived faster than expected. Product confirms the description. For the quality, I have not tried yet. We'll see when the time comes")</f>
        <v>protective sheet roll Parcel arrived faster than expected. Product confirms the description. For the quality, I have not tried yet. We'll see when the time comes</v>
      </c>
    </row>
    <row r="17855">
      <c r="A17855" s="1">
        <v>4.0</v>
      </c>
      <c r="B17855" s="1" t="s">
        <v>17556</v>
      </c>
      <c r="C17855" t="str">
        <f>IFERROR(__xludf.DUMMYFUNCTION("GOOGLETRANSLATE(B17855, ""fr"", ""en"")"),"good product very good product but expensive for its manufacture plastic ... very ""cheap"", capacity ... poor enough damage, they could have done better for that price")</f>
        <v>good product very good product but expensive for its manufacture plastic ... very "cheap", capacity ... poor enough damage, they could have done better for that price</v>
      </c>
    </row>
    <row r="17856">
      <c r="A17856" s="1">
        <v>4.0</v>
      </c>
      <c r="B17856" s="1" t="s">
        <v>17557</v>
      </c>
      <c r="C17856" t="str">
        <f>IFERROR(__xludf.DUMMYFUNCTION("GOOGLETRANSLATE(B17856, ""fr"", ""en"")"),"Easy to connect with his IPad Good product, works fine")</f>
        <v>Easy to connect with his IPad Good product, works fine</v>
      </c>
    </row>
    <row r="17857">
      <c r="A17857" s="1">
        <v>4.0</v>
      </c>
      <c r="B17857" s="1" t="s">
        <v>17558</v>
      </c>
      <c r="C17857" t="str">
        <f>IFERROR(__xludf.DUMMYFUNCTION("GOOGLETRANSLATE(B17857, ""fr"", ""en"")"),"Good Value Price Delivery a bit long in this Christmas season, however, the package arrived sooner than expected. That's not bad ! I will buy this product on Amazon, the price is much more interesting than the physical competitors. Good quality / price fo"&amp;"r a genuine ink. I am satisfied with the overall performance and give a 5/5.")</f>
        <v>Good Value Price Delivery a bit long in this Christmas season, however, the package arrived sooner than expected. That's not bad ! I will buy this product on Amazon, the price is much more interesting than the physical competitors. Good quality / price for a genuine ink. I am satisfied with the overall performance and give a 5/5.</v>
      </c>
    </row>
    <row r="17858">
      <c r="A17858" s="1">
        <v>5.0</v>
      </c>
      <c r="B17858" s="1" t="s">
        <v>17559</v>
      </c>
      <c r="C17858" t="str">
        <f>IFERROR(__xludf.DUMMYFUNCTION("GOOGLETRANSLATE(B17858, ""fr"", ""en"")"),"respected within the product meets my expectations")</f>
        <v>respected within the product meets my expectations</v>
      </c>
    </row>
    <row r="17859">
      <c r="A17859" s="1">
        <v>5.0</v>
      </c>
      <c r="B17859" s="1" t="s">
        <v>17560</v>
      </c>
      <c r="C17859" t="str">
        <f>IFERROR(__xludf.DUMMYFUNCTION("GOOGLETRANSLATE(B17859, ""fr"", ""en"")"),"Simple and effective must have four minutes is enough after washing baby bottles. Although some experts advise against the sterilizer, it does not hurt especially the first month. While measuring the microwave to see if it fits A must have")</f>
        <v>Simple and effective must have four minutes is enough after washing baby bottles. Although some experts advise against the sterilizer, it does not hurt especially the first month. While measuring the microwave to see if it fits A must have</v>
      </c>
    </row>
    <row r="17860">
      <c r="A17860" s="1">
        <v>5.0</v>
      </c>
      <c r="B17860" s="1" t="s">
        <v>17561</v>
      </c>
      <c r="C17860" t="str">
        <f>IFERROR(__xludf.DUMMYFUNCTION("GOOGLETRANSLATE(B17860, ""fr"", ""en"")"),"Article consistent with our expectation Very good qualities")</f>
        <v>Article consistent with our expectation Very good qualities</v>
      </c>
    </row>
    <row r="17861">
      <c r="A17861" s="1">
        <v>5.0</v>
      </c>
      <c r="B17861" s="1" t="s">
        <v>17562</v>
      </c>
      <c r="C17861" t="str">
        <f>IFERROR(__xludf.DUMMYFUNCTION("GOOGLETRANSLATE(B17861, ""fr"", ""en"")"),"perfect perfect shoes fit me like a glove I love I'm a fan of mine, I am not to have buy decue")</f>
        <v>perfect perfect shoes fit me like a glove I love I'm a fan of mine, I am not to have buy decue</v>
      </c>
    </row>
    <row r="17862">
      <c r="A17862" s="1">
        <v>5.0</v>
      </c>
      <c r="B17862" s="1" t="s">
        <v>17563</v>
      </c>
      <c r="C17862" t="str">
        <f>IFERROR(__xludf.DUMMYFUNCTION("GOOGLETRANSLATE(B17862, ""fr"", ""en"")"),"Good quality oil oil contained in a glass bottle which is better for conservation. natural and organic oil to slow hair growth. This effect is visible after a few weeks of use. Good value for money")</f>
        <v>Good quality oil oil contained in a glass bottle which is better for conservation. natural and organic oil to slow hair growth. This effect is visible after a few weeks of use. Good value for money</v>
      </c>
    </row>
    <row r="17863">
      <c r="A17863" s="1">
        <v>5.0</v>
      </c>
      <c r="B17863" s="1" t="s">
        <v>17564</v>
      </c>
      <c r="C17863" t="str">
        <f>IFERROR(__xludf.DUMMYFUNCTION("GOOGLETRANSLATE(B17863, ""fr"", ""en"")"),"Very good product The product corresponds exactly to my expectations. The sound is very good with my Denon hi-fi chain. We must reduce the sound of the headphones and the sound from the chain to not hear any breath in headphones.")</f>
        <v>Very good product The product corresponds exactly to my expectations. The sound is very good with my Denon hi-fi chain. We must reduce the sound of the headphones and the sound from the chain to not hear any breath in headphones.</v>
      </c>
    </row>
    <row r="17864">
      <c r="A17864" s="1">
        <v>5.0</v>
      </c>
      <c r="B17864" s="1" t="s">
        <v>17565</v>
      </c>
      <c r="C17864" t="str">
        <f>IFERROR(__xludf.DUMMYFUNCTION("GOOGLETRANSLATE(B17864, ""fr"", ""en"")"),"Small kettle travel kettle purchased for an upcoming trip, tested before putting it in the suitcase. It heats very well, largely small enough for a breakfast bar in the hotel room, its base separating from the kettle itself which is a plus. I do not regre"&amp;"t this purchase, which, again, was delivered very quickly, the kettle was well protected in its box.")</f>
        <v>Small kettle travel kettle purchased for an upcoming trip, tested before putting it in the suitcase. It heats very well, largely small enough for a breakfast bar in the hotel room, its base separating from the kettle itself which is a plus. I do not regret this purchase, which, again, was delivered very quickly, the kettle was well protected in its box.</v>
      </c>
    </row>
    <row r="17865">
      <c r="A17865" s="1">
        <v>5.0</v>
      </c>
      <c r="B17865" s="1" t="s">
        <v>17566</v>
      </c>
      <c r="C17865" t="str">
        <f>IFERROR(__xludf.DUMMYFUNCTION("GOOGLETRANSLATE(B17865, ""fr"", ""en"")"),"Of Book")</f>
        <v>Of Book</v>
      </c>
    </row>
    <row r="17866">
      <c r="A17866" s="1">
        <v>5.0</v>
      </c>
      <c r="B17866" s="1" t="s">
        <v>17567</v>
      </c>
      <c r="C17866" t="str">
        <f>IFERROR(__xludf.DUMMYFUNCTION("GOOGLETRANSLATE(B17866, ""fr"", ""en"")"),"Helmet reduction lightweight Active Noise, comfortable and portable &lt;div id = ""video-block-R1FDQDBBHH4X9Y"" class = ""a-section-spacing-small in-spacing-top mini video-block""&gt; &lt;div tabindex = ""0"" class = ""airy airy-svg vmin-supported airy-skin-beacon"&amp;""" style = ""background-color: rgb (0, 0, 0); position: relative; width: 100%; height: 100%; font -size: 0px; overflow: hidden; outline: none; ""&gt; &lt;div class ="" airy-renderer-container ""style ="" position: relative; height: 100%; width: 100%; ""&gt; &lt;video"&amp;" id ="" 15 ""preload ="" auto ""src ="" https://images-eu.ssl-images-amazon.com/images/I/D1IbOBKnQQS.mp4 ""style ="" position: absolute; left: 0px; top: 0px; overflow : hidden; height: 1px; width: 1px; ""&gt; &lt;/ video&gt; &lt;/ div&gt; &lt;div id ="" airy-slate-preload "&amp;"""style ="" background-color: rgb (0, 0, 0); background- image: url (&amp; quot; https: //images-eu.ssl-images-amazon.com/images/I/91EfgEp7HSS.png&amp;quot;); background-size: contain; background-position: center center; background-repeat: no -repeat; position: a"&amp;"bsolute; top: 0px; left: 0px; Visib ility: visible; width: 100%; height: 100% ""&gt; &lt;/ div&gt; &lt;iframe scrolling ="" no ""frameborder ="" 0 ""src ="" about: blank ""style ="" display: none; ""&gt; &lt;/ iframe&gt; &lt;div tabindex ="" - 1 ""class ="" airy-controls-contain"&amp;"er ""style ="" opacity: 0; visibility: hidden; ""&gt; &lt;div tabindex ="" - 1 ""class ="" airy-screen-size-toggle airy-fullscreen ""&gt; &lt;/ div&gt; &lt;div tabindex ="" - 1 ""class ="" airy-container-bottom "" &gt; &lt;div tabindex = ""- 1"" class = ""airy-track-bar spacer-l"&amp;"eft"" style = ""width: 11px;""&gt; &lt;/ div&gt; &lt;div tabindex = ""- 1"" class = ""airy-play- toggle airy-play ""style ="" width: 12px; margin-right: 12px; ""&gt; &lt;/ div&gt; &lt;div tabindex ="" - 1 ""class ="" airy-audio-elements ""style ="" float: right; width: 34px; ""&gt;"&amp;" &lt;div tabindex ="" - 1 ""class ="" airy-audio-toggle airy-on ""&gt; &lt;/ div&gt; &lt;div tabindex ="" - 1 ""class ="" airy-audio-container ""style = ""opacity: 0; visibility: hidden; ""&gt; &lt;div tabindex ="" - 1 ""class ="" airy-audio-track-bar ""style ="" height: 80%;"&amp;" ""&gt; &lt;div tabindex ="" - 1 ""class ="" airy-audio- scrubber bar ""style ="" height: 85% ""&gt; &lt;/ div&gt; &lt;div tabindex ="" - 1 ""class ="" airy-audio-scrubber ""style ="" height: 12px; bottom: 85% ""&gt; &lt;/ div&gt; &lt;/ div&gt; &lt;/ div&gt; &lt;/ div&gt; &lt;div tabindex ="" - 1 ""cla"&amp;"ss ="" airy-duration-label ""style ="" float: right; width: 26px; margin-right: 4px; text-align: center; ""&gt; 0:00 &lt;/ div&gt; &lt;div tabindex ="" - 1 ""class ="" airy-track-bar spacer-right ""style ="" float: right; width: 11px; ""&gt; &lt;/ div&gt; &lt;div tabindex ="" - "&amp;"1 ""class ="" airy-track-bar-container ""style ="" margin-left: 35px; margin-right: 75px; ""&gt; &lt;div tabindex ="" - 1 ""class ="" airy-airy-track-bar vertical-centering-table ""&gt; &lt;div tabindex ="" - 1 ""class ="" airy-vertical-centering- table-cell ""&gt; &lt;div"&amp;" tabindex ="" - 1 ""class ="" airy-track-bar elements ""&gt; &lt;div tabindex ="" - 1 ""class ="" airy-progress bar ""&gt; &lt;/ div&gt; &lt;div tabindex = ""- 1"" class = ""airy-scrubber bar""&gt; &lt;/ div&gt; &lt;div tabindex = ""- 1"" class = ""airy-scrubber""&gt; &lt;div tabindex = ""-"&amp;" 1"" class = ""airy-scrubber- icon ""&gt; &lt;/ div&gt; &lt;div tabindex ="" - 1 ""class ="" airy-adjusted-aui-tooltip ""style ="" opacity: 0; visibility: hidden; ""&gt; &lt;div tabindex ="" - 1 ""class ="" airy-adjusted-aui-tooltip-inner ""&gt; &lt;div tabindex ="" - 1 ""class "&amp;"="" airy-current-time-label ""&gt; 0 00 &lt;/ div&gt; &lt;/ div&gt; &lt;div tabindex = ""- 1"" class = ""airy-adjusted-aui-arrow-border""&gt; &lt;div tabindex = ""- 1"" class = ""airy-adjusted-aui-arrow"" &gt; &lt;/ div&gt; &lt;/ div&gt; &lt;/ div&gt; &lt;/ div&gt; &lt;/ div&gt; &lt;/ div&gt; &lt;/ div&gt; &lt;/ div&gt; &lt;/ div&gt; "&amp;"&lt;/ div&gt; &lt;div tabindex = ""- 1"" class = ""airy-airy-age-gate course airy-vertical-centering table-airy-dialog"" style = ""opacity: 0; visibility: hidden; ""&gt; &lt;div tabindex ="" - 1 ""class ="" airy-age-gate-vertical-centering-table-cell airy-vertical-cente"&amp;"ring-table-cell ""&gt; &lt;div tabindex ="" - 1 ""class = ""airy-vertical-centering-wrapper airy-age-gate-elements-wrapper""&gt; &lt;div tabindex = ""- 1"" class = ""airy-age-gate-elements airy-dialog-elements""&gt; &lt;div tabindex = "" -1 ""class ="" airy-age-gate-prompt"&amp;" ""&gt; This video is not Intended for all audiences What time were you born &lt;/ div&gt; &lt;div tabindex =.?"" - 1 ""class ="" airy-age-gate -inputs airy-dialog-inner-elements ""&gt; &lt;select tabindex ="" - 1 ""class ="" airy-age-gate-month ""&gt; &lt;option value ="" 1 ""&gt;"&amp;" January &lt;/ option&gt; &lt;option value ="" 2 ""&gt; February &lt;/ option&gt; &lt;option value ="" 3 ""&gt; March &lt;/ option&gt; &lt;option value ="" 4 ""&gt; April &lt;/ option&gt; &lt;option value ="" 5 ""&gt; May &lt;/ option&gt; &lt;option value = ""6""&gt; June &lt;/ option&gt; &lt;option value = ""7""&gt; July &lt;/ "&amp;"option&gt; &lt;option value = ""8""&gt; August &lt;/ option&gt; &lt;option value = ""9""&gt; September &lt;/ option&gt; &lt;option value = ""10""&gt; October &lt;/ option&gt; &lt;option value = ""11""&gt; November &lt;/ option&gt; &lt;option value = ""12""&gt; December &lt;/ option&gt; &lt;/ select&gt; &lt;select tabindex = "&amp;"""- 1"" class = ""airy-age-gate-day""&gt; &lt;opti = One value ""1""&gt; 1 &lt;/ option&gt; &lt;option value = ""2""&gt; 2 &lt;/ option&gt; &lt;option value = ""3""&gt; 3 &lt;/ option&gt; &lt;option value = ""4""&gt; 4 &lt;/ option &gt; &lt;option value = ""5""&gt; 5 &lt;/ option&gt; &lt;option value = ""6""&gt; 6 &lt;/ optio"&amp;"n&gt; &lt;option value = ""7""&gt; 7 &lt;/ option&gt; &lt;option value = ""8""&gt; 8 &lt; / option&gt; &lt;option value = ""9""&gt; 9 &lt;/ option&gt; &lt;option value = ""10""&gt; 10 &lt;/ option&gt; &lt;option value = ""11""&gt; 11 &lt;/ option&gt; &lt;option value = ""12""&gt; 12 &lt;/ option&gt; &lt;option value = ""13""&gt; 13 &lt;/"&amp;" option&gt; &lt;option value = ""14""&gt; 14 &lt;/ option&gt; &lt;option value = ""15""&gt; 15 &lt;/ option&gt; &lt;option value = ""16 ""&gt; 16 &lt;/ option&gt; &lt;option value ="" 17 ""&gt; 17 &lt;/ option&gt; &lt;option value ="" 18 ""&gt; 18 &lt;/ option&gt; &lt;option value ="" 19 ""&gt; 19 &lt;/ option&gt; &lt;option value "&amp;"= ""20""&gt; 20 &lt;/ option&gt; &lt;option value = ""21""&gt; 21 &lt;/ option&gt; &lt;option value = ""22""&gt; 22 &lt;/ option&gt; &lt;option value = ""23""&gt; 23 &lt;/ option&gt; &lt;option value = ""24""&gt; 24 &lt;/ option&gt; &lt;option value = ""25""&gt; 25 &lt;/ option&gt; &lt;option value = ""26""&gt; 26 &lt;/ option&gt; &lt;op"&amp;"tion value = ""27""&gt; 27 &lt;/ option&gt; &lt;option value = ""28""&gt; 28 &lt;/ option&gt; &lt;option value = ""29""&gt; 29 &lt;/ option&gt; &lt;option value = ""30""&gt; 30 &lt;/ option&gt; &lt;option value = ""31""&gt; 31 &lt;/ option&gt; &lt;/ select&gt; &lt;select tabindex = ""- 1"" class = ""airy-age-gate-year"""&amp;"&gt; &lt;option value = ""2019""&gt; 2019 &lt;/ option&gt; &lt; option value = ""2018""&gt; 2018 &lt;/ option&gt; &lt;option value = ""2017""&gt; 2017 &lt;/ option&gt; &lt;option value = ""2016""&gt; ​​2016 &lt;/ option&gt; &lt;option value = ""2015""&gt; 2015 &lt;/ option &gt; &lt;option value = ""2014""&gt; 2014 &lt;/ optio"&amp;"n&gt; &lt;option value = ""2013""&gt; 2013 &lt;/ option&gt; &lt;option value = ""2012""&gt; 2012 &lt;/ option&gt; &lt;option value = ""2011""&gt; 2011 &lt; / option&gt; &lt;option value = ""2010""&gt; 2010 &lt;/ option&gt; &lt;option value = ""2009""&gt; 2009 &lt;/ option&gt; &lt;option value = ""2008""&gt; 2008 &lt;/ option&gt;"&amp;" &lt;option value = ""2007""&gt; 2007 &lt;/ option&gt; &lt;option value = ""2006""&gt; 2006 &lt;/ option&gt; &lt;option value = ""2005""&gt; 2005 &lt;/ option&gt; &lt;option value = ""2004""&gt; 2004 &lt;/ option&gt; &lt;option value = ""2003 ""&gt; 2003 &lt;/ option&gt; &lt;option value ="" 2002 ""&gt; 2002 &lt;/ option&gt; "&amp;"&lt;option value ="" 2001 ""&gt; 2001 &lt;/ option&gt; &lt;option value ="" 2000 ""&gt; 2000 &lt;/ option&gt; &lt;option value = ""1999""&gt; 1999 &lt;/ option&gt; &lt;option value = ""1998""&gt; 1998 &lt;/ option&gt; &lt;option value = ""1997""&gt; 1997 &lt;/ option&gt; &lt;option value = ""1996""&gt; 1996 &lt;/ option&gt; &lt;"&amp;"option value = ""1995""&gt; 1995 &lt;/ option&gt; &lt;option value = ""1994""&gt; 1994 &lt;/ option&gt; &lt;option value = ""1993""&gt; 1993 &lt;/ option&gt; &lt;option value = ""1992""&gt; 1992 &lt;/ option&gt; &lt;option value = ""1991""&gt; 1991 &lt;/ option&gt; &lt;option value = ""1990""&gt; 1990 &lt;/ option&gt; &lt;opt"&amp;"ion value = "" 1989 ""&gt; 1989 &lt;/ option&gt; &lt;option value ="" 1988 ""&gt; 1988 &lt;/ option&gt; &lt;option value ="" 1987 ""&gt; 1987 &lt;/ option&gt; &lt;option value ="" 1986 ""&gt; 1986 &lt;/ option&gt; &lt;option value = ""1985""&gt; 1985 &lt;/ option&gt; &lt;option value = ""1984""&gt; 1984 &lt;/ option&gt; &lt;o"&amp;"ption value = ""1983""&gt; 1983 &lt;/ option&gt; &lt;option value = ""1982""&gt; 1982 &lt;/ option&gt; &lt; option value = ""1981""&gt; 1981 &lt;/ option&gt; &lt;option value = ""1980""&gt; 1980 &lt;/ option&gt; &lt;option value = ""1979""&gt; 1979 &lt;/ option&gt; &lt;option value = ""1978""&gt; 1978 &lt;/ option &gt; &lt;op"&amp;"tion value = ""1977""&gt; 1977 &lt;/ option&gt; &lt;option value = ""1976""&gt; 1976 &lt;/ option&gt; &lt;option value = ""1975""&gt; 1975 &lt;/ option&gt; &lt;option value = ""1974""&gt; 1974 &lt; / option&gt; &lt;option value = ""1973""&gt; 1973 &lt;/ option&gt; &lt;option value = ""1972""&gt; 1972 &lt;/ option&gt; &lt;opti"&amp;"on value = ""1971""&gt; 1971 &lt;/ option&gt; &lt;option value = ""1970""&gt; 1970 &lt;/ option&gt; &lt;option value = ""1969""&gt; 1969 &lt;/ option&gt; &lt;option value = ""1968""&gt; 1968 &lt;/ option&gt; &lt;option value = ""1967""&gt; 1967 &lt;/ option&gt; &lt;option value = ""1966 ""&gt; 1966 &lt;/ option&gt; &lt;option"&amp;" value ="" 1965 ""&gt; 1965 &lt;/ option&gt; &lt;option value ="" 1964 ""&gt; 1964 &lt;/ option&gt; &lt;option value ="" 1963 ""&gt; 1963 &lt;/ option&gt; &lt;option value = ""1962""&gt; 1962 &lt;/ option&gt; &lt;option value = ""1961""&gt; 1961 &lt;/ option&gt; &lt;option value = ""1960""&gt; 1960 &lt;/ op tion&gt; &lt;optio"&amp;"n value = ""1959""&gt; 1959 &lt;/ option&gt; &lt;option value = ""1958""&gt; 1958 &lt;/ option&gt; &lt;option value = ""1957""&gt; 1957 &lt;/ option&gt; &lt;option value = ""1956""&gt; 1956 &lt;/ option&gt; &lt;option value = ""1955""&gt; 1955 &lt;/ option&gt; &lt;option value = ""1954""&gt; 1954 &lt;/ option&gt; &lt;option v"&amp;"alue = ""1953""&gt; 1953 &lt;/ option&gt; &lt;option value = ""1952"" &gt; 1952 &lt;/ option&gt; &lt;option value = ""1951""&gt; 1951 &lt;/ option&gt; &lt;option value = ""1950""&gt; 1950 &lt;/ option&gt; &lt;option value = ""1949""&gt; 1949 &lt;/ option&gt; &lt;option value = "" 1948 ""&gt; 1948 &lt;/ option&gt; &lt;option v"&amp;"alue ="" 1947 ""&gt; 1947 &lt;/ option&gt; &lt;option value ="" 1946 ""&gt; 1946 &lt;/ option&gt; &lt;option value ="" 1945 ""&gt; 1945 &lt;/ option&gt; &lt;option value = ""1944""&gt; 1944 &lt;/ option&gt; &lt;option value = ""1943""&gt; 1943 &lt;/ option&gt; &lt;option value = ""1942""&gt; 1942 &lt;/ option&gt; &lt;option v"&amp;"alue = ""1941""&gt; 1941 &lt;/ option&gt; &lt; option value = ""1940""&gt; 1940 &lt;/ option&gt; &lt;option value = ""1939""&gt; 1939 &lt;/ option&gt; &lt;option value = ""1938""&gt; 1938 &lt;/ option&gt; &lt;option value = ""1937""&gt; 1937 &lt;/ option &gt; &lt;option value = ""1936""&gt; 1936 &lt;/ option&gt; &lt;option va"&amp;"lue = ""1935""&gt; 1935 &lt;/ option&gt; &lt;option value = ""1934""&gt; 1934 &lt;/ option&gt; &lt;option value = ""1933""&gt; 1933 &lt; / option&gt; &lt;option value = ""1932""&gt; 1932 &lt;/ option&gt; &lt;option value = ""1931""&gt; 1931 &lt;/ option&gt; &lt;option v alue = ""1930""&gt; 1930 &lt;/ option&gt; &lt;option val"&amp;"ue = ""1929""&gt; 1929 &lt;/ option&gt; &lt;option value = ""1928""&gt; 1928 &lt;/ option&gt; &lt;option value = ""1927""&gt; 1927 &lt;/ option&gt; &lt;option value = ""1926""&gt; 1926 &lt;/ option&gt; &lt;option value = ""1925""&gt; 1925 &lt;/ option&gt; &lt;option value = ""1924""&gt; 1924 &lt;/ option&gt; &lt;option value "&amp;"= ""1923""&gt; 1923 &lt;/ option&gt; &lt;option value = ""1922""&gt; 1922 &lt;/ option&gt; &lt;option value = ""1921""&gt; 1921 &lt;/ option&gt; &lt;option value = ""1920""&gt; 1920 &lt;/ option&gt; &lt;option value = ""1919""&gt; 1919 &lt;/ option&gt; &lt;option value = ""1918""&gt; 1918 &lt;/ option&gt; &lt;option value = "&amp;"""1917""&gt; 1917 &lt;/ option&gt; &lt;option value = ""1916""&gt; 1916 &lt;/ option&gt; &lt;option value = ""1915"" &gt; 1915 &lt;/ option&gt; &lt;option value = ""1914""&gt; 1914 &lt;/ option&gt; &lt;option value = ""1913""&gt; 1913 &lt;/ option&gt; &lt;option value = ""1912""&gt; 1912 &lt;/ option&gt; &lt;option value = """&amp;" 1911 ""&gt; 1911 &lt;/ option&gt; &lt;option value ="" 1910 ""&gt; 1910 &lt;/ option&gt; &lt;option value ="" 1909 ""&gt; 1909 &lt;/ option&gt; &lt;option value ="" 1908 ""&gt; 1908 &lt;/ option&gt; &lt;option value = ""1907""&gt; 1907 &lt;/ option&gt; &lt;option value = ""1906""&gt; 1906 &lt;/ option&gt; &lt;option value = "&amp;"""1905""&gt; 1905 &lt;/ option&gt; &lt;option value = ""1904""&gt; 1904 &lt;/ option&gt; &lt; option value = ""1903""&gt; 1903 &lt;/ option&gt; &lt;option value = ""1902""&gt; 1902 &lt;/ option&gt; &lt;option value = ""1901""&gt; 19 01 &lt;/ option&gt; &lt;option value = ""1900""&gt; 1900 &lt;/ option&gt; &lt;/ select&gt; &lt;div t"&amp;"abindex = ""- 1"" class = ""airy-age-gate-submit airy-submit-button airy airy-submit- disabled ""&gt; Submit &lt;/ div&gt; &lt;/ div&gt; &lt;/ div&gt; &lt;/ div&gt; &lt;/ div&gt; &lt;/ div&gt; &lt;div tabindex ="" - 1 ""class ="" airy-install-flash-dialog airy-course airy -Vertical-centering-tabl"&amp;"e dialog airy-airy-denied ""style ="" opacity: 0; visibility: hidden; ""&gt; &lt;div tabindex ="" - 1 ""class ="" airy-install-flash-vertical-centering-table-cell airy-vertical-centering-table-cell ""&gt; &lt;div tabindex ="" - 1 ""class = ""airy-vertical-centering-w"&amp;"rapper airy-install-flash-elements-wrapper""&gt; &lt;div tabindex = ""- 1"" class = ""airy-install-flash-elements airy-dialog-elements""&gt; &lt;div tabindex = "" -1 ""class ="" airy-install-flash-prompt ""&gt; Adobe Flash Player is required to watch this video &lt;/ div&gt; "&amp;"&lt;div = tabindex."" - 1 ""class ="" airy-install-flash-button-wrapper airy -dialog-inner-elements ""&gt; &lt;div tabindex ="" - 1 ""class ="" airy-install-flash-button airy-button ""&gt; install Flash Player &lt;/ div&gt; &lt;/ div&gt; &lt;/ div&gt; &lt;/ div&gt; &lt;/ div&gt; &lt;/ div&gt; &lt;div tabi"&amp;"ndex = ""- 1"" class = ""airy-video-unsupported-dialog airy-course airy-vertical-centering table-airy-dialog airy-denied"" style = ""opacity: 0; visibility: hidden; ""&gt; &lt;div tabindex ="" - 1 ""class ="" airy-video-unsupported-vertical-centering-table-cell"&amp;" airy-vertical-centering-table-cell ""&gt; &lt;div tabindex ="" - 1 ""class = ""airy-vertical-centering-wrapper airy-video-unsupported-elements-wrapper""&gt; &lt;div tabindex = ""- 1"" class = ""airy-video-unsupported-elements airy-dialog-elements""&gt; &lt;div tabindex = "&amp;""" -1 ""class ="" airy-video-unsupported-prompt ""&gt; &lt;/ div&gt; &lt;/ div&gt; &lt;/ div&gt; &lt;/ div&gt; &lt;/ div&gt; &lt;div tabindex ="" - 1 ""class ="" airy-loading- spinner-stage airy-stage ""&gt; &lt;div tabindex ="" - 1 ""class ="" airy-loading-spinner-vertical-centering-table-cell a"&amp;"iry-vertical-centering-table-cell ""&gt; &lt;div tabindex ="" - 1 ""class ="" airy-loading-spinner container airy-scalable-hint-container ""&gt; &lt;div tabindex ="" - 1 ""class ="" airy-loading-spinner-dummy airy-scalable-dummy ""&gt; &lt;/ div&gt; &lt; div tabindex = ""- 1"" c"&amp;"lass = ""airy-loading-spinner airy-hint"" style = ""visibility: hidden;""&gt; &lt;/ div&gt; &lt;/ div&gt; &lt;/ div&gt; &lt;/ div&gt; &lt;div tabindex = ""- 1 ""class ="" airy-ads-screen-size-toggle airy-screen-size-toggle airy-fullscreen ""style ="" visibility: hidden; ""&gt; &lt;/ div&gt; &lt;d"&amp;"iv tabindex = ""-1"" class = ""airy-ad-prompt-container"" style = ""visibility: hidden;""&gt; &lt;div tabindex = ""- 1"" class = ""airy-ad-prompt-vertical-centering table-airy-vertical- centering-table ""&gt; &lt;div tabindex ="" - 1 ""class ="" airy-ad-prompt-vertic"&amp;"al-centering-table-cell airy-vertical-centering-table-cell ""&gt; &lt;div tabindex ="" - 1 ""class = ""airy-ad-prompt-label""&gt; &lt;/ div&gt; &lt;/ div&gt; &lt;/ div&gt; &lt;/ div&gt; &lt;div tabindex = ""- 1"" class = ""airy-ads-controls-container"" style = ""visibility: hidden; ""&gt; &lt;div"&amp;" tabindex ="" - 1 ""class ="" airy-ads-audio-toggle airy-audio-toggle airy-on ""style ="" visibility: hidden; ""&gt; &lt;/ div&gt; &lt;div tabindex ="" - 1 ""class ="" airy-time-remaining-label-container ""&gt; &lt;div tabindex ="" - 1 ""class ="" airy-time-remaining-verti"&amp;"cal-centering table-airy-vertical-centering-table ""&gt; &lt;div tabindex = ""- 1"" class = ""airy-time-remaining-vertical-centering-table-cell airy-vertical-centering-table-cell""&gt; &lt;div tabindex = ""- 1"" class = ""airy-vertical-centering-wrapper airy-time-rem"&amp;"aining-label-wrapper ""&gt; &lt;div tabindex ="" - 1 ""class ="" airy-time-remaining-label ""style ="" visibility: hidden; ""&gt; &lt;/ div&gt; &lt;div tabi ndex = ""- 1"" class = ""airy-ad-skip"" style = ""visibility: hidden;""&gt; &lt;/ div&gt; &lt;div tabindex = ""- 1"" class = ""a"&amp;"iry-ad-end"" style = ""visibility: hidden; ""&gt; &lt;/ div&gt; &lt;/ div&gt; &lt;/ div&gt; &lt;/ div&gt; &lt;/ div&gt; &lt;div tabindex ="" - 1 ""class ="" airy-learn-more ""style ="" visibility: hidden; ""&gt; &lt;/ div&gt; &lt;/ div&gt; &lt;div tabindex = ""- 1"" class = ""airy-play-toggle-hint-stage airy"&amp;"-course airy-cursor""&gt; &lt;div tabindex = ""- 1"" class = ""airy-play -toggle-hint-vertical-centering-table-cell airy-vertical-centering-table-cell airy-cursor ""&gt; &lt;div tabindex ="" - 1 ""class ="" airy-play-toggle-hint-container airy-scalable- hint-containe"&amp;"r ""&gt; &lt;div tabindex ="" - 1 ""class ="" airy-play-toggle-hint-dummy airy-scalable-dummy ""&gt; &lt;/ div&gt; &lt;div tabindex ="" - 1 ""class ="" airy-play -toggle airy-hint-hint-hint airy-play ""style ="" opacity: 1; visibility: visible; ""&gt; &lt;/ div&gt; &lt;/ div&gt; &lt;/ div&gt; "&amp;"&lt;/ div&gt; &lt;div tabindex ="" - 1 ""class ="" airy-replay-hint-stage airy-stage ""style ="" visibility: hidden ; ""&gt; &lt;div tabindex ="" - 1 ""class ="" airy-replay-hint-vertical-centering-table-cell airy-vertical-centering-table-cell airy-cursor ""&gt; &lt;div tabin"&amp;"dex ="" - 1 ""class = ""airy-replay-hint-container airy-scalable-hint-container""&gt; &lt;div tabindex = ""- 1"" class = ""airy-replay-hint-dummy airy-scalable-dummy""&gt; &lt;/ div&gt; &lt;div tabindex = ""- 1"" class = ""airy-replay-hint airy-hint""&gt; &lt;/ div&gt; &lt;/ div&gt; &lt;/ d"&amp;"iv&gt; &lt;/ div&gt; &lt;div tabindex = ""- 1"" class = ""airy-autoplay-hint -stage airy-stage ""style ="" visibility: hidden; ""&gt; &lt;div tabindex ="" - 1 ""class ="" airy-autoplay-hint-vertical-centering-table-cell airy-vertical-centering-table-cell airy- cursor ""&gt; &lt;"&amp;"div tabindex ="" - 1 ""class ="" autoplay airy-airy-hint-container-scalable-hint-container ""&gt; &lt;div tabindex ="" - 1 ""class ="" airy-autoplay-hint-dummy airy- scalable-dummy ""&gt; &lt;/ div&gt; &lt;/ div&gt; &lt;/ div&gt; &lt;/ div&gt; &lt;/ div&gt; &lt;/ div&gt; &lt;input type ="" hidden ""nam"&amp;"e ="" ""value ="" https: // pictures-eu .ssl-image amazon.com / images / I / D1IbOBKnQQS.mp4 ""Class ="" video-url ""&gt; &lt;input type ="" hidden ""name ="" ""value ="" https://images-eu.ssl-images-amazon.com/images/I/91EfgEp7HSS.png ""class ="" video-slate-i"&amp;"mg-url ""&gt; &amp; nbsp; I tested the E8 Cowin and wanted in headphone more portable, so I ordered this one to compare. This one is lighter and more compact since it folds. The ear cushions are very soft and suit me better because I have spacers and with this o"&amp;"ne I do not have to remove them. Regarding the ANC is not bad. The sound is very good, no complaints about that. The only thing I regret in relation to E8 is the magnetic system to remove ear cushions. Overall very satisfied with this canceling headset ac"&amp;"tive noise.")</f>
        <v>Helmet reduction lightweight Active Noise, comfortable and portable &lt;div id = "video-block-R1FDQDBBHH4X9Y" class = "a-section-spacing-small in-spacing-top mini video-block"&gt; &lt;div tabindex = "0" class = "airy airy-svg vmin-supported airy-skin-beacon" style = "background-color: rgb (0, 0, 0); position: relative; width: 100%; height: 100%; font -size: 0px; overflow: hidden; outline: none; "&gt; &lt;div class =" airy-renderer-container "style =" position: relative; height: 100%; width: 100%; "&gt; &lt;video id =" 15 "preload =" auto "src =" https://images-eu.ssl-images-amazon.com/images/I/D1IbOBKnQQS.mp4 "style =" position: absolute; left: 0px; top: 0px; overflow : hidden; height: 1px; width: 1px; "&gt; &lt;/ video&gt; &lt;/ div&gt; &lt;div id =" airy-slate-preload "style =" background-color: rgb (0, 0, 0); background- image: url (&amp; quot; https: //images-eu.ssl-images-amazon.com/images/I/91EfgEp7HSS.png&amp;quot;); background-size: contain; background-position: center center; background-repeat: no -repeat; position: absolute; top: 0px; left: 0px; Visib ility: visible; width: 100%; height: 100% "&gt; &lt;/ div&gt; &lt;iframe scrolling =" no "frameborder =" 0 "src =" about: blank "style =" display: none; "&gt;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D1IbOBKnQQS.mp4 "Class =" video-url "&gt; &lt;input type =" hidden "name =" "value =" https://images-eu.ssl-images-amazon.com/images/I/91EfgEp7HSS.png "class =" video-slate-img-url "&gt; &amp; nbsp; I tested the E8 Cowin and wanted in headphone more portable, so I ordered this one to compare. This one is lighter and more compact since it folds. The ear cushions are very soft and suit me better because I have spacers and with this one I do not have to remove them. Regarding the ANC is not bad. The sound is very good, no complaints about that. The only thing I regret in relation to E8 is the magnetic system to remove ear cushions. Overall very satisfied with this canceling headset active noise.</v>
      </c>
    </row>
    <row r="17867">
      <c r="A17867" s="1">
        <v>5.0</v>
      </c>
      <c r="B17867" s="1" t="s">
        <v>17568</v>
      </c>
      <c r="C17867" t="str">
        <f>IFERROR(__xludf.DUMMYFUNCTION("GOOGLETRANSLATE(B17867, ""fr"", ""en"")"),"Hello So happy with this new tool. Not only care is relaxing and enjoyable, but it's a miracle for my dark circles. Other more, it helps to relax the jaw in the late afternoon. I recommend to use it with a serum for benefits rejuvenating jade roller. I ha"&amp;"ve offered my entire family, even to men")</f>
        <v>Hello So happy with this new tool. Not only care is relaxing and enjoyable, but it's a miracle for my dark circles. Other more, it helps to relax the jaw in the late afternoon. I recommend to use it with a serum for benefits rejuvenating jade roller. I have offered my entire family, even to men</v>
      </c>
    </row>
    <row r="17868">
      <c r="A17868" s="1">
        <v>5.0</v>
      </c>
      <c r="B17868" s="1" t="s">
        <v>17569</v>
      </c>
      <c r="C17868" t="str">
        <f>IFERROR(__xludf.DUMMYFUNCTION("GOOGLETRANSLATE(B17868, ""fr"", ""en"")"),"Nice strong and practical bag Good quality")</f>
        <v>Nice strong and practical bag Good quality</v>
      </c>
    </row>
    <row r="17869">
      <c r="A17869" s="1">
        <v>5.0</v>
      </c>
      <c r="B17869" s="1" t="s">
        <v>17570</v>
      </c>
      <c r="C17869" t="str">
        <f>IFERROR(__xludf.DUMMYFUNCTION("GOOGLETRANSLATE(B17869, ""fr"", ""en"")"),"Good product I make some photocopies so the rather high cost of this mini cartridge is not fatal ... because good quality ink does not dry after a long period without use.")</f>
        <v>Good product I make some photocopies so the rather high cost of this mini cartridge is not fatal ... because good quality ink does not dry after a long period without use.</v>
      </c>
    </row>
    <row r="17870">
      <c r="A17870" s="1">
        <v>5.0</v>
      </c>
      <c r="B17870" s="1" t="s">
        <v>17571</v>
      </c>
      <c r="C17870" t="str">
        <f>IFERROR(__xludf.DUMMYFUNCTION("GOOGLETRANSLATE(B17870, ""fr"", ""en"")"),"Super comfort Very comfortable, superb quality")</f>
        <v>Super comfort Very comfortable, superb quality</v>
      </c>
    </row>
    <row r="17871">
      <c r="A17871" s="1">
        <v>5.0</v>
      </c>
      <c r="B17871" s="1" t="s">
        <v>17572</v>
      </c>
      <c r="C17871" t="str">
        <f>IFERROR(__xludf.DUMMYFUNCTION("GOOGLETRANSLATE(B17871, ""fr"", ""en"")"),"Ras Perfect superb")</f>
        <v>Ras Perfect superb</v>
      </c>
    </row>
    <row r="17872">
      <c r="A17872" s="1">
        <v>5.0</v>
      </c>
      <c r="B17872" s="1" t="s">
        <v>17573</v>
      </c>
      <c r="C17872" t="str">
        <f>IFERROR(__xludf.DUMMYFUNCTION("GOOGLETRANSLATE(B17872, ""fr"", ""en"")"),"Very surprised ! I bought these headphones by following the recommendations of other buyers at that price, I told myself that I was not taking a huge risk. I am pleasantly surprised by the sound quality of this headset and the battery seems to deliver. I "&amp;"use almost all day helmet and I usually have a preference for my Plantronics BackBeat Pro: the MPOW does not have all the qualities of the latter, but I can say that in terms of its it makes no pity: just listen to Supertramp to find the little sounds tha"&amp;"t some helmets have a lot of dog in return and you will understand that you have here something stunning for the price! Concretely, go: at worst, you'll have a spare helmet, but here is to the good, better than a spare wheel!")</f>
        <v>Very surprised ! I bought these headphones by following the recommendations of other buyers at that price, I told myself that I was not taking a huge risk. I am pleasantly surprised by the sound quality of this headset and the battery seems to deliver. I use almost all day helmet and I usually have a preference for my Plantronics BackBeat Pro: the MPOW does not have all the qualities of the latter, but I can say that in terms of its it makes no pity: just listen to Supertramp to find the little sounds that some helmets have a lot of dog in return and you will understand that you have here something stunning for the price! Concretely, go: at worst, you'll have a spare helmet, but here is to the good, better than a spare wheel!</v>
      </c>
    </row>
    <row r="17873">
      <c r="A17873" s="1">
        <v>2.0</v>
      </c>
      <c r="B17873" s="1" t="s">
        <v>17574</v>
      </c>
      <c r="C17873" t="str">
        <f>IFERROR(__xludf.DUMMYFUNCTION("GOOGLETRANSLATE(B17873, ""fr"", ""en"")"),"Color more brown than green color received different from that presented in picture: the received color is brown ""caramel""")</f>
        <v>Color more brown than green color received different from that presented in picture: the received color is brown "caramel"</v>
      </c>
    </row>
    <row r="17874">
      <c r="A17874" s="1">
        <v>1.0</v>
      </c>
      <c r="B17874" s="1" t="s">
        <v>17575</v>
      </c>
      <c r="C17874" t="str">
        <f>IFERROR(__xludf.DUMMYFUNCTION("GOOGLETRANSLATE(B17874, ""fr"", ""en"")"),"Error I received instead was a blue shirt size 12. I gave it to my nephew. I no longer had time to recommend. unnecessary purchase ...")</f>
        <v>Error I received instead was a blue shirt size 12. I gave it to my nephew. I no longer had time to recommend. unnecessary purchase ...</v>
      </c>
    </row>
    <row r="17875">
      <c r="A17875" s="1">
        <v>1.0</v>
      </c>
      <c r="B17875" s="1" t="s">
        <v>17576</v>
      </c>
      <c r="C17875" t="str">
        <f>IFERROR(__xludf.DUMMYFUNCTION("GOOGLETRANSLATE(B17875, ""fr"", ""en"")"),"Not recommended Disappointed at the reception. They are tiny and not as well designed as the photo. I do not recommend.")</f>
        <v>Not recommended Disappointed at the reception. They are tiny and not as well designed as the photo. I do not recommend.</v>
      </c>
    </row>
    <row r="17876">
      <c r="A17876" s="1">
        <v>3.0</v>
      </c>
      <c r="B17876" s="1" t="s">
        <v>17577</v>
      </c>
      <c r="C17876" t="str">
        <f>IFERROR(__xludf.DUMMYFUNCTION("GOOGLETRANSLATE(B17876, ""fr"", ""en"")"),"correct quality without a little noisy, pretty enough. Instructions for use in many languages ​​but not in French. Probably made in Poland.")</f>
        <v>correct quality without a little noisy, pretty enough. Instructions for use in many languages ​​but not in French. Probably made in Poland.</v>
      </c>
    </row>
    <row r="17877">
      <c r="A17877" s="1">
        <v>3.0</v>
      </c>
      <c r="B17877" s="1" t="s">
        <v>17578</v>
      </c>
      <c r="C17877" t="str">
        <f>IFERROR(__xludf.DUMMYFUNCTION("GOOGLETRANSLATE(B17877, ""fr"", ""en"")"),"No sound on Windows 10 not detect the microphone input on Windows 10.")</f>
        <v>No sound on Windows 10 not detect the microphone input on Windows 10.</v>
      </c>
    </row>
    <row r="17878">
      <c r="A17878" s="1">
        <v>4.0</v>
      </c>
      <c r="B17878" s="1" t="s">
        <v>17579</v>
      </c>
      <c r="C17878" t="str">
        <f>IFERROR(__xludf.DUMMYFUNCTION("GOOGLETRANSLATE(B17878, ""fr"", ""en"")"),"Very nice Very nice overall and very presentable for a gift. Well protected in a small container of plastic without risk of loss or deterioration sending Fast Good seller recommended")</f>
        <v>Very nice Very nice overall and very presentable for a gift. Well protected in a small container of plastic without risk of loss or deterioration sending Fast Good seller recommended</v>
      </c>
    </row>
    <row r="17879">
      <c r="A17879" s="1">
        <v>4.0</v>
      </c>
      <c r="B17879" s="1" t="s">
        <v>17580</v>
      </c>
      <c r="C17879" t="str">
        <f>IFERROR(__xludf.DUMMYFUNCTION("GOOGLETRANSLATE(B17879, ""fr"", ""en"")"),"Recognized and effective classroom without downloading anything on Windows 10, it works great. The sound is nice and grinding noises on the desktop are greatly reduced. Then design your throws with rectangular anti-puff even if the USB cable is the most I"&amp;"'ve ever seen :-)")</f>
        <v>Recognized and effective classroom without downloading anything on Windows 10, it works great. The sound is nice and grinding noises on the desktop are greatly reduced. Then design your throws with rectangular anti-puff even if the USB cable is the most I've ever seen :-)</v>
      </c>
    </row>
    <row r="17880">
      <c r="A17880" s="1">
        <v>4.0</v>
      </c>
      <c r="B17880" s="1" t="s">
        <v>17581</v>
      </c>
      <c r="C17880" t="str">
        <f>IFERROR(__xludf.DUMMYFUNCTION("GOOGLETRANSLATE(B17880, ""fr"", ""en"")"),"Watch full altimeter and simple to use Tested for 12 days hiking on mountain terrain I could appreciate the altimeter function essential to me about this kind of course. Fairly accurate when calibrated against a point on the map or markup (about 5 meters)"&amp;". Watch very light, compact and robust appearance. Updating data easy and convenient with large buttons enough for handling. The temperature function is really used once removed from the wrist. The barometer function is rather ""gadget"". With stopwatch f"&amp;"unction in addition to the usual functions of a classic watch this product is fairly complete especially at this price level. I recommend this product to anyone who did that make products ""hight tech"" sophisticated and expensive.")</f>
        <v>Watch full altimeter and simple to use Tested for 12 days hiking on mountain terrain I could appreciate the altimeter function essential to me about this kind of course. Fairly accurate when calibrated against a point on the map or markup (about 5 meters). Watch very light, compact and robust appearance. Updating data easy and convenient with large buttons enough for handling. The temperature function is really used once removed from the wrist. The barometer function is rather "gadget". With stopwatch function in addition to the usual functions of a classic watch this product is fairly complete especially at this price level. I recommend this product to anyone who did that make products "hight tech" sophisticated and expensive.</v>
      </c>
    </row>
    <row r="17881">
      <c r="A17881" s="1">
        <v>4.0</v>
      </c>
      <c r="B17881" s="1" t="s">
        <v>17582</v>
      </c>
      <c r="C17881" t="str">
        <f>IFERROR(__xludf.DUMMYFUNCTION("GOOGLETRANSLATE(B17881, ""fr"", ""en"")"),"Bag Shoulder stiff leather large enough that I finally returned shoulder bag because I found it a bit too rigid and too large compared to what I expected. The front flap has a magnetic closure which is far too low for maintaining security in the closed po"&amp;"sition.")</f>
        <v>Bag Shoulder stiff leather large enough that I finally returned shoulder bag because I found it a bit too rigid and too large compared to what I expected. The front flap has a magnetic closure which is far too low for maintaining security in the closed position.</v>
      </c>
    </row>
    <row r="17882">
      <c r="A17882" s="1">
        <v>5.0</v>
      </c>
      <c r="B17882" s="1" t="s">
        <v>17583</v>
      </c>
      <c r="C17882" t="str">
        <f>IFERROR(__xludf.DUMMYFUNCTION("GOOGLETRANSLATE(B17882, ""fr"", ""en"")"),"Perfect Earrings conform to the description. rapid and serious delivery! I am glad!!")</f>
        <v>Perfect Earrings conform to the description. rapid and serious delivery! I am glad!!</v>
      </c>
    </row>
    <row r="17883">
      <c r="A17883" s="1">
        <v>5.0</v>
      </c>
      <c r="B17883" s="1" t="s">
        <v>17584</v>
      </c>
      <c r="C17883" t="str">
        <f>IFERROR(__xludf.DUMMYFUNCTION("GOOGLETRANSLATE(B17883, ""fr"", ""en"")"),"Amazon thank you I love it, I bought these UV lamps with my friends, I am very satisfait.Ce projector is very original and has nothing to do with lighting traditionnel.C'est a powerful little black projector (ultraviolet ) .It is ideal for your wedding an"&amp;"niversary celebration and other divertissement.Je recommend this product through Amazon.")</f>
        <v>Amazon thank you I love it, I bought these UV lamps with my friends, I am very satisfait.Ce projector is very original and has nothing to do with lighting traditionnel.C'est a powerful little black projector (ultraviolet ) .It is ideal for your wedding anniversary celebration and other divertissement.Je recommend this product through Amazon.</v>
      </c>
    </row>
    <row r="17884">
      <c r="A17884" s="1">
        <v>5.0</v>
      </c>
      <c r="B17884" s="1" t="s">
        <v>17585</v>
      </c>
      <c r="C17884" t="str">
        <f>IFERROR(__xludf.DUMMYFUNCTION("GOOGLETRANSLATE(B17884, ""fr"", ""en"")"),"Trainers very light and good quality! Product of very good quality, lightweight with perfect shoe for all especially humides.Je soil recommend this product very interesting!")</f>
        <v>Trainers very light and good quality! Product of very good quality, lightweight with perfect shoe for all especially humides.Je soil recommend this product very interesting!</v>
      </c>
    </row>
    <row r="17885">
      <c r="A17885" s="1">
        <v>5.0</v>
      </c>
      <c r="B17885" s="1" t="s">
        <v>17586</v>
      </c>
      <c r="C17885" t="str">
        <f>IFERROR(__xludf.DUMMYFUNCTION("GOOGLETRANSLATE(B17885, ""fr"", ""en"")"),"Beautiful design Beautiful coffee")</f>
        <v>Beautiful design Beautiful coffee</v>
      </c>
    </row>
    <row r="17886">
      <c r="A17886" s="1">
        <v>5.0</v>
      </c>
      <c r="B17886" s="1" t="s">
        <v>17587</v>
      </c>
      <c r="C17886" t="str">
        <f>IFERROR(__xludf.DUMMYFUNCTION("GOOGLETRANSLATE(B17886, ""fr"", ""en"")"),"Very comfortable to wear Crocs all jours.dommage the coating over'm very dust catcher.")</f>
        <v>Very comfortable to wear Crocs all jours.dommage the coating over'm very dust catcher.</v>
      </c>
    </row>
    <row r="17887">
      <c r="A17887" s="1">
        <v>5.0</v>
      </c>
      <c r="B17887" s="1" t="s">
        <v>17588</v>
      </c>
      <c r="C17887" t="str">
        <f>IFERROR(__xludf.DUMMYFUNCTION("GOOGLETRANSLATE(B17887, ""fr"", ""en"")"),"To wash my laundry myself")</f>
        <v>To wash my laundry myself</v>
      </c>
    </row>
    <row r="17888">
      <c r="A17888" s="1">
        <v>5.0</v>
      </c>
      <c r="B17888" s="1" t="s">
        <v>17589</v>
      </c>
      <c r="C17888" t="str">
        <f>IFERROR(__xludf.DUMMYFUNCTION("GOOGLETRANSLATE(B17888, ""fr"", ""en"")"),"Perfect I recommend this light sweater for the perfect sport to run with because it was neither too hot nor too cold")</f>
        <v>Perfect I recommend this light sweater for the perfect sport to run with because it was neither too hot nor too cold</v>
      </c>
    </row>
    <row r="17889">
      <c r="A17889" s="1">
        <v>5.0</v>
      </c>
      <c r="B17889" s="1" t="s">
        <v>17590</v>
      </c>
      <c r="C17889" t="str">
        <f>IFERROR(__xludf.DUMMYFUNCTION("GOOGLETRANSLATE(B17889, ""fr"", ""en"")"),"Super 👌 the top. Perfect. The headphones are connected very easily. I met any discomfort. Several tips to fit. The sound is very good.")</f>
        <v>Super 👌 the top. Perfect. The headphones are connected very easily. I met any discomfort. Several tips to fit. The sound is very good.</v>
      </c>
    </row>
    <row r="17890">
      <c r="A17890" s="1">
        <v>5.0</v>
      </c>
      <c r="B17890" s="1" t="s">
        <v>17591</v>
      </c>
      <c r="C17890" t="str">
        <f>IFERROR(__xludf.DUMMYFUNCTION("GOOGLETRANSLATE(B17890, ""fr"", ""en"")"),"Excellent headphones Product line with my expectations. Very comfortable to wear, even over a long period. The sound quality is good and above neutral. Add to this a sound card (I have a asus Strix) the sound is just fabulous. Whether it's gaming or music"&amp;" listening. I highly recommend the product. Especially since the price can sometimes take to the € 50. thank you to vote ""useful"" if it was for you, thank you :)")</f>
        <v>Excellent headphones Product line with my expectations. Very comfortable to wear, even over a long period. The sound quality is good and above neutral. Add to this a sound card (I have a asus Strix) the sound is just fabulous. Whether it's gaming or music listening. I highly recommend the product. Especially since the price can sometimes take to the € 50. thank you to vote "useful" if it was for you, thank you :)</v>
      </c>
    </row>
    <row r="17891">
      <c r="A17891" s="1">
        <v>5.0</v>
      </c>
      <c r="B17891" s="1" t="s">
        <v>17592</v>
      </c>
      <c r="C17891" t="str">
        <f>IFERROR(__xludf.DUMMYFUNCTION("GOOGLETRANSLATE(B17891, ""fr"", ""en"")"),"Converse Superb blue color for my little 10 years. I ordered a size smaller and it's perfect. very comfortable ... it leaves them more. I recommend this product!")</f>
        <v>Converse Superb blue color for my little 10 years. I ordered a size smaller and it's perfect. very comfortable ... it leaves them more. I recommend this product!</v>
      </c>
    </row>
    <row r="17892">
      <c r="A17892" s="1">
        <v>5.0</v>
      </c>
      <c r="B17892" s="1" t="s">
        <v>17593</v>
      </c>
      <c r="C17892" t="str">
        <f>IFERROR(__xludf.DUMMYFUNCTION("GOOGLETRANSLATE(B17892, ""fr"", ""en"")"),"Very beautiful bracelet Beautiful bracelet, very good gift, price / quality ratio, top")</f>
        <v>Very beautiful bracelet Beautiful bracelet, very good gift, price / quality ratio, top</v>
      </c>
    </row>
    <row r="17893">
      <c r="A17893" s="1">
        <v>5.0</v>
      </c>
      <c r="B17893" s="1" t="s">
        <v>17594</v>
      </c>
      <c r="C17893" t="str">
        <f>IFERROR(__xludf.DUMMYFUNCTION("GOOGLETRANSLATE(B17893, ""fr"", ""en"")"),"Simple and effective daily")</f>
        <v>Simple and effective daily</v>
      </c>
    </row>
    <row r="17894">
      <c r="A17894" s="1">
        <v>5.0</v>
      </c>
      <c r="B17894" s="1" t="s">
        <v>17595</v>
      </c>
      <c r="C17894" t="str">
        <f>IFERROR(__xludf.DUMMYFUNCTION("GOOGLETRANSLATE(B17894, ""fr"", ""en"")"),"Perfect Light and discreet matte black look, this metal band blends perfectly with the Fitbit Charge 2. A tool is provided to adjust the size of the bracelet. It can remove and restore effortlessly, rivets fixing the links. The closure of the bracelet see"&amp;"ms effective (no observed dropping even during sports) and yet easy to open. The flexibility of the links and the form of the bracelet allow maintenance wrist higher than the original plastic strap. I recommend this article.")</f>
        <v>Perfect Light and discreet matte black look, this metal band blends perfectly with the Fitbit Charge 2. A tool is provided to adjust the size of the bracelet. It can remove and restore effortlessly, rivets fixing the links. The closure of the bracelet seems effective (no observed dropping even during sports) and yet easy to open. The flexibility of the links and the form of the bracelet allow maintenance wrist higher than the original plastic strap. I recommend this article.</v>
      </c>
    </row>
    <row r="17895">
      <c r="A17895" s="1">
        <v>5.0</v>
      </c>
      <c r="B17895" s="1" t="s">
        <v>17596</v>
      </c>
      <c r="C17895" t="str">
        <f>IFERROR(__xludf.DUMMYFUNCTION("GOOGLETRANSLATE(B17895, ""fr"", ""en"")"),"Toilet Paper For value for money very good toilet paper fulfilled its role")</f>
        <v>Toilet Paper For value for money very good toilet paper fulfilled its role</v>
      </c>
    </row>
    <row r="17896">
      <c r="A17896" s="1">
        <v>5.0</v>
      </c>
      <c r="B17896" s="1" t="s">
        <v>17597</v>
      </c>
      <c r="C17896" t="str">
        <f>IFERROR(__xludf.DUMMYFUNCTION("GOOGLETRANSLATE(B17896, ""fr"", ""en"")"),"Beautiful design No used since purchase Easy to assemble beautiful design see in time")</f>
        <v>Beautiful design No used since purchase Easy to assemble beautiful design see in time</v>
      </c>
    </row>
    <row r="17897">
      <c r="A17897" s="1">
        <v>2.0</v>
      </c>
      <c r="B17897" s="1" t="s">
        <v>17598</v>
      </c>
      <c r="C17897" t="str">
        <f>IFERROR(__xludf.DUMMYFUNCTION("GOOGLETRANSLATE(B17897, ""fr"", ""en"")"),"Poor contact at the remote HS ... again! comfortable and relaxing seat unfortunately there is a weakness in the wireless remote creating a false contact, and thus stopping the massage during the ""session"". We have already the case with the first model b"&amp;"eing received ... we warranty it was quickly exchanged but it starts again on the 2nd seat received. Too bad !!!")</f>
        <v>Poor contact at the remote HS ... again! comfortable and relaxing seat unfortunately there is a weakness in the wireless remote creating a false contact, and thus stopping the massage during the "session". We have already the case with the first model being received ... we warranty it was quickly exchanged but it starts again on the 2nd seat received. Too bad !!!</v>
      </c>
    </row>
    <row r="17898">
      <c r="A17898" s="1">
        <v>1.0</v>
      </c>
      <c r="B17898" s="1" t="s">
        <v>17599</v>
      </c>
      <c r="C17898" t="str">
        <f>IFERROR(__xludf.DUMMYFUNCTION("GOOGLETRANSLATE(B17898, ""fr"", ""en"")"),"Too bad leq gourds souvre not the bottom! I think it is better to buy the gourds that opens from the bottom. I return the product because I can not imagine cleaning gourds! How dry? Frankly I think it is a microbe nest, not very hygienic. The machine itse"&amp;"lf must be nice ... I do not recommend these gourds anyway!")</f>
        <v>Too bad leq gourds souvre not the bottom! I think it is better to buy the gourds that opens from the bottom. I return the product because I can not imagine cleaning gourds! How dry? Frankly I think it is a microbe nest, not very hygienic. The machine itself must be nice ... I do not recommend these gourds anyway!</v>
      </c>
    </row>
    <row r="17899">
      <c r="A17899" s="1">
        <v>1.0</v>
      </c>
      <c r="B17899" s="1" t="s">
        <v>17600</v>
      </c>
      <c r="C17899" t="str">
        <f>IFERROR(__xludf.DUMMYFUNCTION("GOOGLETRANSLATE(B17899, ""fr"", ""en"")"),"Product was half empty I would recommend no more cartridges at the site as they arrive well packed HP brand but they are not hard long time, or they are not full voluntarily for the sale by the net or whether they are stored for a time and dry, what a big"&amp;" scam,")</f>
        <v>Product was half empty I would recommend no more cartridges at the site as they arrive well packed HP brand but they are not hard long time, or they are not full voluntarily for the sale by the net or whether they are stored for a time and dry, what a big scam,</v>
      </c>
    </row>
    <row r="17900">
      <c r="A17900" s="1">
        <v>3.0</v>
      </c>
      <c r="B17900" s="1" t="s">
        <v>17601</v>
      </c>
      <c r="C17900" t="str">
        <f>IFERROR(__xludf.DUMMYFUNCTION("GOOGLETRANSLATE(B17900, ""fr"", ""en"")"),"BOF I took this book for my son who has just returned to the PC, I'm rather disappointed, I expected something of this book but in fact it is a simple story to read to her child Meanwhile he knows it alone to ...")</f>
        <v>BOF I took this book for my son who has just returned to the PC, I'm rather disappointed, I expected something of this book but in fact it is a simple story to read to her child Meanwhile he knows it alone to ...</v>
      </c>
    </row>
    <row r="17901">
      <c r="A17901" s="1">
        <v>4.0</v>
      </c>
      <c r="B17901" s="1" t="s">
        <v>17602</v>
      </c>
      <c r="C17901" t="str">
        <f>IFERROR(__xludf.DUMMYFUNCTION("GOOGLETRANSLATE(B17901, ""fr"", ""en"")"),"Super Practice is the use daily. By cons do not leave the ground. It helps a lot to maintain the house without losing time to pass the vacuum cleaner I recommend and I think that soon I would do the same to purchase for the floor")</f>
        <v>Super Practice is the use daily. By cons do not leave the ground. It helps a lot to maintain the house without losing time to pass the vacuum cleaner I recommend and I think that soon I would do the same to purchase for the floor</v>
      </c>
    </row>
    <row r="17902">
      <c r="A17902" s="1">
        <v>4.0</v>
      </c>
      <c r="B17902" s="1" t="s">
        <v>17603</v>
      </c>
      <c r="C17902" t="str">
        <f>IFERROR(__xludf.DUMMYFUNCTION("GOOGLETRANSLATE(B17902, ""fr"", ""en"")"),"Practice Practice for a new mom")</f>
        <v>Practice Practice for a new mom</v>
      </c>
    </row>
    <row r="17903">
      <c r="A17903" s="1">
        <v>4.0</v>
      </c>
      <c r="B17903" s="1" t="s">
        <v>17604</v>
      </c>
      <c r="C17903" t="str">
        <f>IFERROR(__xludf.DUMMYFUNCTION("GOOGLETRANSLATE(B17903, ""fr"", ""en"")"),"Very satisfied, headset that brings together many qualities of good quality headphones, blutooth performance, good range, good sound quality, good insulation, it covers both ears without being painful. One small downside, the leatherette headband covering"&amp;" the foam tends to take off, I take it one star for this, but really this is a minor concern that resolves with a little glue, and n obstruction not the proper functioning of the helmet.")</f>
        <v>Very satisfied, headset that brings together many qualities of good quality headphones, blutooth performance, good range, good sound quality, good insulation, it covers both ears without being painful. One small downside, the leatherette headband covering the foam tends to take off, I take it one star for this, but really this is a minor concern that resolves with a little glue, and n obstruction not the proper functioning of the helmet.</v>
      </c>
    </row>
    <row r="17904">
      <c r="A17904" s="1">
        <v>4.0</v>
      </c>
      <c r="B17904" s="1" t="s">
        <v>17605</v>
      </c>
      <c r="C17904" t="str">
        <f>IFERROR(__xludf.DUMMYFUNCTION("GOOGLETRANSLATE(B17904, ""fr"", ""en"")"),"Just a little flat a very good 4 star level since independence, comfort, great sound quality, and priced very well placed on, the little flat for me is the microphone which in addition to being removable but it has less my taste, to be a bit too short not"&amp;" quite up to the mouth and if you do not want to talk loud and very hard hard to be heard. Apart from this is the helmet to take without hesitation.")</f>
        <v>Just a little flat a very good 4 star level since independence, comfort, great sound quality, and priced very well placed on, the little flat for me is the microphone which in addition to being removable but it has less my taste, to be a bit too short not quite up to the mouth and if you do not want to talk loud and very hard hard to be heard. Apart from this is the helmet to take without hesitation.</v>
      </c>
    </row>
    <row r="17905">
      <c r="A17905" s="1">
        <v>5.0</v>
      </c>
      <c r="B17905" s="1" t="s">
        <v>17606</v>
      </c>
      <c r="C17905" t="str">
        <f>IFERROR(__xludf.DUMMYFUNCTION("GOOGLETRANSLATE(B17905, ""fr"", ""en"")"),"identical to the original I have not changed the broken part keeping the other in reserve in case, easy to do and effective")</f>
        <v>identical to the original I have not changed the broken part keeping the other in reserve in case, easy to do and effective</v>
      </c>
    </row>
    <row r="17906">
      <c r="A17906" s="1">
        <v>5.0</v>
      </c>
      <c r="B17906" s="1" t="s">
        <v>17607</v>
      </c>
      <c r="C17906" t="str">
        <f>IFERROR(__xludf.DUMMYFUNCTION("GOOGLETRANSLATE(B17906, ""fr"", ""en"")"),"Hyper comfortable but carve great attention to the shoes I usually 39 and then a 38 suits me perfectly and I did not even touch the tip of the shoe. They are super light foot and the shape memory insole they are very comfortable. We feel the being in slip"&amp;"pers! They do not squeeze the foot. The insole is pre-formed which is very comfortable short or even when walking. My son who tends to walk with the foot turns inward, the sole straightens his feet and it works much better. They are fabric to allow the fo"&amp;"ot to breathe, the end is honeycombed leather to enhance the soundness of the shoe. The color is gray which changes from white or black.")</f>
        <v>Hyper comfortable but carve great attention to the shoes I usually 39 and then a 38 suits me perfectly and I did not even touch the tip of the shoe. They are super light foot and the shape memory insole they are very comfortable. We feel the being in slippers! They do not squeeze the foot. The insole is pre-formed which is very comfortable short or even when walking. My son who tends to walk with the foot turns inward, the sole straightens his feet and it works much better. They are fabric to allow the foot to breathe, the end is honeycombed leather to enhance the soundness of the shoe. The color is gray which changes from white or black.</v>
      </c>
    </row>
    <row r="17907">
      <c r="A17907" s="1">
        <v>5.0</v>
      </c>
      <c r="B17907" s="1" t="s">
        <v>17608</v>
      </c>
      <c r="C17907" t="str">
        <f>IFERROR(__xludf.DUMMYFUNCTION("GOOGLETRANSLATE(B17907, ""fr"", ""en"")"),"Beautiful diary, large, very strong .... WELL. My annual buying calendar, always perfect.")</f>
        <v>Beautiful diary, large, very strong .... WELL. My annual buying calendar, always perfect.</v>
      </c>
    </row>
    <row r="17908">
      <c r="A17908" s="1">
        <v>5.0</v>
      </c>
      <c r="B17908" s="1" t="s">
        <v>17609</v>
      </c>
      <c r="C17908" t="str">
        <f>IFERROR(__xludf.DUMMYFUNCTION("GOOGLETRANSLATE(B17908, ""fr"", ""en"")"),"""excellence"" The first thing that comes to mind is: it's expensive for trash bags! And then you put the bag in the trash suitable, it attaches perfectly; you close the garbage bag is not seen. A few days later you lift the bag, it does not tear, stagnan"&amp;"t water (leftover sauce, soup, etc.) does not flow, the bag does not deform. In a word, you do not regret your purchase. Definitely recommended.")</f>
        <v>"excellence" The first thing that comes to mind is: it's expensive for trash bags! And then you put the bag in the trash suitable, it attaches perfectly; you close the garbage bag is not seen. A few days later you lift the bag, it does not tear, stagnant water (leftover sauce, soup, etc.) does not flow, the bag does not deform. In a word, you do not regret your purchase. Definitely recommended.</v>
      </c>
    </row>
    <row r="17909">
      <c r="A17909" s="1">
        <v>5.0</v>
      </c>
      <c r="B17909" s="1" t="s">
        <v>17610</v>
      </c>
      <c r="C17909" t="str">
        <f>IFERROR(__xludf.DUMMYFUNCTION("GOOGLETRANSLATE(B17909, ""fr"", ""en"")"),"Pens Very happy")</f>
        <v>Pens Very happy</v>
      </c>
    </row>
    <row r="17910">
      <c r="A17910" s="1">
        <v>5.0</v>
      </c>
      <c r="B17910" s="1" t="s">
        <v>17611</v>
      </c>
      <c r="C17910" t="str">
        <f>IFERROR(__xludf.DUMMYFUNCTION("GOOGLETRANSLATE(B17910, ""fr"", ""en"")"),"Filled perfectly convenient function. Ideal for output to a full day, the spout is very convenient. Used for 6 months and no faults to report at this time.")</f>
        <v>Filled perfectly convenient function. Ideal for output to a full day, the spout is very convenient. Used for 6 months and no faults to report at this time.</v>
      </c>
    </row>
    <row r="17911">
      <c r="A17911" s="1">
        <v>5.0</v>
      </c>
      <c r="B17911" s="1" t="s">
        <v>17612</v>
      </c>
      <c r="C17911" t="str">
        <f>IFERROR(__xludf.DUMMYFUNCTION("GOOGLETRANSLATE(B17911, ""fr"", ""en"")"),"Very good camera good camera, works very well, very easy to use, very recent purchase so to see in the time :) I recommend")</f>
        <v>Very good camera good camera, works very well, very easy to use, very recent purchase so to see in the time :) I recommend</v>
      </c>
    </row>
    <row r="17912">
      <c r="A17912" s="1">
        <v>5.0</v>
      </c>
      <c r="B17912" s="1" t="s">
        <v>17613</v>
      </c>
      <c r="C17912" t="str">
        <f>IFERROR(__xludf.DUMMYFUNCTION("GOOGLETRANSLATE(B17912, ""fr"", ""en"")"),"Impeccable Sweatshirt niquel")</f>
        <v>Impeccable Sweatshirt niquel</v>
      </c>
    </row>
    <row r="17913">
      <c r="A17913" s="1">
        <v>5.0</v>
      </c>
      <c r="B17913" s="1" t="s">
        <v>17614</v>
      </c>
      <c r="C17913" t="str">
        <f>IFERROR(__xludf.DUMMYFUNCTION("GOOGLETRANSLATE(B17913, ""fr"", ""en"")"),"Great product Very good value for this helmet that is comparable to certain brands. It works very well and the seller answers questions easily. I had a desire to micro who had made the computer's sound card was not activated ... I recommend")</f>
        <v>Great product Very good value for this helmet that is comparable to certain brands. It works very well and the seller answers questions easily. I had a desire to micro who had made the computer's sound card was not activated ... I recommend</v>
      </c>
    </row>
    <row r="17914">
      <c r="A17914" s="1">
        <v>5.0</v>
      </c>
      <c r="B17914" s="1" t="s">
        <v>17615</v>
      </c>
      <c r="C17914" t="str">
        <f>IFERROR(__xludf.DUMMYFUNCTION("GOOGLETRANSLATE(B17914, ""fr"", ""en"")"),"Beautiful earring beautiful earring parfais matches my expectations seller very sérieux.je recommend this product.")</f>
        <v>Beautiful earring beautiful earring parfais matches my expectations seller very sérieux.je recommend this product.</v>
      </c>
    </row>
    <row r="17915">
      <c r="A17915" s="1">
        <v>5.0</v>
      </c>
      <c r="B17915" s="1" t="s">
        <v>17616</v>
      </c>
      <c r="C17915" t="str">
        <f>IFERROR(__xludf.DUMMYFUNCTION("GOOGLETRANSLATE(B17915, ""fr"", ""en"")"),"Top My baby use from birth I recommend eyes closed.")</f>
        <v>Top My baby use from birth I recommend eyes closed.</v>
      </c>
    </row>
    <row r="17916">
      <c r="A17916" s="1">
        <v>5.0</v>
      </c>
      <c r="B17916" s="1" t="s">
        <v>17617</v>
      </c>
      <c r="C17916" t="str">
        <f>IFERROR(__xludf.DUMMYFUNCTION("GOOGLETRANSLATE(B17916, ""fr"", ""en"")"),"Evaluation product in accordance with the correct ad satisfied")</f>
        <v>Evaluation product in accordance with the correct ad satisfied</v>
      </c>
    </row>
    <row r="17917">
      <c r="A17917" s="1">
        <v>5.0</v>
      </c>
      <c r="B17917" s="1" t="s">
        <v>17618</v>
      </c>
      <c r="C17917" t="str">
        <f>IFERROR(__xludf.DUMMYFUNCTION("GOOGLETRANSLATE(B17917, ""fr"", ""en"")"),"Really good sound and robust top My daughter uses it for a while. Good sound quality, robust as it is not very careful and tjrs in good condition. For a budget is nothing to say I recommend this product")</f>
        <v>Really good sound and robust top My daughter uses it for a while. Good sound quality, robust as it is not very careful and tjrs in good condition. For a budget is nothing to say I recommend this product</v>
      </c>
    </row>
    <row r="17918">
      <c r="A17918" s="1">
        <v>5.0</v>
      </c>
      <c r="B17918" s="1" t="s">
        <v>17619</v>
      </c>
      <c r="C17918" t="str">
        <f>IFERROR(__xludf.DUMMYFUNCTION("GOOGLETRANSLATE(B17918, ""fr"", ""en"")"),"fully compliant product that reveals our expectations. sealing and proven its strength is no longer a flat .seul demonstrate the illuminates is not strong enough to see well at night time")</f>
        <v>fully compliant product that reveals our expectations. sealing and proven its strength is no longer a flat .seul demonstrate the illuminates is not strong enough to see well at night time</v>
      </c>
    </row>
    <row r="17919">
      <c r="A17919" s="1">
        <v>5.0</v>
      </c>
      <c r="B17919" s="1" t="s">
        <v>17620</v>
      </c>
      <c r="C17919" t="str">
        <f>IFERROR(__xludf.DUMMYFUNCTION("GOOGLETRANSLATE(B17919, ""fr"", ""en"")"),"Perfect ! Corresponds fully to my expectations. Clears space on the desktop in an organized and pleasant design.")</f>
        <v>Perfect ! Corresponds fully to my expectations. Clears space on the desktop in an organized and pleasant design.</v>
      </c>
    </row>
    <row r="17920">
      <c r="A17920" s="1">
        <v>2.0</v>
      </c>
      <c r="B17920" s="1" t="s">
        <v>17621</v>
      </c>
      <c r="C17920" t="str">
        <f>IFERROR(__xludf.DUMMYFUNCTION("GOOGLETRANSLATE(B17920, ""fr"", ""en"")"),"Counterfeits! The painting seems ""light"", cutting the canvas made ""beads"" on the sides of feet above the sole, size is not similar to the Converse I usually buy in stores ... In short, it is a counterfeit!")</f>
        <v>Counterfeits! The painting seems "light", cutting the canvas made "beads" on the sides of feet above the sole, size is not similar to the Converse I usually buy in stores ... In short, it is a counterfeit!</v>
      </c>
    </row>
    <row r="17921">
      <c r="A17921" s="1">
        <v>1.0</v>
      </c>
      <c r="B17921" s="1" t="s">
        <v>17622</v>
      </c>
      <c r="C17921" t="str">
        <f>IFERROR(__xludf.DUMMYFUNCTION("GOOGLETRANSLATE(B17921, ""fr"", ""en"")"),"Met my expectations Ras")</f>
        <v>Met my expectations Ras</v>
      </c>
    </row>
    <row r="17922">
      <c r="A17922" s="1">
        <v>3.0</v>
      </c>
      <c r="B17922" s="1" t="s">
        <v>17623</v>
      </c>
      <c r="C17922" t="str">
        <f>IFERROR(__xludf.DUMMYFUNCTION("GOOGLETRANSLATE(B17922, ""fr"", ""en"")"),"Do not glue does not stick very well, all I stuck with for now it is off to the first use. Damage to this known brand!")</f>
        <v>Do not glue does not stick very well, all I stuck with for now it is off to the first use. Damage to this known brand!</v>
      </c>
    </row>
    <row r="17923">
      <c r="A17923" s="1">
        <v>3.0</v>
      </c>
      <c r="B17923" s="1" t="s">
        <v>17624</v>
      </c>
      <c r="C17923" t="str">
        <f>IFERROR(__xludf.DUMMYFUNCTION("GOOGLETRANSLATE(B17923, ""fr"", ""en"")"),"Nice little gem but too light I offered this little gem. It is pretty but very light. Too bad the other side is hollow when he turns around it is not very aesthetic")</f>
        <v>Nice little gem but too light I offered this little gem. It is pretty but very light. Too bad the other side is hollow when he turns around it is not very aesthetic</v>
      </c>
    </row>
    <row r="17924">
      <c r="A17924" s="1">
        <v>4.0</v>
      </c>
      <c r="B17924" s="1" t="s">
        <v>17625</v>
      </c>
      <c r="C17924" t="str">
        <f>IFERROR(__xludf.DUMMYFUNCTION("GOOGLETRANSLATE(B17924, ""fr"", ""en"")"),"good product to put oil in the evening, it's still an oil; rest a bit greasy on the skin, but effective in addition to a cream for rosacea.")</f>
        <v>good product to put oil in the evening, it's still an oil; rest a bit greasy on the skin, but effective in addition to a cream for rosacea.</v>
      </c>
    </row>
    <row r="17925">
      <c r="A17925" s="1">
        <v>4.0</v>
      </c>
      <c r="B17925" s="1" t="s">
        <v>17626</v>
      </c>
      <c r="C17925" t="str">
        <f>IFERROR(__xludf.DUMMYFUNCTION("GOOGLETRANSLATE(B17925, ""fr"", ""en"")"),"The size Sport basketball")</f>
        <v>The size Sport basketball</v>
      </c>
    </row>
    <row r="17926">
      <c r="A17926" s="1">
        <v>4.0</v>
      </c>
      <c r="B17926" s="1" t="s">
        <v>17627</v>
      </c>
      <c r="C17926" t="str">
        <f>IFERROR(__xludf.DUMMYFUNCTION("GOOGLETRANSLATE(B17926, ""fr"", ""en"")"),"Well, well wishes sufficient distance for the running I would have preferred sock that clog much less, but it does not hurt to walk. As against running, they can drop. So me I used to walk only and there is no problem.")</f>
        <v>Well, well wishes sufficient distance for the running I would have preferred sock that clog much less, but it does not hurt to walk. As against running, they can drop. So me I used to walk only and there is no problem.</v>
      </c>
    </row>
    <row r="17927">
      <c r="A17927" s="1">
        <v>4.0</v>
      </c>
      <c r="B17927" s="1" t="s">
        <v>17628</v>
      </c>
      <c r="C17927" t="str">
        <f>IFERROR(__xludf.DUMMYFUNCTION("GOOGLETRANSLATE(B17927, ""fr"", ""en"")"),"Works great good sound My 9 year old daughter uses it regularly for it to say nothing tablet is working properly, very good sound, price and a high can we found the same in 4euro cheapest store")</f>
        <v>Works great good sound My 9 year old daughter uses it regularly for it to say nothing tablet is working properly, very good sound, price and a high can we found the same in 4euro cheapest store</v>
      </c>
    </row>
    <row r="17928">
      <c r="A17928" s="1">
        <v>5.0</v>
      </c>
      <c r="B17928" s="1" t="s">
        <v>17629</v>
      </c>
      <c r="C17928" t="str">
        <f>IFERROR(__xludf.DUMMYFUNCTION("GOOGLETRANSLATE(B17928, ""fr"", ""en"")"),"great gift")</f>
        <v>great gift</v>
      </c>
    </row>
    <row r="17929">
      <c r="A17929" s="1">
        <v>5.0</v>
      </c>
      <c r="B17929" s="1" t="s">
        <v>17630</v>
      </c>
      <c r="C17929" t="str">
        <f>IFERROR(__xludf.DUMMYFUNCTION("GOOGLETRANSLATE(B17929, ""fr"", ""en"")"),"Impeccable Okay good quality and good size")</f>
        <v>Impeccable Okay good quality and good size</v>
      </c>
    </row>
    <row r="17930">
      <c r="A17930" s="1">
        <v>5.0</v>
      </c>
      <c r="B17930" s="1" t="s">
        <v>17631</v>
      </c>
      <c r="C17930" t="str">
        <f>IFERROR(__xludf.DUMMYFUNCTION("GOOGLETRANSLATE(B17930, ""fr"", ""en"")"),"Very nice size a little big Beautiful field I do a 36 s and puts a little big but it suits me I usually just have gym on leggings which serves me dnavantage Beautiful color qualitee")</f>
        <v>Very nice size a little big Beautiful field I do a 36 s and puts a little big but it suits me I usually just have gym on leggings which serves me dnavantage Beautiful color qualitee</v>
      </c>
    </row>
    <row r="17931">
      <c r="A17931" s="1">
        <v>5.0</v>
      </c>
      <c r="B17931" s="1" t="s">
        <v>17632</v>
      </c>
      <c r="C17931" t="str">
        <f>IFERROR(__xludf.DUMMYFUNCTION("GOOGLETRANSLATE(B17931, ""fr"", ""en"")"),"Safety shoes Very satisfied ... thank you!")</f>
        <v>Safety shoes Very satisfied ... thank you!</v>
      </c>
    </row>
    <row r="17932">
      <c r="A17932" s="1">
        <v>5.0</v>
      </c>
      <c r="B17932" s="1" t="s">
        <v>17633</v>
      </c>
      <c r="C17932" t="str">
        <f>IFERROR(__xludf.DUMMYFUNCTION("GOOGLETRANSLATE(B17932, ""fr"", ""en"")"),"Great! Very nice tea, functional. Ok it is a little over the temperatures, so when we know, after we adapt. Great value for money")</f>
        <v>Great! Very nice tea, functional. Ok it is a little over the temperatures, so when we know, after we adapt. Great value for money</v>
      </c>
    </row>
    <row r="17933">
      <c r="A17933" s="1">
        <v>5.0</v>
      </c>
      <c r="B17933" s="1" t="s">
        <v>17634</v>
      </c>
      <c r="C17933" t="str">
        <f>IFERROR(__xludf.DUMMYFUNCTION("GOOGLETRANSLATE(B17933, ""fr"", ""en"")"),"MAM nipple on top Only my child accepts, as every time I buy a product Mam, it's always solid and practical.")</f>
        <v>MAM nipple on top Only my child accepts, as every time I buy a product Mam, it's always solid and practical.</v>
      </c>
    </row>
    <row r="17934">
      <c r="A17934" s="1">
        <v>5.0</v>
      </c>
      <c r="B17934" s="1" t="s">
        <v>17635</v>
      </c>
      <c r="C17934" t="str">
        <f>IFERROR(__xludf.DUMMYFUNCTION("GOOGLETRANSLATE(B17934, ""fr"", ""en"")"),"Super purchase I am thrilled to his headphones. Not only are they ultra practices. I have tested the race bike and even jumps: they are very stable! It's been over 4d that I use and I have not needed to the load. Bluetooth is great: no need to have his la"&amp;"ptop on either efficace.Même be in separate rooms, it works! the box can be used for charging the phone and little more is the carrying pouch. I recommend!")</f>
        <v>Super purchase I am thrilled to his headphones. Not only are they ultra practices. I have tested the race bike and even jumps: they are very stable! It's been over 4d that I use and I have not needed to the load. Bluetooth is great: no need to have his laptop on either efficace.Même be in separate rooms, it works! the box can be used for charging the phone and little more is the carrying pouch. I recommend!</v>
      </c>
    </row>
    <row r="17935">
      <c r="A17935" s="1">
        <v>5.0</v>
      </c>
      <c r="B17935" s="1" t="s">
        <v>17636</v>
      </c>
      <c r="C17935" t="str">
        <f>IFERROR(__xludf.DUMMYFUNCTION("GOOGLETRANSLATE(B17935, ""fr"", ""en"")"),"Okay Product consistent with the description.")</f>
        <v>Okay Product consistent with the description.</v>
      </c>
    </row>
    <row r="17936">
      <c r="A17936" s="1">
        <v>5.0</v>
      </c>
      <c r="B17936" s="1" t="s">
        <v>17637</v>
      </c>
      <c r="C17936" t="str">
        <f>IFERROR(__xludf.DUMMYFUNCTION("GOOGLETRANSLATE(B17936, ""fr"", ""en"")"),"PERFECT corresponds entirely to my expectations, starts on time alone. Very light and easy to use. Very good product")</f>
        <v>PERFECT corresponds entirely to my expectations, starts on time alone. Very light and easy to use. Very good product</v>
      </c>
    </row>
    <row r="17937">
      <c r="A17937" s="1">
        <v>5.0</v>
      </c>
      <c r="B17937" s="1" t="s">
        <v>17638</v>
      </c>
      <c r="C17937" t="str">
        <f>IFERROR(__xludf.DUMMYFUNCTION("GOOGLETRANSLATE(B17937, ""fr"", ""en"")"),"Okay ultra fast delivery. My old bottle heater and let us very satisfied with this purchase last minute. Confirms its description and full functions. Very well.")</f>
        <v>Okay ultra fast delivery. My old bottle heater and let us very satisfied with this purchase last minute. Confirms its description and full functions. Very well.</v>
      </c>
    </row>
    <row r="17938">
      <c r="A17938" s="1">
        <v>5.0</v>
      </c>
      <c r="B17938" s="1" t="s">
        <v>17639</v>
      </c>
      <c r="C17938" t="str">
        <f>IFERROR(__xludf.DUMMYFUNCTION("GOOGLETRANSLATE(B17938, ""fr"", ""en"")"),"Beautiful, bright, light red heart Beautiful necklace with rhinestones. This necklace can be wear for any occasion. It is light, beautiful and does not rust. I totally recommend it, it can make a very nice gift.")</f>
        <v>Beautiful, bright, light red heart Beautiful necklace with rhinestones. This necklace can be wear for any occasion. It is light, beautiful and does not rust. I totally recommend it, it can make a very nice gift.</v>
      </c>
    </row>
    <row r="17939">
      <c r="A17939" s="1">
        <v>5.0</v>
      </c>
      <c r="B17939" s="1" t="s">
        <v>17640</v>
      </c>
      <c r="C17939" t="str">
        <f>IFERROR(__xludf.DUMMYFUNCTION("GOOGLETRANSLATE(B17939, ""fr"", ""en"")"),"great use of the product and very functional hello I recommend to all mothers to buy this product for compotes in gourdes to its more efficient and greener children can take place first taken in hand very easy easy cleaning possibility of spending freeze "&amp;"the microwave gourds cleans easily the only negative cap gourds could be attached to the bottle with string to avoid losing")</f>
        <v>great use of the product and very functional hello I recommend to all mothers to buy this product for compotes in gourdes to its more efficient and greener children can take place first taken in hand very easy easy cleaning possibility of spending freeze the microwave gourds cleans easily the only negative cap gourds could be attached to the bottle with string to avoid losing</v>
      </c>
    </row>
    <row r="17940">
      <c r="A17940" s="1">
        <v>5.0</v>
      </c>
      <c r="B17940" s="1" t="s">
        <v>17641</v>
      </c>
      <c r="C17940" t="str">
        <f>IFERROR(__xludf.DUMMYFUNCTION("GOOGLETRANSLATE(B17940, ""fr"", ""en"")"),"Tracksuit good sweat This is good, he was offered and the person was satisfied with this gift.")</f>
        <v>Tracksuit good sweat This is good, he was offered and the person was satisfied with this gift.</v>
      </c>
    </row>
    <row r="17941">
      <c r="A17941" s="1">
        <v>5.0</v>
      </c>
      <c r="B17941" s="1" t="s">
        <v>17642</v>
      </c>
      <c r="C17941" t="str">
        <f>IFERROR(__xludf.DUMMYFUNCTION("GOOGLETRANSLATE(B17941, ""fr"", ""en"")"),"soft and warm socks sweet and pleasant to wear socks Keeps warm and maintaining good Fast shipping")</f>
        <v>soft and warm socks sweet and pleasant to wear socks Keeps warm and maintaining good Fast shipping</v>
      </c>
    </row>
    <row r="17942">
      <c r="A17942" s="1">
        <v>5.0</v>
      </c>
      <c r="B17942" s="1" t="s">
        <v>17643</v>
      </c>
      <c r="C17942" t="str">
        <f>IFERROR(__xludf.DUMMYFUNCTION("GOOGLETRANSLATE(B17942, ""fr"", ""en"")"),"Extra My baby loved it. And it allows him to discover new flavor, without putting everywhere and chewing!")</f>
        <v>Extra My baby loved it. And it allows him to discover new flavor, without putting everywhere and chewing!</v>
      </c>
    </row>
    <row r="17943">
      <c r="A17943" s="1">
        <v>2.0</v>
      </c>
      <c r="B17943" s="1" t="s">
        <v>17644</v>
      </c>
      <c r="C17943" t="str">
        <f>IFERROR(__xludf.DUMMYFUNCTION("GOOGLETRANSLATE(B17943, ""fr"", ""en"")"),"not practice bad the milk stays at the bottom of the box, opening with the small round cap makes it difficult to bring down all the milk in the bottle, it takes a lot to shake ... and without putting next difficult ... ..I am very disappointed with my pur"&amp;"chase")</f>
        <v>not practice bad the milk stays at the bottom of the box, opening with the small round cap makes it difficult to bring down all the milk in the bottle, it takes a lot to shake ... and without putting next difficult ... ..I am very disappointed with my purchase</v>
      </c>
    </row>
    <row r="17944">
      <c r="A17944" s="1">
        <v>1.0</v>
      </c>
      <c r="B17944" s="1" t="s">
        <v>17645</v>
      </c>
      <c r="C17944" t="str">
        <f>IFERROR(__xludf.DUMMYFUNCTION("GOOGLETRANSLATE(B17944, ""fr"", ""en"")"),"Teats defective Apparently Advent has slightly changed the model, and teats of the new model are defective and do not flow at all. I have just returned.")</f>
        <v>Teats defective Apparently Advent has slightly changed the model, and teats of the new model are defective and do not flow at all. I have just returned.</v>
      </c>
    </row>
    <row r="17945">
      <c r="A17945" s="1">
        <v>1.0</v>
      </c>
      <c r="B17945" s="1" t="s">
        <v>17646</v>
      </c>
      <c r="C17945" t="str">
        <f>IFERROR(__xludf.DUMMYFUNCTION("GOOGLETRANSLATE(B17945, ""fr"", ""en"")"),"Problem battery I received the product with HS Battery I bought a new one which held 15 days. I have purchased a new second, similar, HS after two weeks.")</f>
        <v>Problem battery I received the product with HS Battery I bought a new one which held 15 days. I have purchased a new second, similar, HS after two weeks.</v>
      </c>
    </row>
    <row r="17946">
      <c r="A17946" s="1">
        <v>3.0</v>
      </c>
      <c r="B17946" s="1" t="s">
        <v>17647</v>
      </c>
      <c r="C17946" t="str">
        <f>IFERROR(__xludf.DUMMYFUNCTION("GOOGLETRANSLATE(B17946, ""fr"", ""en"")"),"Cartridge 540 and PG 541 Ink cartridges according to the printer I use. One inaccuracy in the volume of ink and the number of sheets for a particular type of cartridge. Given the value for money, we can not feel cheated.")</f>
        <v>Cartridge 540 and PG 541 Ink cartridges according to the printer I use. One inaccuracy in the volume of ink and the number of sheets for a particular type of cartridge. Given the value for money, we can not feel cheated.</v>
      </c>
    </row>
    <row r="17947">
      <c r="A17947" s="1">
        <v>3.0</v>
      </c>
      <c r="B17947" s="1" t="s">
        <v>17648</v>
      </c>
      <c r="C17947" t="str">
        <f>IFERROR(__xludf.DUMMYFUNCTION("GOOGLETRANSLATE(B17947, ""fr"", ""en"")"),"Converse lace broke quickly forced to change")</f>
        <v>Converse lace broke quickly forced to change</v>
      </c>
    </row>
    <row r="17948">
      <c r="A17948" s="1">
        <v>4.0</v>
      </c>
      <c r="B17948" s="1" t="s">
        <v>17649</v>
      </c>
      <c r="C17948" t="str">
        <f>IFERROR(__xludf.DUMMYFUNCTION("GOOGLETRANSLATE(B17948, ""fr"", ""en"")"),"Very resistant adhesive paste Ideal for pictures, the adhesive resists well however in the long run it is exhausting having to remove the protective tabs that are poorly designed.")</f>
        <v>Very resistant adhesive paste Ideal for pictures, the adhesive resists well however in the long run it is exhausting having to remove the protective tabs that are poorly designed.</v>
      </c>
    </row>
    <row r="17949">
      <c r="A17949" s="1">
        <v>4.0</v>
      </c>
      <c r="B17949" s="1" t="s">
        <v>17650</v>
      </c>
      <c r="C17949" t="str">
        <f>IFERROR(__xludf.DUMMYFUNCTION("GOOGLETRANSLATE(B17949, ""fr"", ""en"")"),"Excellent value Micro makes his job well reproduces the sound, did his job. Easy to use and easy to implement. This is not the best, but at value for money, you can go for it.")</f>
        <v>Excellent value Micro makes his job well reproduces the sound, did his job. Easy to use and easy to implement. This is not the best, but at value for money, you can go for it.</v>
      </c>
    </row>
    <row r="17950">
      <c r="A17950" s="1">
        <v>4.0</v>
      </c>
      <c r="B17950" s="1" t="s">
        <v>17651</v>
      </c>
      <c r="C17950" t="str">
        <f>IFERROR(__xludf.DUMMYFUNCTION("GOOGLETRANSLATE(B17950, ""fr"", ""en"")"),"Companion ideal toddlers Here is a small briefcase coloring, solid and metallic, which makes a nice Christmas present: small, but big enough to hold one poster, 12 pens BIC Kids (including 2 erasers always popular for children draw in white above the soli"&amp;"ds made with colored markers), 12 pastels and 6 ""felts"" glitter (drying these markers may serve as glue but that did not interest if we want to see the glitter ), but no stickers as indicated on the product sheet. The poster is nice, quite large on a sh"&amp;"eet folded in thick 16 and may your toddler busy for a few hours, even if my last preference was for a walk with his bag in his crazy inside and outside the House. The only small complaint was the glitter pens that are not very practical to use: sketchy, "&amp;"dripping under the point when too much pressure and that the cap does not in place, making them awkward in practice since it puts everywhere. But the kids showed their pens and pastels have nice color without being too bold. The price should IMHO be more "&amp;"between 15 and 20 euros to be more accurate ... but this case will fly every time in smaller (3-8 years).")</f>
        <v>Companion ideal toddlers Here is a small briefcase coloring, solid and metallic, which makes a nice Christmas present: small, but big enough to hold one poster, 12 pens BIC Kids (including 2 erasers always popular for children draw in white above the solids made with colored markers), 12 pastels and 6 "felts" glitter (drying these markers may serve as glue but that did not interest if we want to see the glitter ), but no stickers as indicated on the product sheet. The poster is nice, quite large on a sheet folded in thick 16 and may your toddler busy for a few hours, even if my last preference was for a walk with his bag in his crazy inside and outside the House. The only small complaint was the glitter pens that are not very practical to use: sketchy, dripping under the point when too much pressure and that the cap does not in place, making them awkward in practice since it puts everywhere. But the kids showed their pens and pastels have nice color without being too bold. The price should IMHO be more between 15 and 20 euros to be more accurate ... but this case will fly every time in smaller (3-8 years).</v>
      </c>
    </row>
    <row r="17951">
      <c r="A17951" s="1">
        <v>4.0</v>
      </c>
      <c r="B17951" s="1" t="s">
        <v>17652</v>
      </c>
      <c r="C17951" t="str">
        <f>IFERROR(__xludf.DUMMYFUNCTION("GOOGLETRANSLATE(B17951, ""fr"", ""en"")"),"Beautiful comb. Beautiful comb, smaller than it appears in the photo. Fastness test time.")</f>
        <v>Beautiful comb. Beautiful comb, smaller than it appears in the photo. Fastness test time.</v>
      </c>
    </row>
    <row r="17952">
      <c r="A17952" s="1">
        <v>5.0</v>
      </c>
      <c r="B17952" s="1" t="s">
        <v>17653</v>
      </c>
      <c r="C17952" t="str">
        <f>IFERROR(__xludf.DUMMYFUNCTION("GOOGLETRANSLATE(B17952, ""fr"", ""en"")"),"Pretty leggings. I recommend Very nice size well. ras")</f>
        <v>Pretty leggings. I recommend Very nice size well. ras</v>
      </c>
    </row>
    <row r="17953">
      <c r="A17953" s="1">
        <v>5.0</v>
      </c>
      <c r="B17953" s="1" t="s">
        <v>17654</v>
      </c>
      <c r="C17953" t="str">
        <f>IFERROR(__xludf.DUMMYFUNCTION("GOOGLETRANSLATE(B17953, ""fr"", ""en"")"),"very good size, good cut and material soft and thick enough to hide rondeurs.tres although I recommend it for sport and ride")</f>
        <v>very good size, good cut and material soft and thick enough to hide rondeurs.tres although I recommend it for sport and ride</v>
      </c>
    </row>
    <row r="17954">
      <c r="A17954" s="1">
        <v>5.0</v>
      </c>
      <c r="B17954" s="1" t="s">
        <v>17655</v>
      </c>
      <c r="C17954" t="str">
        <f>IFERROR(__xludf.DUMMYFUNCTION("GOOGLETRANSLATE(B17954, ""fr"", ""en"")"),"Top notch VPUs can buy Small Tripod very good design of very high quality for the small price I highly advice not at all disappointed after several months of service")</f>
        <v>Top notch VPUs can buy Small Tripod very good design of very high quality for the small price I highly advice not at all disappointed after several months of service</v>
      </c>
    </row>
    <row r="17955">
      <c r="A17955" s="1">
        <v>5.0</v>
      </c>
      <c r="B17955" s="1" t="s">
        <v>17656</v>
      </c>
      <c r="C17955" t="str">
        <f>IFERROR(__xludf.DUMMYFUNCTION("GOOGLETRANSLATE(B17955, ""fr"", ""en"")"),"great product great product !!! very good and complies fully with the description! I recommend")</f>
        <v>great product great product !!! very good and complies fully with the description! I recommend</v>
      </c>
    </row>
    <row r="17956">
      <c r="A17956" s="1">
        <v>5.0</v>
      </c>
      <c r="B17956" s="1" t="s">
        <v>17657</v>
      </c>
      <c r="C17956" t="str">
        <f>IFERROR(__xludf.DUMMYFUNCTION("GOOGLETRANSLATE(B17956, ""fr"", ""en"")"),"Super Super desk lamp for anyone in the family Pretty Practical Several Beautiful light Several modes My kids love")</f>
        <v>Super Super desk lamp for anyone in the family Pretty Practical Several Beautiful light Several modes My kids love</v>
      </c>
    </row>
    <row r="17957">
      <c r="A17957" s="1">
        <v>5.0</v>
      </c>
      <c r="B17957" s="1" t="s">
        <v>17658</v>
      </c>
      <c r="C17957" t="str">
        <f>IFERROR(__xludf.DUMMYFUNCTION("GOOGLETRANSLATE(B17957, ""fr"", ""en"")"),"Casio AQ-230A-1DMQYES I just replaced the same watch received birthday present in 1976 shows very robust and reliable. Recommend without restrictions")</f>
        <v>Casio AQ-230A-1DMQYES I just replaced the same watch received birthday present in 1976 shows very robust and reliable. Recommend without restrictions</v>
      </c>
    </row>
    <row r="17958">
      <c r="A17958" s="1">
        <v>5.0</v>
      </c>
      <c r="B17958" s="1" t="s">
        <v>17659</v>
      </c>
      <c r="C17958" t="str">
        <f>IFERROR(__xludf.DUMMYFUNCTION("GOOGLETRANSLATE(B17958, ""fr"", ""en"")"),"Although helpful")</f>
        <v>Although helpful</v>
      </c>
    </row>
    <row r="17959">
      <c r="A17959" s="1">
        <v>5.0</v>
      </c>
      <c r="B17959" s="1" t="s">
        <v>17660</v>
      </c>
      <c r="C17959" t="str">
        <f>IFERROR(__xludf.DUMMYFUNCTION("GOOGLETRANSLATE(B17959, ""fr"", ""en"")"),"comfirmé the description I wear at home is warm and comfortable")</f>
        <v>comfirmé the description I wear at home is warm and comfortable</v>
      </c>
    </row>
    <row r="17960">
      <c r="A17960" s="1">
        <v>5.0</v>
      </c>
      <c r="B17960" s="1" t="s">
        <v>17661</v>
      </c>
      <c r="C17960" t="str">
        <f>IFERROR(__xludf.DUMMYFUNCTION("GOOGLETRANSLATE(B17960, ""fr"", ""en"")"),"Super My 19 month old son loves, great grip for small and quality.")</f>
        <v>Super My 19 month old son loves, great grip for small and quality.</v>
      </c>
    </row>
    <row r="17961">
      <c r="A17961" s="1">
        <v>5.0</v>
      </c>
      <c r="B17961" s="1" t="s">
        <v>17662</v>
      </c>
      <c r="C17961" t="str">
        <f>IFERROR(__xludf.DUMMYFUNCTION("GOOGLETRANSLATE(B17961, ""fr"", ""en"")"),"shows man shows very elegant and good quality bracelet is adjustable beautiful colors it is not too heavy good materials it livvrer set in a beautiful box ideal for offrrir")</f>
        <v>shows man shows very elegant and good quality bracelet is adjustable beautiful colors it is not too heavy good materials it livvrer set in a beautiful box ideal for offrrir</v>
      </c>
    </row>
    <row r="17962">
      <c r="A17962" s="1">
        <v>5.0</v>
      </c>
      <c r="B17962" s="1" t="s">
        <v>17663</v>
      </c>
      <c r="C17962" t="str">
        <f>IFERROR(__xludf.DUMMYFUNCTION("GOOGLETRANSLATE(B17962, ""fr"", ""en"")"),"The style is great The size recommended by the customer service is very appropriate style is great, it's my favorite type, fabric is soft.")</f>
        <v>The style is great The size recommended by the customer service is very appropriate style is great, it's my favorite type, fabric is soft.</v>
      </c>
    </row>
    <row r="17963">
      <c r="A17963" s="1">
        <v>5.0</v>
      </c>
      <c r="B17963" s="1" t="s">
        <v>17664</v>
      </c>
      <c r="C17963" t="str">
        <f>IFERROR(__xludf.DUMMYFUNCTION("GOOGLETRANSLATE(B17963, ""fr"", ""en"")"),"Leger and pretty J love this plastic and metal mixture. Earphones super lightweight, fully functional.")</f>
        <v>Leger and pretty J love this plastic and metal mixture. Earphones super lightweight, fully functional.</v>
      </c>
    </row>
    <row r="17964">
      <c r="A17964" s="1">
        <v>5.0</v>
      </c>
      <c r="B17964" s="1" t="s">
        <v>17665</v>
      </c>
      <c r="C17964" t="str">
        <f>IFERROR(__xludf.DUMMYFUNCTION("GOOGLETRANSLATE(B17964, ""fr"", ""en"")"),"Sublime! Just to say that I'm delighted I was not expecting this quality I highly recommend !!")</f>
        <v>Sublime! Just to say that I'm delighted I was not expecting this quality I highly recommend !!</v>
      </c>
    </row>
    <row r="17965">
      <c r="A17965" s="1">
        <v>5.0</v>
      </c>
      <c r="B17965" s="1" t="s">
        <v>17666</v>
      </c>
      <c r="C17965" t="str">
        <f>IFERROR(__xludf.DUMMYFUNCTION("GOOGLETRANSLATE(B17965, ""fr"", ""en"")"),"Paper very absorbent paper very resistant! Very happy with my purchase that I renew regularly")</f>
        <v>Paper very absorbent paper very resistant! Very happy with my purchase that I renew regularly</v>
      </c>
    </row>
    <row r="17966">
      <c r="A17966" s="1">
        <v>5.0</v>
      </c>
      <c r="B17966" s="1" t="s">
        <v>17667</v>
      </c>
      <c r="C17966" t="str">
        <f>IFERROR(__xludf.DUMMYFUNCTION("GOOGLETRANSLATE(B17966, ""fr"", ""en"")"),"Good product Good quality for photo copies well in all")</f>
        <v>Good product Good quality for photo copies well in all</v>
      </c>
    </row>
    <row r="17967">
      <c r="A17967" s="1">
        <v>2.0</v>
      </c>
      <c r="B17967" s="1" t="s">
        <v>17668</v>
      </c>
      <c r="C17967" t="str">
        <f>IFERROR(__xludf.DUMMYFUNCTION("GOOGLETRANSLATE(B17967, ""fr"", ""en"")"),"Do not close properly The idea is good, my children love this nibbler. Unfortunately it opens easily and baby ends up with the content in the hands.")</f>
        <v>Do not close properly The idea is good, my children love this nibbler. Unfortunately it opens easily and baby ends up with the content in the hands.</v>
      </c>
    </row>
    <row r="17968">
      <c r="A17968" s="1">
        <v>1.0</v>
      </c>
      <c r="B17968" s="1" t="s">
        <v>17669</v>
      </c>
      <c r="C17968" t="str">
        <f>IFERROR(__xludf.DUMMYFUNCTION("GOOGLETRANSLATE(B17968, ""fr"", ""en"")"),"No Leather No leather; it feels very strong chemical and not leather. Besides the seams hide quoted well to avoid being noticed. Rebate claimed.")</f>
        <v>No Leather No leather; it feels very strong chemical and not leather. Besides the seams hide quoted well to avoid being noticed. Rebate claimed.</v>
      </c>
    </row>
    <row r="17969">
      <c r="A17969" s="1">
        <v>1.0</v>
      </c>
      <c r="B17969" s="1" t="s">
        <v>17670</v>
      </c>
      <c r="C17969" t="str">
        <f>IFERROR(__xludf.DUMMYFUNCTION("GOOGLETRANSLATE(B17969, ""fr"", ""en"")"),"Should AKG Just what are not AKG sound quality is simply rotten I especially recommend not to buy his headphones my purchase and just go straight to the trash")</f>
        <v>Should AKG Just what are not AKG sound quality is simply rotten I especially recommend not to buy his headphones my purchase and just go straight to the trash</v>
      </c>
    </row>
    <row r="17970">
      <c r="A17970" s="1">
        <v>3.0</v>
      </c>
      <c r="B17970" s="1" t="s">
        <v>17671</v>
      </c>
      <c r="C17970" t="str">
        <f>IFERROR(__xludf.DUMMYFUNCTION("GOOGLETRANSLATE(B17970, ""fr"", ""en"")"),"poor use of time sound quality acceptable but nothing extraordinary. Very good for physical activity. Big downside: the duration of use. In 2d headphones are discharged. The worst is that the number of percentage displayed on my phone does not match reali"&amp;"ty. He scored 70% while in reality remaining headphones will go out shortly. After 2 ""low battery"" in 5min space, they are extinguished.")</f>
        <v>poor use of time sound quality acceptable but nothing extraordinary. Very good for physical activity. Big downside: the duration of use. In 2d headphones are discharged. The worst is that the number of percentage displayed on my phone does not match reality. He scored 70% while in reality remaining headphones will go out shortly. After 2 "low battery" in 5min space, they are extinguished.</v>
      </c>
    </row>
    <row r="17971">
      <c r="A17971" s="1">
        <v>4.0</v>
      </c>
      <c r="B17971" s="1" t="s">
        <v>17672</v>
      </c>
      <c r="C17971" t="str">
        <f>IFERROR(__xludf.DUMMYFUNCTION("GOOGLETRANSLATE(B17971, ""fr"", ""en"")"),"usb adapter this is the only adapter that really 3 amperes others that I bought eteit fake I'm happy with this power supply thank you")</f>
        <v>usb adapter this is the only adapter that really 3 amperes others that I bought eteit fake I'm happy with this power supply thank you</v>
      </c>
    </row>
    <row r="17972">
      <c r="A17972" s="1">
        <v>4.0</v>
      </c>
      <c r="B17972" s="1" t="s">
        <v>17673</v>
      </c>
      <c r="C17972" t="str">
        <f>IFERROR(__xludf.DUMMYFUNCTION("GOOGLETRANSLATE(B17972, ""fr"", ""en"")"),"very nice watch The strap closure is not easy ...")</f>
        <v>very nice watch The strap closure is not easy ...</v>
      </c>
    </row>
    <row r="17973">
      <c r="A17973" s="1">
        <v>4.0</v>
      </c>
      <c r="B17973" s="1" t="s">
        <v>17674</v>
      </c>
      <c r="C17973" t="str">
        <f>IFERROR(__xludf.DUMMYFUNCTION("GOOGLETRANSLATE(B17973, ""fr"", ""en"")"),"Product Intended use for home")</f>
        <v>Product Intended use for home</v>
      </c>
    </row>
    <row r="17974">
      <c r="A17974" s="1">
        <v>4.0</v>
      </c>
      <c r="B17974" s="1" t="s">
        <v>17675</v>
      </c>
      <c r="C17974" t="str">
        <f>IFERROR(__xludf.DUMMYFUNCTION("GOOGLETRANSLATE(B17974, ""fr"", ""en"")"),"Fully meets expectations Fully meets expectations")</f>
        <v>Fully meets expectations Fully meets expectations</v>
      </c>
    </row>
    <row r="17975">
      <c r="A17975" s="1">
        <v>4.0</v>
      </c>
      <c r="B17975" s="1" t="s">
        <v>17676</v>
      </c>
      <c r="C17975" t="str">
        <f>IFERROR(__xludf.DUMMYFUNCTION("GOOGLETRANSLATE(B17975, ""fr"", ""en"")"),"Using excellent shoes for everyday life, soft shoes")</f>
        <v>Using excellent shoes for everyday life, soft shoes</v>
      </c>
    </row>
    <row r="17976">
      <c r="A17976" s="1">
        <v>5.0</v>
      </c>
      <c r="B17976" s="1" t="s">
        <v>17677</v>
      </c>
      <c r="C17976" t="str">
        <f>IFERROR(__xludf.DUMMYFUNCTION("GOOGLETRANSLATE(B17976, ""fr"", ""en"")"),"impeccable! right size for the 41.5, I put on the 41; too narrow")</f>
        <v>impeccable! right size for the 41.5, I put on the 41; too narrow</v>
      </c>
    </row>
    <row r="17977">
      <c r="A17977" s="1">
        <v>5.0</v>
      </c>
      <c r="B17977" s="1" t="s">
        <v>17678</v>
      </c>
      <c r="C17977" t="str">
        <f>IFERROR(__xludf.DUMMYFUNCTION("GOOGLETRANSLATE(B17977, ""fr"", ""en"")"),"Perfect Very useful for tiny baby (bottle of 160ml but really usable up to 120ml) concept really effective anti colic. Teat really well, much better head with this one compared to other brands. Also the design is great, but his is a plus!")</f>
        <v>Perfect Very useful for tiny baby (bottle of 160ml but really usable up to 120ml) concept really effective anti colic. Teat really well, much better head with this one compared to other brands. Also the design is great, but his is a plus!</v>
      </c>
    </row>
    <row r="17978">
      <c r="A17978" s="1">
        <v>5.0</v>
      </c>
      <c r="B17978" s="1" t="s">
        <v>17679</v>
      </c>
      <c r="C17978" t="str">
        <f>IFERROR(__xludf.DUMMYFUNCTION("GOOGLETRANSLATE(B17978, ""fr"", ""en"")"),"'M very comfortable with very flexible with safety shoes")</f>
        <v>'M very comfortable with very flexible with safety shoes</v>
      </c>
    </row>
    <row r="17979">
      <c r="A17979" s="1">
        <v>5.0</v>
      </c>
      <c r="B17979" s="1" t="s">
        <v>17680</v>
      </c>
      <c r="C17979" t="str">
        <f>IFERROR(__xludf.DUMMYFUNCTION("GOOGLETRANSLATE(B17979, ""fr"", ""en"")"),"Very good product quality / price ratio impeccable time delivery. This helmet is for a person of 83 years to listen to the TV. The quality is good for this type of use. Another comment: I do not share at Amazon, but I appreciate the seriousness of this co"&amp;"mpany")</f>
        <v>Very good product quality / price ratio impeccable time delivery. This helmet is for a person of 83 years to listen to the TV. The quality is good for this type of use. Another comment: I do not share at Amazon, but I appreciate the seriousness of this company</v>
      </c>
    </row>
    <row r="17980">
      <c r="A17980" s="1">
        <v>5.0</v>
      </c>
      <c r="B17980" s="1" t="s">
        <v>17681</v>
      </c>
      <c r="C17980" t="str">
        <f>IFERROR(__xludf.DUMMYFUNCTION("GOOGLETRANSLATE(B17980, ""fr"", ""en"")"),"Excellent Nothing to say! Really more convenient than a conventional brush cleaning! I highly recommend this product except sand")</f>
        <v>Excellent Nothing to say! Really more convenient than a conventional brush cleaning! I highly recommend this product except sand</v>
      </c>
    </row>
    <row r="17981">
      <c r="A17981" s="1">
        <v>5.0</v>
      </c>
      <c r="B17981" s="1" t="s">
        <v>17682</v>
      </c>
      <c r="C17981" t="str">
        <f>IFERROR(__xludf.DUMMYFUNCTION("GOOGLETRANSLATE(B17981, ""fr"", ""en"")"),"good tools very functional top calculator, a little big but nice design. to replace the one that my son is stolen, she accompanies your child (largely) of the 2nd to the terminal see because some are still used in BTS. Too bad that Amazon is increased the"&amp;" price of € 3 in 1 year (like bcp aiileurs its products!)")</f>
        <v>good tools very functional top calculator, a little big but nice design. to replace the one that my son is stolen, she accompanies your child (largely) of the 2nd to the terminal see because some are still used in BTS. Too bad that Amazon is increased the price of € 3 in 1 year (like bcp aiileurs its products!)</v>
      </c>
    </row>
    <row r="17982">
      <c r="A17982" s="1">
        <v>5.0</v>
      </c>
      <c r="B17982" s="1" t="s">
        <v>17683</v>
      </c>
      <c r="C17982" t="str">
        <f>IFERROR(__xludf.DUMMYFUNCTION("GOOGLETRANSLATE(B17982, ""fr"", ""en"")"),"Chauffe Marcel !!! A good toaster that heats quickly and good quality. I recommend")</f>
        <v>Chauffe Marcel !!! A good toaster that heats quickly and good quality. I recommend</v>
      </c>
    </row>
    <row r="17983">
      <c r="A17983" s="1">
        <v>5.0</v>
      </c>
      <c r="B17983" s="1" t="s">
        <v>17684</v>
      </c>
      <c r="C17983" t="str">
        <f>IFERROR(__xludf.DUMMYFUNCTION("GOOGLETRANSLATE(B17983, ""fr"", ""en"")"),"Although nothing to say. Great !")</f>
        <v>Although nothing to say. Great !</v>
      </c>
    </row>
    <row r="17984">
      <c r="A17984" s="1">
        <v>5.0</v>
      </c>
      <c r="B17984" s="1" t="s">
        <v>17685</v>
      </c>
      <c r="C17984" t="str">
        <f>IFERROR(__xludf.DUMMYFUNCTION("GOOGLETRANSLATE(B17984, ""fr"", ""en"")"),"Okay RAS")</f>
        <v>Okay RAS</v>
      </c>
    </row>
    <row r="17985">
      <c r="A17985" s="1">
        <v>5.0</v>
      </c>
      <c r="B17985" s="1" t="s">
        <v>17686</v>
      </c>
      <c r="C17985" t="str">
        <f>IFERROR(__xludf.DUMMYFUNCTION("GOOGLETRANSLATE(B17985, ""fr"", ""en"")"),"The labels are perfect for printing its stamps with print service my stamp online post Labels are perfect for printing its stamps with print service My Online postmark on my laser printer. Think choose 100% mode printing on Mac OS preview")</f>
        <v>The labels are perfect for printing its stamps with print service my stamp online post Labels are perfect for printing its stamps with print service My Online postmark on my laser printer. Think choose 100% mode printing on Mac OS preview</v>
      </c>
    </row>
    <row r="17986">
      <c r="A17986" s="1">
        <v>5.0</v>
      </c>
      <c r="B17986" s="1" t="s">
        <v>17687</v>
      </c>
      <c r="C17986" t="str">
        <f>IFERROR(__xludf.DUMMYFUNCTION("GOOGLETRANSLATE(B17986, ""fr"", ""en"")"),"Choose the right size in large open solid Super Fast")</f>
        <v>Choose the right size in large open solid Super Fast</v>
      </c>
    </row>
    <row r="17987">
      <c r="A17987" s="1">
        <v>5.0</v>
      </c>
      <c r="B17987" s="1" t="s">
        <v>17688</v>
      </c>
      <c r="C17987" t="str">
        <f>IFERROR(__xludf.DUMMYFUNCTION("GOOGLETRANSLATE(B17987, ""fr"", ""en"")"),"Comfortable! In the top ! Superb value for basketball very comfortable price. Size although not need to take one size above or below. I recommend.")</f>
        <v>Comfortable! In the top ! Superb value for basketball very comfortable price. Size although not need to take one size above or below. I recommend.</v>
      </c>
    </row>
    <row r="17988">
      <c r="A17988" s="1">
        <v>5.0</v>
      </c>
      <c r="B17988" s="1" t="s">
        <v>17689</v>
      </c>
      <c r="C17988" t="str">
        <f>IFERROR(__xludf.DUMMYFUNCTION("GOOGLETRANSLATE(B17988, ""fr"", ""en"")"),"A great discovery which replaces the old wired headphones. I am very happy with this purchase. Delivery is super fast. From the reception day, I began to discover my new Bluetooth headphones. Both headsets are small, light and comfortable. The charging un"&amp;"it is in the form of slide cover, it is simple, elegant and practical. The digital display on the housing allows us to check the remaining capacity. I wear these headphones by sport, by running, walking and taking transit any worries. The sound is very cl"&amp;"ear and not cloudy. On both earphones, you have a touch-type function (play / pause music, skip the next song / previous, increase or decrease the sound). So this is a great discovery which replaces the wired headphones.")</f>
        <v>A great discovery which replaces the old wired headphones. I am very happy with this purchase. Delivery is super fast. From the reception day, I began to discover my new Bluetooth headphones. Both headsets are small, light and comfortable. The charging unit is in the form of slide cover, it is simple, elegant and practical. The digital display on the housing allows us to check the remaining capacity. I wear these headphones by sport, by running, walking and taking transit any worries. The sound is very clear and not cloudy. On both earphones, you have a touch-type function (play / pause music, skip the next song / previous, increase or decrease the sound). So this is a great discovery which replaces the wired headphones.</v>
      </c>
    </row>
    <row r="17989">
      <c r="A17989" s="1">
        <v>5.0</v>
      </c>
      <c r="B17989" s="1" t="s">
        <v>17690</v>
      </c>
      <c r="C17989" t="str">
        <f>IFERROR(__xludf.DUMMYFUNCTION("GOOGLETRANSLATE(B17989, ""fr"", ""en"")"),"Security I use it for work are light and comfortable very nice when you walk a lot")</f>
        <v>Security I use it for work are light and comfortable very nice when you walk a lot</v>
      </c>
    </row>
    <row r="17990">
      <c r="A17990" s="1">
        <v>5.0</v>
      </c>
      <c r="B17990" s="1" t="s">
        <v>17691</v>
      </c>
      <c r="C17990" t="str">
        <f>IFERROR(__xludf.DUMMYFUNCTION("GOOGLETRANSLATE(B17990, ""fr"", ""en"")"),"Nothing to say as every year since .... I do not know, this format is really the right one for me to lug around, for personal and professional RV. At home in addition we have the mémoniak that serves everyone.")</f>
        <v>Nothing to say as every year since .... I do not know, this format is really the right one for me to lug around, for personal and professional RV. At home in addition we have the mémoniak that serves everyone.</v>
      </c>
    </row>
    <row r="17991">
      <c r="A17991" s="1">
        <v>2.0</v>
      </c>
      <c r="B17991" s="1" t="s">
        <v>17692</v>
      </c>
      <c r="C17991" t="str">
        <f>IFERROR(__xludf.DUMMYFUNCTION("GOOGLETRANSLATE(B17991, ""fr"", ""en"")"),"Canon? What is this provider's policy of removing the packaging? An email it to me actually informed as I receive my product without packaging but still there is something to wonder about the product (or counterfeit cartridge filled with ink bottle?) a vi"&amp;"ew of the cartridge eye looks good on a Canon original but hey ... When you buy the Canon we like to receive it in its original packaging in doubt 2 stars")</f>
        <v>Canon? What is this provider's policy of removing the packaging? An email it to me actually informed as I receive my product without packaging but still there is something to wonder about the product (or counterfeit cartridge filled with ink bottle?) a view of the cartridge eye looks good on a Canon original but hey ... When you buy the Canon we like to receive it in its original packaging in doubt 2 stars</v>
      </c>
    </row>
    <row r="17992">
      <c r="A17992" s="1">
        <v>1.0</v>
      </c>
      <c r="B17992" s="1" t="s">
        <v>17693</v>
      </c>
      <c r="C17992" t="str">
        <f>IFERROR(__xludf.DUMMYFUNCTION("GOOGLETRANSLATE(B17992, ""fr"", ""en"")"),"No genial Good J stays decue c is written great little images are not to my taste I magnifiqyes ppense that there are encyclopaedias more pleasant children read")</f>
        <v>No genial Good J stays decue c is written great little images are not to my taste I magnifiqyes ppense that there are encyclopaedias more pleasant children read</v>
      </c>
    </row>
    <row r="17993">
      <c r="A17993" s="1">
        <v>3.0</v>
      </c>
      <c r="B17993" s="1" t="s">
        <v>17694</v>
      </c>
      <c r="C17993" t="str">
        <f>IFERROR(__xludf.DUMMYFUNCTION("GOOGLETRANSLATE(B17993, ""fr"", ""en"")"),"means paper The paper is of very average quality for 80g! But the price is attractive")</f>
        <v>means paper The paper is of very average quality for 80g! But the price is attractive</v>
      </c>
    </row>
    <row r="17994">
      <c r="A17994" s="1">
        <v>3.0</v>
      </c>
      <c r="B17994" s="1" t="s">
        <v>17695</v>
      </c>
      <c r="C17994" t="str">
        <f>IFERROR(__xludf.DUMMYFUNCTION("GOOGLETRANSLATE(B17994, ""fr"", ""en"")"),"do not buy this package for the wallet, poor little quality portfolio was broken closure")</f>
        <v>do not buy this package for the wallet, poor little quality portfolio was broken closure</v>
      </c>
    </row>
    <row r="17995">
      <c r="A17995" s="1">
        <v>4.0</v>
      </c>
      <c r="B17995" s="1" t="s">
        <v>17696</v>
      </c>
      <c r="C17995" t="str">
        <f>IFERROR(__xludf.DUMMYFUNCTION("GOOGLETRANSLATE(B17995, ""fr"", ""en"")"),"Simple to use The product promise is to prepare a bottle in two minutes, without bacteria, at the ideal temperature, keeping baby in her arms so it's easy to use ... The best: it adapts to all bottles. No fear that baby will burn: the bottle warmer is a l"&amp;"ight signal to warn if the water is superheated. It's simple design and a signal tells us if we did not put enough water. It filters the water so no need to buy bottled water. The least: - the device is not made to be mobile. It is used at home and not tr"&amp;"aveling. Ultimately, this trainer is pretty good and saves time by providing a safe bottle. The concept is good and at night it's quite nice not to take the lead.")</f>
        <v>Simple to use The product promise is to prepare a bottle in two minutes, without bacteria, at the ideal temperature, keeping baby in her arms so it's easy to use ... The best: it adapts to all bottles. No fear that baby will burn: the bottle warmer is a light signal to warn if the water is superheated. It's simple design and a signal tells us if we did not put enough water. It filters the water so no need to buy bottled water. The least: - the device is not made to be mobile. It is used at home and not traveling. Ultimately, this trainer is pretty good and saves time by providing a safe bottle. The concept is good and at night it's quite nice not to take the lead.</v>
      </c>
    </row>
    <row r="17996">
      <c r="A17996" s="1">
        <v>4.0</v>
      </c>
      <c r="B17996" s="1" t="s">
        <v>17697</v>
      </c>
      <c r="C17996" t="str">
        <f>IFERROR(__xludf.DUMMYFUNCTION("GOOGLETRANSLATE(B17996, ""fr"", ""en"")"),"Superb Superb object. Works perfectly")</f>
        <v>Superb Superb object. Works perfectly</v>
      </c>
    </row>
    <row r="17997">
      <c r="A17997" s="1">
        <v>4.0</v>
      </c>
      <c r="B17997" s="1" t="s">
        <v>17698</v>
      </c>
      <c r="C17997" t="str">
        <f>IFERROR(__xludf.DUMMYFUNCTION("GOOGLETRANSLATE(B17997, ""fr"", ""en"")"),"I recommend The closure is a bit special but otherwise super nice lightweight shoe for salsa lessons.")</f>
        <v>I recommend The closure is a bit special but otherwise super nice lightweight shoe for salsa lessons.</v>
      </c>
    </row>
    <row r="17998">
      <c r="A17998" s="1">
        <v>4.0</v>
      </c>
      <c r="B17998" s="1" t="s">
        <v>17699</v>
      </c>
      <c r="C17998" t="str">
        <f>IFERROR(__xludf.DUMMYFUNCTION("GOOGLETRANSLATE(B17998, ""fr"", ""en"")"),"empty quickly! Writing is enjoyable, the flow of regular ink well. By cons, cartridges quickly spin if done everyday use.")</f>
        <v>empty quickly! Writing is enjoyable, the flow of regular ink well. By cons, cartridges quickly spin if done everyday use.</v>
      </c>
    </row>
    <row r="17999">
      <c r="A17999" s="1">
        <v>5.0</v>
      </c>
      <c r="B17999" s="1" t="s">
        <v>17700</v>
      </c>
      <c r="C17999" t="str">
        <f>IFERROR(__xludf.DUMMYFUNCTION("GOOGLETRANSLATE(B17999, ""fr"", ""en"")"),"Good quality product in accordance with the control")</f>
        <v>Good quality product in accordance with the control</v>
      </c>
    </row>
    <row r="18000">
      <c r="A18000" s="1">
        <v>5.0</v>
      </c>
      <c r="B18000" s="1" t="s">
        <v>17701</v>
      </c>
      <c r="C18000" t="str">
        <f>IFERROR(__xludf.DUMMYFUNCTION("GOOGLETRANSLATE(B18000, ""fr"", ""en"")"),"Top! Great ! I bought them to make crafts with my son a little less than 2 years and I am delighted! They are easy to use. Different sizes and shapes (circle and ""stick""). Ideal for working the pinch, fine motor skills and creativity!")</f>
        <v>Top! Great ! I bought them to make crafts with my son a little less than 2 years and I am delighted! They are easy to use. Different sizes and shapes (circle and "stick"). Ideal for working the pinch, fine motor skills and creativity!</v>
      </c>
    </row>
    <row r="18001">
      <c r="A18001" s="1">
        <v>5.0</v>
      </c>
      <c r="B18001" s="1" t="s">
        <v>17702</v>
      </c>
      <c r="C18001" t="str">
        <f>IFERROR(__xludf.DUMMYFUNCTION("GOOGLETRANSLATE(B18001, ""fr"", ""en"")"),"Okay Nice soft")</f>
        <v>Okay Nice soft</v>
      </c>
    </row>
    <row r="18002">
      <c r="A18002" s="1">
        <v>5.0</v>
      </c>
      <c r="B18002" s="1" t="s">
        <v>7291</v>
      </c>
      <c r="C18002" t="str">
        <f>IFERROR(__xludf.DUMMYFUNCTION("GOOGLETRANSLATE(B18002, ""fr"", ""en"")"),"top top")</f>
        <v>top top</v>
      </c>
    </row>
    <row r="18003">
      <c r="A18003" s="1">
        <v>5.0</v>
      </c>
      <c r="B18003" s="1" t="s">
        <v>17703</v>
      </c>
      <c r="C18003" t="str">
        <f>IFERROR(__xludf.DUMMYFUNCTION("GOOGLETRANSLATE(B18003, ""fr"", ""en"")"),"Great .... Not wanting to walk me al pajamas hospital, I decided to take two senior pretty cool ..... No I would not have the air of a sick way ... healing motivation .. .")</f>
        <v>Great .... Not wanting to walk me al pajamas hospital, I decided to take two senior pretty cool ..... No I would not have the air of a sick way ... healing motivation .. .</v>
      </c>
    </row>
    <row r="18004">
      <c r="A18004" s="1">
        <v>5.0</v>
      </c>
      <c r="B18004" s="1" t="s">
        <v>6632</v>
      </c>
      <c r="C18004" t="str">
        <f>IFERROR(__xludf.DUMMYFUNCTION("GOOGLETRANSLATE(B18004, ""fr"", ""en"")"),"beautiful product conformity, proposed size is perfect for me and I love the color blue.")</f>
        <v>beautiful product conformity, proposed size is perfect for me and I love the color blue.</v>
      </c>
    </row>
    <row r="18005">
      <c r="A18005" s="1">
        <v>5.0</v>
      </c>
      <c r="B18005" s="1" t="s">
        <v>17704</v>
      </c>
      <c r="C18005" t="str">
        <f>IFERROR(__xludf.DUMMYFUNCTION("GOOGLETRANSLATE(B18005, ""fr"", ""en"")"),"Laminator handy This laminator is really convenient and easy to use. I used it to protect certain documents and to make personalized placemats. It is supplied with covers and other accessories. It also helps to cut out leaves and corner rounder is very us"&amp;"eful to avoid injury with the corners of the laminated documents.")</f>
        <v>Laminator handy This laminator is really convenient and easy to use. I used it to protect certain documents and to make personalized placemats. It is supplied with covers and other accessories. It also helps to cut out leaves and corner rounder is very useful to avoid injury with the corners of the laminated documents.</v>
      </c>
    </row>
    <row r="18006">
      <c r="A18006" s="1">
        <v>5.0</v>
      </c>
      <c r="B18006" s="1" t="s">
        <v>17705</v>
      </c>
      <c r="C18006" t="str">
        <f>IFERROR(__xludf.DUMMYFUNCTION("GOOGLETRANSLATE(B18006, ""fr"", ""en"")"),"Super Best baby bottles, colic ever since birth. Plus: easy to clean due to the complete dismantling. We not change brands of baby bottles.")</f>
        <v>Super Best baby bottles, colic ever since birth. Plus: easy to clean due to the complete dismantling. We not change brands of baby bottles.</v>
      </c>
    </row>
    <row r="18007">
      <c r="A18007" s="1">
        <v>5.0</v>
      </c>
      <c r="B18007" s="1" t="s">
        <v>17706</v>
      </c>
      <c r="C18007" t="str">
        <f>IFERROR(__xludf.DUMMYFUNCTION("GOOGLETRANSLATE(B18007, ""fr"", ""en"")"),"Perfect Nothing to say ... these are slippers that are more classic. Comfortable and warm is what is expected of these slippers. Delivered on time and well packaged.")</f>
        <v>Perfect Nothing to say ... these are slippers that are more classic. Comfortable and warm is what is expected of these slippers. Delivered on time and well packaged.</v>
      </c>
    </row>
    <row r="18008">
      <c r="A18008" s="1">
        <v>5.0</v>
      </c>
      <c r="B18008" s="1" t="s">
        <v>17707</v>
      </c>
      <c r="C18008" t="str">
        <f>IFERROR(__xludf.DUMMYFUNCTION("GOOGLETRANSLATE(B18008, ""fr"", ""en"")"),"Delivery I have it to buy a wonderful gift shows and ultra fast delivery")</f>
        <v>Delivery I have it to buy a wonderful gift shows and ultra fast delivery</v>
      </c>
    </row>
    <row r="18009">
      <c r="A18009" s="1">
        <v>5.0</v>
      </c>
      <c r="B18009" s="1" t="s">
        <v>17708</v>
      </c>
      <c r="C18009" t="str">
        <f>IFERROR(__xludf.DUMMYFUNCTION("GOOGLETRANSLATE(B18009, ""fr"", ""en"")"),"Although properly Impeccable, very good quality, the color was as pictured, although it size, I ordered in time for this time getting cold.")</f>
        <v>Although properly Impeccable, very good quality, the color was as pictured, although it size, I ordered in time for this time getting cold.</v>
      </c>
    </row>
    <row r="18010">
      <c r="A18010" s="1">
        <v>5.0</v>
      </c>
      <c r="B18010" s="1" t="s">
        <v>17709</v>
      </c>
      <c r="C18010" t="str">
        <f>IFERROR(__xludf.DUMMYFUNCTION("GOOGLETRANSLATE(B18010, ""fr"", ""en"")"),"Top Nothing wrong")</f>
        <v>Top Nothing wrong</v>
      </c>
    </row>
    <row r="18011">
      <c r="A18011" s="1">
        <v>5.0</v>
      </c>
      <c r="B18011" s="1" t="s">
        <v>17710</v>
      </c>
      <c r="C18011" t="str">
        <f>IFERROR(__xludf.DUMMYFUNCTION("GOOGLETRANSLATE(B18011, ""fr"", ""en"")"),"Good product and cheap Being a fan of this brand, I always used Scotch glue stick, produces low price and good quality, I recommend")</f>
        <v>Good product and cheap Being a fan of this brand, I always used Scotch glue stick, produces low price and good quality, I recommend</v>
      </c>
    </row>
    <row r="18012">
      <c r="A18012" s="1">
        <v>5.0</v>
      </c>
      <c r="B18012" s="1" t="s">
        <v>17711</v>
      </c>
      <c r="C18012" t="str">
        <f>IFERROR(__xludf.DUMMYFUNCTION("GOOGLETRANSLATE(B18012, ""fr"", ""en"")"),"Pretty Madness of this brand is just incomprehensible but I find that black, they are really pretty. I just find it a bit too flat but hey it's the model.")</f>
        <v>Pretty Madness of this brand is just incomprehensible but I find that black, they are really pretty. I just find it a bit too flat but hey it's the model.</v>
      </c>
    </row>
    <row r="18013">
      <c r="A18013" s="1">
        <v>5.0</v>
      </c>
      <c r="B18013" s="1" t="s">
        <v>17712</v>
      </c>
      <c r="C18013" t="str">
        <f>IFERROR(__xludf.DUMMYFUNCTION("GOOGLETRANSLATE(B18013, ""fr"", ""en"")"),"Good product Pardait")</f>
        <v>Good product Pardait</v>
      </c>
    </row>
    <row r="18014">
      <c r="A18014" s="1">
        <v>5.0</v>
      </c>
      <c r="B18014" s="1" t="s">
        <v>17713</v>
      </c>
      <c r="C18014" t="str">
        <f>IFERROR(__xludf.DUMMYFUNCTION("GOOGLETRANSLATE(B18014, ""fr"", ""en"")"),"Simple watch very good value for use with many features. Solid metal bracelet, battery duration five year minimum waterproof. legibility of information, what more for that price. In summary simple watch, nice, efficient, reliable.")</f>
        <v>Simple watch very good value for use with many features. Solid metal bracelet, battery duration five year minimum waterproof. legibility of information, what more for that price. In summary simple watch, nice, efficient, reliable.</v>
      </c>
    </row>
    <row r="18015">
      <c r="A18015" s="1">
        <v>2.0</v>
      </c>
      <c r="B18015" s="1" t="s">
        <v>17714</v>
      </c>
      <c r="C18015" t="str">
        <f>IFERROR(__xludf.DUMMYFUNCTION("GOOGLETRANSLATE(B18015, ""fr"", ""en"")"),"STRAIGHT OUT FAKE ENGLISH BAZAR DUN FAKE !! The sneakers come BAZAR English and of poor quality ... They even forget the label of the store in the box these idiots (photo) Having to buy the black version directly from adidas I was able to even the diferen"&amp;"ce ... Finally these shoes are worth their price. FYI in it are adidas.com has approximately 90eu 30eu more but the quality nikel (basketball very firm) is more customizable to your taste")</f>
        <v>STRAIGHT OUT FAKE ENGLISH BAZAR DUN FAKE !! The sneakers come BAZAR English and of poor quality ... They even forget the label of the store in the box these idiots (photo) Having to buy the black version directly from adidas I was able to even the diference ... Finally these shoes are worth their price. FYI in it are adidas.com has approximately 90eu 30eu more but the quality nikel (basketball very firm) is more customizable to your taste</v>
      </c>
    </row>
    <row r="18016">
      <c r="A18016" s="1">
        <v>1.0</v>
      </c>
      <c r="B18016" s="1" t="s">
        <v>17715</v>
      </c>
      <c r="C18016" t="str">
        <f>IFERROR(__xludf.DUMMYFUNCTION("GOOGLETRANSLATE(B18016, ""fr"", ""en"")"),"2 orders therefore 2 times the postage rules but a single package !!!!!! You abuse I could not change my order to add an item so spent a second control a few minutes later so I pay 2 times the postage !!! by against it did not bother to make a single pack"&amp;"age to send my articles with 2 obviously bills !!!! Your processes are really limits")</f>
        <v>2 orders therefore 2 times the postage rules but a single package !!!!!! You abuse I could not change my order to add an item so spent a second control a few minutes later so I pay 2 times the postage !!! by against it did not bother to make a single package to send my articles with 2 obviously bills !!!! Your processes are really limits</v>
      </c>
    </row>
    <row r="18017">
      <c r="A18017" s="1">
        <v>1.0</v>
      </c>
      <c r="B18017" s="1" t="s">
        <v>17716</v>
      </c>
      <c r="C18017" t="str">
        <f>IFERROR(__xludf.DUMMYFUNCTION("GOOGLETRANSLATE(B18017, ""fr"", ""en"")"),"Very nice but a month of life is a bit short Stop running after one month!")</f>
        <v>Very nice but a month of life is a bit short Stop running after one month!</v>
      </c>
    </row>
    <row r="18018">
      <c r="A18018" s="1">
        <v>3.0</v>
      </c>
      <c r="B18018" s="1" t="s">
        <v>17717</v>
      </c>
      <c r="C18018" t="str">
        <f>IFERROR(__xludf.DUMMYFUNCTION("GOOGLETRANSLATE(B18018, ""fr"", ""en"")"),"very strong very well for boots because of habit they are very heavy but not so I recommend the purchase this article")</f>
        <v>very strong very well for boots because of habit they are very heavy but not so I recommend the purchase this article</v>
      </c>
    </row>
    <row r="18019">
      <c r="A18019" s="1">
        <v>3.0</v>
      </c>
      <c r="B18019" s="1" t="s">
        <v>17718</v>
      </c>
      <c r="C18019" t="str">
        <f>IFERROR(__xludf.DUMMYFUNCTION("GOOGLETRANSLATE(B18019, ""fr"", ""en"")"),"One can go disappointed I will say without comments")</f>
        <v>One can go disappointed I will say without comments</v>
      </c>
    </row>
    <row r="18020">
      <c r="A18020" s="1">
        <v>4.0</v>
      </c>
      <c r="B18020" s="1" t="s">
        <v>17719</v>
      </c>
      <c r="C18020" t="str">
        <f>IFERROR(__xludf.DUMMYFUNCTION("GOOGLETRANSLATE(B18020, ""fr"", ""en"")"),"Yes ... shells too thick damage. The bands do not have the same side with a small width size cm difference. Material not very comfortable to wear. Good value for casual wear.")</f>
        <v>Yes ... shells too thick damage. The bands do not have the same side with a small width size cm difference. Material not very comfortable to wear. Good value for casual wear.</v>
      </c>
    </row>
    <row r="18021">
      <c r="A18021" s="1">
        <v>4.0</v>
      </c>
      <c r="B18021" s="1" t="s">
        <v>17720</v>
      </c>
      <c r="C18021" t="str">
        <f>IFERROR(__xludf.DUMMYFUNCTION("GOOGLETRANSLATE(B18021, ""fr"", ""en"")"),"Although the paper is very pretty, with against the paper contained in some places micro blue spots. The only problem for me is the fact that the paper is late, after I am aware that the price is not excessive while compared to the amount sold")</f>
        <v>Although the paper is very pretty, with against the paper contained in some places micro blue spots. The only problem for me is the fact that the paper is late, after I am aware that the price is not excessive while compared to the amount sold</v>
      </c>
    </row>
    <row r="18022">
      <c r="A18022" s="1">
        <v>4.0</v>
      </c>
      <c r="B18022" s="1" t="s">
        <v>17721</v>
      </c>
      <c r="C18022" t="str">
        <f>IFERROR(__xludf.DUMMYFUNCTION("GOOGLETRANSLATE(B18022, ""fr"", ""en"")"),"Earrings lovely earrings The earrings are beautiful and all small which corresponds perfectly to my 5 year old daughter for example. Just disappointed, she lost a little heart to school.")</f>
        <v>Earrings lovely earrings The earrings are beautiful and all small which corresponds perfectly to my 5 year old daughter for example. Just disappointed, she lost a little heart to school.</v>
      </c>
    </row>
    <row r="18023">
      <c r="A18023" s="1">
        <v>4.0</v>
      </c>
      <c r="B18023" s="1" t="s">
        <v>17722</v>
      </c>
      <c r="C18023" t="str">
        <f>IFERROR(__xludf.DUMMYFUNCTION("GOOGLETRANSLATE(B18023, ""fr"", ""en"")"),"really good ! for the price there is absolutely nothing to say. the sound is really good and strong enough. bass response. only downside, in phone mode, the microphone seems a bit crappy, the corresponding entent a big breath.")</f>
        <v>really good ! for the price there is absolutely nothing to say. the sound is really good and strong enough. bass response. only downside, in phone mode, the microphone seems a bit crappy, the corresponding entent a big breath.</v>
      </c>
    </row>
    <row r="18024">
      <c r="A18024" s="1">
        <v>5.0</v>
      </c>
      <c r="B18024" s="1" t="s">
        <v>17723</v>
      </c>
      <c r="C18024" t="str">
        <f>IFERROR(__xludf.DUMMYFUNCTION("GOOGLETRANSLATE(B18024, ""fr"", ""en"")"),"Very well ! Okay, I advise!")</f>
        <v>Very well ! Okay, I advise!</v>
      </c>
    </row>
    <row r="18025">
      <c r="A18025" s="1">
        <v>5.0</v>
      </c>
      <c r="B18025" s="1" t="s">
        <v>17724</v>
      </c>
      <c r="C18025" t="str">
        <f>IFERROR(__xludf.DUMMYFUNCTION("GOOGLETRANSLATE(B18025, ""fr"", ""en"")"),"Solid satisfied with my purchase.")</f>
        <v>Solid satisfied with my purchase.</v>
      </c>
    </row>
    <row r="18026">
      <c r="A18026" s="1">
        <v>5.0</v>
      </c>
      <c r="B18026" s="1" t="s">
        <v>17725</v>
      </c>
      <c r="C18026" t="str">
        <f>IFERROR(__xludf.DUMMYFUNCTION("GOOGLETRANSLATE(B18026, ""fr"", ""en"")"),"Nickel battery what I expected The jewelry is beautiful, stack what I expected. It was a hit from the person to whom I offered!")</f>
        <v>Nickel battery what I expected The jewelry is beautiful, stack what I expected. It was a hit from the person to whom I offered!</v>
      </c>
    </row>
    <row r="18027">
      <c r="A18027" s="1">
        <v>5.0</v>
      </c>
      <c r="B18027" s="1" t="s">
        <v>17726</v>
      </c>
      <c r="C18027" t="str">
        <f>IFERROR(__xludf.DUMMYFUNCTION("GOOGLETRANSLATE(B18027, ""fr"", ""en"")"),"Bottle Great bottle")</f>
        <v>Bottle Great bottle</v>
      </c>
    </row>
    <row r="18028">
      <c r="A18028" s="1">
        <v>5.0</v>
      </c>
      <c r="B18028" s="1" t="s">
        <v>17727</v>
      </c>
      <c r="C18028" t="str">
        <f>IFERROR(__xludf.DUMMYFUNCTION("GOOGLETRANSLATE(B18028, ""fr"", ""en"")"),"Quality and comfort Light, to see the resistance over time ...")</f>
        <v>Quality and comfort Light, to see the resistance over time ...</v>
      </c>
    </row>
    <row r="18029">
      <c r="A18029" s="1">
        <v>5.0</v>
      </c>
      <c r="B18029" s="1" t="s">
        <v>17728</v>
      </c>
      <c r="C18029" t="str">
        <f>IFERROR(__xludf.DUMMYFUNCTION("GOOGLETRANSLATE(B18029, ""fr"", ""en"")"),"Satisfied I buy the pack of 3 bottles because I hire electric breast pump but I did not have enough bottle. Like that I can leave the milk in the bottle in my fridge until I give my son finished the galley to run after feeding to wash and dry the bottle t"&amp;"o reuse it immediately")</f>
        <v>Satisfied I buy the pack of 3 bottles because I hire electric breast pump but I did not have enough bottle. Like that I can leave the milk in the bottle in my fridge until I give my son finished the galley to run after feeding to wash and dry the bottle to reuse it immediately</v>
      </c>
    </row>
    <row r="18030">
      <c r="A18030" s="1">
        <v>5.0</v>
      </c>
      <c r="B18030" s="1" t="s">
        <v>17729</v>
      </c>
      <c r="C18030" t="str">
        <f>IFERROR(__xludf.DUMMYFUNCTION("GOOGLETRANSLATE(B18030, ""fr"", ""en"")"),"Nickel I bought this kettle as its color is a color is not often seen for kettles and I well. It is perfect to heat water for teas and infusions. Easy to use and good construction material. I am satisfied with the product at this time.")</f>
        <v>Nickel I bought this kettle as its color is a color is not often seen for kettles and I well. It is perfect to heat water for teas and infusions. Easy to use and good construction material. I am satisfied with the product at this time.</v>
      </c>
    </row>
    <row r="18031">
      <c r="A18031" s="1">
        <v>5.0</v>
      </c>
      <c r="B18031" s="1" t="s">
        <v>17730</v>
      </c>
      <c r="C18031" t="str">
        <f>IFERROR(__xludf.DUMMYFUNCTION("GOOGLETRANSLATE(B18031, ""fr"", ""en"")"),"Great! Great! M I use it daily for 7 months for each bottle as thickened milk. Absolutely no lumps. Top top top top")</f>
        <v>Great! Great! M I use it daily for 7 months for each bottle as thickened milk. Absolutely no lumps. Top top top top</v>
      </c>
    </row>
    <row r="18032">
      <c r="A18032" s="1">
        <v>5.0</v>
      </c>
      <c r="B18032" s="1" t="s">
        <v>17731</v>
      </c>
      <c r="C18032" t="str">
        <f>IFERROR(__xludf.DUMMYFUNCTION("GOOGLETRANSLATE(B18032, ""fr"", ""en"")"),". In the top")</f>
        <v>. In the top</v>
      </c>
    </row>
    <row r="18033">
      <c r="A18033" s="1">
        <v>5.0</v>
      </c>
      <c r="B18033" s="1" t="s">
        <v>17732</v>
      </c>
      <c r="C18033" t="str">
        <f>IFERROR(__xludf.DUMMYFUNCTION("GOOGLETRANSLATE(B18033, ""fr"", ""en"")"),"Greater autonomy and quality more than satisfactory price Good grip .it be discreet thanks to minimal .qualités prices are no weight to say very good product")</f>
        <v>Greater autonomy and quality more than satisfactory price Good grip .it be discreet thanks to minimal .qualités prices are no weight to say very good product</v>
      </c>
    </row>
    <row r="18034">
      <c r="A18034" s="1">
        <v>5.0</v>
      </c>
      <c r="B18034" s="1" t="s">
        <v>17733</v>
      </c>
      <c r="C18034" t="str">
        <f>IFERROR(__xludf.DUMMYFUNCTION("GOOGLETRANSLATE(B18034, ""fr"", ""en"")"),"A real joy ! perfect in size 43/44 if you make the 43 after several days of casting your feet. keep warm without taking too hot. It seems to take off her feet when they removed :) I recommend and I will take the same next time, as late as possible we'll s"&amp;"ee.")</f>
        <v>A real joy ! perfect in size 43/44 if you make the 43 after several days of casting your feet. keep warm without taking too hot. It seems to take off her feet when they removed :) I recommend and I will take the same next time, as late as possible we'll see.</v>
      </c>
    </row>
    <row r="18035">
      <c r="A18035" s="1">
        <v>5.0</v>
      </c>
      <c r="B18035" s="1" t="s">
        <v>17734</v>
      </c>
      <c r="C18035" t="str">
        <f>IFERROR(__xludf.DUMMYFUNCTION("GOOGLETRANSLATE(B18035, ""fr"", ""en"")"),"Value !!!!! I am very surprised sound of his lil bluetooth.il headphones are comfortable and their autonomy is correct and rechargeable No matter where, thanks to its power bank integrate bioitier of rangement.il is the small pouch to protect all that. An"&amp;"d replacement caps. 2 years warranty !!!!")</f>
        <v>Value !!!!! I am very surprised sound of his lil bluetooth.il headphones are comfortable and their autonomy is correct and rechargeable No matter where, thanks to its power bank integrate bioitier of rangement.il is the small pouch to protect all that. And replacement caps. 2 years warranty !!!!</v>
      </c>
    </row>
    <row r="18036">
      <c r="A18036" s="1">
        <v>5.0</v>
      </c>
      <c r="B18036" s="1" t="s">
        <v>17735</v>
      </c>
      <c r="C18036" t="str">
        <f>IFERROR(__xludf.DUMMYFUNCTION("GOOGLETRANSLATE(B18036, ""fr"", ""en"")"),"Tennis good qualities Although these are not true converses almost the opposite it seems as they are very well designed. The color is pretty. My entourage also think the same as me so a good article")</f>
        <v>Tennis good qualities Although these are not true converses almost the opposite it seems as they are very well designed. The color is pretty. My entourage also think the same as me so a good article</v>
      </c>
    </row>
    <row r="18037">
      <c r="A18037" s="1">
        <v>5.0</v>
      </c>
      <c r="B18037" s="1" t="s">
        <v>17736</v>
      </c>
      <c r="C18037" t="str">
        <f>IFERROR(__xludf.DUMMYFUNCTION("GOOGLETRANSLATE(B18037, ""fr"", ""en"")"),"So happy I took advantage of the special day of July 17 to order a price â breaking all records and say if they are too good ... and I love them! thank you Amazon")</f>
        <v>So happy I took advantage of the special day of July 17 to order a price â breaking all records and say if they are too good ... and I love them! thank you Amazon</v>
      </c>
    </row>
    <row r="18038">
      <c r="A18038" s="1">
        <v>5.0</v>
      </c>
      <c r="B18038" s="1" t="s">
        <v>17737</v>
      </c>
      <c r="C18038" t="str">
        <f>IFERROR(__xludf.DUMMYFUNCTION("GOOGLETRANSLATE(B18038, ""fr"", ""en"")"),"Great for home Perfect for home use. Good quality, many fonts")</f>
        <v>Great for home Perfect for home use. Good quality, many fonts</v>
      </c>
    </row>
    <row r="18039">
      <c r="A18039" s="1">
        <v>2.0</v>
      </c>
      <c r="B18039" s="1" t="s">
        <v>17738</v>
      </c>
      <c r="C18039" t="str">
        <f>IFERROR(__xludf.DUMMYFUNCTION("GOOGLETRANSLATE(B18039, ""fr"", ""en"")"),"insufficient maintenance Very nice product but the maintenance is not sufficient beyond a B cup if you want to jog with. Pity.")</f>
        <v>insufficient maintenance Very nice product but the maintenance is not sufficient beyond a B cup if you want to jog with. Pity.</v>
      </c>
    </row>
    <row r="18040">
      <c r="A18040" s="1">
        <v>1.0</v>
      </c>
      <c r="B18040" s="1" t="s">
        <v>17739</v>
      </c>
      <c r="C18040" t="str">
        <f>IFERROR(__xludf.DUMMYFUNCTION("GOOGLETRANSLATE(B18040, ""fr"", ""en"")"),"Not one but 2 feet left pair Receive pair shoes then realize that it is actually two shoes for the left foot ... 88 € the big disappointment command, hopes a refund or return for the foot law in the shortest possible time. Error incomprehensible given tha"&amp;"t the article is mentioned as new as one of the shoes already worn because the laces were made and had the shape of the foot, while the other was not laced in the same way and new ...")</f>
        <v>Not one but 2 feet left pair Receive pair shoes then realize that it is actually two shoes for the left foot ... 88 € the big disappointment command, hopes a refund or return for the foot law in the shortest possible time. Error incomprehensible given that the article is mentioned as new as one of the shoes already worn because the laces were made and had the shape of the foot, while the other was not laced in the same way and new ...</v>
      </c>
    </row>
    <row r="18041">
      <c r="A18041" s="1">
        <v>1.0</v>
      </c>
      <c r="B18041" s="1" t="s">
        <v>17740</v>
      </c>
      <c r="C18041" t="str">
        <f>IFERROR(__xludf.DUMMYFUNCTION("GOOGLETRANSLATE(B18041, ""fr"", ""en"")"),"Fragile The roll is fine but the stone to massage the contours arrived broken in the package.")</f>
        <v>Fragile The roll is fine but the stone to massage the contours arrived broken in the package.</v>
      </c>
    </row>
    <row r="18042">
      <c r="A18042" s="1">
        <v>3.0</v>
      </c>
      <c r="B18042" s="1" t="s">
        <v>17741</v>
      </c>
      <c r="C18042" t="str">
        <f>IFERROR(__xludf.DUMMYFUNCTION("GOOGLETRANSLATE(B18042, ""fr"", ""en"")"),"Warning Warning size take one size bigger")</f>
        <v>Warning Warning size take one size bigger</v>
      </c>
    </row>
    <row r="18043">
      <c r="A18043" s="1">
        <v>3.0</v>
      </c>
      <c r="B18043" s="1" t="s">
        <v>17742</v>
      </c>
      <c r="C18043" t="str">
        <f>IFERROR(__xludf.DUMMYFUNCTION("GOOGLETRANSLATE(B18043, ""fr"", ""en"")"),"Too too wide The length is good, but it is very wide ... a sweet potato sack No large, damage the fabric is nice")</f>
        <v>Too too wide The length is good, but it is very wide ... a sweet potato sack No large, damage the fabric is nice</v>
      </c>
    </row>
    <row r="18044">
      <c r="A18044" s="1">
        <v>4.0</v>
      </c>
      <c r="B18044" s="1" t="s">
        <v>17743</v>
      </c>
      <c r="C18044" t="str">
        <f>IFERROR(__xludf.DUMMYFUNCTION("GOOGLETRANSLATE(B18044, ""fr"", ""en"")"),"Basketball nice pretty color, nice quality and very light. I recommend")</f>
        <v>Basketball nice pretty color, nice quality and very light. I recommend</v>
      </c>
    </row>
    <row r="18045">
      <c r="A18045" s="1">
        <v>4.0</v>
      </c>
      <c r="B18045" s="1" t="s">
        <v>17744</v>
      </c>
      <c r="C18045" t="str">
        <f>IFERROR(__xludf.DUMMYFUNCTION("GOOGLETRANSLATE(B18045, ""fr"", ""en"")"),"Very good quality but quickly painful. Television, painful after extended play (high pressure earbuds).")</f>
        <v>Very good quality but quickly painful. Television, painful after extended play (high pressure earbuds).</v>
      </c>
    </row>
    <row r="18046">
      <c r="A18046" s="1">
        <v>4.0</v>
      </c>
      <c r="B18046" s="1" t="s">
        <v>17745</v>
      </c>
      <c r="C18046" t="str">
        <f>IFERROR(__xludf.DUMMYFUNCTION("GOOGLETRANSLATE(B18046, ""fr"", ""en"")"),"Cautiously I attribute four stars why, received 9 as expected (nothing to say). I reserve just because we are the 11 I wear them for two days, I réévaluerais them a while to even the solidity of this article (which I got the nice enough air !!!) just to a"&amp;"sk for reinforcements heel to prevent wear too fast.")</f>
        <v>Cautiously I attribute four stars why, received 9 as expected (nothing to say). I reserve just because we are the 11 I wear them for two days, I réévaluerais them a while to even the solidity of this article (which I got the nice enough air !!!) just to ask for reinforcements heel to prevent wear too fast.</v>
      </c>
    </row>
    <row r="18047">
      <c r="A18047" s="1">
        <v>4.0</v>
      </c>
      <c r="B18047" s="1" t="s">
        <v>17746</v>
      </c>
      <c r="C18047" t="str">
        <f>IFERROR(__xludf.DUMMYFUNCTION("GOOGLETRANSLATE(B18047, ""fr"", ""en"")"),"product compliant I just got it so can not judge the ite longev but good product overall.")</f>
        <v>product compliant I just got it so can not judge the ite longev but good product overall.</v>
      </c>
    </row>
    <row r="18048">
      <c r="A18048" s="1">
        <v>5.0</v>
      </c>
      <c r="B18048" s="1" t="s">
        <v>17747</v>
      </c>
      <c r="C18048" t="str">
        <f>IFERROR(__xludf.DUMMYFUNCTION("GOOGLETRANSLATE(B18048, ""fr"", ""en"")"),"Practice Super practical and pretty")</f>
        <v>Practice Super practical and pretty</v>
      </c>
    </row>
    <row r="18049">
      <c r="A18049" s="1">
        <v>5.0</v>
      </c>
      <c r="B18049" s="1" t="s">
        <v>17748</v>
      </c>
      <c r="C18049" t="str">
        <f>IFERROR(__xludf.DUMMYFUNCTION("GOOGLETRANSLATE(B18049, ""fr"", ""en"")"),"Watch perfect for me. After watches with chrome housing, the brass soon appear in the chrome layer that scratches or wears. After watches whose glass always end up scratching. After watches that need to change the battery every year after watches that del"&amp;"ay or advance one minute every month after I removed regularly watches because of weight as soon as one wants to move faster Finally here a watch needle including seconds hand and when that same date, chrono, etc ... super light, thin enough and reasonabl"&amp;"e diameter, which is always on time, the battery recharges itself (actually without even paying attention, I have never seen the battery discharge), with a glass (sapphire) that I have not managed to scratch. I think it was worth every penny because of it"&amp;"s comfort and durability. And I find its aesthetic sober (v black dial) rather elegant. A really successful shows I still enjoy for 2 years!")</f>
        <v>Watch perfect for me. After watches with chrome housing, the brass soon appear in the chrome layer that scratches or wears. After watches whose glass always end up scratching. After watches that need to change the battery every year after watches that delay or advance one minute every month after I removed regularly watches because of weight as soon as one wants to move faster Finally here a watch needle including seconds hand and when that same date, chrono, etc ... super light, thin enough and reasonable diameter, which is always on time, the battery recharges itself (actually without even paying attention, I have never seen the battery discharge), with a glass (sapphire) that I have not managed to scratch. I think it was worth every penny because of its comfort and durability. And I find its aesthetic sober (v black dial) rather elegant. A really successful shows I still enjoy for 2 years!</v>
      </c>
    </row>
    <row r="18050">
      <c r="A18050" s="1">
        <v>5.0</v>
      </c>
      <c r="B18050" s="1" t="s">
        <v>17749</v>
      </c>
      <c r="C18050" t="str">
        <f>IFERROR(__xludf.DUMMYFUNCTION("GOOGLETRANSLATE(B18050, ""fr"", ""en"")"),"Size good for my daughter for her daily, she does not want to damage the car ""c is stylish too,"" she did not wear for sports.")</f>
        <v>Size good for my daughter for her daily, she does not want to damage the car "c is stylish too," she did not wear for sports.</v>
      </c>
    </row>
    <row r="18051">
      <c r="A18051" s="1">
        <v>5.0</v>
      </c>
      <c r="B18051" s="1" t="s">
        <v>17750</v>
      </c>
      <c r="C18051" t="str">
        <f>IFERROR(__xludf.DUMMYFUNCTION("GOOGLETRANSLATE(B18051, ""fr"", ""en"")"),"Perfect Answer This product perfectly my expectations")</f>
        <v>Perfect Answer This product perfectly my expectations</v>
      </c>
    </row>
    <row r="18052">
      <c r="A18052" s="1">
        <v>5.0</v>
      </c>
      <c r="B18052" s="1" t="s">
        <v>17751</v>
      </c>
      <c r="C18052" t="str">
        <f>IFERROR(__xludf.DUMMYFUNCTION("GOOGLETRANSLATE(B18052, ""fr"", ""en"")"),"Excellent product and value for money I decided to buy these ink cartridges because the reviews were very good and I confirm! These cartridges fit perfectly with my Epson xp442. Obviously an error message appears when the installed because it is not origi"&amp;"nal, but after validation everything works perfectly. A sacred economy anyway, so I've even bought 2 packs! I highly recommend.")</f>
        <v>Excellent product and value for money I decided to buy these ink cartridges because the reviews were very good and I confirm! These cartridges fit perfectly with my Epson xp442. Obviously an error message appears when the installed because it is not original, but after validation everything works perfectly. A sacred economy anyway, so I've even bought 2 packs! I highly recommend.</v>
      </c>
    </row>
    <row r="18053">
      <c r="A18053" s="1">
        <v>5.0</v>
      </c>
      <c r="B18053" s="1" t="s">
        <v>17752</v>
      </c>
      <c r="C18053" t="str">
        <f>IFERROR(__xludf.DUMMYFUNCTION("GOOGLETRANSLATE(B18053, ""fr"", ""en"")"),"Produced for medium difficulty These shoes seem suitable for walking on land moderately stony. I reinforced cushioning seems way by a special insole dedicated to sports. May only the test a week and 200 touring terminals can judge the quality and product "&amp;"adaptability on!")</f>
        <v>Produced for medium difficulty These shoes seem suitable for walking on land moderately stony. I reinforced cushioning seems way by a special insole dedicated to sports. May only the test a week and 200 touring terminals can judge the quality and product adaptability on!</v>
      </c>
    </row>
    <row r="18054">
      <c r="A18054" s="1">
        <v>5.0</v>
      </c>
      <c r="B18054" s="1" t="s">
        <v>17753</v>
      </c>
      <c r="C18054" t="str">
        <f>IFERROR(__xludf.DUMMYFUNCTION("GOOGLETRANSLATE(B18054, ""fr"", ""en"")"),"very nice and comfy")</f>
        <v>very nice and comfy</v>
      </c>
    </row>
    <row r="18055">
      <c r="A18055" s="1">
        <v>5.0</v>
      </c>
      <c r="B18055" s="1" t="s">
        <v>17754</v>
      </c>
      <c r="C18055" t="str">
        <f>IFERROR(__xludf.DUMMYFUNCTION("GOOGLETRANSLATE(B18055, ""fr"", ""en"")"),"perfect I am a teacher and mother of a little girl of 6 years. I began to teach him to read a large section and I opted for the Sami and Julie method. The little books which complement seduced me. I am very satisfied of the texts used. Level 1 includes on"&amp;"ly simple sounds. The child deciphers readily and proudly read for the first time a single book. I love and my daughter too. Questions at the end used to check understanding. I highly recommend.")</f>
        <v>perfect I am a teacher and mother of a little girl of 6 years. I began to teach him to read a large section and I opted for the Sami and Julie method. The little books which complement seduced me. I am very satisfied of the texts used. Level 1 includes only simple sounds. The child deciphers readily and proudly read for the first time a single book. I love and my daughter too. Questions at the end used to check understanding. I highly recommend.</v>
      </c>
    </row>
    <row r="18056">
      <c r="A18056" s="1">
        <v>5.0</v>
      </c>
      <c r="B18056" s="1" t="s">
        <v>17755</v>
      </c>
      <c r="C18056" t="str">
        <f>IFERROR(__xludf.DUMMYFUNCTION("GOOGLETRANSLATE(B18056, ""fr"", ""en"")"),"Perfect Very good quality produit.bébé adopts dessuite .just a little weak as a debit to a 4 month old baby who drinks a little disappointed at épais.La size is too strong for him")</f>
        <v>Perfect Very good quality produit.bébé adopts dessuite .just a little weak as a debit to a 4 month old baby who drinks a little disappointed at épais.La size is too strong for him</v>
      </c>
    </row>
    <row r="18057">
      <c r="A18057" s="1">
        <v>5.0</v>
      </c>
      <c r="B18057" s="1" t="s">
        <v>17756</v>
      </c>
      <c r="C18057" t="str">
        <f>IFERROR(__xludf.DUMMYFUNCTION("GOOGLETRANSLATE(B18057, ""fr"", ""en"")"),"earrings, ear Pleased with my purchase, I adore these earrings with silver clasps and other plastic, not too large, so it seems perfect")</f>
        <v>earrings, ear Pleased with my purchase, I adore these earrings with silver clasps and other plastic, not too large, so it seems perfect</v>
      </c>
    </row>
    <row r="18058">
      <c r="A18058" s="1">
        <v>5.0</v>
      </c>
      <c r="B18058" s="1" t="s">
        <v>17757</v>
      </c>
      <c r="C18058" t="str">
        <f>IFERROR(__xludf.DUMMYFUNCTION("GOOGLETRANSLATE(B18058, ""fr"", ""en"")"),"Good product. Authentic. This product perfectly matches my expectations. The scent is natural, not too strong, just right. The scrub is effective.")</f>
        <v>Good product. Authentic. This product perfectly matches my expectations. The scent is natural, not too strong, just right. The scrub is effective.</v>
      </c>
    </row>
    <row r="18059">
      <c r="A18059" s="1">
        <v>5.0</v>
      </c>
      <c r="B18059" s="1" t="s">
        <v>17758</v>
      </c>
      <c r="C18059" t="str">
        <f>IFERROR(__xludf.DUMMYFUNCTION("GOOGLETRANSLATE(B18059, ""fr"", ""en"")"),"Top Very good smell")</f>
        <v>Top Very good smell</v>
      </c>
    </row>
    <row r="18060">
      <c r="A18060" s="1">
        <v>5.0</v>
      </c>
      <c r="B18060" s="1" t="s">
        <v>17759</v>
      </c>
      <c r="C18060" t="str">
        <f>IFERROR(__xludf.DUMMYFUNCTION("GOOGLETRANSLATE(B18060, ""fr"", ""en"")"),"Impeccable with X or iPhone Retina Macbook - good performance and good sound! Upon unpacking the grip is nice: box velvet touch, compact and sober. Nickel. A instructions and tips for customizing and initiate all very easily. Apparaige meets the comments "&amp;"I had read: very simple and fast. His side: good homogeneity. Very good for headphones of this size. Good bass present, the controlled treble and midrange / bass well detailed. I have not felt the need to go play with the phone equalizer to make it rings "&amp;"true. The touch controls are apprehensive quickly and quickly become indispensable. To raise / lower the sound with a double tap left or right. Reading break with just a touch. Touched long &amp; gt; change songs: practice. Once in use the headphones are forg"&amp;"otten and remain perfectly in the ear! Garden walk, DIY or légumer the sofa like an athlete;) Big notable point: they are in-ear which mean that volume equal means much better because there is no (or bcp less) sounds exteriors. Better for the ears because"&amp;" it weaker listening. Ideal transport (plane, train, subway) or DIY (the sound of the jigsaw is stifled and continues to enjoy the music). Finally, there is no sound audible to those around you. Autonomy is by appointment, as announced, no disappointment "&amp;"on that side! The status of the battery easily searchable on the iPhone: nickel. It is to my liking with a flawless design and sound flawless. I am also surprised at the quality / price ratio than satisfied with the product! If my opinion is useful to you"&amp;", click, it's always fun!")</f>
        <v>Impeccable with X or iPhone Retina Macbook - good performance and good sound! Upon unpacking the grip is nice: box velvet touch, compact and sober. Nickel. A instructions and tips for customizing and initiate all very easily. Apparaige meets the comments I had read: very simple and fast. His side: good homogeneity. Very good for headphones of this size. Good bass present, the controlled treble and midrange / bass well detailed. I have not felt the need to go play with the phone equalizer to make it rings true. The touch controls are apprehensive quickly and quickly become indispensable. To raise / lower the sound with a double tap left or right. Reading break with just a touch. Touched long &amp; gt; change songs: practice. Once in use the headphones are forgotten and remain perfectly in the ear! Garden walk, DIY or légumer the sofa like an athlete;) Big notable point: they are in-ear which mean that volume equal means much better because there is no (or bcp less) sounds exteriors. Better for the ears because it weaker listening. Ideal transport (plane, train, subway) or DIY (the sound of the jigsaw is stifled and continues to enjoy the music). Finally, there is no sound audible to those around you. Autonomy is by appointment, as announced, no disappointment on that side! The status of the battery easily searchable on the iPhone: nickel. It is to my liking with a flawless design and sound flawless. I am also surprised at the quality / price ratio than satisfied with the product! If my opinion is useful to you, click, it's always fun!</v>
      </c>
    </row>
    <row r="18061">
      <c r="A18061" s="1">
        <v>5.0</v>
      </c>
      <c r="B18061" s="1" t="s">
        <v>17760</v>
      </c>
      <c r="C18061" t="str">
        <f>IFERROR(__xludf.DUMMYFUNCTION("GOOGLETRANSLATE(B18061, ""fr"", ""en"")"),"Sweat femmeJe I have not given it will be offered on Sunday or Monday I smile only if it will or not")</f>
        <v>Sweat femmeJe I have not given it will be offered on Sunday or Monday I smile only if it will or not</v>
      </c>
    </row>
    <row r="18062">
      <c r="A18062" s="1">
        <v>5.0</v>
      </c>
      <c r="B18062" s="1" t="s">
        <v>17761</v>
      </c>
      <c r="C18062" t="str">
        <f>IFERROR(__xludf.DUMMYFUNCTION("GOOGLETRANSLATE(B18062, ""fr"", ""en"")"),"Awesome This is the essential tool as a mom !!! I am delighted ! No more lumps !! My son has thickened milk + cereals so without this mixer is a disaster.")</f>
        <v>Awesome This is the essential tool as a mom !!! I am delighted ! No more lumps !! My son has thickened milk + cereals so without this mixer is a disaster.</v>
      </c>
    </row>
    <row r="18063">
      <c r="A18063" s="1">
        <v>2.0</v>
      </c>
      <c r="B18063" s="1" t="s">
        <v>17762</v>
      </c>
      <c r="C18063" t="str">
        <f>IFERROR(__xludf.DUMMYFUNCTION("GOOGLETRANSLATE(B18063, ""fr"", ""en"")"),"Leak after months qqs The device does not look very tight over time, be careful I put a cup below now.")</f>
        <v>Leak after months qqs The device does not look very tight over time, be careful I put a cup below now.</v>
      </c>
    </row>
    <row r="18064">
      <c r="A18064" s="1">
        <v>1.0</v>
      </c>
      <c r="B18064" s="1" t="s">
        <v>17763</v>
      </c>
      <c r="C18064" t="str">
        <f>IFERROR(__xludf.DUMMYFUNCTION("GOOGLETRANSLATE(B18064, ""fr"", ""en"")"),"Disappointed correct product but only a few months. In fact, this did not last long. The price is not high, however, for the life of the product is not good value for money. After a few months I could control anything with the command on the top headphone"&amp;"s, however headphones passing music, were asking ... not that I would touch. Then the sound began to MALFUNCTION finally no longer emit sound. I am very disappointed with this product and recommend.")</f>
        <v>Disappointed correct product but only a few months. In fact, this did not last long. The price is not high, however, for the life of the product is not good value for money. After a few months I could control anything with the command on the top headphones, however headphones passing music, were asking ... not that I would touch. Then the sound began to MALFUNCTION finally no longer emit sound. I am very disappointed with this product and recommend.</v>
      </c>
    </row>
    <row r="18065">
      <c r="A18065" s="1">
        <v>1.0</v>
      </c>
      <c r="B18065" s="1" t="s">
        <v>17764</v>
      </c>
      <c r="C18065" t="str">
        <f>IFERROR(__xludf.DUMMYFUNCTION("GOOGLETRANSLATE(B18065, ""fr"", ""en"")"),"To flee !!!!! 14 sheets printed in B &amp; amp; B only. I sent an email to ""team ink"" who answered very quickly and sent me a new cartridge. And there, I could print 2 sheets !!!!!! For XL cartridge is little ......... I'll buy more home")</f>
        <v>To flee !!!!! 14 sheets printed in B &amp; amp; B only. I sent an email to "team ink" who answered very quickly and sent me a new cartridge. And there, I could print 2 sheets !!!!!! For XL cartridge is little ......... I'll buy more home</v>
      </c>
    </row>
    <row r="18066">
      <c r="A18066" s="1">
        <v>3.0</v>
      </c>
      <c r="B18066" s="1" t="s">
        <v>17765</v>
      </c>
      <c r="C18066" t="str">
        <f>IFERROR(__xludf.DUMMYFUNCTION("GOOGLETRANSLATE(B18066, ""fr"", ""en"")"),"produces some slight mouse pad too light for my taste not much maintained and not thick enough")</f>
        <v>produces some slight mouse pad too light for my taste not much maintained and not thick enough</v>
      </c>
    </row>
    <row r="18067">
      <c r="A18067" s="1">
        <v>4.0</v>
      </c>
      <c r="B18067" s="1" t="s">
        <v>17766</v>
      </c>
      <c r="C18067" t="str">
        <f>IFERROR(__xludf.DUMMYFUNCTION("GOOGLETRANSLATE(B18067, ""fr"", ""en"")"),"Grid well for the first month of use, it works great! A view on the long term....")</f>
        <v>Grid well for the first month of use, it works great! A view on the long term....</v>
      </c>
    </row>
    <row r="18068">
      <c r="A18068" s="1">
        <v>4.0</v>
      </c>
      <c r="B18068" s="1" t="s">
        <v>17767</v>
      </c>
      <c r="C18068" t="str">
        <f>IFERROR(__xludf.DUMMYFUNCTION("GOOGLETRANSLATE(B18068, ""fr"", ""en"")"),"Wedge Trainer Nice sneakers for walking and for having few centimeters more. Shoes to be rather in the spring or summer. So I expect the best days to better enjoy.")</f>
        <v>Wedge Trainer Nice sneakers for walking and for having few centimeters more. Shoes to be rather in the spring or summer. So I expect the best days to better enjoy.</v>
      </c>
    </row>
    <row r="18069">
      <c r="A18069" s="1">
        <v>4.0</v>
      </c>
      <c r="B18069" s="1" t="s">
        <v>17768</v>
      </c>
      <c r="C18069" t="str">
        <f>IFERROR(__xludf.DUMMYFUNCTION("GOOGLETRANSLATE(B18069, ""fr"", ""en"")"),"Casual Jeans Pants Sport Jogging Slim Fit Military Cargo Mountain Baggy good reception, thank you")</f>
        <v>Casual Jeans Pants Sport Jogging Slim Fit Military Cargo Mountain Baggy good reception, thank you</v>
      </c>
    </row>
    <row r="18070">
      <c r="A18070" s="1">
        <v>4.0</v>
      </c>
      <c r="B18070" s="1" t="s">
        <v>17769</v>
      </c>
      <c r="C18070" t="str">
        <f>IFERROR(__xludf.DUMMYFUNCTION("GOOGLETRANSLATE(B18070, ""fr"", ""en"")"),"Beautiful green apple Very nice, if you like the colors, it is superb. I made the 38, I 'bought 38. 4 stars, just because there was two excess fabric at the passers tired, it was very difficult to remove.")</f>
        <v>Beautiful green apple Very nice, if you like the colors, it is superb. I made the 38, I 'bought 38. 4 stars, just because there was two excess fabric at the passers tired, it was very difficult to remove.</v>
      </c>
    </row>
    <row r="18071">
      <c r="A18071" s="1">
        <v>5.0</v>
      </c>
      <c r="B18071" s="1" t="s">
        <v>17770</v>
      </c>
      <c r="C18071" t="str">
        <f>IFERROR(__xludf.DUMMYFUNCTION("GOOGLETRANSLATE(B18071, ""fr"", ""en"")"),"Good quality Fast delivery Product compliant")</f>
        <v>Good quality Fast delivery Product compliant</v>
      </c>
    </row>
    <row r="18072">
      <c r="A18072" s="1">
        <v>5.0</v>
      </c>
      <c r="B18072" s="1" t="s">
        <v>17771</v>
      </c>
      <c r="C18072" t="str">
        <f>IFERROR(__xludf.DUMMYFUNCTION("GOOGLETRANSLATE(B18072, ""fr"", ""en"")"),"Very good article Excellent coverage can be used with or even without heating. Lightweight and pretty effective. Very well !")</f>
        <v>Very good article Excellent coverage can be used with or even without heating. Lightweight and pretty effective. Very well !</v>
      </c>
    </row>
    <row r="18073">
      <c r="A18073" s="1">
        <v>5.0</v>
      </c>
      <c r="B18073" s="1" t="s">
        <v>17772</v>
      </c>
      <c r="C18073" t="str">
        <f>IFERROR(__xludf.DUMMYFUNCTION("GOOGLETRANSLATE(B18073, ""fr"", ""en"")"),"light shows and robust Value for money on top! The watch is beautiful, lightweight, comfortable to wear, easy to set the time and date, I did not need to adjust the strap, the size was good right away")</f>
        <v>light shows and robust Value for money on top! The watch is beautiful, lightweight, comfortable to wear, easy to set the time and date, I did not need to adjust the strap, the size was good right away</v>
      </c>
    </row>
    <row r="18074">
      <c r="A18074" s="1">
        <v>5.0</v>
      </c>
      <c r="B18074" s="1" t="s">
        <v>17773</v>
      </c>
      <c r="C18074" t="str">
        <f>IFERROR(__xludf.DUMMYFUNCTION("GOOGLETRANSLATE(B18074, ""fr"", ""en"")"),"Super Lovely strap really very pretty resistant may be just a shame that it can grip slightly on the edge but I'm really not disappointed")</f>
        <v>Super Lovely strap really very pretty resistant may be just a shame that it can grip slightly on the edge but I'm really not disappointed</v>
      </c>
    </row>
    <row r="18075">
      <c r="A18075" s="1">
        <v>5.0</v>
      </c>
      <c r="B18075" s="1" t="s">
        <v>17774</v>
      </c>
      <c r="C18075" t="str">
        <f>IFERROR(__xludf.DUMMYFUNCTION("GOOGLETRANSLATE(B18075, ""fr"", ""en"")"),"Superb This model is emblematic of the brand is very good quality leather is durable and waterproof really recommend")</f>
        <v>Superb This model is emblematic of the brand is very good quality leather is durable and waterproof really recommend</v>
      </c>
    </row>
    <row r="18076">
      <c r="A18076" s="1">
        <v>5.0</v>
      </c>
      <c r="B18076" s="1" t="s">
        <v>17775</v>
      </c>
      <c r="C18076" t="str">
        <f>IFERROR(__xludf.DUMMYFUNCTION("GOOGLETRANSLATE(B18076, ""fr"", ""en"")"),"the spacious bag quality, strong, beautiful, made in thick leather and matt: style! gift very much")</f>
        <v>the spacious bag quality, strong, beautiful, made in thick leather and matt: style! gift very much</v>
      </c>
    </row>
    <row r="18077">
      <c r="A18077" s="1">
        <v>5.0</v>
      </c>
      <c r="B18077" s="1" t="s">
        <v>17776</v>
      </c>
      <c r="C18077" t="str">
        <f>IFERROR(__xludf.DUMMYFUNCTION("GOOGLETRANSLATE(B18077, ""fr"", ""en"")"),"Perfect ! true")</f>
        <v>Perfect ! true</v>
      </c>
    </row>
    <row r="18078">
      <c r="A18078" s="1">
        <v>5.0</v>
      </c>
      <c r="B18078" s="1" t="s">
        <v>17777</v>
      </c>
      <c r="C18078" t="str">
        <f>IFERROR(__xludf.DUMMYFUNCTION("GOOGLETRANSLATE(B18078, ""fr"", ""en"")"),"Nike Meets very good product")</f>
        <v>Nike Meets very good product</v>
      </c>
    </row>
    <row r="18079">
      <c r="A18079" s="1">
        <v>5.0</v>
      </c>
      <c r="B18079" s="1" t="s">
        <v>17778</v>
      </c>
      <c r="C18079" t="str">
        <f>IFERROR(__xludf.DUMMYFUNCTION("GOOGLETRANSLATE(B18079, ""fr"", ""en"")"),"Finally top quality good quality headphones that does not damage the ear. And above all, headphones that hold in place. I can do my sport with and I do not commit every 2 minutes. The sound is very correct, not sizzle and the stop function is more signifi"&amp;"cant. Very good value, I would recommend them without hesitation")</f>
        <v>Finally top quality good quality headphones that does not damage the ear. And above all, headphones that hold in place. I can do my sport with and I do not commit every 2 minutes. The sound is very correct, not sizzle and the stop function is more significant. Very good value, I would recommend them without hesitation</v>
      </c>
    </row>
    <row r="18080">
      <c r="A18080" s="1">
        <v>5.0</v>
      </c>
      <c r="B18080" s="1" t="s">
        <v>17779</v>
      </c>
      <c r="C18080" t="str">
        <f>IFERROR(__xludf.DUMMYFUNCTION("GOOGLETRANSLATE(B18080, ""fr"", ""en"")"),"Just perfect. I added a protective metal bar and I changed the bracelet, and it is just perfect. The battery holds up well, it is always at the exact time by adjusting automatic time satellite, no useless gadgets ... the old me had resisted 12 years. I ha"&amp;"d brought more than 60 deep dive, and abused as hell. I feel that it will take at least that long.")</f>
        <v>Just perfect. I added a protective metal bar and I changed the bracelet, and it is just perfect. The battery holds up well, it is always at the exact time by adjusting automatic time satellite, no useless gadgets ... the old me had resisted 12 years. I had brought more than 60 deep dive, and abused as hell. I feel that it will take at least that long.</v>
      </c>
    </row>
    <row r="18081">
      <c r="A18081" s="1">
        <v>5.0</v>
      </c>
      <c r="B18081" s="1" t="s">
        <v>17780</v>
      </c>
      <c r="C18081" t="str">
        <f>IFERROR(__xludf.DUMMYFUNCTION("GOOGLETRANSLATE(B18081, ""fr"", ""en"")"),"Article in good order and complies with the perfect description in every respect")</f>
        <v>Article in good order and complies with the perfect description in every respect</v>
      </c>
    </row>
    <row r="18082">
      <c r="A18082" s="1">
        <v>5.0</v>
      </c>
      <c r="B18082" s="1" t="s">
        <v>17781</v>
      </c>
      <c r="C18082" t="str">
        <f>IFERROR(__xludf.DUMMYFUNCTION("GOOGLETRANSLATE(B18082, ""fr"", ""en"")"),"Great just as I expected")</f>
        <v>Great just as I expected</v>
      </c>
    </row>
    <row r="18083">
      <c r="A18083" s="1">
        <v>5.0</v>
      </c>
      <c r="B18083" s="1" t="s">
        <v>17782</v>
      </c>
      <c r="C18083" t="str">
        <f>IFERROR(__xludf.DUMMYFUNCTION("GOOGLETRANSLATE(B18083, ""fr"", ""en"")"),"very satisfied with my purchase comfortable and reassuring on wet ground")</f>
        <v>very satisfied with my purchase comfortable and reassuring on wet ground</v>
      </c>
    </row>
    <row r="18084">
      <c r="A18084" s="1">
        <v>5.0</v>
      </c>
      <c r="B18084" s="1" t="s">
        <v>17783</v>
      </c>
      <c r="C18084" t="str">
        <f>IFERROR(__xludf.DUMMYFUNCTION("GOOGLETRANSLATE(B18084, ""fr"", ""en"")"),"XL Size A box can hold over 8 cool milk doses for 1 bottle 330. take without hesitation.")</f>
        <v>XL Size A box can hold over 8 cool milk doses for 1 bottle 330. take without hesitation.</v>
      </c>
    </row>
    <row r="18085">
      <c r="A18085" s="1">
        <v>5.0</v>
      </c>
      <c r="B18085" s="1" t="s">
        <v>17784</v>
      </c>
      <c r="C18085" t="str">
        <f>IFERROR(__xludf.DUMMYFUNCTION("GOOGLETRANSLATE(B18085, ""fr"", ""en"")"),"Good value Jogging")</f>
        <v>Good value Jogging</v>
      </c>
    </row>
    <row r="18086">
      <c r="A18086" s="1">
        <v>2.0</v>
      </c>
      <c r="B18086" s="1" t="s">
        <v>17785</v>
      </c>
      <c r="C18086" t="str">
        <f>IFERROR(__xludf.DUMMYFUNCTION("GOOGLETRANSLATE(B18086, ""fr"", ""en"")"),"Unpleasant to see that not a copper cable, but a cheap alternative. Used to rewire a heating resistor 12 V. This cable is not copper, but probably aluminum copper (low cost). This should be indicated as an electrical cable, by default, must be copper.")</f>
        <v>Unpleasant to see that not a copper cable, but a cheap alternative. Used to rewire a heating resistor 12 V. This cable is not copper, but probably aluminum copper (low cost). This should be indicated as an electrical cable, by default, must be copper.</v>
      </c>
    </row>
    <row r="18087">
      <c r="A18087" s="1">
        <v>1.0</v>
      </c>
      <c r="B18087" s="1" t="s">
        <v>17786</v>
      </c>
      <c r="C18087" t="str">
        <f>IFERROR(__xludf.DUMMYFUNCTION("GOOGLETRANSLATE(B18087, ""fr"", ""en"")"),"Not satisfied with the product The earrings are the verdigris on really decue lobes")</f>
        <v>Not satisfied with the product The earrings are the verdigris on really decue lobes</v>
      </c>
    </row>
    <row r="18088">
      <c r="A18088" s="1">
        <v>3.0</v>
      </c>
      <c r="B18088" s="1" t="s">
        <v>17787</v>
      </c>
      <c r="C18088" t="str">
        <f>IFERROR(__xludf.DUMMYFUNCTION("GOOGLETRANSLATE(B18088, ""fr"", ""en"")"),"Reimbursement announced but stuck ... The label and other Dymo products are advertised as receiving a refund subject to take steps, which is quite normal. Except ... for the label, the serial number that is good in the cassette holder is invalid, not havi"&amp;"ng the right format. I would like an answer please. Thank you!")</f>
        <v>Reimbursement announced but stuck ... The label and other Dymo products are advertised as receiving a refund subject to take steps, which is quite normal. Except ... for the label, the serial number that is good in the cassette holder is invalid, not having the right format. I would like an answer please. Thank you!</v>
      </c>
    </row>
    <row r="18089">
      <c r="A18089" s="1">
        <v>3.0</v>
      </c>
      <c r="B18089" s="1" t="s">
        <v>17788</v>
      </c>
      <c r="C18089" t="str">
        <f>IFERROR(__xludf.DUMMYFUNCTION("GOOGLETRANSLATE(B18089, ""fr"", ""en"")"),"Good book I really love. It is very well written for adults. A bit complicated for children. My daughter does not understand all the words. But OK. We will say that it is to expand their vocabulary")</f>
        <v>Good book I really love. It is very well written for adults. A bit complicated for children. My daughter does not understand all the words. But OK. We will say that it is to expand their vocabulary</v>
      </c>
    </row>
    <row r="18090">
      <c r="A18090" s="1">
        <v>4.0</v>
      </c>
      <c r="B18090" s="1" t="s">
        <v>17789</v>
      </c>
      <c r="C18090" t="str">
        <f>IFERROR(__xludf.DUMMYFUNCTION("GOOGLETRANSLATE(B18090, ""fr"", ""en"")"),"Top Ras well")</f>
        <v>Top Ras well</v>
      </c>
    </row>
    <row r="18091">
      <c r="A18091" s="1">
        <v>4.0</v>
      </c>
      <c r="B18091" s="1" t="s">
        <v>17790</v>
      </c>
      <c r="C18091" t="str">
        <f>IFERROR(__xludf.DUMMYFUNCTION("GOOGLETRANSLATE(B18091, ""fr"", ""en"")"),"a little course in very good quality leg resistant cats claws, it does not deform despite the numerous washes, the only negative is that it is a bit current leg length but since it ' is fashionable today it goes neither seen nor known, I recommend this ar"&amp;"ticle.")</f>
        <v>a little course in very good quality leg resistant cats claws, it does not deform despite the numerous washes, the only negative is that it is a bit current leg length but since it ' is fashionable today it goes neither seen nor known, I recommend this article.</v>
      </c>
    </row>
    <row r="18092">
      <c r="A18092" s="1">
        <v>4.0</v>
      </c>
      <c r="B18092" s="1" t="s">
        <v>17791</v>
      </c>
      <c r="C18092" t="str">
        <f>IFERROR(__xludf.DUMMYFUNCTION("GOOGLETRANSLATE(B18092, ""fr"", ""en"")"),"fast delivery pleased relay point, although packaged products matching the photo presentation, several storage compartments handy, remains to be seen resistance over time. for now I recommend this purchase.")</f>
        <v>fast delivery pleased relay point, although packaged products matching the photo presentation, several storage compartments handy, remains to be seen resistance over time. for now I recommend this purchase.</v>
      </c>
    </row>
    <row r="18093">
      <c r="A18093" s="1">
        <v>4.0</v>
      </c>
      <c r="B18093" s="1" t="s">
        <v>17792</v>
      </c>
      <c r="C18093" t="str">
        <f>IFERROR(__xludf.DUMMYFUNCTION("GOOGLETRANSLATE(B18093, ""fr"", ""en"")"),"Meets expectations Meets expectations elegant and 43 corresponds to a 43. 4 stars because to see the strength in time but after 2 weeks impeccable tjs despite the bad weather")</f>
        <v>Meets expectations Meets expectations elegant and 43 corresponds to a 43. 4 stars because to see the strength in time but after 2 weeks impeccable tjs despite the bad weather</v>
      </c>
    </row>
    <row r="18094">
      <c r="A18094" s="1">
        <v>5.0</v>
      </c>
      <c r="B18094" s="1" t="s">
        <v>17793</v>
      </c>
      <c r="C18094" t="str">
        <f>IFERROR(__xludf.DUMMYFUNCTION("GOOGLETRANSLATE(B18094, ""fr"", ""en"")"),"Super is super I like it a lot I love the square bags I recommend it to a friend See on mouse redeemed and offers")</f>
        <v>Super is super I like it a lot I love the square bags I recommend it to a friend See on mouse redeemed and offers</v>
      </c>
    </row>
    <row r="18095">
      <c r="A18095" s="1">
        <v>5.0</v>
      </c>
      <c r="B18095" s="1" t="s">
        <v>17794</v>
      </c>
      <c r="C18095" t="str">
        <f>IFERROR(__xludf.DUMMYFUNCTION("GOOGLETRANSLATE(B18095, ""fr"", ""en"")"),"Good but ... good but be careful if you intend to use tape to the outside if the sun is on the pasted object that does not hold. Then stuck on a small ""shelf"" at home with some object above it did not move for several weeks.")</f>
        <v>Good but ... good but be careful if you intend to use tape to the outside if the sun is on the pasted object that does not hold. Then stuck on a small "shelf" at home with some object above it did not move for several weeks.</v>
      </c>
    </row>
    <row r="18096">
      <c r="A18096" s="1">
        <v>5.0</v>
      </c>
      <c r="B18096" s="1" t="s">
        <v>17795</v>
      </c>
      <c r="C18096" t="str">
        <f>IFERROR(__xludf.DUMMYFUNCTION("GOOGLETRANSLATE(B18096, ""fr"", ""en"")"),"A huge surprise I found these headphones with the Digital and am greatly surprised by their quality! + * The sound is clear, well balanced (especially when the active correction is on), the bass are present without being invasive and the midrange / treble"&amp;" are not aggressive at all! I'm really surprised! * Active noise correction is not perfect but allows already removed much of the outside noise, especially low (motor ...). At first it feels like pressure on the ears, but you get used quickly and that fee"&amp;"ling disappears completely. * The headphones are not unpleasant to the ear, especially when you have chosen the right atrium size -: * It lacks a way to hear the people you speak. It was added in version 2 of these headphones which are unfortunately much "&amp;"less than here ... * Does not fit the tiny ears: I personally have no problem but a friend of mine can not retract completely into his ears. In any case it is a product that I recommend eyes closed. Deeply version 3 with the headphones of version 1 and 2 "&amp;"of the box!")</f>
        <v>A huge surprise I found these headphones with the Digital and am greatly surprised by their quality! + * The sound is clear, well balanced (especially when the active correction is on), the bass are present without being invasive and the midrange / treble are not aggressive at all! I'm really surprised! * Active noise correction is not perfect but allows already removed much of the outside noise, especially low (motor ...). At first it feels like pressure on the ears, but you get used quickly and that feeling disappears completely. * The headphones are not unpleasant to the ear, especially when you have chosen the right atrium size -: * It lacks a way to hear the people you speak. It was added in version 2 of these headphones which are unfortunately much less than here ... * Does not fit the tiny ears: I personally have no problem but a friend of mine can not retract completely into his ears. In any case it is a product that I recommend eyes closed. Deeply version 3 with the headphones of version 1 and 2 of the box!</v>
      </c>
    </row>
    <row r="18097">
      <c r="A18097" s="1">
        <v>5.0</v>
      </c>
      <c r="B18097" s="1" t="s">
        <v>17796</v>
      </c>
      <c r="C18097" t="str">
        <f>IFERROR(__xludf.DUMMYFUNCTION("GOOGLETRANSLATE(B18097, ""fr"", ""en"")"),"Extremely handy Infuse all teas as I désire.Très easy job, just programming a little complicated at first need the manual to perform programming. With the teas I use no deposit in the teapot. Filled it is a bit heavy due to its design. For tea does not ex"&amp;"ceed the capacity of 1.2 L as specified in the manual to prevent the basket touches the water. For hot water capacity of 1.5 L. The pod provided is very convenient. The introduction or removal of the basket is really easy. Teapot very upscale, flawless fi"&amp;"nish which explains a high rate.")</f>
        <v>Extremely handy Infuse all teas as I désire.Très easy job, just programming a little complicated at first need the manual to perform programming. With the teas I use no deposit in the teapot. Filled it is a bit heavy due to its design. For tea does not exceed the capacity of 1.2 L as specified in the manual to prevent the basket touches the water. For hot water capacity of 1.5 L. The pod provided is very convenient. The introduction or removal of the basket is really easy. Teapot very upscale, flawless finish which explains a high rate.</v>
      </c>
    </row>
    <row r="18098">
      <c r="A18098" s="1">
        <v>5.0</v>
      </c>
      <c r="B18098" s="1" t="s">
        <v>17797</v>
      </c>
      <c r="C18098" t="str">
        <f>IFERROR(__xludf.DUMMYFUNCTION("GOOGLETRANSLATE(B18098, ""fr"", ""en"")"),"Surprised by gem quality. Also book with another pair of pearl buckle")</f>
        <v>Surprised by gem quality. Also book with another pair of pearl buckle</v>
      </c>
    </row>
    <row r="18099">
      <c r="A18099" s="1">
        <v>5.0</v>
      </c>
      <c r="B18099" s="1" t="s">
        <v>17798</v>
      </c>
      <c r="C18099" t="str">
        <f>IFERROR(__xludf.DUMMYFUNCTION("GOOGLETRANSLATE(B18099, ""fr"", ""en"")"),"GREAT PRODUCT Very good support for the sport and good resistance to washing I recommend this product")</f>
        <v>GREAT PRODUCT Very good support for the sport and good resistance to washing I recommend this product</v>
      </c>
    </row>
    <row r="18100">
      <c r="A18100" s="1">
        <v>5.0</v>
      </c>
      <c r="B18100" s="1" t="s">
        <v>17799</v>
      </c>
      <c r="C18100" t="str">
        <f>IFERROR(__xludf.DUMMYFUNCTION("GOOGLETRANSLATE(B18100, ""fr"", ""en"")"),"Top Meets description really are the best price!")</f>
        <v>Top Meets description really are the best price!</v>
      </c>
    </row>
    <row r="18101">
      <c r="A18101" s="1">
        <v>5.0</v>
      </c>
      <c r="B18101" s="1" t="s">
        <v>17800</v>
      </c>
      <c r="C18101" t="str">
        <f>IFERROR(__xludf.DUMMYFUNCTION("GOOGLETRANSLATE(B18101, ""fr"", ""en"")"),"Nothing to say, great product consistent with the description, very good. Still not used much, so if ever use will not be up to it, I'll come back with another comment.")</f>
        <v>Nothing to say, great product consistent with the description, very good. Still not used much, so if ever use will not be up to it, I'll come back with another comment.</v>
      </c>
    </row>
    <row r="18102">
      <c r="A18102" s="1">
        <v>5.0</v>
      </c>
      <c r="B18102" s="1" t="s">
        <v>17801</v>
      </c>
      <c r="C18102" t="str">
        <f>IFERROR(__xludf.DUMMYFUNCTION("GOOGLETRANSLATE(B18102, ""fr"", ""en"")"),"Products of high quality even after several washes it remains impeccable products of high quality even after several washes it remains flawless")</f>
        <v>Products of high quality even after several washes it remains impeccable products of high quality even after several washes it remains flawless</v>
      </c>
    </row>
    <row r="18103">
      <c r="A18103" s="1">
        <v>5.0</v>
      </c>
      <c r="B18103" s="1" t="s">
        <v>17802</v>
      </c>
      <c r="C18103" t="str">
        <f>IFERROR(__xludf.DUMMYFUNCTION("GOOGLETRANSLATE(B18103, ""fr"", ""en"")"),"classic a bit retro and still beautiful they are perfectly working the finish is that it takes ""foundry raw"" to be an effective fashion accessory I recommend")</f>
        <v>classic a bit retro and still beautiful they are perfectly working the finish is that it takes "foundry raw" to be an effective fashion accessory I recommend</v>
      </c>
    </row>
    <row r="18104">
      <c r="A18104" s="1">
        <v>5.0</v>
      </c>
      <c r="B18104" s="1" t="s">
        <v>17803</v>
      </c>
      <c r="C18104" t="str">
        <f>IFERROR(__xludf.DUMMYFUNCTION("GOOGLETRANSLATE(B18104, ""fr"", ""en"")"),"Very good shoes equal to the photo. I play 40 and they fit me perfectly. great color. Meet my expectations!")</f>
        <v>Very good shoes equal to the photo. I play 40 and they fit me perfectly. great color. Meet my expectations!</v>
      </c>
    </row>
    <row r="18105">
      <c r="A18105" s="1">
        <v>5.0</v>
      </c>
      <c r="B18105" s="1" t="s">
        <v>17804</v>
      </c>
      <c r="C18105" t="str">
        <f>IFERROR(__xludf.DUMMYFUNCTION("GOOGLETRANSLATE(B18105, ""fr"", ""en"")"),"beautiful watch perfect match record the whole site looks strong only the night lighting is especially good buy in my opinion")</f>
        <v>beautiful watch perfect match record the whole site looks strong only the night lighting is especially good buy in my opinion</v>
      </c>
    </row>
    <row r="18106">
      <c r="A18106" s="1">
        <v>5.0</v>
      </c>
      <c r="B18106" s="1" t="s">
        <v>17805</v>
      </c>
      <c r="C18106" t="str">
        <f>IFERROR(__xludf.DUMMYFUNCTION("GOOGLETRANSLATE(B18106, ""fr"", ""en"")"),"Good quality delivery not correct size by top private parcel is long.")</f>
        <v>Good quality delivery not correct size by top private parcel is long.</v>
      </c>
    </row>
    <row r="18107">
      <c r="A18107" s="1">
        <v>5.0</v>
      </c>
      <c r="B18107" s="1" t="s">
        <v>17806</v>
      </c>
      <c r="C18107" t="str">
        <f>IFERROR(__xludf.DUMMYFUNCTION("GOOGLETRANSLATE(B18107, ""fr"", ""en"")"),"Very easy to use !! Very good product! Very easy to use! Do not make noise ! With the remote control we can adjust the intensity of light, the broadcasting time! It blends perfectly with its color.")</f>
        <v>Very easy to use !! Very good product! Very easy to use! Do not make noise ! With the remote control we can adjust the intensity of light, the broadcasting time! It blends perfectly with its color.</v>
      </c>
    </row>
    <row r="18108">
      <c r="A18108" s="1">
        <v>5.0</v>
      </c>
      <c r="B18108" s="1" t="s">
        <v>17807</v>
      </c>
      <c r="C18108" t="str">
        <f>IFERROR(__xludf.DUMMYFUNCTION("GOOGLETRANSLATE(B18108, ""fr"", ""en"")"),"Product line with my expectations There's nothing like the original! Bought for professional use is super comfortable. Would recommend without a doubt")</f>
        <v>Product line with my expectations There's nothing like the original! Bought for professional use is super comfortable. Would recommend without a doubt</v>
      </c>
    </row>
    <row r="18109">
      <c r="A18109" s="1">
        <v>2.0</v>
      </c>
      <c r="B18109" s="1" t="s">
        <v>17808</v>
      </c>
      <c r="C18109" t="str">
        <f>IFERROR(__xludf.DUMMYFUNCTION("GOOGLETRANSLATE(B18109, ""fr"", ""en"")"),"Bad Nothing to say, this corresponds to the description, but it's not my favorite. And beware: no possible bill, even on request !!! As for me, this is problematic.")</f>
        <v>Bad Nothing to say, this corresponds to the description, but it's not my favorite. And beware: no possible bill, even on request !!! As for me, this is problematic.</v>
      </c>
    </row>
    <row r="18110">
      <c r="A18110" s="1">
        <v>1.0</v>
      </c>
      <c r="B18110" s="1" t="s">
        <v>17809</v>
      </c>
      <c r="C18110" t="str">
        <f>IFERROR(__xludf.DUMMYFUNCTION("GOOGLETRANSLATE(B18110, ""fr"", ""en"")"),"Nice but nothing more! Necklace too late ... He gets tangled all the time .. And making knots!")</f>
        <v>Nice but nothing more! Necklace too late ... He gets tangled all the time .. And making knots!</v>
      </c>
    </row>
    <row r="18111">
      <c r="A18111" s="1">
        <v>1.0</v>
      </c>
      <c r="B18111" s="1" t="s">
        <v>17810</v>
      </c>
      <c r="C18111" t="str">
        <f>IFERROR(__xludf.DUMMYFUNCTION("GOOGLETRANSLATE(B18111, ""fr"", ""en"")"),"Attention 15 days of use, and yet I was very careful because it is very fragile, broken side suddenly disappointed garbage I do not recommend")</f>
        <v>Attention 15 days of use, and yet I was very careful because it is very fragile, broken side suddenly disappointed garbage I do not recommend</v>
      </c>
    </row>
    <row r="18112">
      <c r="A18112" s="1">
        <v>3.0</v>
      </c>
      <c r="B18112" s="1" t="s">
        <v>17811</v>
      </c>
      <c r="C18112" t="str">
        <f>IFERROR(__xludf.DUMMYFUNCTION("GOOGLETRANSLATE(B18112, ""fr"", ""en"")"),"packaging error Parcel well received but the opening I'm a little disappointed. In the starter kit he noted there, 2 bottles of 130, 2 x 160 and 4 x 260 with accessories but after unpacking I visited there was no account of 130 bottles but 4 x 160 c ' is "&amp;"a shame because I had chosen precisely this kit to have at least one bottle of 130. However, the color and the design is very nice.")</f>
        <v>packaging error Parcel well received but the opening I'm a little disappointed. In the starter kit he noted there, 2 bottles of 130, 2 x 160 and 4 x 260 with accessories but after unpacking I visited there was no account of 130 bottles but 4 x 160 c ' is a shame because I had chosen precisely this kit to have at least one bottle of 130. However, the color and the design is very nice.</v>
      </c>
    </row>
    <row r="18113">
      <c r="A18113" s="1">
        <v>3.0</v>
      </c>
      <c r="B18113" s="1" t="s">
        <v>17812</v>
      </c>
      <c r="C18113" t="str">
        <f>IFERROR(__xludf.DUMMYFUNCTION("GOOGLETRANSLATE(B18113, ""fr"", ""en"")"),"Ok I put this note because I find the correct product, consistent with the description, no worries at the announced sizes and what I received short all is well. In terms of delivery, it's a good point, Shipping / Receiving in quick enough and to do sports"&amp;", I'm glad I came across these affordable Tees see cheap. No bad points a priori, except that the fabric is not really scalable is pure cotton, so pay attention to the sizes you choose. I recommend.")</f>
        <v>Ok I put this note because I find the correct product, consistent with the description, no worries at the announced sizes and what I received short all is well. In terms of delivery, it's a good point, Shipping / Receiving in quick enough and to do sports, I'm glad I came across these affordable Tees see cheap. No bad points a priori, except that the fabric is not really scalable is pure cotton, so pay attention to the sizes you choose. I recommend.</v>
      </c>
    </row>
    <row r="18114">
      <c r="A18114" s="1">
        <v>4.0</v>
      </c>
      <c r="B18114" s="1" t="s">
        <v>17813</v>
      </c>
      <c r="C18114" t="str">
        <f>IFERROR(__xludf.DUMMYFUNCTION("GOOGLETRANSLATE(B18114, ""fr"", ""en"")"),"Bracelet Amazfit I 've purchased to customize my Amazfit. After 4.5 months of use I'm not disappointed ... I would almost never removed .... even to tinker (except shower), and even if it's not real leather that's enough .")</f>
        <v>Bracelet Amazfit I 've purchased to customize my Amazfit. After 4.5 months of use I'm not disappointed ... I would almost never removed .... even to tinker (except shower), and even if it's not real leather that's enough .</v>
      </c>
    </row>
    <row r="18115">
      <c r="A18115" s="1">
        <v>4.0</v>
      </c>
      <c r="B18115" s="1" t="s">
        <v>17814</v>
      </c>
      <c r="C18115" t="str">
        <f>IFERROR(__xludf.DUMMYFUNCTION("GOOGLETRANSLATE(B18115, ""fr"", ""en"")"),"Beautiful watch together that can be separated. The watch is a nice effect to the wrist. The bracelets are adjustable. Good value for money.")</f>
        <v>Beautiful watch together that can be separated. The watch is a nice effect to the wrist. The bracelets are adjustable. Good value for money.</v>
      </c>
    </row>
    <row r="18116">
      <c r="A18116" s="1">
        <v>4.0</v>
      </c>
      <c r="B18116" s="1" t="s">
        <v>17815</v>
      </c>
      <c r="C18116" t="str">
        <f>IFERROR(__xludf.DUMMYFUNCTION("GOOGLETRANSLATE(B18116, ""fr"", ""en"")"),"normal size lovely fabric. Beautiful colors, matched with the photo. practical pockets. I took the ""L"" according to the comments that it was better to take bigger. I usually take the 38/40 and I would take the ""M"" for this leggings because it's a bit "&amp;"off at the knee. I recommend but take your usual size.")</f>
        <v>normal size lovely fabric. Beautiful colors, matched with the photo. practical pockets. I took the "L" according to the comments that it was better to take bigger. I usually take the 38/40 and I would take the "M" for this leggings because it's a bit off at the knee. I recommend but take your usual size.</v>
      </c>
    </row>
    <row r="18117">
      <c r="A18117" s="1">
        <v>4.0</v>
      </c>
      <c r="B18117" s="1" t="s">
        <v>17816</v>
      </c>
      <c r="C18117" t="str">
        <f>IFERROR(__xludf.DUMMYFUNCTION("GOOGLETRANSLATE(B18117, ""fr"", ""en"")"),"all pretty small fairy magic book little book ... The girl who received was thrilled!")</f>
        <v>all pretty small fairy magic book little book ... The girl who received was thrilled!</v>
      </c>
    </row>
    <row r="18118">
      <c r="A18118" s="1">
        <v>4.0</v>
      </c>
      <c r="B18118" s="1" t="s">
        <v>17817</v>
      </c>
      <c r="C18118" t="str">
        <f>IFERROR(__xludf.DUMMYFUNCTION("GOOGLETRANSLATE(B18118, ""fr"", ""en"")"),"Good Excellent product. fixing system in very clever ears. its ok. good range. Nothing to say for now. Except maybe the headphone load micro USB socket a little pokey and difficult to locate (all black) for unskilled hands")</f>
        <v>Good Excellent product. fixing system in very clever ears. its ok. good range. Nothing to say for now. Except maybe the headphone load micro USB socket a little pokey and difficult to locate (all black) for unskilled hands</v>
      </c>
    </row>
    <row r="18119">
      <c r="A18119" s="1">
        <v>5.0</v>
      </c>
      <c r="B18119" s="1" t="s">
        <v>17818</v>
      </c>
      <c r="C18119" t="str">
        <f>IFERROR(__xludf.DUMMYFUNCTION("GOOGLETRANSLATE(B18119, ""fr"", ""en"")"),"Sweat pants I use this sweat pants with coordinated high and it is great for the sport hall")</f>
        <v>Sweat pants I use this sweat pants with coordinated high and it is great for the sport hall</v>
      </c>
    </row>
    <row r="18120">
      <c r="A18120" s="1">
        <v>5.0</v>
      </c>
      <c r="B18120" s="1" t="s">
        <v>17819</v>
      </c>
      <c r="C18120" t="str">
        <f>IFERROR(__xludf.DUMMYFUNCTION("GOOGLETRANSLATE(B18120, ""fr"", ""en"")"),"I advocate for mail or in room No worries about the size on top! by jogging and gym are perfect. Good damping and no pain in the lower back after a few kilometers .The flashy color I like good and value for money are in the average. A good choice I praise"&amp;"d the merit of these sneakers")</f>
        <v>I advocate for mail or in room No worries about the size on top! by jogging and gym are perfect. Good damping and no pain in the lower back after a few kilometers .The flashy color I like good and value for money are in the average. A good choice I praised the merit of these sneakers</v>
      </c>
    </row>
    <row r="18121">
      <c r="A18121" s="1">
        <v>5.0</v>
      </c>
      <c r="B18121" s="1" t="s">
        <v>17820</v>
      </c>
      <c r="C18121" t="str">
        <f>IFERROR(__xludf.DUMMYFUNCTION("GOOGLETRANSLATE(B18121, ""fr"", ""en"")"),"convenient packaging is very convenient as a roll of tape. The application is easy and fast. The adhesive holds well. I have used this product for a photo album and I do not regret my purchase.")</f>
        <v>convenient packaging is very convenient as a roll of tape. The application is easy and fast. The adhesive holds well. I have used this product for a photo album and I do not regret my purchase.</v>
      </c>
    </row>
    <row r="18122">
      <c r="A18122" s="1">
        <v>5.0</v>
      </c>
      <c r="B18122" s="1" t="s">
        <v>17821</v>
      </c>
      <c r="C18122" t="str">
        <f>IFERROR(__xludf.DUMMYFUNCTION("GOOGLETRANSLATE(B18122, ""fr"", ""en"")"),"Very comfortable Comfortable")</f>
        <v>Very comfortable Comfortable</v>
      </c>
    </row>
    <row r="18123">
      <c r="A18123" s="1">
        <v>5.0</v>
      </c>
      <c r="B18123" s="1" t="s">
        <v>17822</v>
      </c>
      <c r="C18123" t="str">
        <f>IFERROR(__xludf.DUMMYFUNCTION("GOOGLETRANSLATE(B18123, ""fr"", ""en"")"),"Do the job for the race 👟 foot for my physical training (running and exercises), I was looking for headphones without son just pass me the cable more disturbing than anything else. I use headphones mainly for listening to music and some information virtu"&amp;"al coaches of my applications, no other intended uses. My criteria were simple: wireless (obviously!), With a proper range of at least 1 hour continuously, for a budget of around € 30. I did not need to Airpods over 100 euros for my use or need an audio q"&amp;"uality top notch. My choice fell on this model, which has good view, touch capabilities, but especially a great price: € 24.99 paid in early July, if not sold at € 36 the rest of the time = &amp; gt; attention to price fluctuations! For now these headphones g"&amp;"ive me satisfaction and meet my needs, even if they have some disadvantages. After I confess, I think control several models for testing and send / lend / give / sell those that suit me the least. Find below some more detail on the product. If this advice"&amp;" was helpful, please indicate with a click on the ""Yes"" button under the comment, thank you 👍! ---------------------------------- Package Contents: In the box we find the headphones in their box refill. Is provided a USB / micro-USB for charging, nozzl"&amp;"es of different sizes to hold the headset in the ear and instructions in Chinese / English. Headphones: 2 The headphones are therefore stored in their plastic case that can recharge when you do not use them. It has a micro-USB port, since it is the box ne"&amp;"eds to be recharged, which in turn loads the headphones. Headphones are held in place in the box with a magnet avoiding they fly each time you open the box, but also place them in front of the charging terminals. Upon opening the box, the headset in pairi"&amp;"ng light or combine mode automatically to the last device in range. Finally a battery indicator on 4 levels gives an indication of the remaining battery charge of the case. Note that I sometimes have some battery level display problem remains, since the r"&amp;"eal level appears after a few openings / closings of the box (there maybe a trick I did not understand! ). In use: In use it is very easy to use, since once paired, the headset is automatically recognized on your smartphone at the opening of the box and i"&amp;"f it is in range. The headphones are Bluetooth-enabled, so combinable with any devices ""connectable"". The headphones also have touch functionality. A single, double or triple ""tap"" on the earphone left or right triggers an action: increase the volume,"&amp;" next track, receive a call (for the headphones have a microphone). A long support also can launch Siri on my iPhone 📱. It's pretty convenient because there is no need to take out his phone. However the touch area is quite difficult to identify, even whe"&amp;"n the headphones in ear, he took a little practice and a lot of missed before finding exactly or put its needs to perform the correct action. Another point that bothers me also is that the headphones are quite impressive: even if they are very light and w"&amp;"ell fit in the ear, in a mirror that makes 2 large white stuff dangling ears and it is not very aesthetic. Officials AirPods (from which all these Chinese models are copied) seems more compact. Side autonomy, like that during my various sport sessions (ab"&amp;"out 45-60 mins) of the week. The box recharged headphones for 3 sessions and after I recharged because it was only one charge indicator. Autonomy is so convincing for the moment. One last point about audio quality, which frankly do not care: I just need m"&amp;"usic ""boom boom"" in running and that tells me the kilometers. And that's good 👍 It Works! By cons I have tried to watch a video and there is disturbing because the sound is offset from the image. This is related to the latency of wireless. This is dist"&amp;"urbing enough to be reported 😕. The pros: - Good battery life - The refill pouch is compact and decent quality - touch features, as long as we manage to take the hand - the attractive price The -: - The headphones are awesome - Features touch require a b"&amp;"it of practice, I still do not have 100% success on the command to run - sound Offset when looking at a video. - Beware of prices fluctuations, watch out! Conclusion: This is my first pair of wireless headset for sports use: a decent rate, headphones with"&amp;" sufficient autonomy and fit comfortably in the ear. I'm happy, it does the job. I look still more compact models, which unfortunately seems to be more expensive.")</f>
        <v>Do the job for the race 👟 foot for my physical training (running and exercises), I was looking for headphones without son just pass me the cable more disturbing than anything else. I use headphones mainly for listening to music and some information virtual coaches of my applications, no other intended uses. My criteria were simple: wireless (obviously!), With a proper range of at least 1 hour continuously, for a budget of around € 30. I did not need to Airpods over 100 euros for my use or need an audio quality top notch. My choice fell on this model, which has good view, touch capabilities, but especially a great price: € 24.99 paid in early July, if not sold at € 36 the rest of the time = &amp; gt; attention to price fluctuations! For now these headphones give me satisfaction and meet my needs, even if they have some disadvantages. After I confess, I think control several models for testing and send / lend / give / sell those that suit me the least. Find below some more detail on the product. If this advice was helpful, please indicate with a click on the "Yes" button under the comment, thank you 👍! ---------------------------------- Package Contents: In the box we find the headphones in their box refill. Is provided a USB / micro-USB for charging, nozzles of different sizes to hold the headset in the ear and instructions in Chinese / English. Headphones: 2 The headphones are therefore stored in their plastic case that can recharge when you do not use them. It has a micro-USB port, since it is the box needs to be recharged, which in turn loads the headphones. Headphones are held in place in the box with a magnet avoiding they fly each time you open the box, but also place them in front of the charging terminals. Upon opening the box, the headset in pairing light or combine mode automatically to the last device in range. Finally a battery indicator on 4 levels gives an indication of the remaining battery charge of the case. Note that I sometimes have some battery level display problem remains, since the real level appears after a few openings / closings of the box (there maybe a trick I did not understand! ). In use: In use it is very easy to use, since once paired, the headset is automatically recognized on your smartphone at the opening of the box and if it is in range. The headphones are Bluetooth-enabled, so combinable with any devices "connectable". The headphones also have touch functionality. A single, double or triple "tap" on the earphone left or right triggers an action: increase the volume, next track, receive a call (for the headphones have a microphone). A long support also can launch Siri on my iPhone 📱. It's pretty convenient because there is no need to take out his phone. However the touch area is quite difficult to identify, even when the headphones in ear, he took a little practice and a lot of missed before finding exactly or put its needs to perform the correct action. Another point that bothers me also is that the headphones are quite impressive: even if they are very light and well fit in the ear, in a mirror that makes 2 large white stuff dangling ears and it is not very aesthetic. Officials AirPods (from which all these Chinese models are copied) seems more compact. Side autonomy, like that during my various sport sessions (about 45-60 mins) of the week. The box recharged headphones for 3 sessions and after I recharged because it was only one charge indicator. Autonomy is so convincing for the moment. One last point about audio quality, which frankly do not care: I just need music "boom boom" in running and that tells me the kilometers. And that's good 👍 It Works! By cons I have tried to watch a video and there is disturbing because the sound is offset from the image. This is related to the latency of wireless. This is disturbing enough to be reported 😕. The pros: - Good battery life - The refill pouch is compact and decent quality - touch features, as long as we manage to take the hand - the attractive price The -: - The headphones are awesome - Features touch require a bit of practice, I still do not have 100% success on the command to run - sound Offset when looking at a video. - Beware of prices fluctuations, watch out! Conclusion: This is my first pair of wireless headset for sports use: a decent rate, headphones with sufficient autonomy and fit comfortably in the ear. I'm happy, it does the job. I look still more compact models, which unfortunately seems to be more expensive.</v>
      </c>
    </row>
    <row r="18124">
      <c r="A18124" s="1">
        <v>5.0</v>
      </c>
      <c r="B18124" s="1" t="s">
        <v>17823</v>
      </c>
      <c r="C18124" t="str">
        <f>IFERROR(__xludf.DUMMYFUNCTION("GOOGLETRANSLATE(B18124, ""fr"", ""en"")"),"Legere and practical Good Very good shoes for my man ordered ago 4 months mechanics. Lightweight very convenient")</f>
        <v>Legere and practical Good Very good shoes for my man ordered ago 4 months mechanics. Lightweight very convenient</v>
      </c>
    </row>
    <row r="18125">
      <c r="A18125" s="1">
        <v>5.0</v>
      </c>
      <c r="B18125" s="1" t="s">
        <v>17824</v>
      </c>
      <c r="C18125" t="str">
        <f>IFERROR(__xludf.DUMMYFUNCTION("GOOGLETRANSLATE(B18125, ""fr"", ""en"")"),"Although my son is in heaven and his math teacher e d as it is beautiful calculator and complies with both aesthetic description Use")</f>
        <v>Although my son is in heaven and his math teacher e d as it is beautiful calculator and complies with both aesthetic description Use</v>
      </c>
    </row>
    <row r="18126">
      <c r="A18126" s="1">
        <v>5.0</v>
      </c>
      <c r="B18126" s="1" t="s">
        <v>17825</v>
      </c>
      <c r="C18126" t="str">
        <f>IFERROR(__xludf.DUMMYFUNCTION("GOOGLETRANSLATE(B18126, ""fr"", ""en"")"),"Great product Ideal and comfortable")</f>
        <v>Great product Ideal and comfortable</v>
      </c>
    </row>
    <row r="18127">
      <c r="A18127" s="1">
        <v>5.0</v>
      </c>
      <c r="B18127" s="1" t="s">
        <v>17826</v>
      </c>
      <c r="C18127" t="str">
        <f>IFERROR(__xludf.DUMMYFUNCTION("GOOGLETRANSLATE(B18127, ""fr"", ""en"")"),"Beautiful Vans I'm super happy with my black Vans, they are beautiful, comfortable and quite match the description with small holes punched in the top of the shoe. My shoe size is 40 but there was appropriate to order a half size smaller, I preferred to t"&amp;"ake the 39 and it's perfect.")</f>
        <v>Beautiful Vans I'm super happy with my black Vans, they are beautiful, comfortable and quite match the description with small holes punched in the top of the shoe. My shoe size is 40 but there was appropriate to order a half size smaller, I preferred to take the 39 and it's perfect.</v>
      </c>
    </row>
    <row r="18128">
      <c r="A18128" s="1">
        <v>5.0</v>
      </c>
      <c r="B18128" s="1" t="s">
        <v>17827</v>
      </c>
      <c r="C18128" t="str">
        <f>IFERROR(__xludf.DUMMYFUNCTION("GOOGLETRANSLATE(B18128, ""fr"", ""en"")"),"Shoe to my foot This is the converse is fashionable, it's about the journey comfortable for too long and it is quite expensive payroll. But when a retiree, as is my case, wants to stay in the game, that's the price to pay!")</f>
        <v>Shoe to my foot This is the converse is fashionable, it's about the journey comfortable for too long and it is quite expensive payroll. But when a retiree, as is my case, wants to stay in the game, that's the price to pay!</v>
      </c>
    </row>
    <row r="18129">
      <c r="A18129" s="1">
        <v>5.0</v>
      </c>
      <c r="B18129" s="1" t="s">
        <v>17828</v>
      </c>
      <c r="C18129" t="str">
        <f>IFERROR(__xludf.DUMMYFUNCTION("GOOGLETRANSLATE(B18129, ""fr"", ""en"")"),"Complies with good quality photo product, my daughter is happy. But take one size bigger, it shoes the 37 I took 38.")</f>
        <v>Complies with good quality photo product, my daughter is happy. But take one size bigger, it shoes the 37 I took 38.</v>
      </c>
    </row>
    <row r="18130">
      <c r="A18130" s="1">
        <v>5.0</v>
      </c>
      <c r="B18130" s="1" t="s">
        <v>17829</v>
      </c>
      <c r="C18130" t="str">
        <f>IFERROR(__xludf.DUMMYFUNCTION("GOOGLETRANSLATE(B18130, ""fr"", ""en"")"),"Very efficient and comfortable These headphones are very light, discreet and it controls intuitive way. The case is very convenient to recharge the headphones and little more, as soon as we leave the headphones they connect directly to the smartphone and "&amp;"in one click you can resume playback of such a podcast without having to restart the application . I was also bleuffé the quality of listening and microphone phone usage. I recommend this product eyes closed!")</f>
        <v>Very efficient and comfortable These headphones are very light, discreet and it controls intuitive way. The case is very convenient to recharge the headphones and little more, as soon as we leave the headphones they connect directly to the smartphone and in one click you can resume playback of such a podcast without having to restart the application . I was also bleuffé the quality of listening and microphone phone usage. I recommend this product eyes closed!</v>
      </c>
    </row>
    <row r="18131">
      <c r="A18131" s="1">
        <v>5.0</v>
      </c>
      <c r="B18131" s="1" t="s">
        <v>17830</v>
      </c>
      <c r="C18131" t="str">
        <f>IFERROR(__xludf.DUMMYFUNCTION("GOOGLETRANSLATE(B18131, ""fr"", ""en"")"),"Small pair of flip flops relaxation Design nice passes across brown. Ideal for hanging the summer or in the house. In short, a mark of quality for a reasonable price at the time of the order (less than 7 €).")</f>
        <v>Small pair of flip flops relaxation Design nice passes across brown. Ideal for hanging the summer or in the house. In short, a mark of quality for a reasonable price at the time of the order (less than 7 €).</v>
      </c>
    </row>
    <row r="18132">
      <c r="A18132" s="1">
        <v>5.0</v>
      </c>
      <c r="B18132" s="1" t="s">
        <v>17831</v>
      </c>
      <c r="C18132" t="str">
        <f>IFERROR(__xludf.DUMMYFUNCTION("GOOGLETRANSLATE(B18132, ""fr"", ""en"")"),"Quite simply I recommend this purchase, I had bought this model in nude. Very satisfied, it is not easy to find a bra or sports Gorge support for large breasts and when I find is overpriced (Mini 70 €!) Then delighted to these products. Support very well "&amp;"my chest (fitness and running), the back ""swimmer"" lets put a tank top with no one sees braces Negative: I wanted to be black but also a victim of its success I think")</f>
        <v>Quite simply I recommend this purchase, I had bought this model in nude. Very satisfied, it is not easy to find a bra or sports Gorge support for large breasts and when I find is overpriced (Mini 70 €!) Then delighted to these products. Support very well my chest (fitness and running), the back "swimmer" lets put a tank top with no one sees braces Negative: I wanted to be black but also a victim of its success I think</v>
      </c>
    </row>
    <row r="18133">
      <c r="A18133" s="1">
        <v>5.0</v>
      </c>
      <c r="B18133" s="1" t="s">
        <v>17832</v>
      </c>
      <c r="C18133" t="str">
        <f>IFERROR(__xludf.DUMMYFUNCTION("GOOGLETRANSLATE(B18133, ""fr"", ""en"")"),"niquel niquel")</f>
        <v>niquel niquel</v>
      </c>
    </row>
    <row r="18134">
      <c r="A18134" s="1">
        <v>2.0</v>
      </c>
      <c r="B18134" s="1" t="s">
        <v>17833</v>
      </c>
      <c r="C18134" t="str">
        <f>IFERROR(__xludf.DUMMYFUNCTION("GOOGLETRANSLATE(B18134, ""fr"", ""en"")"),"Too fragile Very nice sneakers, however there are some things that bother. They make noise when walking with (not just the classic squeak) that they deteriorate very quickly, in a few months I have a hole that forms the toe and Vans logo disappears on the"&amp;" back. Yet I'm nothing special and do not do sports with. It's a shame because they are comfortable to wear and very pretty.")</f>
        <v>Too fragile Very nice sneakers, however there are some things that bother. They make noise when walking with (not just the classic squeak) that they deteriorate very quickly, in a few months I have a hole that forms the toe and Vans logo disappears on the back. Yet I'm nothing special and do not do sports with. It's a shame because they are comfortable to wear and very pretty.</v>
      </c>
    </row>
    <row r="18135">
      <c r="A18135" s="1">
        <v>1.0</v>
      </c>
      <c r="B18135" s="1" t="s">
        <v>17834</v>
      </c>
      <c r="C18135" t="str">
        <f>IFERROR(__xludf.DUMMYFUNCTION("GOOGLETRANSLATE(B18135, ""fr"", ""en"")"),"In the end I received the product after 4 days late I finally received the product The quality of it is poor, very fragile bubbles do not provide protection announced by the seller. Personally I'm disappointed.")</f>
        <v>In the end I received the product after 4 days late I finally received the product The quality of it is poor, very fragile bubbles do not provide protection announced by the seller. Personally I'm disappointed.</v>
      </c>
    </row>
    <row r="18136">
      <c r="A18136" s="1">
        <v>1.0</v>
      </c>
      <c r="B18136" s="1" t="s">
        <v>17835</v>
      </c>
      <c r="C18136" t="str">
        <f>IFERROR(__xludf.DUMMYFUNCTION("GOOGLETRANSLATE(B18136, ""fr"", ""en"")"),"Ouvertu.e / close to impossible. The bag is of good quality but the locking system makes it unusable. Prefer the manual model of the same brand.")</f>
        <v>Ouvertu.e / close to impossible. The bag is of good quality but the locking system makes it unusable. Prefer the manual model of the same brand.</v>
      </c>
    </row>
    <row r="18137">
      <c r="A18137" s="1">
        <v>3.0</v>
      </c>
      <c r="B18137" s="1" t="s">
        <v>17836</v>
      </c>
      <c r="C18137" t="str">
        <f>IFERROR(__xludf.DUMMYFUNCTION("GOOGLETRANSLATE(B18137, ""fr"", ""en"")"),"I recommend for children over 6 years of practice but for a dry 3ans child quickly and seen the tip did not wide abyss is fast ...")</f>
        <v>I recommend for children over 6 years of practice but for a dry 3ans child quickly and seen the tip did not wide abyss is fast ...</v>
      </c>
    </row>
    <row r="18138">
      <c r="A18138" s="1">
        <v>3.0</v>
      </c>
      <c r="B18138" s="1" t="s">
        <v>17837</v>
      </c>
      <c r="C18138" t="str">
        <f>IFERROR(__xludf.DUMMYFUNCTION("GOOGLETRANSLATE(B18138, ""fr"", ""en"")"),"Beautiful but disappointed Disappointed cut the elastic Was disjointed on a shoe")</f>
        <v>Beautiful but disappointed Disappointed cut the elastic Was disjointed on a shoe</v>
      </c>
    </row>
    <row r="18139">
      <c r="A18139" s="1">
        <v>4.0</v>
      </c>
      <c r="B18139" s="1" t="s">
        <v>17838</v>
      </c>
      <c r="C18139" t="str">
        <f>IFERROR(__xludf.DUMMYFUNCTION("GOOGLETRANSLATE(B18139, ""fr"", ""en"")"),"Very nice but size small My daughter is between 29 and 30 I took 31 because she wears shoes but not rentrere foot dabs shoe yet she has fine feet.")</f>
        <v>Very nice but size small My daughter is between 29 and 30 I took 31 because she wears shoes but not rentrere foot dabs shoe yet she has fine feet.</v>
      </c>
    </row>
    <row r="18140">
      <c r="A18140" s="1">
        <v>4.0</v>
      </c>
      <c r="B18140" s="1" t="s">
        <v>17839</v>
      </c>
      <c r="C18140" t="str">
        <f>IFERROR(__xludf.DUMMYFUNCTION("GOOGLETRANSLATE(B18140, ""fr"", ""en"")"),"Ras price quality ratio")</f>
        <v>Ras price quality ratio</v>
      </c>
    </row>
    <row r="18141">
      <c r="A18141" s="1">
        <v>4.0</v>
      </c>
      <c r="B18141" s="1" t="s">
        <v>17840</v>
      </c>
      <c r="C18141" t="str">
        <f>IFERROR(__xludf.DUMMYFUNCTION("GOOGLETRANSLATE(B18141, ""fr"", ""en"")"),"Kettle Kettle beautiful that matches my expectations.")</f>
        <v>Kettle Kettle beautiful that matches my expectations.</v>
      </c>
    </row>
    <row r="18142">
      <c r="A18142" s="1">
        <v>4.0</v>
      </c>
      <c r="B18142" s="1" t="s">
        <v>17841</v>
      </c>
      <c r="C18142" t="str">
        <f>IFERROR(__xludf.DUMMYFUNCTION("GOOGLETRANSLATE(B18142, ""fr"", ""en"")"),"They are all good buy cute with")</f>
        <v>They are all good buy cute with</v>
      </c>
    </row>
    <row r="18143">
      <c r="A18143" s="1">
        <v>5.0</v>
      </c>
      <c r="B18143" s="1" t="s">
        <v>969</v>
      </c>
      <c r="C18143" t="str">
        <f>IFERROR(__xludf.DUMMYFUNCTION("GOOGLETRANSLATE(B18143, ""fr"", ""en"")"),"compliant compliant")</f>
        <v>compliant compliant</v>
      </c>
    </row>
    <row r="18144">
      <c r="A18144" s="1">
        <v>5.0</v>
      </c>
      <c r="B18144" s="1" t="s">
        <v>17842</v>
      </c>
      <c r="C18144" t="str">
        <f>IFERROR(__xludf.DUMMYFUNCTION("GOOGLETRANSLATE(B18144, ""fr"", ""en"")"),"domestic garbage Bags large automatic trash")</f>
        <v>domestic garbage Bags large automatic trash</v>
      </c>
    </row>
    <row r="18145">
      <c r="A18145" s="1">
        <v>5.0</v>
      </c>
      <c r="B18145" s="1" t="s">
        <v>17843</v>
      </c>
      <c r="C18145" t="str">
        <f>IFERROR(__xludf.DUMMYFUNCTION("GOOGLETRANSLATE(B18145, ""fr"", ""en"")"),"Perfect as usual perfect as usual with Vans. Everything is consistent: Size, color etc ... No messy love Teens and parents too!")</f>
        <v>Perfect as usual perfect as usual with Vans. Everything is consistent: Size, color etc ... No messy love Teens and parents too!</v>
      </c>
    </row>
    <row r="18146">
      <c r="A18146" s="1">
        <v>5.0</v>
      </c>
      <c r="B18146" s="1" t="s">
        <v>17844</v>
      </c>
      <c r="C18146" t="str">
        <f>IFERROR(__xludf.DUMMYFUNCTION("GOOGLETRANSLATE(B18146, ""fr"", ""en"")"),"Satisfied Very good! Corresponds to my expectations")</f>
        <v>Satisfied Very good! Corresponds to my expectations</v>
      </c>
    </row>
    <row r="18147">
      <c r="A18147" s="1">
        <v>5.0</v>
      </c>
      <c r="B18147" s="1" t="s">
        <v>17845</v>
      </c>
      <c r="C18147" t="str">
        <f>IFERROR(__xludf.DUMMYFUNCTION("GOOGLETRANSLATE(B18147, ""fr"", ""en"")"),"Super Magnificent")</f>
        <v>Super Magnificent</v>
      </c>
    </row>
    <row r="18148">
      <c r="A18148" s="1">
        <v>5.0</v>
      </c>
      <c r="B18148" s="1" t="s">
        <v>17846</v>
      </c>
      <c r="C18148" t="str">
        <f>IFERROR(__xludf.DUMMYFUNCTION("GOOGLETRANSLATE(B18148, ""fr"", ""en"")"),"Perfect for connecting the smarlav my SLR! I ordered this adapter with the Rode SmartLavPlus. It allows me to connect my microphone to my camera (700d) or on an external recorder like the Zoom H1. The smartlav being 3 branches for smartphone, you have to "&amp;"go through a adpatateur to pass in 2 branches. Really handy, it does not take place, to do anything in particular, it works directly. Another quality product from RODE. I recommend ! If you have found this review helpful, thank you to click yes, you will "&amp;"make me happy :)")</f>
        <v>Perfect for connecting the smarlav my SLR! I ordered this adapter with the Rode SmartLavPlus. It allows me to connect my microphone to my camera (700d) or on an external recorder like the Zoom H1. The smartlav being 3 branches for smartphone, you have to go through a adpatateur to pass in 2 branches. Really handy, it does not take place, to do anything in particular, it works directly. Another quality product from RODE. I recommend ! If you have found this review helpful, thank you to click yes, you will make me happy :)</v>
      </c>
    </row>
    <row r="18149">
      <c r="A18149" s="1">
        <v>5.0</v>
      </c>
      <c r="B18149" s="1" t="s">
        <v>17847</v>
      </c>
      <c r="C18149" t="str">
        <f>IFERROR(__xludf.DUMMYFUNCTION("GOOGLETRANSLATE(B18149, ""fr"", ""en"")"),"Article corresponding to the image quality I am delighted with this purchase consistent with the description and photos. I also find it enjoyable product to use and as convenient to store in the shower.")</f>
        <v>Article corresponding to the image quality I am delighted with this purchase consistent with the description and photos. I also find it enjoyable product to use and as convenient to store in the shower.</v>
      </c>
    </row>
    <row r="18150">
      <c r="A18150" s="1">
        <v>5.0</v>
      </c>
      <c r="B18150" s="1" t="s">
        <v>17848</v>
      </c>
      <c r="C18150" t="str">
        <f>IFERROR(__xludf.DUMMYFUNCTION("GOOGLETRANSLATE(B18150, ""fr"", ""en"")"),"Perfect Nothing to say I'm a fan of this brand")</f>
        <v>Perfect Nothing to say I'm a fan of this brand</v>
      </c>
    </row>
    <row r="18151">
      <c r="A18151" s="1">
        <v>5.0</v>
      </c>
      <c r="B18151" s="1" t="s">
        <v>17849</v>
      </c>
      <c r="C18151" t="str">
        <f>IFERROR(__xludf.DUMMYFUNCTION("GOOGLETRANSLATE(B18151, ""fr"", ""en"")"),"Super Great, the globe is large perfect for my son")</f>
        <v>Super Great, the globe is large perfect for my son</v>
      </c>
    </row>
    <row r="18152">
      <c r="A18152" s="1">
        <v>5.0</v>
      </c>
      <c r="B18152" s="1" t="s">
        <v>17850</v>
      </c>
      <c r="C18152" t="str">
        <f>IFERROR(__xludf.DUMMYFUNCTION("GOOGLETRANSLATE(B18152, ""fr"", ""en"")"),"Although faithful received product destruction")</f>
        <v>Although faithful received product destruction</v>
      </c>
    </row>
    <row r="18153">
      <c r="A18153" s="1">
        <v>5.0</v>
      </c>
      <c r="B18153" s="1" t="s">
        <v>17851</v>
      </c>
      <c r="C18153" t="str">
        <f>IFERROR(__xludf.DUMMYFUNCTION("GOOGLETRANSLATE(B18153, ""fr"", ""en"")"),"Very nice bracelet! Beautiful bracelet, solid, beautiful stones. It is sold with another elastic if ever comes first to break. I recommend")</f>
        <v>Very nice bracelet! Beautiful bracelet, solid, beautiful stones. It is sold with another elastic if ever comes first to break. I recommend</v>
      </c>
    </row>
    <row r="18154">
      <c r="A18154" s="1">
        <v>5.0</v>
      </c>
      <c r="B18154" s="1" t="s">
        <v>17852</v>
      </c>
      <c r="C18154" t="str">
        <f>IFERROR(__xludf.DUMMYFUNCTION("GOOGLETRANSLATE(B18154, ""fr"", ""en"")"),"Bracelet beautiful and well suited s S fits well very course my Fitbit Charge 2 good quality and made very fast delivery")</f>
        <v>Bracelet beautiful and well suited s S fits well very course my Fitbit Charge 2 good quality and made very fast delivery</v>
      </c>
    </row>
    <row r="18155">
      <c r="A18155" s="1">
        <v>5.0</v>
      </c>
      <c r="B18155" s="1" t="s">
        <v>17853</v>
      </c>
      <c r="C18155" t="str">
        <f>IFERROR(__xludf.DUMMYFUNCTION("GOOGLETRANSLATE(B18155, ""fr"", ""en"")"),"Size Large This is indeed a 8'5 size corresponding to a 42 on the label. But I have the impression that this is a result 43. I sold the pair because it is too large.")</f>
        <v>Size Large This is indeed a 8'5 size corresponding to a 42 on the label. But I have the impression that this is a result 43. I sold the pair because it is too large.</v>
      </c>
    </row>
    <row r="18156">
      <c r="A18156" s="1">
        <v>5.0</v>
      </c>
      <c r="B18156" s="1" t="s">
        <v>17854</v>
      </c>
      <c r="C18156" t="str">
        <f>IFERROR(__xludf.DUMMYFUNCTION("GOOGLETRANSLATE(B18156, ""fr"", ""en"")"),"ideal for all plastic sheets")</f>
        <v>ideal for all plastic sheets</v>
      </c>
    </row>
    <row r="18157">
      <c r="A18157" s="1">
        <v>5.0</v>
      </c>
      <c r="B18157" s="2" t="s">
        <v>17855</v>
      </c>
      <c r="C18157" t="str">
        <f>IFERROR(__xludf.DUMMYFUNCTION("GOOGLETRANSLATE(B18157, ""fr"", ""en"")"),"... '' .. '.. ...... ........,.,., .., ...... .. ......... ... ..... .... ... ... ..... ...... ....... .... .. .. .. .....'.... ','. '. ' ...")</f>
        <v>... '' .. '.. ...... ........,.,., .., ...... .. ......... ... ..... .... ... ... ..... ...... ....... .... .. .. .. .....'.... ','. '. ' ...</v>
      </c>
    </row>
    <row r="18158">
      <c r="A18158" s="1">
        <v>2.0</v>
      </c>
      <c r="B18158" s="1" t="s">
        <v>17856</v>
      </c>
      <c r="C18158" t="str">
        <f>IFERROR(__xludf.DUMMYFUNCTION("GOOGLETRANSLATE(B18158, ""fr"", ""en"")"),"Problem Hello needles. For several months we encounter problems with the needles that do not work properly. The time display works but we must address several times a day needles, unbearable thing. Thank you kindly contact us to see what he can do. cordia"&amp;"lly")</f>
        <v>Problem Hello needles. For several months we encounter problems with the needles that do not work properly. The time display works but we must address several times a day needles, unbearable thing. Thank you kindly contact us to see what he can do. cordially</v>
      </c>
    </row>
    <row r="18159">
      <c r="A18159" s="1">
        <v>1.0</v>
      </c>
      <c r="B18159" s="1" t="s">
        <v>17857</v>
      </c>
      <c r="C18159" t="str">
        <f>IFERROR(__xludf.DUMMYFUNCTION("GOOGLETRANSLATE(B18159, ""fr"", ""en"")"),"CAUTION PLACAGE Jai finds these very jolis.Je the bracelets have offered to my daughter .A date bracelets are oxides appear and leave .... COPPER. this is not the money but a veneer !!! the problem is that I just bought 6 other multichannel to offer to my"&amp;" nieces that is not expensive but J was deceived on the short commodity j c is estimated that deception !!! AVOID I will wish to contact the merchant! A really happy client")</f>
        <v>CAUTION PLACAGE Jai finds these very jolis.Je the bracelets have offered to my daughter .A date bracelets are oxides appear and leave .... COPPER. this is not the money but a veneer !!! the problem is that I just bought 6 other multichannel to offer to my nieces that is not expensive but J was deceived on the short commodity j c is estimated that deception !!! AVOID I will wish to contact the merchant! A really happy client</v>
      </c>
    </row>
    <row r="18160">
      <c r="A18160" s="1">
        <v>1.0</v>
      </c>
      <c r="B18160" s="1" t="s">
        <v>17858</v>
      </c>
      <c r="C18160" t="str">
        <f>IFERROR(__xludf.DUMMYFUNCTION("GOOGLETRANSLATE(B18160, ""fr"", ""en"")"),"Delivery box ream paper completely torn HP and took water Parcel received in a non-damaged box containing a box of HP torn sheets and visible would have taken water (lower leaves curled). This is not a problem during transport, the box leaves HP was damag"&amp;"ed before packing! The pictures speak for themselves.")</f>
        <v>Delivery box ream paper completely torn HP and took water Parcel received in a non-damaged box containing a box of HP torn sheets and visible would have taken water (lower leaves curled). This is not a problem during transport, the box leaves HP was damaged before packing! The pictures speak for themselves.</v>
      </c>
    </row>
    <row r="18161">
      <c r="A18161" s="1">
        <v>3.0</v>
      </c>
      <c r="B18161" s="1" t="s">
        <v>17859</v>
      </c>
      <c r="C18161" t="str">
        <f>IFERROR(__xludf.DUMMYFUNCTION("GOOGLETRANSLATE(B18161, ""fr"", ""en"")"),"Lightweight and comfortable Lightweight helmet and very comfortable. We did almost not feel, even during prolonged use. This is a very basic helmet with a decent sound without being transcendent. Perfect for standard office use. I appreciate the microphon"&amp;"e adapter jack / jack provided. In terms of negatives, I found that all seems flimsy (but plastic) and I fear that the slightest shock tends to damaging (or break) the helmet. See over time, but for now, I find that this headset is good value for money. E"&amp;"DIT: Today 9 May 2019, the helmet just dropped at the small plastic piece that serves as a pivot for the headset. Lifetime = 9 months! Sounds a bit short, all the same. Therefore, I remove a star.")</f>
        <v>Lightweight and comfortable Lightweight helmet and very comfortable. We did almost not feel, even during prolonged use. This is a very basic helmet with a decent sound without being transcendent. Perfect for standard office use. I appreciate the microphone adapter jack / jack provided. In terms of negatives, I found that all seems flimsy (but plastic) and I fear that the slightest shock tends to damaging (or break) the helmet. See over time, but for now, I find that this headset is good value for money. EDIT: Today 9 May 2019, the helmet just dropped at the small plastic piece that serves as a pivot for the headset. Lifetime = 9 months! Sounds a bit short, all the same. Therefore, I remove a star.</v>
      </c>
    </row>
    <row r="18162">
      <c r="A18162" s="1">
        <v>4.0</v>
      </c>
      <c r="B18162" s="1" t="s">
        <v>17860</v>
      </c>
      <c r="C18162" t="str">
        <f>IFERROR(__xludf.DUMMYFUNCTION("GOOGLETRANSLATE(B18162, ""fr"", ""en"")"),"Oil very oily Rather effective but extremely greasy texture, it does not take much to spread it on the body The smell is quite pleasant")</f>
        <v>Oil very oily Rather effective but extremely greasy texture, it does not take much to spread it on the body The smell is quite pleasant</v>
      </c>
    </row>
    <row r="18163">
      <c r="A18163" s="1">
        <v>4.0</v>
      </c>
      <c r="B18163" s="1" t="s">
        <v>17861</v>
      </c>
      <c r="C18163" t="str">
        <f>IFERROR(__xludf.DUMMYFUNCTION("GOOGLETRANSLATE(B18163, ""fr"", ""en"")"),"Very flexible when it's a bit thick, baby gets tired and can not finish, I would say that slow-medium speed")</f>
        <v>Very flexible when it's a bit thick, baby gets tired and can not finish, I would say that slow-medium speed</v>
      </c>
    </row>
    <row r="18164">
      <c r="A18164" s="1">
        <v>4.0</v>
      </c>
      <c r="B18164" s="1" t="s">
        <v>17862</v>
      </c>
      <c r="C18164" t="str">
        <f>IFERROR(__xludf.DUMMYFUNCTION("GOOGLETRANSLATE(B18164, ""fr"", ""en"")"),"good shoes I doors daily demolition since 2 weeks now and no problems. The hull is wide enough not to hurt the toes and they keep well away. Only flat (hence the star less) shoelaces half ""spring"" that are clearly cheap, too bad, I would have clearly pr"&amp;"eferred to pay € 1 or 2 more and have laces to match the rest of the shoe.")</f>
        <v>good shoes I doors daily demolition since 2 weeks now and no problems. The hull is wide enough not to hurt the toes and they keep well away. Only flat (hence the star less) shoelaces half "spring" that are clearly cheap, too bad, I would have clearly preferred to pay € 1 or 2 more and have laces to match the rest of the shoe.</v>
      </c>
    </row>
    <row r="18165">
      <c r="A18165" s="1">
        <v>4.0</v>
      </c>
      <c r="B18165" s="1" t="s">
        <v>17863</v>
      </c>
      <c r="C18165" t="str">
        <f>IFERROR(__xludf.DUMMYFUNCTION("GOOGLETRANSLATE(B18165, ""fr"", ""en"")"),"pretty nice, but be careful it's really for the dance room on floor: the sole resembles suede (I think this should prevent slipping) is I'm afraid that they do not stand outside the bitumen. I will put a more solid footing. Otherwise they are very comfort"&amp;"able, cut well and the strips look pretty solid. The beige color is actually slightly shiny and it suits me perfectly.")</f>
        <v>pretty nice, but be careful it's really for the dance room on floor: the sole resembles suede (I think this should prevent slipping) is I'm afraid that they do not stand outside the bitumen. I will put a more solid footing. Otherwise they are very comfortable, cut well and the strips look pretty solid. The beige color is actually slightly shiny and it suits me perfectly.</v>
      </c>
    </row>
    <row r="18166">
      <c r="A18166" s="1">
        <v>5.0</v>
      </c>
      <c r="B18166" s="1" t="s">
        <v>17864</v>
      </c>
      <c r="C18166" t="str">
        <f>IFERROR(__xludf.DUMMYFUNCTION("GOOGLETRANSLATE(B18166, ""fr"", ""en"")"),"very pretty perfect is perfect")</f>
        <v>very pretty perfect is perfect</v>
      </c>
    </row>
    <row r="18167">
      <c r="A18167" s="1">
        <v>5.0</v>
      </c>
      <c r="B18167" s="1" t="s">
        <v>17865</v>
      </c>
      <c r="C18167" t="str">
        <f>IFERROR(__xludf.DUMMYFUNCTION("GOOGLETRANSLATE(B18167, ""fr"", ""en"")"),"Beautiful infinity pendant love pendant to offer to be loved Received quickly nothing to say. I would certainly hesitate")</f>
        <v>Beautiful infinity pendant love pendant to offer to be loved Received quickly nothing to say. I would certainly hesitate</v>
      </c>
    </row>
    <row r="18168">
      <c r="A18168" s="1">
        <v>5.0</v>
      </c>
      <c r="B18168" s="1" t="s">
        <v>17866</v>
      </c>
      <c r="C18168" t="str">
        <f>IFERROR(__xludf.DUMMYFUNCTION("GOOGLETRANSLATE(B18168, ""fr"", ""en"")"),"Perfect Nothing to say, the picture is perfect. There are 2 markers, an eraser and émands and everything works fine")</f>
        <v>Perfect Nothing to say, the picture is perfect. There are 2 markers, an eraser and émands and everything works fine</v>
      </c>
    </row>
    <row r="18169">
      <c r="A18169" s="1">
        <v>5.0</v>
      </c>
      <c r="B18169" s="1" t="s">
        <v>17867</v>
      </c>
      <c r="C18169" t="str">
        <f>IFERROR(__xludf.DUMMYFUNCTION("GOOGLETRANSLATE(B18169, ""fr"", ""en"")"),"Perfect. This is a very good product. My daughter had a tendency to quickly and assorted entruchait every time. With these nipples no problem.")</f>
        <v>Perfect. This is a very good product. My daughter had a tendency to quickly and assorted entruchait every time. With these nipples no problem.</v>
      </c>
    </row>
    <row r="18170">
      <c r="A18170" s="1">
        <v>5.0</v>
      </c>
      <c r="B18170" s="1" t="s">
        <v>17868</v>
      </c>
      <c r="C18170" t="str">
        <f>IFERROR(__xludf.DUMMYFUNCTION("GOOGLETRANSLATE(B18170, ""fr"", ""en"")"),"Shows that can be used for swimming. This watch was chosen for its metal bracelet and also for a swim in the sea. Also I would like to receive a certificate of guarantee. I do not know if the warranty is 1 or 2 years or more.")</f>
        <v>Shows that can be used for swimming. This watch was chosen for its metal bracelet and also for a swim in the sea. Also I would like to receive a certificate of guarantee. I do not know if the warranty is 1 or 2 years or more.</v>
      </c>
    </row>
    <row r="18171">
      <c r="A18171" s="1">
        <v>5.0</v>
      </c>
      <c r="B18171" s="1" t="s">
        <v>17869</v>
      </c>
      <c r="C18171" t="str">
        <f>IFERROR(__xludf.DUMMYFUNCTION("GOOGLETRANSLATE(B18171, ""fr"", ""en"")"),"Top Fast shipping. Product quality in line with what I expected in the commander. Thank you !")</f>
        <v>Top Fast shipping. Product quality in line with what I expected in the commander. Thank you !</v>
      </c>
    </row>
    <row r="18172">
      <c r="A18172" s="1">
        <v>5.0</v>
      </c>
      <c r="B18172" s="1" t="s">
        <v>17870</v>
      </c>
      <c r="C18172" t="str">
        <f>IFERROR(__xludf.DUMMYFUNCTION("GOOGLETRANSLATE(B18172, ""fr"", ""en"")"),"Watch exeptionnelle very fast service (arrived in 3 days or it was planned a minimum delivery time of week). Watch well protected, original box with guarantee certificate and original label. Little more, it turns out that the mark 12 is actually a real di"&amp;"amond which was not specified in the product description. Bracelet and clasp very simple yet comfortable and strong. I am more than satisfied with this purchase, I recommend it strongly")</f>
        <v>Watch exeptionnelle very fast service (arrived in 3 days or it was planned a minimum delivery time of week). Watch well protected, original box with guarantee certificate and original label. Little more, it turns out that the mark 12 is actually a real diamond which was not specified in the product description. Bracelet and clasp very simple yet comfortable and strong. I am more than satisfied with this purchase, I recommend it strongly</v>
      </c>
    </row>
    <row r="18173">
      <c r="A18173" s="1">
        <v>5.0</v>
      </c>
      <c r="B18173" s="1" t="s">
        <v>17871</v>
      </c>
      <c r="C18173" t="str">
        <f>IFERROR(__xludf.DUMMYFUNCTION("GOOGLETRANSLATE(B18173, ""fr"", ""en"")"),"The classic among TIMB great classic, timeless and excellent quality. Black nubuck colors, a must have in your wardrobe ... I highly recommend.")</f>
        <v>The classic among TIMB great classic, timeless and excellent quality. Black nubuck colors, a must have in your wardrobe ... I highly recommend.</v>
      </c>
    </row>
    <row r="18174">
      <c r="A18174" s="1">
        <v>5.0</v>
      </c>
      <c r="B18174" s="1" t="s">
        <v>17872</v>
      </c>
      <c r="C18174" t="str">
        <f>IFERROR(__xludf.DUMMYFUNCTION("GOOGLETRANSLATE(B18174, ""fr"", ""en"")"),"SUPER CHAMPION HOODED SWEAT A REAL QUALITY IS THE APPOINTMENT IS PERFECT SWEAT ALL PERFECT BOTH THE SIZE THAT QUALITY PERFECT CUP")</f>
        <v>SUPER CHAMPION HOODED SWEAT A REAL QUALITY IS THE APPOINTMENT IS PERFECT SWEAT ALL PERFECT BOTH THE SIZE THAT QUALITY PERFECT CUP</v>
      </c>
    </row>
    <row r="18175">
      <c r="A18175" s="1">
        <v>5.0</v>
      </c>
      <c r="B18175" s="1" t="s">
        <v>17873</v>
      </c>
      <c r="C18175" t="str">
        <f>IFERROR(__xludf.DUMMYFUNCTION("GOOGLETRANSLATE(B18175, ""fr"", ""en"")"),"glass bottles. Products glass and matches our expectations.")</f>
        <v>glass bottles. Products glass and matches our expectations.</v>
      </c>
    </row>
    <row r="18176">
      <c r="A18176" s="1">
        <v>5.0</v>
      </c>
      <c r="B18176" s="1" t="s">
        <v>17874</v>
      </c>
      <c r="C18176" t="str">
        <f>IFERROR(__xludf.DUMMYFUNCTION("GOOGLETRANSLATE(B18176, ""fr"", ""en"")"),"My companions in the winter Good water bottles (they are the same but with different colored covers). It takes 1.5L to fill completely. Rather, they are ""pretty"" (transparent) already without the protection. The neck is strengthened (hard) and allows to"&amp;" hold and pour hot water easily without burning, the plug does not leak. The covers are made in a kind sweater not especially soft material but leave to spend the heat without burning the hands / body. Suits me perfectly for the cold weather.")</f>
        <v>My companions in the winter Good water bottles (they are the same but with different colored covers). It takes 1.5L to fill completely. Rather, they are "pretty" (transparent) already without the protection. The neck is strengthened (hard) and allows to hold and pour hot water easily without burning, the plug does not leak. The covers are made in a kind sweater not especially soft material but leave to spend the heat without burning the hands / body. Suits me perfectly for the cold weather.</v>
      </c>
    </row>
    <row r="18177">
      <c r="A18177" s="1">
        <v>5.0</v>
      </c>
      <c r="B18177" s="1" t="s">
        <v>17875</v>
      </c>
      <c r="C18177" t="str">
        <f>IFERROR(__xludf.DUMMYFUNCTION("GOOGLETRANSLATE(B18177, ""fr"", ""en"")"),"Very good product Good product size L I 169cm 80kg")</f>
        <v>Very good product Good product size L I 169cm 80kg</v>
      </c>
    </row>
    <row r="18178">
      <c r="A18178" s="1">
        <v>5.0</v>
      </c>
      <c r="B18178" s="1" t="s">
        <v>17876</v>
      </c>
      <c r="C18178" t="str">
        <f>IFERROR(__xludf.DUMMYFUNCTION("GOOGLETRANSLATE(B18178, ""fr"", ""en"")"),"the prix.Continuez to operate in this way and you are sure of making heureux.Qualité for use photocopying and photo printing.")</f>
        <v>the prix.Continuez to operate in this way and you are sure of making heureux.Qualité for use photocopying and photo printing.</v>
      </c>
    </row>
    <row r="18179">
      <c r="A18179" s="1">
        <v>5.0</v>
      </c>
      <c r="B18179" s="1" t="s">
        <v>17877</v>
      </c>
      <c r="C18179" t="str">
        <f>IFERROR(__xludf.DUMMYFUNCTION("GOOGLETRANSLATE(B18179, ""fr"", ""en"")"),"This shows great buy excellent quality, which supersedes even worked perfectly for 21 years! I took the same model because I am sure to do the ""right choice""! ! The glass slightly scratched by years justifies the exchange, but the old still works great!"&amp;" ! This model is used by the military is training that do not make them ""gifts""! ! ! ! ! ! (Repeated shocks, mud, sand, vibration, etc...) I highly recommend this show to people who have a life ""hectic""! !..........( my case ! ) .")</f>
        <v>This shows great buy excellent quality, which supersedes even worked perfectly for 21 years! I took the same model because I am sure to do the "right choice"! ! The glass slightly scratched by years justifies the exchange, but the old still works great! ! This model is used by the military is training that do not make them "gifts"! ! ! ! ! ! (Repeated shocks, mud, sand, vibration, etc...) I highly recommend this show to people who have a life "hectic"! !..........( my case ! ) .</v>
      </c>
    </row>
    <row r="18180">
      <c r="A18180" s="1">
        <v>5.0</v>
      </c>
      <c r="B18180" s="1" t="s">
        <v>17878</v>
      </c>
      <c r="C18180" t="str">
        <f>IFERROR(__xludf.DUMMYFUNCTION("GOOGLETRANSLATE(B18180, ""fr"", ""en"")"),"Backpack solid Very happy with this backpack I use for school. It is very solid and very convenient to use. If you are looking for an inexpensive bag and want to use it for several years, I advise you to buy this one!")</f>
        <v>Backpack solid Very happy with this backpack I use for school. It is very solid and very convenient to use. If you are looking for an inexpensive bag and want to use it for several years, I advise you to buy this one!</v>
      </c>
    </row>
    <row r="18181">
      <c r="A18181" s="1">
        <v>2.0</v>
      </c>
      <c r="B18181" s="1" t="s">
        <v>17879</v>
      </c>
      <c r="C18181" t="str">
        <f>IFERROR(__xludf.DUMMYFUNCTION("GOOGLETRANSLATE(B18181, ""fr"", ""en"")"),"Cogex 81556 briquette press defective product picture looks correct, actually in delivery is poorly mounted, low, and the pressing arm (widest) completely twisted, I am disappointed Bravo to the photographer but 0 for manufacturing.")</f>
        <v>Cogex 81556 briquette press defective product picture looks correct, actually in delivery is poorly mounted, low, and the pressing arm (widest) completely twisted, I am disappointed Bravo to the photographer but 0 for manufacturing.</v>
      </c>
    </row>
    <row r="18182">
      <c r="A18182" s="1">
        <v>1.0</v>
      </c>
      <c r="B18182" s="1" t="s">
        <v>17880</v>
      </c>
      <c r="C18182" t="str">
        <f>IFERROR(__xludf.DUMMYFUNCTION("GOOGLETRANSLATE(B18182, ""fr"", ""en"")"),"Task shoe comes with a task on the tip of the shoe ?????")</f>
        <v>Task shoe comes with a task on the tip of the shoe ?????</v>
      </c>
    </row>
    <row r="18183">
      <c r="A18183" s="1">
        <v>3.0</v>
      </c>
      <c r="B18183" s="1" t="s">
        <v>17881</v>
      </c>
      <c r="C18183" t="str">
        <f>IFERROR(__xludf.DUMMYFUNCTION("GOOGLETRANSLATE(B18183, ""fr"", ""en"")"),"Small doses cheap, not for induction")</f>
        <v>Small doses cheap, not for induction</v>
      </c>
    </row>
    <row r="18184">
      <c r="A18184" s="1">
        <v>3.0</v>
      </c>
      <c r="B18184" s="1" t="s">
        <v>17882</v>
      </c>
      <c r="C18184" t="str">
        <f>IFERROR(__xludf.DUMMYFUNCTION("GOOGLETRANSLATE(B18184, ""fr"", ""en"")"),"good book I wanted a simple book explaining smooth things to a girl 10 years. This book is well done because it explains in detail what happens in the body of a young girl. Passing of acne pimples, the mood jump and the evolution of the body.")</f>
        <v>good book I wanted a simple book explaining smooth things to a girl 10 years. This book is well done because it explains in detail what happens in the body of a young girl. Passing of acne pimples, the mood jump and the evolution of the body.</v>
      </c>
    </row>
    <row r="18185">
      <c r="A18185" s="1">
        <v>4.0</v>
      </c>
      <c r="B18185" s="1" t="s">
        <v>17883</v>
      </c>
      <c r="C18185" t="str">
        <f>IFERROR(__xludf.DUMMYFUNCTION("GOOGLETRANSLATE(B18185, ""fr"", ""en"")"),"Color the top are fluorescent and allow well to evidence the matters that are to be retained. The only problem is that c they do not last enough for my taste")</f>
        <v>Color the top are fluorescent and allow well to evidence the matters that are to be retained. The only problem is that c they do not last enough for my taste</v>
      </c>
    </row>
    <row r="18186">
      <c r="A18186" s="1">
        <v>4.0</v>
      </c>
      <c r="B18186" s="1" t="s">
        <v>17884</v>
      </c>
      <c r="C18186" t="str">
        <f>IFERROR(__xludf.DUMMYFUNCTION("GOOGLETRANSLATE(B18186, ""fr"", ""en"")"),"Quality Ordered for a gift. We sewed a patch on it to the custom. Indeed succeeded. The brand is known and recognized. A good product.")</f>
        <v>Quality Ordered for a gift. We sewed a patch on it to the custom. Indeed succeeded. The brand is known and recognized. A good product.</v>
      </c>
    </row>
    <row r="18187">
      <c r="A18187" s="1">
        <v>4.0</v>
      </c>
      <c r="B18187" s="1" t="s">
        <v>17885</v>
      </c>
      <c r="C18187" t="str">
        <f>IFERROR(__xludf.DUMMYFUNCTION("GOOGLETRANSLATE(B18187, ""fr"", ""en"")"),"Product conforms to the image It's just one day that I use and it is perfect. Over time I would not mind what happens.")</f>
        <v>Product conforms to the image It's just one day that I use and it is perfect. Over time I would not mind what happens.</v>
      </c>
    </row>
    <row r="18188">
      <c r="A18188" s="1">
        <v>4.0</v>
      </c>
      <c r="B18188" s="1" t="s">
        <v>17886</v>
      </c>
      <c r="C18188" t="str">
        <f>IFERROR(__xludf.DUMMYFUNCTION("GOOGLETRANSLATE(B18188, ""fr"", ""en"")"),"long life I served all day for only lighting incense sticks, the electric arc is fairly small but adequate and does it work, holding the load is very good, I have always no charge for the purchase, there are more than a month, and he says poses a great se"&amp;"curity to prevent accidental ignition. flexible head, for the price it's more than okay.")</f>
        <v>long life I served all day for only lighting incense sticks, the electric arc is fairly small but adequate and does it work, holding the load is very good, I have always no charge for the purchase, there are more than a month, and he says poses a great security to prevent accidental ignition. flexible head, for the price it's more than okay.</v>
      </c>
    </row>
    <row r="18189">
      <c r="A18189" s="1">
        <v>5.0</v>
      </c>
      <c r="B18189" s="1" t="s">
        <v>17887</v>
      </c>
      <c r="C18189" t="str">
        <f>IFERROR(__xludf.DUMMYFUNCTION("GOOGLETRANSLATE(B18189, ""fr"", ""en"")"),"pull my son received the gift is large and very thin it fits like a very nice color gands")</f>
        <v>pull my son received the gift is large and very thin it fits like a very nice color gands</v>
      </c>
    </row>
    <row r="18190">
      <c r="A18190" s="1">
        <v>5.0</v>
      </c>
      <c r="B18190" s="1" t="s">
        <v>17888</v>
      </c>
      <c r="C18190" t="str">
        <f>IFERROR(__xludf.DUMMYFUNCTION("GOOGLETRANSLATE(B18190, ""fr"", ""en"")"),"VERY VERY USEFUL USEFUL FOR PRAYER AND CHAPELLET ROSARY CELEBRATION OF THE COURT EUCARISTIQUE IN ALL OF FRANCE parishes")</f>
        <v>VERY VERY USEFUL USEFUL FOR PRAYER AND CHAPELLET ROSARY CELEBRATION OF THE COURT EUCARISTIQUE IN ALL OF FRANCE parishes</v>
      </c>
    </row>
    <row r="18191">
      <c r="A18191" s="1">
        <v>5.0</v>
      </c>
      <c r="B18191" s="1" t="s">
        <v>17889</v>
      </c>
      <c r="C18191" t="str">
        <f>IFERROR(__xludf.DUMMYFUNCTION("GOOGLETRANSLATE(B18191, ""fr"", ""en"")"),"Great warm now, super tight, holds very well and protects the ankle in places with brambles and high humidity")</f>
        <v>Great warm now, super tight, holds very well and protects the ankle in places with brambles and high humidity</v>
      </c>
    </row>
    <row r="18192">
      <c r="A18192" s="1">
        <v>5.0</v>
      </c>
      <c r="B18192" s="1" t="s">
        <v>17890</v>
      </c>
      <c r="C18192" t="str">
        <f>IFERROR(__xludf.DUMMYFUNCTION("GOOGLETRANSLATE(B18192, ""fr"", ""en"")"),"Electric kettle design and secure I bought this kettle to obtain rapid boil water for tea. This kettle glass and stainless steel with a large capacity (2 liters) is really pretty, the rise in temperature of the water is very fast (power of 2200 watts). In"&amp;" addition, it is secured, the kettle has a protection against dry boiling and the thermostat turns off automatically when the water is at the max. Cleaning or descaling of the tank is very simple, the top opening being wide enough. The setting function is"&amp;" very fast, just plug in and press the On. A beautiful light blue LED will confirm the start. The tank also has a small mesh filter to remove tea stains or other particles in the water eg Very satisfied with this very useful product with an ideal capacity"&amp;" for large families.")</f>
        <v>Electric kettle design and secure I bought this kettle to obtain rapid boil water for tea. This kettle glass and stainless steel with a large capacity (2 liters) is really pretty, the rise in temperature of the water is very fast (power of 2200 watts). In addition, it is secured, the kettle has a protection against dry boiling and the thermostat turns off automatically when the water is at the max. Cleaning or descaling of the tank is very simple, the top opening being wide enough. The setting function is very fast, just plug in and press the On. A beautiful light blue LED will confirm the start. The tank also has a small mesh filter to remove tea stains or other particles in the water eg Very satisfied with this very useful product with an ideal capacity for large families.</v>
      </c>
    </row>
    <row r="18193">
      <c r="A18193" s="1">
        <v>5.0</v>
      </c>
      <c r="B18193" s="1" t="s">
        <v>17891</v>
      </c>
      <c r="C18193" t="str">
        <f>IFERROR(__xludf.DUMMYFUNCTION("GOOGLETRANSLATE(B18193, ""fr"", ""en"")"),"Stain the Scripture dacile life, beautiful colors. To write and brighten the day")</f>
        <v>Stain the Scripture dacile life, beautiful colors. To write and brighten the day</v>
      </c>
    </row>
    <row r="18194">
      <c r="A18194" s="1">
        <v>5.0</v>
      </c>
      <c r="B18194" s="1" t="s">
        <v>17892</v>
      </c>
      <c r="C18194" t="str">
        <f>IFERROR(__xludf.DUMMYFUNCTION("GOOGLETRANSLATE(B18194, ""fr"", ""en"")"),"Calendar This calendar is stocked top. There are plenty of horses, foals, family hedgehog, a mole too cute and accessories.")</f>
        <v>Calendar This calendar is stocked top. There are plenty of horses, foals, family hedgehog, a mole too cute and accessories.</v>
      </c>
    </row>
    <row r="18195">
      <c r="A18195" s="1">
        <v>5.0</v>
      </c>
      <c r="B18195" s="1" t="s">
        <v>17893</v>
      </c>
      <c r="C18195" t="str">
        <f>IFERROR(__xludf.DUMMYFUNCTION("GOOGLETRANSLATE(B18195, ""fr"", ""en"")"),"very happy with this purchase this article corresponds to what I expect: competitive price, product identical to the original product. Only drawback by changing the black tape, ink that will spread and then there to clean up problem !!! I had black nails "&amp;"several days !!! but that does not stop me recommending!")</f>
        <v>very happy with this purchase this article corresponds to what I expect: competitive price, product identical to the original product. Only drawback by changing the black tape, ink that will spread and then there to clean up problem !!! I had black nails several days !!! but that does not stop me recommending!</v>
      </c>
    </row>
    <row r="18196">
      <c r="A18196" s="1">
        <v>5.0</v>
      </c>
      <c r="B18196" s="1" t="s">
        <v>17894</v>
      </c>
      <c r="C18196" t="str">
        <f>IFERROR(__xludf.DUMMYFUNCTION("GOOGLETRANSLATE(B18196, ""fr"", ""en"")"),"Doc Martens They seem to be like in my memories. But to do with the time since the last two pairs lasted me one year before they break into the fold ... So to be perfect and just as pleasant to wear !!!")</f>
        <v>Doc Martens They seem to be like in my memories. But to do with the time since the last two pairs lasted me one year before they break into the fold ... So to be perfect and just as pleasant to wear !!!</v>
      </c>
    </row>
    <row r="18197">
      <c r="A18197" s="1">
        <v>5.0</v>
      </c>
      <c r="B18197" s="1" t="s">
        <v>17895</v>
      </c>
      <c r="C18197" t="str">
        <f>IFERROR(__xludf.DUMMYFUNCTION("GOOGLETRANSLATE(B18197, ""fr"", ""en"")"),"Super Nice finish shows very good finish. Value correct price. The watch is packaged, the box is worthy of the brand.")</f>
        <v>Super Nice finish shows very good finish. Value correct price. The watch is packaged, the box is worthy of the brand.</v>
      </c>
    </row>
    <row r="18198">
      <c r="A18198" s="1">
        <v>5.0</v>
      </c>
      <c r="B18198" s="1" t="s">
        <v>17896</v>
      </c>
      <c r="C18198" t="str">
        <f>IFERROR(__xludf.DUMMYFUNCTION("GOOGLETRANSLATE(B18198, ""fr"", ""en"")"),"GREAT PRODUCT IDEAL TO GIVE BACK TO THE PEPS CLOTHING AND LEATHER BOOTS. REPORT QUALITY / PRICE TO THE TOP. LITTLE PRODUCT SUFFICIENT. EASY TO APPLICATIONT")</f>
        <v>GREAT PRODUCT IDEAL TO GIVE BACK TO THE PEPS CLOTHING AND LEATHER BOOTS. REPORT QUALITY / PRICE TO THE TOP. LITTLE PRODUCT SUFFICIENT. EASY TO APPLICATIONT</v>
      </c>
    </row>
    <row r="18199">
      <c r="A18199" s="1">
        <v>5.0</v>
      </c>
      <c r="B18199" s="1" t="s">
        <v>17897</v>
      </c>
      <c r="C18199" t="str">
        <f>IFERROR(__xludf.DUMMYFUNCTION("GOOGLETRANSLATE(B18199, ""fr"", ""en"")"),"Magical! This product has saved us, is this a coincidence? But the day we used these most colic teats!")</f>
        <v>Magical! This product has saved us, is this a coincidence? But the day we used these most colic teats!</v>
      </c>
    </row>
    <row r="18200">
      <c r="A18200" s="1">
        <v>5.0</v>
      </c>
      <c r="B18200" s="1" t="s">
        <v>17898</v>
      </c>
      <c r="C18200" t="str">
        <f>IFERROR(__xludf.DUMMYFUNCTION("GOOGLETRANSLATE(B18200, ""fr"", ""en"")"),"Good quality / price I was very surprised of the quality of headphones for that price. On the design there is nothing to say, it is a very nice helmet, easy to learn and detection jack Bluetooth problem more impressive autonomy serious and reliable seller"&amp;". Arriving shortly before the deadline product conform to its description and well packaged Excellent value.")</f>
        <v>Good quality / price I was very surprised of the quality of headphones for that price. On the design there is nothing to say, it is a very nice helmet, easy to learn and detection jack Bluetooth problem more impressive autonomy serious and reliable seller. Arriving shortly before the deadline product conform to its description and well packaged Excellent value.</v>
      </c>
    </row>
    <row r="18201">
      <c r="A18201" s="1">
        <v>5.0</v>
      </c>
      <c r="B18201" s="1" t="s">
        <v>17899</v>
      </c>
      <c r="C18201" t="str">
        <f>IFERROR(__xludf.DUMMYFUNCTION("GOOGLETRANSLATE(B18201, ""fr"", ""en"")"),"flawless flawless")</f>
        <v>flawless flawless</v>
      </c>
    </row>
    <row r="18202">
      <c r="A18202" s="1">
        <v>5.0</v>
      </c>
      <c r="B18202" s="1" t="s">
        <v>17900</v>
      </c>
      <c r="C18202" t="str">
        <f>IFERROR(__xludf.DUMMYFUNCTION("GOOGLETRANSLATE(B18202, ""fr"", ""en"")"),"E Pants very comfortable to wear, well crafted, I took one size bigger as advised and is perfectly fine, the length too. Following this I ordered the matching jacket with hood .I recommend these pants.")</f>
        <v>E Pants very comfortable to wear, well crafted, I took one size bigger as advised and is perfectly fine, the length too. Following this I ordered the matching jacket with hood .I recommend these pants.</v>
      </c>
    </row>
    <row r="18203">
      <c r="A18203" s="1">
        <v>5.0</v>
      </c>
      <c r="B18203" s="1" t="s">
        <v>17901</v>
      </c>
      <c r="C18203" t="str">
        <f>IFERROR(__xludf.DUMMYFUNCTION("GOOGLETRANSLATE(B18203, ""fr"", ""en"")"),"Beautiful box cabinet gave my 6 year old daughter interested in astronomy, supplemented by figures representing the planets of the solar system, she was delighted")</f>
        <v>Beautiful box cabinet gave my 6 year old daughter interested in astronomy, supplemented by figures representing the planets of the solar system, she was delighted</v>
      </c>
    </row>
    <row r="18204">
      <c r="A18204" s="1">
        <v>5.0</v>
      </c>
      <c r="B18204" s="1" t="s">
        <v>17902</v>
      </c>
      <c r="C18204" t="str">
        <f>IFERROR(__xludf.DUMMYFUNCTION("GOOGLETRANSLATE(B18204, ""fr"", ""en"")"),"Vans 36.5 Product line with my expectations.")</f>
        <v>Vans 36.5 Product line with my expectations.</v>
      </c>
    </row>
    <row r="18205">
      <c r="A18205" s="1">
        <v>2.0</v>
      </c>
      <c r="B18205" s="1" t="s">
        <v>17903</v>
      </c>
      <c r="C18205" t="str">
        <f>IFERROR(__xludf.DUMMYFUNCTION("GOOGLETRANSLATE(B18205, ""fr"", ""en"")"),"Lack beads Unfortunately missing perl")</f>
        <v>Lack beads Unfortunately missing perl</v>
      </c>
    </row>
    <row r="18206">
      <c r="A18206" s="1">
        <v>1.0</v>
      </c>
      <c r="B18206" s="1" t="s">
        <v>17904</v>
      </c>
      <c r="C18206" t="str">
        <f>IFERROR(__xludf.DUMMYFUNCTION("GOOGLETRANSLATE(B18206, ""fr"", ""en"")"),"Break disappointed by wear after 6 months ... my husband offered me a noel decu..j'ai very much jewelry and fossil show and very poor quality, I am to disgust with the quality of the product.")</f>
        <v>Break disappointed by wear after 6 months ... my husband offered me a noel decu..j'ai very much jewelry and fossil show and very poor quality, I am to disgust with the quality of the product.</v>
      </c>
    </row>
    <row r="18207">
      <c r="A18207" s="1">
        <v>1.0</v>
      </c>
      <c r="B18207" s="1" t="s">
        <v>17905</v>
      </c>
      <c r="C18207" t="str">
        <f>IFERROR(__xludf.DUMMYFUNCTION("GOOGLETRANSLATE(B18207, ""fr"", ""en"")"),"Dickies medway Believing purchasing the right product for lightweight and flexible enough for a safety shoe, I am very disappointed because this morning I just realized that my left shoe is cut leather junction the level and sole on the outer side and tha"&amp;"t the right is after do the same.")</f>
        <v>Dickies medway Believing purchasing the right product for lightweight and flexible enough for a safety shoe, I am very disappointed because this morning I just realized that my left shoe is cut leather junction the level and sole on the outer side and that the right is after do the same.</v>
      </c>
    </row>
    <row r="18208">
      <c r="A18208" s="1">
        <v>3.0</v>
      </c>
      <c r="B18208" s="1" t="s">
        <v>17906</v>
      </c>
      <c r="C18208" t="str">
        <f>IFERROR(__xludf.DUMMYFUNCTION("GOOGLETRANSLATE(B18208, ""fr"", ""en"")"),"Shoe size small take a size above")</f>
        <v>Shoe size small take a size above</v>
      </c>
    </row>
    <row r="18209">
      <c r="A18209" s="1">
        <v>3.0</v>
      </c>
      <c r="B18209" s="1" t="s">
        <v>17907</v>
      </c>
      <c r="C18209" t="str">
        <f>IFERROR(__xludf.DUMMYFUNCTION("GOOGLETRANSLATE(B18209, ""fr"", ""en"")"),"Dress shoes not suitable for tennis shoe Beautiful but provide larger than the one we usually order")</f>
        <v>Dress shoes not suitable for tennis shoe Beautiful but provide larger than the one we usually order</v>
      </c>
    </row>
    <row r="18210">
      <c r="A18210" s="1">
        <v>4.0</v>
      </c>
      <c r="B18210" s="1" t="s">
        <v>17908</v>
      </c>
      <c r="C18210" t="str">
        <f>IFERROR(__xludf.DUMMYFUNCTION("GOOGLETRANSLATE(B18210, ""fr"", ""en"")"),"totally satisfied I am no expert in audio cable, but I am perfectly satisfied with this cable (30m 2x2,5mm2) that matches its description. It is indeed a copper cable OFC. The length is exactly that indicated. One can easily separate the two son at the ca"&amp;"ble end in hand. A red line on the side can identify the polarity.")</f>
        <v>totally satisfied I am no expert in audio cable, but I am perfectly satisfied with this cable (30m 2x2,5mm2) that matches its description. It is indeed a copper cable OFC. The length is exactly that indicated. One can easily separate the two son at the cable end in hand. A red line on the side can identify the polarity.</v>
      </c>
    </row>
    <row r="18211">
      <c r="A18211" s="1">
        <v>4.0</v>
      </c>
      <c r="B18211" s="1" t="s">
        <v>17909</v>
      </c>
      <c r="C18211" t="str">
        <f>IFERROR(__xludf.DUMMYFUNCTION("GOOGLETRANSLATE(B18211, ""fr"", ""en"")"),"Lovely bracelet beautiful bracelet chain very thin and a little short")</f>
        <v>Lovely bracelet beautiful bracelet chain very thin and a little short</v>
      </c>
    </row>
    <row r="18212">
      <c r="A18212" s="1">
        <v>4.0</v>
      </c>
      <c r="B18212" s="1" t="s">
        <v>17910</v>
      </c>
      <c r="C18212" t="str">
        <f>IFERROR(__xludf.DUMMYFUNCTION("GOOGLETRANSLATE(B18212, ""fr"", ""en"")"),"Very nice very nice but difficult to change the straps")</f>
        <v>Very nice very nice but difficult to change the straps</v>
      </c>
    </row>
    <row r="18213">
      <c r="A18213" s="1">
        <v>4.0</v>
      </c>
      <c r="B18213" s="1" t="s">
        <v>17911</v>
      </c>
      <c r="C18213" t="str">
        <f>IFERROR(__xludf.DUMMYFUNCTION("GOOGLETRANSLATE(B18213, ""fr"", ""en"")"),"Compliance Received quickly and in good condition. The size corresponds to the size chart. Satisfied with my purchase")</f>
        <v>Compliance Received quickly and in good condition. The size corresponds to the size chart. Satisfied with my purchase</v>
      </c>
    </row>
    <row r="18214">
      <c r="A18214" s="1">
        <v>5.0</v>
      </c>
      <c r="B18214" s="1" t="s">
        <v>17912</v>
      </c>
      <c r="C18214" t="str">
        <f>IFERROR(__xludf.DUMMYFUNCTION("GOOGLETRANSLATE(B18214, ""fr"", ""en"")"),"Less moisture in the bathroom Super absorbent")</f>
        <v>Less moisture in the bathroom Super absorbent</v>
      </c>
    </row>
    <row r="18215">
      <c r="A18215" s="1">
        <v>5.0</v>
      </c>
      <c r="B18215" s="1" t="s">
        <v>17913</v>
      </c>
      <c r="C18215" t="str">
        <f>IFERROR(__xludf.DUMMYFUNCTION("GOOGLETRANSLATE(B18215, ""fr"", ""en"")"),"Practical Nomad A car bottle warmer that plugs into the cigarette lighter This is a neoprene case in which slips the bottle to warm the tepid It makes the content The case is particularly well designed because it allows storing the cable in a small pouch "&amp;"it does not take up space and can remain in the empty pocket can put a bottle or a jar is practical")</f>
        <v>Practical Nomad A car bottle warmer that plugs into the cigarette lighter This is a neoprene case in which slips the bottle to warm the tepid It makes the content The case is particularly well designed because it allows storing the cable in a small pouch it does not take up space and can remain in the empty pocket can put a bottle or a jar is practical</v>
      </c>
    </row>
    <row r="18216">
      <c r="A18216" s="1">
        <v>5.0</v>
      </c>
      <c r="B18216" s="1" t="s">
        <v>17914</v>
      </c>
      <c r="C18216" t="str">
        <f>IFERROR(__xludf.DUMMYFUNCTION("GOOGLETRANSLATE(B18216, ""fr"", ""en"")"),"TOP boy has questions he dare not ask me I know. his friends give him information may be bad too. this book will enable him to find the right answers to all questions of pre teen / teen. it is super well done, the pace of the evolution of my teen")</f>
        <v>TOP boy has questions he dare not ask me I know. his friends give him information may be bad too. this book will enable him to find the right answers to all questions of pre teen / teen. it is super well done, the pace of the evolution of my teen</v>
      </c>
    </row>
    <row r="18217">
      <c r="A18217" s="1">
        <v>5.0</v>
      </c>
      <c r="B18217" s="1" t="s">
        <v>17915</v>
      </c>
      <c r="C18217" t="str">
        <f>IFERROR(__xludf.DUMMYFUNCTION("GOOGLETRANSLATE(B18217, ""fr"", ""en"")"),"Conforms to wait very good Pumas held good product to see in the temp")</f>
        <v>Conforms to wait very good Pumas held good product to see in the temp</v>
      </c>
    </row>
    <row r="18218">
      <c r="A18218" s="1">
        <v>5.0</v>
      </c>
      <c r="B18218" s="1" t="s">
        <v>17916</v>
      </c>
      <c r="C18218" t="str">
        <f>IFERROR(__xludf.DUMMYFUNCTION("GOOGLETRANSLATE(B18218, ""fr"", ""en"")"),"heating pad very practical, very soft and light, perfect and not too expensive. I recommend this product if contractures it relaxes very well. Well received in time.")</f>
        <v>heating pad very practical, very soft and light, perfect and not too expensive. I recommend this product if contractures it relaxes very well. Well received in time.</v>
      </c>
    </row>
    <row r="18219">
      <c r="A18219" s="1">
        <v>5.0</v>
      </c>
      <c r="B18219" s="1" t="s">
        <v>17917</v>
      </c>
      <c r="C18219" t="str">
        <f>IFERROR(__xludf.DUMMYFUNCTION("GOOGLETRANSLATE(B18219, ""fr"", ""en"")"),"Super Size impeccable on more hot sole that grips well super")</f>
        <v>Super Size impeccable on more hot sole that grips well super</v>
      </c>
    </row>
    <row r="18220">
      <c r="A18220" s="1">
        <v>5.0</v>
      </c>
      <c r="B18220" s="1" t="s">
        <v>17918</v>
      </c>
      <c r="C18220" t="str">
        <f>IFERROR(__xludf.DUMMYFUNCTION("GOOGLETRANSLATE(B18220, ""fr"", ""en"")"),"Excellent Pleasantly surprised, after watching the comments I think that there should a fault on the article but no. Size very well for me. I recommend")</f>
        <v>Excellent Pleasantly surprised, after watching the comments I think that there should a fault on the article but no. Size very well for me. I recommend</v>
      </c>
    </row>
    <row r="18221">
      <c r="A18221" s="1">
        <v>5.0</v>
      </c>
      <c r="B18221" s="1" t="s">
        <v>17919</v>
      </c>
      <c r="C18221" t="str">
        <f>IFERROR(__xludf.DUMMYFUNCTION("GOOGLETRANSLATE(B18221, ""fr"", ""en"")"),"true and at a competitive price! nothing to add")</f>
        <v>true and at a competitive price! nothing to add</v>
      </c>
    </row>
    <row r="18222">
      <c r="A18222" s="1">
        <v>5.0</v>
      </c>
      <c r="B18222" s="1" t="s">
        <v>17920</v>
      </c>
      <c r="C18222" t="str">
        <f>IFERROR(__xludf.DUMMYFUNCTION("GOOGLETRANSLATE(B18222, ""fr"", ""en"")"),"Super I recommend 100% high quality and super convenient")</f>
        <v>Super I recommend 100% high quality and super convenient</v>
      </c>
    </row>
    <row r="18223">
      <c r="A18223" s="1">
        <v>5.0</v>
      </c>
      <c r="B18223" s="1" t="s">
        <v>17921</v>
      </c>
      <c r="C18223" t="str">
        <f>IFERROR(__xludf.DUMMYFUNCTION("GOOGLETRANSLATE(B18223, ""fr"", ""en"")"),"Hoody The material is very soft and warm light")</f>
        <v>Hoody The material is very soft and warm light</v>
      </c>
    </row>
    <row r="18224">
      <c r="A18224" s="1">
        <v>5.0</v>
      </c>
      <c r="B18224" s="1" t="s">
        <v>17922</v>
      </c>
      <c r="C18224" t="str">
        <f>IFERROR(__xludf.DUMMYFUNCTION("GOOGLETRANSLATE(B18224, ""fr"", ""en"")"),"Perfect The book is part of a trilogy that tells the Greek mythology little short but exciting stories. Product according perfect.")</f>
        <v>Perfect The book is part of a trilogy that tells the Greek mythology little short but exciting stories. Product according perfect.</v>
      </c>
    </row>
    <row r="18225">
      <c r="A18225" s="1">
        <v>5.0</v>
      </c>
      <c r="B18225" s="1" t="s">
        <v>17923</v>
      </c>
      <c r="C18225" t="str">
        <f>IFERROR(__xludf.DUMMYFUNCTION("GOOGLETRANSLATE(B18225, ""fr"", ""en"")"),"Indispensable ! These wipes have become indispensable and we place a consistently at the bottom of each drum machine. Half wipe (they are precut) is enough for the machine slightly colored. Adopted home each machine, they truly fulfill their role and trul"&amp;"y simplifies washing of their effectiveness.")</f>
        <v>Indispensable ! These wipes have become indispensable and we place a consistently at the bottom of each drum machine. Half wipe (they are precut) is enough for the machine slightly colored. Adopted home each machine, they truly fulfill their role and truly simplifies washing of their effectiveness.</v>
      </c>
    </row>
    <row r="18226">
      <c r="A18226" s="1">
        <v>5.0</v>
      </c>
      <c r="B18226" s="1" t="s">
        <v>17924</v>
      </c>
      <c r="C18226" t="str">
        <f>IFERROR(__xludf.DUMMYFUNCTION("GOOGLETRANSLATE(B18226, ""fr"", ""en"")"),"Good JBL headphones black wire! Headphone very good quality, the sound is very good, easy to fold, durable and lightweight. Nice design with padding for so comfortable ears while listening. For JBL headphones at this price, I am not disappointed! Received"&amp;" in its original box and cheaper than in the store. Product sold by Amazon, received on time and consistent with the description! I highly recommend !")</f>
        <v>Good JBL headphones black wire! Headphone very good quality, the sound is very good, easy to fold, durable and lightweight. Nice design with padding for so comfortable ears while listening. For JBL headphones at this price, I am not disappointed! Received in its original box and cheaper than in the store. Product sold by Amazon, received on time and consistent with the description! I highly recommend !</v>
      </c>
    </row>
    <row r="18227">
      <c r="A18227" s="1">
        <v>5.0</v>
      </c>
      <c r="B18227" s="1" t="s">
        <v>17925</v>
      </c>
      <c r="C18227" t="str">
        <f>IFERROR(__xludf.DUMMYFUNCTION("GOOGLETRANSLATE(B18227, ""fr"", ""en"")"),"beautiful booklet for successful gift I bought it to give to my beautiful girl who loves the unicorn, and she loved this book. I regret not blow this purchase")</f>
        <v>beautiful booklet for successful gift I bought it to give to my beautiful girl who loves the unicorn, and she loved this book. I regret not blow this purchase</v>
      </c>
    </row>
    <row r="18228">
      <c r="A18228" s="1">
        <v>5.0</v>
      </c>
      <c r="B18228" s="1" t="s">
        <v>17926</v>
      </c>
      <c r="C18228" t="str">
        <f>IFERROR(__xludf.DUMMYFUNCTION("GOOGLETRANSLATE(B18228, ""fr"", ""en"")"),"Pretty good value for money product")</f>
        <v>Pretty good value for money product</v>
      </c>
    </row>
    <row r="18229">
      <c r="A18229" s="1">
        <v>2.0</v>
      </c>
      <c r="B18229" s="1" t="s">
        <v>17927</v>
      </c>
      <c r="C18229" t="str">
        <f>IFERROR(__xludf.DUMMYFUNCTION("GOOGLETRANSLATE(B18229, ""fr"", ""en"")"),"It is well Hello occurs well but not as I will")</f>
        <v>It is well Hello occurs well but not as I will</v>
      </c>
    </row>
    <row r="18230">
      <c r="A18230" s="1">
        <v>1.0</v>
      </c>
      <c r="B18230" s="1" t="s">
        <v>17928</v>
      </c>
      <c r="C18230" t="str">
        <f>IFERROR(__xludf.DUMMYFUNCTION("GOOGLETRANSLATE(B18230, ""fr"", ""en"")"),"Balance sheet after gym aesthetically J stays conquered by this. I've bought in the white, pink and I always look red. I ve tested the white 👍🏽👍🏽👍🏽 gym. Today I have tested the pink gym and I DISAPPOINTED. The seams do not hold. Esthetisme: Yes, Qua"&amp;"lity: no. Yet the White combines aestheticism and quality.")</f>
        <v>Balance sheet after gym aesthetically J stays conquered by this. I've bought in the white, pink and I always look red. I ve tested the white 👍🏽👍🏽👍🏽 gym. Today I have tested the pink gym and I DISAPPOINTED. The seams do not hold. Esthetisme: Yes, Quality: no. Yet the White combines aestheticism and quality.</v>
      </c>
    </row>
    <row r="18231">
      <c r="A18231" s="1">
        <v>1.0</v>
      </c>
      <c r="B18231" s="1" t="s">
        <v>17929</v>
      </c>
      <c r="C18231" t="str">
        <f>IFERROR(__xludf.DUMMYFUNCTION("GOOGLETRANSLATE(B18231, ""fr"", ""en"")"),"Disappointed by this brush The brush does not! I am disappointed by this article because it falls constantly, C is painful")</f>
        <v>Disappointed by this brush The brush does not! I am disappointed by this article because it falls constantly, C is painful</v>
      </c>
    </row>
    <row r="18232">
      <c r="A18232" s="1">
        <v>3.0</v>
      </c>
      <c r="B18232" s="1" t="s">
        <v>17930</v>
      </c>
      <c r="C18232" t="str">
        <f>IFERROR(__xludf.DUMMYFUNCTION("GOOGLETRANSLATE(B18232, ""fr"", ""en"")"),"Good performance on dry Pleasant and convenient to put on, good foot support, comfortable. As against hyper slippery soles on wet: good sense of balance recommended")</f>
        <v>Good performance on dry Pleasant and convenient to put on, good foot support, comfortable. As against hyper slippery soles on wet: good sense of balance recommended</v>
      </c>
    </row>
    <row r="18233">
      <c r="A18233" s="1">
        <v>4.0</v>
      </c>
      <c r="B18233" s="1" t="s">
        <v>17931</v>
      </c>
      <c r="C18233" t="str">
        <f>IFERROR(__xludf.DUMMYFUNCTION("GOOGLETRANSLATE(B18233, ""fr"", ""en"")"),"Good product but no instruction in French. Good product Allows you to listen to music, to pause by clicking the headset without removing the phone. Ditto for answer or end a call. But be careful when marketing a product on the floor is the French book wit"&amp;"h instructions in French thing which is not the case. So so you learn to speak Japanese so English.")</f>
        <v>Good product but no instruction in French. Good product Allows you to listen to music, to pause by clicking the headset without removing the phone. Ditto for answer or end a call. But be careful when marketing a product on the floor is the French book with instructions in French thing which is not the case. So so you learn to speak Japanese so English.</v>
      </c>
    </row>
    <row r="18234">
      <c r="A18234" s="1">
        <v>4.0</v>
      </c>
      <c r="B18234" s="1" t="s">
        <v>17932</v>
      </c>
      <c r="C18234" t="str">
        <f>IFERROR(__xludf.DUMMYFUNCTION("GOOGLETRANSLATE(B18234, ""fr"", ""en"")"),"Nice Small size")</f>
        <v>Nice Small size</v>
      </c>
    </row>
    <row r="18235">
      <c r="A18235" s="1">
        <v>4.0</v>
      </c>
      <c r="B18235" s="1" t="s">
        <v>17933</v>
      </c>
      <c r="C18235" t="str">
        <f>IFERROR(__xludf.DUMMYFUNCTION("GOOGLETRANSLATE(B18235, ""fr"", ""en"")"),"Effective and economical I have always been satisfied with compatible cartridges bought from Amazon. This was not the case with those of traditional commerce.")</f>
        <v>Effective and economical I have always been satisfied with compatible cartridges bought from Amazon. This was not the case with those of traditional commerce.</v>
      </c>
    </row>
    <row r="18236">
      <c r="A18236" s="1">
        <v>4.0</v>
      </c>
      <c r="B18236" s="1" t="s">
        <v>17934</v>
      </c>
      <c r="C18236" t="str">
        <f>IFERROR(__xludf.DUMMYFUNCTION("GOOGLETRANSLATE(B18236, ""fr"", ""en"")"),"Practical and aesthetic. Kettle very aesthetic - a brave and colorful temperature settings of a beautiful effect. I offered to Christmas and it is entirely satisfactory.")</f>
        <v>Practical and aesthetic. Kettle very aesthetic - a brave and colorful temperature settings of a beautiful effect. I offered to Christmas and it is entirely satisfactory.</v>
      </c>
    </row>
    <row r="18237">
      <c r="A18237" s="1">
        <v>5.0</v>
      </c>
      <c r="B18237" s="1" t="s">
        <v>17935</v>
      </c>
      <c r="C18237" t="str">
        <f>IFERROR(__xludf.DUMMYFUNCTION("GOOGLETRANSLATE(B18237, ""fr"", ""en"")"),"R.. s It is okay nothing wrong, then if mdrrr check that your driver speaks french !! (Conseil😂😂)")</f>
        <v>R.. s It is okay nothing wrong, then if mdrrr check that your driver speaks french !! (Conseil😂😂)</v>
      </c>
    </row>
    <row r="18238">
      <c r="A18238" s="1">
        <v>5.0</v>
      </c>
      <c r="B18238" s="1" t="s">
        <v>17936</v>
      </c>
      <c r="C18238" t="str">
        <f>IFERROR(__xludf.DUMMYFUNCTION("GOOGLETRANSLATE(B18238, ""fr"", ""en"")"),"beautiful curls! Beautiful curls with a quality / unbeatable prices. Fairly large, they are sufficient unto themselves it ... no need to adorn her neck a necklace.")</f>
        <v>beautiful curls! Beautiful curls with a quality / unbeatable prices. Fairly large, they are sufficient unto themselves it ... no need to adorn her neck a necklace.</v>
      </c>
    </row>
    <row r="18239">
      <c r="A18239" s="1">
        <v>5.0</v>
      </c>
      <c r="B18239" s="1" t="s">
        <v>17937</v>
      </c>
      <c r="C18239" t="str">
        <f>IFERROR(__xludf.DUMMYFUNCTION("GOOGLETRANSLATE(B18239, ""fr"", ""en"")"),"Casio perfection as always ... Lightweight, quiet, strong, perfectly designed and prettier in person than in photographs. And for those who say that the battery does not last long do not leave it in a drawer when you do not use that kind of shows like the"&amp;" light ... I have a Casio solar Protrek for over 10 years never changed battery and functions as the first day.")</f>
        <v>Casio perfection as always ... Lightweight, quiet, strong, perfectly designed and prettier in person than in photographs. And for those who say that the battery does not last long do not leave it in a drawer when you do not use that kind of shows like the light ... I have a Casio solar Protrek for over 10 years never changed battery and functions as the first day.</v>
      </c>
    </row>
    <row r="18240">
      <c r="A18240" s="1">
        <v>5.0</v>
      </c>
      <c r="B18240" s="1" t="s">
        <v>17938</v>
      </c>
      <c r="C18240" t="str">
        <f>IFERROR(__xludf.DUMMYFUNCTION("GOOGLETRANSLATE(B18240, ""fr"", ""en"")"),"This timeless model is part birkenstock timeless. Very comfortable and a very good bill. The delivery was very fast (in fact, it would have taken me longer to go to the store ... and more expensive too). Attention to size, however, I always take a size be"&amp;"low: I usually shoes of 41, see the 42 Birkenstock but I take the 40 (and I am comfortable)")</f>
        <v>This timeless model is part birkenstock timeless. Very comfortable and a very good bill. The delivery was very fast (in fact, it would have taken me longer to go to the store ... and more expensive too). Attention to size, however, I always take a size below: I usually shoes of 41, see the 42 Birkenstock but I take the 40 (and I am comfortable)</v>
      </c>
    </row>
    <row r="18241">
      <c r="A18241" s="1">
        <v>5.0</v>
      </c>
      <c r="B18241" s="1" t="s">
        <v>17939</v>
      </c>
      <c r="C18241" t="str">
        <f>IFERROR(__xludf.DUMMYFUNCTION("GOOGLETRANSLATE(B18241, ""fr"", ""en"")"),"Perfect article of the description, pleasant smell in the cupboards, fast delivery.")</f>
        <v>Perfect article of the description, pleasant smell in the cupboards, fast delivery.</v>
      </c>
    </row>
    <row r="18242">
      <c r="A18242" s="1">
        <v>5.0</v>
      </c>
      <c r="B18242" s="1" t="s">
        <v>17940</v>
      </c>
      <c r="C18242" t="str">
        <f>IFERROR(__xludf.DUMMYFUNCTION("GOOGLETRANSLATE(B18242, ""fr"", ""en"")"),"Elegant Buy to open, I have kept for myself. Very refined discreet it is full of effect around the neck")</f>
        <v>Elegant Buy to open, I have kept for myself. Very refined discreet it is full of effect around the neck</v>
      </c>
    </row>
    <row r="18243">
      <c r="A18243" s="1">
        <v>5.0</v>
      </c>
      <c r="B18243" s="1" t="s">
        <v>17941</v>
      </c>
      <c r="C18243" t="str">
        <f>IFERROR(__xludf.DUMMYFUNCTION("GOOGLETRANSLATE(B18243, ""fr"", ""en"")"),"Watch the movement of the mechanism is mesmerizing, it is also seen on the other side. Bracelet easy to set thanks to small device received with. Very masculine and dresses really wrist.")</f>
        <v>Watch the movement of the mechanism is mesmerizing, it is also seen on the other side. Bracelet easy to set thanks to small device received with. Very masculine and dresses really wrist.</v>
      </c>
    </row>
    <row r="18244">
      <c r="A18244" s="1">
        <v>5.0</v>
      </c>
      <c r="B18244" s="1" t="s">
        <v>17942</v>
      </c>
      <c r="C18244" t="str">
        <f>IFERROR(__xludf.DUMMYFUNCTION("GOOGLETRANSLATE(B18244, ""fr"", ""en"")"),"Perfect for baby good buy and protect small, fragile eyes. Sun screen which repositions easily without any traces on the glass. Great deal")</f>
        <v>Perfect for baby good buy and protect small, fragile eyes. Sun screen which repositions easily without any traces on the glass. Great deal</v>
      </c>
    </row>
    <row r="18245">
      <c r="A18245" s="1">
        <v>5.0</v>
      </c>
      <c r="B18245" s="1" t="s">
        <v>17943</v>
      </c>
      <c r="C18245" t="str">
        <f>IFERROR(__xludf.DUMMYFUNCTION("GOOGLETRANSLATE(B18245, ""fr"", ""en"")"),"Mixed slip socks! Good quality + First, they were designed for sports, thanks to small rubbery non-slip hangers that are below the socks that prevent feet from slipping in sneakers. I find it very clever and effective idea! Personally I'm not a sports add"&amp;"ict but this will provide me to wear these socks ultra comfortable at home because I would serve me well as socks inside ..... The fact that they are not at all slippery allows me to walk with on the floor without any problems! there is really good and co"&amp;"mfortable. In addition, their beautiful thickness will be ideal in winter, be it inside or to keep my feet warm when I go to work ...... I sure appreciate them! Their material is breathable and the percentage of cotton is more than enough for a good moist"&amp;"ure absorption but also for comfort! Their unique size is ideal for me that the shoes 38 and are also ideal for my husband shoes of 42. Their beautiful presentation in a very rigid cardboard box is very suitable to be offered! These are socks that I compl"&amp;"etely passed and I recommend them to all and to all without distinction.")</f>
        <v>Mixed slip socks! Good quality + First, they were designed for sports, thanks to small rubbery non-slip hangers that are below the socks that prevent feet from slipping in sneakers. I find it very clever and effective idea! Personally I'm not a sports addict but this will provide me to wear these socks ultra comfortable at home because I would serve me well as socks inside ..... The fact that they are not at all slippery allows me to walk with on the floor without any problems! there is really good and comfortable. In addition, their beautiful thickness will be ideal in winter, be it inside or to keep my feet warm when I go to work ...... I sure appreciate them! Their material is breathable and the percentage of cotton is more than enough for a good moisture absorption but also for comfort! Their unique size is ideal for me that the shoes 38 and are also ideal for my husband shoes of 42. Their beautiful presentation in a very rigid cardboard box is very suitable to be offered! These are socks that I completely passed and I recommend them to all and to all without distinction.</v>
      </c>
    </row>
    <row r="18246">
      <c r="A18246" s="1">
        <v>5.0</v>
      </c>
      <c r="B18246" s="1" t="s">
        <v>17944</v>
      </c>
      <c r="C18246" t="str">
        <f>IFERROR(__xludf.DUMMYFUNCTION("GOOGLETRANSLATE(B18246, ""fr"", ""en"")"),"Really pleased I used to deliver the concrete to be so on construction sites for a week and I'm really satisfied.")</f>
        <v>Really pleased I used to deliver the concrete to be so on construction sites for a week and I'm really satisfied.</v>
      </c>
    </row>
    <row r="18247">
      <c r="A18247" s="1">
        <v>5.0</v>
      </c>
      <c r="B18247" s="1" t="s">
        <v>17945</v>
      </c>
      <c r="C18247" t="str">
        <f>IFERROR(__xludf.DUMMYFUNCTION("GOOGLETRANSLATE(B18247, ""fr"", ""en"")"),"Nickel quality")</f>
        <v>Nickel quality</v>
      </c>
    </row>
    <row r="18248">
      <c r="A18248" s="1">
        <v>5.0</v>
      </c>
      <c r="B18248" s="1" t="s">
        <v>17946</v>
      </c>
      <c r="C18248" t="str">
        <f>IFERROR(__xludf.DUMMYFUNCTION("GOOGLETRANSLATE(B18248, ""fr"", ""en"")"),"Although shoes are really comfortable and fit well. The main quality of this shoe is its lightness and good ventilation. The shoes are manufactured. I use it for a while and it's really comfortable. I totally recommend")</f>
        <v>Although shoes are really comfortable and fit well. The main quality of this shoe is its lightness and good ventilation. The shoes are manufactured. I use it for a while and it's really comfortable. I totally recommend</v>
      </c>
    </row>
    <row r="18249">
      <c r="A18249" s="1">
        <v>5.0</v>
      </c>
      <c r="B18249" s="1" t="s">
        <v>17947</v>
      </c>
      <c r="C18249" t="str">
        <f>IFERROR(__xludf.DUMMYFUNCTION("GOOGLETRANSLATE(B18249, ""fr"", ""en"")"),"the top super nipple that lets the thickened liquid flow at the top even on number 3 does not flow too fast")</f>
        <v>the top super nipple that lets the thickened liquid flow at the top even on number 3 does not flow too fast</v>
      </c>
    </row>
    <row r="18250">
      <c r="A18250" s="1">
        <v>5.0</v>
      </c>
      <c r="B18250" s="1" t="s">
        <v>17948</v>
      </c>
      <c r="C18250" t="str">
        <f>IFERROR(__xludf.DUMMYFUNCTION("GOOGLETRANSLATE(B18250, ""fr"", ""en"")"),"Quality and precision. Super quality, beauty, precision and class: I strongly recommend to all without hesitation Roland Wavre.")</f>
        <v>Quality and precision. Super quality, beauty, precision and class: I strongly recommend to all without hesitation Roland Wavre.</v>
      </c>
    </row>
    <row r="18251">
      <c r="A18251" s="1">
        <v>5.0</v>
      </c>
      <c r="B18251" s="1" t="s">
        <v>17949</v>
      </c>
      <c r="C18251" t="str">
        <f>IFERROR(__xludf.DUMMYFUNCTION("GOOGLETRANSLATE(B18251, ""fr"", ""en"")"),"Product according to the advertisement Perfect")</f>
        <v>Product according to the advertisement Perfect</v>
      </c>
    </row>
    <row r="18252">
      <c r="A18252" s="1">
        <v>2.0</v>
      </c>
      <c r="B18252" s="1" t="s">
        <v>17950</v>
      </c>
      <c r="C18252" t="str">
        <f>IFERROR(__xludf.DUMMYFUNCTION("GOOGLETRANSLATE(B18252, ""fr"", ""en"")"),"Very convenient plastic smell but again the plastic cover and plastic smell when water boils")</f>
        <v>Very convenient plastic smell but again the plastic cover and plastic smell when water boils</v>
      </c>
    </row>
    <row r="18253">
      <c r="A18253" s="1">
        <v>1.0</v>
      </c>
      <c r="B18253" s="1" t="s">
        <v>17951</v>
      </c>
      <c r="C18253" t="str">
        <f>IFERROR(__xludf.DUMMYFUNCTION("GOOGLETRANSLATE(B18253, ""fr"", ""en"")"),"Too big C was for my motorcycle")</f>
        <v>Too big C was for my motorcycle</v>
      </c>
    </row>
    <row r="18254">
      <c r="A18254" s="1">
        <v>3.0</v>
      </c>
      <c r="B18254" s="1" t="s">
        <v>17952</v>
      </c>
      <c r="C18254" t="str">
        <f>IFERROR(__xludf.DUMMYFUNCTION("GOOGLETRANSLATE(B18254, ""fr"", ""en"")"),"Nothing more Longe coast")</f>
        <v>Nothing more Longe coast</v>
      </c>
    </row>
    <row r="18255">
      <c r="A18255" s="1">
        <v>3.0</v>
      </c>
      <c r="B18255" s="1" t="s">
        <v>17953</v>
      </c>
      <c r="C18255" t="str">
        <f>IFERROR(__xludf.DUMMYFUNCTION("GOOGLETRANSLATE(B18255, ""fr"", ""en"")"),"Globe playful but average quality This globe is designed to enable learning of geography, it is simple to use and fun, and what's more in French (not always the case with this kind of toy). All the functions work perfectly, however, will have to see over "&amp;"time to view other comments many buyers. However, I find that given the price of the product, the quality could be a bit higher. If my review was helpful, please mention :)")</f>
        <v>Globe playful but average quality This globe is designed to enable learning of geography, it is simple to use and fun, and what's more in French (not always the case with this kind of toy). All the functions work perfectly, however, will have to see over time to view other comments many buyers. However, I find that given the price of the product, the quality could be a bit higher. If my review was helpful, please mention :)</v>
      </c>
    </row>
    <row r="18256">
      <c r="A18256" s="1">
        <v>4.0</v>
      </c>
      <c r="B18256" s="1" t="s">
        <v>17954</v>
      </c>
      <c r="C18256" t="str">
        <f>IFERROR(__xludf.DUMMYFUNCTION("GOOGLETRANSLATE(B18256, ""fr"", ""en"")"),"The lowest prices of our printer ink cartridges cost so expensive that after 2 or 3 purchases it already exceeds the price of the printer itself is mind boggling. Anyway I bought on Amazon regularly offering each time the best price ie € 25.99 with free s"&amp;"hipping and they always work perfectly and immediately on my HP Officejet 5740 (bought € 70 ago 1 year and half-either way). In moderate use these ink cartridges take about 3 or 4 months before being empty. I take off a star for the disproportionate and u"&amp;"njustified price and for the fact that the delivery was a bit long (commissioned Thursday, March 29th at 8am and received Wednesday, April 4). Sincerely hoping that this review will guide you in your purchase. Feel free to click on comments ""helpful - ye"&amp;"s"" if that is the case;) Thanks")</f>
        <v>The lowest prices of our printer ink cartridges cost so expensive that after 2 or 3 purchases it already exceeds the price of the printer itself is mind boggling. Anyway I bought on Amazon regularly offering each time the best price ie € 25.99 with free shipping and they always work perfectly and immediately on my HP Officejet 5740 (bought € 70 ago 1 year and half-either way). In moderate use these ink cartridges take about 3 or 4 months before being empty. I take off a star for the disproportionate and unjustified price and for the fact that the delivery was a bit long (commissioned Thursday, March 29th at 8am and received Wednesday, April 4). Sincerely hoping that this review will guide you in your purchase. Feel free to click on comments "helpful - yes" if that is the case;) Thanks</v>
      </c>
    </row>
    <row r="18257">
      <c r="A18257" s="1">
        <v>4.0</v>
      </c>
      <c r="B18257" s="1" t="s">
        <v>17955</v>
      </c>
      <c r="C18257" t="str">
        <f>IFERROR(__xludf.DUMMYFUNCTION("GOOGLETRANSLATE(B18257, ""fr"", ""en"")"),"Top Just received, installed and appreciate my neck. My neck is finally right while I'm on my laptop. The slope does not stop typing. To see in the time of the side cuffs how will the felt. I used the room to keep the power cable that is no longer under t"&amp;"ension and thus is more preserved. We chose its inclination among the many proposed. For now delighted with the product that meets my expectations. I do not put 5 stars because it takes time to see how will ""age"" product.")</f>
        <v>Top Just received, installed and appreciate my neck. My neck is finally right while I'm on my laptop. The slope does not stop typing. To see in the time of the side cuffs how will the felt. I used the room to keep the power cable that is no longer under tension and thus is more preserved. We chose its inclination among the many proposed. For now delighted with the product that meets my expectations. I do not put 5 stars because it takes time to see how will "age" product.</v>
      </c>
    </row>
    <row r="18258">
      <c r="A18258" s="1">
        <v>4.0</v>
      </c>
      <c r="B18258" s="1" t="s">
        <v>17956</v>
      </c>
      <c r="C18258" t="str">
        <f>IFERROR(__xludf.DUMMYFUNCTION("GOOGLETRANSLATE(B18258, ""fr"", ""en"")"),"second purchased without any concern resistant material seen the use that I do, no breakage or damage despite the physical and chemical treatments I regularly inflicts.")</f>
        <v>second purchased without any concern resistant material seen the use that I do, no breakage or damage despite the physical and chemical treatments I regularly inflicts.</v>
      </c>
    </row>
    <row r="18259">
      <c r="A18259" s="1">
        <v>4.0</v>
      </c>
      <c r="B18259" s="1" t="s">
        <v>17957</v>
      </c>
      <c r="C18259" t="str">
        <f>IFERROR(__xludf.DUMMYFUNCTION("GOOGLETRANSLATE(B18259, ""fr"", ""en"")"),"PRACTICE BAG THIS BAG IS BEAUTY AND MAY CONTAIN NOT BAD THINGS")</f>
        <v>PRACTICE BAG THIS BAG IS BEAUTY AND MAY CONTAIN NOT BAD THINGS</v>
      </c>
    </row>
    <row r="18260">
      <c r="A18260" s="1">
        <v>4.0</v>
      </c>
      <c r="B18260" s="1" t="s">
        <v>17958</v>
      </c>
      <c r="C18260" t="str">
        <f>IFERROR(__xludf.DUMMYFUNCTION("GOOGLETRANSLATE(B18260, ""fr"", ""en"")"),"Good result Dries skin")</f>
        <v>Good result Dries skin</v>
      </c>
    </row>
    <row r="18261">
      <c r="A18261" s="1">
        <v>5.0</v>
      </c>
      <c r="B18261" s="1" t="s">
        <v>17959</v>
      </c>
      <c r="C18261" t="str">
        <f>IFERROR(__xludf.DUMMYFUNCTION("GOOGLETRANSLATE(B18261, ""fr"", ""en"")"),"For a good start! An almost essential kit ... Quality that is well established for this range of Philips Avent. A box so ideal with anti colic system that is fairly effective. It is strong, lightweight and quite durable. The price is reasonable. Faithful "&amp;"to the brand for several years, I was able to try others, good qualities also, but Advent keeps my preference. Recommend without problem.")</f>
        <v>For a good start! An almost essential kit ... Quality that is well established for this range of Philips Avent. A box so ideal with anti colic system that is fairly effective. It is strong, lightweight and quite durable. The price is reasonable. Faithful to the brand for several years, I was able to try others, good qualities also, but Advent keeps my preference. Recommend without problem.</v>
      </c>
    </row>
    <row r="18262">
      <c r="A18262" s="1">
        <v>5.0</v>
      </c>
      <c r="B18262" s="1" t="s">
        <v>17960</v>
      </c>
      <c r="C18262" t="str">
        <f>IFERROR(__xludf.DUMMYFUNCTION("GOOGLETRANSLATE(B18262, ""fr"", ""en"")"),"Perfect satisfied, very happy with the quality")</f>
        <v>Perfect satisfied, very happy with the quality</v>
      </c>
    </row>
    <row r="18263">
      <c r="A18263" s="1">
        <v>5.0</v>
      </c>
      <c r="B18263" s="1" t="s">
        <v>17961</v>
      </c>
      <c r="C18263" t="str">
        <f>IFERROR(__xludf.DUMMYFUNCTION("GOOGLETRANSLATE(B18263, ""fr"", ""en"")"),"Headphone quality These headphones are very comfortable to wear in the ear. Moreover, they allow a reduction in the incredible noise outside because once set can not hear anything more, which is very satisfying! Also, the sound quality is very good. it is"&amp;" a very convenient product to be not interfere during physical activity because it does not call and hold perfectly in the ear. Finally, the box is very aesthetic which adds a plus.")</f>
        <v>Headphone quality These headphones are very comfortable to wear in the ear. Moreover, they allow a reduction in the incredible noise outside because once set can not hear anything more, which is very satisfying! Also, the sound quality is very good. it is a very convenient product to be not interfere during physical activity because it does not call and hold perfectly in the ear. Finally, the box is very aesthetic which adds a plus.</v>
      </c>
    </row>
    <row r="18264">
      <c r="A18264" s="1">
        <v>5.0</v>
      </c>
      <c r="B18264" s="1" t="s">
        <v>17962</v>
      </c>
      <c r="C18264" t="str">
        <f>IFERROR(__xludf.DUMMYFUNCTION("GOOGLETRANSLATE(B18264, ""fr"", ""en"")"),"Complies Complies with description. Commissioned for a maniac maintenance shoes. Excellent product. The order arrived very quickly, ahead of schedule. I recommend.")</f>
        <v>Complies Complies with description. Commissioned for a maniac maintenance shoes. Excellent product. The order arrived very quickly, ahead of schedule. I recommend.</v>
      </c>
    </row>
    <row r="18265">
      <c r="A18265" s="1">
        <v>5.0</v>
      </c>
      <c r="B18265" s="1" t="s">
        <v>17963</v>
      </c>
      <c r="C18265" t="str">
        <f>IFERROR(__xludf.DUMMYFUNCTION("GOOGLETRANSLATE(B18265, ""fr"", ""en"")"),"Speed ​​efficiency cleaning car seats, shoes nubbuck, purse, belt")</f>
        <v>Speed ​​efficiency cleaning car seats, shoes nubbuck, purse, belt</v>
      </c>
    </row>
    <row r="18266">
      <c r="A18266" s="1">
        <v>5.0</v>
      </c>
      <c r="B18266" s="1" t="s">
        <v>17964</v>
      </c>
      <c r="C18266" t="str">
        <f>IFERROR(__xludf.DUMMYFUNCTION("GOOGLETRANSLATE(B18266, ""fr"", ""en"")"),"I love I use for my outdoor jogging or my sport sessions in room and super moves do not remain ensconced on my ears (unlike my previous of another brand) I love the color that perfectly matches my Samsung TPH. Easy to set sail. Using wireless or wired if "&amp;"necessary. The carrying case is rigid and protection to protect well.")</f>
        <v>I love I use for my outdoor jogging or my sport sessions in room and super moves do not remain ensconced on my ears (unlike my previous of another brand) I love the color that perfectly matches my Samsung TPH. Easy to set sail. Using wireless or wired if necessary. The carrying case is rigid and protection to protect well.</v>
      </c>
    </row>
    <row r="18267">
      <c r="A18267" s="1">
        <v>5.0</v>
      </c>
      <c r="B18267" s="1" t="s">
        <v>17965</v>
      </c>
      <c r="C18267" t="str">
        <f>IFERROR(__xludf.DUMMYFUNCTION("GOOGLETRANSLATE(B18267, ""fr"", ""en"")"),"Apple always perfect for me Nothing to say, this is a genuine product appeal, delivered in a flash")</f>
        <v>Apple always perfect for me Nothing to say, this is a genuine product appeal, delivered in a flash</v>
      </c>
    </row>
    <row r="18268">
      <c r="A18268" s="1">
        <v>5.0</v>
      </c>
      <c r="B18268" s="1" t="s">
        <v>17966</v>
      </c>
      <c r="C18268" t="str">
        <f>IFERROR(__xludf.DUMMYFUNCTION("GOOGLETRANSLATE(B18268, ""fr"", ""en"")"),"Top these bottles are among the best in the market and not without reason: beautiful plastic nipple great, large diameter not put powder everywhere ... to anti colic part ... hard to say for now ... but no problems now. Really beautiful quality justifies "&amp;"the higher price to acquire")</f>
        <v>Top these bottles are among the best in the market and not without reason: beautiful plastic nipple great, large diameter not put powder everywhere ... to anti colic part ... hard to say for now ... but no problems now. Really beautiful quality justifies the higher price to acquire</v>
      </c>
    </row>
    <row r="18269">
      <c r="A18269" s="1">
        <v>5.0</v>
      </c>
      <c r="B18269" s="1" t="s">
        <v>17967</v>
      </c>
      <c r="C18269" t="str">
        <f>IFERROR(__xludf.DUMMYFUNCTION("GOOGLETRANSLATE(B18269, ""fr"", ""en"")"),"The stickers Good product to use from 3 years because the stickers are small slips petites.les. My son love them! Good quality / price, there is quantity. It will last a moment.je recommends.")</f>
        <v>The stickers Good product to use from 3 years because the stickers are small slips petites.les. My son love them! Good quality / price, there is quantity. It will last a moment.je recommends.</v>
      </c>
    </row>
    <row r="18270">
      <c r="A18270" s="1">
        <v>5.0</v>
      </c>
      <c r="B18270" s="1" t="s">
        <v>17968</v>
      </c>
      <c r="C18270" t="str">
        <f>IFERROR(__xludf.DUMMYFUNCTION("GOOGLETRANSLATE(B18270, ""fr"", ""en"")"),"Super Good product")</f>
        <v>Super Good product</v>
      </c>
    </row>
    <row r="18271">
      <c r="A18271" s="1">
        <v>5.0</v>
      </c>
      <c r="B18271" s="1" t="s">
        <v>17969</v>
      </c>
      <c r="C18271" t="str">
        <f>IFERROR(__xludf.DUMMYFUNCTION("GOOGLETRANSLATE(B18271, ""fr"", ""en"")"),"Dress year 50 Magnifique🤩 size correctly I just regret not having ordered a petticoat for the larger effect")</f>
        <v>Dress year 50 Magnifique🤩 size correctly I just regret not having ordered a petticoat for the larger effect</v>
      </c>
    </row>
    <row r="18272">
      <c r="A18272" s="1">
        <v>5.0</v>
      </c>
      <c r="B18272" s="1" t="s">
        <v>17970</v>
      </c>
      <c r="C18272" t="str">
        <f>IFERROR(__xludf.DUMMYFUNCTION("GOOGLETRANSLATE(B18272, ""fr"", ""en"")"),"Practice well relaxes tired eyes.")</f>
        <v>Practice well relaxes tired eyes.</v>
      </c>
    </row>
    <row r="18273">
      <c r="A18273" s="1">
        <v>5.0</v>
      </c>
      <c r="B18273" s="1" t="s">
        <v>17971</v>
      </c>
      <c r="C18273" t="str">
        <f>IFERROR(__xludf.DUMMYFUNCTION("GOOGLETRANSLATE(B18273, ""fr"", ""en"")"),"TOP !!! Good flow / used from birth. Light bottle, convenient to catch baby. Large opening: convenient for parents Glass Advantage (cleaning nickel / not aged) but not to drop ...")</f>
        <v>TOP !!! Good flow / used from birth. Light bottle, convenient to catch baby. Large opening: convenient for parents Glass Advantage (cleaning nickel / not aged) but not to drop ...</v>
      </c>
    </row>
    <row r="18274">
      <c r="A18274" s="1">
        <v>5.0</v>
      </c>
      <c r="B18274" s="1" t="s">
        <v>17972</v>
      </c>
      <c r="C18274" t="str">
        <f>IFERROR(__xludf.DUMMYFUNCTION("GOOGLETRANSLATE(B18274, ""fr"", ""en"")"),"Top My little 20 month old son loves")</f>
        <v>Top My little 20 month old son loves</v>
      </c>
    </row>
    <row r="18275">
      <c r="A18275" s="1">
        <v>5.0</v>
      </c>
      <c r="B18275" s="1" t="s">
        <v>17973</v>
      </c>
      <c r="C18275" t="str">
        <f>IFERROR(__xludf.DUMMYFUNCTION("GOOGLETRANSLATE(B18275, ""fr"", ""en"")"),"Comfort, convenience and good sound. The sound is excellent, the headphones are comfortable and pressure, very useful as it is cold for not having to remove gloves. The battery is lightweight, small and lasts long. The headphones switch on and easily conn"&amp;"ect to the phone. Very easy to take in hand. I recommend.")</f>
        <v>Comfort, convenience and good sound. The sound is excellent, the headphones are comfortable and pressure, very useful as it is cold for not having to remove gloves. The battery is lightweight, small and lasts long. The headphones switch on and easily connect to the phone. Very easy to take in hand. I recommend.</v>
      </c>
    </row>
    <row r="18276">
      <c r="A18276" s="1">
        <v>2.0</v>
      </c>
      <c r="B18276" s="1" t="s">
        <v>17974</v>
      </c>
      <c r="C18276" t="str">
        <f>IFERROR(__xludf.DUMMYFUNCTION("GOOGLETRANSLATE(B18276, ""fr"", ""en"")"),"Bad They are not comfortable, too large and too small. So they are not used for recipients, but to me: I put them with my slippers to get the mail ... It's expensive to use")</f>
        <v>Bad They are not comfortable, too large and too small. So they are not used for recipients, but to me: I put them with my slippers to get the mail ... It's expensive to use</v>
      </c>
    </row>
    <row r="18277">
      <c r="A18277" s="1">
        <v>1.0</v>
      </c>
      <c r="B18277" s="1" t="s">
        <v>17975</v>
      </c>
      <c r="C18277" t="str">
        <f>IFERROR(__xludf.DUMMYFUNCTION("GOOGLETRANSLATE(B18277, ""fr"", ""en"")"),"Size improper size ordered is not the livery. You will receive the size below. 2 pairs ordered the same problem. So for a true 42 EU order to the minimum 44/45")</f>
        <v>Size improper size ordered is not the livery. You will receive the size below. 2 pairs ordered the same problem. So for a true 42 EU order to the minimum 44/45</v>
      </c>
    </row>
    <row r="18278">
      <c r="A18278" s="1">
        <v>1.0</v>
      </c>
      <c r="B18278" s="1" t="s">
        <v>17976</v>
      </c>
      <c r="C18278" t="str">
        <f>IFERROR(__xludf.DUMMYFUNCTION("GOOGLETRANSLATE(B18278, ""fr"", ""en"")"),"Broken broke down after 3 months of use")</f>
        <v>Broken broke down after 3 months of use</v>
      </c>
    </row>
    <row r="18279">
      <c r="A18279" s="1">
        <v>3.0</v>
      </c>
      <c r="B18279" s="1" t="s">
        <v>17977</v>
      </c>
      <c r="C18279" t="str">
        <f>IFERROR(__xludf.DUMMYFUNCTION("GOOGLETRANSLATE(B18279, ""fr"", ""en"")"),"Correct price for the Purchased for my vacation, in order to combine walking and swimming in coves with rocky. A little heavy and it feels pretty stones. They carve properly. I put on the 36 for all types of shoes, I have taken 36 and it is perfect with o"&amp;"r without the base. Received sooner than expected!")</f>
        <v>Correct price for the Purchased for my vacation, in order to combine walking and swimming in coves with rocky. A little heavy and it feels pretty stones. They carve properly. I put on the 36 for all types of shoes, I have taken 36 and it is perfect with or without the base. Received sooner than expected!</v>
      </c>
    </row>
    <row r="18280">
      <c r="A18280" s="1">
        <v>3.0</v>
      </c>
      <c r="B18280" s="1" t="s">
        <v>17978</v>
      </c>
      <c r="C18280" t="str">
        <f>IFERROR(__xludf.DUMMYFUNCTION("GOOGLETRANSLATE(B18280, ""fr"", ""en"")"),"Do not hold well Branches are not stable at all, it is really painful.")</f>
        <v>Do not hold well Branches are not stable at all, it is really painful.</v>
      </c>
    </row>
    <row r="18281">
      <c r="A18281" s="1">
        <v>4.0</v>
      </c>
      <c r="B18281" s="1" t="s">
        <v>17979</v>
      </c>
      <c r="C18281" t="str">
        <f>IFERROR(__xludf.DUMMYFUNCTION("GOOGLETRANSLATE(B18281, ""fr"", ""en"")"),"Very nice shoe pretty shoe")</f>
        <v>Very nice shoe pretty shoe</v>
      </c>
    </row>
    <row r="18282">
      <c r="A18282" s="1">
        <v>4.0</v>
      </c>
      <c r="B18282" s="1" t="s">
        <v>17980</v>
      </c>
      <c r="C18282" t="str">
        <f>IFERROR(__xludf.DUMMYFUNCTION("GOOGLETRANSLATE(B18282, ""fr"", ""en"")"),"Although well but my button at the back has a small manufacturing defect, when using the 1 position lock button is very small and sometimes goes by simply touching the kettle")</f>
        <v>Although well but my button at the back has a small manufacturing defect, when using the 1 position lock button is very small and sometimes goes by simply touching the kettle</v>
      </c>
    </row>
    <row r="18283">
      <c r="A18283" s="1">
        <v>4.0</v>
      </c>
      <c r="B18283" s="1" t="s">
        <v>17981</v>
      </c>
      <c r="C18283" t="str">
        <f>IFERROR(__xludf.DUMMYFUNCTION("GOOGLETRANSLATE(B18283, ""fr"", ""en"")"),"At that price, it's a bargain. I have this watch for almost a year. It is aesthetics and works well ... for now. At this price, it's a bargain!")</f>
        <v>At that price, it's a bargain. I have this watch for almost a year. It is aesthetics and works well ... for now. At this price, it's a bargain!</v>
      </c>
    </row>
    <row r="18284">
      <c r="A18284" s="1">
        <v>4.0</v>
      </c>
      <c r="B18284" s="1" t="s">
        <v>17982</v>
      </c>
      <c r="C18284" t="str">
        <f>IFERROR(__xludf.DUMMYFUNCTION("GOOGLETRANSLATE(B18284, ""fr"", ""en"")"),"Good product to animate the evenings of the blue it works very well laugh garentie ....")</f>
        <v>Good product to animate the evenings of the blue it works very well laugh garentie ....</v>
      </c>
    </row>
    <row r="18285">
      <c r="A18285" s="1">
        <v>5.0</v>
      </c>
      <c r="B18285" s="1" t="s">
        <v>17983</v>
      </c>
      <c r="C18285" t="str">
        <f>IFERROR(__xludf.DUMMYFUNCTION("GOOGLETRANSLATE(B18285, ""fr"", ""en"")"),"Good helmet The only downside is that the language is in English otherwise this headset is perfect")</f>
        <v>Good helmet The only downside is that the language is in English otherwise this headset is perfect</v>
      </c>
    </row>
    <row r="18286">
      <c r="A18286" s="1">
        <v>5.0</v>
      </c>
      <c r="B18286" s="1" t="s">
        <v>17984</v>
      </c>
      <c r="C18286" t="str">
        <f>IFERROR(__xludf.DUMMYFUNCTION("GOOGLETRANSLATE(B18286, ""fr"", ""en"")"),"Done With the work that's on it's been less badly. For a breastfeeding mother, ca relieves. Do not forget to apply also to the special cream for breastfeeding well protect the skin.")</f>
        <v>Done With the work that's on it's been less badly. For a breastfeeding mother, ca relieves. Do not forget to apply also to the special cream for breastfeeding well protect the skin.</v>
      </c>
    </row>
    <row r="18287">
      <c r="A18287" s="1">
        <v>5.0</v>
      </c>
      <c r="B18287" s="1" t="s">
        <v>17985</v>
      </c>
      <c r="C18287" t="str">
        <f>IFERROR(__xludf.DUMMYFUNCTION("GOOGLETRANSLATE(B18287, ""fr"", ""en"")"),"I recommend I recommend to perfect as I want to do 👍 arrive ahead of schedule")</f>
        <v>I recommend I recommend to perfect as I want to do 👍 arrive ahead of schedule</v>
      </c>
    </row>
    <row r="18288">
      <c r="A18288" s="1">
        <v>5.0</v>
      </c>
      <c r="B18288" s="1" t="s">
        <v>17986</v>
      </c>
      <c r="C18288" t="str">
        <f>IFERROR(__xludf.DUMMYFUNCTION("GOOGLETRANSLATE(B18288, ""fr"", ""en"")"),"A second skin comfortable Great for dancing flexible material that does not")</f>
        <v>A second skin comfortable Great for dancing flexible material that does not</v>
      </c>
    </row>
    <row r="18289">
      <c r="A18289" s="1">
        <v>5.0</v>
      </c>
      <c r="B18289" s="1" t="s">
        <v>17987</v>
      </c>
      <c r="C18289" t="str">
        <f>IFERROR(__xludf.DUMMYFUNCTION("GOOGLETRANSLATE(B18289, ""fr"", ""en"")"),"Bottle conform to the description, we already had the smallest version of the medela bottles that our baby was accustomed. Nothing negative to say. Complies description")</f>
        <v>Bottle conform to the description, we already had the smallest version of the medela bottles that our baby was accustomed. Nothing negative to say. Complies description</v>
      </c>
    </row>
    <row r="18290">
      <c r="A18290" s="1">
        <v>5.0</v>
      </c>
      <c r="B18290" s="1" t="s">
        <v>17988</v>
      </c>
      <c r="C18290" t="str">
        <f>IFERROR(__xludf.DUMMYFUNCTION("GOOGLETRANSLATE(B18290, ""fr"", ""en"")"),"Super comfortable Super quality I're door for some months not every day very sure lol but very good")</f>
        <v>Super comfortable Super quality I're door for some months not every day very sure lol but very good</v>
      </c>
    </row>
    <row r="18291">
      <c r="A18291" s="1">
        <v>5.0</v>
      </c>
      <c r="B18291" s="1" t="s">
        <v>17989</v>
      </c>
      <c r="C18291" t="str">
        <f>IFERROR(__xludf.DUMMYFUNCTION("GOOGLETRANSLATE(B18291, ""fr"", ""en"")"),"Converse impeccable entirely satisfactory Purchase and especially at an excellent price, why I have also bought two pairs. Article recommended.")</f>
        <v>Converse impeccable entirely satisfactory Purchase and especially at an excellent price, why I have also bought two pairs. Article recommended.</v>
      </c>
    </row>
    <row r="18292">
      <c r="A18292" s="1">
        <v>5.0</v>
      </c>
      <c r="B18292" s="1" t="s">
        <v>17990</v>
      </c>
      <c r="C18292" t="str">
        <f>IFERROR(__xludf.DUMMYFUNCTION("GOOGLETRANSLATE(B18292, ""fr"", ""en"")"),"casio watch beautiful shows in hand she is very beautiful and easy to use")</f>
        <v>casio watch beautiful shows in hand she is very beautiful and easy to use</v>
      </c>
    </row>
    <row r="18293">
      <c r="A18293" s="1">
        <v>5.0</v>
      </c>
      <c r="B18293" s="1" t="s">
        <v>17991</v>
      </c>
      <c r="C18293" t="str">
        <f>IFERROR(__xludf.DUMMYFUNCTION("GOOGLETRANSLATE(B18293, ""fr"", ""en"")"),"🍼 TOP 🍼 🍼 ago few years, this brand was my first choice for the birth of my daughter, because ""at the time"" they were the only BPA-free plastic! and above all, the only ones not to give her colic. 🍼 Then, glass and much more ecological always their "&amp;"great nipples! I do not see how putting less than 5 stars ... 🍼 Go to quibble, the half bottle brush is not my favorite form ...")</f>
        <v>🍼 TOP 🍼 🍼 ago few years, this brand was my first choice for the birth of my daughter, because "at the time" they were the only BPA-free plastic! and above all, the only ones not to give her colic. 🍼 Then, glass and much more ecological always their great nipples! I do not see how putting less than 5 stars ... 🍼 Go to quibble, the half bottle brush is not my favorite form ...</v>
      </c>
    </row>
    <row r="18294">
      <c r="A18294" s="1">
        <v>5.0</v>
      </c>
      <c r="B18294" s="1" t="s">
        <v>17992</v>
      </c>
      <c r="C18294" t="str">
        <f>IFERROR(__xludf.DUMMYFUNCTION("GOOGLETRANSLATE(B18294, ""fr"", ""en"")"),"Good product Excellent")</f>
        <v>Good product Excellent</v>
      </c>
    </row>
    <row r="18295">
      <c r="A18295" s="1">
        <v>5.0</v>
      </c>
      <c r="B18295" s="1" t="s">
        <v>17993</v>
      </c>
      <c r="C18295" t="str">
        <f>IFERROR(__xludf.DUMMYFUNCTION("GOOGLETRANSLATE(B18295, ""fr"", ""en"")"),"Comfort and amortization The purchased product was used for the practice of running in the forest and on the road. No particular comments to make on its use. It meets the need properly cushions the process, it is very light and comfortable and fits perfec"&amp;"tly to my foot.")</f>
        <v>Comfort and amortization The purchased product was used for the practice of running in the forest and on the road. No particular comments to make on its use. It meets the need properly cushions the process, it is very light and comfortable and fits perfectly to my foot.</v>
      </c>
    </row>
    <row r="18296">
      <c r="A18296" s="1">
        <v>5.0</v>
      </c>
      <c r="B18296" s="1" t="s">
        <v>17994</v>
      </c>
      <c r="C18296" t="str">
        <f>IFERROR(__xludf.DUMMYFUNCTION("GOOGLETRANSLATE(B18296, ""fr"", ""en"")"),"Too happy Trend, works well and served me in several races and all my training. I 1X charge / week. Customizable dials are Cool")</f>
        <v>Too happy Trend, works well and served me in several races and all my training. I 1X charge / week. Customizable dials are Cool</v>
      </c>
    </row>
    <row r="18297">
      <c r="A18297" s="1">
        <v>5.0</v>
      </c>
      <c r="B18297" s="1" t="s">
        <v>17995</v>
      </c>
      <c r="C18297" t="str">
        <f>IFERROR(__xludf.DUMMYFUNCTION("GOOGLETRANSLATE(B18297, ""fr"", ""en"")"),"Perfect product according to need: it is within all microwave and sterilizes 4 bottles of 240ml doodies simultaneously.")</f>
        <v>Perfect product according to need: it is within all microwave and sterilizes 4 bottles of 240ml doodies simultaneously.</v>
      </c>
    </row>
    <row r="18298">
      <c r="A18298" s="1">
        <v>5.0</v>
      </c>
      <c r="B18298" s="1" t="s">
        <v>17996</v>
      </c>
      <c r="C18298" t="str">
        <f>IFERROR(__xludf.DUMMYFUNCTION("GOOGLETRANSLATE(B18298, ""fr"", ""en"")"),"Cheap but éfficace A radio-controlled watch? there is nothing like to have the exact time. She's beautiful, lightweight, with class real cheap. This is a watch that over its features, fits in my opinion in the portion of the ""high end"". I do not regret "&amp;"having bought. Try there !!!")</f>
        <v>Cheap but éfficace A radio-controlled watch? there is nothing like to have the exact time. She's beautiful, lightweight, with class real cheap. This is a watch that over its features, fits in my opinion in the portion of the "high end". I do not regret having bought. Try there !!!</v>
      </c>
    </row>
    <row r="18299">
      <c r="A18299" s="1">
        <v>5.0</v>
      </c>
      <c r="B18299" s="1" t="s">
        <v>17997</v>
      </c>
      <c r="C18299" t="str">
        <f>IFERROR(__xludf.DUMMYFUNCTION("GOOGLETRANSLATE(B18299, ""fr"", ""en"")"),"Very good product very well.")</f>
        <v>Very good product very well.</v>
      </c>
    </row>
    <row r="18300">
      <c r="A18300" s="1">
        <v>2.0</v>
      </c>
      <c r="B18300" s="1" t="s">
        <v>17998</v>
      </c>
      <c r="C18300" t="str">
        <f>IFERROR(__xludf.DUMMYFUNCTION("GOOGLETRANSLATE(B18300, ""fr"", ""en"")"),"Disappointed I used this product for three months all worked well until the day he stopped fontionner no reason ... very disappointed especially coming from a known trusted brand")</f>
        <v>Disappointed I used this product for three months all worked well until the day he stopped fontionner no reason ... very disappointed especially coming from a known trusted brand</v>
      </c>
    </row>
    <row r="18301">
      <c r="A18301" s="1">
        <v>1.0</v>
      </c>
      <c r="B18301" s="1" t="s">
        <v>17999</v>
      </c>
      <c r="C18301" t="str">
        <f>IFERROR(__xludf.DUMMYFUNCTION("GOOGLETRANSLATE(B18301, ""fr"", ""en"")"),"Not good ! The wind breeze diameter is too small !! It's really stupid !! Apart throw I do not see any other use *")</f>
        <v>Not good ! The wind breeze diameter is too small !! It's really stupid !! Apart throw I do not see any other use *</v>
      </c>
    </row>
    <row r="18302">
      <c r="A18302" s="1">
        <v>1.0</v>
      </c>
      <c r="B18302" s="1" t="s">
        <v>18000</v>
      </c>
      <c r="C18302" t="str">
        <f>IFERROR(__xludf.DUMMYFUNCTION("GOOGLETRANSLATE(B18302, ""fr"", ""en"")"),"Poor quality, do not buy! Take the new model &lt;div id = ""video-block-RGR04UPYUIW9W"" class = ""a-section-spacing-small in-spacing-top mini video-block""&gt; &lt;/ div&gt; &lt;input type = ""hidden"" name = """" value = ""https://images-eu.ssl-images-amazon.com/images"&amp;"/I/B1cje6XHFyS.mp4"" class = ""video-url""&gt; &lt;input type = ""hidden"" name = """" value = ""https://images-eu.ssl-images-amazon.com/images/I/71Kb-+7weLS.png"" class = ""video-slate-img-url""&gt; &amp; nbsp; 8 months later, not walking more! Buggy alone, forced to"&amp;" remove the batteries. This is a video showing the situation well, although he has decided not to fully planted until the withdrawal of batteries just when I start filming.")</f>
        <v>Poor quality, do not buy! Take the new model &lt;div id = "video-block-RGR04UPYUIW9W" class = "a-section-spacing-small in-spacing-top mini video-block"&gt; &lt;/ div&gt; &lt;input type = "hidden" name = "" value = "https://images-eu.ssl-images-amazon.com/images/I/B1cje6XHFyS.mp4" class = "video-url"&gt; &lt;input type = "hidden" name = "" value = "https://images-eu.ssl-images-amazon.com/images/I/71Kb-+7weLS.png" class = "video-slate-img-url"&gt; &amp; nbsp; 8 months later, not walking more! Buggy alone, forced to remove the batteries. This is a video showing the situation well, although he has decided not to fully planted until the withdrawal of batteries just when I start filming.</v>
      </c>
    </row>
    <row r="18303">
      <c r="A18303" s="1">
        <v>3.0</v>
      </c>
      <c r="B18303" s="1" t="s">
        <v>18001</v>
      </c>
      <c r="C18303" t="str">
        <f>IFERROR(__xludf.DUMMYFUNCTION("GOOGLETRANSLATE(B18303, ""fr"", ""en"")"),"Too expensive but good quality products too expensive for what it is. The cost of manufacturing and transportation must be at least 10 times less than the selling price.")</f>
        <v>Too expensive but good quality products too expensive for what it is. The cost of manufacturing and transportation must be at least 10 times less than the selling price.</v>
      </c>
    </row>
    <row r="18304">
      <c r="A18304" s="1">
        <v>3.0</v>
      </c>
      <c r="B18304" s="1" t="s">
        <v>18002</v>
      </c>
      <c r="C18304" t="str">
        <f>IFERROR(__xludf.DUMMYFUNCTION("GOOGLETRANSLATE(B18304, ""fr"", ""en"")"),"Blah blah When I buy seemed perfect and all worked LEDs correctement.Sauf I buy the 37 (as is the size of my daughter) but they were too small for her. But little by little there was of beug, the LEDs of the shoe did not want to turn on or turn off, the c"&amp;"olors were beginning to blend (normally when we light the first color shoe that appears is the red but shoe there were some who were lEDs red lEDs and some that were green) and also some lEDs no longer lit (though the shoe was just being loaded) such a co"&amp;"lor lEDs but all worked on two lEDs next three were not working. And also charge a shoe (while the other is loading very easily) it was necessary apppuyer and put the charger in a certain position. Let's say I do not recommend this ttrop")</f>
        <v>Blah blah When I buy seemed perfect and all worked LEDs correctement.Sauf I buy the 37 (as is the size of my daughter) but they were too small for her. But little by little there was of beug, the LEDs of the shoe did not want to turn on or turn off, the colors were beginning to blend (normally when we light the first color shoe that appears is the red but shoe there were some who were lEDs red lEDs and some that were green) and also some lEDs no longer lit (though the shoe was just being loaded) such a color lEDs but all worked on two lEDs next three were not working. And also charge a shoe (while the other is loading very easily) it was necessary apppuyer and put the charger in a certain position. Let's say I do not recommend this ttrop</v>
      </c>
    </row>
    <row r="18305">
      <c r="A18305" s="1">
        <v>4.0</v>
      </c>
      <c r="B18305" s="1" t="s">
        <v>18003</v>
      </c>
      <c r="C18305" t="str">
        <f>IFERROR(__xludf.DUMMYFUNCTION("GOOGLETRANSLATE(B18305, ""fr"", ""en"")"),"Cleaning Item very well")</f>
        <v>Cleaning Item very well</v>
      </c>
    </row>
    <row r="18306">
      <c r="A18306" s="1">
        <v>4.0</v>
      </c>
      <c r="B18306" s="1" t="s">
        <v>18004</v>
      </c>
      <c r="C18306" t="str">
        <f>IFERROR(__xludf.DUMMYFUNCTION("GOOGLETRANSLATE(B18306, ""fr"", ""en"")"),"Excellent basketball second pair for my part, excellent quality, not hurting the feet, very good ventilation and protection against rain I take off 1 star for the price ^")</f>
        <v>Excellent basketball second pair for my part, excellent quality, not hurting the feet, very good ventilation and protection against rain I take off 1 star for the price ^</v>
      </c>
    </row>
    <row r="18307">
      <c r="A18307" s="1">
        <v>4.0</v>
      </c>
      <c r="B18307" s="1" t="s">
        <v>18005</v>
      </c>
      <c r="C18307" t="str">
        <f>IFERROR(__xludf.DUMMYFUNCTION("GOOGLETRANSLATE(B18307, ""fr"", ""en"")"),"Nice! Easy to use but requires all the same a nearby electrical outlet. To feel the heat must lean on sth. Nice!")</f>
        <v>Nice! Easy to use but requires all the same a nearby electrical outlet. To feel the heat must lean on sth. Nice!</v>
      </c>
    </row>
    <row r="18308">
      <c r="A18308" s="1">
        <v>4.0</v>
      </c>
      <c r="B18308" s="1" t="s">
        <v>18006</v>
      </c>
      <c r="C18308" t="str">
        <f>IFERROR(__xludf.DUMMYFUNCTION("GOOGLETRANSLATE(B18308, ""fr"", ""en"")"),"the wider fit and appropriate to kick hard all day, shoes easy to put on and to close (scrach)")</f>
        <v>the wider fit and appropriate to kick hard all day, shoes easy to put on and to close (scrach)</v>
      </c>
    </row>
    <row r="18309">
      <c r="A18309" s="1">
        <v>5.0</v>
      </c>
      <c r="B18309" s="1" t="s">
        <v>18007</v>
      </c>
      <c r="C18309" t="str">
        <f>IFERROR(__xludf.DUMMYFUNCTION("GOOGLETRANSLATE(B18309, ""fr"", ""en"")"),"👍🏻 Correspondent")</f>
        <v>👍🏻 Correspondent</v>
      </c>
    </row>
    <row r="18310">
      <c r="A18310" s="1">
        <v>5.0</v>
      </c>
      <c r="B18310" s="1" t="s">
        <v>18008</v>
      </c>
      <c r="C18310" t="str">
        <f>IFERROR(__xludf.DUMMYFUNCTION("GOOGLETRANSLATE(B18310, ""fr"", ""en"")"),"Excellent value for a quality product I bought these mics for my church, there are already several microphones of reputed brand, but their was needed in addition to the choir, it was installed on the mixer with the other microphones of the device, there i"&amp;"s any interference with other microphone device that works all together. The pickups are very good, all-metal packaged with mosses and their support for making them stand up. It has a range of a good half day, with 2 batteries needed to operate each picku"&amp;"p can adjust the sound of each microphone independently. They can be used in a large room or outdoors at a maximum distance of 60 m. It is a good clear sound especially for this price it works just as well as other micro great brand.")</f>
        <v>Excellent value for a quality product I bought these mics for my church, there are already several microphones of reputed brand, but their was needed in addition to the choir, it was installed on the mixer with the other microphones of the device, there is any interference with other microphone device that works all together. The pickups are very good, all-metal packaged with mosses and their support for making them stand up. It has a range of a good half day, with 2 batteries needed to operate each pickup can adjust the sound of each microphone independently. They can be used in a large room or outdoors at a maximum distance of 60 m. It is a good clear sound especially for this price it works just as well as other micro great brand.</v>
      </c>
    </row>
    <row r="18311">
      <c r="A18311" s="1">
        <v>5.0</v>
      </c>
      <c r="B18311" s="1" t="s">
        <v>18009</v>
      </c>
      <c r="C18311" t="str">
        <f>IFERROR(__xludf.DUMMYFUNCTION("GOOGLETRANSLATE(B18311, ""fr"", ""en"")"),"I can no longer critical m without! The laundry smells good. The detaching side is not particularly obvious to detach the baby stool on clothing. But it did the job for the rest.")</f>
        <v>I can no longer critical m without! The laundry smells good. The detaching side is not particularly obvious to detach the baby stool on clothing. But it did the job for the rest.</v>
      </c>
    </row>
    <row r="18312">
      <c r="A18312" s="1">
        <v>5.0</v>
      </c>
      <c r="B18312" s="1" t="s">
        <v>18010</v>
      </c>
      <c r="C18312" t="str">
        <f>IFERROR(__xludf.DUMMYFUNCTION("GOOGLETRANSLATE(B18312, ""fr"", ""en"")"),"resistant bags are suitable for a 40L bin brabantia These bags fit perfectly with my trash Brabantia 40L Touch Bin. The handles make the bag easy to close and are also useful for the exit of the trash bucket. These bags are strong enough that this is part"&amp;"icularly important in this volume, the bags are often filled.")</f>
        <v>resistant bags are suitable for a 40L bin brabantia These bags fit perfectly with my trash Brabantia 40L Touch Bin. The handles make the bag easy to close and are also useful for the exit of the trash bucket. These bags are strong enough that this is particularly important in this volume, the bags are often filled.</v>
      </c>
    </row>
    <row r="18313">
      <c r="A18313" s="1">
        <v>5.0</v>
      </c>
      <c r="B18313" s="1" t="s">
        <v>18011</v>
      </c>
      <c r="C18313" t="str">
        <f>IFERROR(__xludf.DUMMYFUNCTION("GOOGLETRANSLATE(B18313, ""fr"", ""en"")"),"I love the whole is very good for wheel comments, it's not in my wheel - c is the milk residues, just make sure you wash the bottle, I do so with bicarbonade")</f>
        <v>I love the whole is very good for wheel comments, it's not in my wheel - c is the milk residues, just make sure you wash the bottle, I do so with bicarbonade</v>
      </c>
    </row>
    <row r="18314">
      <c r="A18314" s="1">
        <v>5.0</v>
      </c>
      <c r="B18314" s="1" t="s">
        <v>18012</v>
      </c>
      <c r="C18314" t="str">
        <f>IFERROR(__xludf.DUMMYFUNCTION("GOOGLETRANSLATE(B18314, ""fr"", ""en"")"),"excellent product I already had a previous mayor. a very good shoe with a very good support. for hiking or day I highly recommend")</f>
        <v>excellent product I already had a previous mayor. a very good shoe with a very good support. for hiking or day I highly recommend</v>
      </c>
    </row>
    <row r="18315">
      <c r="A18315" s="1">
        <v>5.0</v>
      </c>
      <c r="B18315" s="1" t="s">
        <v>18013</v>
      </c>
      <c r="C18315" t="str">
        <f>IFERROR(__xludf.DUMMYFUNCTION("GOOGLETRANSLATE(B18315, ""fr"", ""en"")"),"impec impec")</f>
        <v>impec impec</v>
      </c>
    </row>
    <row r="18316">
      <c r="A18316" s="1">
        <v>5.0</v>
      </c>
      <c r="B18316" s="1" t="s">
        <v>18014</v>
      </c>
      <c r="C18316" t="str">
        <f>IFERROR(__xludf.DUMMYFUNCTION("GOOGLETRANSLATE(B18316, ""fr"", ""en"")"),"Satisfied favorite of my daughter. In fact it's mostly a flat nipple and the triangular shape that allows to hold its own. A very good manufacturing quality.")</f>
        <v>Satisfied favorite of my daughter. In fact it's mostly a flat nipple and the triangular shape that allows to hold its own. A very good manufacturing quality.</v>
      </c>
    </row>
    <row r="18317">
      <c r="A18317" s="1">
        <v>5.0</v>
      </c>
      <c r="B18317" s="1" t="s">
        <v>18015</v>
      </c>
      <c r="C18317" t="str">
        <f>IFERROR(__xludf.DUMMYFUNCTION("GOOGLETRANSLATE(B18317, ""fr"", ""en"")"),"flawless article and conform Received as expected and consistent")</f>
        <v>flawless article and conform Received as expected and consistent</v>
      </c>
    </row>
    <row r="18318">
      <c r="A18318" s="1">
        <v>5.0</v>
      </c>
      <c r="B18318" s="1" t="s">
        <v>18016</v>
      </c>
      <c r="C18318" t="str">
        <f>IFERROR(__xludf.DUMMYFUNCTION("GOOGLETRANSLATE(B18318, ""fr"", ""en"")"),"ideal product This product is the best of my knowledge for descaling coffee machines or other devices that are used with hard water")</f>
        <v>ideal product This product is the best of my knowledge for descaling coffee machines or other devices that are used with hard water</v>
      </c>
    </row>
    <row r="18319">
      <c r="A18319" s="1">
        <v>5.0</v>
      </c>
      <c r="B18319" s="1" t="s">
        <v>18017</v>
      </c>
      <c r="C18319" t="str">
        <f>IFERROR(__xludf.DUMMYFUNCTION("GOOGLETRANSLATE(B18319, ""fr"", ""en"")"),"Super Very beautiful earrings for yourself or for a gift excellent value. To recommend.")</f>
        <v>Super Very beautiful earrings for yourself or for a gift excellent value. To recommend.</v>
      </c>
    </row>
    <row r="18320">
      <c r="A18320" s="1">
        <v>5.0</v>
      </c>
      <c r="B18320" s="1" t="s">
        <v>18018</v>
      </c>
      <c r="C18320" t="str">
        <f>IFERROR(__xludf.DUMMYFUNCTION("GOOGLETRANSLATE(B18320, ""fr"", ""en"")"),"appreciation for this very beautiful I recommend nice work nice gift for christmas very beautiful at the same time! Keep going!")</f>
        <v>appreciation for this very beautiful I recommend nice work nice gift for christmas very beautiful at the same time! Keep going!</v>
      </c>
    </row>
    <row r="18321">
      <c r="A18321" s="1">
        <v>5.0</v>
      </c>
      <c r="B18321" s="1" t="s">
        <v>18019</v>
      </c>
      <c r="C18321" t="str">
        <f>IFERROR(__xludf.DUMMYFUNCTION("GOOGLETRANSLATE(B18321, ""fr"", ""en"")"),"nice little chain nice chain. It is smaller than I thought, but I was able to put 2 small pendants without problems. Only small downside, the snap ring is somewhat flattened, and it is sometimes difficult to close the chain.")</f>
        <v>nice little chain nice chain. It is smaller than I thought, but I was able to put 2 small pendants without problems. Only small downside, the snap ring is somewhat flattened, and it is sometimes difficult to close the chain.</v>
      </c>
    </row>
    <row r="18322">
      <c r="A18322" s="1">
        <v>5.0</v>
      </c>
      <c r="B18322" s="1" t="s">
        <v>18020</v>
      </c>
      <c r="C18322" t="str">
        <f>IFERROR(__xludf.DUMMYFUNCTION("GOOGLETRANSLATE(B18322, ""fr"", ""en"")"),"photocopier paper I think this paper is very powerful, perfect thickness, ideal whiteness, in short I recommend it to hesitate to order, all the more that the price is still very attractive thank you!")</f>
        <v>photocopier paper I think this paper is very powerful, perfect thickness, ideal whiteness, in short I recommend it to hesitate to order, all the more that the price is still very attractive thank you!</v>
      </c>
    </row>
    <row r="18323">
      <c r="A18323" s="1">
        <v>5.0</v>
      </c>
      <c r="B18323" s="1" t="s">
        <v>18021</v>
      </c>
      <c r="C18323" t="str">
        <f>IFERROR(__xludf.DUMMYFUNCTION("GOOGLETRANSLATE(B18323, ""fr"", ""en"")"),"J adoooore raiglable A ring is silver. cute discreet pen ring. Nothing to say negative. I love her so much")</f>
        <v>J adoooore raiglable A ring is silver. cute discreet pen ring. Nothing to say negative. I love her so much</v>
      </c>
    </row>
    <row r="18324">
      <c r="A18324" s="1">
        <v>2.0</v>
      </c>
      <c r="B18324" s="1" t="s">
        <v>18022</v>
      </c>
      <c r="C18324" t="str">
        <f>IFERROR(__xludf.DUMMYFUNCTION("GOOGLETRANSLATE(B18324, ""fr"", ""en"")"),"You had to your sub These bracelets are beautiful but not solid, as soon as I put the flanges are detached ...")</f>
        <v>You had to your sub These bracelets are beautiful but not solid, as soon as I put the flanges are detached ...</v>
      </c>
    </row>
    <row r="18325">
      <c r="A18325" s="1">
        <v>1.0</v>
      </c>
      <c r="B18325" s="1" t="s">
        <v>18023</v>
      </c>
      <c r="C18325" t="str">
        <f>IFERROR(__xludf.DUMMYFUNCTION("GOOGLETRANSLATE(B18325, ""fr"", ""en"")"),"Cartridges not compatible ink No, this product is not recognized by the printer I am very disappointed and I've ordered more cartridge printer so I not mistaken in the choice of cartridges, I hope that the problem comes no printer I rise not order additio"&amp;"nal cartridges on amazon.")</f>
        <v>Cartridges not compatible ink No, this product is not recognized by the printer I am very disappointed and I've ordered more cartridge printer so I not mistaken in the choice of cartridges, I hope that the problem comes no printer I rise not order additional cartridges on amazon.</v>
      </c>
    </row>
    <row r="18326">
      <c r="A18326" s="1">
        <v>1.0</v>
      </c>
      <c r="B18326" s="1" t="s">
        <v>18024</v>
      </c>
      <c r="C18326" t="str">
        <f>IFERROR(__xludf.DUMMYFUNCTION("GOOGLETRANSLATE(B18326, ""fr"", ""en"")"),"Not recommended to buy Pourri tissue. Too above. Nothing to do with the photo presentation. Indeed it is a job not pants of any city. Too bad it's not not possible to give 0 stars")</f>
        <v>Not recommended to buy Pourri tissue. Too above. Nothing to do with the photo presentation. Indeed it is a job not pants of any city. Too bad it's not not possible to give 0 stars</v>
      </c>
    </row>
    <row r="18327">
      <c r="A18327" s="1">
        <v>3.0</v>
      </c>
      <c r="B18327" s="1" t="s">
        <v>18025</v>
      </c>
      <c r="C18327" t="str">
        <f>IFERROR(__xludf.DUMMYFUNCTION("GOOGLETRANSLATE(B18327, ""fr"", ""en"")"),"Super Super price / quality")</f>
        <v>Super Super price / quality</v>
      </c>
    </row>
    <row r="18328">
      <c r="A18328" s="1">
        <v>4.0</v>
      </c>
      <c r="B18328" s="1" t="s">
        <v>18026</v>
      </c>
      <c r="C18328" t="str">
        <f>IFERROR(__xludf.DUMMYFUNCTION("GOOGLETRANSLATE(B18328, ""fr"", ""en"")"),"Nice pair of puma Races daily")</f>
        <v>Nice pair of puma Races daily</v>
      </c>
    </row>
    <row r="18329">
      <c r="A18329" s="1">
        <v>4.0</v>
      </c>
      <c r="B18329" s="1" t="s">
        <v>18027</v>
      </c>
      <c r="C18329" t="str">
        <f>IFERROR(__xludf.DUMMYFUNCTION("GOOGLETRANSLATE(B18329, ""fr"", ""en"")"),"Nice quality leather shoe size but a bit small")</f>
        <v>Nice quality leather shoe size but a bit small</v>
      </c>
    </row>
    <row r="18330">
      <c r="A18330" s="1">
        <v>4.0</v>
      </c>
      <c r="B18330" s="1" t="s">
        <v>18028</v>
      </c>
      <c r="C18330" t="str">
        <f>IFERROR(__xludf.DUMMYFUNCTION("GOOGLETRANSLATE(B18330, ""fr"", ""en"")"),"descaling I tried this product is effective but my coffee must be very calcified because after the operation is better but still not quite right, I'll repeat for a perfect result.")</f>
        <v>descaling I tried this product is effective but my coffee must be very calcified because after the operation is better but still not quite right, I'll repeat for a perfect result.</v>
      </c>
    </row>
    <row r="18331">
      <c r="A18331" s="1">
        <v>4.0</v>
      </c>
      <c r="B18331" s="1" t="s">
        <v>18029</v>
      </c>
      <c r="C18331" t="str">
        <f>IFERROR(__xludf.DUMMYFUNCTION("GOOGLETRANSLATE(B18331, ""fr"", ""en"")"),"essential time saving big with this machine, the bottle is in baby's mouth only 1mn30, finished bath and microwave (either too hot or too cold), with this machine the water is a temperature body of the mother (I checked the thermometer), only fault a beep"&amp;" at each end that resonates in the night.")</f>
        <v>essential time saving big with this machine, the bottle is in baby's mouth only 1mn30, finished bath and microwave (either too hot or too cold), with this machine the water is a temperature body of the mother (I checked the thermometer), only fault a beep at each end that resonates in the night.</v>
      </c>
    </row>
    <row r="18332">
      <c r="A18332" s="1">
        <v>5.0</v>
      </c>
      <c r="B18332" s="1" t="s">
        <v>18030</v>
      </c>
      <c r="C18332" t="str">
        <f>IFERROR(__xludf.DUMMYFUNCTION("GOOGLETRANSLATE(B18332, ""fr"", ""en"")"),"converse chuck taylor all star hi blue sky I barely converse door leather winter canvas I have been the same suits my orthopedic insoles to converse so those are for travail.je am all the more happy that we trouble finding half sizes and at home no proble"&amp;"m")</f>
        <v>converse chuck taylor all star hi blue sky I barely converse door leather winter canvas I have been the same suits my orthopedic insoles to converse so those are for travail.je am all the more happy that we trouble finding half sizes and at home no problem</v>
      </c>
    </row>
    <row r="18333">
      <c r="A18333" s="1">
        <v>5.0</v>
      </c>
      <c r="B18333" s="1" t="s">
        <v>18031</v>
      </c>
      <c r="C18333" t="str">
        <f>IFERROR(__xludf.DUMMYFUNCTION("GOOGLETRANSLATE(B18333, ""fr"", ""en"")"),"Although Fit to size")</f>
        <v>Although Fit to size</v>
      </c>
    </row>
    <row r="18334">
      <c r="A18334" s="1">
        <v>5.0</v>
      </c>
      <c r="B18334" s="1" t="s">
        <v>18032</v>
      </c>
      <c r="C18334" t="str">
        <f>IFERROR(__xludf.DUMMYFUNCTION("GOOGLETRANSLATE(B18334, ""fr"", ""en"")"),"Very nice product quality bag, I feared the comments specified that she could leave traces on clothes, and this is not the case. It can be worn in any style, both dressed as casual. My husband is very happy.")</f>
        <v>Very nice product quality bag, I feared the comments specified that she could leave traces on clothes, and this is not the case. It can be worn in any style, both dressed as casual. My husband is very happy.</v>
      </c>
    </row>
    <row r="18335">
      <c r="A18335" s="1">
        <v>5.0</v>
      </c>
      <c r="B18335" s="1" t="s">
        <v>18033</v>
      </c>
      <c r="C18335" t="str">
        <f>IFERROR(__xludf.DUMMYFUNCTION("GOOGLETRANSLATE(B18335, ""fr"", ""en"")"),"Kettle trend Very satisfied since commissioned a one second fois..pour 🎁 .I'm sure to please ... A good tea température..c'est perfect! I like the design ..")</f>
        <v>Kettle trend Very satisfied since commissioned a one second fois..pour 🎁 .I'm sure to please ... A good tea température..c'est perfect! I like the design ..</v>
      </c>
    </row>
    <row r="18336">
      <c r="A18336" s="1">
        <v>5.0</v>
      </c>
      <c r="B18336" s="1" t="s">
        <v>18034</v>
      </c>
      <c r="C18336" t="str">
        <f>IFERROR(__xludf.DUMMYFUNCTION("GOOGLETRANSLATE(B18336, ""fr"", ""en"")"),"Just perfect !! If like me, you have a large family, you spend your time sorting laundry detergents to conduct effective but economical !! The wipes Decolor stop action are made for your convenience !! I have children who sometimes slip me the cloths in a"&amp;" drum ready to start ... and then surprise !!! pink clothes because of a red polo !! The product is not new, but the principle of capturing pigment in water remains extra, the wipe spring .. gray sign that she donated job !! I can only advise and recommen"&amp;"d because I've tried under brands .. the result is poor !! If this assessment could help you, Likez if bous had any questions, do not hesitate to ask them, thank you.")</f>
        <v>Just perfect !! If like me, you have a large family, you spend your time sorting laundry detergents to conduct effective but economical !! The wipes Decolor stop action are made for your convenience !! I have children who sometimes slip me the cloths in a drum ready to start ... and then surprise !!! pink clothes because of a red polo !! The product is not new, but the principle of capturing pigment in water remains extra, the wipe spring .. gray sign that she donated job !! I can only advise and recommend because I've tried under brands .. the result is poor !! If this assessment could help you, Likez if bous had any questions, do not hesitate to ask them, thank you.</v>
      </c>
    </row>
    <row r="18337">
      <c r="A18337" s="1">
        <v>5.0</v>
      </c>
      <c r="B18337" s="1" t="s">
        <v>18035</v>
      </c>
      <c r="C18337" t="str">
        <f>IFERROR(__xludf.DUMMYFUNCTION("GOOGLETRANSLATE(B18337, ""fr"", ""en"")"),"Just great! Perfect material and size niquel I have recommended two!")</f>
        <v>Just great! Perfect material and size niquel I have recommended two!</v>
      </c>
    </row>
    <row r="18338">
      <c r="A18338" s="1">
        <v>5.0</v>
      </c>
      <c r="B18338" s="1" t="s">
        <v>18036</v>
      </c>
      <c r="C18338" t="str">
        <f>IFERROR(__xludf.DUMMYFUNCTION("GOOGLETRANSLATE(B18338, ""fr"", ""en"")"),"everything perfect")</f>
        <v>everything perfect</v>
      </c>
    </row>
    <row r="18339">
      <c r="A18339" s="1">
        <v>5.0</v>
      </c>
      <c r="B18339" s="1" t="s">
        <v>18037</v>
      </c>
      <c r="C18339" t="str">
        <f>IFERROR(__xludf.DUMMYFUNCTION("GOOGLETRANSLATE(B18339, ""fr"", ""en"")"),"Very nice comfortable shoe")</f>
        <v>Very nice comfortable shoe</v>
      </c>
    </row>
    <row r="18340">
      <c r="A18340" s="1">
        <v>5.0</v>
      </c>
      <c r="B18340" s="1" t="s">
        <v>18038</v>
      </c>
      <c r="C18340" t="str">
        <f>IFERROR(__xludf.DUMMYFUNCTION("GOOGLETRANSLATE(B18340, ""fr"", ""en"")"),"excellent sound headphones received quickly and well packaged. easy to connect with the manual in French. Very useful load and discharge lights avoids ending up in the harbor. Good resistance to ear and excellent sound")</f>
        <v>excellent sound headphones received quickly and well packaged. easy to connect with the manual in French. Very useful load and discharge lights avoids ending up in the harbor. Good resistance to ear and excellent sound</v>
      </c>
    </row>
    <row r="18341">
      <c r="A18341" s="1">
        <v>5.0</v>
      </c>
      <c r="B18341" s="1" t="s">
        <v>18039</v>
      </c>
      <c r="C18341" t="str">
        <f>IFERROR(__xludf.DUMMYFUNCTION("GOOGLETRANSLATE(B18341, ""fr"", ""en"")"),"Diffuser functioning perfectly good product aesthetics. Easy to use, diffuses a scent of essential oil in your home. You can program up to 3 hours of broadcast, and it shuts down automatically")</f>
        <v>Diffuser functioning perfectly good product aesthetics. Easy to use, diffuses a scent of essential oil in your home. You can program up to 3 hours of broadcast, and it shuts down automatically</v>
      </c>
    </row>
    <row r="18342">
      <c r="A18342" s="1">
        <v>5.0</v>
      </c>
      <c r="B18342" s="1" t="s">
        <v>18040</v>
      </c>
      <c r="C18342" t="str">
        <f>IFERROR(__xludf.DUMMYFUNCTION("GOOGLETRANSLATE(B18342, ""fr"", ""en"")"),"perfect on the long term it is fine. Done what we ask for more than 3 years without any problems: every morning my water is hot!")</f>
        <v>perfect on the long term it is fine. Done what we ask for more than 3 years without any problems: every morning my water is hot!</v>
      </c>
    </row>
    <row r="18343">
      <c r="A18343" s="1">
        <v>5.0</v>
      </c>
      <c r="B18343" s="1" t="s">
        <v>18041</v>
      </c>
      <c r="C18343" t="str">
        <f>IFERROR(__xludf.DUMMYFUNCTION("GOOGLETRANSLATE(B18343, ""fr"", ""en"")"),"Original and pretty trees It changes a bottle and brings a welcome touch of green in the kitchen. Everyone loves! Utensils hold well over")</f>
        <v>Original and pretty trees It changes a bottle and brings a welcome touch of green in the kitchen. Everyone loves! Utensils hold well over</v>
      </c>
    </row>
    <row r="18344">
      <c r="A18344" s="1">
        <v>5.0</v>
      </c>
      <c r="B18344" s="1" t="s">
        <v>18042</v>
      </c>
      <c r="C18344" t="str">
        <f>IFERROR(__xludf.DUMMYFUNCTION("GOOGLETRANSLATE(B18344, ""fr"", ""en"")"),"cup dainty beak that cup is very cute, she is attractive to the child with her pretty drawing, its handles are useful for manipulating the cup, when my son put the cup upside down, no water leakage, it can shake in all directions, if it falls down all goe"&amp;"s well, no worries.")</f>
        <v>cup dainty beak that cup is very cute, she is attractive to the child with her pretty drawing, its handles are useful for manipulating the cup, when my son put the cup upside down, no water leakage, it can shake in all directions, if it falls down all goes well, no worries.</v>
      </c>
    </row>
    <row r="18345">
      <c r="A18345" s="1">
        <v>5.0</v>
      </c>
      <c r="B18345" s="1" t="s">
        <v>18043</v>
      </c>
      <c r="C18345" t="str">
        <f>IFERROR(__xludf.DUMMYFUNCTION("GOOGLETRANSLATE(B18345, ""fr"", ""en"")"),"Brush super more expensive than the others but very good quality. The plastic tip scared me for cleaning but ultimately cleans very well. I recommend")</f>
        <v>Brush super more expensive than the others but very good quality. The plastic tip scared me for cleaning but ultimately cleans very well. I recommend</v>
      </c>
    </row>
    <row r="18346">
      <c r="A18346" s="1">
        <v>5.0</v>
      </c>
      <c r="B18346" s="1" t="s">
        <v>18044</v>
      </c>
      <c r="C18346" t="str">
        <f>IFERROR(__xludf.DUMMYFUNCTION("GOOGLETRANSLATE(B18346, ""fr"", ""en"")"),"Oooh top! Product buy as a gift, it has much more and I see what is used carefully and often! The size is not too large compared to what one may think ~ and the interior has more storage space, more blue on the inside makes it more beautiful;)")</f>
        <v>Oooh top! Product buy as a gift, it has much more and I see what is used carefully and often! The size is not too large compared to what one may think ~ and the interior has more storage space, more blue on the inside makes it more beautiful;)</v>
      </c>
    </row>
    <row r="18347">
      <c r="A18347" s="1">
        <v>2.0</v>
      </c>
      <c r="B18347" s="1" t="s">
        <v>18045</v>
      </c>
      <c r="C18347" t="str">
        <f>IFERROR(__xludf.DUMMYFUNCTION("GOOGLETRANSLATE(B18347, ""fr"", ""en"")"),"The sound is bad Very bad quality of sound, the sound of the music is louder than the voice, and it takes almost stick her mouth on the microphone for the sound. In short, gadget ...")</f>
        <v>The sound is bad Very bad quality of sound, the sound of the music is louder than the voice, and it takes almost stick her mouth on the microphone for the sound. In short, gadget ...</v>
      </c>
    </row>
    <row r="18348">
      <c r="A18348" s="1">
        <v>1.0</v>
      </c>
      <c r="B18348" s="1" t="s">
        <v>18046</v>
      </c>
      <c r="C18348" t="str">
        <f>IFERROR(__xludf.DUMMYFUNCTION("GOOGLETRANSLATE(B18348, ""fr"", ""en"")"),"NOT waterproof watch at all supposedly tight and when you receive it in the manual are just wrote resistant to splashes and raindrops")</f>
        <v>NOT waterproof watch at all supposedly tight and when you receive it in the manual are just wrote resistant to splashes and raindrops</v>
      </c>
    </row>
    <row r="18349">
      <c r="A18349" s="1">
        <v>3.0</v>
      </c>
      <c r="B18349" s="1" t="s">
        <v>18047</v>
      </c>
      <c r="C18349" t="str">
        <f>IFERROR(__xludf.DUMMYFUNCTION("GOOGLETRANSLATE(B18349, ""fr"", ""en"")"),"Confoe It works but there have not n the leak Blimey")</f>
        <v>Confoe It works but there have not n the leak Blimey</v>
      </c>
    </row>
    <row r="18350">
      <c r="A18350" s="1">
        <v>3.0</v>
      </c>
      <c r="B18350" s="1" t="s">
        <v>18048</v>
      </c>
      <c r="C18350" t="str">
        <f>IFERROR(__xludf.DUMMYFUNCTION("GOOGLETRANSLATE(B18350, ""fr"", ""en"")"),"VERY NICE BUT SMALL FOR SPORTS BAG GIFT FOR THE FESTIVAL OF FATHERS The bag rained but Dad could not put all its sports business because too small Of course it depends on the sport practiced")</f>
        <v>VERY NICE BUT SMALL FOR SPORTS BAG GIFT FOR THE FESTIVAL OF FATHERS The bag rained but Dad could not put all its sports business because too small Of course it depends on the sport practiced</v>
      </c>
    </row>
    <row r="18351">
      <c r="A18351" s="1">
        <v>4.0</v>
      </c>
      <c r="B18351" s="1" t="s">
        <v>18049</v>
      </c>
      <c r="C18351" t="str">
        <f>IFERROR(__xludf.DUMMYFUNCTION("GOOGLETRANSLATE(B18351, ""fr"", ""en"")"),"I recommend Good good quality product")</f>
        <v>I recommend Good good quality product</v>
      </c>
    </row>
    <row r="18352">
      <c r="A18352" s="1">
        <v>4.0</v>
      </c>
      <c r="B18352" s="1" t="s">
        <v>18050</v>
      </c>
      <c r="C18352" t="str">
        <f>IFERROR(__xludf.DUMMYFUNCTION("GOOGLETRANSLATE(B18352, ""fr"", ""en"")"),"Top Finally socks with seams over the toes, feet hurt the finish. Thank you")</f>
        <v>Top Finally socks with seams over the toes, feet hurt the finish. Thank you</v>
      </c>
    </row>
    <row r="18353">
      <c r="A18353" s="1">
        <v>4.0</v>
      </c>
      <c r="B18353" s="1" t="s">
        <v>18051</v>
      </c>
      <c r="C18353" t="str">
        <f>IFERROR(__xludf.DUMMYFUNCTION("GOOGLETRANSLATE(B18353, ""fr"", ""en"")"),"Good book very interesting book ... this book under the tree waiting to be opened on the 24th evening ... I puff and I feel that my son will adopt it ... this is a book for ""small guys ""without being rude or surly ... he approaches subjects with a touch"&amp;" of humor and I'm glad to offer it because I feel that I would have struggled to give him some explanation. Obviously, it will not replace my role but I feel it will be a good support.")</f>
        <v>Good book very interesting book ... this book under the tree waiting to be opened on the 24th evening ... I puff and I feel that my son will adopt it ... this is a book for "small guys "without being rude or surly ... he approaches subjects with a touch of humor and I'm glad to offer it because I feel that I would have struggled to give him some explanation. Obviously, it will not replace my role but I feel it will be a good support.</v>
      </c>
    </row>
    <row r="18354">
      <c r="A18354" s="1">
        <v>4.0</v>
      </c>
      <c r="B18354" s="1" t="s">
        <v>18052</v>
      </c>
      <c r="C18354" t="str">
        <f>IFERROR(__xludf.DUMMYFUNCTION("GOOGLETRANSLATE(B18354, ""fr"", ""en"")"),"At the top Excellent! Lightweight, easy to associate with the phone, button easily accessible! storage box everything is good ... One small downside to my taste the headset is not used tremendously very comfortable I think even over long listening but on "&amp;"the race walk I THINK this one slip slightly")</f>
        <v>At the top Excellent! Lightweight, easy to associate with the phone, button easily accessible! storage box everything is good ... One small downside to my taste the headset is not used tremendously very comfortable I think even over long listening but on the race walk I THINK this one slip slightly</v>
      </c>
    </row>
    <row r="18355">
      <c r="A18355" s="1">
        <v>5.0</v>
      </c>
      <c r="B18355" s="1" t="s">
        <v>18053</v>
      </c>
      <c r="C18355" t="str">
        <f>IFERROR(__xludf.DUMMYFUNCTION("GOOGLETRANSLATE(B18355, ""fr"", ""en"")"),"Perfect size very well")</f>
        <v>Perfect size very well</v>
      </c>
    </row>
    <row r="18356">
      <c r="A18356" s="1">
        <v>5.0</v>
      </c>
      <c r="B18356" s="1" t="s">
        <v>18054</v>
      </c>
      <c r="C18356" t="str">
        <f>IFERROR(__xludf.DUMMYFUNCTION("GOOGLETRANSLATE(B18356, ""fr"", ""en"")"),"My second bracelet Fullmosa I never heard of Fullmosa before discovering this brand on Amazon. I bought a bracelet, I was very happy, so I bought a second. Leather and steel, beautiful bracelets easy to mount. Several possible sizes, several colors. Recom"&amp;"mended!")</f>
        <v>My second bracelet Fullmosa I never heard of Fullmosa before discovering this brand on Amazon. I bought a bracelet, I was very happy, so I bought a second. Leather and steel, beautiful bracelets easy to mount. Several possible sizes, several colors. Recommended!</v>
      </c>
    </row>
    <row r="18357">
      <c r="A18357" s="1">
        <v>5.0</v>
      </c>
      <c r="B18357" s="1" t="s">
        <v>18055</v>
      </c>
      <c r="C18357" t="str">
        <f>IFERROR(__xludf.DUMMYFUNCTION("GOOGLETRANSLATE(B18357, ""fr"", ""en"")"),"gymnastics I had trouble finding this type of slippers ... most Chinese probably also feel bad ... here all those received by the firm Beck I like. and my only thought: without socks, or socks = one size bigger. otherwise they are perfect though they are "&amp;"tightened to the first ports to levels toes ... but they ""make"" and anyway they must take ....")</f>
        <v>gymnastics I had trouble finding this type of slippers ... most Chinese probably also feel bad ... here all those received by the firm Beck I like. and my only thought: without socks, or socks = one size bigger. otherwise they are perfect though they are tightened to the first ports to levels toes ... but they "make" and anyway they must take ....</v>
      </c>
    </row>
    <row r="18358">
      <c r="A18358" s="1">
        <v>5.0</v>
      </c>
      <c r="B18358" s="1" t="s">
        <v>18056</v>
      </c>
      <c r="C18358" t="str">
        <f>IFERROR(__xludf.DUMMYFUNCTION("GOOGLETRANSLATE(B18358, ""fr"", ""en"")"),"Super comfortable Very comfortable and durable Great value for money")</f>
        <v>Super comfortable Very comfortable and durable Great value for money</v>
      </c>
    </row>
    <row r="18359">
      <c r="A18359" s="1">
        <v>5.0</v>
      </c>
      <c r="B18359" s="1" t="s">
        <v>18057</v>
      </c>
      <c r="C18359" t="str">
        <f>IFERROR(__xludf.DUMMYFUNCTION("GOOGLETRANSLATE(B18359, ""fr"", ""en"")"),"Very good article A very good article that perfectly matches our expectations. Arrived quickly. In perfect condition. Obviously we must choose the length and diameter and the type of copper wire. A wide variety of choice. Excellent service. Impeccable. I "&amp;"recommend.")</f>
        <v>Very good article A very good article that perfectly matches our expectations. Arrived quickly. In perfect condition. Obviously we must choose the length and diameter and the type of copper wire. A wide variety of choice. Excellent service. Impeccable. I recommend.</v>
      </c>
    </row>
    <row r="18360">
      <c r="A18360" s="1">
        <v>5.0</v>
      </c>
      <c r="B18360" s="1" t="s">
        <v>18058</v>
      </c>
      <c r="C18360" t="str">
        <f>IFERROR(__xludf.DUMMYFUNCTION("GOOGLETRANSLATE(B18360, ""fr"", ""en"")"),"Earphone headset Samsung Samsung Owl")</f>
        <v>Earphone headset Samsung Samsung Owl</v>
      </c>
    </row>
    <row r="18361">
      <c r="A18361" s="1">
        <v>5.0</v>
      </c>
      <c r="B18361" s="1" t="s">
        <v>18059</v>
      </c>
      <c r="C18361" t="str">
        <f>IFERROR(__xludf.DUMMYFUNCTION("GOOGLETRANSLATE(B18361, ""fr"", ""en"")"),"super super show, it attracts the eye, it is class. very good product")</f>
        <v>super super show, it attracts the eye, it is class. very good product</v>
      </c>
    </row>
    <row r="18362">
      <c r="A18362" s="1">
        <v>5.0</v>
      </c>
      <c r="B18362" s="1" t="s">
        <v>18060</v>
      </c>
      <c r="C18362" t="str">
        <f>IFERROR(__xludf.DUMMYFUNCTION("GOOGLETRANSLATE(B18362, ""fr"", ""en"")"),"True to Parfair photo")</f>
        <v>True to Parfair photo</v>
      </c>
    </row>
    <row r="18363">
      <c r="A18363" s="1">
        <v>5.0</v>
      </c>
      <c r="B18363" s="1" t="s">
        <v>18061</v>
      </c>
      <c r="C18363" t="str">
        <f>IFERROR(__xludf.DUMMYFUNCTION("GOOGLETRANSLATE(B18363, ""fr"", ""en"")"),"Product well packaged and fully compliant Very nice flip flops")</f>
        <v>Product well packaged and fully compliant Very nice flip flops</v>
      </c>
    </row>
    <row r="18364">
      <c r="A18364" s="1">
        <v>5.0</v>
      </c>
      <c r="B18364" s="1" t="s">
        <v>18062</v>
      </c>
      <c r="C18364" t="str">
        <f>IFERROR(__xludf.DUMMYFUNCTION("GOOGLETRANSLATE(B18364, ""fr"", ""en"")"),"lovely coloring my 10 year old daughter is thrilled")</f>
        <v>lovely coloring my 10 year old daughter is thrilled</v>
      </c>
    </row>
    <row r="18365">
      <c r="A18365" s="1">
        <v>5.0</v>
      </c>
      <c r="B18365" s="1" t="s">
        <v>18063</v>
      </c>
      <c r="C18365" t="str">
        <f>IFERROR(__xludf.DUMMYFUNCTION("GOOGLETRANSLATE(B18365, ""fr"", ""en"")"),"Comfortable the scratches are very practical for me.")</f>
        <v>Comfortable the scratches are very practical for me.</v>
      </c>
    </row>
    <row r="18366">
      <c r="A18366" s="1">
        <v>5.0</v>
      </c>
      <c r="B18366" s="1" t="s">
        <v>18064</v>
      </c>
      <c r="C18366" t="str">
        <f>IFERROR(__xludf.DUMMYFUNCTION("GOOGLETRANSLATE(B18366, ""fr"", ""en"")"),"Top Product hopping. Handy, compact and much easier to use as models or compartiements pile. Even with one hand you can make the bottle.")</f>
        <v>Top Product hopping. Handy, compact and much easier to use as models or compartiements pile. Even with one hand you can make the bottle.</v>
      </c>
    </row>
    <row r="18367">
      <c r="A18367" s="1">
        <v>5.0</v>
      </c>
      <c r="B18367" s="1" t="s">
        <v>18065</v>
      </c>
      <c r="C18367" t="str">
        <f>IFERROR(__xludf.DUMMYFUNCTION("GOOGLETRANSLATE(B18367, ""fr"", ""en"")"),"Good quality and fast shipment")</f>
        <v>Good quality and fast shipment</v>
      </c>
    </row>
    <row r="18368">
      <c r="A18368" s="1">
        <v>5.0</v>
      </c>
      <c r="B18368" s="1" t="s">
        <v>18066</v>
      </c>
      <c r="C18368" t="str">
        <f>IFERROR(__xludf.DUMMYFUNCTION("GOOGLETRANSLATE(B18368, ""fr"", ""en"")"),"C is perfect for making walking")</f>
        <v>C is perfect for making walking</v>
      </c>
    </row>
    <row r="18369">
      <c r="A18369" s="1">
        <v>5.0</v>
      </c>
      <c r="B18369" s="1" t="s">
        <v>18067</v>
      </c>
      <c r="C18369" t="str">
        <f>IFERROR(__xludf.DUMMYFUNCTION("GOOGLETRANSLATE(B18369, ""fr"", ""en"")"),"Baby and Parents happy :-) This kit bottle and pacifier is fine the job. For health, obviously glass is naturally much better than plastic. Side solidity nothing to complain about, from small everyday accidents of life will do anything to them. Of course "&amp;"a fall from a table should be fatal. Of ergonomics nothing wrong either: no suction problems for the infant. Feedings are going very well. Baby seems to also enjoy the lollipop ^^ In short we are dealing with a quality bottle kit at an affordable rate.")</f>
        <v>Baby and Parents happy :-) This kit bottle and pacifier is fine the job. For health, obviously glass is naturally much better than plastic. Side solidity nothing to complain about, from small everyday accidents of life will do anything to them. Of course a fall from a table should be fatal. Of ergonomics nothing wrong either: no suction problems for the infant. Feedings are going very well. Baby seems to also enjoy the lollipop ^^ In short we are dealing with a quality bottle kit at an affordable rate.</v>
      </c>
    </row>
    <row r="18370">
      <c r="A18370" s="1">
        <v>5.0</v>
      </c>
      <c r="B18370" s="1" t="s">
        <v>18068</v>
      </c>
      <c r="C18370" t="str">
        <f>IFERROR(__xludf.DUMMYFUNCTION("GOOGLETRANSLATE(B18370, ""fr"", ""en"")"),"Perfect oil that fulfills its functions perfectly, an essential home, the smell is strong and pleasant. Regardless of the use of this one you will not be disappointed. Great deal.")</f>
        <v>Perfect oil that fulfills its functions perfectly, an essential home, the smell is strong and pleasant. Regardless of the use of this one you will not be disappointed. Great deal.</v>
      </c>
    </row>
    <row r="18371">
      <c r="A18371" s="1">
        <v>2.0</v>
      </c>
      <c r="B18371" s="1" t="s">
        <v>18069</v>
      </c>
      <c r="C18371" t="str">
        <f>IFERROR(__xludf.DUMMYFUNCTION("GOOGLETRANSLATE(B18371, ""fr"", ""en"")"),"Nothing more ! Promoting false because this article cost thirty Euros on the manufacturer's website and not 80 €. Nice bag but definitely not upscale. The ring Rifted on the leather strap is damaged and marked a factory stamping problem very likely, it is"&amp;" a pity. In the end, it is good but not great.")</f>
        <v>Nothing more ! Promoting false because this article cost thirty Euros on the manufacturer's website and not 80 €. Nice bag but definitely not upscale. The ring Rifted on the leather strap is damaged and marked a factory stamping problem very likely, it is a pity. In the end, it is good but not great.</v>
      </c>
    </row>
    <row r="18372">
      <c r="A18372" s="1">
        <v>1.0</v>
      </c>
      <c r="B18372" s="1" t="s">
        <v>18070</v>
      </c>
      <c r="C18372" t="str">
        <f>IFERROR(__xludf.DUMMYFUNCTION("GOOGLETRANSLATE(B18372, ""fr"", ""en"")"),"Evidence same comment for the MP3 which it is linked. I have not managed to run the MP3, I have not succeeded, so to pair the two devices. I have to retype Word, the instructions as per the MP3. for now the score is zero points. thank you to ask the suppl"&amp;"ier to attach manuals separated by language to a minimum A5")</f>
        <v>Evidence same comment for the MP3 which it is linked. I have not managed to run the MP3, I have not succeeded, so to pair the two devices. I have to retype Word, the instructions as per the MP3. for now the score is zero points. thank you to ask the supplier to attach manuals separated by language to a minimum A5</v>
      </c>
    </row>
    <row r="18373">
      <c r="A18373" s="1">
        <v>1.0</v>
      </c>
      <c r="B18373" s="1" t="s">
        <v>18071</v>
      </c>
      <c r="C18373" t="str">
        <f>IFERROR(__xludf.DUMMYFUNCTION("GOOGLETRANSLATE(B18373, ""fr"", ""en"")"),"Very poor quality flimsy door 3 times and I ripped the back as moin 30 days")</f>
        <v>Very poor quality flimsy door 3 times and I ripped the back as moin 30 days</v>
      </c>
    </row>
    <row r="18374">
      <c r="A18374" s="1">
        <v>3.0</v>
      </c>
      <c r="B18374" s="1" t="s">
        <v>18072</v>
      </c>
      <c r="C18374" t="str">
        <f>IFERROR(__xludf.DUMMYFUNCTION("GOOGLETRANSLATE(B18374, ""fr"", ""en"")"),"Super guesthouse found too product, beautiful colors and comfortable! Too bad the size is not consistent, too small ...")</f>
        <v>Super guesthouse found too product, beautiful colors and comfortable! Too bad the size is not consistent, too small ...</v>
      </c>
    </row>
    <row r="18375">
      <c r="A18375" s="1">
        <v>3.0</v>
      </c>
      <c r="B18375" s="1" t="s">
        <v>18073</v>
      </c>
      <c r="C18375" t="str">
        <f>IFERROR(__xludf.DUMMYFUNCTION("GOOGLETRANSLATE(B18375, ""fr"", ""en"")"),"Well except for sports sock fairly suited to the sport. Heater foot quick and rapid wear in the event of friction. No complaints for a less restrictive use")</f>
        <v>Well except for sports sock fairly suited to the sport. Heater foot quick and rapid wear in the event of friction. No complaints for a less restrictive use</v>
      </c>
    </row>
    <row r="18376">
      <c r="A18376" s="1">
        <v>4.0</v>
      </c>
      <c r="B18376" s="1" t="s">
        <v>18074</v>
      </c>
      <c r="C18376" t="str">
        <f>IFERROR(__xludf.DUMMYFUNCTION("GOOGLETRANSLATE(B18376, ""fr"", ""en"")"),"Good value Comfortable shoes, simple and pretty. I took my usual size without worry.")</f>
        <v>Good value Comfortable shoes, simple and pretty. I took my usual size without worry.</v>
      </c>
    </row>
    <row r="18377">
      <c r="A18377" s="1">
        <v>4.0</v>
      </c>
      <c r="B18377" s="1" t="s">
        <v>18075</v>
      </c>
      <c r="C18377" t="str">
        <f>IFERROR(__xludf.DUMMYFUNCTION("GOOGLETRANSLATE(B18377, ""fr"", ""en"")"),"satisfied Very good brush kept me far longer than others bought more. The special brush dummies is rigid and allows a good cleaning.")</f>
        <v>satisfied Very good brush kept me far longer than others bought more. The special brush dummies is rigid and allows a good cleaning.</v>
      </c>
    </row>
    <row r="18378">
      <c r="A18378" s="1">
        <v>4.0</v>
      </c>
      <c r="B18378" s="1" t="s">
        <v>18076</v>
      </c>
      <c r="C18378" t="str">
        <f>IFERROR(__xludf.DUMMYFUNCTION("GOOGLETRANSLATE(B18378, ""fr"", ""en"")"),"large capacity bag practical especially if you have a computer, to see over time if it is solid.")</f>
        <v>large capacity bag practical especially if you have a computer, to see over time if it is solid.</v>
      </c>
    </row>
    <row r="18379">
      <c r="A18379" s="1">
        <v>4.0</v>
      </c>
      <c r="B18379" s="1" t="s">
        <v>18077</v>
      </c>
      <c r="C18379" t="str">
        <f>IFERROR(__xludf.DUMMYFUNCTION("GOOGLETRANSLATE(B18379, ""fr"", ""en"")"),"Works very well but there is a smell that does not share the product works very well, nothing to say! the only thing that bothers me that there is a smell of metal industrial (factory) after the water boils. at first it's was not nice at all. even today t"&amp;"his odor still exists ... it's been more than two months I used the kettle.")</f>
        <v>Works very well but there is a smell that does not share the product works very well, nothing to say! the only thing that bothers me that there is a smell of metal industrial (factory) after the water boils. at first it's was not nice at all. even today this odor still exists ... it's been more than two months I used the kettle.</v>
      </c>
    </row>
    <row r="18380">
      <c r="A18380" s="1">
        <v>5.0</v>
      </c>
      <c r="B18380" s="1" t="s">
        <v>18078</v>
      </c>
      <c r="C18380" t="str">
        <f>IFERROR(__xludf.DUMMYFUNCTION("GOOGLETRANSLATE(B18380, ""fr"", ""en"")"),"Bottles satisfied quality ...")</f>
        <v>Bottles satisfied quality ...</v>
      </c>
    </row>
    <row r="18381">
      <c r="A18381" s="1">
        <v>5.0</v>
      </c>
      <c r="B18381" s="1" t="s">
        <v>18079</v>
      </c>
      <c r="C18381" t="str">
        <f>IFERROR(__xludf.DUMMYFUNCTION("GOOGLETRANSLATE(B18381, ""fr"", ""en"")"),"Best bluetooth headphones Excellent product. The quality / price is good. The sound is slightly better and stronger than the Lite version. Small problem: sometimes the sound cut half a second to catch right after as if earphones rebootaient. Then I got th"&amp;"e early worries variations fairly light volume, but still noticeable and annoying. I still put 5 stars because it is an excellent product and technical problems are rare.")</f>
        <v>Best bluetooth headphones Excellent product. The quality / price is good. The sound is slightly better and stronger than the Lite version. Small problem: sometimes the sound cut half a second to catch right after as if earphones rebootaient. Then I got the early worries variations fairly light volume, but still noticeable and annoying. I still put 5 stars because it is an excellent product and technical problems are rare.</v>
      </c>
    </row>
    <row r="18382">
      <c r="A18382" s="1">
        <v>5.0</v>
      </c>
      <c r="B18382" s="1" t="s">
        <v>18080</v>
      </c>
      <c r="C18382" t="str">
        <f>IFERROR(__xludf.DUMMYFUNCTION("GOOGLETRANSLATE(B18382, ""fr"", ""en"")"),"Superb Désign premium and elegant for this beautiful grid bread brushed stainless steel combined with touches of brilliant. It is very compact but still accepts all types of bread. It works like toaster, with good speed but much more options and a small t"&amp;"imer that helps to check cooking without having to stop ... Many cooking methods such as thawing or reheating single. Fine, good value also")</f>
        <v>Superb Désign premium and elegant for this beautiful grid bread brushed stainless steel combined with touches of brilliant. It is very compact but still accepts all types of bread. It works like toaster, with good speed but much more options and a small timer that helps to check cooking without having to stop ... Many cooking methods such as thawing or reheating single. Fine, good value also</v>
      </c>
    </row>
    <row r="18383">
      <c r="A18383" s="1">
        <v>5.0</v>
      </c>
      <c r="B18383" s="1" t="s">
        <v>18081</v>
      </c>
      <c r="C18383" t="str">
        <f>IFERROR(__xludf.DUMMYFUNCTION("GOOGLETRANSLATE(B18383, ""fr"", ""en"")"),"Excellent This bottle very sleek and ergonomic takes very well in hand. Very easy to clean, it is very easy to use. It is a product of excellent craftsmanship.")</f>
        <v>Excellent This bottle very sleek and ergonomic takes very well in hand. Very easy to clean, it is very easy to use. It is a product of excellent craftsmanship.</v>
      </c>
    </row>
    <row r="18384">
      <c r="A18384" s="1">
        <v>5.0</v>
      </c>
      <c r="B18384" s="1" t="s">
        <v>18082</v>
      </c>
      <c r="C18384" t="str">
        <f>IFERROR(__xludf.DUMMYFUNCTION("GOOGLETRANSLATE(B18384, ""fr"", ""en"")"),"white envelopes I needed .This white envelopes are white envelopes that were delivered. They are consistent with the description and as always with Amazon delivered almost instantly.")</f>
        <v>white envelopes I needed .This white envelopes are white envelopes that were delivered. They are consistent with the description and as always with Amazon delivered almost instantly.</v>
      </c>
    </row>
    <row r="18385">
      <c r="A18385" s="1">
        <v>5.0</v>
      </c>
      <c r="B18385" s="1" t="s">
        <v>18083</v>
      </c>
      <c r="C18385" t="str">
        <f>IFERROR(__xludf.DUMMYFUNCTION("GOOGLETRANSLATE(B18385, ""fr"", ""en"")"),"Normal as well c.est scheduled for simple and not simple double 100vinyl I think that will be according thickness of the pocket much more")</f>
        <v>Normal as well c.est scheduled for simple and not simple double 100vinyl I think that will be according thickness of the pocket much more</v>
      </c>
    </row>
    <row r="18386">
      <c r="A18386" s="1">
        <v>5.0</v>
      </c>
      <c r="B18386" s="1" t="s">
        <v>18084</v>
      </c>
      <c r="C18386" t="str">
        <f>IFERROR(__xludf.DUMMYFUNCTION("GOOGLETRANSLATE(B18386, ""fr"", ""en"")"),"a watch of great hiking altitude function I checked. Very convenient.")</f>
        <v>a watch of great hiking altitude function I checked. Very convenient.</v>
      </c>
    </row>
    <row r="18387">
      <c r="A18387" s="1">
        <v>5.0</v>
      </c>
      <c r="B18387" s="1" t="s">
        <v>18085</v>
      </c>
      <c r="C18387" t="str">
        <f>IFERROR(__xludf.DUMMYFUNCTION("GOOGLETRANSLATE(B18387, ""fr"", ""en"")"),"Excellent product purchased during black friday 5 stars simply because the filter filled perfectly its function tested with a Bird UM1, the filter attaches smoothly on a microphone stand Amazon Basics not fault the finish is very good, and is placed exact"&amp;"ly where desired much better in every way than my previous anti-pop ""no name"" filter")</f>
        <v>Excellent product purchased during black friday 5 stars simply because the filter filled perfectly its function tested with a Bird UM1, the filter attaches smoothly on a microphone stand Amazon Basics not fault the finish is very good, and is placed exactly where desired much better in every way than my previous anti-pop "no name" filter</v>
      </c>
    </row>
    <row r="18388">
      <c r="A18388" s="1">
        <v>5.0</v>
      </c>
      <c r="B18388" s="1" t="s">
        <v>18086</v>
      </c>
      <c r="C18388" t="str">
        <f>IFERROR(__xludf.DUMMYFUNCTION("GOOGLETRANSLATE(B18388, ""fr"", ""en"")"),"Perfect diffuser corresponds to my expectations, very pretty. J was a little hesitant to order it but ultimately no regrets I appreciate the, suitable for a large room, the color is pretty, The faux wood is very successful silent Very easy to use So for t"&amp;"he moment not disappointed, see over time I recommend")</f>
        <v>Perfect diffuser corresponds to my expectations, very pretty. J was a little hesitant to order it but ultimately no regrets I appreciate the, suitable for a large room, the color is pretty, The faux wood is very successful silent Very easy to use So for the moment not disappointed, see over time I recommend</v>
      </c>
    </row>
    <row r="18389">
      <c r="A18389" s="1">
        <v>5.0</v>
      </c>
      <c r="B18389" s="1" t="s">
        <v>18087</v>
      </c>
      <c r="C18389" t="str">
        <f>IFERROR(__xludf.DUMMYFUNCTION("GOOGLETRANSLATE(B18389, ""fr"", ""en"")"),"Recommend this seller fast shipping good quality product")</f>
        <v>Recommend this seller fast shipping good quality product</v>
      </c>
    </row>
    <row r="18390">
      <c r="A18390" s="1">
        <v>5.0</v>
      </c>
      <c r="B18390" s="1" t="s">
        <v>18088</v>
      </c>
      <c r="C18390" t="str">
        <f>IFERROR(__xludf.DUMMYFUNCTION("GOOGLETRANSLATE(B18390, ""fr"", ""en"")"),"Valentine Very nice bracelet for lover")</f>
        <v>Valentine Very nice bracelet for lover</v>
      </c>
    </row>
    <row r="18391">
      <c r="A18391" s="1">
        <v>5.0</v>
      </c>
      <c r="B18391" s="1" t="s">
        <v>18089</v>
      </c>
      <c r="C18391" t="str">
        <f>IFERROR(__xludf.DUMMYFUNCTION("GOOGLETRANSLATE(B18391, ""fr"", ""en"")"),"GOOD BASIC Ordered on the recommendation of a people who already ordered several and is very happy. used to work it is easy to maintain. Very good value for money")</f>
        <v>GOOD BASIC Ordered on the recommendation of a people who already ordered several and is very happy. used to work it is easy to maintain. Very good value for money</v>
      </c>
    </row>
    <row r="18392">
      <c r="A18392" s="1">
        <v>5.0</v>
      </c>
      <c r="B18392" s="1" t="s">
        <v>18090</v>
      </c>
      <c r="C18392" t="str">
        <f>IFERROR(__xludf.DUMMYFUNCTION("GOOGLETRANSLATE(B18392, ""fr"", ""en"")"),"Laminator I am very satisfied. Does its job properly")</f>
        <v>Laminator I am very satisfied. Does its job properly</v>
      </c>
    </row>
    <row r="18393">
      <c r="A18393" s="1">
        <v>5.0</v>
      </c>
      <c r="B18393" s="1" t="s">
        <v>18091</v>
      </c>
      <c r="C18393" t="str">
        <f>IFERROR(__xludf.DUMMYFUNCTION("GOOGLETRANSLATE(B18393, ""fr"", ""en"")"),"Very well ! Very relaxing for the wrist, I do not have this chronic pain and mouse responds perfectly.")</f>
        <v>Very well ! Very relaxing for the wrist, I do not have this chronic pain and mouse responds perfectly.</v>
      </c>
    </row>
    <row r="18394">
      <c r="A18394" s="1">
        <v>5.0</v>
      </c>
      <c r="B18394" s="1" t="s">
        <v>18092</v>
      </c>
      <c r="C18394" t="str">
        <f>IFERROR(__xludf.DUMMYFUNCTION("GOOGLETRANSLATE(B18394, ""fr"", ""en"")"),"Okay Meets description. Comfortable to wear. Well maintained")</f>
        <v>Okay Meets description. Comfortable to wear. Well maintained</v>
      </c>
    </row>
    <row r="18395">
      <c r="A18395" s="1">
        <v>2.0</v>
      </c>
      <c r="B18395" s="1" t="s">
        <v>18093</v>
      </c>
      <c r="C18395" t="str">
        <f>IFERROR(__xludf.DUMMYFUNCTION("GOOGLETRANSLATE(B18395, ""fr"", ""en"")"),"Nothing Rather flexible and simple and not too smart")</f>
        <v>Nothing Rather flexible and simple and not too smart</v>
      </c>
    </row>
    <row r="18396">
      <c r="A18396" s="1">
        <v>1.0</v>
      </c>
      <c r="B18396" s="1" t="s">
        <v>18094</v>
      </c>
      <c r="C18396" t="str">
        <f>IFERROR(__xludf.DUMMYFUNCTION("GOOGLETRANSLATE(B18396, ""fr"", ""en"")"),"Not terrible not very effective. The carpet is too small. In the prolonged use frozen collapses completely and suddenly now more elbow pain I have wrist pain")</f>
        <v>Not terrible not very effective. The carpet is too small. In the prolonged use frozen collapses completely and suddenly now more elbow pain I have wrist pain</v>
      </c>
    </row>
    <row r="18397">
      <c r="A18397" s="1">
        <v>1.0</v>
      </c>
      <c r="B18397" s="1" t="s">
        <v>18095</v>
      </c>
      <c r="C18397" t="str">
        <f>IFERROR(__xludf.DUMMYFUNCTION("GOOGLETRANSLATE(B18397, ""fr"", ""en"")"),"not the color described !!! well received on time but be careful not described color at all, I received a pair burgundy perfect comfort but very disappointed with the color")</f>
        <v>not the color described !!! well received on time but be careful not described color at all, I received a pair burgundy perfect comfort but very disappointed with the color</v>
      </c>
    </row>
    <row r="18398">
      <c r="A18398" s="1">
        <v>3.0</v>
      </c>
      <c r="B18398" s="1" t="s">
        <v>18096</v>
      </c>
      <c r="C18398" t="str">
        <f>IFERROR(__xludf.DUMMYFUNCTION("GOOGLETRANSLATE(B18398, ""fr"", ""en"")"),"mixed review form teats is well suited to the child. However the price is excessive and teats wear out very quickly ...")</f>
        <v>mixed review form teats is well suited to the child. However the price is excessive and teats wear out very quickly ...</v>
      </c>
    </row>
    <row r="18399">
      <c r="A18399" s="1">
        <v>4.0</v>
      </c>
      <c r="B18399" s="1" t="s">
        <v>18097</v>
      </c>
      <c r="C18399" t="str">
        <f>IFERROR(__xludf.DUMMYFUNCTION("GOOGLETRANSLATE(B18399, ""fr"", ""en"")"),"SUPER CARPET quality product that I use almost every day. Much cheaper than the ""brand was"" more known .... and less opinion just as effective. If this carpet does not cure, it relieves me tremendously in my low back pain crises and some respite hours a"&amp;"re very significant. The first time is amazing but then we no longer feel the pins. I recommend this product")</f>
        <v>SUPER CARPET quality product that I use almost every day. Much cheaper than the "brand was" more known .... and less opinion just as effective. If this carpet does not cure, it relieves me tremendously in my low back pain crises and some respite hours are very significant. The first time is amazing but then we no longer feel the pins. I recommend this product</v>
      </c>
    </row>
    <row r="18400">
      <c r="A18400" s="1">
        <v>4.0</v>
      </c>
      <c r="B18400" s="1" t="s">
        <v>18098</v>
      </c>
      <c r="C18400" t="str">
        <f>IFERROR(__xludf.DUMMYFUNCTION("GOOGLETRANSLATE(B18400, ""fr"", ""en"")"),"Even fine quality and price I usually buy. So not very good, but for its use and its final destination is more than enough.")</f>
        <v>Even fine quality and price I usually buy. So not very good, but for its use and its final destination is more than enough.</v>
      </c>
    </row>
    <row r="18401">
      <c r="A18401" s="1">
        <v>4.0</v>
      </c>
      <c r="B18401" s="1" t="s">
        <v>18099</v>
      </c>
      <c r="C18401" t="str">
        <f>IFERROR(__xludf.DUMMYFUNCTION("GOOGLETRANSLATE(B18401, ""fr"", ""en"")"),"nice comfortable sneakers and the colors are the same as the picture, I recommend")</f>
        <v>nice comfortable sneakers and the colors are the same as the picture, I recommend</v>
      </c>
    </row>
    <row r="18402">
      <c r="A18402" s="1">
        <v>4.0</v>
      </c>
      <c r="B18402" s="1" t="s">
        <v>18100</v>
      </c>
      <c r="C18402" t="str">
        <f>IFERROR(__xludf.DUMMYFUNCTION("GOOGLETRANSLATE(B18402, ""fr"", ""en"")"),"t shirt super t shirt great for body building near the Corq no regrets for very light buying good finish top tip")</f>
        <v>t shirt super t shirt great for body building near the Corq no regrets for very light buying good finish top tip</v>
      </c>
    </row>
    <row r="18403">
      <c r="A18403" s="1">
        <v>4.0</v>
      </c>
      <c r="B18403" s="1" t="s">
        <v>18101</v>
      </c>
      <c r="C18403" t="str">
        <f>IFERROR(__xludf.DUMMYFUNCTION("GOOGLETRANSLATE(B18403, ""fr"", ""en"")"),"An essential product for the brand, prices ideal content to complete an order and when you have more tabs on hand.")</f>
        <v>An essential product for the brand, prices ideal content to complete an order and when you have more tabs on hand.</v>
      </c>
    </row>
    <row r="18404">
      <c r="A18404" s="1">
        <v>5.0</v>
      </c>
      <c r="B18404" s="1" t="s">
        <v>5711</v>
      </c>
      <c r="C18404" t="str">
        <f>IFERROR(__xludf.DUMMYFUNCTION("GOOGLETRANSLATE(B18404, ""fr"", ""en"")"),"Elegant and comfortable The product perfectly fits the description")</f>
        <v>Elegant and comfortable The product perfectly fits the description</v>
      </c>
    </row>
    <row r="18405">
      <c r="A18405" s="1">
        <v>5.0</v>
      </c>
      <c r="B18405" s="1" t="s">
        <v>18102</v>
      </c>
      <c r="C18405" t="str">
        <f>IFERROR(__xludf.DUMMYFUNCTION("GOOGLETRANSLATE(B18405, ""fr"", ""en"")"),"Hot and adorable Whether you are a victim of neck pain, or chilly, you must try this heating fox. Very comfortable, two minutes in the microwave oven are enough to bring a gentle heat, not excessive, for about thirty minutes. Its shape fits both adults an"&amp;"d children. The maintenance is good that one is standing, sitting or lying. The smell and moisture are unique to this type of hot-water bottle, which uses wheat grains Organic store heat. I understand that they can disturb, for my part, I find it rather p"&amp;"leasant.")</f>
        <v>Hot and adorable Whether you are a victim of neck pain, or chilly, you must try this heating fox. Very comfortable, two minutes in the microwave oven are enough to bring a gentle heat, not excessive, for about thirty minutes. Its shape fits both adults and children. The maintenance is good that one is standing, sitting or lying. The smell and moisture are unique to this type of hot-water bottle, which uses wheat grains Organic store heat. I understand that they can disturb, for my part, I find it rather pleasant.</v>
      </c>
    </row>
    <row r="18406">
      <c r="A18406" s="1">
        <v>5.0</v>
      </c>
      <c r="B18406" s="1" t="s">
        <v>18103</v>
      </c>
      <c r="C18406" t="str">
        <f>IFERROR(__xludf.DUMMYFUNCTION("GOOGLETRANSLATE(B18406, ""fr"", ""en"")"),"pretty, how to .... purchased reconditioned: automatic model, which delighted my husband. Sports and elegant at once. A flat on the strap difficult to adjust to a novice. The bottom of the housing is transparent, seen movement on. Scope daily since its pu"&amp;"rchase, it is entirely satisfactory, visual and utility.")</f>
        <v>pretty, how to .... purchased reconditioned: automatic model, which delighted my husband. Sports and elegant at once. A flat on the strap difficult to adjust to a novice. The bottom of the housing is transparent, seen movement on. Scope daily since its purchase, it is entirely satisfactory, visual and utility.</v>
      </c>
    </row>
    <row r="18407">
      <c r="A18407" s="1">
        <v>5.0</v>
      </c>
      <c r="B18407" s="1" t="s">
        <v>18104</v>
      </c>
      <c r="C18407" t="str">
        <f>IFERROR(__xludf.DUMMYFUNCTION("GOOGLETRANSLATE(B18407, ""fr"", ""en"")"),"Perfect This bag is very good, and of a size to put in without any problems, wallet, cell phone, keys etc ... It is sized just right, not too small nor too large. Received much faster than expected, she loved my little son who told me happy, ""she styled"&amp;""" !!! So I recommend of course !!!")</f>
        <v>Perfect This bag is very good, and of a size to put in without any problems, wallet, cell phone, keys etc ... It is sized just right, not too small nor too large. Received much faster than expected, she loved my little son who told me happy, "she styled" !!! So I recommend of course !!!</v>
      </c>
    </row>
    <row r="18408">
      <c r="A18408" s="1">
        <v>5.0</v>
      </c>
      <c r="B18408" s="1" t="s">
        <v>18105</v>
      </c>
      <c r="C18408" t="str">
        <f>IFERROR(__xludf.DUMMYFUNCTION("GOOGLETRANSLATE(B18408, ""fr"", ""en"")"),"Very good qualities Nothing to say about the headset sound is present and quality")</f>
        <v>Very good qualities Nothing to say about the headset sound is present and quality</v>
      </c>
    </row>
    <row r="18409">
      <c r="A18409" s="1">
        <v>5.0</v>
      </c>
      <c r="B18409" s="1" t="s">
        <v>18106</v>
      </c>
      <c r="C18409" t="str">
        <f>IFERROR(__xludf.DUMMYFUNCTION("GOOGLETRANSLATE(B18409, ""fr"", ""en"")"),"Ras Beautiful Kettle, works very well, I recommend")</f>
        <v>Ras Beautiful Kettle, works very well, I recommend</v>
      </c>
    </row>
    <row r="18410">
      <c r="A18410" s="1">
        <v>5.0</v>
      </c>
      <c r="B18410" s="1" t="s">
        <v>18107</v>
      </c>
      <c r="C18410" t="str">
        <f>IFERROR(__xludf.DUMMYFUNCTION("GOOGLETRANSLATE(B18410, ""fr"", ""en"")"),"Super nice beautiful")</f>
        <v>Super nice beautiful</v>
      </c>
    </row>
    <row r="18411">
      <c r="A18411" s="1">
        <v>5.0</v>
      </c>
      <c r="B18411" s="1" t="s">
        <v>18108</v>
      </c>
      <c r="C18411" t="str">
        <f>IFERROR(__xludf.DUMMYFUNCTION("GOOGLETRANSLATE(B18411, ""fr"", ""en"")"),"Pretty studding for vocal microphone. Very effective Fits very well with microphones singing, perfectly avoids the ""pop"" and ambient noise. cool colors. The quality seems to be at the appointment. 10 Bonettes for the price of two on average in the trade"&amp;". A shop with confidence.")</f>
        <v>Pretty studding for vocal microphone. Very effective Fits very well with microphones singing, perfectly avoids the "pop" and ambient noise. cool colors. The quality seems to be at the appointment. 10 Bonettes for the price of two on average in the trade. A shop with confidence.</v>
      </c>
    </row>
    <row r="18412">
      <c r="A18412" s="1">
        <v>5.0</v>
      </c>
      <c r="B18412" s="1" t="s">
        <v>18109</v>
      </c>
      <c r="C18412" t="str">
        <f>IFERROR(__xludf.DUMMYFUNCTION("GOOGLETRANSLATE(B18412, ""fr"", ""en"")"),"Wooah! This pencil sends heavy, it is an all in one that can be expressed on a variety of substrates (glass, paper, cardboard, wood, painting white or black). I pass over the astonishment of Pomeranians when I invited them to vandalize creatively windows "&amp;"of their bedroom windows. Best of cloth shot and shoo more traces. Too strong this woody woody ....? A test of emergency")</f>
        <v>Wooah! This pencil sends heavy, it is an all in one that can be expressed on a variety of substrates (glass, paper, cardboard, wood, painting white or black). I pass over the astonishment of Pomeranians when I invited them to vandalize creatively windows of their bedroom windows. Best of cloth shot and shoo more traces. Too strong this woody woody ....? A test of emergency</v>
      </c>
    </row>
    <row r="18413">
      <c r="A18413" s="1">
        <v>5.0</v>
      </c>
      <c r="B18413" s="1" t="s">
        <v>18110</v>
      </c>
      <c r="C18413" t="str">
        <f>IFERROR(__xludf.DUMMYFUNCTION("GOOGLETRANSLATE(B18413, ""fr"", ""en"")"),"ULTRA LIGHT bought earrings in gold and silver. Very light and bigger than I thought. Only flat, the hook that passes through the ear is mounted upside down. The bulging of the loop, so the most attractive side, not front but from behind. And that the two"&amp;" pairs. Nobody does is apparently appercu unless this defect only affects me. I had to open the small ring to reverse the brackets. Otherwise for the price nothing to say.")</f>
        <v>ULTRA LIGHT bought earrings in gold and silver. Very light and bigger than I thought. Only flat, the hook that passes through the ear is mounted upside down. The bulging of the loop, so the most attractive side, not front but from behind. And that the two pairs. Nobody does is apparently appercu unless this defect only affects me. I had to open the small ring to reverse the brackets. Otherwise for the price nothing to say.</v>
      </c>
    </row>
    <row r="18414">
      <c r="A18414" s="1">
        <v>5.0</v>
      </c>
      <c r="B18414" s="1" t="s">
        <v>18111</v>
      </c>
      <c r="C18414" t="str">
        <f>IFERROR(__xludf.DUMMYFUNCTION("GOOGLETRANSLATE(B18414, ""fr"", ""en"")"),"Jewel Women Superb gem for women. I bought my wife she was delighted. The jewel comes with its well-packaged box. He is very handsome. For those who want to give a gift that's perfect I recommend it.")</f>
        <v>Jewel Women Superb gem for women. I bought my wife she was delighted. The jewel comes with its well-packaged box. He is very handsome. For those who want to give a gift that's perfect I recommend it.</v>
      </c>
    </row>
    <row r="18415">
      <c r="A18415" s="1">
        <v>5.0</v>
      </c>
      <c r="B18415" s="1" t="s">
        <v>18112</v>
      </c>
      <c r="C18415" t="str">
        <f>IFERROR(__xludf.DUMMYFUNCTION("GOOGLETRANSLATE(B18415, ""fr"", ""en"")"),"this is the shoe for the boot im happy :)) very good adaptation of this article I feel good when I doors, can adapt for example walking along the workshop for tinkering.")</f>
        <v>this is the shoe for the boot im happy :)) very good adaptation of this article I feel good when I doors, can adapt for example walking along the workshop for tinkering.</v>
      </c>
    </row>
    <row r="18416">
      <c r="A18416" s="1">
        <v>5.0</v>
      </c>
      <c r="B18416" s="1" t="s">
        <v>18113</v>
      </c>
      <c r="C18416" t="str">
        <f>IFERROR(__xludf.DUMMYFUNCTION("GOOGLETRANSLATE(B18416, ""fr"", ""en"")"),"Although I hesitated to remove a star since taking the hair, but it is ultimately a detail. They are beautiful, no complaints.")</f>
        <v>Although I hesitated to remove a star since taking the hair, but it is ultimately a detail. They are beautiful, no complaints.</v>
      </c>
    </row>
    <row r="18417">
      <c r="A18417" s="1">
        <v>5.0</v>
      </c>
      <c r="B18417" s="1" t="s">
        <v>18114</v>
      </c>
      <c r="C18417" t="str">
        <f>IFERROR(__xludf.DUMMYFUNCTION("GOOGLETRANSLATE(B18417, ""fr"", ""en"")"),"Superb leather bag I love this bag also I bought a maroon two other black for my son and I. I wear every day")</f>
        <v>Superb leather bag I love this bag also I bought a maroon two other black for my son and I. I wear every day</v>
      </c>
    </row>
    <row r="18418">
      <c r="A18418" s="1">
        <v>5.0</v>
      </c>
      <c r="B18418" s="1" t="s">
        <v>18115</v>
      </c>
      <c r="C18418" t="str">
        <f>IFERROR(__xludf.DUMMYFUNCTION("GOOGLETRANSLATE(B18418, ""fr"", ""en"")"),"Beautiful and soothing Everything is said in the title! I received it quickly, in a package in good condition. The broadcaster was very well protected, nothing to say. I immediately operates, and it is perfect. Very little noisy (but small purr Light). Se"&amp;"veral modes of lights that are all beautiful wood with this color! In short I highly recommend!")</f>
        <v>Beautiful and soothing Everything is said in the title! I received it quickly, in a package in good condition. The broadcaster was very well protected, nothing to say. I immediately operates, and it is perfect. Very little noisy (but small purr Light). Several modes of lights that are all beautiful wood with this color! In short I highly recommend!</v>
      </c>
    </row>
    <row r="18419">
      <c r="A18419" s="1">
        <v>2.0</v>
      </c>
      <c r="B18419" s="1" t="s">
        <v>18116</v>
      </c>
      <c r="C18419" t="str">
        <f>IFERROR(__xludf.DUMMYFUNCTION("GOOGLETRANSLATE(B18419, ""fr"", ""en"")"),"Strong plastic smell This very strong plastic smell does not inspire me confidence baby, especially since it will put in their mouths ....")</f>
        <v>Strong plastic smell This very strong plastic smell does not inspire me confidence baby, especially since it will put in their mouths ....</v>
      </c>
    </row>
    <row r="18420">
      <c r="A18420" s="1">
        <v>1.0</v>
      </c>
      <c r="B18420" s="1" t="s">
        <v>18117</v>
      </c>
      <c r="C18420" t="str">
        <f>IFERROR(__xludf.DUMMYFUNCTION("GOOGLETRANSLATE(B18420, ""fr"", ""en"")"),"No top Rénove nothing")</f>
        <v>No top Rénove nothing</v>
      </c>
    </row>
    <row r="18421">
      <c r="A18421" s="1">
        <v>3.0</v>
      </c>
      <c r="B18421" s="1" t="s">
        <v>18118</v>
      </c>
      <c r="C18421" t="str">
        <f>IFERROR(__xludf.DUMMYFUNCTION("GOOGLETRANSLATE(B18421, ""fr"", ""en"")"),"A little over Am above chain too fine in addition had a knot had to remove the pin with a hard hard if not cute pendant")</f>
        <v>A little over Am above chain too fine in addition had a knot had to remove the pin with a hard hard if not cute pendant</v>
      </c>
    </row>
    <row r="18422">
      <c r="A18422" s="1">
        <v>3.0</v>
      </c>
      <c r="B18422" s="1" t="s">
        <v>18119</v>
      </c>
      <c r="C18422" t="str">
        <f>IFERROR(__xludf.DUMMYFUNCTION("GOOGLETRANSLATE(B18422, ""fr"", ""en"")"),"Good enough !! Baby gets to me the stick when he was only two months. I think Mom bottles are not made for him.")</f>
        <v>Good enough !! Baby gets to me the stick when he was only two months. I think Mom bottles are not made for him.</v>
      </c>
    </row>
    <row r="18423">
      <c r="A18423" s="1">
        <v>4.0</v>
      </c>
      <c r="B18423" s="1" t="s">
        <v>18120</v>
      </c>
      <c r="C18423" t="str">
        <f>IFERROR(__xludf.DUMMYFUNCTION("GOOGLETRANSLATE(B18423, ""fr"", ""en"")"),"A teen good mood thanks to his sneakers These shoes are beautiful she is pointing My daughter is thrilled his sneakers are comfortable and especially fashionable as she likes")</f>
        <v>A teen good mood thanks to his sneakers These shoes are beautiful she is pointing My daughter is thrilled his sneakers are comfortable and especially fashionable as she likes</v>
      </c>
    </row>
    <row r="18424">
      <c r="A18424" s="1">
        <v>4.0</v>
      </c>
      <c r="B18424" s="1" t="s">
        <v>18121</v>
      </c>
      <c r="C18424" t="str">
        <f>IFERROR(__xludf.DUMMYFUNCTION("GOOGLETRANSLATE(B18424, ""fr"", ""en"")"),"very large roll wrapping paper very well, there for a good time ..... I have done all my Christmas packages and there are still open only downside delivery! the driver did not even wait that opens the door to give us the package he put in the shutters and"&amp;" is gone! So unprofessional and rude!")</f>
        <v>very large roll wrapping paper very well, there for a good time ..... I have done all my Christmas packages and there are still open only downside delivery! the driver did not even wait that opens the door to give us the package he put in the shutters and is gone! So unprofessional and rude!</v>
      </c>
    </row>
    <row r="18425">
      <c r="A18425" s="1">
        <v>4.0</v>
      </c>
      <c r="B18425" s="1" t="s">
        <v>18122</v>
      </c>
      <c r="C18425" t="str">
        <f>IFERROR(__xludf.DUMMYFUNCTION("GOOGLETRANSLATE(B18425, ""fr"", ""en"")"),"Advent quality = Very handy compact but very useful for the first weeks of baby Easy to wash, very clever, allow to quickly sterilize 4 bottles at once + accessories. Warning me limit it passes in my microwave, so pay attention to the size of this one ..."&amp;" so quality product Advent!")</f>
        <v>Advent quality = Very handy compact but very useful for the first weeks of baby Easy to wash, very clever, allow to quickly sterilize 4 bottles at once + accessories. Warning me limit it passes in my microwave, so pay attention to the size of this one ... so quality product Advent!</v>
      </c>
    </row>
    <row r="18426">
      <c r="A18426" s="1">
        <v>4.0</v>
      </c>
      <c r="B18426" s="1" t="s">
        <v>18123</v>
      </c>
      <c r="C18426" t="str">
        <f>IFERROR(__xludf.DUMMYFUNCTION("GOOGLETRANSLATE(B18426, ""fr"", ""en"")"),"Good Very good product")</f>
        <v>Good Very good product</v>
      </c>
    </row>
    <row r="18427">
      <c r="A18427" s="1">
        <v>5.0</v>
      </c>
      <c r="B18427" s="1" t="s">
        <v>18124</v>
      </c>
      <c r="C18427" t="str">
        <f>IFERROR(__xludf.DUMMYFUNCTION("GOOGLETRANSLATE(B18427, ""fr"", ""en"")"),"My son loves bought for my son, he is delighted, the style suits him, the color is consistent, size is perfect (neither too big nor too small) sunglasses, door card, registration card, license, handkerchief .. ..tout returned there. It is solid, the closu"&amp;"re hold well lit")</f>
        <v>My son loves bought for my son, he is delighted, the style suits him, the color is consistent, size is perfect (neither too big nor too small) sunglasses, door card, registration card, license, handkerchief .. ..tout returned there. It is solid, the closure hold well lit</v>
      </c>
    </row>
    <row r="18428">
      <c r="A18428" s="1">
        <v>5.0</v>
      </c>
      <c r="B18428" s="1" t="s">
        <v>18125</v>
      </c>
      <c r="C18428" t="str">
        <f>IFERROR(__xludf.DUMMYFUNCTION("GOOGLETRANSLATE(B18428, ""fr"", ""en"")"),"very good very good finish product")</f>
        <v>very good very good finish product</v>
      </c>
    </row>
    <row r="18429">
      <c r="A18429" s="1">
        <v>5.0</v>
      </c>
      <c r="B18429" s="1" t="s">
        <v>18126</v>
      </c>
      <c r="C18429" t="str">
        <f>IFERROR(__xludf.DUMMYFUNCTION("GOOGLETRANSLATE(B18429, ""fr"", ""en"")"),"impeccable shoes Real slippers")</f>
        <v>impeccable shoes Real slippers</v>
      </c>
    </row>
    <row r="18430">
      <c r="A18430" s="1">
        <v>5.0</v>
      </c>
      <c r="B18430" s="1" t="s">
        <v>18127</v>
      </c>
      <c r="C18430" t="str">
        <f>IFERROR(__xludf.DUMMYFUNCTION("GOOGLETRANSLATE(B18430, ""fr"", ""en"")"),"Very good buy No more wired headphones ... Really surprised by the quality of the product or the price I bought! Very easy to use, fits comfortably in the ear with his very good qualities. 8LS come with a small USB cable for storage box that also serves r"&amp;"echarger.une charger. I also used to play sports and it fits comfortably in the ear. I recommend")</f>
        <v>Very good buy No more wired headphones ... Really surprised by the quality of the product or the price I bought! Very easy to use, fits comfortably in the ear with his very good qualities. 8LS come with a small USB cable for storage box that also serves recharger.une charger. I also used to play sports and it fits comfortably in the ear. I recommend</v>
      </c>
    </row>
    <row r="18431">
      <c r="A18431" s="1">
        <v>5.0</v>
      </c>
      <c r="B18431" s="1" t="s">
        <v>18128</v>
      </c>
      <c r="C18431" t="str">
        <f>IFERROR(__xludf.DUMMYFUNCTION("GOOGLETRANSLATE(B18431, ""fr"", ""en"")"),"Practical and cool fan of color. I usually size 38 but I have the order 39 to be at ease, suddenly they are tip top!")</f>
        <v>Practical and cool fan of color. I usually size 38 but I have the order 39 to be at ease, suddenly they are tip top!</v>
      </c>
    </row>
    <row r="18432">
      <c r="A18432" s="1">
        <v>5.0</v>
      </c>
      <c r="B18432" s="1" t="s">
        <v>18129</v>
      </c>
      <c r="C18432" t="str">
        <f>IFERROR(__xludf.DUMMYFUNCTION("GOOGLETRANSLATE(B18432, ""fr"", ""en"")"),"Solomon These are very good shoes I am in my 7th father I started by SpeedCross 3 and now I'm 4 I put 1 January to 31 December, I also loved when I go to sports winter because they are sealed, it is Gore-Tex, the clamping shoes is really great for me beca"&amp;"use I'm very lazy.")</f>
        <v>Solomon These are very good shoes I am in my 7th father I started by SpeedCross 3 and now I'm 4 I put 1 January to 31 December, I also loved when I go to sports winter because they are sealed, it is Gore-Tex, the clamping shoes is really great for me because I'm very lazy.</v>
      </c>
    </row>
    <row r="18433">
      <c r="A18433" s="1">
        <v>5.0</v>
      </c>
      <c r="B18433" s="1" t="s">
        <v>18130</v>
      </c>
      <c r="C18433" t="str">
        <f>IFERROR(__xludf.DUMMYFUNCTION("GOOGLETRANSLATE(B18433, ""fr"", ""en"")"),"Comfortable, lightweight and seemingly solid After a few weeks to wear them inside I can evaluate these shoes as a good buy!")</f>
        <v>Comfortable, lightweight and seemingly solid After a few weeks to wear them inside I can evaluate these shoes as a good buy!</v>
      </c>
    </row>
    <row r="18434">
      <c r="A18434" s="1">
        <v>5.0</v>
      </c>
      <c r="B18434" s="1" t="s">
        <v>18131</v>
      </c>
      <c r="C18434" t="str">
        <f>IFERROR(__xludf.DUMMYFUNCTION("GOOGLETRANSLATE(B18434, ""fr"", ""en"")"),"Ras Effective for storage")</f>
        <v>Ras Effective for storage</v>
      </c>
    </row>
    <row r="18435">
      <c r="A18435" s="1">
        <v>5.0</v>
      </c>
      <c r="B18435" s="1" t="s">
        <v>18132</v>
      </c>
      <c r="C18435" t="str">
        <f>IFERROR(__xludf.DUMMYFUNCTION("GOOGLETRANSLATE(B18435, ""fr"", ""en"")"),"Effective and functional Suede pleasant efficient and functional hand brush I recommend unreservedly Beautiful design it working properly as expected")</f>
        <v>Effective and functional Suede pleasant efficient and functional hand brush I recommend unreservedly Beautiful design it working properly as expected</v>
      </c>
    </row>
    <row r="18436">
      <c r="A18436" s="1">
        <v>5.0</v>
      </c>
      <c r="B18436" s="1" t="s">
        <v>18133</v>
      </c>
      <c r="C18436" t="str">
        <f>IFERROR(__xludf.DUMMYFUNCTION("GOOGLETRANSLATE(B18436, ""fr"", ""en"")"),"Headphones for PC I bought this wireless headset because I'm tired of hearing the music of my son the evening thoroughly and compassion for our neighbors too. It is foldable which is a plus and the connection is Bluetooth. It comes with cable and microwav"&amp;"e is certainly convenient, very light damage it is not adjustable on the head but it fits well. The sound is good, it looks solid so it is adopted")</f>
        <v>Headphones for PC I bought this wireless headset because I'm tired of hearing the music of my son the evening thoroughly and compassion for our neighbors too. It is foldable which is a plus and the connection is Bluetooth. It comes with cable and microwave is certainly convenient, very light damage it is not adjustable on the head but it fits well. The sound is good, it looks solid so it is adopted</v>
      </c>
    </row>
    <row r="18437">
      <c r="A18437" s="1">
        <v>5.0</v>
      </c>
      <c r="B18437" s="1" t="s">
        <v>18134</v>
      </c>
      <c r="C18437" t="str">
        <f>IFERROR(__xludf.DUMMYFUNCTION("GOOGLETRANSLATE(B18437, ""fr"", ""en"")"),"perfect ! Excellent quality, fine leather, as always in the Panerai brand. delivered with pumps of different sizes and the removal tool / assembly.")</f>
        <v>perfect ! Excellent quality, fine leather, as always in the Panerai brand. delivered with pumps of different sizes and the removal tool / assembly.</v>
      </c>
    </row>
    <row r="18438">
      <c r="A18438" s="1">
        <v>5.0</v>
      </c>
      <c r="B18438" s="1" t="s">
        <v>18135</v>
      </c>
      <c r="C18438" t="str">
        <f>IFERROR(__xludf.DUMMYFUNCTION("GOOGLETRANSLATE(B18438, ""fr"", ""en"")"),"white necklace I love this necklace because it is discreet but at the same time seeing her give a charm around the neck brilliant")</f>
        <v>white necklace I love this necklace because it is discreet but at the same time seeing her give a charm around the neck brilliant</v>
      </c>
    </row>
    <row r="18439">
      <c r="A18439" s="1">
        <v>5.0</v>
      </c>
      <c r="B18439" s="1" t="s">
        <v>18136</v>
      </c>
      <c r="C18439" t="str">
        <f>IFERROR(__xludf.DUMMYFUNCTION("GOOGLETRANSLATE(B18439, ""fr"", ""en"")"),"Solid gift for the child of a friend! She was delighted. To have bought several on the internet, I find this solid model to the more extra included with pacifier.")</f>
        <v>Solid gift for the child of a friend! She was delighted. To have bought several on the internet, I find this solid model to the more extra included with pacifier.</v>
      </c>
    </row>
    <row r="18440">
      <c r="A18440" s="1">
        <v>5.0</v>
      </c>
      <c r="B18440" s="1" t="s">
        <v>18137</v>
      </c>
      <c r="C18440" t="str">
        <f>IFERROR(__xludf.DUMMYFUNCTION("GOOGLETRANSLATE(B18440, ""fr"", ""en"")"),"worth the price it may seem a bit pricey at first glance, but it's the quality !!!")</f>
        <v>worth the price it may seem a bit pricey at first glance, but it's the quality !!!</v>
      </c>
    </row>
    <row r="18441">
      <c r="A18441" s="1">
        <v>5.0</v>
      </c>
      <c r="B18441" s="1" t="s">
        <v>18138</v>
      </c>
      <c r="C18441" t="str">
        <f>IFERROR(__xludf.DUMMYFUNCTION("GOOGLETRANSLATE(B18441, ""fr"", ""en"")"),"Nice Nothing to say")</f>
        <v>Nice Nothing to say</v>
      </c>
    </row>
    <row r="18442">
      <c r="A18442" s="1">
        <v>2.0</v>
      </c>
      <c r="B18442" s="1" t="s">
        <v>18139</v>
      </c>
      <c r="C18442" t="str">
        <f>IFERROR(__xludf.DUMMYFUNCTION("GOOGLETRANSLATE(B18442, ""fr"", ""en"")"),"complicated difficult to retract the stopper ds j strap I almost gave up good c is a once in place no one really wants to withdraw to change so no charms top")</f>
        <v>complicated difficult to retract the stopper ds j strap I almost gave up good c is a once in place no one really wants to withdraw to change so no charms top</v>
      </c>
    </row>
    <row r="18443">
      <c r="A18443" s="1">
        <v>1.0</v>
      </c>
      <c r="B18443" s="1" t="s">
        <v>18140</v>
      </c>
      <c r="C18443" t="str">
        <f>IFERROR(__xludf.DUMMYFUNCTION("GOOGLETRANSLATE(B18443, ""fr"", ""en"")"),"junk junk")</f>
        <v>junk junk</v>
      </c>
    </row>
    <row r="18444">
      <c r="A18444" s="1">
        <v>3.0</v>
      </c>
      <c r="B18444" s="1" t="s">
        <v>18141</v>
      </c>
      <c r="C18444" t="str">
        <f>IFERROR(__xludf.DUMMYFUNCTION("GOOGLETRANSLATE(B18444, ""fr"", ""en"")"),"Pretty box but not top The watch shows that low-end if the box is nice to offer")</f>
        <v>Pretty box but not top The watch shows that low-end if the box is nice to offer</v>
      </c>
    </row>
    <row r="18445">
      <c r="A18445" s="1">
        <v>3.0</v>
      </c>
      <c r="B18445" s="1" t="s">
        <v>18142</v>
      </c>
      <c r="C18445" t="str">
        <f>IFERROR(__xludf.DUMMYFUNCTION("GOOGLETRANSLATE(B18445, ""fr"", ""en"")"),"very good single effective product well presented, solid, small, and very helpful I will definitely recommend the same series .well printed and well connected")</f>
        <v>very good single effective product well presented, solid, small, and very helpful I will definitely recommend the same series .well printed and well connected</v>
      </c>
    </row>
    <row r="18446">
      <c r="A18446" s="1">
        <v>4.0</v>
      </c>
      <c r="B18446" s="1" t="s">
        <v>18143</v>
      </c>
      <c r="C18446" t="str">
        <f>IFERROR(__xludf.DUMMYFUNCTION("GOOGLETRANSLATE(B18446, ""fr"", ""en"")"),"Ras Skin problems")</f>
        <v>Ras Skin problems</v>
      </c>
    </row>
    <row r="18447">
      <c r="A18447" s="1">
        <v>4.0</v>
      </c>
      <c r="B18447" s="1" t="s">
        <v>18144</v>
      </c>
      <c r="C18447" t="str">
        <f>IFERROR(__xludf.DUMMYFUNCTION("GOOGLETRANSLATE(B18447, ""fr"", ""en"")"),"Little but strong ! portable vacuum cleaner powerful enough with its cyclonic suction. His attachment system allows the wall to always having to wear hand and more ... Wireless. Ideal between two passages of the large vacuum cleaner.")</f>
        <v>Little but strong ! portable vacuum cleaner powerful enough with its cyclonic suction. His attachment system allows the wall to always having to wear hand and more ... Wireless. Ideal between two passages of the large vacuum cleaner.</v>
      </c>
    </row>
    <row r="18448">
      <c r="A18448" s="1">
        <v>4.0</v>
      </c>
      <c r="B18448" s="1" t="s">
        <v>18145</v>
      </c>
      <c r="C18448" t="str">
        <f>IFERROR(__xludf.DUMMYFUNCTION("GOOGLETRANSLATE(B18448, ""fr"", ""en"")"),"Received quickly cartridge good level value for money")</f>
        <v>Received quickly cartridge good level value for money</v>
      </c>
    </row>
    <row r="18449">
      <c r="A18449" s="1">
        <v>4.0</v>
      </c>
      <c r="B18449" s="1" t="s">
        <v>18146</v>
      </c>
      <c r="C18449" t="str">
        <f>IFERROR(__xludf.DUMMYFUNCTION("GOOGLETRANSLATE(B18449, ""fr"", ""en"")"),"Use sparingly and not for all the clothes First use. The linen is clean and feel very good. But I wonder why not use for delicate products such as wool and silk? That's why I did not put all the stars. I will follow other detergents to complete my opinion"&amp;".")</f>
        <v>Use sparingly and not for all the clothes First use. The linen is clean and feel very good. But I wonder why not use for delicate products such as wool and silk? That's why I did not put all the stars. I will follow other detergents to complete my opinion.</v>
      </c>
    </row>
    <row r="18450">
      <c r="A18450" s="1">
        <v>5.0</v>
      </c>
      <c r="B18450" s="1" t="s">
        <v>18147</v>
      </c>
      <c r="C18450" t="str">
        <f>IFERROR(__xludf.DUMMYFUNCTION("GOOGLETRANSLATE(B18450, ""fr"", ""en"")"),"Size a little big fast delivery. Slightly larger but impeccable product")</f>
        <v>Size a little big fast delivery. Slightly larger but impeccable product</v>
      </c>
    </row>
    <row r="18451">
      <c r="A18451" s="1">
        <v>5.0</v>
      </c>
      <c r="B18451" s="1" t="s">
        <v>18148</v>
      </c>
      <c r="C18451" t="str">
        <f>IFERROR(__xludf.DUMMYFUNCTION("GOOGLETRANSLATE(B18451, ""fr"", ""en"")"),"Gorgeous !! The bomb !!! I take my feet with each use. Looks like the sound comes out of the TV and not the helmet. Superb effect. We really do not feel the sensation of sound coming out of a helmet. Even at high volume that remains audible quality with w"&amp;"ell presented and low quality. Quality perfect together. Great addition, batteries are ""simple"" rechargeable batteries (through the base) and therefore removable and replaceable. Really very happy with my purchase with a price gun")</f>
        <v>Gorgeous !! The bomb !!! I take my feet with each use. Looks like the sound comes out of the TV and not the helmet. Superb effect. We really do not feel the sensation of sound coming out of a helmet. Even at high volume that remains audible quality with well presented and low quality. Quality perfect together. Great addition, batteries are "simple" rechargeable batteries (through the base) and therefore removable and replaceable. Really very happy with my purchase with a price gun</v>
      </c>
    </row>
    <row r="18452">
      <c r="A18452" s="1">
        <v>5.0</v>
      </c>
      <c r="B18452" s="1" t="s">
        <v>18149</v>
      </c>
      <c r="C18452" t="str">
        <f>IFERROR(__xludf.DUMMYFUNCTION("GOOGLETRANSLATE(B18452, ""fr"", ""en"")"),"Excellent Installing extra simple. very light and comfortable headset. Mitigation effective noise. truly impressive sound quality. The bass is very present even without the bass boost. If you put the sound loud for a first listen, you will stick your eard"&amp;"rums brain .... Very good performance of intensive use batteries, several hours listening continuous (more than 6 hours without performance drop).")</f>
        <v>Excellent Installing extra simple. very light and comfortable headset. Mitigation effective noise. truly impressive sound quality. The bass is very present even without the bass boost. If you put the sound loud for a first listen, you will stick your eardrums brain .... Very good performance of intensive use batteries, several hours listening continuous (more than 6 hours without performance drop).</v>
      </c>
    </row>
    <row r="18453">
      <c r="A18453" s="1">
        <v>5.0</v>
      </c>
      <c r="B18453" s="1" t="s">
        <v>18150</v>
      </c>
      <c r="C18453" t="str">
        <f>IFERROR(__xludf.DUMMYFUNCTION("GOOGLETRANSLATE(B18453, ""fr"", ""en"")"),"perfect is the second that I buy one for home and one for the office! it works great and dissemination of oils is perfect. use is very simple and there is no noise. I use it daily for 6 months, I recommend this product")</f>
        <v>perfect is the second that I buy one for home and one for the office! it works great and dissemination of oils is perfect. use is very simple and there is no noise. I use it daily for 6 months, I recommend this product</v>
      </c>
    </row>
    <row r="18454">
      <c r="A18454" s="1">
        <v>5.0</v>
      </c>
      <c r="B18454" s="1" t="s">
        <v>18151</v>
      </c>
      <c r="C18454" t="str">
        <f>IFERROR(__xludf.DUMMYFUNCTION("GOOGLETRANSLATE(B18454, ""fr"", ""en"")"),"Nickel Fast delivery this bottle and nipple are best for babies!")</f>
        <v>Nickel Fast delivery this bottle and nipple are best for babies!</v>
      </c>
    </row>
    <row r="18455">
      <c r="A18455" s="1">
        <v>5.0</v>
      </c>
      <c r="B18455" s="1" t="s">
        <v>18152</v>
      </c>
      <c r="C18455" t="str">
        <f>IFERROR(__xludf.DUMMYFUNCTION("GOOGLETRANSLATE(B18455, ""fr"", ""en"")"),"Good shoes I bought these shoes for a farming business use. The shoes are flexible enough after a day or two and they are quite low which suits me perfectly.")</f>
        <v>Good shoes I bought these shoes for a farming business use. The shoes are flexible enough after a day or two and they are quite low which suits me perfectly.</v>
      </c>
    </row>
    <row r="18456">
      <c r="A18456" s="1">
        <v>5.0</v>
      </c>
      <c r="B18456" s="1" t="s">
        <v>18153</v>
      </c>
      <c r="C18456" t="str">
        <f>IFERROR(__xludf.DUMMYFUNCTION("GOOGLETRANSLATE(B18456, ""fr"", ""en"")"),"Good quality for the price")</f>
        <v>Good quality for the price</v>
      </c>
    </row>
    <row r="18457">
      <c r="A18457" s="1">
        <v>5.0</v>
      </c>
      <c r="B18457" s="1" t="s">
        <v>18154</v>
      </c>
      <c r="C18457" t="str">
        <f>IFERROR(__xludf.DUMMYFUNCTION("GOOGLETRANSLATE(B18457, ""fr"", ""en"")"),"Gift I offer it to a friend, He's happy, he told me it's good. thank you")</f>
        <v>Gift I offer it to a friend, He's happy, he told me it's good. thank you</v>
      </c>
    </row>
    <row r="18458">
      <c r="A18458" s="1">
        <v>5.0</v>
      </c>
      <c r="B18458" s="1" t="s">
        <v>18155</v>
      </c>
      <c r="C18458" t="str">
        <f>IFERROR(__xludf.DUMMYFUNCTION("GOOGLETRANSLATE(B18458, ""fr"", ""en"")"),"Consistent with the description Take one size smaller, I had read the reviews, I took a 40 instead of a 41 is perfect. The satin lace slip a little. Other perfect.")</f>
        <v>Consistent with the description Take one size smaller, I had read the reviews, I took a 40 instead of a 41 is perfect. The satin lace slip a little. Other perfect.</v>
      </c>
    </row>
    <row r="18459">
      <c r="A18459" s="1">
        <v>5.0</v>
      </c>
      <c r="B18459" s="1" t="s">
        <v>18156</v>
      </c>
      <c r="C18459" t="str">
        <f>IFERROR(__xludf.DUMMYFUNCTION("GOOGLETRANSLATE(B18459, ""fr"", ""en"")"),"Great Value Great shows, good value")</f>
        <v>Great Value Great shows, good value</v>
      </c>
    </row>
    <row r="18460">
      <c r="A18460" s="1">
        <v>5.0</v>
      </c>
      <c r="B18460" s="1" t="s">
        <v>18157</v>
      </c>
      <c r="C18460" t="str">
        <f>IFERROR(__xludf.DUMMYFUNCTION("GOOGLETRANSLATE(B18460, ""fr"", ""en"")"),"Plastic certainly, but a surprising chrome style look 80 years It toaster has all the common features that can be expected: Low heat, normal heating, defrosting and heating. Let's move on it. For the rest, it's a little surprising. It has a very stylish l"&amp;"ook but when it raises it's trompe l'oeil. It is plastic. As against the light he really chrome and class. I had an old toaster plastic then it is the most beautiful effect. It can receive up slices 2.5 cm thick and basically a large square format. There "&amp;"are 6 different heating powers. The design is clear as a plastic with a stylish look so it's no surprise. I think the look is a bit 80s This is frankly quite impressive.")</f>
        <v>Plastic certainly, but a surprising chrome style look 80 years It toaster has all the common features that can be expected: Low heat, normal heating, defrosting and heating. Let's move on it. For the rest, it's a little surprising. It has a very stylish look but when it raises it's trompe l'oeil. It is plastic. As against the light he really chrome and class. I had an old toaster plastic then it is the most beautiful effect. It can receive up slices 2.5 cm thick and basically a large square format. There are 6 different heating powers. The design is clear as a plastic with a stylish look so it's no surprise. I think the look is a bit 80s This is frankly quite impressive.</v>
      </c>
    </row>
    <row r="18461">
      <c r="A18461" s="1">
        <v>5.0</v>
      </c>
      <c r="B18461" s="1" t="s">
        <v>18158</v>
      </c>
      <c r="C18461" t="str">
        <f>IFERROR(__xludf.DUMMYFUNCTION("GOOGLETRANSLATE(B18461, ""fr"", ""en"")"),"Super Super product")</f>
        <v>Super Super product</v>
      </c>
    </row>
    <row r="18462">
      <c r="A18462" s="1">
        <v>5.0</v>
      </c>
      <c r="B18462" s="1" t="s">
        <v>18159</v>
      </c>
      <c r="C18462" t="str">
        <f>IFERROR(__xludf.DUMMYFUNCTION("GOOGLETRANSLATE(B18462, ""fr"", ""en"")"),"I recommend quality sweater, size very well")</f>
        <v>I recommend quality sweater, size very well</v>
      </c>
    </row>
    <row r="18463">
      <c r="A18463" s="1">
        <v>5.0</v>
      </c>
      <c r="B18463" s="1" t="s">
        <v>18160</v>
      </c>
      <c r="C18463" t="str">
        <f>IFERROR(__xludf.DUMMYFUNCTION("GOOGLETRANSLATE(B18463, ""fr"", ""en"")"),"In the top ! Super satisfied I waited 3 months to see if the product did not deteriorate before posting my review and frankly I have never been satisfied. Comfort is at the top size is perfect and it's solid! good investment for small peutons ^^")</f>
        <v>In the top ! Super satisfied I waited 3 months to see if the product did not deteriorate before posting my review and frankly I have never been satisfied. Comfort is at the top size is perfect and it's solid! good investment for small peutons ^^</v>
      </c>
    </row>
    <row r="18464">
      <c r="A18464" s="1">
        <v>5.0</v>
      </c>
      <c r="B18464" s="1" t="s">
        <v>18161</v>
      </c>
      <c r="C18464" t="str">
        <f>IFERROR(__xludf.DUMMYFUNCTION("GOOGLETRANSLATE(B18464, ""fr"", ""en"")"),"Very handy handy for office, produced corresponding to what I wanted. I am satisfied with my purchase. Quick delivery.")</f>
        <v>Very handy handy for office, produced corresponding to what I wanted. I am satisfied with my purchase. Quick delivery.</v>
      </c>
    </row>
    <row r="18465">
      <c r="A18465" s="1">
        <v>2.0</v>
      </c>
      <c r="B18465" s="1" t="s">
        <v>18162</v>
      </c>
      <c r="C18465" t="str">
        <f>IFERROR(__xludf.DUMMYFUNCTION("GOOGLETRANSLATE(B18465, ""fr"", ""en"")"),"Bracelet Compatible Suunto Ambitz 2 very easy and convenient mounting with the included tool and its screws, which allows us to walk away with new screws for the new bracelet, gentle attention. The feel and texture of the silicone bracelet are very pleasa"&amp;"nt. However it seems less ""solid"" than the original. The sensible way kept the bracelet in place does not fulfill its role properly, the bracelet ""sort"" during exercise, not serious but certainly disturbing.")</f>
        <v>Bracelet Compatible Suunto Ambitz 2 very easy and convenient mounting with the included tool and its screws, which allows us to walk away with new screws for the new bracelet, gentle attention. The feel and texture of the silicone bracelet are very pleasant. However it seems less "solid" than the original. The sensible way kept the bracelet in place does not fulfill its role properly, the bracelet "sort" during exercise, not serious but certainly disturbing.</v>
      </c>
    </row>
    <row r="18466">
      <c r="A18466" s="1">
        <v>1.0</v>
      </c>
      <c r="B18466" s="1" t="s">
        <v>18163</v>
      </c>
      <c r="C18466" t="str">
        <f>IFERROR(__xludf.DUMMYFUNCTION("GOOGLETRANSLATE(B18466, ""fr"", ""en"")"),"Sleeves too short too short compared to the size. Not 100% cotton, as in the description.")</f>
        <v>Sleeves too short too short compared to the size. Not 100% cotton, as in the description.</v>
      </c>
    </row>
    <row r="18467">
      <c r="A18467" s="1">
        <v>1.0</v>
      </c>
      <c r="B18467" s="1" t="s">
        <v>18164</v>
      </c>
      <c r="C18467" t="str">
        <f>IFERROR(__xludf.DUMMYFUNCTION("GOOGLETRANSLATE(B18467, ""fr"", ""en"")"),"Rather disappointed. Pretty disappointed with these headphones. The foam is not so comfortable, I lost an ear after qqs weeks. I replaced with others that I had. When my calls, my interlocutors tell me they hear me very badly. I do not recommend.")</f>
        <v>Rather disappointed. Pretty disappointed with these headphones. The foam is not so comfortable, I lost an ear after qqs weeks. I replaced with others that I had. When my calls, my interlocutors tell me they hear me very badly. I do not recommend.</v>
      </c>
    </row>
    <row r="18468">
      <c r="A18468" s="1">
        <v>3.0</v>
      </c>
      <c r="B18468" s="1" t="s">
        <v>18165</v>
      </c>
      <c r="C18468" t="str">
        <f>IFERROR(__xludf.DUMMYFUNCTION("GOOGLETRANSLATE(B18468, ""fr"", ""en"")"),"Innapropriee long term I use these shoes on my workplace. But wear them all day without plantar arch; feet warm and I have pain in the legs pretty shoes but little long-term comfort")</f>
        <v>Innapropriee long term I use these shoes on my workplace. But wear them all day without plantar arch; feet warm and I have pain in the legs pretty shoes but little long-term comfort</v>
      </c>
    </row>
    <row r="18469">
      <c r="A18469" s="1">
        <v>3.0</v>
      </c>
      <c r="B18469" s="1" t="s">
        <v>18166</v>
      </c>
      <c r="C18469" t="str">
        <f>IFERROR(__xludf.DUMMYFUNCTION("GOOGLETRANSLATE(B18469, ""fr"", ""en"")"),"He (preque) it all except the largest (sound) After hours searching the ""best"" BT headset (if it exists), I finally decided to take the Backbeat Pro 2 following the almost unanimous opinion . Honestly it was a big reception at cold shower. I absolutely "&amp;"hated the sound seemed to me perfectly flat view very unpleasant. The sound food music that I usually listen either metal (death, naked, etc.), electronics (downtempo, synthwave, etc.) have greatly lost dimensionality. This is mainly due to low enough dis"&amp;"gusting that stifle the media. The effect is low too strong, very precise, as if you had the pillow stick to the membrane of a large speaker on foot. Felt the ""membrane"" tirelessly vibrate even when the lower lines must be fine and precise. While many m"&amp;"usic playing on the sound localization (right / up / down / up) in the midrange and treble, breath bass really impossible to take the pleasure to ""see"" the sound move to hide behind the wall fat. Unpleasant: And for me this to cause big headaches (a fir"&amp;"st). These evils are even stronger with the active suppression of ambient noise because the bass is even stronger and violently based on the eardrums even when the bass line is supposed to be erased. However and after a long hesitation, I'll keep the helm"&amp;"et ... Why? - Firstly because our brain adapts to the stamp. So even though I still plague these disgusting low on my android smartphone (which I have not found the equalizer worthy of the name), my brain filters out low in habits and succeeded in trainin"&amp;"g to find mediums. -Under windows, I'm improving it by installing EqualizerAPO + Peace on Windows (putting Profile reducing -6-3dB low, increasing + 3-6dB to 166Hz to find the depth and treble &amp; gt; 16khz for accuracy ). But above all his other qualities "&amp;"that my usefulness was exactly what I was looking for: - A long battery life (24 hours carefree) - A multi-BT connection (Windows PC + android all the time without problems) - One of the best passive reduction noise I knew (the active reduction is actuall"&amp;"y pale in comparison). - Extremely comfortable, balanced and rather aesthetic (question of taste and head size). So after a very bad first impression, I slowly learned to live with. I still have some pain levels after several hours of listening. I still h"&amp;"ate some music tracks disfigured by low and some audio books that sound like the actor spoke in a speaker supermarket but ... If I had more time and money, I will probably returned the helmet and looked for a sound that suits me best this price range but "&amp;"I will adapt. At least, I hope that this advice will be useful because it is quickly drowned out the fearful unanimously positive ratings and too little emphasis of the defects of this helmet. Finally, I will conclude with some bugs and bad design that wi"&amp;"ll justify this average rating - the break sensors / AutoPlay when you lift the headset work poorly. When I lie in bed, there is poor detection often makes the sound choppy. - when you have two connected BT (PC + android for example), the input of one is "&amp;"often disturbed by the input of the other. Example: I disconnect a device from (which does not emit sound) and I jerks on the music for 10 seconds while the disconnection is effective. same thing during the connection. It's very annoying because I often f"&amp;"ar off from my PC at work listening to music on android. - buttons (including volume) Suck: imprecise, sometimes bustling at least contact (coat collar, pillow).")</f>
        <v>He (preque) it all except the largest (sound) After hours searching the "best" BT headset (if it exists), I finally decided to take the Backbeat Pro 2 following the almost unanimous opinion . Honestly it was a big reception at cold shower. I absolutely hated the sound seemed to me perfectly flat view very unpleasant. The sound food music that I usually listen either metal (death, naked, etc.), electronics (downtempo, synthwave, etc.) have greatly lost dimensionality. This is mainly due to low enough disgusting that stifle the media. The effect is low too strong, very precise, as if you had the pillow stick to the membrane of a large speaker on foot. Felt the "membrane" tirelessly vibrate even when the lower lines must be fine and precise. While many music playing on the sound localization (right / up / down / up) in the midrange and treble, breath bass really impossible to take the pleasure to "see" the sound move to hide behind the wall fat. Unpleasant: And for me this to cause big headaches (a first). These evils are even stronger with the active suppression of ambient noise because the bass is even stronger and violently based on the eardrums even when the bass line is supposed to be erased. However and after a long hesitation, I'll keep the helmet ... Why? - Firstly because our brain adapts to the stamp. So even though I still plague these disgusting low on my android smartphone (which I have not found the equalizer worthy of the name), my brain filters out low in habits and succeeded in training to find mediums. -Under windows, I'm improving it by installing EqualizerAPO + Peace on Windows (putting Profile reducing -6-3dB low, increasing + 3-6dB to 166Hz to find the depth and treble &amp; gt; 16khz for accuracy ). But above all his other qualities that my usefulness was exactly what I was looking for: - A long battery life (24 hours carefree) - A multi-BT connection (Windows PC + android all the time without problems) - One of the best passive reduction noise I knew (the active reduction is actually pale in comparison). - Extremely comfortable, balanced and rather aesthetic (question of taste and head size). So after a very bad first impression, I slowly learned to live with. I still have some pain levels after several hours of listening. I still hate some music tracks disfigured by low and some audio books that sound like the actor spoke in a speaker supermarket but ... If I had more time and money, I will probably returned the helmet and looked for a sound that suits me best this price range but I will adapt. At least, I hope that this advice will be useful because it is quickly drowned out the fearful unanimously positive ratings and too little emphasis of the defects of this helmet. Finally, I will conclude with some bugs and bad design that will justify this average rating - the break sensors / AutoPlay when you lift the headset work poorly. When I lie in bed, there is poor detection often makes the sound choppy. - when you have two connected BT (PC + android for example), the input of one is often disturbed by the input of the other. Example: I disconnect a device from (which does not emit sound) and I jerks on the music for 10 seconds while the disconnection is effective. same thing during the connection. It's very annoying because I often far off from my PC at work listening to music on android. - buttons (including volume) Suck: imprecise, sometimes bustling at least contact (coat collar, pillow).</v>
      </c>
    </row>
    <row r="18470">
      <c r="A18470" s="1">
        <v>4.0</v>
      </c>
      <c r="B18470" s="1" t="s">
        <v>18167</v>
      </c>
      <c r="C18470" t="str">
        <f>IFERROR(__xludf.DUMMYFUNCTION("GOOGLETRANSLATE(B18470, ""fr"", ""en"")"),"Good size for children for my daughter to listen to his music or movies while staying at us.")</f>
        <v>Good size for children for my daughter to listen to his music or movies while staying at us.</v>
      </c>
    </row>
    <row r="18471">
      <c r="A18471" s="1">
        <v>4.0</v>
      </c>
      <c r="B18471" s="1" t="s">
        <v>18168</v>
      </c>
      <c r="C18471" t="str">
        <f>IFERROR(__xludf.DUMMYFUNCTION("GOOGLETRANSLATE(B18471, ""fr"", ""en"")"),"Its ok works well but looks fragile for children, be careful when folding")</f>
        <v>Its ok works well but looks fragile for children, be careful when folding</v>
      </c>
    </row>
    <row r="18472">
      <c r="A18472" s="1">
        <v>4.0</v>
      </c>
      <c r="B18472" s="1" t="s">
        <v>18169</v>
      </c>
      <c r="C18472" t="str">
        <f>IFERROR(__xludf.DUMMYFUNCTION("GOOGLETRANSLATE(B18472, ""fr"", ""en"")"),"Pair of basketball in good condition Pair of Basketball that I was looking for though the deer was dej a little worn in places but nothing too bad, especially for the price.")</f>
        <v>Pair of basketball in good condition Pair of Basketball that I was looking for though the deer was dej a little worn in places but nothing too bad, especially for the price.</v>
      </c>
    </row>
    <row r="18473">
      <c r="A18473" s="1">
        <v>4.0</v>
      </c>
      <c r="B18473" s="1" t="s">
        <v>18170</v>
      </c>
      <c r="C18473" t="str">
        <f>IFERROR(__xludf.DUMMYFUNCTION("GOOGLETRANSLATE(B18473, ""fr"", ""en"")"),"Dress nice round I had in black color and have also ordered blue. The dress is lined and the cut is perfect (even if a few forms, and no need to take one size up). The fabric is a little thick but the dress is nice even if it is very hot. It washes easily"&amp;", and no need for ironing (just to dry on a hanger).")</f>
        <v>Dress nice round I had in black color and have also ordered blue. The dress is lined and the cut is perfect (even if a few forms, and no need to take one size up). The fabric is a little thick but the dress is nice even if it is very hot. It washes easily, and no need for ironing (just to dry on a hanger).</v>
      </c>
    </row>
    <row r="18474">
      <c r="A18474" s="1">
        <v>5.0</v>
      </c>
      <c r="B18474" s="1" t="s">
        <v>18171</v>
      </c>
      <c r="C18474" t="str">
        <f>IFERROR(__xludf.DUMMYFUNCTION("GOOGLETRANSLATE(B18474, ""fr"", ""en"")"),"Compliant Compliant to use, small damage.")</f>
        <v>Compliant Compliant to use, small damage.</v>
      </c>
    </row>
    <row r="18475">
      <c r="A18475" s="1">
        <v>5.0</v>
      </c>
      <c r="B18475" s="1" t="s">
        <v>18172</v>
      </c>
      <c r="C18475" t="str">
        <f>IFERROR(__xludf.DUMMYFUNCTION("GOOGLETRANSLATE(B18475, ""fr"", ""en"")"),"Nothing other Practice")</f>
        <v>Nothing other Practice</v>
      </c>
    </row>
    <row r="18476">
      <c r="A18476" s="1">
        <v>5.0</v>
      </c>
      <c r="B18476" s="1" t="s">
        <v>18173</v>
      </c>
      <c r="C18476" t="str">
        <f>IFERROR(__xludf.DUMMYFUNCTION("GOOGLETRANSLATE(B18476, ""fr"", ""en"")"),"Perfect superior quite answer my request the quality is there, my daughter is happy, so do not hesitate Thanks")</f>
        <v>Perfect superior quite answer my request the quality is there, my daughter is happy, so do not hesitate Thanks</v>
      </c>
    </row>
    <row r="18477">
      <c r="A18477" s="1">
        <v>5.0</v>
      </c>
      <c r="B18477" s="1" t="s">
        <v>18174</v>
      </c>
      <c r="C18477" t="str">
        <f>IFERROR(__xludf.DUMMYFUNCTION("GOOGLETRANSLATE(B18477, ""fr"", ""en"")"),"Super super quality socks, ventilated properly. Their quality is exceptional. I had bought it a few years ago and they did not move after an impressive number porting and washing. Congratulations to Head of maintaining this unique product with all that ex"&amp;"ists also in the market of sports socks. Finally a sustainable product. Thank you for the planet and for our comfort!")</f>
        <v>Super super quality socks, ventilated properly. Their quality is exceptional. I had bought it a few years ago and they did not move after an impressive number porting and washing. Congratulations to Head of maintaining this unique product with all that exists also in the market of sports socks. Finally a sustainable product. Thank you for the planet and for our comfort!</v>
      </c>
    </row>
    <row r="18478">
      <c r="A18478" s="1">
        <v>5.0</v>
      </c>
      <c r="B18478" s="1" t="s">
        <v>18175</v>
      </c>
      <c r="C18478" t="str">
        <f>IFERROR(__xludf.DUMMYFUNCTION("GOOGLETRANSLATE(B18478, ""fr"", ""en"")"),"Sealing ok Very convenient to transform the beetle in small pot!")</f>
        <v>Sealing ok Very convenient to transform the beetle in small pot!</v>
      </c>
    </row>
    <row r="18479">
      <c r="A18479" s="1">
        <v>5.0</v>
      </c>
      <c r="B18479" s="1" t="s">
        <v>18176</v>
      </c>
      <c r="C18479" t="str">
        <f>IFERROR(__xludf.DUMMYFUNCTION("GOOGLETRANSLATE(B18479, ""fr"", ""en"")"),"Good product Good quality at a very keen price. In my case, they fit perfectly when I run, the sound is correct. I'll buy it again without a doubt!")</f>
        <v>Good product Good quality at a very keen price. In my case, they fit perfectly when I run, the sound is correct. I'll buy it again without a doubt!</v>
      </c>
    </row>
    <row r="18480">
      <c r="A18480" s="1">
        <v>5.0</v>
      </c>
      <c r="B18480" s="1" t="s">
        <v>18177</v>
      </c>
      <c r="C18480" t="str">
        <f>IFERROR(__xludf.DUMMYFUNCTION("GOOGLETRANSLATE(B18480, ""fr"", ""en"")"),"Top Leger .... robust ..")</f>
        <v>Top Leger .... robust ..</v>
      </c>
    </row>
    <row r="18481">
      <c r="A18481" s="1">
        <v>5.0</v>
      </c>
      <c r="B18481" s="1" t="s">
        <v>18178</v>
      </c>
      <c r="C18481" t="str">
        <f>IFERROR(__xludf.DUMMYFUNCTION("GOOGLETRANSLATE(B18481, ""fr"", ""en"")"),"very good but too this product is very useful and convenient (reusable) when I have a bad back. As against its large size is not practical to heat it in the microwave. I should have taken the size below")</f>
        <v>very good but too this product is very useful and convenient (reusable) when I have a bad back. As against its large size is not practical to heat it in the microwave. I should have taken the size below</v>
      </c>
    </row>
    <row r="18482">
      <c r="A18482" s="1">
        <v>5.0</v>
      </c>
      <c r="B18482" s="1" t="s">
        <v>18179</v>
      </c>
      <c r="C18482" t="str">
        <f>IFERROR(__xludf.DUMMYFUNCTION("GOOGLETRANSLATE(B18482, ""fr"", ""en"")"),"Perfect. That's who I need .a perfect Christmas gift for my little friend. !!! lol lol lol lol lol lol lol")</f>
        <v>Perfect. That's who I need .a perfect Christmas gift for my little friend. !!! lol lol lol lol lol lol lol</v>
      </c>
    </row>
    <row r="18483">
      <c r="A18483" s="1">
        <v>5.0</v>
      </c>
      <c r="B18483" s="1" t="s">
        <v>18180</v>
      </c>
      <c r="C18483" t="str">
        <f>IFERROR(__xludf.DUMMYFUNCTION("GOOGLETRANSLATE(B18483, ""fr"", ""en"")"),"Perfect kettle very well done, thermostat accurate and fast heating. It is a bit expensive compared to other products, but the difference is justified by the quality of the product.")</f>
        <v>Perfect kettle very well done, thermostat accurate and fast heating. It is a bit expensive compared to other products, but the difference is justified by the quality of the product.</v>
      </c>
    </row>
    <row r="18484">
      <c r="A18484" s="1">
        <v>5.0</v>
      </c>
      <c r="B18484" s="1" t="s">
        <v>18181</v>
      </c>
      <c r="C18484" t="str">
        <f>IFERROR(__xludf.DUMMYFUNCTION("GOOGLETRANSLATE(B18484, ""fr"", ""en"")"),"Nikel product is really good! Our baby has no colic. Disassembles completely therefore extremely easy to clean. The nipples are very solid. In short it is really nikel! Thank you")</f>
        <v>Nikel product is really good! Our baby has no colic. Disassembles completely therefore extremely easy to clean. The nipples are very solid. In short it is really nikel! Thank you</v>
      </c>
    </row>
    <row r="18485">
      <c r="A18485" s="1">
        <v>5.0</v>
      </c>
      <c r="B18485" s="1" t="s">
        <v>18182</v>
      </c>
      <c r="C18485" t="str">
        <f>IFERROR(__xludf.DUMMYFUNCTION("GOOGLETRANSLATE(B18485, ""fr"", ""en"")"),"Perfect! I am bought it because it was just lovely! I do not regret my choice, I even wear it in water and it is not afraid. The necklace and the pendant are very good qualities!")</f>
        <v>Perfect! I am bought it because it was just lovely! I do not regret my choice, I even wear it in water and it is not afraid. The necklace and the pendant are very good qualities!</v>
      </c>
    </row>
    <row r="18486">
      <c r="A18486" s="1">
        <v>5.0</v>
      </c>
      <c r="B18486" s="1" t="s">
        <v>18183</v>
      </c>
      <c r="C18486" t="str">
        <f>IFERROR(__xludf.DUMMYFUNCTION("GOOGLETRANSLATE(B18486, ""fr"", ""en"")"),"Great headphones! I recommend ! In the research a bluetooth headset ANC, I inquired on several products and I dwell on this one following the different opinions that I read it. I must say that I am not disappointed! It is very comfortable, pleasant to wea"&amp;"r (even over a long period). The foam is thick enough, it completely bypasses my ears. Noise reduction is very impressive and is excellent! (Tested by plane, train and work space, co-working) Sound quality is satisfactory, the parasites will always find s"&amp;"omething to complain about but the headset is very good. Autonomy is more than respectable I do es not take after between charges but I never worried whether his tenacity in time. The Bluetooth connection is very simple and is recognized very easily and v"&amp;"ery quickly my iPhone. It is stable and permanent unlike some headphones. To conclude from the time I hesitate to take this kind of product my only regret is not having to buy earlier.")</f>
        <v>Great headphones! I recommend ! In the research a bluetooth headset ANC, I inquired on several products and I dwell on this one following the different opinions that I read it. I must say that I am not disappointed! It is very comfortable, pleasant to wear (even over a long period). The foam is thick enough, it completely bypasses my ears. Noise reduction is very impressive and is excellent! (Tested by plane, train and work space, co-working) Sound quality is satisfactory, the parasites will always find something to complain about but the headset is very good. Autonomy is more than respectable I do es not take after between charges but I never worried whether his tenacity in time. The Bluetooth connection is very simple and is recognized very easily and very quickly my iPhone. It is stable and permanent unlike some headphones. To conclude from the time I hesitate to take this kind of product my only regret is not having to buy earlier.</v>
      </c>
    </row>
    <row r="18487">
      <c r="A18487" s="1">
        <v>5.0</v>
      </c>
      <c r="B18487" s="1" t="s">
        <v>18184</v>
      </c>
      <c r="C18487" t="str">
        <f>IFERROR(__xludf.DUMMYFUNCTION("GOOGLETRANSLATE(B18487, ""fr"", ""en"")"),"Okay bags are thicker and more solid than the bags that I used to take; it also seems a little larger than my traditional 20l and so much nicer closing all not really more expensive. Satisfied with my purchase.")</f>
        <v>Okay bags are thicker and more solid than the bags that I used to take; it also seems a little larger than my traditional 20l and so much nicer closing all not really more expensive. Satisfied with my purchase.</v>
      </c>
    </row>
    <row r="18488">
      <c r="A18488" s="1">
        <v>5.0</v>
      </c>
      <c r="B18488" s="1" t="s">
        <v>18185</v>
      </c>
      <c r="C18488" t="str">
        <f>IFERROR(__xludf.DUMMYFUNCTION("GOOGLETRANSLATE(B18488, ""fr"", ""en"")"),"Bottles mam Very good product!")</f>
        <v>Bottles mam Very good product!</v>
      </c>
    </row>
    <row r="18489">
      <c r="A18489" s="1">
        <v>2.0</v>
      </c>
      <c r="B18489" s="1" t="s">
        <v>18186</v>
      </c>
      <c r="C18489" t="str">
        <f>IFERROR(__xludf.DUMMYFUNCTION("GOOGLETRANSLATE(B18489, ""fr"", ""en"")"),"Looks child shows a screen Very fine for an adult is more like a child shows. I therefore the offer has a child instead of a man")</f>
        <v>Looks child shows a screen Very fine for an adult is more like a child shows. I therefore the offer has a child instead of a man</v>
      </c>
    </row>
    <row r="18490">
      <c r="A18490" s="1">
        <v>1.0</v>
      </c>
      <c r="B18490" s="1" t="s">
        <v>18187</v>
      </c>
      <c r="C18490" t="str">
        <f>IFERROR(__xludf.DUMMYFUNCTION("GOOGLETRANSLATE(B18490, ""fr"", ""en"")"),"to avoid !! After three weeks of using the sole is worn abnormally (more guts ripped + sole) plus it comes off. Deformation of the shoe and the foot shape !! Really worth the price they sell them. not to buy. A simple scam sold at full price. Thank you to"&amp;" the manager amazon to remove such products from their store!")</f>
        <v>to avoid !! After three weeks of using the sole is worn abnormally (more guts ripped + sole) plus it comes off. Deformation of the shoe and the foot shape !! Really worth the price they sell them. not to buy. A simple scam sold at full price. Thank you to the manager amazon to remove such products from their store!</v>
      </c>
    </row>
    <row r="18491">
      <c r="A18491" s="1">
        <v>1.0</v>
      </c>
      <c r="B18491" s="1" t="s">
        <v>18188</v>
      </c>
      <c r="C18491" t="str">
        <f>IFERROR(__xludf.DUMMYFUNCTION("GOOGLETRANSLATE(B18491, ""fr"", ""en"")"),"I DO NOT RECOMMEND THIS PRODUCT If USE VERY QUICKLY AND EASILY AND BREAKS NOT VERY USEFUL FOR CLEANING BOTTLES CA CLEAN PROPERLY")</f>
        <v>I DO NOT RECOMMEND THIS PRODUCT If USE VERY QUICKLY AND EASILY AND BREAKS NOT VERY USEFUL FOR CLEANING BOTTLES CA CLEAN PROPERLY</v>
      </c>
    </row>
    <row r="18492">
      <c r="A18492" s="1">
        <v>3.0</v>
      </c>
      <c r="B18492" s="1" t="s">
        <v>18189</v>
      </c>
      <c r="C18492" t="str">
        <f>IFERROR(__xludf.DUMMYFUNCTION("GOOGLETRANSLATE(B18492, ""fr"", ""en"")"),"Although personal use A bit small compared to photos")</f>
        <v>Although personal use A bit small compared to photos</v>
      </c>
    </row>
    <row r="18493">
      <c r="A18493" s="1">
        <v>4.0</v>
      </c>
      <c r="B18493" s="1" t="s">
        <v>18190</v>
      </c>
      <c r="C18493" t="str">
        <f>IFERROR(__xludf.DUMMYFUNCTION("GOOGLETRANSLATE(B18493, ""fr"", ""en"")"),"Both practical but ... Four stars for the diffuser is very convenient to use, almost silent, but for now I can not really dosing oils, as in my old glass (it was pouring oils pure); then mixing with water as directed does not convinces me 100 to 100; he d"&amp;"oes fogger is also a (hence the four stars) but I am still looking without having to pay my entire bottle of oil, how to dose the oil / water ratio; perhaps it would have been interesting to indicate record: so many drops as milliliters for a particular r"&amp;"ésulat because I fumble a lot .... and I find that in the end, oils perfumes are truncated ; but I will edit my review if I can get what I want!")</f>
        <v>Both practical but ... Four stars for the diffuser is very convenient to use, almost silent, but for now I can not really dosing oils, as in my old glass (it was pouring oils pure); then mixing with water as directed does not convinces me 100 to 100; he does fogger is also a (hence the four stars) but I am still looking without having to pay my entire bottle of oil, how to dose the oil / water ratio; perhaps it would have been interesting to indicate record: so many drops as milliliters for a particular résulat because I fumble a lot .... and I find that in the end, oils perfumes are truncated ; but I will edit my review if I can get what I want!</v>
      </c>
    </row>
    <row r="18494">
      <c r="A18494" s="1">
        <v>4.0</v>
      </c>
      <c r="B18494" s="1" t="s">
        <v>18191</v>
      </c>
      <c r="C18494" t="str">
        <f>IFERROR(__xludf.DUMMYFUNCTION("GOOGLETRANSLATE(B18494, ""fr"", ""en"")"),"bluetooth headset I am amazed that a headset so small and wireless can give a good quality telephone communication. Because that is its primary use. One can of course listen to music from his laptop, but we will not have the quality of MPOW headphones I b"&amp;"ought. Here, the low saturate quickly in music listening. We must therefore play with an equalizer. The battery lasts a long time; I second flight 3 hours music listening and it is still not empty (6h are announced) Too bad there is no volume control on t"&amp;"he headset. The charger is also tiny, magnetic, good idea")</f>
        <v>bluetooth headset I am amazed that a headset so small and wireless can give a good quality telephone communication. Because that is its primary use. One can of course listen to music from his laptop, but we will not have the quality of MPOW headphones I bought. Here, the low saturate quickly in music listening. We must therefore play with an equalizer. The battery lasts a long time; I second flight 3 hours music listening and it is still not empty (6h are announced) Too bad there is no volume control on the headset. The charger is also tiny, magnetic, good idea</v>
      </c>
    </row>
    <row r="18495">
      <c r="A18495" s="1">
        <v>4.0</v>
      </c>
      <c r="B18495" s="1" t="s">
        <v>18192</v>
      </c>
      <c r="C18495" t="str">
        <f>IFERROR(__xludf.DUMMYFUNCTION("GOOGLETRANSLATE(B18495, ""fr"", ""en"")"),"Perfect as usual received within 👏🏻Très time practice shows beautiful and easy to use with all that it Is to adjust the strap small flat with instructions French would be welcome for the bracelet setting c why j 'I put 4 stars ⭐️")</f>
        <v>Perfect as usual received within 👏🏻Très time practice shows beautiful and easy to use with all that it Is to adjust the strap small flat with instructions French would be welcome for the bracelet setting c why j 'I put 4 stars ⭐️</v>
      </c>
    </row>
    <row r="18496">
      <c r="A18496" s="1">
        <v>4.0</v>
      </c>
      <c r="B18496" s="1" t="s">
        <v>18193</v>
      </c>
      <c r="C18496" t="str">
        <f>IFERROR(__xludf.DUMMYFUNCTION("GOOGLETRANSLATE(B18496, ""fr"", ""en"")"),"Very correct After roaccutane I have extremely dry and sensitive skin, I only supports very few products. We begin by cleansing the face with our usual soap, I go very slowly on this step because just pass me moisturizing organic soap and all that I need "&amp;"the skin feels tight after horribly. Then we put the mask, not very easy to unfold, one makes a mess ... It keeps in place and not moving too much, it tingles a little early, but not for long, removed after 15min, it remove the excess with a cotton. where"&amp;" the sensation is not pleasant: it sticks ... At the point of crumbling cotton on the face, that feeling remains for at least 30min before the skin absorbs the rest. What is unfortunate is the amount of product remaining in the package by removing the mas"&amp;"k, it makes you want to reuse it two or three times ... Otherwise actually the skin is well hydrated and ultra soft, it ' is enjoyable ! I am relatively satisfied with this product, which is rare with my skin!")</f>
        <v>Very correct After roaccutane I have extremely dry and sensitive skin, I only supports very few products. We begin by cleansing the face with our usual soap, I go very slowly on this step because just pass me moisturizing organic soap and all that I need the skin feels tight after horribly. Then we put the mask, not very easy to unfold, one makes a mess ... It keeps in place and not moving too much, it tingles a little early, but not for long, removed after 15min, it remove the excess with a cotton. where the sensation is not pleasant: it sticks ... At the point of crumbling cotton on the face, that feeling remains for at least 30min before the skin absorbs the rest. What is unfortunate is the amount of product remaining in the package by removing the mask, it makes you want to reuse it two or three times ... Otherwise actually the skin is well hydrated and ultra soft, it ' is enjoyable ! I am relatively satisfied with this product, which is rare with my skin!</v>
      </c>
    </row>
    <row r="18497">
      <c r="A18497" s="1">
        <v>5.0</v>
      </c>
      <c r="B18497" s="1" t="s">
        <v>18194</v>
      </c>
      <c r="C18497" t="str">
        <f>IFERROR(__xludf.DUMMYFUNCTION("GOOGLETRANSLATE(B18497, ""fr"", ""en"")"),"Very good very good basketball as slippers I recommend good value for money")</f>
        <v>Very good very good basketball as slippers I recommend good value for money</v>
      </c>
    </row>
    <row r="18498">
      <c r="A18498" s="1">
        <v>5.0</v>
      </c>
      <c r="B18498" s="1" t="s">
        <v>18195</v>
      </c>
      <c r="C18498" t="str">
        <f>IFERROR(__xludf.DUMMYFUNCTION("GOOGLETRANSLATE(B18498, ""fr"", ""en"")"),"Value for money No comment")</f>
        <v>Value for money No comment</v>
      </c>
    </row>
    <row r="18499">
      <c r="A18499" s="1">
        <v>5.0</v>
      </c>
      <c r="B18499" s="1" t="s">
        <v>18196</v>
      </c>
      <c r="C18499" t="str">
        <f>IFERROR(__xludf.DUMMYFUNCTION("GOOGLETRANSLATE(B18499, ""fr"", ""en"")"),"Product according Okay")</f>
        <v>Product according Okay</v>
      </c>
    </row>
    <row r="18500">
      <c r="A18500" s="1">
        <v>5.0</v>
      </c>
      <c r="B18500" s="1" t="s">
        <v>18197</v>
      </c>
      <c r="C18500" t="str">
        <f>IFERROR(__xludf.DUMMYFUNCTION("GOOGLETRANSLATE(B18500, ""fr"", ""en"")"),"Perfect! Lamp bought for my daughter's room is delighted. flexible touch lighting 3 levels to work night and the color of your choice for children who are afraid of the dark. Quality materials, quality finishes. No complaints. It's perfect!")</f>
        <v>Perfect! Lamp bought for my daughter's room is delighted. flexible touch lighting 3 levels to work night and the color of your choice for children who are afraid of the dark. Quality materials, quality finishes. No complaints. It's perfect!</v>
      </c>
    </row>
    <row r="18501">
      <c r="A18501" s="1">
        <v>5.0</v>
      </c>
      <c r="B18501" s="1" t="s">
        <v>18198</v>
      </c>
      <c r="C18501" t="str">
        <f>IFERROR(__xludf.DUMMYFUNCTION("GOOGLETRANSLATE(B18501, ""fr"", ""en"")"),"Even more expensive there is no better !!! It's rare when I'm so satisfied with a purchase, that's why I wanted to take the time to post a comment. After a month of using the balance sheet and clear: this tea is just perfect! Every detail has been designe"&amp;"d with great intelligence and practical sense: Its curb weight is light and stainless steel material inspires confidence, good handling even filled to block hand.. Good view of the water level with wide range of the amount of water to be heated: from a cu"&amp;"p to a large saucepan to heat water for pasta or a bowl to mop the floor. Choosing the precise desired temperature ultra simple to program with the advantage to remember the last choice that will be offered first. water temperature visualization in real t"&amp;"ime with the possibility of removing the kettle at any time. After the heater just press a button to indefinitely maintain the water at the same temperature. powerful kettle that heats to 100 degrees in an instant. A very small short beep indicates that t"&amp;"he water has reached the required temperature. Ultra easy cleaning either outside or inside due to its hidden resistance. We can even cook vegetables directly in the kettle. In same conclusion twice the price I have not found better.")</f>
        <v>Even more expensive there is no better !!! It's rare when I'm so satisfied with a purchase, that's why I wanted to take the time to post a comment. After a month of using the balance sheet and clear: this tea is just perfect! Every detail has been designed with great intelligence and practical sense: Its curb weight is light and stainless steel material inspires confidence, good handling even filled to block hand.. Good view of the water level with wide range of the amount of water to be heated: from a cup to a large saucepan to heat water for pasta or a bowl to mop the floor. Choosing the precise desired temperature ultra simple to program with the advantage to remember the last choice that will be offered first. water temperature visualization in real time with the possibility of removing the kettle at any time. After the heater just press a button to indefinitely maintain the water at the same temperature. powerful kettle that heats to 100 degrees in an instant. A very small short beep indicates that the water has reached the required temperature. Ultra easy cleaning either outside or inside due to its hidden resistance. We can even cook vegetables directly in the kettle. In same conclusion twice the price I have not found better.</v>
      </c>
    </row>
    <row r="18502">
      <c r="A18502" s="1">
        <v>5.0</v>
      </c>
      <c r="B18502" s="1" t="s">
        <v>18199</v>
      </c>
      <c r="C18502" t="str">
        <f>IFERROR(__xludf.DUMMYFUNCTION("GOOGLETRANSLATE(B18502, ""fr"", ""en"")"),"Extra! So what about his headphones! First order Monday received Tuesday in less than 24 hours 👍 The packaging is clean and sober really qualified. Time to headphones the sound is really clean no easy shift to sail on his phone or other bluetooth. They a"&amp;"re just perfect. The charging case is still very small and very easy to carry. For the price it's really just great! 👍☺️ You can go there with closed eyes the value're really great! And what customer service is really more than the top and answers all yo"&amp;"ur questions! I have been dealing with the same person from beginning to end, and it's really a pleasure to have a customer service also listening and even taking new clients ☺️ Thank V ""product specialist klim which was at the top 👍")</f>
        <v>Extra! So what about his headphones! First order Monday received Tuesday in less than 24 hours 👍 The packaging is clean and sober really qualified. Time to headphones the sound is really clean no easy shift to sail on his phone or other bluetooth. They are just perfect. The charging case is still very small and very easy to carry. For the price it's really just great! 👍☺️ You can go there with closed eyes the value're really great! And what customer service is really more than the top and answers all your questions! I have been dealing with the same person from beginning to end, and it's really a pleasure to have a customer service also listening and even taking new clients ☺️ Thank V "product specialist klim which was at the top 👍</v>
      </c>
    </row>
    <row r="18503">
      <c r="A18503" s="1">
        <v>5.0</v>
      </c>
      <c r="B18503" s="1" t="s">
        <v>18200</v>
      </c>
      <c r="C18503" t="str">
        <f>IFERROR(__xludf.DUMMYFUNCTION("GOOGLETRANSLATE(B18503, ""fr"", ""en"")"),"In the top !!! Super beautiful blue, size is nickel. The material is very pleasant. Warm, perfect for autumn / winter. I recommend 100% my purchase. I am very satisfied.")</f>
        <v>In the top !!! Super beautiful blue, size is nickel. The material is very pleasant. Warm, perfect for autumn / winter. I recommend 100% my purchase. I am very satisfied.</v>
      </c>
    </row>
    <row r="18504">
      <c r="A18504" s="1">
        <v>5.0</v>
      </c>
      <c r="B18504" s="1" t="s">
        <v>18201</v>
      </c>
      <c r="C18504" t="str">
        <f>IFERROR(__xludf.DUMMYFUNCTION("GOOGLETRANSLATE(B18504, ""fr"", ""en"")"),"shoes TBS great I had, but I needed to renew I tried to order on AMAZON well took me this is exactly my size. little flat color is not met (I board ordered navy blue and I got gray) but they fit me so well that I care! and decided that the next time I wil"&amp;"l recommend the same but this time Marine (I rely on amazon for not mistaking color) and thank you for your speedy delivery customer fidel I am and I will remain customer")</f>
        <v>shoes TBS great I had, but I needed to renew I tried to order on AMAZON well took me this is exactly my size. little flat color is not met (I board ordered navy blue and I got gray) but they fit me so well that I care! and decided that the next time I will recommend the same but this time Marine (I rely on amazon for not mistaking color) and thank you for your speedy delivery customer fidel I am and I will remain customer</v>
      </c>
    </row>
    <row r="18505">
      <c r="A18505" s="1">
        <v>5.0</v>
      </c>
      <c r="B18505" s="1" t="s">
        <v>18202</v>
      </c>
      <c r="C18505" t="str">
        <f>IFERROR(__xludf.DUMMYFUNCTION("GOOGLETRANSLATE(B18505, ""fr"", ""en"")"),"Adapted as planned Yes I love")</f>
        <v>Adapted as planned Yes I love</v>
      </c>
    </row>
    <row r="18506">
      <c r="A18506" s="1">
        <v>5.0</v>
      </c>
      <c r="B18506" s="1" t="s">
        <v>18203</v>
      </c>
      <c r="C18506" t="str">
        <f>IFERROR(__xludf.DUMMYFUNCTION("GOOGLETRANSLATE(B18506, ""fr"", ""en"")"),"very good product ! perfect as a directional microphone. it is light and very professional. it is a little fragile, so be careful when transporting material")</f>
        <v>very good product ! perfect as a directional microphone. it is light and very professional. it is a little fragile, so be careful when transporting material</v>
      </c>
    </row>
    <row r="18507">
      <c r="A18507" s="1">
        <v>5.0</v>
      </c>
      <c r="B18507" s="1" t="s">
        <v>18204</v>
      </c>
      <c r="C18507" t="str">
        <f>IFERROR(__xludf.DUMMYFUNCTION("GOOGLETRANSLATE(B18507, ""fr"", ""en"")"),"Nice rendering I have to offer to buy the gift much more! The colors are beautiful and really live :) I recommend")</f>
        <v>Nice rendering I have to offer to buy the gift much more! The colors are beautiful and really live :) I recommend</v>
      </c>
    </row>
    <row r="18508">
      <c r="A18508" s="1">
        <v>5.0</v>
      </c>
      <c r="B18508" s="1" t="s">
        <v>18205</v>
      </c>
      <c r="C18508" t="str">
        <f>IFERROR(__xludf.DUMMYFUNCTION("GOOGLETRANSLATE(B18508, ""fr"", ""en"")"),"Perfect Size great but I already knew so I took an S while in the other brand I put the M, but I always refer me to size guide on the website of the brand not me ZSee has other than that it is the quality, I never was disappointed at Nike")</f>
        <v>Perfect Size great but I already knew so I took an S while in the other brand I put the M, but I always refer me to size guide on the website of the brand not me ZSee has other than that it is the quality, I never was disappointed at Nike</v>
      </c>
    </row>
    <row r="18509">
      <c r="A18509" s="1">
        <v>5.0</v>
      </c>
      <c r="B18509" s="1" t="s">
        <v>18206</v>
      </c>
      <c r="C18509" t="str">
        <f>IFERROR(__xludf.DUMMYFUNCTION("GOOGLETRANSLATE(B18509, ""fr"", ""en"")"),"It is a helmet Breathtaking This is an excellent helmet with good bass. Superior comfort that hides all the little sound. I was stunned when I test. Yes it was pricey, but be aware that this is a very good JBL headphones and its worth the blows.")</f>
        <v>It is a helmet Breathtaking This is an excellent helmet with good bass. Superior comfort that hides all the little sound. I was stunned when I test. Yes it was pricey, but be aware that this is a very good JBL headphones and its worth the blows.</v>
      </c>
    </row>
    <row r="18510">
      <c r="A18510" s="1">
        <v>5.0</v>
      </c>
      <c r="B18510" s="1" t="s">
        <v>18207</v>
      </c>
      <c r="C18510" t="str">
        <f>IFERROR(__xludf.DUMMYFUNCTION("GOOGLETRANSLATE(B18510, ""fr"", ""en"")"),"Very good camera Great value for money kit starter kits provided. Fast, efficient, reliable")</f>
        <v>Very good camera Great value for money kit starter kits provided. Fast, efficient, reliable</v>
      </c>
    </row>
    <row r="18511">
      <c r="A18511" s="1">
        <v>5.0</v>
      </c>
      <c r="B18511" s="1" t="s">
        <v>18208</v>
      </c>
      <c r="C18511" t="str">
        <f>IFERROR(__xludf.DUMMYFUNCTION("GOOGLETRANSLATE(B18511, ""fr"", ""en"")"),"Okay Meets Demand")</f>
        <v>Okay Meets Demand</v>
      </c>
    </row>
    <row r="18512">
      <c r="A18512" s="1">
        <v>2.0</v>
      </c>
      <c r="B18512" s="1" t="s">
        <v>18209</v>
      </c>
      <c r="C18512" t="str">
        <f>IFERROR(__xludf.DUMMYFUNCTION("GOOGLETRANSLATE(B18512, ""fr"", ""en"")"),"Shoes kappa Carnations that detach from the shoe damage after 10 or 15 times I put the")</f>
        <v>Shoes kappa Carnations that detach from the shoe damage after 10 or 15 times I put the</v>
      </c>
    </row>
    <row r="18513">
      <c r="A18513" s="1">
        <v>1.0</v>
      </c>
      <c r="B18513" s="1" t="s">
        <v>18210</v>
      </c>
      <c r="C18513" t="str">
        <f>IFERROR(__xludf.DUMMYFUNCTION("GOOGLETRANSLATE(B18513, ""fr"", ""en"")"),"doesnt watch stopped working after only 2 days .. money thrown.")</f>
        <v>doesnt watch stopped working after only 2 days .. money thrown.</v>
      </c>
    </row>
    <row r="18514">
      <c r="A18514" s="1">
        <v>3.0</v>
      </c>
      <c r="B18514" s="1" t="s">
        <v>18211</v>
      </c>
      <c r="C18514" t="str">
        <f>IFERROR(__xludf.DUMMYFUNCTION("GOOGLETRANSLATE(B18514, ""fr"", ""en"")"),"Moderately satisfied For text documents, printing is correct even if the ink is quite fluid and the level tends to go down fast. For photo prints, are to be avoided because of the ink that is not of good quality and is too fluid. Oh precision, this pack i"&amp;"s presented as suitable for pictures. This is not the case where my note. There are five ink cartridges and nothing more. Disappointment...")</f>
        <v>Moderately satisfied For text documents, printing is correct even if the ink is quite fluid and the level tends to go down fast. For photo prints, are to be avoided because of the ink that is not of good quality and is too fluid. Oh precision, this pack is presented as suitable for pictures. This is not the case where my note. There are five ink cartridges and nothing more. Disappointment...</v>
      </c>
    </row>
    <row r="18515">
      <c r="A18515" s="1">
        <v>3.0</v>
      </c>
      <c r="B18515" s="1" t="s">
        <v>18212</v>
      </c>
      <c r="C18515" t="str">
        <f>IFERROR(__xludf.DUMMYFUNCTION("GOOGLETRANSLATE(B18515, ""fr"", ""en"")"),"nice but some just nice size level but a fair bit in size")</f>
        <v>nice but some just nice size level but a fair bit in size</v>
      </c>
    </row>
    <row r="18516">
      <c r="A18516" s="1">
        <v>4.0</v>
      </c>
      <c r="B18516" s="1" t="s">
        <v>18213</v>
      </c>
      <c r="C18516" t="str">
        <f>IFERROR(__xludf.DUMMYFUNCTION("GOOGLETRANSLATE(B18516, ""fr"", ""en"")"),"practice and design This is a beautiful toaster distinguished by its unusual square shape and a very successful aesthetic. Solid and well finished, it does not clutter the work plan because it is relatively compact. It is provided with a double slit for g"&amp;"rilling small easily halved loaves on the width or two thick slices of bread crumb and a gate to heat croissants. It is also equipped with a function to raise the bread but also the ""Lift and Look"" that can check running the degree of browning, it is ve"&amp;"ry convenient and it allows to use frozen bread by thawing function. The possibilities are very comprehensive and the whole is solid and well finished, this is perfect for breakfast. The design is very successful and it is important because it is a device"&amp;" that is permanently on the kitchen worktop.")</f>
        <v>practice and design This is a beautiful toaster distinguished by its unusual square shape and a very successful aesthetic. Solid and well finished, it does not clutter the work plan because it is relatively compact. It is provided with a double slit for grilling small easily halved loaves on the width or two thick slices of bread crumb and a gate to heat croissants. It is also equipped with a function to raise the bread but also the "Lift and Look" that can check running the degree of browning, it is very convenient and it allows to use frozen bread by thawing function. The possibilities are very comprehensive and the whole is solid and well finished, this is perfect for breakfast. The design is very successful and it is important because it is a device that is permanently on the kitchen worktop.</v>
      </c>
    </row>
    <row r="18517">
      <c r="A18517" s="1">
        <v>4.0</v>
      </c>
      <c r="B18517" s="1" t="s">
        <v>18214</v>
      </c>
      <c r="C18517" t="str">
        <f>IFERROR(__xludf.DUMMYFUNCTION("GOOGLETRANSLATE(B18517, ""fr"", ""en"")"),"Very comfortable, well insulated soles. Tennis pleasant to wear in the garden and on the street, well cut, feet thick are not tight and that is significant ... only drawback: the line between white and blue canvas rubber is not sharp, white ""drool"" a li"&amp;"ttle on the blue.")</f>
        <v>Very comfortable, well insulated soles. Tennis pleasant to wear in the garden and on the street, well cut, feet thick are not tight and that is significant ... only drawback: the line between white and blue canvas rubber is not sharp, white "drool" a little on the blue.</v>
      </c>
    </row>
    <row r="18518">
      <c r="A18518" s="1">
        <v>4.0</v>
      </c>
      <c r="B18518" s="1" t="s">
        <v>18215</v>
      </c>
      <c r="C18518" t="str">
        <f>IFERROR(__xludf.DUMMYFUNCTION("GOOGLETRANSLATE(B18518, ""fr"", ""en"")"),"Cheap can contain a computer 12p and other documents not bad! A little too big for me but stylish")</f>
        <v>Cheap can contain a computer 12p and other documents not bad! A little too big for me but stylish</v>
      </c>
    </row>
    <row r="18519">
      <c r="A18519" s="1">
        <v>4.0</v>
      </c>
      <c r="B18519" s="1" t="s">
        <v>18216</v>
      </c>
      <c r="C18519" t="str">
        <f>IFERROR(__xludf.DUMMYFUNCTION("GOOGLETRANSLATE(B18519, ""fr"", ""en"")"),"Legging good quality for the price the legging is very good pleasantly surprised. He correctly sized greenhouse and well at the thigh and buttocks take its usual size. I did 1m65 and the length is perfect (not too short). It is not transparent and a perfe"&amp;"ct thickness for not seeing panty seams. The side pockets are handy when practicing a sport such as tennis or simply to put papers or laptop that hold it. There is also a small interior pocket at the waist. The only downside is the friction on the thighs "&amp;"makes a light small noise but nothing too bothersome. And the part that is on the belly (legging high waist) that during movement such as running rolls on itself so poor performance of the belt. Personally it does not bother me and I would recommend these"&amp;" leggings because I love this area which makes me think of my own that I bought in the US.")</f>
        <v>Legging good quality for the price the legging is very good pleasantly surprised. He correctly sized greenhouse and well at the thigh and buttocks take its usual size. I did 1m65 and the length is perfect (not too short). It is not transparent and a perfect thickness for not seeing panty seams. The side pockets are handy when practicing a sport such as tennis or simply to put papers or laptop that hold it. There is also a small interior pocket at the waist. The only downside is the friction on the thighs makes a light small noise but nothing too bothersome. And the part that is on the belly (legging high waist) that during movement such as running rolls on itself so poor performance of the belt. Personally it does not bother me and I would recommend these leggings because I love this area which makes me think of my own that I bought in the US.</v>
      </c>
    </row>
    <row r="18520">
      <c r="A18520" s="1">
        <v>5.0</v>
      </c>
      <c r="B18520" s="1" t="s">
        <v>18217</v>
      </c>
      <c r="C18520" t="str">
        <f>IFERROR(__xludf.DUMMYFUNCTION("GOOGLETRANSLATE(B18520, ""fr"", ""en"")"),"That found everything on your website Good product")</f>
        <v>That found everything on your website Good product</v>
      </c>
    </row>
    <row r="18521">
      <c r="A18521" s="1">
        <v>5.0</v>
      </c>
      <c r="B18521" s="1" t="s">
        <v>18218</v>
      </c>
      <c r="C18521" t="str">
        <f>IFERROR(__xludf.DUMMYFUNCTION("GOOGLETRANSLATE(B18521, ""fr"", ""en"")"),"good resistance leaves much hold stool and wash several times qd they have only pee, they are very resistant")</f>
        <v>good resistance leaves much hold stool and wash several times qd they have only pee, they are very resistant</v>
      </c>
    </row>
    <row r="18522">
      <c r="A18522" s="1">
        <v>5.0</v>
      </c>
      <c r="B18522" s="1" t="s">
        <v>18219</v>
      </c>
      <c r="C18522" t="str">
        <f>IFERROR(__xludf.DUMMYFUNCTION("GOOGLETRANSLATE(B18522, ""fr"", ""en"")"),"Because MAM has no monopoly flat nipples .. Long before the birth of my son I wanted bottles with nipples flat. In the market we were not spoiled for choice, only MAM offered this type of product. But then we must also love MAM bottles and it is not my ca"&amp;"se! too many pieces to be cleaned because the bottle bottom is removable, in total have 6 parts to be cleaned. Also I did not have that bad back since if improperly screwed they flee ... Then necessarily when Dodie (brand I particularly like) released fla"&amp;"t nipple bottles in two clicks were ordered! After 5 months of intensive use of small medium and large size I only have strengths to include: - The milk never runs down the small of my neck - If you chose the right nipple speed is perfect - they clean eas"&amp;"ily - Teats solid, do not deform wash after wash (and I can assure you that the brush is not in our household) - does not roll on the floor when they fall - cool colors - a price affordable")</f>
        <v>Because MAM has no monopoly flat nipples .. Long before the birth of my son I wanted bottles with nipples flat. In the market we were not spoiled for choice, only MAM offered this type of product. But then we must also love MAM bottles and it is not my case! too many pieces to be cleaned because the bottle bottom is removable, in total have 6 parts to be cleaned. Also I did not have that bad back since if improperly screwed they flee ... Then necessarily when Dodie (brand I particularly like) released flat nipple bottles in two clicks were ordered! After 5 months of intensive use of small medium and large size I only have strengths to include: - The milk never runs down the small of my neck - If you chose the right nipple speed is perfect - they clean easily - Teats solid, do not deform wash after wash (and I can assure you that the brush is not in our household) - does not roll on the floor when they fall - cool colors - a price affordable</v>
      </c>
    </row>
    <row r="18523">
      <c r="A18523" s="1">
        <v>5.0</v>
      </c>
      <c r="B18523" s="1" t="s">
        <v>18220</v>
      </c>
      <c r="C18523" t="str">
        <f>IFERROR(__xludf.DUMMYFUNCTION("GOOGLETRANSLATE(B18523, ""fr"", ""en"")"),"Regale all my morning Pretty and practical.")</f>
        <v>Regale all my morning Pretty and practical.</v>
      </c>
    </row>
    <row r="18524">
      <c r="A18524" s="1">
        <v>5.0</v>
      </c>
      <c r="B18524" s="1" t="s">
        <v>18221</v>
      </c>
      <c r="C18524" t="str">
        <f>IFERROR(__xludf.DUMMYFUNCTION("GOOGLETRANSLATE(B18524, ""fr"", ""en"")"),"Perfect I'm thrilled initially they seem so small that I was afraid of not being able to put it on. But no it fits perfectly and holds well the chest. I had other brands that maintained nothing and worse and worse over the washes. I recommend it without h"&amp;"esitation. I also intend to buy more the price is also very attractive.")</f>
        <v>Perfect I'm thrilled initially they seem so small that I was afraid of not being able to put it on. But no it fits perfectly and holds well the chest. I had other brands that maintained nothing and worse and worse over the washes. I recommend it without hesitation. I also intend to buy more the price is also very attractive.</v>
      </c>
    </row>
    <row r="18525">
      <c r="A18525" s="1">
        <v>5.0</v>
      </c>
      <c r="B18525" s="1" t="s">
        <v>18222</v>
      </c>
      <c r="C18525" t="str">
        <f>IFERROR(__xludf.DUMMYFUNCTION("GOOGLETRANSLATE(B18525, ""fr"", ""en"")"),"Laminator satisfied with good quality, several accessories. Getting easy walking, and fast.")</f>
        <v>Laminator satisfied with good quality, several accessories. Getting easy walking, and fast.</v>
      </c>
    </row>
    <row r="18526">
      <c r="A18526" s="1">
        <v>5.0</v>
      </c>
      <c r="B18526" s="1" t="s">
        <v>18223</v>
      </c>
      <c r="C18526" t="str">
        <f>IFERROR(__xludf.DUMMYFUNCTION("GOOGLETRANSLATE(B18526, ""fr"", ""en"")"),"hooded sweatshirt Hooded wide comfortable. There is ample and soft. On first use it loose some lint that stops after washing.")</f>
        <v>hooded sweatshirt Hooded wide comfortable. There is ample and soft. On first use it loose some lint that stops after washing.</v>
      </c>
    </row>
    <row r="18527">
      <c r="A18527" s="1">
        <v>5.0</v>
      </c>
      <c r="B18527" s="1" t="s">
        <v>18224</v>
      </c>
      <c r="C18527" t="str">
        <f>IFERROR(__xludf.DUMMYFUNCTION("GOOGLETRANSLATE(B18527, ""fr"", ""en"")"),"Easy to use. I offered the microphone to my daughter for her 4 years and I admit I was very pleasantly surprised by its quality and its functions. The microphone is of good quality and sound nothing to say. It remains a gadget but you can really have fun "&amp;"out that, well more than a toy even strong enough to be used by children.")</f>
        <v>Easy to use. I offered the microphone to my daughter for her 4 years and I admit I was very pleasantly surprised by its quality and its functions. The microphone is of good quality and sound nothing to say. It remains a gadget but you can really have fun out that, well more than a toy even strong enough to be used by children.</v>
      </c>
    </row>
    <row r="18528">
      <c r="A18528" s="1">
        <v>5.0</v>
      </c>
      <c r="B18528" s="1" t="s">
        <v>18225</v>
      </c>
      <c r="C18528" t="str">
        <f>IFERROR(__xludf.DUMMYFUNCTION("GOOGLETRANSLATE(B18528, ""fr"", ""en"")"),"Earpiece connects Good product very nice my son loves Easy to connect")</f>
        <v>Earpiece connects Good product very nice my son loves Easy to connect</v>
      </c>
    </row>
    <row r="18529">
      <c r="A18529" s="1">
        <v>5.0</v>
      </c>
      <c r="B18529" s="1" t="s">
        <v>18226</v>
      </c>
      <c r="C18529" t="str">
        <f>IFERROR(__xludf.DUMMYFUNCTION("GOOGLETRANSLATE(B18529, ""fr"", ""en"")"),"nothing to say ! very good buy I took the usual size 45, item received, neither too small nor too big! I do not trust a lot of habit, and then great surprise!")</f>
        <v>nothing to say ! very good buy I took the usual size 45, item received, neither too small nor too big! I do not trust a lot of habit, and then great surprise!</v>
      </c>
    </row>
    <row r="18530">
      <c r="A18530" s="1">
        <v>5.0</v>
      </c>
      <c r="B18530" s="1" t="s">
        <v>18227</v>
      </c>
      <c r="C18530" t="str">
        <f>IFERROR(__xludf.DUMMYFUNCTION("GOOGLETRANSLATE(B18530, ""fr"", ""en"")"),"Very good microphone. outdoor use. The mic works well. Very good value for money.")</f>
        <v>Very good microphone. outdoor use. The mic works well. Very good value for money.</v>
      </c>
    </row>
    <row r="18531">
      <c r="A18531" s="1">
        <v>5.0</v>
      </c>
      <c r="B18531" s="1" t="s">
        <v>18228</v>
      </c>
      <c r="C18531" t="str">
        <f>IFERROR(__xludf.DUMMYFUNCTION("GOOGLETRANSLATE(B18531, ""fr"", ""en"")"),"Recommend This product is totally gorgeous very good value I highly recommend my friend was very happy to have")</f>
        <v>Recommend This product is totally gorgeous very good value I highly recommend my friend was very happy to have</v>
      </c>
    </row>
    <row r="18532">
      <c r="A18532" s="1">
        <v>5.0</v>
      </c>
      <c r="B18532" s="1" t="s">
        <v>18229</v>
      </c>
      <c r="C18532" t="str">
        <f>IFERROR(__xludf.DUMMYFUNCTION("GOOGLETRANSLATE(B18532, ""fr"", ""en"")"),"Watch top! top not pile it goes through movement. Nice design and present, comes with a bracelet (gift from a vendor) and a device for the strap adjustment. At this price do not hesitate 😅")</f>
        <v>Watch top! top not pile it goes through movement. Nice design and present, comes with a bracelet (gift from a vendor) and a device for the strap adjustment. At this price do not hesitate 😅</v>
      </c>
    </row>
    <row r="18533">
      <c r="A18533" s="1">
        <v>5.0</v>
      </c>
      <c r="B18533" s="1" t="s">
        <v>18230</v>
      </c>
      <c r="C18533" t="str">
        <f>IFERROR(__xludf.DUMMYFUNCTION("GOOGLETRANSLATE(B18533, ""fr"", ""en"")"),"Good product Good product. Material very thick and nice. I recommend :)")</f>
        <v>Good product Good product. Material very thick and nice. I recommend :)</v>
      </c>
    </row>
    <row r="18534">
      <c r="A18534" s="1">
        <v>5.0</v>
      </c>
      <c r="B18534" s="1" t="s">
        <v>18231</v>
      </c>
      <c r="C18534" t="str">
        <f>IFERROR(__xludf.DUMMYFUNCTION("GOOGLETRANSLATE(B18534, ""fr"", ""en"")"),"Super shirt Very good article")</f>
        <v>Super shirt Very good article</v>
      </c>
    </row>
    <row r="18535">
      <c r="A18535" s="1">
        <v>2.0</v>
      </c>
      <c r="B18535" s="1" t="s">
        <v>18232</v>
      </c>
      <c r="C18535" t="str">
        <f>IFERROR(__xludf.DUMMYFUNCTION("GOOGLETRANSLATE(B18535, ""fr"", ""en"")"),"ephemeris block schedule the ephemeris block delivered does not seem to be a block Exacompta, the print is too light, not quite readable! inconsistent with the photo presentation.")</f>
        <v>ephemeris block schedule the ephemeris block delivered does not seem to be a block Exacompta, the print is too light, not quite readable! inconsistent with the photo presentation.</v>
      </c>
    </row>
    <row r="18536">
      <c r="A18536" s="1">
        <v>1.0</v>
      </c>
      <c r="B18536" s="1" t="s">
        <v>18233</v>
      </c>
      <c r="C18536" t="str">
        <f>IFERROR(__xludf.DUMMYFUNCTION("GOOGLETRANSLATE(B18536, ""fr"", ""en"")"),"Produced down after a few uses. Initially, the product looks okay but after a few charging cycles, it no longer works!")</f>
        <v>Produced down after a few uses. Initially, the product looks okay but after a few charging cycles, it no longer works!</v>
      </c>
    </row>
    <row r="18537">
      <c r="A18537" s="1">
        <v>1.0</v>
      </c>
      <c r="B18537" s="1" t="s">
        <v>18234</v>
      </c>
      <c r="C18537" t="str">
        <f>IFERROR(__xludf.DUMMYFUNCTION("GOOGLETRANSLATE(B18537, ""fr"", ""en"")"),"Zip poor Very disappointed for the price defective zip after 3 months I hope that customer service is of quality for an exchange as unacceptable for a product lacoste range.")</f>
        <v>Zip poor Very disappointed for the price defective zip after 3 months I hope that customer service is of quality for an exchange as unacceptable for a product lacoste range.</v>
      </c>
    </row>
    <row r="18538">
      <c r="A18538" s="1">
        <v>3.0</v>
      </c>
      <c r="B18538" s="1" t="s">
        <v>18235</v>
      </c>
      <c r="C18538" t="str">
        <f>IFERROR(__xludf.DUMMYFUNCTION("GOOGLETRANSLATE(B18538, ""fr"", ""en"")"),"Attention this great shoes! I usually shoe size 42 but with these shoes is too big. I just send them back, I think I'll buy a pair 41. Besides the concern for size, they look very comfortable.")</f>
        <v>Attention this great shoes! I usually shoe size 42 but with these shoes is too big. I just send them back, I think I'll buy a pair 41. Besides the concern for size, they look very comfortable.</v>
      </c>
    </row>
    <row r="18539">
      <c r="A18539" s="1">
        <v>3.0</v>
      </c>
      <c r="B18539" s="1" t="s">
        <v>18236</v>
      </c>
      <c r="C18539" t="str">
        <f>IFERROR(__xludf.DUMMYFUNCTION("GOOGLETRANSLATE(B18539, ""fr"", ""en"")"),"good but there are more aesthetic These bras are nice and comfortable, however their straps are very wide (and I'm not very big so it cup). I found more aesthetic (with thinner straps).")</f>
        <v>good but there are more aesthetic These bras are nice and comfortable, however their straps are very wide (and I'm not very big so it cup). I found more aesthetic (with thinner straps).</v>
      </c>
    </row>
    <row r="18540">
      <c r="A18540" s="1">
        <v>4.0</v>
      </c>
      <c r="B18540" s="1" t="s">
        <v>18237</v>
      </c>
      <c r="C18540" t="str">
        <f>IFERROR(__xludf.DUMMYFUNCTION("GOOGLETRANSLATE(B18540, ""fr"", ""en"")"),"Design nice easy grip bottle quickly taken over by my son caution though the nipple flow is very fast and it's fun to empty his bottle holding it upside has ;-)")</f>
        <v>Design nice easy grip bottle quickly taken over by my son caution though the nipple flow is very fast and it's fun to empty his bottle holding it upside has ;-)</v>
      </c>
    </row>
    <row r="18541">
      <c r="A18541" s="1">
        <v>4.0</v>
      </c>
      <c r="B18541" s="1" t="s">
        <v>18238</v>
      </c>
      <c r="C18541" t="str">
        <f>IFERROR(__xludf.DUMMYFUNCTION("GOOGLETRANSLATE(B18541, ""fr"", ""en"")"),"Consistent with the description conforms to the expectation and description.")</f>
        <v>Consistent with the description conforms to the expectation and description.</v>
      </c>
    </row>
    <row r="18542">
      <c r="A18542" s="1">
        <v>4.0</v>
      </c>
      <c r="B18542" s="1" t="s">
        <v>18239</v>
      </c>
      <c r="C18542" t="str">
        <f>IFERROR(__xludf.DUMMYFUNCTION("GOOGLETRANSLATE(B18542, ""fr"", ""en"")"),"Indispensable excellent trip. Works very well and very quickly heats. Unfortunately a bit heavy and too short thread, I have found a small extension for the next trip.")</f>
        <v>Indispensable excellent trip. Works very well and very quickly heats. Unfortunately a bit heavy and too short thread, I have found a small extension for the next trip.</v>
      </c>
    </row>
    <row r="18543">
      <c r="A18543" s="1">
        <v>4.0</v>
      </c>
      <c r="B18543" s="1" t="s">
        <v>18240</v>
      </c>
      <c r="C18543" t="str">
        <f>IFERROR(__xludf.DUMMYFUNCTION("GOOGLETRANSLATE(B18543, ""fr"", ""en"")"),"Meets Fun but lacks régidité")</f>
        <v>Meets Fun but lacks régidité</v>
      </c>
    </row>
    <row r="18544">
      <c r="A18544" s="1">
        <v>5.0</v>
      </c>
      <c r="B18544" s="1" t="s">
        <v>18241</v>
      </c>
      <c r="C18544" t="str">
        <f>IFERROR(__xludf.DUMMYFUNCTION("GOOGLETRANSLATE(B18544, ""fr"", ""en"")"),"Ras Pull consistent with the picture")</f>
        <v>Ras Pull consistent with the picture</v>
      </c>
    </row>
    <row r="18545">
      <c r="A18545" s="1">
        <v>5.0</v>
      </c>
      <c r="B18545" s="1" t="s">
        <v>18242</v>
      </c>
      <c r="C18545" t="str">
        <f>IFERROR(__xludf.DUMMYFUNCTION("GOOGLETRANSLATE(B18545, ""fr"", ""en"")"),"fast!!!! hot very fast and efficient bibi for a small price! suitable for all bottle sizes and 150m heats in 2 minutes!")</f>
        <v>fast!!!! hot very fast and efficient bibi for a small price! suitable for all bottle sizes and 150m heats in 2 minutes!</v>
      </c>
    </row>
    <row r="18546">
      <c r="A18546" s="1">
        <v>5.0</v>
      </c>
      <c r="B18546" s="1" t="s">
        <v>18243</v>
      </c>
      <c r="C18546" t="str">
        <f>IFERROR(__xludf.DUMMYFUNCTION("GOOGLETRANSLATE(B18546, ""fr"", ""en"")"),"Cafetiere very bien.livrer rapidememt come prevue.tres beautiful .fonctionne great. Cafetiere very belle.fonctionne super.come on photo.livree come peu.tres satisfaite.tres well packed.")</f>
        <v>Cafetiere very bien.livrer rapidememt come prevue.tres beautiful .fonctionne great. Cafetiere very belle.fonctionne super.come on photo.livree come peu.tres satisfaite.tres well packed.</v>
      </c>
    </row>
    <row r="18547">
      <c r="A18547" s="1">
        <v>5.0</v>
      </c>
      <c r="B18547" s="1" t="s">
        <v>18244</v>
      </c>
      <c r="C18547" t="str">
        <f>IFERROR(__xludf.DUMMYFUNCTION("GOOGLETRANSLATE(B18547, ""fr"", ""en"")"),"Trainers top Very pretty comfortable sneakers, fine and feminine.")</f>
        <v>Trainers top Very pretty comfortable sneakers, fine and feminine.</v>
      </c>
    </row>
    <row r="18548">
      <c r="A18548" s="1">
        <v>5.0</v>
      </c>
      <c r="B18548" s="1" t="s">
        <v>18245</v>
      </c>
      <c r="C18548" t="str">
        <f>IFERROR(__xludf.DUMMYFUNCTION("GOOGLETRANSLATE(B18548, ""fr"", ""en"")"),"Small bag J bought this bag for work every day I take the super being small bag with lots of handy solid air storage to see in the pretty color time I recommend true to the description received quickly")</f>
        <v>Small bag J bought this bag for work every day I take the super being small bag with lots of handy solid air storage to see in the pretty color time I recommend true to the description received quickly</v>
      </c>
    </row>
    <row r="18549">
      <c r="A18549" s="1">
        <v>5.0</v>
      </c>
      <c r="B18549" s="1" t="s">
        <v>18246</v>
      </c>
      <c r="C18549" t="str">
        <f>IFERROR(__xludf.DUMMYFUNCTION("GOOGLETRANSLATE(B18549, ""fr"", ""en"")"),"Satisfied TETINES DODIES ROUND 3 SPEED: Received in rapid flow (speed 3) and flow thick liquid (speed 4) The quality of the brand is there, the nipples are hard and resistant in time. The 3 speeds on the same nipple to allow more easily adapt to the baby "&amp;"&amp; nbsp flow;. """)</f>
        <v>Satisfied TETINES DODIES ROUND 3 SPEED: Received in rapid flow (speed 3) and flow thick liquid (speed 4) The quality of the brand is there, the nipples are hard and resistant in time. The 3 speeds on the same nipple to allow more easily adapt to the baby &amp; nbsp flow;. "</v>
      </c>
    </row>
    <row r="18550">
      <c r="A18550" s="1">
        <v>5.0</v>
      </c>
      <c r="B18550" s="1" t="s">
        <v>18247</v>
      </c>
      <c r="C18550" t="str">
        <f>IFERROR(__xludf.DUMMYFUNCTION("GOOGLETRANSLATE(B18550, ""fr"", ""en"")"),"Discreet and elegant. Although arrived in due time, well packaged. It's earrings come in a beautiful setting. A box that can be used for storage, presentation, perfect to offer. There is the product brand silver writing on it. Inside we find the two earri"&amp;"ngs, which are beautiful, their design is really successful. Discreet and elegant, with an original form. The stones above have beautiful reflections. The materials used are not the most noble, but its very good. My wife is very satisfied, this earrings a"&amp;" nice effect to offer with its box, for a contained price.")</f>
        <v>Discreet and elegant. Although arrived in due time, well packaged. It's earrings come in a beautiful setting. A box that can be used for storage, presentation, perfect to offer. There is the product brand silver writing on it. Inside we find the two earrings, which are beautiful, their design is really successful. Discreet and elegant, with an original form. The stones above have beautiful reflections. The materials used are not the most noble, but its very good. My wife is very satisfied, this earrings a nice effect to offer with its box, for a contained price.</v>
      </c>
    </row>
    <row r="18551">
      <c r="A18551" s="1">
        <v>5.0</v>
      </c>
      <c r="B18551" s="1" t="s">
        <v>18248</v>
      </c>
      <c r="C18551" t="str">
        <f>IFERROR(__xludf.DUMMYFUNCTION("GOOGLETRANSLATE(B18551, ""fr"", ""en"")"),"Coffee retro Lovely coffee, works great, look savoureux.Le coffee is coffee that is original and the color is quite match the decorating my kitchen")</f>
        <v>Coffee retro Lovely coffee, works great, look savoureux.Le coffee is coffee that is original and the color is quite match the decorating my kitchen</v>
      </c>
    </row>
    <row r="18552">
      <c r="A18552" s="1">
        <v>5.0</v>
      </c>
      <c r="B18552" s="1" t="s">
        <v>18249</v>
      </c>
      <c r="C18552" t="str">
        <f>IFERROR(__xludf.DUMMYFUNCTION("GOOGLETRANSLATE(B18552, ""fr"", ""en"")"),"pleasantly surprised compliant product and pleasantly surprised, very pleased with my purchase, it's a good Christmas present wrapped in a brown bag")</f>
        <v>pleasantly surprised compliant product and pleasantly surprised, very pleased with my purchase, it's a good Christmas present wrapped in a brown bag</v>
      </c>
    </row>
    <row r="18553">
      <c r="A18553" s="1">
        <v>5.0</v>
      </c>
      <c r="B18553" s="1" t="s">
        <v>18250</v>
      </c>
      <c r="C18553" t="str">
        <f>IFERROR(__xludf.DUMMYFUNCTION("GOOGLETRANSLATE(B18553, ""fr"", ""en"")"),"They are perfect !! Awesome !! I love them !!")</f>
        <v>They are perfect !! Awesome !! I love them !!</v>
      </c>
    </row>
    <row r="18554">
      <c r="A18554" s="1">
        <v>5.0</v>
      </c>
      <c r="B18554" s="1" t="s">
        <v>18251</v>
      </c>
      <c r="C18554" t="str">
        <f>IFERROR(__xludf.DUMMYFUNCTION("GOOGLETRANSLATE(B18554, ""fr"", ""en"")"),"Super Perfect Product")</f>
        <v>Super Perfect Product</v>
      </c>
    </row>
    <row r="18555">
      <c r="A18555" s="1">
        <v>5.0</v>
      </c>
      <c r="B18555" s="1" t="s">
        <v>18252</v>
      </c>
      <c r="C18555" t="str">
        <f>IFERROR(__xludf.DUMMYFUNCTION("GOOGLETRANSLATE(B18555, ""fr"", ""en"")"),"good product good product")</f>
        <v>good product good product</v>
      </c>
    </row>
    <row r="18556">
      <c r="A18556" s="1">
        <v>5.0</v>
      </c>
      <c r="B18556" s="1" t="s">
        <v>18253</v>
      </c>
      <c r="C18556" t="str">
        <f>IFERROR(__xludf.DUMMYFUNCTION("GOOGLETRANSLATE(B18556, ""fr"", ""en"")"),"Does exactly what it is Supposed to Highly practicle When traveling in places Where No kettle is available. Be careful about the kind of container used with the immersion heater. The resistence is quite long so tends to touch the bottom of the container.")</f>
        <v>Does exactly what it is Supposed to Highly practicle When traveling in places Where No kettle is available. Be careful about the kind of container used with the immersion heater. The resistence is quite long so tends to touch the bottom of the container.</v>
      </c>
    </row>
    <row r="18557">
      <c r="A18557" s="1">
        <v>5.0</v>
      </c>
      <c r="B18557" s="1" t="s">
        <v>18254</v>
      </c>
      <c r="C18557" t="str">
        <f>IFERROR(__xludf.DUMMYFUNCTION("GOOGLETRANSLATE(B18557, ""fr"", ""en"")"),"Although sympathetic received crayon pretty nice play of light no notise in french but un.peu playing with the buttons and we understand soon enough")</f>
        <v>Although sympathetic received crayon pretty nice play of light no notise in french but un.peu playing with the buttons and we understand soon enough</v>
      </c>
    </row>
    <row r="18558">
      <c r="A18558" s="1">
        <v>5.0</v>
      </c>
      <c r="B18558" s="1" t="s">
        <v>18255</v>
      </c>
      <c r="C18558" t="str">
        <f>IFERROR(__xludf.DUMMYFUNCTION("GOOGLETRANSLATE(B18558, ""fr"", ""en"")"),"perfecte sports bh Maat is precies goed, zit wel strak, maar dat moet ook bij het zeker hardlopen, anders bewegen ze nog teveel mee.")</f>
        <v>perfecte sports bh Maat is precies goed, zit wel strak, maar dat moet ook bij het zeker hardlopen, anders bewegen ze nog teveel mee.</v>
      </c>
    </row>
    <row r="18559">
      <c r="A18559" s="1">
        <v>5.0</v>
      </c>
      <c r="B18559" s="1" t="s">
        <v>18256</v>
      </c>
      <c r="C18559" t="str">
        <f>IFERROR(__xludf.DUMMYFUNCTION("GOOGLETRANSLATE(B18559, ""fr"", ""en"")"),"Very good quality ! Very good quality !")</f>
        <v>Very good quality ! Very good quality !</v>
      </c>
    </row>
    <row r="18560">
      <c r="A18560" s="1">
        <v>2.0</v>
      </c>
      <c r="B18560" s="1" t="s">
        <v>18257</v>
      </c>
      <c r="C18560" t="str">
        <f>IFERROR(__xludf.DUMMYFUNCTION("GOOGLETRANSLATE(B18560, ""fr"", ""en"")"),"Strong smell and tenacious The slippers are comfortable and actually carve small (I shoe size 41 dress shoes, sneakers of 43 and 44 of these shoes for me). However, the smell of glue is unbearable. After several days of use, the smell will always rises to"&amp;" the head and to my relatives. To give you an idea, the smell is more pronounced than the smell of a bottle of nail remover open. It is very unpleasant.")</f>
        <v>Strong smell and tenacious The slippers are comfortable and actually carve small (I shoe size 41 dress shoes, sneakers of 43 and 44 of these shoes for me). However, the smell of glue is unbearable. After several days of use, the smell will always rises to the head and to my relatives. To give you an idea, the smell is more pronounced than the smell of a bottle of nail remover open. It is very unpleasant.</v>
      </c>
    </row>
    <row r="18561">
      <c r="A18561" s="1">
        <v>1.0</v>
      </c>
      <c r="B18561" s="1" t="s">
        <v>18258</v>
      </c>
      <c r="C18561" t="str">
        <f>IFERROR(__xludf.DUMMYFUNCTION("GOOGLETRANSLATE(B18561, ""fr"", ""en"")"),"A manual in French I can not use this product no manual in French")</f>
        <v>A manual in French I can not use this product no manual in French</v>
      </c>
    </row>
    <row r="18562">
      <c r="A18562" s="1">
        <v>1.0</v>
      </c>
      <c r="B18562" s="1" t="s">
        <v>18259</v>
      </c>
      <c r="C18562" t="str">
        <f>IFERROR(__xludf.DUMMYFUNCTION("GOOGLETRANSLATE(B18562, ""fr"", ""en"")"),"Not good for table Veleda Dries too fast in 2 days nothing !!!!")</f>
        <v>Not good for table Veleda Dries too fast in 2 days nothing !!!!</v>
      </c>
    </row>
    <row r="18563">
      <c r="A18563" s="1">
        <v>3.0</v>
      </c>
      <c r="B18563" s="1" t="s">
        <v>18260</v>
      </c>
      <c r="C18563" t="str">
        <f>IFERROR(__xludf.DUMMYFUNCTION("GOOGLETRANSLATE(B18563, ""fr"", ""en"")"),"Ras good product. Product corresponding to what I was looking")</f>
        <v>Ras good product. Product corresponding to what I was looking</v>
      </c>
    </row>
    <row r="18564">
      <c r="A18564" s="1">
        <v>4.0</v>
      </c>
      <c r="B18564" s="1" t="s">
        <v>18261</v>
      </c>
      <c r="C18564" t="str">
        <f>IFERROR(__xludf.DUMMYFUNCTION("GOOGLETRANSLATE(B18564, ""fr"", ""en"")"),"on top for kids! I do not regret my purchase! TOP: the strength of the wood, they are easy to clean (clothes, walls, floor, furniture and mouth, my son tested everything!), The color choice is not bad. FLOP: the price a little high, the mine after the fir"&amp;"st cutting is not the same (soft, it loses its shape)")</f>
        <v>on top for kids! I do not regret my purchase! TOP: the strength of the wood, they are easy to clean (clothes, walls, floor, furniture and mouth, my son tested everything!), The color choice is not bad. FLOP: the price a little high, the mine after the first cutting is not the same (soft, it loses its shape)</v>
      </c>
    </row>
    <row r="18565">
      <c r="A18565" s="1">
        <v>4.0</v>
      </c>
      <c r="B18565" s="1" t="s">
        <v>18262</v>
      </c>
      <c r="C18565" t="str">
        <f>IFERROR(__xludf.DUMMYFUNCTION("GOOGLETRANSLATE(B18565, ""fr"", ""en"")"),"small and handy handy little bag for all the days to phone paper umbrella.")</f>
        <v>small and handy handy little bag for all the days to phone paper umbrella.</v>
      </c>
    </row>
    <row r="18566">
      <c r="A18566" s="1">
        <v>4.0</v>
      </c>
      <c r="B18566" s="1" t="s">
        <v>18263</v>
      </c>
      <c r="C18566" t="str">
        <f>IFERROR(__xludf.DUMMYFUNCTION("GOOGLETRANSLATE(B18566, ""fr"", ""en"")"),"Product quality but small size problem A product adapted to the strong cold. A very good quality and outstanding finishes. By cons, usually I take a size M in this brand product it took me a size S.")</f>
        <v>Product quality but small size problem A product adapted to the strong cold. A very good quality and outstanding finishes. By cons, usually I take a size M in this brand product it took me a size S.</v>
      </c>
    </row>
    <row r="18567">
      <c r="A18567" s="1">
        <v>4.0</v>
      </c>
      <c r="B18567" s="1" t="s">
        <v>18264</v>
      </c>
      <c r="C18567" t="str">
        <f>IFERROR(__xludf.DUMMYFUNCTION("GOOGLETRANSLATE(B18567, ""fr"", ""en"")"),"The comfortable shoes are comfortable, flexible and light. They take hot well. However, size small enough. Take a size more.")</f>
        <v>The comfortable shoes are comfortable, flexible and light. They take hot well. However, size small enough. Take a size more.</v>
      </c>
    </row>
    <row r="18568">
      <c r="A18568" s="1">
        <v>4.0</v>
      </c>
      <c r="B18568" s="1" t="s">
        <v>18265</v>
      </c>
      <c r="C18568" t="str">
        <f>IFERROR(__xludf.DUMMYFUNCTION("GOOGLETRANSLATE(B18568, ""fr"", ""en"")"),"5kind hemp active gel I confirm the effectiveness of the gel against the pain, very good product, easy to apply, free of allergic reaction.")</f>
        <v>5kind hemp active gel I confirm the effectiveness of the gel against the pain, very good product, easy to apply, free of allergic reaction.</v>
      </c>
    </row>
    <row r="18569">
      <c r="A18569" s="1">
        <v>5.0</v>
      </c>
      <c r="B18569" s="1" t="s">
        <v>18266</v>
      </c>
      <c r="C18569" t="str">
        <f>IFERROR(__xludf.DUMMYFUNCTION("GOOGLETRANSLATE(B18569, ""fr"", ""en"")"),"Adidas classic Product ...")</f>
        <v>Adidas classic Product ...</v>
      </c>
    </row>
    <row r="18570">
      <c r="A18570" s="1">
        <v>5.0</v>
      </c>
      <c r="B18570" s="1" t="s">
        <v>18267</v>
      </c>
      <c r="C18570" t="str">
        <f>IFERROR(__xludf.DUMMYFUNCTION("GOOGLETRANSLATE(B18570, ""fr"", ""en"")"),"Excellent product. Top.")</f>
        <v>Excellent product. Top.</v>
      </c>
    </row>
    <row r="18571">
      <c r="A18571" s="1">
        <v>5.0</v>
      </c>
      <c r="B18571" s="1" t="s">
        <v>18268</v>
      </c>
      <c r="C18571" t="str">
        <f>IFERROR(__xludf.DUMMYFUNCTION("GOOGLETRANSLATE(B18571, ""fr"", ""en"")"),"My new companion he will not leave me. Aspire well between the floorboards, pools of animals, hair etc ... bit noisy. I recommend without hesitation. And knowing that I had in promo I'm thrilled! Thank you!")</f>
        <v>My new companion he will not leave me. Aspire well between the floorboards, pools of animals, hair etc ... bit noisy. I recommend without hesitation. And knowing that I had in promo I'm thrilled! Thank you!</v>
      </c>
    </row>
    <row r="18572">
      <c r="A18572" s="1">
        <v>5.0</v>
      </c>
      <c r="B18572" s="1" t="s">
        <v>18269</v>
      </c>
      <c r="C18572" t="str">
        <f>IFERROR(__xludf.DUMMYFUNCTION("GOOGLETRANSLATE(B18572, ""fr"", ""en"")"),"A great gift which had great success.")</f>
        <v>A great gift which had great success.</v>
      </c>
    </row>
    <row r="18573">
      <c r="A18573" s="1">
        <v>5.0</v>
      </c>
      <c r="B18573" s="1" t="s">
        <v>18270</v>
      </c>
      <c r="C18573" t="str">
        <f>IFERROR(__xludf.DUMMYFUNCTION("GOOGLETRANSLATE(B18573, ""fr"", ""en"")"),"Top. But not yet scratched the box and paper is much better than I hoped.")</f>
        <v>Top. But not yet scratched the box and paper is much better than I hoped.</v>
      </c>
    </row>
    <row r="18574">
      <c r="A18574" s="1">
        <v>5.0</v>
      </c>
      <c r="B18574" s="1" t="s">
        <v>18271</v>
      </c>
      <c r="C18574" t="str">
        <f>IFERROR(__xludf.DUMMYFUNCTION("GOOGLETRANSLATE(B18574, ""fr"", ""en"")"),"Comfortable and warm Sweet nice and warm, very suitable for the winter period, it is thick")</f>
        <v>Comfortable and warm Sweet nice and warm, very suitable for the winter period, it is thick</v>
      </c>
    </row>
    <row r="18575">
      <c r="A18575" s="1">
        <v>5.0</v>
      </c>
      <c r="B18575" s="1" t="s">
        <v>18272</v>
      </c>
      <c r="C18575" t="str">
        <f>IFERROR(__xludf.DUMMYFUNCTION("GOOGLETRANSLATE(B18575, ""fr"", ""en"")"),"Good Very easy to clean but some colors slightly transparent damage, very good for children")</f>
        <v>Good Very easy to clean but some colors slightly transparent damage, very good for children</v>
      </c>
    </row>
    <row r="18576">
      <c r="A18576" s="1">
        <v>5.0</v>
      </c>
      <c r="B18576" s="1" t="s">
        <v>18273</v>
      </c>
      <c r="C18576" t="str">
        <f>IFERROR(__xludf.DUMMYFUNCTION("GOOGLETRANSLATE(B18576, ""fr"", ""en"")"),"super comfortable top for fragile feet")</f>
        <v>super comfortable top for fragile feet</v>
      </c>
    </row>
    <row r="18577">
      <c r="A18577" s="1">
        <v>5.0</v>
      </c>
      <c r="B18577" s="1" t="s">
        <v>18274</v>
      </c>
      <c r="C18577" t="str">
        <f>IFERROR(__xludf.DUMMYFUNCTION("GOOGLETRANSLATE(B18577, ""fr"", ""en"")"),"Perfect After 5 years of loyal service, I needed a new pair of boots. A little before the septic attractive price of these shoes, I'm tempted and I do not regret. They are beautiful and very comfortable and without defaults (not downgraded) Prevoir nevert"&amp;"heless see 1 1/2 size less.")</f>
        <v>Perfect After 5 years of loyal service, I needed a new pair of boots. A little before the septic attractive price of these shoes, I'm tempted and I do not regret. They are beautiful and very comfortable and without defaults (not downgraded) Prevoir nevertheless see 1 1/2 size less.</v>
      </c>
    </row>
    <row r="18578">
      <c r="A18578" s="1">
        <v>5.0</v>
      </c>
      <c r="B18578" s="1" t="s">
        <v>18275</v>
      </c>
      <c r="C18578" t="str">
        <f>IFERROR(__xludf.DUMMYFUNCTION("GOOGLETRANSLATE(B18578, ""fr"", ""en"")"),"good quality very beautiful bracelet and good quality")</f>
        <v>good quality very beautiful bracelet and good quality</v>
      </c>
    </row>
    <row r="18579">
      <c r="A18579" s="1">
        <v>5.0</v>
      </c>
      <c r="B18579" s="1" t="s">
        <v>18276</v>
      </c>
      <c r="C18579" t="str">
        <f>IFERROR(__xludf.DUMMYFUNCTION("GOOGLETRANSLATE(B18579, ""fr"", ""en"")"),"Conforms Arrive quickly, cardboard packaging and undamaged watch is fine, and not as big as the usual G-Shock, suddenly quieter.")</f>
        <v>Conforms Arrive quickly, cardboard packaging and undamaged watch is fine, and not as big as the usual G-Shock, suddenly quieter.</v>
      </c>
    </row>
    <row r="18580">
      <c r="A18580" s="1">
        <v>5.0</v>
      </c>
      <c r="B18580" s="1" t="s">
        <v>18277</v>
      </c>
      <c r="C18580" t="str">
        <f>IFERROR(__xludf.DUMMYFUNCTION("GOOGLETRANSLATE(B18580, ""fr"", ""en"")"),"very nice book! As a teacher of kindergarten, I highly recommend this book which deals with poetry and delicacy of the topic difference on Christmas festive background.")</f>
        <v>very nice book! As a teacher of kindergarten, I highly recommend this book which deals with poetry and delicacy of the topic difference on Christmas festive background.</v>
      </c>
    </row>
    <row r="18581">
      <c r="A18581" s="1">
        <v>5.0</v>
      </c>
      <c r="B18581" s="1" t="s">
        <v>18278</v>
      </c>
      <c r="C18581" t="str">
        <f>IFERROR(__xludf.DUMMYFUNCTION("GOOGLETRANSLATE(B18581, ""fr"", ""en"")"),"From its well thought The package arrived in a rather large box, well cushioned and protected. We find the pair of headphones therein, the storage / charging case, a carry bag, two pairs of ear adapters in addition, the charge cable, and a multilingual re"&amp;"cord including French. The product looks good, the finishes are nice and appear sound headset. The storage box / load is pretty solid compared to other models of its kind, but it has the advantage of having more of its micro USB socket for charging anothe"&amp;"r conventional USB plug for charging another device such as the phone, and that's cool! The 3000mAh battery lets see coming widely. The headphones are charging their storage dice in the box and display the remaining battery indicator. No digital display a"&amp;"s on some models, but personally it seems useless and energy for nothing. The first connection is very easy. We chose to pair the headphones 2 or just one of the 2 ... Unlike the other model I have, Bluetooth protocols are distinct (L, R and L + R) so tha"&amp;"t the two headphones can be used eg simultaneously on two separate but nearby devices. After the first pairing fact, it is automatic as soon as one leaves the headphones from their box, a little voice ad operations. Easy. The sound is very correct on head"&amp;"phones of this size, the bass is very present and the whole is balanced. I listen to a lot of electronic music and even if the result is not the height of a helmet with big bowls (necessarily), the sound is nice and well restored. The touch buttons requir"&amp;"e a bit of practice (including jumping from one beach to another) but are reactive. They had them 2 the entire job: volume control, pause, vessel taken or reject call etc .... I am quite satisfied with this product for its price. I did not put a crazy pri"&amp;"ce, nor find myself with Chinese first prize with his crappy stuff, I think it is an excellent compromise.")</f>
        <v>From its well thought The package arrived in a rather large box, well cushioned and protected. We find the pair of headphones therein, the storage / charging case, a carry bag, two pairs of ear adapters in addition, the charge cable, and a multilingual record including French. The product looks good, the finishes are nice and appear sound headset. The storage box / load is pretty solid compared to other models of its kind, but it has the advantage of having more of its micro USB socket for charging another conventional USB plug for charging another device such as the phone, and that's cool! The 3000mAh battery lets see coming widely. The headphones are charging their storage dice in the box and display the remaining battery indicator. No digital display as on some models, but personally it seems useless and energy for nothing. The first connection is very easy. We chose to pair the headphones 2 or just one of the 2 ... Unlike the other model I have, Bluetooth protocols are distinct (L, R and L + R) so that the two headphones can be used eg simultaneously on two separate but nearby devices. After the first pairing fact, it is automatic as soon as one leaves the headphones from their box, a little voice ad operations. Easy. The sound is very correct on headphones of this size, the bass is very present and the whole is balanced. I listen to a lot of electronic music and even if the result is not the height of a helmet with big bowls (necessarily), the sound is nice and well restored. The touch buttons require a bit of practice (including jumping from one beach to another) but are reactive. They had them 2 the entire job: volume control, pause, vessel taken or reject call etc .... I am quite satisfied with this product for its price. I did not put a crazy price, nor find myself with Chinese first prize with his crappy stuff, I think it is an excellent compromise.</v>
      </c>
    </row>
    <row r="18582">
      <c r="A18582" s="1">
        <v>5.0</v>
      </c>
      <c r="B18582" s="1" t="s">
        <v>18279</v>
      </c>
      <c r="C18582" t="str">
        <f>IFERROR(__xludf.DUMMYFUNCTION("GOOGLETRANSLATE(B18582, ""fr"", ""en"")"),"Bag Tommy Complies Super Photo")</f>
        <v>Bag Tommy Complies Super Photo</v>
      </c>
    </row>
    <row r="18583">
      <c r="A18583" s="1">
        <v>5.0</v>
      </c>
      <c r="B18583" s="1" t="s">
        <v>18280</v>
      </c>
      <c r="C18583" t="str">
        <f>IFERROR(__xludf.DUMMYFUNCTION("GOOGLETRANSLATE(B18583, ""fr"", ""en"")"),"Very good shoes arrived safely, as said many times in the comments, pretty tight, but they détenderont to As. They may be a little more neon than in the photos but they are cool. My man loves.")</f>
        <v>Very good shoes arrived safely, as said many times in the comments, pretty tight, but they détenderont to As. They may be a little more neon than in the photos but they are cool. My man loves.</v>
      </c>
    </row>
    <row r="18584">
      <c r="A18584" s="1">
        <v>2.0</v>
      </c>
      <c r="B18584" s="1" t="s">
        <v>18281</v>
      </c>
      <c r="C18584" t="str">
        <f>IFERROR(__xludf.DUMMYFUNCTION("GOOGLETRANSLATE(B18584, ""fr"", ""en"")"),"For non-operation Hi especially if c is after breast surgery did not bought especially down plilpoul falls on me I took off my scar bandage not choose to keep it for today but for tomorrow as I bought another")</f>
        <v>For non-operation Hi especially if c is after breast surgery did not bought especially down plilpoul falls on me I took off my scar bandage not choose to keep it for today but for tomorrow as I bought another</v>
      </c>
    </row>
    <row r="18585">
      <c r="A18585" s="1">
        <v>1.0</v>
      </c>
      <c r="B18585" s="1" t="s">
        <v>18282</v>
      </c>
      <c r="C18585" t="str">
        <f>IFERROR(__xludf.DUMMYFUNCTION("GOOGLETRANSLATE(B18585, ""fr"", ""en"")"),"Electric blanket I would advise against the cable burned out after 2 days")</f>
        <v>Electric blanket I would advise against the cable burned out after 2 days</v>
      </c>
    </row>
    <row r="18586">
      <c r="A18586" s="1">
        <v>3.0</v>
      </c>
      <c r="B18586" s="1" t="s">
        <v>18283</v>
      </c>
      <c r="C18586" t="str">
        <f>IFERROR(__xludf.DUMMYFUNCTION("GOOGLETRANSLATE(B18586, ""fr"", ""en"")"),"Bracelet start anything, after a few days well")</f>
        <v>Bracelet start anything, after a few days well</v>
      </c>
    </row>
    <row r="18587">
      <c r="A18587" s="1">
        <v>3.0</v>
      </c>
      <c r="B18587" s="1" t="s">
        <v>18284</v>
      </c>
      <c r="C18587" t="str">
        <f>IFERROR(__xludf.DUMMYFUNCTION("GOOGLETRANSLATE(B18587, ""fr"", ""en"")"),"Product quality good good")</f>
        <v>Product quality good good</v>
      </c>
    </row>
    <row r="18588">
      <c r="A18588" s="1">
        <v>4.0</v>
      </c>
      <c r="B18588" s="1" t="s">
        <v>18285</v>
      </c>
      <c r="C18588" t="str">
        <f>IFERROR(__xludf.DUMMYFUNCTION("GOOGLETRANSLATE(B18588, ""fr"", ""en"")"),"Really happy really happy with the result. It really gives a good sound. It's impressive to me beginner follows the audio. Incomparable between the sound of ihone example and microphone. Really impressive result. I recommend this product")</f>
        <v>Really happy really happy with the result. It really gives a good sound. It's impressive to me beginner follows the audio. Incomparable between the sound of ihone example and microphone. Really impressive result. I recommend this product</v>
      </c>
    </row>
    <row r="18589">
      <c r="A18589" s="1">
        <v>4.0</v>
      </c>
      <c r="B18589" s="1" t="s">
        <v>18286</v>
      </c>
      <c r="C18589" t="str">
        <f>IFERROR(__xludf.DUMMYFUNCTION("GOOGLETRANSLATE(B18589, ""fr"", ""en"")"),"No disappointment C was a gift to offer")</f>
        <v>No disappointment C was a gift to offer</v>
      </c>
    </row>
    <row r="18590">
      <c r="A18590" s="1">
        <v>4.0</v>
      </c>
      <c r="B18590" s="1" t="s">
        <v>18287</v>
      </c>
      <c r="C18590" t="str">
        <f>IFERROR(__xludf.DUMMYFUNCTION("GOOGLETRANSLATE(B18590, ""fr"", ""en"")"),"essential kit for footwear crust returned is impeccable")</f>
        <v>essential kit for footwear crust returned is impeccable</v>
      </c>
    </row>
    <row r="18591">
      <c r="A18591" s="1">
        <v>4.0</v>
      </c>
      <c r="B18591" s="1" t="s">
        <v>18288</v>
      </c>
      <c r="C18591" t="str">
        <f>IFERROR(__xludf.DUMMYFUNCTION("GOOGLETRANSLATE(B18591, ""fr"", ""en"")"),"Very good lamp First lamp test light therapy and I am delighted. Light white, homogeneous and not dazzling. The trouble is that my son poking me ... I ordered another from a competitor ... and I returned. I recommend this purchase.")</f>
        <v>Very good lamp First lamp test light therapy and I am delighted. Light white, homogeneous and not dazzling. The trouble is that my son poking me ... I ordered another from a competitor ... and I returned. I recommend this purchase.</v>
      </c>
    </row>
    <row r="18592">
      <c r="A18592" s="1">
        <v>5.0</v>
      </c>
      <c r="B18592" s="1" t="s">
        <v>18289</v>
      </c>
      <c r="C18592" t="str">
        <f>IFERROR(__xludf.DUMMYFUNCTION("GOOGLETRANSLATE(B18592, ""fr"", ""en"")"),"very suitable slippers are very cute and the size is perfect I am very pleased with my purchase and recommend you completely this article")</f>
        <v>very suitable slippers are very cute and the size is perfect I am very pleased with my purchase and recommend you completely this article</v>
      </c>
    </row>
    <row r="18593">
      <c r="A18593" s="1">
        <v>5.0</v>
      </c>
      <c r="B18593" s="1" t="s">
        <v>18290</v>
      </c>
      <c r="C18593" t="str">
        <f>IFERROR(__xludf.DUMMYFUNCTION("GOOGLETRANSLATE(B18593, ""fr"", ""en"")"),"Cartridge I prefer genuine HP cartridges. I had allergy reactions with cheaper copies")</f>
        <v>Cartridge I prefer genuine HP cartridges. I had allergy reactions with cheaper copies</v>
      </c>
    </row>
    <row r="18594">
      <c r="A18594" s="1">
        <v>5.0</v>
      </c>
      <c r="B18594" s="1" t="s">
        <v>18291</v>
      </c>
      <c r="C18594" t="str">
        <f>IFERROR(__xludf.DUMMYFUNCTION("GOOGLETRANSLATE(B18594, ""fr"", ""en"")"),"Beautiful necklace Very nice jewelery, fine gold flakes. This is not a choker, you can also adjust the size of the chain. Very fine and delicate.")</f>
        <v>Beautiful necklace Very nice jewelery, fine gold flakes. This is not a choker, you can also adjust the size of the chain. Very fine and delicate.</v>
      </c>
    </row>
    <row r="18595">
      <c r="A18595" s="1">
        <v>5.0</v>
      </c>
      <c r="B18595" s="1" t="s">
        <v>18292</v>
      </c>
      <c r="C18595" t="str">
        <f>IFERROR(__xludf.DUMMYFUNCTION("GOOGLETRANSLATE(B18595, ""fr"", ""en"")"),"Very good Purchased for my sneakers man shoes of 47/48 and has trouble finding what they need in store. The size is perfect, a broad 47, it feels good inside. They go back behind right enough and maintain properly. The cushioning is very good and they are"&amp;" rather small. The colors really nice with very nice effects.")</f>
        <v>Very good Purchased for my sneakers man shoes of 47/48 and has trouble finding what they need in store. The size is perfect, a broad 47, it feels good inside. They go back behind right enough and maintain properly. The cushioning is very good and they are rather small. The colors really nice with very nice effects.</v>
      </c>
    </row>
    <row r="18596">
      <c r="A18596" s="1">
        <v>5.0</v>
      </c>
      <c r="B18596" s="1" t="s">
        <v>18293</v>
      </c>
      <c r="C18596" t="str">
        <f>IFERROR(__xludf.DUMMYFUNCTION("GOOGLETRANSLATE(B18596, ""fr"", ""en"")"),"Good Arrived device for a short time, Easy apairer, the sound is good. The charging system is very good especially since it can also be used for the phone.")</f>
        <v>Good Arrived device for a short time, Easy apairer, the sound is good. The charging system is very good especially since it can also be used for the phone.</v>
      </c>
    </row>
    <row r="18597">
      <c r="A18597" s="1">
        <v>5.0</v>
      </c>
      <c r="B18597" s="1" t="s">
        <v>18294</v>
      </c>
      <c r="C18597" t="str">
        <f>IFERROR(__xludf.DUMMYFUNCTION("GOOGLETRANSLATE(B18597, ""fr"", ""en"")"),"They work very well work fine on my table to organize the meals of the week are erased with a dry cloth, in short nothing wrong! Very good buy!")</f>
        <v>They work very well work fine on my table to organize the meals of the week are erased with a dry cloth, in short nothing wrong! Very good buy!</v>
      </c>
    </row>
    <row r="18598">
      <c r="A18598" s="1">
        <v>5.0</v>
      </c>
      <c r="B18598" s="1" t="s">
        <v>18295</v>
      </c>
      <c r="C18598" t="str">
        <f>IFERROR(__xludf.DUMMYFUNCTION("GOOGLETRANSLATE(B18598, ""fr"", ""en"")"),"Good grip Stunning shoes really the top I really recommend")</f>
        <v>Good grip Stunning shoes really the top I really recommend</v>
      </c>
    </row>
    <row r="18599">
      <c r="A18599" s="1">
        <v>5.0</v>
      </c>
      <c r="B18599" s="1" t="s">
        <v>18296</v>
      </c>
      <c r="C18599" t="str">
        <f>IFERROR(__xludf.DUMMYFUNCTION("GOOGLETRANSLATE(B18599, ""fr"", ""en"")"),"I just love it! Here I crack back on a pair of Kickers basic ... please! my last pair goes back many years but when I handed this one, I felt still have my 14 years, comfortably installed in my kickers wandering in the school yard ... nostalgia carefree y"&amp;"ears!")</f>
        <v>I just love it! Here I crack back on a pair of Kickers basic ... please! my last pair goes back many years but when I handed this one, I felt still have my 14 years, comfortably installed in my kickers wandering in the school yard ... nostalgia carefree years!</v>
      </c>
    </row>
    <row r="18600">
      <c r="A18600" s="1">
        <v>5.0</v>
      </c>
      <c r="B18600" s="1" t="s">
        <v>18297</v>
      </c>
      <c r="C18600" t="str">
        <f>IFERROR(__xludf.DUMMYFUNCTION("GOOGLETRANSLATE(B18600, ""fr"", ""en"")"),"Excellent Very good quality bag.")</f>
        <v>Excellent Very good quality bag.</v>
      </c>
    </row>
    <row r="18601">
      <c r="A18601" s="1">
        <v>5.0</v>
      </c>
      <c r="B18601" s="1" t="s">
        <v>18298</v>
      </c>
      <c r="C18601" t="str">
        <f>IFERROR(__xludf.DUMMYFUNCTION("GOOGLETRANSLATE(B18601, ""fr"", ""en"")"),"Perfect size cut very snug, comfortable +++ I recommend the pants, very lightweight and flexible")</f>
        <v>Perfect size cut very snug, comfortable +++ I recommend the pants, very lightweight and flexible</v>
      </c>
    </row>
    <row r="18602">
      <c r="A18602" s="1">
        <v>5.0</v>
      </c>
      <c r="B18602" s="1" t="s">
        <v>18299</v>
      </c>
      <c r="C18602" t="str">
        <f>IFERROR(__xludf.DUMMYFUNCTION("GOOGLETRANSLATE(B18602, ""fr"", ""en"")"),"Good size comfortable My daughter loves perfect")</f>
        <v>Good size comfortable My daughter loves perfect</v>
      </c>
    </row>
    <row r="18603">
      <c r="A18603" s="1">
        <v>5.0</v>
      </c>
      <c r="B18603" s="1" t="s">
        <v>18300</v>
      </c>
      <c r="C18603" t="str">
        <f>IFERROR(__xludf.DUMMYFUNCTION("GOOGLETRANSLATE(B18603, ""fr"", ""en"")"),"COMPLIANT envelopes Good quality, consistent with the description, arrivals carefree and not damaged. 1 + 1 + 1 .... the account is (or not) but considering the contents of the box, I have for a while ...")</f>
        <v>COMPLIANT envelopes Good quality, consistent with the description, arrivals carefree and not damaged. 1 + 1 + 1 .... the account is (or not) but considering the contents of the box, I have for a while ...</v>
      </c>
    </row>
    <row r="18604">
      <c r="A18604" s="1">
        <v>5.0</v>
      </c>
      <c r="B18604" s="1" t="s">
        <v>18301</v>
      </c>
      <c r="C18604" t="str">
        <f>IFERROR(__xludf.DUMMYFUNCTION("GOOGLETRANSLATE(B18604, ""fr"", ""en"")"),"This is the right support it is exactly that I need to finally play sports without taking my chest, I'm loyal to this brand and I kept the first for 10 years. This one is even better than the last and perfectly adapted to all physical activities, the ches"&amp;"t is protected and above all it is comfortable.")</f>
        <v>This is the right support it is exactly that I need to finally play sports without taking my chest, I'm loyal to this brand and I kept the first for 10 years. This one is even better than the last and perfectly adapted to all physical activities, the chest is protected and above all it is comfortable.</v>
      </c>
    </row>
    <row r="18605">
      <c r="A18605" s="1">
        <v>5.0</v>
      </c>
      <c r="B18605" s="1" t="s">
        <v>18302</v>
      </c>
      <c r="C18605" t="str">
        <f>IFERROR(__xludf.DUMMYFUNCTION("GOOGLETRANSLATE(B18605, ""fr"", ""en"")"),"Good low product for headphones")</f>
        <v>Good low product for headphones</v>
      </c>
    </row>
    <row r="18606">
      <c r="A18606" s="1">
        <v>5.0</v>
      </c>
      <c r="B18606" s="1" t="s">
        <v>18303</v>
      </c>
      <c r="C18606" t="str">
        <f>IFERROR(__xludf.DUMMYFUNCTION("GOOGLETRANSLATE(B18606, ""fr"", ""en"")"),"Satisfied, very precise seems very easy to install. 'M very happy to finally know without removing the temperature outside and inside of a glance.")</f>
        <v>Satisfied, very precise seems very easy to install. 'M very happy to finally know without removing the temperature outside and inside of a glance.</v>
      </c>
    </row>
    <row r="18607">
      <c r="A18607" s="1">
        <v>2.0</v>
      </c>
      <c r="B18607" s="1" t="s">
        <v>18304</v>
      </c>
      <c r="C18607" t="str">
        <f>IFERROR(__xludf.DUMMYFUNCTION("GOOGLETRANSLATE(B18607, ""fr"", ""en"")"),"Strap Bracelet too fragile too fragile")</f>
        <v>Strap Bracelet too fragile too fragile</v>
      </c>
    </row>
    <row r="18608">
      <c r="A18608" s="1">
        <v>1.0</v>
      </c>
      <c r="B18608" s="1" t="s">
        <v>18305</v>
      </c>
      <c r="C18608" t="str">
        <f>IFERROR(__xludf.DUMMYFUNCTION("GOOGLETRANSLATE(B18608, ""fr"", ""en"")"),"plastic 1 price for this piece of plastic that leaves absolutely not breathe foot discomfort of the feet, you feel the smallest pebble, and after an hour the feet massed in juice. rapid return to the trash.")</f>
        <v>plastic 1 price for this piece of plastic that leaves absolutely not breathe foot discomfort of the feet, you feel the smallest pebble, and after an hour the feet massed in juice. rapid return to the trash.</v>
      </c>
    </row>
    <row r="18609">
      <c r="A18609" s="1">
        <v>1.0</v>
      </c>
      <c r="B18609" s="1" t="s">
        <v>18306</v>
      </c>
      <c r="C18609" t="str">
        <f>IFERROR(__xludf.DUMMYFUNCTION("GOOGLETRANSLATE(B18609, ""fr"", ""en"")"),"Helmet poor not to use I recommend.")</f>
        <v>Helmet poor not to use I recommend.</v>
      </c>
    </row>
    <row r="18610">
      <c r="A18610" s="1">
        <v>3.0</v>
      </c>
      <c r="B18610" s="1" t="s">
        <v>18307</v>
      </c>
      <c r="C18610" t="str">
        <f>IFERROR(__xludf.DUMMYFUNCTION("GOOGLETRANSLATE(B18610, ""fr"", ""en"")"),"practice good practice to be able to make their own jewelry with different styles like much more to very happy ears")</f>
        <v>practice good practice to be able to make their own jewelry with different styles like much more to very happy ears</v>
      </c>
    </row>
    <row r="18611">
      <c r="A18611" s="1">
        <v>3.0</v>
      </c>
      <c r="B18611" s="1" t="s">
        <v>18308</v>
      </c>
      <c r="C18611" t="str">
        <f>IFERROR(__xludf.DUMMYFUNCTION("GOOGLETRANSLATE(B18611, ""fr"", ""en"")"),"Sound Problem Bought August 27, two days ago, I have a problem with his headphones. The first day the sound was perfect, but now the sound is muffled. Even with the volume turned up, the sound that comes out is extremely and abnormally low. If you could h"&amp;"elp me find a solution, otherwise I'll have to send it: / I've tried using an app to amplify the sound, turn on / off, portable headphones but nothing works.")</f>
        <v>Sound Problem Bought August 27, two days ago, I have a problem with his headphones. The first day the sound was perfect, but now the sound is muffled. Even with the volume turned up, the sound that comes out is extremely and abnormally low. If you could help me find a solution, otherwise I'll have to send it: / I've tried using an app to amplify the sound, turn on / off, portable headphones but nothing works.</v>
      </c>
    </row>
    <row r="18612">
      <c r="A18612" s="1">
        <v>4.0</v>
      </c>
      <c r="B18612" s="1" t="s">
        <v>18309</v>
      </c>
      <c r="C18612" t="str">
        <f>IFERROR(__xludf.DUMMYFUNCTION("GOOGLETRANSLATE(B18612, ""fr"", ""en"")"),"Perfect I love the color, it completely corresponds to what I wanted. I just wish it thicker. I recommend this product.")</f>
        <v>Perfect I love the color, it completely corresponds to what I wanted. I just wish it thicker. I recommend this product.</v>
      </c>
    </row>
    <row r="18613">
      <c r="A18613" s="1">
        <v>4.0</v>
      </c>
      <c r="B18613" s="1" t="s">
        <v>18310</v>
      </c>
      <c r="C18613" t="str">
        <f>IFERROR(__xludf.DUMMYFUNCTION("GOOGLETRANSLATE(B18613, ""fr"", ""en"")"),"very fast, efficient. And a leather quality better than I thought. My sister was delighted with his gift")</f>
        <v>very fast, efficient. And a leather quality better than I thought. My sister was delighted with his gift</v>
      </c>
    </row>
    <row r="18614">
      <c r="A18614" s="1">
        <v>4.0</v>
      </c>
      <c r="B18614" s="1" t="s">
        <v>18311</v>
      </c>
      <c r="C18614" t="str">
        <f>IFERROR(__xludf.DUMMYFUNCTION("GOOGLETRANSLATE(B18614, ""fr"", ""en"")"),"For listening to sounds only !! I bought this helmet and it does not match up to my expectations, here are some tips for people who are reluctant to buy it: To buy if: - You want a lightweight headset and strong enough. - Want to hear the sound in an envi"&amp;"ronment normally noisy (Noise reduction is impressive enough the problem is that my right ear hears very well indeed and I feel we breath in my ear all day). - Want to enjoy listening through wireless headphones (if only the sound you are interested I nev"&amp;"ertheless advise you to look elsewhere Beyer dynamic example). Do not buy if: - You want to use the headset microphone (you hear a microphone back in your headphones and your caller hears everything your environment). - You use headphones mainly with a co"&amp;"mputer (I use software to emulate 7.1 sound (on pc the original sound is much worse than on the phone) and it's a horror to configure and controls helmet are more usable). In addition, the application allows very few settings, Bluetooth Multi point is a b"&amp;"ig plus, music sharing, too. That for me is a return but will probably meet people who want to listen to sounds without interference with an ergonomic and lightweight headset.")</f>
        <v>For listening to sounds only !! I bought this helmet and it does not match up to my expectations, here are some tips for people who are reluctant to buy it: To buy if: - You want a lightweight headset and strong enough. - Want to hear the sound in an environment normally noisy (Noise reduction is impressive enough the problem is that my right ear hears very well indeed and I feel we breath in my ear all day). - Want to enjoy listening through wireless headphones (if only the sound you are interested I nevertheless advise you to look elsewhere Beyer dynamic example). Do not buy if: - You want to use the headset microphone (you hear a microphone back in your headphones and your caller hears everything your environment). - You use headphones mainly with a computer (I use software to emulate 7.1 sound (on pc the original sound is much worse than on the phone) and it's a horror to configure and controls helmet are more usable). In addition, the application allows very few settings, Bluetooth Multi point is a big plus, music sharing, too. That for me is a return but will probably meet people who want to listen to sounds without interference with an ergonomic and lightweight headset.</v>
      </c>
    </row>
    <row r="18615">
      <c r="A18615" s="1">
        <v>4.0</v>
      </c>
      <c r="B18615" s="1" t="s">
        <v>18312</v>
      </c>
      <c r="C18615" t="str">
        <f>IFERROR(__xludf.DUMMYFUNCTION("GOOGLETRANSLATE(B18615, ""fr"", ""en"")"),"Good value Convinced by the good reviews I decided to buy this carpet. He keeps his promises. Even small is enough to get the results. My first experience: I have not felt as heat instead of feeling embarrassed by pimples. By cons still difficult to feel "&amp;"comfortable cushion for the neck.")</f>
        <v>Good value Convinced by the good reviews I decided to buy this carpet. He keeps his promises. Even small is enough to get the results. My first experience: I have not felt as heat instead of feeling embarrassed by pimples. By cons still difficult to feel comfortable cushion for the neck.</v>
      </c>
    </row>
    <row r="18616">
      <c r="A18616" s="1">
        <v>5.0</v>
      </c>
      <c r="B18616" s="1" t="s">
        <v>18313</v>
      </c>
      <c r="C18616" t="str">
        <f>IFERROR(__xludf.DUMMYFUNCTION("GOOGLETRANSLATE(B18616, ""fr"", ""en"")"),"super convenient brush this brush is very convenient as it will in any kind of bug with handle are quite large and is slightly curved stove is making its well cleaned the bottom of the bug, I had expected to put my mind to see if it last over time, and ye"&amp;"s it lasts very long because I still use it is 3 months or more to say on this very useful brush, I highly recommend for moms you will not be disappointed at all, and it's beautiful color, also received fast.")</f>
        <v>super convenient brush this brush is very convenient as it will in any kind of bug with handle are quite large and is slightly curved stove is making its well cleaned the bottom of the bug, I had expected to put my mind to see if it last over time, and yes it lasts very long because I still use it is 3 months or more to say on this very useful brush, I highly recommend for moms you will not be disappointed at all, and it's beautiful color, also received fast.</v>
      </c>
    </row>
    <row r="18617">
      <c r="A18617" s="1">
        <v>5.0</v>
      </c>
      <c r="B18617" s="1" t="s">
        <v>18314</v>
      </c>
      <c r="C18617" t="str">
        <f>IFERROR(__xludf.DUMMYFUNCTION("GOOGLETRANSLATE(B18617, ""fr"", ""en"")"),"Recommended to all knowledge Practical al dressed super casual. I think to take the other colors. goodwill gesture the same blue Thanks Amazon gift Santa Claus")</f>
        <v>Recommended to all knowledge Practical al dressed super casual. I think to take the other colors. goodwill gesture the same blue Thanks Amazon gift Santa Claus</v>
      </c>
    </row>
    <row r="18618">
      <c r="A18618" s="1">
        <v>5.0</v>
      </c>
      <c r="B18618" s="1" t="s">
        <v>18315</v>
      </c>
      <c r="C18618" t="str">
        <f>IFERROR(__xludf.DUMMYFUNCTION("GOOGLETRANSLATE(B18618, ""fr"", ""en"")"),"Nice little engine 3.5 cm long all inclusive of 1 cm wide. Nice timepiece delivered well packed on time.")</f>
        <v>Nice little engine 3.5 cm long all inclusive of 1 cm wide. Nice timepiece delivered well packed on time.</v>
      </c>
    </row>
    <row r="18619">
      <c r="A18619" s="1">
        <v>5.0</v>
      </c>
      <c r="B18619" s="1" t="s">
        <v>18316</v>
      </c>
      <c r="C18619" t="str">
        <f>IFERROR(__xludf.DUMMYFUNCTION("GOOGLETRANSLATE(B18619, ""fr"", ""en"")"),"In the top ! Very nice shoes. I love them !!")</f>
        <v>In the top ! Very nice shoes. I love them !!</v>
      </c>
    </row>
    <row r="18620">
      <c r="A18620" s="1">
        <v>5.0</v>
      </c>
      <c r="B18620" s="1" t="s">
        <v>18317</v>
      </c>
      <c r="C18620" t="str">
        <f>IFERROR(__xludf.DUMMYFUNCTION("GOOGLETRANSLATE(B18620, ""fr"", ""en"")"),"good sound quality I took 2 for my 2 children. I was afraid he would not take children, but finally after a month of use I am satisfied. I highly recommend it. it was very helpful for my travels.")</f>
        <v>good sound quality I took 2 for my 2 children. I was afraid he would not take children, but finally after a month of use I am satisfied. I highly recommend it. it was very helpful for my travels.</v>
      </c>
    </row>
    <row r="18621">
      <c r="A18621" s="1">
        <v>5.0</v>
      </c>
      <c r="B18621" s="1" t="s">
        <v>18318</v>
      </c>
      <c r="C18621" t="str">
        <f>IFERROR(__xludf.DUMMYFUNCTION("GOOGLETRANSLATE(B18621, ""fr"", ""en"")"),"Excellent Very good bottle warmer baby bottle heater effcicace fast and easy to use more it can be used later also to heat the jars.")</f>
        <v>Excellent Very good bottle warmer baby bottle heater effcicace fast and easy to use more it can be used later also to heat the jars.</v>
      </c>
    </row>
    <row r="18622">
      <c r="A18622" s="1">
        <v>5.0</v>
      </c>
      <c r="B18622" s="1" t="s">
        <v>18319</v>
      </c>
      <c r="C18622" t="str">
        <f>IFERROR(__xludf.DUMMYFUNCTION("GOOGLETRANSLATE(B18622, ""fr"", ""en"")"),"Top Top to do his laundry or even. C only drawback is that it is a product basket over so be € 25 to buy more item to that he be sent")</f>
        <v>Top Top to do his laundry or even. C only drawback is that it is a product basket over so be € 25 to buy more item to that he be sent</v>
      </c>
    </row>
    <row r="18623">
      <c r="A18623" s="1">
        <v>5.0</v>
      </c>
      <c r="B18623" s="1" t="s">
        <v>18320</v>
      </c>
      <c r="C18623" t="str">
        <f>IFERROR(__xludf.DUMMYFUNCTION("GOOGLETRANSLATE(B18623, ""fr"", ""en"")"),"sends arrived in time. very happy I'm really happy with this purchase. My mom was very happy for her birthday")</f>
        <v>sends arrived in time. very happy I'm really happy with this purchase. My mom was very happy for her birthday</v>
      </c>
    </row>
    <row r="18624">
      <c r="A18624" s="1">
        <v>5.0</v>
      </c>
      <c r="B18624" s="1" t="s">
        <v>18321</v>
      </c>
      <c r="C18624" t="str">
        <f>IFERROR(__xludf.DUMMYFUNCTION("GOOGLETRANSLATE(B18624, ""fr"", ""en"")"),"quality socks quality socks, comfortable and warm.")</f>
        <v>quality socks quality socks, comfortable and warm.</v>
      </c>
    </row>
    <row r="18625">
      <c r="A18625" s="1">
        <v>5.0</v>
      </c>
      <c r="B18625" s="1" t="s">
        <v>18322</v>
      </c>
      <c r="C18625" t="str">
        <f>IFERROR(__xludf.DUMMYFUNCTION("GOOGLETRANSLATE(B18625, ""fr"", ""en"")"),"Nickel Beautiful comfortable and soft cushion! Easy to use")</f>
        <v>Nickel Beautiful comfortable and soft cushion! Easy to use</v>
      </c>
    </row>
    <row r="18626">
      <c r="A18626" s="1">
        <v>5.0</v>
      </c>
      <c r="B18626" s="1" t="s">
        <v>18323</v>
      </c>
      <c r="C18626" t="str">
        <f>IFERROR(__xludf.DUMMYFUNCTION("GOOGLETRANSLATE(B18626, ""fr"", ""en"")"),"Okay Good very good size product")</f>
        <v>Okay Good very good size product</v>
      </c>
    </row>
    <row r="18627">
      <c r="A18627" s="1">
        <v>5.0</v>
      </c>
      <c r="B18627" s="1" t="s">
        <v>18324</v>
      </c>
      <c r="C18627" t="str">
        <f>IFERROR(__xludf.DUMMYFUNCTION("GOOGLETRANSLATE(B18627, ""fr"", ""en"")"),"Very comfortable safety shoe, only downside I had a fall at work on wet 🙄 shame it slides.")</f>
        <v>Very comfortable safety shoe, only downside I had a fall at work on wet 🙄 shame it slides.</v>
      </c>
    </row>
    <row r="18628">
      <c r="A18628" s="1">
        <v>5.0</v>
      </c>
      <c r="B18628" s="1" t="s">
        <v>18325</v>
      </c>
      <c r="C18628" t="str">
        <f>IFERROR(__xludf.DUMMYFUNCTION("GOOGLETRANSLATE(B18628, ""fr"", ""en"")"),"bags bags very solid garbage and very practical with links embedded tightening! d in redeemed every time my stock goes down")</f>
        <v>bags bags very solid garbage and very practical with links embedded tightening! d in redeemed every time my stock goes down</v>
      </c>
    </row>
    <row r="18629">
      <c r="A18629" s="1">
        <v>5.0</v>
      </c>
      <c r="B18629" s="1" t="s">
        <v>18326</v>
      </c>
      <c r="C18629" t="str">
        <f>IFERROR(__xludf.DUMMYFUNCTION("GOOGLETRANSLATE(B18629, ""fr"", ""en"")"),"Good sound reproduction Good sound reproduction handy with humbuckers on a single jack")</f>
        <v>Good sound reproduction Good sound reproduction handy with humbuckers on a single jack</v>
      </c>
    </row>
    <row r="18630">
      <c r="A18630" s="1">
        <v>5.0</v>
      </c>
      <c r="B18630" s="1" t="s">
        <v>18327</v>
      </c>
      <c r="C18630" t="str">
        <f>IFERROR(__xludf.DUMMYFUNCTION("GOOGLETRANSLATE(B18630, ""fr"", ""en"")"),"Damage practice that the bottle is made of plastic. good product. Pipette very functional.")</f>
        <v>Damage practice that the bottle is made of plastic. good product. Pipette very functional.</v>
      </c>
    </row>
    <row r="18631">
      <c r="A18631" s="1">
        <v>2.0</v>
      </c>
      <c r="B18631" s="1" t="s">
        <v>18328</v>
      </c>
      <c r="C18631" t="str">
        <f>IFERROR(__xludf.DUMMYFUNCTION("GOOGLETRANSLATE(B18631, ""fr"", ""en"")"),"Bad At first I was surprised by the quality but over time and after a few washes neps appear I am disappointed")</f>
        <v>Bad At first I was surprised by the quality but over time and after a few washes neps appear I am disappointed</v>
      </c>
    </row>
    <row r="18632">
      <c r="A18632" s="1">
        <v>1.0</v>
      </c>
      <c r="B18632" s="1" t="s">
        <v>18329</v>
      </c>
      <c r="C18632" t="str">
        <f>IFERROR(__xludf.DUMMYFUNCTION("GOOGLETRANSLATE(B18632, ""fr"", ""en"")"),"HS after the second use The first purchased worked for 4 years (with 15 days of use / year). It worked once. No comment. I exchange brand.")</f>
        <v>HS after the second use The first purchased worked for 4 years (with 15 days of use / year). It worked once. No comment. I exchange brand.</v>
      </c>
    </row>
    <row r="18633">
      <c r="A18633" s="1">
        <v>1.0</v>
      </c>
      <c r="B18633" s="1" t="s">
        <v>18330</v>
      </c>
      <c r="C18633" t="str">
        <f>IFERROR(__xludf.DUMMYFUNCTION("GOOGLETRANSLATE(B18633, ""fr"", ""en"")"),"Very very very poor second shows LIGE, no, product of very poor quality, for this model the bracelet holding 15min, just stuck, it's worth nothing, more a hand is in free mode, there is a game, so she moves alone ... really a big disappointment")</f>
        <v>Very very very poor second shows LIGE, no, product of very poor quality, for this model the bracelet holding 15min, just stuck, it's worth nothing, more a hand is in free mode, there is a game, so she moves alone ... really a big disappointment</v>
      </c>
    </row>
    <row r="18634">
      <c r="A18634" s="1">
        <v>3.0</v>
      </c>
      <c r="B18634" s="1" t="s">
        <v>18331</v>
      </c>
      <c r="C18634" t="str">
        <f>IFERROR(__xludf.DUMMYFUNCTION("GOOGLETRANSLATE(B18634, ""fr"", ""en"")"),"costume jewelry answering the presentation on the website gem that can make its effect can be seen on the back grammage 925 venetian chain although very thin case is stamped Italy is very correct.Je can afford it!")</f>
        <v>costume jewelry answering the presentation on the website gem that can make its effect can be seen on the back grammage 925 venetian chain although very thin case is stamped Italy is very correct.Je can afford it!</v>
      </c>
    </row>
    <row r="18635">
      <c r="A18635" s="1">
        <v>3.0</v>
      </c>
      <c r="B18635" s="1" t="s">
        <v>18332</v>
      </c>
      <c r="C18635" t="str">
        <f>IFERROR(__xludf.DUMMYFUNCTION("GOOGLETRANSLATE(B18635, ""fr"", ""en"")"),"Good quality Content of these pockets. Easy to use and they stick perfectly to sheet laminator.")</f>
        <v>Good quality Content of these pockets. Easy to use and they stick perfectly to sheet laminator.</v>
      </c>
    </row>
    <row r="18636">
      <c r="A18636" s="1">
        <v>4.0</v>
      </c>
      <c r="B18636" s="1" t="s">
        <v>18333</v>
      </c>
      <c r="C18636" t="str">
        <f>IFERROR(__xludf.DUMMYFUNCTION("GOOGLETRANSLATE(B18636, ""fr"", ""en"")"),"WATCH MAN BENYAR I am quite satisfied with this purchase. Very nice watch stopwatch, sports model, with its elegant color strap camel.")</f>
        <v>WATCH MAN BENYAR I am quite satisfied with this purchase. Very nice watch stopwatch, sports model, with its elegant color strap camel.</v>
      </c>
    </row>
    <row r="18637">
      <c r="A18637" s="1">
        <v>4.0</v>
      </c>
      <c r="B18637" s="1" t="s">
        <v>18334</v>
      </c>
      <c r="C18637" t="str">
        <f>IFERROR(__xludf.DUMMYFUNCTION("GOOGLETRANSLATE(B18637, ""fr"", ""en"")"),"Recommend I can not imagine to bed with a cold night without it. I turn 30 minutes before bedtime and I turn it off when I go to bed. I used several beds heaters over the years and it works well. If only it were a little longer. I 165 cm and does not heat"&amp;" the areas of the head and feet. Recommend.")</f>
        <v>Recommend I can not imagine to bed with a cold night without it. I turn 30 minutes before bedtime and I turn it off when I go to bed. I used several beds heaters over the years and it works well. If only it were a little longer. I 165 cm and does not heat the areas of the head and feet. Recommend.</v>
      </c>
    </row>
    <row r="18638">
      <c r="A18638" s="1">
        <v>4.0</v>
      </c>
      <c r="B18638" s="1" t="s">
        <v>18335</v>
      </c>
      <c r="C18638" t="str">
        <f>IFERROR(__xludf.DUMMYFUNCTION("GOOGLETRANSLATE(B18638, ""fr"", ""en"")"),"Very well ! I bought this brush because I know the brand .. Solid! Pleasant colors It'll be 8 months that I have and I am fully satisfied")</f>
        <v>Very well ! I bought this brush because I know the brand .. Solid! Pleasant colors It'll be 8 months that I have and I am fully satisfied</v>
      </c>
    </row>
    <row r="18639">
      <c r="A18639" s="1">
        <v>4.0</v>
      </c>
      <c r="B18639" s="1" t="s">
        <v>18336</v>
      </c>
      <c r="C18639" t="str">
        <f>IFERROR(__xludf.DUMMYFUNCTION("GOOGLETRANSLATE(B18639, ""fr"", ""en"")"),"Very pleased with the ease of use. She is fine, the only thing I do not like is that it has no feet and you have to more or less keep it as it slips easily. I solved the concern pasting 4 feet self pantyhose. Impeccable. Very pleased with the ease of use.")</f>
        <v>Very pleased with the ease of use. She is fine, the only thing I do not like is that it has no feet and you have to more or less keep it as it slips easily. I solved the concern pasting 4 feet self pantyhose. Impeccable. Very pleased with the ease of use.</v>
      </c>
    </row>
    <row r="18640">
      <c r="A18640" s="1">
        <v>5.0</v>
      </c>
      <c r="B18640" s="1" t="s">
        <v>18337</v>
      </c>
      <c r="C18640" t="str">
        <f>IFERROR(__xludf.DUMMYFUNCTION("GOOGLETRANSLATE(B18640, ""fr"", ""en"")"),"Super nipple !! Perfect A real size L so for the good thick liquid. Petir price so what more? : D")</f>
        <v>Super nipple !! Perfect A real size L so for the good thick liquid. Petir price so what more? : D</v>
      </c>
    </row>
    <row r="18641">
      <c r="A18641" s="1">
        <v>5.0</v>
      </c>
      <c r="B18641" s="1" t="s">
        <v>18338</v>
      </c>
      <c r="C18641" t="str">
        <f>IFERROR(__xludf.DUMMYFUNCTION("GOOGLETRANSLATE(B18641, ""fr"", ""en"")"),"beautiful little low sock summer arrives and the heat too .. I took these low socks to keep some freshness on the calves summer .. washing done after receipt machine ca RAS holds the road .. it is fine but elastic, very nice to wear I recommend :)")</f>
        <v>beautiful little low sock summer arrives and the heat too .. I took these low socks to keep some freshness on the calves summer .. washing done after receipt machine ca RAS holds the road .. it is fine but elastic, very nice to wear I recommend :)</v>
      </c>
    </row>
    <row r="18642">
      <c r="A18642" s="1">
        <v>5.0</v>
      </c>
      <c r="B18642" s="1" t="s">
        <v>18339</v>
      </c>
      <c r="C18642" t="str">
        <f>IFERROR(__xludf.DUMMYFUNCTION("GOOGLETRANSLATE(B18642, ""fr"", ""en"")"),"Simple and pretty! I first fell for the retro side. She is superb. After she did her job. Heats quickly a large amount of water. Very easy to use. One has only to press the small catch light. I was afraid that it is very noisy ... Yes, it is a little but "&amp;"it is not critical. As against the body of the kettle becomes very hot. Hold the well by the handle. This is the only problem for me.")</f>
        <v>Simple and pretty! I first fell for the retro side. She is superb. After she did her job. Heats quickly a large amount of water. Very easy to use. One has only to press the small catch light. I was afraid that it is very noisy ... Yes, it is a little but it is not critical. As against the body of the kettle becomes very hot. Hold the well by the handle. This is the only problem for me.</v>
      </c>
    </row>
    <row r="18643">
      <c r="A18643" s="1">
        <v>5.0</v>
      </c>
      <c r="B18643" s="1" t="s">
        <v>18340</v>
      </c>
      <c r="C18643" t="str">
        <f>IFERROR(__xludf.DUMMYFUNCTION("GOOGLETRANSLATE(B18643, ""fr"", ""en"")"),"Nickel Super bargain")</f>
        <v>Nickel Super bargain</v>
      </c>
    </row>
    <row r="18644">
      <c r="A18644" s="1">
        <v>5.0</v>
      </c>
      <c r="B18644" s="1" t="s">
        <v>18341</v>
      </c>
      <c r="C18644" t="str">
        <f>IFERROR(__xludf.DUMMYFUNCTION("GOOGLETRANSLATE(B18644, ""fr"", ""en"")"),"Wow awesome. Used on an amp for singing room. Perfect. Voice undistorted, perfect echo of the potato, Wireless happiness of freedom, both pickups impeccable sets. Thank you for this product.")</f>
        <v>Wow awesome. Used on an amp for singing room. Perfect. Voice undistorted, perfect echo of the potato, Wireless happiness of freedom, both pickups impeccable sets. Thank you for this product.</v>
      </c>
    </row>
    <row r="18645">
      <c r="A18645" s="1">
        <v>5.0</v>
      </c>
      <c r="B18645" s="1" t="s">
        <v>18342</v>
      </c>
      <c r="C18645" t="str">
        <f>IFERROR(__xludf.DUMMYFUNCTION("GOOGLETRANSLATE(B18645, ""fr"", ""en"")"),"Pretty and classy I received this bracelet in a pretty box and well protected by a transparent protective film. Very nice bracelet complies with pictures. It is very classy and sophisticated. Although this is not true ""&amp; nbsp; &amp; nbsp diamonds;"" it is no"&amp;"t at all ""&amp; nbsp; fake &amp; nbsp;"". Wear it for a nice look stylish I love !!")</f>
        <v>Pretty and classy I received this bracelet in a pretty box and well protected by a transparent protective film. Very nice bracelet complies with pictures. It is very classy and sophisticated. Although this is not true "&amp; nbsp; &amp; nbsp diamonds;" it is not at all "&amp; nbsp; fake &amp; nbsp;". Wear it for a nice look stylish I love !!</v>
      </c>
    </row>
    <row r="18646">
      <c r="A18646" s="1">
        <v>5.0</v>
      </c>
      <c r="B18646" s="1" t="s">
        <v>18343</v>
      </c>
      <c r="C18646" t="str">
        <f>IFERROR(__xludf.DUMMYFUNCTION("GOOGLETRANSLATE(B18646, ""fr"", ""en"")"),"Nice to purchase this product perfectly matching my expectations")</f>
        <v>Nice to purchase this product perfectly matching my expectations</v>
      </c>
    </row>
    <row r="18647">
      <c r="A18647" s="1">
        <v>5.0</v>
      </c>
      <c r="B18647" s="1" t="s">
        <v>18344</v>
      </c>
      <c r="C18647" t="str">
        <f>IFERROR(__xludf.DUMMYFUNCTION("GOOGLETRANSLATE(B18647, ""fr"", ""en"")"),"A good choice for heat milk for your baby warm milk This device is very pretty it is white I like his style and high quality. The temperature can be adjusted. Time can also be adjusted. The heat preservation effect is rapid. The baby can eat the milk quic"&amp;"kly. I am very satisfied.")</f>
        <v>A good choice for heat milk for your baby warm milk This device is very pretty it is white I like his style and high quality. The temperature can be adjusted. Time can also be adjusted. The heat preservation effect is rapid. The baby can eat the milk quickly. I am very satisfied.</v>
      </c>
    </row>
    <row r="18648">
      <c r="A18648" s="1">
        <v>5.0</v>
      </c>
      <c r="B18648" s="1" t="s">
        <v>18345</v>
      </c>
      <c r="C18648" t="str">
        <f>IFERROR(__xludf.DUMMYFUNCTION("GOOGLETRANSLATE(B18648, ""fr"", ""en"")"),"Tasty for a breastfed baby! I MAM bottles Advent and Lansinoh and I highly recommend the MAM and Lansinoh flow 1 for Bebe breastfed for the first month to avoid choking!")</f>
        <v>Tasty for a breastfed baby! I MAM bottles Advent and Lansinoh and I highly recommend the MAM and Lansinoh flow 1 for Bebe breastfed for the first month to avoid choking!</v>
      </c>
    </row>
    <row r="18649">
      <c r="A18649" s="1">
        <v>5.0</v>
      </c>
      <c r="B18649" s="1" t="s">
        <v>18346</v>
      </c>
      <c r="C18649" t="str">
        <f>IFERROR(__xludf.DUMMYFUNCTION("GOOGLETRANSLATE(B18649, ""fr"", ""en"")"),"I feel really good in Order 42, the usual size, I had a fear unpacking, they seemed small but it fit me perfectly. They are very good and the seams are well made. It is equipped with a sole that looks very comfortable. I feel really good inside")</f>
        <v>I feel really good in Order 42, the usual size, I had a fear unpacking, they seemed small but it fit me perfectly. They are very good and the seams are well made. It is equipped with a sole that looks very comfortable. I feel really good inside</v>
      </c>
    </row>
    <row r="18650">
      <c r="A18650" s="1">
        <v>5.0</v>
      </c>
      <c r="B18650" s="1" t="s">
        <v>18347</v>
      </c>
      <c r="C18650" t="str">
        <f>IFERROR(__xludf.DUMMYFUNCTION("GOOGLETRANSLATE(B18650, ""fr"", ""en"")"),"Wipes They feel very good")</f>
        <v>Wipes They feel very good</v>
      </c>
    </row>
    <row r="18651">
      <c r="A18651" s="1">
        <v>5.0</v>
      </c>
      <c r="B18651" s="1" t="s">
        <v>18348</v>
      </c>
      <c r="C18651" t="str">
        <f>IFERROR(__xludf.DUMMYFUNCTION("GOOGLETRANSLATE(B18651, ""fr"", ""en"")"),"Nickel Impeccable product matching my expectations, very good value, I recommend this product.")</f>
        <v>Nickel Impeccable product matching my expectations, very good value, I recommend this product.</v>
      </c>
    </row>
    <row r="18652">
      <c r="A18652" s="1">
        <v>5.0</v>
      </c>
      <c r="B18652" s="1" t="s">
        <v>18349</v>
      </c>
      <c r="C18652" t="str">
        <f>IFERROR(__xludf.DUMMYFUNCTION("GOOGLETRANSLATE(B18652, ""fr"", ""en"")"),"Shock Absorber The best bra for running! Excellent support even for generous breasts. Many colors available, which is rather nice and allows matching outfits. The size corresponds parfaitment!")</f>
        <v>Shock Absorber The best bra for running! Excellent support even for generous breasts. Many colors available, which is rather nice and allows matching outfits. The size corresponds parfaitment!</v>
      </c>
    </row>
    <row r="18653">
      <c r="A18653" s="1">
        <v>5.0</v>
      </c>
      <c r="B18653" s="1" t="s">
        <v>18350</v>
      </c>
      <c r="C18653" t="str">
        <f>IFERROR(__xludf.DUMMYFUNCTION("GOOGLETRANSLATE(B18653, ""fr"", ""en"")"),"Elegant beautiful to me")</f>
        <v>Elegant beautiful to me</v>
      </c>
    </row>
    <row r="18654">
      <c r="A18654" s="1">
        <v>5.0</v>
      </c>
      <c r="B18654" s="1" t="s">
        <v>18351</v>
      </c>
      <c r="C18654" t="str">
        <f>IFERROR(__xludf.DUMMYFUNCTION("GOOGLETRANSLATE(B18654, ""fr"", ""en"")"),"nice article in order and go with my phone!")</f>
        <v>nice article in order and go with my phone!</v>
      </c>
    </row>
    <row r="18655">
      <c r="A18655" s="1">
        <v>2.0</v>
      </c>
      <c r="B18655" s="1" t="s">
        <v>18352</v>
      </c>
      <c r="C18655" t="str">
        <f>IFERROR(__xludf.DUMMYFUNCTION("GOOGLETRANSLATE(B18655, ""fr"", ""en"")"),"I am not satisfied This is the first time I buy the lay on amazon I carried 4 or 5 times, I've washed as usual in the machine, they came out of all machines unstuck all along the red line. They are good to throw away. I'm going back where I bought the usu"&amp;"al.")</f>
        <v>I am not satisfied This is the first time I buy the lay on amazon I carried 4 or 5 times, I've washed as usual in the machine, they came out of all machines unstuck all along the red line. They are good to throw away. I'm going back where I bought the usual.</v>
      </c>
    </row>
    <row r="18656">
      <c r="A18656" s="1">
        <v>1.0</v>
      </c>
      <c r="B18656" s="1" t="s">
        <v>18353</v>
      </c>
      <c r="C18656" t="str">
        <f>IFERROR(__xludf.DUMMYFUNCTION("GOOGLETRANSLATE(B18656, ""fr"", ""en"")"),"Article unusable Item received yesterday in very bad condition broken so unusable")</f>
        <v>Article unusable Item received yesterday in very bad condition broken so unusable</v>
      </c>
    </row>
    <row r="18657">
      <c r="A18657" s="1">
        <v>1.0</v>
      </c>
      <c r="B18657" s="1" t="s">
        <v>18354</v>
      </c>
      <c r="C18657" t="str">
        <f>IFERROR(__xludf.DUMMYFUNCTION("GOOGLETRANSLATE(B18657, ""fr"", ""en"")"),"it has held four months that I enjoyed a lot this watch. Casio is a brand that I buy with confidence. but late October I realized she will not charge more regardless of the time when I let in natural light. while I did that since June. Casio Solar my prev"&amp;"ious 10 years were held. and under 3 years of solar brand. I guess I'm just out of luck. but I am disappointed.")</f>
        <v>it has held four months that I enjoyed a lot this watch. Casio is a brand that I buy with confidence. but late October I realized she will not charge more regardless of the time when I let in natural light. while I did that since June. Casio Solar my previous 10 years were held. and under 3 years of solar brand. I guess I'm just out of luck. but I am disappointed.</v>
      </c>
    </row>
    <row r="18658">
      <c r="A18658" s="1">
        <v>3.0</v>
      </c>
      <c r="B18658" s="1" t="s">
        <v>18355</v>
      </c>
      <c r="C18658" t="str">
        <f>IFERROR(__xludf.DUMMYFUNCTION("GOOGLETRANSLATE(B18658, ""fr"", ""en"")"),"SEIKO materials seem of good quality but there is no quartz precision as it advances one minute a day and stops very quickly if we do not carry 24 to 36 hours away.")</f>
        <v>SEIKO materials seem of good quality but there is no quartz precision as it advances one minute a day and stops very quickly if we do not carry 24 to 36 hours away.</v>
      </c>
    </row>
    <row r="18659">
      <c r="A18659" s="1">
        <v>4.0</v>
      </c>
      <c r="B18659" s="1" t="s">
        <v>18356</v>
      </c>
      <c r="C18659" t="str">
        <f>IFERROR(__xludf.DUMMYFUNCTION("GOOGLETRANSLATE(B18659, ""fr"", ""en"")"),"Satisfied I wear it for several months day and night, no problem fully compliant Product")</f>
        <v>Satisfied I wear it for several months day and night, no problem fully compliant Product</v>
      </c>
    </row>
    <row r="18660">
      <c r="A18660" s="1">
        <v>4.0</v>
      </c>
      <c r="B18660" s="1" t="s">
        <v>18357</v>
      </c>
      <c r="C18660" t="str">
        <f>IFERROR(__xludf.DUMMYFUNCTION("GOOGLETRANSLATE(B18660, ""fr"", ""en"")"),"gift for my son My son (a :) teens) is telling his headphones. So I would say it's perfect!")</f>
        <v>gift for my son My son (a :) teens) is telling his headphones. So I would say it's perfect!</v>
      </c>
    </row>
    <row r="18661">
      <c r="A18661" s="1">
        <v>4.0</v>
      </c>
      <c r="B18661" s="1" t="s">
        <v>18358</v>
      </c>
      <c r="C18661" t="str">
        <f>IFERROR(__xludf.DUMMYFUNCTION("GOOGLETRANSLATE(B18661, ""fr"", ""en"")"),"Too many (but not practical cap) it's been a week since I got my bottle and OMG it's great. I use it on my face to moisturize my skin and reduce blemishes on my hips and my back for my eczema; and on my legs because I have dry skin. Figure: Application 1 "&amp;"/ day in the evening before going to bed (1 or 2 drops). rather massive decrease pimples on my face, skin less oily, less dry and visibly less tired. It's simple, I do not have like a zombie acne when I get up in the morning and that's great. I look forwa"&amp;"rd to seeing the results in the long term Eczema: no miracles here, I still have eczema by cons I do not wake up to scratch me and I will spend the day m pull the epidermis . More effective than the pharmacy creams therefore (by cons I continue my antihis"&amp;"tamines for background processing). dry legs: my skin became beautiful and sweet. Where do cr1eme Nivea was serving as misery cache and did not treat the problem, jojoba oil has given softness to my skin. Great because in winter it is critical with the co"&amp;"ld. Appraisal: Very good product. A slight but not disturbing odor. I take off a star for the truly impractical cap, which does not dose the product and causes losses (and saw the price per liter is not cool). I allow myself to make an update after a few "&amp;"months, so Face: I always use it daily (have not bought bottle since my purchase in November!) And I have no problem with acne, all . It's just perfect. Eczema: I'm still under antihistamine and am moved to another herbalist cream to relieve scratchy, but"&amp;" I always use jojoba oil in ""emergency"" if my skin is very dry. (Ask if there are no cons-indications to apply 2 products before though) Legs: nothing to add in relation to my first comment.")</f>
        <v>Too many (but not practical cap) it's been a week since I got my bottle and OMG it's great. I use it on my face to moisturize my skin and reduce blemishes on my hips and my back for my eczema; and on my legs because I have dry skin. Figure: Application 1 / day in the evening before going to bed (1 or 2 drops). rather massive decrease pimples on my face, skin less oily, less dry and visibly less tired. It's simple, I do not have like a zombie acne when I get up in the morning and that's great. I look forward to seeing the results in the long term Eczema: no miracles here, I still have eczema by cons I do not wake up to scratch me and I will spend the day m pull the epidermis . More effective than the pharmacy creams therefore (by cons I continue my antihistamines for background processing). dry legs: my skin became beautiful and sweet. Where do cr1eme Nivea was serving as misery cache and did not treat the problem, jojoba oil has given softness to my skin. Great because in winter it is critical with the cold. Appraisal: Very good product. A slight but not disturbing odor. I take off a star for the truly impractical cap, which does not dose the product and causes losses (and saw the price per liter is not cool). I allow myself to make an update after a few months, so Face: I always use it daily (have not bought bottle since my purchase in November!) And I have no problem with acne, all . It's just perfect. Eczema: I'm still under antihistamine and am moved to another herbalist cream to relieve scratchy, but I always use jojoba oil in "emergency" if my skin is very dry. (Ask if there are no cons-indications to apply 2 products before though) Legs: nothing to add in relation to my first comment.</v>
      </c>
    </row>
    <row r="18662">
      <c r="A18662" s="1">
        <v>4.0</v>
      </c>
      <c r="B18662" s="1" t="s">
        <v>18359</v>
      </c>
      <c r="C18662" t="str">
        <f>IFERROR(__xludf.DUMMYFUNCTION("GOOGLETRANSLATE(B18662, ""fr"", ""en"")"),"Beautiful jewelry What I like most about this necklace are reflections of the stone. They go from blue to pink with purple, it's beautiful. It seems solid, the stone is well maintained and the fastening system is practical. It comes in a nice cardboard bo"&amp;"x ready to be offered;) My wife is happy")</f>
        <v>Beautiful jewelry What I like most about this necklace are reflections of the stone. They go from blue to pink with purple, it's beautiful. It seems solid, the stone is well maintained and the fastening system is practical. It comes in a nice cardboard box ready to be offered;) My wife is happy</v>
      </c>
    </row>
    <row r="18663">
      <c r="A18663" s="1">
        <v>5.0</v>
      </c>
      <c r="B18663" s="1" t="s">
        <v>18360</v>
      </c>
      <c r="C18663" t="str">
        <f>IFERROR(__xludf.DUMMYFUNCTION("GOOGLETRANSLATE(B18663, ""fr"", ""en"")"),"In addition to the ""breastfeeding, no confusion. Range selected for my first chosen for the second too! To see a use in addition to breastfeeding like the big brother.")</f>
        <v>In addition to the "breastfeeding, no confusion. Range selected for my first chosen for the second too! To see a use in addition to breastfeeding like the big brother.</v>
      </c>
    </row>
    <row r="18664">
      <c r="A18664" s="1">
        <v>5.0</v>
      </c>
      <c r="B18664" s="1" t="s">
        <v>18361</v>
      </c>
      <c r="C18664" t="str">
        <f>IFERROR(__xludf.DUMMYFUNCTION("GOOGLETRANSLATE(B18664, ""fr"", ""en"")"),"Okay 😘")</f>
        <v>Okay 😘</v>
      </c>
    </row>
    <row r="18665">
      <c r="A18665" s="1">
        <v>5.0</v>
      </c>
      <c r="B18665" s="1" t="s">
        <v>18362</v>
      </c>
      <c r="C18665" t="str">
        <f>IFERROR(__xludf.DUMMYFUNCTION("GOOGLETRANSLATE(B18665, ""fr"", ""en"")"),"Excellent shows connected I just bought this watch connected I had already buy on good wish but I barely lit stop it from functioning (15 euro) .Good I wanted to buy another without counting those of Apple and Samsung that costs a blind so I dwelt on this"&amp;" one 30 euro and with great service. It's been about two days since I use design and really good way inferior to the watch 200 euro, we can put a sim card or connects with its blutooth such which is not bad when you lazy remove the phone from his cartable"&amp;".Et more I come to bother trying the application but it tells us all our physical effort. You can say it's worth it.")</f>
        <v>Excellent shows connected I just bought this watch connected I had already buy on good wish but I barely lit stop it from functioning (15 euro) .Good I wanted to buy another without counting those of Apple and Samsung that costs a blind so I dwelt on this one 30 euro and with great service. It's been about two days since I use design and really good way inferior to the watch 200 euro, we can put a sim card or connects with its blutooth such which is not bad when you lazy remove the phone from his cartable.Et more I come to bother trying the application but it tells us all our physical effort. You can say it's worth it.</v>
      </c>
    </row>
    <row r="18666">
      <c r="A18666" s="1">
        <v>5.0</v>
      </c>
      <c r="B18666" s="1" t="s">
        <v>18363</v>
      </c>
      <c r="C18666" t="str">
        <f>IFERROR(__xludf.DUMMYFUNCTION("GOOGLETRANSLATE(B18666, ""fr"", ""en"")"),"Pretty offered today, the bracelet very much! It is very beautiful and comes in a beautiful setting, pleased with this purchase, I recommend.")</f>
        <v>Pretty offered today, the bracelet very much! It is very beautiful and comes in a beautiful setting, pleased with this purchase, I recommend.</v>
      </c>
    </row>
    <row r="18667">
      <c r="A18667" s="1">
        <v>5.0</v>
      </c>
      <c r="B18667" s="1" t="s">
        <v>18364</v>
      </c>
      <c r="C18667" t="str">
        <f>IFERROR(__xludf.DUMMYFUNCTION("GOOGLETRANSLATE(B18667, ""fr"", ""en"")"),"Excellent product Excellent product quality, nothing to say. The wax melts very well and I was able to use it easily and without loss to a food storage coating. The wax is yellow (this is normal) so it retains that color after melted. The ecological appro"&amp;"ach is perfect, cardboard packaging, I am extremely satisfied!")</f>
        <v>Excellent product Excellent product quality, nothing to say. The wax melts very well and I was able to use it easily and without loss to a food storage coating. The wax is yellow (this is normal) so it retains that color after melted. The ecological approach is perfect, cardboard packaging, I am extremely satisfied!</v>
      </c>
    </row>
    <row r="18668">
      <c r="A18668" s="1">
        <v>5.0</v>
      </c>
      <c r="B18668" s="1" t="s">
        <v>18365</v>
      </c>
      <c r="C18668" t="str">
        <f>IFERROR(__xludf.DUMMYFUNCTION("GOOGLETRANSLATE(B18668, ""fr"", ""en"")"),"Super efficient product seller nice")</f>
        <v>Super efficient product seller nice</v>
      </c>
    </row>
    <row r="18669">
      <c r="A18669" s="1">
        <v>5.0</v>
      </c>
      <c r="B18669" s="1" t="s">
        <v>18366</v>
      </c>
      <c r="C18669" t="str">
        <f>IFERROR(__xludf.DUMMYFUNCTION("GOOGLETRANSLATE(B18669, ""fr"", ""en"")"),"An opportunity! What to say on a notepad ?? it is a block ... to take notes ... but it's still interested for this pack in price, and it is always nice to write on a sheet quality Oxford")</f>
        <v>An opportunity! What to say on a notepad ?? it is a block ... to take notes ... but it's still interested for this pack in price, and it is always nice to write on a sheet quality Oxford</v>
      </c>
    </row>
    <row r="18670">
      <c r="A18670" s="1">
        <v>5.0</v>
      </c>
      <c r="B18670" s="1" t="s">
        <v>18367</v>
      </c>
      <c r="C18670" t="str">
        <f>IFERROR(__xludf.DUMMYFUNCTION("GOOGLETRANSLATE(B18670, ""fr"", ""en"")"),"Perfect Same as picture Pleasant to wear")</f>
        <v>Perfect Same as picture Pleasant to wear</v>
      </c>
    </row>
    <row r="18671">
      <c r="A18671" s="1">
        <v>5.0</v>
      </c>
      <c r="B18671" s="1" t="s">
        <v>18368</v>
      </c>
      <c r="C18671" t="str">
        <f>IFERROR(__xludf.DUMMYFUNCTION("GOOGLETRANSLATE(B18671, ""fr"", ""en"")"),"Perfect Matches perfectly to the product ordered. I use it at work and it suits me perfectly")</f>
        <v>Perfect Matches perfectly to the product ordered. I use it at work and it suits me perfectly</v>
      </c>
    </row>
    <row r="18672">
      <c r="A18672" s="1">
        <v>5.0</v>
      </c>
      <c r="B18672" s="1" t="s">
        <v>18369</v>
      </c>
      <c r="C18672" t="str">
        <f>IFERROR(__xludf.DUMMYFUNCTION("GOOGLETRANSLATE(B18672, ""fr"", ""en"")"),"Great product shoes arrived in its original packaging with all the protections provided. The size (43 1/3) is perfect and flawless. Comfortable and nice color. The cheapest I could find. 1st time I order shoes on Amazon and I am not disappointed.")</f>
        <v>Great product shoes arrived in its original packaging with all the protections provided. The size (43 1/3) is perfect and flawless. Comfortable and nice color. The cheapest I could find. 1st time I order shoes on Amazon and I am not disappointed.</v>
      </c>
    </row>
    <row r="18673">
      <c r="A18673" s="1">
        <v>5.0</v>
      </c>
      <c r="B18673" s="1" t="s">
        <v>18370</v>
      </c>
      <c r="C18673" t="str">
        <f>IFERROR(__xludf.DUMMYFUNCTION("GOOGLETRANSLATE(B18673, ""fr"", ""en"")"),"slight is really the sandals I was looking")</f>
        <v>slight is really the sandals I was looking</v>
      </c>
    </row>
    <row r="18674">
      <c r="A18674" s="1">
        <v>5.0</v>
      </c>
      <c r="B18674" s="1" t="s">
        <v>18371</v>
      </c>
      <c r="C18674" t="str">
        <f>IFERROR(__xludf.DUMMYFUNCTION("GOOGLETRANSLATE(B18674, ""fr"", ""en"")"),"Lovely lovely dress with a pair of earrings and more, hoping that the color takes time.")</f>
        <v>Lovely lovely dress with a pair of earrings and more, hoping that the color takes time.</v>
      </c>
    </row>
    <row r="18675">
      <c r="A18675" s="1">
        <v>5.0</v>
      </c>
      <c r="B18675" s="1" t="s">
        <v>18372</v>
      </c>
      <c r="C18675" t="str">
        <f>IFERROR(__xludf.DUMMYFUNCTION("GOOGLETRANSLATE(B18675, ""fr"", ""en"")"),"Really very beautiful and practical extremely surprised how wonderful this my kettle all work perfectly then bought without asking you questions")</f>
        <v>Really very beautiful and practical extremely surprised how wonderful this my kettle all work perfectly then bought without asking you questions</v>
      </c>
    </row>
    <row r="18676">
      <c r="A18676" s="1">
        <v>5.0</v>
      </c>
      <c r="B18676" s="1" t="s">
        <v>18373</v>
      </c>
      <c r="C18676" t="str">
        <f>IFERROR(__xludf.DUMMYFUNCTION("GOOGLETRANSLATE(B18676, ""fr"", ""en"")"),"A wonder  !!!!!!! This small object is a wonder !! Beautiful, light, compact and very cleverly conceived and designed. Its performance is just bluffing! Both from the perspective of the autonomy that the sound point of view! Your contacts you will hear 5 "&amp;"on 5, even with the roof open and light background music in the cabin! Think of it off when storing the car in your garage because his reach is 10 meters see, your phone could stay connected if the garage is less than 10 meters from the living room couch "&amp;".... what will require you to run the garage to answer a call. To recharge, the box is provided a car charger connector which is compatible with my HTC-HD2. You can also charge on a PC with the USB plug provided. Anyway ... strongly advise !!! Especially "&amp;"at this price! half the price of a ticket for driving GSM !!")</f>
        <v>A wonder  !!!!!!! This small object is a wonder !! Beautiful, light, compact and very cleverly conceived and designed. Its performance is just bluffing! Both from the perspective of the autonomy that the sound point of view! Your contacts you will hear 5 on 5, even with the roof open and light background music in the cabin! Think of it off when storing the car in your garage because his reach is 10 meters see, your phone could stay connected if the garage is less than 10 meters from the living room couch .... what will require you to run the garage to answer a call. To recharge, the box is provided a car charger connector which is compatible with my HTC-HD2. You can also charge on a PC with the USB plug provided. Anyway ... strongly advise !!! Especially at this price! half the price of a ticket for driving GSM !!</v>
      </c>
    </row>
    <row r="18677">
      <c r="A18677" s="1">
        <v>5.0</v>
      </c>
      <c r="B18677" s="1" t="s">
        <v>18374</v>
      </c>
      <c r="C18677" t="str">
        <f>IFERROR(__xludf.DUMMYFUNCTION("GOOGLETRANSLATE(B18677, ""fr"", ""en"")"),"Too beautiful I bought this shoe without really too believe in his safe side, yet it perfectly fulfilled its role. Furthermore, its design is well dressed (professionally) compared to classic safety shoes.")</f>
        <v>Too beautiful I bought this shoe without really too believe in his safe side, yet it perfectly fulfilled its role. Furthermore, its design is well dressed (professionally) compared to classic safety shoes.</v>
      </c>
    </row>
    <row r="18678">
      <c r="A18678" s="1">
        <v>2.0</v>
      </c>
      <c r="B18678" s="1" t="s">
        <v>18375</v>
      </c>
      <c r="C18678" t="str">
        <f>IFERROR(__xludf.DUMMYFUNCTION("GOOGLETRANSLATE(B18678, ""fr"", ""en"")"),"Quality very poor. Brought a dozen times for sports sessions of 2 hours wash at 30 degrees after each use and already put to the waste bin with holes.")</f>
        <v>Quality very poor. Brought a dozen times for sports sessions of 2 hours wash at 30 degrees after each use and already put to the waste bin with holes.</v>
      </c>
    </row>
    <row r="18679">
      <c r="A18679" s="1">
        <v>1.0</v>
      </c>
      <c r="B18679" s="1" t="s">
        <v>18376</v>
      </c>
      <c r="C18679" t="str">
        <f>IFERROR(__xludf.DUMMYFUNCTION("GOOGLETRANSLATE(B18679, ""fr"", ""en"")"),"many narrow width shoe despite the choice of a size bigger Accustomed to Salomon, I chose this model for frequent hikes of 12km on average. I had to abandon the use of these shoes because they are too narrow which I caused injury to the Achilles heel, and"&amp;" toes (laterally crushed). Moreover it is difficult to get his foot in the chassure despite the choice of a larger size 431/3 instead of a small 42.")</f>
        <v>many narrow width shoe despite the choice of a size bigger Accustomed to Salomon, I chose this model for frequent hikes of 12km on average. I had to abandon the use of these shoes because they are too narrow which I caused injury to the Achilles heel, and toes (laterally crushed). Moreover it is difficult to get his foot in the chassure despite the choice of a larger size 431/3 instead of a small 42.</v>
      </c>
    </row>
    <row r="18680">
      <c r="A18680" s="1">
        <v>3.0</v>
      </c>
      <c r="B18680" s="1" t="s">
        <v>18377</v>
      </c>
      <c r="C18680" t="str">
        <f>IFERROR(__xludf.DUMMYFUNCTION("GOOGLETRANSLATE(B18680, ""fr"", ""en"")"),"Can go .... Bad item matching the description. The size is suitable but the fabric is not very comfortable for a little steep ....")</f>
        <v>Can go .... Bad item matching the description. The size is suitable but the fabric is not very comfortable for a little steep ....</v>
      </c>
    </row>
    <row r="18681">
      <c r="A18681" s="1">
        <v>3.0</v>
      </c>
      <c r="B18681" s="1" t="s">
        <v>18378</v>
      </c>
      <c r="C18681" t="str">
        <f>IFERROR(__xludf.DUMMYFUNCTION("GOOGLETRANSLATE(B18681, ""fr"", ""en"")"),"Good product but expensive enough competition to see good product but quite expensive, see competition")</f>
        <v>Good product but expensive enough competition to see good product but quite expensive, see competition</v>
      </c>
    </row>
    <row r="18682">
      <c r="A18682" s="1">
        <v>4.0</v>
      </c>
      <c r="B18682" s="1" t="s">
        <v>18379</v>
      </c>
      <c r="C18682" t="str">
        <f>IFERROR(__xludf.DUMMYFUNCTION("GOOGLETRANSLATE(B18682, ""fr"", ""en"")"),"Watch beautiful watch impeccable I hope that she will in time, but I wonder why eto pay 50 a year for premium delivery while I waited three days ??? c is normally premium overnight delivery, I did not renew my premium")</f>
        <v>Watch beautiful watch impeccable I hope that she will in time, but I wonder why eto pay 50 a year for premium delivery while I waited three days ??? c is normally premium overnight delivery, I did not renew my premium</v>
      </c>
    </row>
    <row r="18683">
      <c r="A18683" s="1">
        <v>4.0</v>
      </c>
      <c r="B18683" s="1" t="s">
        <v>18380</v>
      </c>
      <c r="C18683" t="str">
        <f>IFERROR(__xludf.DUMMYFUNCTION("GOOGLETRANSLATE(B18683, ""fr"", ""en"")"),"nickel Top")</f>
        <v>nickel Top</v>
      </c>
    </row>
    <row r="18684">
      <c r="A18684" s="1">
        <v>4.0</v>
      </c>
      <c r="B18684" s="1" t="s">
        <v>18381</v>
      </c>
      <c r="C18684" t="str">
        <f>IFERROR(__xludf.DUMMYFUNCTION("GOOGLETRANSLATE(B18684, ""fr"", ""en"")"),"In Cook Very happy with my purchase Converse cook. The size and perfect (42.5) Beautiful basketball. Alas very messy I recommended")</f>
        <v>In Cook Very happy with my purchase Converse cook. The size and perfect (42.5) Beautiful basketball. Alas very messy I recommended</v>
      </c>
    </row>
    <row r="18685">
      <c r="A18685" s="1">
        <v>4.0</v>
      </c>
      <c r="B18685" s="1" t="s">
        <v>18382</v>
      </c>
      <c r="C18685" t="str">
        <f>IFERROR(__xludf.DUMMYFUNCTION("GOOGLETRANSLATE(B18685, ""fr"", ""en"")"),"Limited use as its title suggests, this mini-bottle has a very limited capacity (50 ml). It really serves to administer liquids in small quantities. For example, when you give a baby medicine is useful because with larger bottles, often remain liquid at t"&amp;"he bottom of the bottle. Baby takes good mouth the nipple, so no problem on this side there. It is very convenient to have a bottle of this type for medication, but it's still a purchase which can happen, because of its limited use.")</f>
        <v>Limited use as its title suggests, this mini-bottle has a very limited capacity (50 ml). It really serves to administer liquids in small quantities. For example, when you give a baby medicine is useful because with larger bottles, often remain liquid at the bottom of the bottle. Baby takes good mouth the nipple, so no problem on this side there. It is very convenient to have a bottle of this type for medication, but it's still a purchase which can happen, because of its limited use.</v>
      </c>
    </row>
    <row r="18686">
      <c r="A18686" s="1">
        <v>5.0</v>
      </c>
      <c r="B18686" s="1" t="s">
        <v>18383</v>
      </c>
      <c r="C18686" t="str">
        <f>IFERROR(__xludf.DUMMYFUNCTION("GOOGLETRANSLATE(B18686, ""fr"", ""en"")"),"good value good value for money")</f>
        <v>good value good value for money</v>
      </c>
    </row>
    <row r="18687">
      <c r="A18687" s="1">
        <v>5.0</v>
      </c>
      <c r="B18687" s="1" t="s">
        <v>18384</v>
      </c>
      <c r="C18687" t="str">
        <f>IFERROR(__xludf.DUMMYFUNCTION("GOOGLETRANSLATE(B18687, ""fr"", ""en"")"),"From big bass in compact headphones! I was looking for headphones to accompany me in my running sessions, so they had to be light, with a good performance and especially the sound is enough quality to keep the motivation intact. Mission accomplished with "&amp;"these headphones that perfectly fulfill the job, I was even impressed when I used them for the first time!")</f>
        <v>From big bass in compact headphones! I was looking for headphones to accompany me in my running sessions, so they had to be light, with a good performance and especially the sound is enough quality to keep the motivation intact. Mission accomplished with these headphones that perfectly fulfill the job, I was even impressed when I used them for the first time!</v>
      </c>
    </row>
    <row r="18688">
      <c r="A18688" s="1">
        <v>5.0</v>
      </c>
      <c r="B18688" s="1" t="s">
        <v>18385</v>
      </c>
      <c r="C18688" t="str">
        <f>IFERROR(__xludf.DUMMYFUNCTION("GOOGLETRANSLATE(B18688, ""fr"", ""en"")"),"handy itself off the feet are stimulated. It is very pleasant.")</f>
        <v>handy itself off the feet are stimulated. It is very pleasant.</v>
      </c>
    </row>
    <row r="18689">
      <c r="A18689" s="1">
        <v>5.0</v>
      </c>
      <c r="B18689" s="1" t="s">
        <v>18386</v>
      </c>
      <c r="C18689" t="str">
        <f>IFERROR(__xludf.DUMMYFUNCTION("GOOGLETRANSLATE(B18689, ""fr"", ""en"")"),"Gadget adopted! I, who am not too gadgets, I completely adopted it !! I even bought a second to discover my mother.")</f>
        <v>Gadget adopted! I, who am not too gadgets, I completely adopted it !! I even bought a second to discover my mother.</v>
      </c>
    </row>
    <row r="18690">
      <c r="A18690" s="1">
        <v>5.0</v>
      </c>
      <c r="B18690" s="1" t="s">
        <v>18387</v>
      </c>
      <c r="C18690" t="str">
        <f>IFERROR(__xludf.DUMMYFUNCTION("GOOGLETRANSLATE(B18690, ""fr"", ""en"")"),"Price / good absorbent, tearing mas")</f>
        <v>Price / good absorbent, tearing mas</v>
      </c>
    </row>
    <row r="18691">
      <c r="A18691" s="1">
        <v>5.0</v>
      </c>
      <c r="B18691" s="1" t="s">
        <v>18388</v>
      </c>
      <c r="C18691" t="str">
        <f>IFERROR(__xludf.DUMMYFUNCTION("GOOGLETRANSLATE(B18691, ""fr"", ""en"")"),"Pretty, nice and solid Trainers beautiful and comfortable to wear and strong. My son loves them. Very good value for money.")</f>
        <v>Pretty, nice and solid Trainers beautiful and comfortable to wear and strong. My son loves them. Very good value for money.</v>
      </c>
    </row>
    <row r="18692">
      <c r="A18692" s="1">
        <v>5.0</v>
      </c>
      <c r="B18692" s="1" t="s">
        <v>18389</v>
      </c>
      <c r="C18692" t="str">
        <f>IFERROR(__xludf.DUMMYFUNCTION("GOOGLETRANSLATE(B18692, ""fr"", ""en"")"),"Super good laundry smell nice, holding course clothes and washes well. Good value for money")</f>
        <v>Super good laundry smell nice, holding course clothes and washes well. Good value for money</v>
      </c>
    </row>
    <row r="18693">
      <c r="A18693" s="1">
        <v>5.0</v>
      </c>
      <c r="B18693" s="1" t="s">
        <v>18390</v>
      </c>
      <c r="C18693" t="str">
        <f>IFERROR(__xludf.DUMMYFUNCTION("GOOGLETRANSLATE(B18693, ""fr"", ""en"")"),"Simple but good quality! Watch vintage look good! Simple but effective ! No frills: time, date, alarm, stopwatch, lighting; nothing more ! Neither too big nor small. The size is perfect for me, who have small wrists. A sufficient seal for the practice of "&amp;"swimming. Moreover, it is a g-shock, stronger than normal! I use it as part of my practice called ""operational"". It's perfect !")</f>
        <v>Simple but good quality! Watch vintage look good! Simple but effective ! No frills: time, date, alarm, stopwatch, lighting; nothing more ! Neither too big nor small. The size is perfect for me, who have small wrists. A sufficient seal for the practice of swimming. Moreover, it is a g-shock, stronger than normal! I use it as part of my practice called "operational". It's perfect !</v>
      </c>
    </row>
    <row r="18694">
      <c r="A18694" s="1">
        <v>5.0</v>
      </c>
      <c r="B18694" s="1" t="s">
        <v>18391</v>
      </c>
      <c r="C18694" t="str">
        <f>IFERROR(__xludf.DUMMYFUNCTION("GOOGLETRANSLATE(B18694, ""fr"", ""en"")"),"STYLUS Very happy with my perfect purchase! Suitable chain HI FI STEREO Philips AS 680 C.")</f>
        <v>STYLUS Very happy with my perfect purchase! Suitable chain HI FI STEREO Philips AS 680 C.</v>
      </c>
    </row>
    <row r="18695">
      <c r="A18695" s="1">
        <v>5.0</v>
      </c>
      <c r="B18695" s="1" t="s">
        <v>18392</v>
      </c>
      <c r="C18695" t="str">
        <f>IFERROR(__xludf.DUMMYFUNCTION("GOOGLETRANSLATE(B18695, ""fr"", ""en"")"),"Great quality product quality, comfortable, perfect size as indicated, good packaging, easy to maintain, very efficasse security protection. I am very satisfied")</f>
        <v>Great quality product quality, comfortable, perfect size as indicated, good packaging, easy to maintain, very efficasse security protection. I am very satisfied</v>
      </c>
    </row>
    <row r="18696">
      <c r="A18696" s="1">
        <v>5.0</v>
      </c>
      <c r="B18696" s="1" t="s">
        <v>18393</v>
      </c>
      <c r="C18696" t="str">
        <f>IFERROR(__xludf.DUMMYFUNCTION("GOOGLETRANSLATE(B18696, ""fr"", ""en"")"),"Very good corresponds perfectly to the description nothing wrong")</f>
        <v>Very good corresponds perfectly to the description nothing wrong</v>
      </c>
    </row>
    <row r="18697">
      <c r="A18697" s="1">
        <v>5.0</v>
      </c>
      <c r="B18697" s="1" t="s">
        <v>18394</v>
      </c>
      <c r="C18697" t="str">
        <f>IFERROR(__xludf.DUMMYFUNCTION("GOOGLETRANSLATE(B18697, ""fr"", ""en"")"),"Very good watch CASIO watch lasts 10 years Audible beep audible and she goes into water")</f>
        <v>Very good watch CASIO watch lasts 10 years Audible beep audible and she goes into water</v>
      </c>
    </row>
    <row r="18698">
      <c r="A18698" s="1">
        <v>5.0</v>
      </c>
      <c r="B18698" s="1" t="s">
        <v>18395</v>
      </c>
      <c r="C18698" t="str">
        <f>IFERROR(__xludf.DUMMYFUNCTION("GOOGLETRANSLATE(B18698, ""fr"", ""en"")"),"At the top super convenient because it is big enough to put all doses, and I could m reused later to put mashed or stewed thereafter. The cap does not open in the bag because closes securely")</f>
        <v>At the top super convenient because it is big enough to put all doses, and I could m reused later to put mashed or stewed thereafter. The cap does not open in the bag because closes securely</v>
      </c>
    </row>
    <row r="18699">
      <c r="A18699" s="1">
        <v>5.0</v>
      </c>
      <c r="B18699" s="1" t="s">
        <v>18396</v>
      </c>
      <c r="C18699" t="str">
        <f>IFERROR(__xludf.DUMMYFUNCTION("GOOGLETRANSLATE(B18699, ""fr"", ""en"")"),"Good Normal filter")</f>
        <v>Good Normal filter</v>
      </c>
    </row>
    <row r="18700">
      <c r="A18700" s="1">
        <v>5.0</v>
      </c>
      <c r="B18700" s="1" t="s">
        <v>18397</v>
      </c>
      <c r="C18700" t="str">
        <f>IFERROR(__xludf.DUMMYFUNCTION("GOOGLETRANSLATE(B18700, ""fr"", ""en"")"),"Satisfied &lt;div id = ""video-block-R3LTC93QZCCM87"" class = ""a-section-spacing-small in-spacing-top mini video-block""&gt; &lt;div tabindex = ""0"" class = ""airy airy-svg vmin -supported airy-skin-beacon ""style ="" background-color: rgb (0, 0, 0); position: r"&amp;"elative; width: 100%; height: 100%; font-size: 0px; overflow: hidden; outline: none; ""&gt; &lt;div class ="" airy-renderer-container ""style ="" position: relative; height: 100%; width: 100%; ""&gt; &lt;video id ="" 78 ""preload ="" auto ""src ="" https : //images-e"&amp;"u.ssl-images-amazon.com/images/I/B1bCygc9jjS.mp4 ""style ="" position: absolute; left: 0px; top: 0px; overflow: hidden; height: 1px; width: 1px; ""&gt; &lt;/ video&gt; &lt;/ div&gt; &lt;div id ="" airy-slate-preload ""style ="" background-color: rgb (0, 0, 0); background-i"&amp;"mage: url (&amp; quot; https: // pictures -eu.ssl-images-amazon.com/images/I/A1wzo0MyJUS.png&amp;quot;); background-size: contain; background-position: center center; background-repeat: no-repeat; position: absolute; top: 0px; left: 0px; visibility: visible; widt"&amp;"h: 100%; height: 100% ""&gt; &lt;/ div&gt; &lt;iframe scrolling ="" no ""f rameborder = ""0"" src = ""about: blank"" style = ""display: none;""&gt; &lt;/ iframe&gt; &lt;div tabindex = ""- 1"" class = ""airy-controls-container"" style = ""opacity: 0; visibility: hidden; ""&gt; &lt;div "&amp;"tabindex ="" - 1 ""class ="" airy-screen-size-toggle airy-fullscreen ""&gt; &lt;/ div&gt; &lt;div tabindex ="" - 1 ""class ="" airy-container-bottom "" &gt; &lt;div tabindex = ""- 1"" class = ""airy-track-bar spacer-left"" style = ""width: 11px;""&gt; &lt;/ div&gt; &lt;div tabindex = "&amp;"""- 1"" class = ""airy-play- toggle airy-play ""style ="" width: 12px; margin-right: 12px; ""&gt; &lt;/ div&gt; &lt;div tabindex ="" - 1 ""class ="" airy-audio-elements ""style ="" float: right; width: 34px; ""&gt; &lt;div tabindex ="" - 1 ""class ="" airy-audio-toggle air"&amp;"y-on ""&gt; &lt;/ div&gt; &lt;div tabindex ="" - 1 ""class ="" airy-audio-container ""style = ""opacity: 0; visibility: hidden; ""&gt; &lt;div tabindex ="" - 1 ""class ="" airy-audio-track-bar ""style ="" height: 80%; ""&gt; &lt;div tabindex ="" - 1 ""class ="" airy-audio- scrub"&amp;"ber bar ""style ="" height: 85% ""&gt; &lt;/ div&gt; &lt;div tabindex ="" - 1 ""class ="" airy-audio-scrubber ""style ="" height: 12px; bottom: 85% ""&gt; &lt;/ div&gt; &lt;/ div&gt; &lt;/ div&gt; &lt;/ div&gt; &lt;div tabindex ="" - 1 ""class ="" airy-duration-label ""style ="" float: right; wid"&amp;"th: 26px; margin-right: 4px; text-align: center; ""&gt; 0:00 &lt;/ div&gt; &lt;div tabindex ="" - 1 ""class ="" airy-track-bar spacer-right ""style ="" float: right; width: 11px; ""&gt; &lt;/ div&gt; &lt;div tabindex ="" - 1 ""class ="" airy-track-bar-container ""style ="" margi"&amp;"n-left: 35px; margin-right: 75px; ""&gt; &lt;div tabindex ="" - 1 ""class ="" airy-airy-track-bar vertical-centering-table ""&gt; &lt;div tabindex ="" - 1 ""class ="" airy-vertical-centering- table-cell ""&gt; &lt;div tabindex ="" - 1 ""class ="" airy-track-bar elements """&amp;"&gt; &lt;div tabindex ="" - 1 ""class ="" airy-progress bar ""&gt; &lt;/ div&gt; &lt;div tabindex = ""- 1"" class = ""airy-scrubber bar""&gt; &lt;/ div&gt; &lt;div tabindex = ""- 1"" class = ""airy-scrubber""&gt; &lt;div tabindex = ""- 1"" class = ""airy-scrubber- icon ""&gt; &lt;/ div&gt; &lt;div tabi"&amp;"ndex ="" - 1 ""class ="" airy-adjusted-aui-tooltip ""style ="" opacity: 0; visibility: hidden; ""&gt; &lt;div tabindex ="" - 1 ""class ="" airy-adjusted-aui-tooltip-inner ""&gt; &lt;div tabindex ="" - 1 ""class ="" airy-current-time-label ""&gt; 0 00 &lt;/ div&gt; &lt;/ div&gt; &lt;di"&amp;"v tabindex = ""- 1"" class = ""airy-adjusted-aui-arrow-border""&gt; &lt;div tabindex = ""- 1"" class = ""airy-adjusted-aui-arrow"" &gt; &lt;/ div&gt; &lt;/ div&gt; &lt;/ div&gt; &lt;/ div&gt; &lt;/ div&gt; &lt;/ div&gt; &lt;/ div&gt; &lt;/ div&gt; &lt;/ div&gt; &lt;/ div&gt; &lt;div tabindex = ""- 1"" class = ""airy-airy-age-"&amp;"gate course airy-vertical-centering table-airy-dialog"" style = ""opacity: 0; visibility: hidden; ""&gt; &lt;div tabindex ="" - 1 ""class ="" airy-age-gate-vertical-centering-table-cell airy-vertical-centering-table-cell ""&gt; &lt;div tabindex ="" - 1 ""class = ""ai"&amp;"ry-vertical-centering-wrapper airy-age-gate-elements-wrapper""&gt; &lt;div tabindex = ""- 1"" class = ""airy-age-gate-elements airy-dialog-elements""&gt; &lt;div tabindex = "" -1 ""class ="" airy-age-gate-prompt ""&gt; This video is not Intended for all audiences What t"&amp;"ime were you born &lt;/ div&gt; &lt;div tabindex =.?"" - 1 ""class ="" airy-age-gate -inputs airy-dialog-inner-elements ""&gt; &lt;select tabindex ="" - 1 ""class ="" airy-age-gate-month ""&gt; &lt;option value ="" 1 ""&gt; January &lt;/ option&gt; &lt;option value ="" 2 ""&gt; February &lt;/ "&amp;"option&gt; &lt;option value ="" 3 ""&gt; March &lt;/ option&gt; &lt;option value ="" 4 ""&gt; April &lt;/ option&gt; &lt;option value ="" 5 ""&gt; May &lt;/ option&gt; &lt;option value = ""6""&gt; June &lt;/ option&gt; &lt;option value = ""7""&gt; July &lt;/ option&gt; &lt;option value = ""8""&gt; August &lt;/ option&gt; &lt;option"&amp;" value = ""9""&gt; September &lt;/ option&gt; &lt;option value = ""10""&gt; October &lt;/ option&gt; &lt;option value = ""11""&gt; November &lt;/ option&gt; &lt;option value = ""12""&gt; December &lt;/ option&gt; &lt;/ select&gt; &lt;select tabindex = ""- 1"" class = ""airy-age-gate-day""&gt; &lt;opti = One value "&amp;"""1""&gt; 1 &lt;/ option&gt; &lt;option value = ""2""&gt; 2 &lt;/ option&gt; &lt;option value = ""3""&gt; 3 &lt;/ option&gt; &lt;option value = ""4""&gt; 4 &lt;/ option &gt; &lt;option value = ""5""&gt; 5 &lt;/ option&gt; &lt;option value = ""6""&gt; 6 &lt;/ option&gt; &lt;option value = ""7""&gt; 7 &lt;/ option&gt; &lt;option value = """&amp;"8""&gt; 8 &lt; / option&gt; &lt;option value = ""9""&gt; 9 &lt;/ option&gt; &lt;option value = ""10""&gt; 10 &lt;/ option&gt; &lt;option value = ""11""&gt; 11 &lt;/ option&gt; &lt;option value = ""12""&gt; 12 &lt;/ option&gt; &lt;option value = ""13""&gt; 13 &lt;/ option&gt; &lt;option value = ""14""&gt; 14 &lt;/ option&gt; &lt;option va"&amp;"lue = ""15""&gt; 15 &lt;/ option&gt; &lt;option value = ""16 ""&gt; 16 &lt;/ option&gt; &lt;option value ="" 17 ""&gt; 17 &lt;/ option&gt; &lt;option value ="" 18 ""&gt; 18 &lt;/ option&gt; &lt;option value ="" 19 ""&gt; 19 &lt;/ option&gt; &lt;option value = ""20""&gt; 20 &lt;/ option&gt; &lt;option value = ""21""&gt; 21 &lt;/ opt"&amp;"ion&gt; &lt;option value = ""22""&gt; 22 &lt;/ option&gt; &lt;option value = ""23""&gt; 23 &lt;/ option&gt; &lt;option value = ""24""&gt; 24 &lt;/ option&gt; &lt;option value = ""25""&gt; 25 &lt;/ option&gt; &lt;option value = ""26""&gt; 26 &lt;/ option&gt; &lt;option value = ""27""&gt; 27 &lt;/ option&gt; &lt;option value = ""28"""&amp;"&gt; 28 &lt;/ option&gt; &lt;option value = ""29""&gt; 29 &lt;/ option&gt; &lt;option value = ""30""&gt; 30 &lt;/ option&gt; &lt;option value = ""31""&gt; 31 &lt;/ option&gt; &lt;/ select&gt; &lt;select tabindex = ""- 1"" class = ""airy-age-gate-year""&gt; &lt;option value = ""2019""&gt; 2019 &lt;/ option&gt; &lt; option valu"&amp;"e = ""2018""&gt; 2018 &lt;/ option&gt; &lt;option value = ""2017""&gt; 2017 &lt;/ option&gt; &lt;option value = ""2016""&gt; ​​2016 &lt;/ option&gt; &lt;option value = ""2015""&gt; 2015 &lt;/ option &gt; &lt;option value = ""2014""&gt; 2014 &lt;/ option&gt; &lt;option value = ""2013""&gt; 2013 &lt;/ option&gt; &lt;option valu"&amp;"e = ""2012""&gt; 2012 &lt;/ option&gt; &lt;option value = ""2011""&gt; 2011 &lt; / option&gt; &lt;option value = ""2010""&gt; 2010 &lt;/ option&gt; &lt;option value = ""2009""&gt; 2009 &lt;/ option&gt; &lt;option value = ""2008""&gt; 2008 &lt;/ option&gt; &lt;option value = ""2007""&gt; 2007 &lt;/ option&gt; &lt;option value "&amp;"= ""2006""&gt; 2006 &lt;/ option&gt; &lt;option value = ""2005""&gt; 2005 &lt;/ option&gt; &lt;option value = ""2004""&gt; 2004 &lt;/ option&gt; &lt;option value = ""2003 ""&gt; 2003 &lt;/ option&gt; &lt;option value ="" 2002 ""&gt; 2002 &lt;/ option&gt; &lt;option value ="" 2001 ""&gt; 2001 &lt;/ option&gt; &lt;option value "&amp;"="" 2000 ""&gt; 2000 &lt;/ option&gt; &lt;option value = ""1999""&gt; 1999 &lt;/ option&gt; &lt;option value = ""1998""&gt; 1998 &lt;/ option&gt; &lt;option value = ""1997""&gt; 1997 &lt;/ option&gt; &lt;option value = ""1996""&gt; 1996 &lt;/ option&gt; &lt;option value = ""1995""&gt; 1995 &lt;/ option&gt; &lt;option value = "&amp;"""1994""&gt;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&lt;option value = ""1985""&gt; 1985 &lt;/ option&gt; &lt;option value = ""1984""&gt; 1984 &lt;/ option&gt; &lt;option value = ""1983""&gt; 1983 &lt;/ option&gt; &lt;option value = "&amp;"""1982""&gt;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&lt;option value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&lt;option value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airy-course airy -Vertical-centering-table dialog airy-airy-denied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 tabindex."" - 1 ""class ="" airy-install-flash-"&amp;"button-wrapper airy -dialog-inner-elements ""&gt; &lt;div tabindex ="" - 1 ""class ="" airy-install-flash-button airy-button ""&gt; install Flash Player &lt;/ div&gt; &lt;/ div&gt; &lt;/ div&gt; &lt;/ div&gt; &lt;/ div&gt; &lt;/ div&gt; &lt;div tabindex = ""- 1"" class = ""airy-video-unsupported-dialog"&amp;" airy-course airy-vertical-centering table-airy-dialog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 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 airy-fullscreen ""style ="" visibility: hidden; ""&gt; &lt;/ div&gt; &lt;div tabindex = ""-1"" class = ""airy-ad-prompt-contain"&amp;"er"" style = ""visibility: hidden;""&gt; &lt;div tabindex = ""- 1"" class = ""airy-ad-prompt-vertical-centering table-airy-vertical-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a"&amp;"iry-audio-toggle airy-on ""style ="" visibility: hidden; ""&gt; &lt;/ div&gt; &lt;div tabindex ="" - 1 ""class ="" airy-time-remaining-label-container ""&gt; &lt;div tabindex ="" - 1 ""class ="" airy-time-remaining-vertical-centering table-airy-vertical-centering-table ""&gt;"&amp;" &lt;div tabindex = ""- 1"" class = ""airy-time-remaining-vertical-centering-table-cell airy-vertical-centering-table-cell""&gt; &lt;div tabindex = ""- 1"" class = ""airy-vertical-centering-wrapper airy-time-remaining-label-wrapper ""&gt; &lt;div tabindex ="" - 1 ""clas"&amp;"s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airy-course airy-cursor""&gt; &lt;div tabindex = ""- 1"" class "&amp;"= ""airy-play -toggle-hint-vertical-centering-table-cell airy-vertical-centering-table-cell airy-cursor ""&gt; &lt;div tabindex ="" - 1 ""class ="" airy-play-toggle-hint-container airy-scalable- hint-container ""&gt; &lt;div tabindex ="" - 1 ""class ="" airy-play-tog"&amp;"gle-hint-dummy airy-scalable-dummy ""&gt; &lt;/ div&gt; &lt;div tabindex ="" - 1 ""class ="" airy-play -toggle airy-hint-hint-hint airy-play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ai"&amp;"ry-scalable-hint-container""&gt; &lt;div tabindex = ""- 1"" class = ""airy-replay-hint-dummy airy-scalable-dummy""&gt; &lt;/ div&gt; &lt;div tabindex = ""- 1"" class = ""airy-replay-hint airy-hint""&gt; &lt;/ div&gt; &lt;/ div&gt; &lt;/ div&gt; &lt;/ div&gt; &lt;div tabindex = ""- 1"" class = ""airy-au"&amp;"toplay-hint -stage airy-stage ""style ="" visibility: hidden; ""&gt; &lt;div tabindex ="" - 1 ""class ="" airy-autoplay-hint-vertical-centering-table-cell airy-vertical-centering-table-cell airy- cursor ""&gt; &lt;div tabindex ="" - 1 ""class ="" autoplay airy-airy-h"&amp;"int-container-scalable-hint-container ""&gt; &lt;div tabindex ="" - 1 ""class ="" airy-autoplay-hint-dummy airy- scalable-dummy ""&gt; &lt;/ div&gt; &lt;/ div&gt; &lt;/ div&gt; &lt;/ div&gt; &lt;/ div&gt; &lt;/ div&gt; &lt;input type ="" hidden ""name ="" ""value ="" https: // pictures-eu .ssl-image am"&amp;"azon.com / images / I / B1bCygc9jjS.mp4 ""Class ="" video-url ""&gt; &lt;input type ="" hidden ""name ="" ""value ="" https://images-eu.ssl-images-amazon.com/images/I/A1wzo0MyJUS.png ""class ="" video-slate-img-url ""&gt; &amp; nbsp; I changed the tips that for me wer"&amp;"e a little big I went to s but it's cool they are provided with. In the manual there is a party in French as it is good. Otherwise they work well I am satisfied.")</f>
        <v>Satisfied &lt;div id = "video-block-R3LTC93QZCCM87" class = "a-section-spacing-small in-spacing-top mini video-block"&gt; &lt;div tabindex = "0" class = "airy airy-svg vmin -supported airy-skin-beacon "style =" background-color: rgb (0, 0, 0); position: relative; width: 100%; height: 100%; font-size: 0px; overflow: hidden; outline: none; "&gt; &lt;div class =" airy-renderer-container "style =" position: relative; height: 100%; width: 100%; "&gt; &lt;video id =" 78 "preload =" auto "src =" https : //images-eu.ssl-images-amazon.com/images/I/B1bCygc9jjS.mp4 "style =" position: absolute; left: 0px; top: 0px; overflow: hidden; height: 1px; width: 1px; "&gt; &lt;/ video&gt; &lt;/ div&gt; &lt;div id =" airy-slate-preload "style =" background-color: rgb (0, 0, 0); background-image: url (&amp; quot; https: // pictures -eu.ssl-images-amazon.com/images/I/A1wzo0MyJUS.png&amp;quot;); background-size: contain; background-position: center center; background-repeat: no-repeat; position: absolute; top: 0px; left: 0px; visibility: visible; width: 100%; height: 100% "&gt; &lt;/ div&gt; &lt;iframe scrolling =" no "f rameborder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B1bCygc9jjS.mp4 "Class =" video-url "&gt; &lt;input type =" hidden "name =" "value =" https://images-eu.ssl-images-amazon.com/images/I/A1wzo0MyJUS.png "class =" video-slate-img-url "&gt; &amp; nbsp; I changed the tips that for me were a little big I went to s but it's cool they are provided with. In the manual there is a party in French as it is good. Otherwise they work well I am satisfied.</v>
      </c>
    </row>
    <row r="18701">
      <c r="A18701" s="1">
        <v>2.0</v>
      </c>
      <c r="B18701" s="1" t="s">
        <v>18398</v>
      </c>
      <c r="C18701" t="str">
        <f>IFERROR(__xludf.DUMMYFUNCTION("GOOGLETRANSLATE(B18701, ""fr"", ""en"")"),"Beautiful foot pain shoe but Rendering pain because his foot because of the protective shell")</f>
        <v>Beautiful foot pain shoe but Rendering pain because his foot because of the protective shell</v>
      </c>
    </row>
    <row r="18702">
      <c r="A18702" s="1">
        <v>1.0</v>
      </c>
      <c r="B18702" s="1" t="s">
        <v>18399</v>
      </c>
      <c r="C18702" t="str">
        <f>IFERROR(__xludf.DUMMYFUNCTION("GOOGLETRANSLATE(B18702, ""fr"", ""en"")"),"Bad Very disappointing because one way works well but when it works! Let me explain: bought for running, it is as if he regularly logged out of the phone for 5 minutes so it can go but intermittently cut 15 times on a piece. My phone is less than 0.5 mete"&amp;"rs since the headphones is in the waistband of my shorts. On holiday I was not able to repeat the experience but am very disappointed because it seemed easy installation and super ergonomic. I think contact seller")</f>
        <v>Bad Very disappointing because one way works well but when it works! Let me explain: bought for running, it is as if he regularly logged out of the phone for 5 minutes so it can go but intermittently cut 15 times on a piece. My phone is less than 0.5 meters since the headphones is in the waistband of my shorts. On holiday I was not able to repeat the experience but am very disappointed because it seemed easy installation and super ergonomic. I think contact seller</v>
      </c>
    </row>
    <row r="18703">
      <c r="A18703" s="1">
        <v>1.0</v>
      </c>
      <c r="B18703" s="1" t="s">
        <v>18400</v>
      </c>
      <c r="C18703" t="str">
        <f>IFERROR(__xludf.DUMMYFUNCTION("GOOGLETRANSLATE(B18703, ""fr"", ""en"")"),"Disappointed Used to work and first use broken laces and outsole to peel Congratulations quality Also the weight is quite significant")</f>
        <v>Disappointed Used to work and first use broken laces and outsole to peel Congratulations quality Also the weight is quite significant</v>
      </c>
    </row>
    <row r="18704">
      <c r="A18704" s="1">
        <v>3.0</v>
      </c>
      <c r="B18704" s="1" t="s">
        <v>18401</v>
      </c>
      <c r="C18704" t="str">
        <f>IFERROR(__xludf.DUMMYFUNCTION("GOOGLETRANSLATE(B18704, ""fr"", ""en"")"),"Excellent .. I 'is offered, and the result is good, ..Tout finesse is simplicity the beauty of jewelry. then .. Why in private !!")</f>
        <v>Excellent .. I 'is offered, and the result is good, ..Tout finesse is simplicity the beauty of jewelry. then .. Why in private !!</v>
      </c>
    </row>
    <row r="18705">
      <c r="A18705" s="1">
        <v>3.0</v>
      </c>
      <c r="B18705" s="1" t="s">
        <v>18402</v>
      </c>
      <c r="C18705" t="str">
        <f>IFERROR(__xludf.DUMMYFUNCTION("GOOGLETRANSLATE(B18705, ""fr"", ""en"")"),"Good but ... bam Good product by views that are found everywhere. I order and receive the product quickly, niquel! In the second use and out of the bottle warmer, the glass blew up in his hand while the glass and the content was not hot, wouahouu! Contact"&amp;" made with the customer service and as always ... Nickel !! No complaints about the service. I still give 4 out of 5 because the product has the air of quality and it does not prevent me to buy a new identical.")</f>
        <v>Good but ... bam Good product by views that are found everywhere. I order and receive the product quickly, niquel! In the second use and out of the bottle warmer, the glass blew up in his hand while the glass and the content was not hot, wouahouu! Contact made with the customer service and as always ... Nickel !! No complaints about the service. I still give 4 out of 5 because the product has the air of quality and it does not prevent me to buy a new identical.</v>
      </c>
    </row>
    <row r="18706">
      <c r="A18706" s="1">
        <v>4.0</v>
      </c>
      <c r="B18706" s="1" t="s">
        <v>18403</v>
      </c>
      <c r="C18706" t="str">
        <f>IFERROR(__xludf.DUMMYFUNCTION("GOOGLETRANSLATE(B18706, ""fr"", ""en"")"),"Good quality Polo with a good cut and all is well finished (no residual son, etc.). For me the size L is a bit large. This pleasantly door. Finally, good value for money (23 €) for this polo.")</f>
        <v>Good quality Polo with a good cut and all is well finished (no residual son, etc.). For me the size L is a bit large. This pleasantly door. Finally, good value for money (23 €) for this polo.</v>
      </c>
    </row>
    <row r="18707">
      <c r="A18707" s="1">
        <v>4.0</v>
      </c>
      <c r="B18707" s="1" t="s">
        <v>18404</v>
      </c>
      <c r="C18707" t="str">
        <f>IFERROR(__xludf.DUMMYFUNCTION("GOOGLETRANSLATE(B18707, ""fr"", ""en"")"),"Conquered. Product received the indicated date. Consistent with the description. Everything is there! I takes only 4 out of 5 stars because not tested. It surely will miss one or two disposable panties history from the serene motherhood. But I'm pretty im"&amp;"pressed.")</f>
        <v>Conquered. Product received the indicated date. Consistent with the description. Everything is there! I takes only 4 out of 5 stars because not tested. It surely will miss one or two disposable panties history from the serene motherhood. But I'm pretty impressed.</v>
      </c>
    </row>
    <row r="18708">
      <c r="A18708" s="1">
        <v>4.0</v>
      </c>
      <c r="B18708" s="1" t="s">
        <v>18405</v>
      </c>
      <c r="C18708" t="str">
        <f>IFERROR(__xludf.DUMMYFUNCTION("GOOGLETRANSLATE(B18708, ""fr"", ""en"")"),"Good product for the 90D I took L, it certainly should not be greater. It holds and keeps well. The pads are easily removable for washing.")</f>
        <v>Good product for the 90D I took L, it certainly should not be greater. It holds and keeps well. The pads are easily removable for washing.</v>
      </c>
    </row>
    <row r="18709">
      <c r="A18709" s="1">
        <v>4.0</v>
      </c>
      <c r="B18709" s="1" t="s">
        <v>18406</v>
      </c>
      <c r="C18709" t="str">
        <f>IFERROR(__xludf.DUMMYFUNCTION("GOOGLETRANSLATE(B18709, ""fr"", ""en"")"),"Very good length but a little too generous These ski socks are fine, fine, really hot. The value for money is very good. Only downside: they are super long and rise above the knee (though my partner is tall, 1m84)")</f>
        <v>Very good length but a little too generous These ski socks are fine, fine, really hot. The value for money is very good. Only downside: they are super long and rise above the knee (though my partner is tall, 1m84)</v>
      </c>
    </row>
    <row r="18710">
      <c r="A18710" s="1">
        <v>5.0</v>
      </c>
      <c r="B18710" s="1" t="s">
        <v>18407</v>
      </c>
      <c r="C18710" t="str">
        <f>IFERROR(__xludf.DUMMYFUNCTION("GOOGLETRANSLATE(B18710, ""fr"", ""en"")"),"Delighted I just got it 3 weeks in advance and warned by Amazon again! powerful broadcast that much better exudes aromas as other brands. Very nice, small. Good quality, metal, neat. To set the color just press the light button for 3 seconds. I think I'll"&amp;" order another one from the same brand. Thank you Amazon for speed.")</f>
        <v>Delighted I just got it 3 weeks in advance and warned by Amazon again! powerful broadcast that much better exudes aromas as other brands. Very nice, small. Good quality, metal, neat. To set the color just press the light button for 3 seconds. I think I'll order another one from the same brand. Thank you Amazon for speed.</v>
      </c>
    </row>
    <row r="18711">
      <c r="A18711" s="1">
        <v>5.0</v>
      </c>
      <c r="B18711" s="1" t="s">
        <v>18408</v>
      </c>
      <c r="C18711" t="str">
        <f>IFERROR(__xludf.DUMMYFUNCTION("GOOGLETRANSLATE(B18711, ""fr"", ""en"")"),"I recommend Super cheap")</f>
        <v>I recommend Super cheap</v>
      </c>
    </row>
    <row r="18712">
      <c r="A18712" s="1">
        <v>5.0</v>
      </c>
      <c r="B18712" s="1" t="s">
        <v>18409</v>
      </c>
      <c r="C18712" t="str">
        <f>IFERROR(__xludf.DUMMYFUNCTION("GOOGLETRANSLATE(B18712, ""fr"", ""en"")"),"Top I use it for my daughter baby bottle top is easy to use and quick By cons must bring bottled water or you'll clean it often with limestone there in the taps")</f>
        <v>Top I use it for my daughter baby bottle top is easy to use and quick By cons must bring bottled water or you'll clean it often with limestone there in the taps</v>
      </c>
    </row>
    <row r="18713">
      <c r="A18713" s="1">
        <v>5.0</v>
      </c>
      <c r="B18713" s="1" t="s">
        <v>18410</v>
      </c>
      <c r="C18713" t="str">
        <f>IFERROR(__xludf.DUMMYFUNCTION("GOOGLETRANSLATE(B18713, ""fr"", ""en"")"),"Very well A little heavy for baby has trouble holding the only but very easy to clean, hygienic.")</f>
        <v>Very well A little heavy for baby has trouble holding the only but very easy to clean, hygienic.</v>
      </c>
    </row>
    <row r="18714">
      <c r="A18714" s="1">
        <v>5.0</v>
      </c>
      <c r="B18714" s="1" t="s">
        <v>18411</v>
      </c>
      <c r="C18714" t="str">
        <f>IFERROR(__xludf.DUMMYFUNCTION("GOOGLETRANSLATE(B18714, ""fr"", ""en"")"),"Bracelet Watch item complies with easy application to change with the mounting kit and would like to thank you closed you")</f>
        <v>Bracelet Watch item complies with easy application to change with the mounting kit and would like to thank you closed you</v>
      </c>
    </row>
    <row r="18715">
      <c r="A18715" s="1">
        <v>5.0</v>
      </c>
      <c r="B18715" s="1" t="s">
        <v>18412</v>
      </c>
      <c r="C18715" t="str">
        <f>IFERROR(__xludf.DUMMYFUNCTION("GOOGLETRANSLATE(B18715, ""fr"", ""en"")"),"R s for everyday life")</f>
        <v>R s for everyday life</v>
      </c>
    </row>
    <row r="18716">
      <c r="A18716" s="1">
        <v>5.0</v>
      </c>
      <c r="B18716" s="1" t="s">
        <v>18413</v>
      </c>
      <c r="C18716" t="str">
        <f>IFERROR(__xludf.DUMMYFUNCTION("GOOGLETRANSLATE(B18716, ""fr"", ""en"")"),"Really handy box is very convenient. the strip is pulled off and the pellet. So we can easily paste it on our support and thanks to the planned notch the second side is easily accessible. And it fits very well.")</f>
        <v>Really handy box is very convenient. the strip is pulled off and the pellet. So we can easily paste it on our support and thanks to the planned notch the second side is easily accessible. And it fits very well.</v>
      </c>
    </row>
    <row r="18717">
      <c r="A18717" s="1">
        <v>5.0</v>
      </c>
      <c r="B18717" s="1" t="s">
        <v>18414</v>
      </c>
      <c r="C18717" t="str">
        <f>IFERROR(__xludf.DUMMYFUNCTION("GOOGLETRANSLATE(B18717, ""fr"", ""en"")"),"corresponds exactly to what I was looking very pleased with my russell kettle hobs. Easy to program and easy. I quickly received and I am very satisfied.")</f>
        <v>corresponds exactly to what I was looking very pleased with my russell kettle hobs. Easy to program and easy. I quickly received and I am very satisfied.</v>
      </c>
    </row>
    <row r="18718">
      <c r="A18718" s="1">
        <v>5.0</v>
      </c>
      <c r="B18718" s="1" t="s">
        <v>18415</v>
      </c>
      <c r="C18718" t="str">
        <f>IFERROR(__xludf.DUMMYFUNCTION("GOOGLETRANSLATE(B18718, ""fr"", ""en"")"),"Very good quality Excellent product. I am amazed by the results!")</f>
        <v>Very good quality Excellent product. I am amazed by the results!</v>
      </c>
    </row>
    <row r="18719">
      <c r="A18719" s="1">
        <v>5.0</v>
      </c>
      <c r="B18719" s="1" t="s">
        <v>1837</v>
      </c>
      <c r="C18719" t="str">
        <f>IFERROR(__xludf.DUMMYFUNCTION("GOOGLETRANSLATE(B18719, ""fr"", ""en"")"),"Good Good")</f>
        <v>Good Good</v>
      </c>
    </row>
    <row r="18720">
      <c r="A18720" s="1">
        <v>5.0</v>
      </c>
      <c r="B18720" s="1" t="s">
        <v>18416</v>
      </c>
      <c r="C18720" t="str">
        <f>IFERROR(__xludf.DUMMYFUNCTION("GOOGLETRANSLATE(B18720, ""fr"", ""en"")"),"Radical !!! Once I hurt the knee (osteoarthritis) down the stairs, I have several layers massaging well and 1 hour after the pain is gone ... I'm stuck on the effectiveness of this product I recommend ++++")</f>
        <v>Radical !!! Once I hurt the knee (osteoarthritis) down the stairs, I have several layers massaging well and 1 hour after the pain is gone ... I'm stuck on the effectiveness of this product I recommend ++++</v>
      </c>
    </row>
    <row r="18721">
      <c r="A18721" s="1">
        <v>5.0</v>
      </c>
      <c r="B18721" s="1" t="s">
        <v>18417</v>
      </c>
      <c r="C18721" t="str">
        <f>IFERROR(__xludf.DUMMYFUNCTION("GOOGLETRANSLATE(B18721, ""fr"", ""en"")"),"Perfect Super these refills for rollerball pen. Very beautiful turquoise color writing. This ink that disappears is very convenient. I recommend")</f>
        <v>Perfect Super these refills for rollerball pen. Very beautiful turquoise color writing. This ink that disappears is very convenient. I recommend</v>
      </c>
    </row>
    <row r="18722">
      <c r="A18722" s="1">
        <v>5.0</v>
      </c>
      <c r="B18722" s="1" t="s">
        <v>18418</v>
      </c>
      <c r="C18722" t="str">
        <f>IFERROR(__xludf.DUMMYFUNCTION("GOOGLETRANSLATE(B18722, ""fr"", ""en"")"),"I recommend It is very convenient to use and allows to let dry while remaining ""clean"" and without it drags on the worktop. I recommend 😀")</f>
        <v>I recommend It is very convenient to use and allows to let dry while remaining "clean" and without it drags on the worktop. I recommend 😀</v>
      </c>
    </row>
    <row r="18723">
      <c r="A18723" s="1">
        <v>5.0</v>
      </c>
      <c r="B18723" s="1" t="s">
        <v>18419</v>
      </c>
      <c r="C18723" t="str">
        <f>IFERROR(__xludf.DUMMYFUNCTION("GOOGLETRANSLATE(B18723, ""fr"", ""en"")"),"Painting finger For children 15 months easy cleaning")</f>
        <v>Painting finger For children 15 months easy cleaning</v>
      </c>
    </row>
    <row r="18724">
      <c r="A18724" s="1">
        <v>5.0</v>
      </c>
      <c r="B18724" s="1" t="s">
        <v>18420</v>
      </c>
      <c r="C18724" t="str">
        <f>IFERROR(__xludf.DUMMYFUNCTION("GOOGLETRANSLATE(B18724, ""fr"", ""en"")"),"Good product confrome expectations, attention to small cotton balls that form behind after several months of use. Otherwise RAS fast delivery")</f>
        <v>Good product confrome expectations, attention to small cotton balls that form behind after several months of use. Otherwise RAS fast delivery</v>
      </c>
    </row>
    <row r="18725">
      <c r="A18725" s="1">
        <v>2.0</v>
      </c>
      <c r="B18725" s="1" t="s">
        <v>18421</v>
      </c>
      <c r="C18725" t="str">
        <f>IFERROR(__xludf.DUMMYFUNCTION("GOOGLETRANSLATE(B18725, ""fr"", ""en"")"),"It looks like a little quail Bad fairly small")</f>
        <v>It looks like a little quail Bad fairly small</v>
      </c>
    </row>
    <row r="18726">
      <c r="A18726" s="1">
        <v>1.0</v>
      </c>
      <c r="B18726" s="1" t="s">
        <v>18422</v>
      </c>
      <c r="C18726" t="str">
        <f>IFERROR(__xludf.DUMMYFUNCTION("GOOGLETRANSLATE(B18726, ""fr"", ""en"")"),"Vest and coat not very disappointed. This is not a coat but a vest. It's a ripoff for 69 €. Fortunately it was on sale for € 29.")</f>
        <v>Vest and coat not very disappointed. This is not a coat but a vest. It's a ripoff for 69 €. Fortunately it was on sale for € 29.</v>
      </c>
    </row>
    <row r="18727">
      <c r="A18727" s="1">
        <v>1.0</v>
      </c>
      <c r="B18727" s="1" t="s">
        <v>18423</v>
      </c>
      <c r="C18727" t="str">
        <f>IFERROR(__xludf.DUMMYFUNCTION("GOOGLETRANSLATE(B18727, ""fr"", ""en"")"),"sweater wide, too short, and poor not having time to return this sweater will end in the clothing bin")</f>
        <v>sweater wide, too short, and poor not having time to return this sweater will end in the clothing bin</v>
      </c>
    </row>
    <row r="18728">
      <c r="A18728" s="1">
        <v>3.0</v>
      </c>
      <c r="B18728" s="1" t="s">
        <v>18424</v>
      </c>
      <c r="C18728" t="str">
        <f>IFERROR(__xludf.DUMMYFUNCTION("GOOGLETRANSLATE(B18728, ""fr"", ""en"")"),"It's a beautiful watch that is a beautiful watch")</f>
        <v>It's a beautiful watch that is a beautiful watch</v>
      </c>
    </row>
    <row r="18729">
      <c r="A18729" s="1">
        <v>4.0</v>
      </c>
      <c r="B18729" s="1" t="s">
        <v>18425</v>
      </c>
      <c r="C18729" t="str">
        <f>IFERROR(__xludf.DUMMYFUNCTION("GOOGLETRANSLATE(B18729, ""fr"", ""en"")"),"perfect large capacity, harbor in different ways. top")</f>
        <v>perfect large capacity, harbor in different ways. top</v>
      </c>
    </row>
    <row r="18730">
      <c r="A18730" s="1">
        <v>4.0</v>
      </c>
      <c r="B18730" s="1" t="s">
        <v>18426</v>
      </c>
      <c r="C18730" t="str">
        <f>IFERROR(__xludf.DUMMYFUNCTION("GOOGLETRANSLATE(B18730, ""fr"", ""en"")"),"well then")</f>
        <v>well then</v>
      </c>
    </row>
    <row r="18731">
      <c r="A18731" s="1">
        <v>4.0</v>
      </c>
      <c r="B18731" s="1" t="s">
        <v>18427</v>
      </c>
      <c r="C18731" t="str">
        <f>IFERROR(__xludf.DUMMYFUNCTION("GOOGLETRANSLATE(B18731, ""fr"", ""en"")"),"Beautiful finishes From a very nice effect over a sport city beautiful finish but I fear the longevity scope twice there brand folds")</f>
        <v>Beautiful finishes From a very nice effect over a sport city beautiful finish but I fear the longevity scope twice there brand folds</v>
      </c>
    </row>
    <row r="18732">
      <c r="A18732" s="1">
        <v>4.0</v>
      </c>
      <c r="B18732" s="1" t="s">
        <v>18428</v>
      </c>
      <c r="C18732" t="str">
        <f>IFERROR(__xludf.DUMMYFUNCTION("GOOGLETRANSLATE(B18732, ""fr"", ""en"")"),"Armenia papers These products conform to the expectation that I had, if not they are of a color much clearer than the old papers of Armenia.")</f>
        <v>Armenia papers These products conform to the expectation that I had, if not they are of a color much clearer than the old papers of Armenia.</v>
      </c>
    </row>
    <row r="18733">
      <c r="A18733" s="1">
        <v>5.0</v>
      </c>
      <c r="B18733" s="1" t="s">
        <v>18429</v>
      </c>
      <c r="C18733" t="str">
        <f>IFERROR(__xludf.DUMMYFUNCTION("GOOGLETRANSLATE(B18733, ""fr"", ""en"")"),"Simple and very cheap! Lighting of the garden terrace at night, facilitating the night wandering. Deterrent in case of untimely intrusion ... Only regret index lighting is quite low. A good product MPOW as usual!")</f>
        <v>Simple and very cheap! Lighting of the garden terrace at night, facilitating the night wandering. Deterrent in case of untimely intrusion ... Only regret index lighting is quite low. A good product MPOW as usual!</v>
      </c>
    </row>
    <row r="18734">
      <c r="A18734" s="1">
        <v>5.0</v>
      </c>
      <c r="B18734" s="1" t="s">
        <v>18430</v>
      </c>
      <c r="C18734" t="str">
        <f>IFERROR(__xludf.DUMMYFUNCTION("GOOGLETRANSLATE(B18734, ""fr"", ""en"")"),"lot two packs of 18 French quality felts for top school BIC Yes because it is produced in France. And that's already good. But the bonus is very good. This lot includes two packages of 18 pens with a blocked tip medium suitable for children. I recommend t"&amp;"o the school for a reason as a teacher: the tip is the right size and allows both precise paths (and write) but also quite easily fill a surface, it is a good compromise. And in this regard I recommend especially the fine points, it's horrible on large su"&amp;"rfaces. The rods have a thin body which makes light in a kit for the school also. The colors are beautiful and last a long time without drying. I'll put these packets in my classroom for the bits that do not have the means to be well equipped (and yes it "&amp;"exists). Anyway as a user and teacher, I recommend without hesitation. This is also the brand that I invariably choose for my son, regardless of the model because they dry slightly. There are some who have more than 10 years, although they do not lose hoo"&amp;"ding.")</f>
        <v>lot two packs of 18 French quality felts for top school BIC Yes because it is produced in France. And that's already good. But the bonus is very good. This lot includes two packages of 18 pens with a blocked tip medium suitable for children. I recommend to the school for a reason as a teacher: the tip is the right size and allows both precise paths (and write) but also quite easily fill a surface, it is a good compromise. And in this regard I recommend especially the fine points, it's horrible on large surfaces. The rods have a thin body which makes light in a kit for the school also. The colors are beautiful and last a long time without drying. I'll put these packets in my classroom for the bits that do not have the means to be well equipped (and yes it exists). Anyway as a user and teacher, I recommend without hesitation. This is also the brand that I invariably choose for my son, regardless of the model because they dry slightly. There are some who have more than 10 years, although they do not lose hooding.</v>
      </c>
    </row>
    <row r="18735">
      <c r="A18735" s="1">
        <v>5.0</v>
      </c>
      <c r="B18735" s="1" t="s">
        <v>204</v>
      </c>
      <c r="C18735" t="str">
        <f>IFERROR(__xludf.DUMMYFUNCTION("GOOGLETRANSLATE(B18735, ""fr"", ""en"")"),"Top Top")</f>
        <v>Top Top</v>
      </c>
    </row>
    <row r="18736">
      <c r="A18736" s="1">
        <v>5.0</v>
      </c>
      <c r="B18736" s="1" t="s">
        <v>18431</v>
      </c>
      <c r="C18736" t="str">
        <f>IFERROR(__xludf.DUMMYFUNCTION("GOOGLETRANSLATE(B18736, ""fr"", ""en"")"),"Game Changer! Like announced good numbers youtubeurs, this kit is discreet and fiontionel upon commissioning. RODE thank you!")</f>
        <v>Game Changer! Like announced good numbers youtubeurs, this kit is discreet and fiontionel upon commissioning. RODE thank you!</v>
      </c>
    </row>
    <row r="18737">
      <c r="A18737" s="1">
        <v>5.0</v>
      </c>
      <c r="B18737" s="1" t="s">
        <v>18432</v>
      </c>
      <c r="C18737" t="str">
        <f>IFERROR(__xludf.DUMMYFUNCTION("GOOGLETRANSLATE(B18737, ""fr"", ""en"")"),"Great ! The same as a large well known brand for child less. Top no problem it!")</f>
        <v>Great ! The same as a large well known brand for child less. Top no problem it!</v>
      </c>
    </row>
    <row r="18738">
      <c r="A18738" s="1">
        <v>5.0</v>
      </c>
      <c r="B18738" s="1" t="s">
        <v>18433</v>
      </c>
      <c r="C18738" t="str">
        <f>IFERROR(__xludf.DUMMYFUNCTION("GOOGLETRANSLATE(B18738, ""fr"", ""en"")"),"Satchel Buy for my birthday, very nice bag and solid remains to be seen over time Ideal for work, computer returns")</f>
        <v>Satchel Buy for my birthday, very nice bag and solid remains to be seen over time Ideal for work, computer returns</v>
      </c>
    </row>
    <row r="18739">
      <c r="A18739" s="1">
        <v>5.0</v>
      </c>
      <c r="B18739" s="1" t="s">
        <v>18434</v>
      </c>
      <c r="C18739" t="str">
        <f>IFERROR(__xludf.DUMMYFUNCTION("GOOGLETRANSLATE(B18739, ""fr"", ""en"")"),"consistent high quality product works fine after a few months of use")</f>
        <v>consistent high quality product works fine after a few months of use</v>
      </c>
    </row>
    <row r="18740">
      <c r="A18740" s="1">
        <v>5.0</v>
      </c>
      <c r="B18740" s="1" t="s">
        <v>18435</v>
      </c>
      <c r="C18740" t="str">
        <f>IFERROR(__xludf.DUMMYFUNCTION("GOOGLETRANSLATE(B18740, ""fr"", ""en"")"),"Perfect, as always. From the quality ink, bright in color, and black good for monochrome. XL cartridges are well suited to my way of printing more than black color. Nice look for photos, or transfers for t-shirts house.")</f>
        <v>Perfect, as always. From the quality ink, bright in color, and black good for monochrome. XL cartridges are well suited to my way of printing more than black color. Nice look for photos, or transfers for t-shirts house.</v>
      </c>
    </row>
    <row r="18741">
      <c r="A18741" s="1">
        <v>5.0</v>
      </c>
      <c r="B18741" s="1" t="s">
        <v>18436</v>
      </c>
      <c r="C18741" t="str">
        <f>IFERROR(__xludf.DUMMYFUNCTION("GOOGLETRANSLATE(B18741, ""fr"", ""en"")"),"Perfect for baby's growth Ideal for baby progresses in the autonomy of meals. Fits all MAM bottle formats. In short a must")</f>
        <v>Perfect for baby's growth Ideal for baby progresses in the autonomy of meals. Fits all MAM bottle formats. In short a must</v>
      </c>
    </row>
    <row r="18742">
      <c r="A18742" s="1">
        <v>5.0</v>
      </c>
      <c r="B18742" s="1" t="s">
        <v>18437</v>
      </c>
      <c r="C18742" t="str">
        <f>IFERROR(__xludf.DUMMYFUNCTION("GOOGLETRANSLATE(B18742, ""fr"", ""en"")"),"Product recommended for buyer Great product conforms to the device's security level stops itself if it has no more water are very satisfied")</f>
        <v>Product recommended for buyer Great product conforms to the device's security level stops itself if it has no more water are very satisfied</v>
      </c>
    </row>
    <row r="18743">
      <c r="A18743" s="1">
        <v>5.0</v>
      </c>
      <c r="B18743" s="1" t="s">
        <v>18438</v>
      </c>
      <c r="C18743" t="str">
        <f>IFERROR(__xludf.DUMMYFUNCTION("GOOGLETRANSLATE(B18743, ""fr"", ""en"")"),"+++ value for money for this classic value for money +++ for this classic bad this is not the Blu-ray version")</f>
        <v>+++ value for money for this classic value for money +++ for this classic bad this is not the Blu-ray version</v>
      </c>
    </row>
    <row r="18744">
      <c r="A18744" s="1">
        <v>5.0</v>
      </c>
      <c r="B18744" s="1" t="s">
        <v>18439</v>
      </c>
      <c r="C18744" t="str">
        <f>IFERROR(__xludf.DUMMYFUNCTION("GOOGLETRANSLATE(B18744, ""fr"", ""en"")"),"Super Super, the original armenie paper!")</f>
        <v>Super Super, the original armenie paper!</v>
      </c>
    </row>
    <row r="18745">
      <c r="A18745" s="1">
        <v>5.0</v>
      </c>
      <c r="B18745" s="1" t="s">
        <v>18440</v>
      </c>
      <c r="C18745" t="str">
        <f>IFERROR(__xludf.DUMMYFUNCTION("GOOGLETRANSLATE(B18745, ""fr"", ""en"")"),"Okay Beads")</f>
        <v>Okay Beads</v>
      </c>
    </row>
    <row r="18746">
      <c r="A18746" s="1">
        <v>5.0</v>
      </c>
      <c r="B18746" s="1" t="s">
        <v>18441</v>
      </c>
      <c r="C18746" t="str">
        <f>IFERROR(__xludf.DUMMYFUNCTION("GOOGLETRANSLATE(B18746, ""fr"", ""en"")"),"Practical cooler bag I knew this and I'm not disappointed. It is really convenient, spacious and with a nice decor.")</f>
        <v>Practical cooler bag I knew this and I'm not disappointed. It is really convenient, spacious and with a nice decor.</v>
      </c>
    </row>
    <row r="18747">
      <c r="A18747" s="1">
        <v>5.0</v>
      </c>
      <c r="B18747" s="1" t="s">
        <v>18442</v>
      </c>
      <c r="C18747" t="str">
        <f>IFERROR(__xludf.DUMMYFUNCTION("GOOGLETRANSLATE(B18747, ""fr"", ""en"")"),"very good product very good right product to the descriptions. very good packaging")</f>
        <v>very good product very good right product to the descriptions. very good packaging</v>
      </c>
    </row>
    <row r="18748">
      <c r="A18748" s="1">
        <v>5.0</v>
      </c>
      <c r="B18748" s="1" t="s">
        <v>18443</v>
      </c>
      <c r="C18748" t="str">
        <f>IFERROR(__xludf.DUMMYFUNCTION("GOOGLETRANSLATE(B18748, ""fr"", ""en"")"),"A 4 sheets This paper is very good. They are thick. Beware if you send mail because they are heavy.")</f>
        <v>A 4 sheets This paper is very good. They are thick. Beware if you send mail because they are heavy.</v>
      </c>
    </row>
    <row r="18749">
      <c r="A18749" s="1">
        <v>2.0</v>
      </c>
      <c r="B18749" s="1" t="s">
        <v>18444</v>
      </c>
      <c r="C18749" t="str">
        <f>IFERROR(__xludf.DUMMYFUNCTION("GOOGLETRANSLATE(B18749, ""fr"", ""en"")"),"special smell I got mine on time, I wanted to complete my routine scrub self tanner good scrub, to leave for a bit after application with scrubbing glove but very unpleasant smell to me, pasty texture, difficult to spread but after a little wet foam well,"&amp;" I'm happy in all except the smell")</f>
        <v>special smell I got mine on time, I wanted to complete my routine scrub self tanner good scrub, to leave for a bit after application with scrubbing glove but very unpleasant smell to me, pasty texture, difficult to spread but after a little wet foam well, I'm happy in all except the smell</v>
      </c>
    </row>
    <row r="18750">
      <c r="A18750" s="1">
        <v>1.0</v>
      </c>
      <c r="B18750" s="1" t="s">
        <v>18445</v>
      </c>
      <c r="C18750" t="str">
        <f>IFERROR(__xludf.DUMMYFUNCTION("GOOGLETRANSLATE(B18750, ""fr"", ""en"")"),"Pretty but very fragile. The bracelet is nice shame the product life life span is about 5 minutes.")</f>
        <v>Pretty but very fragile. The bracelet is nice shame the product life life span is about 5 minutes.</v>
      </c>
    </row>
    <row r="18751">
      <c r="A18751" s="1">
        <v>3.0</v>
      </c>
      <c r="B18751" s="1" t="s">
        <v>18446</v>
      </c>
      <c r="C18751" t="str">
        <f>IFERROR(__xludf.DUMMYFUNCTION("GOOGLETRANSLATE(B18751, ""fr"", ""en"")"),"Very aesthetic use some convenient temperature knob")</f>
        <v>Very aesthetic use some convenient temperature knob</v>
      </c>
    </row>
    <row r="18752">
      <c r="A18752" s="1">
        <v>3.0</v>
      </c>
      <c r="B18752" s="1" t="s">
        <v>18447</v>
      </c>
      <c r="C18752" t="str">
        <f>IFERROR(__xludf.DUMMYFUNCTION("GOOGLETRANSLATE(B18752, ""fr"", ""en"")"),"Machine leaking after 11 months of use The principle of this device was awesome. Except that the machine has started to leak (droplet but steadily) in its lower part, between two pieces of plastic. So having to mop up all the water on the work plan remove"&amp;"s the ease of use that was the only reason to buy this otherwise very expensive.")</f>
        <v>Machine leaking after 11 months of use The principle of this device was awesome. Except that the machine has started to leak (droplet but steadily) in its lower part, between two pieces of plastic. So having to mop up all the water on the work plan removes the ease of use that was the only reason to buy this otherwise very expensive.</v>
      </c>
    </row>
    <row r="18753">
      <c r="A18753" s="1">
        <v>4.0</v>
      </c>
      <c r="B18753" s="1" t="s">
        <v>18448</v>
      </c>
      <c r="C18753" t="str">
        <f>IFERROR(__xludf.DUMMYFUNCTION("GOOGLETRANSLATE(B18753, ""fr"", ""en"")"),"They are nice for evenings")</f>
        <v>They are nice for evenings</v>
      </c>
    </row>
    <row r="18754">
      <c r="A18754" s="1">
        <v>4.0</v>
      </c>
      <c r="B18754" s="1" t="s">
        <v>18449</v>
      </c>
      <c r="C18754" t="str">
        <f>IFERROR(__xludf.DUMMYFUNCTION("GOOGLETRANSLATE(B18754, ""fr"", ""en"")"),"Size large A little farm Beautiful. large size, I had to take one size smaller.")</f>
        <v>Size large A little farm Beautiful. large size, I had to take one size smaller.</v>
      </c>
    </row>
    <row r="18755">
      <c r="A18755" s="1">
        <v>4.0</v>
      </c>
      <c r="B18755" s="1" t="s">
        <v>18450</v>
      </c>
      <c r="C18755" t="str">
        <f>IFERROR(__xludf.DUMMYFUNCTION("GOOGLETRANSLATE(B18755, ""fr"", ""en"")"),"Very nice watch, handsome design. Beautiful watch, exactly. but a little big on the wrist.")</f>
        <v>Very nice watch, handsome design. Beautiful watch, exactly. but a little big on the wrist.</v>
      </c>
    </row>
    <row r="18756">
      <c r="A18756" s="1">
        <v>4.0</v>
      </c>
      <c r="B18756" s="1" t="s">
        <v>18451</v>
      </c>
      <c r="C18756" t="str">
        <f>IFERROR(__xludf.DUMMYFUNCTION("GOOGLETRANSLATE(B18756, ""fr"", ""en"")"),"Class Very nice watch that matches my expectations. negative points digital display very readable and not too low lighting. Delivery expected come. Nothing to say.")</f>
        <v>Class Very nice watch that matches my expectations. negative points digital display very readable and not too low lighting. Delivery expected come. Nothing to say.</v>
      </c>
    </row>
    <row r="18757">
      <c r="A18757" s="1">
        <v>4.0</v>
      </c>
      <c r="B18757" s="1" t="s">
        <v>1417</v>
      </c>
      <c r="C18757" t="str">
        <f>IFERROR(__xludf.DUMMYFUNCTION("GOOGLETRANSLATE(B18757, ""fr"", ""en"")"),"ras ras")</f>
        <v>ras ras</v>
      </c>
    </row>
    <row r="18758">
      <c r="A18758" s="1">
        <v>5.0</v>
      </c>
      <c r="B18758" s="1" t="s">
        <v>18452</v>
      </c>
      <c r="C18758" t="str">
        <f>IFERROR(__xludf.DUMMYFUNCTION("GOOGLETRANSLATE(B18758, ""fr"", ""en"")"),"Top Bottle Mam never disappointed.")</f>
        <v>Top Bottle Mam never disappointed.</v>
      </c>
    </row>
    <row r="18759">
      <c r="A18759" s="1">
        <v>5.0</v>
      </c>
      <c r="B18759" s="1" t="s">
        <v>18453</v>
      </c>
      <c r="C18759" t="str">
        <f>IFERROR(__xludf.DUMMYFUNCTION("GOOGLETRANSLATE(B18759, ""fr"", ""en"")"),"I no longer wear these shoes! I'm on the fourth pair. 2 pairs used successively brisk walking on output 10 to 20 km without any pain. 2 other pairs kept ""clean"" for the city and work. I still sometimes standing 8 in a row, no sore feet, legs, back or ot"&amp;"her. I have rather large feet and are great because I do not mind at all. Take 1/2 size up for good. I recommend 100%")</f>
        <v>I no longer wear these shoes! I'm on the fourth pair. 2 pairs used successively brisk walking on output 10 to 20 km without any pain. 2 other pairs kept "clean" for the city and work. I still sometimes standing 8 in a row, no sore feet, legs, back or other. I have rather large feet and are great because I do not mind at all. Take 1/2 size up for good. I recommend 100%</v>
      </c>
    </row>
    <row r="18760">
      <c r="A18760" s="1">
        <v>5.0</v>
      </c>
      <c r="B18760" s="1" t="s">
        <v>18454</v>
      </c>
      <c r="C18760" t="str">
        <f>IFERROR(__xludf.DUMMYFUNCTION("GOOGLETRANSLATE(B18760, ""fr"", ""en"")"),"Top I m using it to make my laundry, value for money impeccable, the package will make a point smaller than the chips thus melts very quickly,")</f>
        <v>Top I m using it to make my laundry, value for money impeccable, the package will make a point smaller than the chips thus melts very quickly,</v>
      </c>
    </row>
    <row r="18761">
      <c r="A18761" s="1">
        <v>5.0</v>
      </c>
      <c r="B18761" s="1" t="s">
        <v>18455</v>
      </c>
      <c r="C18761" t="str">
        <f>IFERROR(__xludf.DUMMYFUNCTION("GOOGLETRANSLATE(B18761, ""fr"", ""en"")"),"Perfect I will not pass me to sleep in my room slightly heated in winter")</f>
        <v>Perfect I will not pass me to sleep in my room slightly heated in winter</v>
      </c>
    </row>
    <row r="18762">
      <c r="A18762" s="1">
        <v>5.0</v>
      </c>
      <c r="B18762" s="1" t="s">
        <v>18456</v>
      </c>
      <c r="C18762" t="str">
        <f>IFERROR(__xludf.DUMMYFUNCTION("GOOGLETRANSLATE(B18762, ""fr"", ""en"")"),"super &lt;div id = ""video-block-R1XBUMTQMJMQPJ"" class = ""a-section-spacing-small in-spacing-top mini video-block""&gt; &lt;div tabindex = ""0"" class = ""airy airy-svg vmin -supported airy-skin-beacon ""style ="" background-color: rgb (0, 0, 0); position: relat"&amp;"ive; width: 100%; height: 100%; font-size: 0px; overflow: hidden; outline: none; ""&gt; &lt;div class ="" airy-renderer-container ""style ="" position: relative; height: 100%; width: 100%; ""&gt; &lt;video id ="" 7 ""preload ="" auto ""src ="" https : //images-eu.ssl"&amp;"-images-amazon.com/images/I/E1Z5y9y6sES.mp4 ""style ="" position: absolute; left: 0px; top: 0px; overflow: hidden; height: 1px; width: 1px; ""&gt; &lt;/ video&gt; &lt;/ div&gt; &lt;div id ="" airy-slate-preload ""style ="" background-color: rgb (0, 0, 0); background-image:"&amp;" url (&amp; quot; https: // pictures -eu.ssl-images-amazon.com/images/I/81RYddnewMS.png&amp;quot;); background-size: contain; background-position: center center; background-repeat: no-repeat; position: absolute; top: 0px; left: 0px; visibility: visible; width: 10"&amp;"0%; height: 100% ""&gt; &lt;/ div&gt; &lt;iframe scrolling ="" no ""frameb order = ""0"" src = ""about: blank"" style = ""display: none;""&gt; &lt;/ iframe&gt; &lt;div tabindex = ""- 1"" class = ""airy-controls-container"" style = ""opacity: 0; visibility: hidden; ""&gt; &lt;div tabin"&amp;"dex ="" - 1 ""class ="" airy-screen-size-toggle airy-fullscreen ""&gt; &lt;/ div&gt; &lt;div tabindex ="" - 1 ""class ="" airy-container-bottom "" &gt; &lt;div tabindex = ""- 1"" class = ""airy-track-bar spacer-left"" style = ""width: 11px;""&gt; &lt;/ div&gt; &lt;div tabindex = ""- 1"&amp;""" class = ""airy-play- toggle airy-play ""style ="" width: 12px; margin-right: 12px; ""&gt; &lt;/ div&gt; &lt;div tabindex ="" - 1 ""class ="" airy-audio-elements ""style ="" float: right; width: 34px; ""&gt; &lt;div tabindex ="" - 1 ""class ="" airy-audio-toggle airy-on "&amp;"""&gt; &lt;/ div&gt; &lt;div tabindex ="" - 1 ""class ="" airy-audio-container ""style = ""opacity: 0; visibility: hidden; ""&gt; &lt;div tabindex ="" - 1 ""class ="" airy-audio-track-bar ""style ="" height: 80%; ""&gt; &lt;div tabindex ="" - 1 ""class ="" airy-audio- scrubber b"&amp;"ar ""style ="" height: 85% ""&gt; &lt;/ div&gt; &lt;div tabindex ="" - 1 ""class ="" airy-audio-scrubber ""style ="" height: 12px; bottom: 85% ""&gt; &lt;/ div&gt; &lt;/ div&gt; &lt;/ div&gt; &lt;/ div&gt; &lt;div tabindex ="" - 1 ""class ="" airy-duration-label ""style ="" float: right; width: 2"&amp;"6px; margin-right: 4px; text-align: center; ""&gt; 4:48 &lt;/ div&gt; &lt;div tabindex ="" - 1 ""class ="" airy-track-bar spacer-right ""style ="" float: right; width: 11px; ""&gt; &lt;/ div&gt; &lt;div tabindex ="" - 1 ""class ="" airy-track-bar-container ""style ="" margin-lef"&amp;"t: 35px; margin-right: 75px; ""&gt; &lt;div tabindex ="" - 1 ""class ="" airy-airy-track-bar vertical-centering-table ""&gt; &lt;div tabindex ="" - 1 ""class ="" airy-vertical-centering- table-cell ""&gt; &lt;div tabindex ="" - 1 ""class ="" airy-track-bar elements ""&gt; &lt;di"&amp;"v tabindex ="" - 1 ""class ="" airy-progress-bar ""style ="" width: 6.11556%; ""&gt; &lt;/ div&gt; &lt;div tabindex ="" - 1 ""class ="" airy-scrubber bar ""&gt; &lt;/ div&gt; &lt;div tabindex ="" - 1 ""class ="" airy-scrubber ""&gt; &lt;div tabindex ="" - 1 ""class ="" airy-scrubber-i"&amp;"con ""&gt; &lt;/ div&gt; &lt;div tabindex ="" - 1 ""class ="" airy-adjusted-aui-tooltip ""style ="" opacity: 0; visibility: hidden; ""&gt; &lt;div tabindex ="" - 1 ""class ="" airy-adjusted-aui-tooltip-inner ""&gt; &lt;div tabindex ="" - 1 ""class ="" airy-current-time-label ""&gt;"&amp;" 0 00 &lt;/ div&gt; &lt;/ div&gt; &lt;div tabindex = ""- 1"" class = ""airy-adjusted-aui-arrow-border""&gt; &lt;div tabindex = ""- 1"" class = ""airy-adjusted-aui-arrow"" &gt; &lt;/ div&gt; &lt;/ div&gt; &lt;/ div&gt; &lt;/ div&gt; &lt;/ div&gt; &lt;/ div&gt; &lt;/ div&gt; &lt;/ div&gt; &lt;/ div&gt; &lt;/ div&gt; &lt;div tabindex = ""- 1"""&amp;" class = ""airy-airy-age-gate course airy-vertical-centering table-airy-dialog"" style = ""opacity: 0; visibility: hidden; ""&gt; &lt;div tabindex ="" - 1 ""class ="" airy-age-gate-vertical-centering-table-cell airy-vertical-centering-table-cell ""&gt; &lt;div tabind"&amp;"ex ="" - 1 ""class = ""airy-vertical-centering-wrapper airy-age-gate-elements-wrapper""&gt; &lt;div tabindex = ""- 1"" class = ""airy-age-gate-elements airy-dialog-elements""&gt; &lt;div tabindex = "" -1 ""class ="" airy-age-gate-prompt ""&gt; This video is not Intended"&amp;" for all audiences What time were you born &lt;/ div&gt; &lt;div tabindex =.?"" - 1 ""class ="" airy-age-gate -inputs airy-dialog-inner-elements ""&gt; &lt;select tabindex ="" - 1 ""class ="" airy-age-gate-month ""&gt; &lt;option value ="" 1 ""&gt; January &lt;/ option&gt; &lt;option val"&amp;"ue ="" 2 ""&gt; February &lt;/ option&gt; &lt;option value ="" 3 ""&gt; March &lt;/ option&gt; &lt;option value ="" 4 ""&gt; April &lt;/ option&gt; &lt;option value ="" 5 ""&gt; May &lt;/ option&gt; &lt;option value = ""6""&gt; June &lt;/ option&gt; &lt;option value = ""7""&gt; July &lt;/ option&gt; &lt;option value = ""8""&gt; "&amp;"August &lt;/ option&gt; &lt;option value = ""9""&gt; September &lt;/ option&gt; &lt;option value = ""10""&gt; October &lt;/ option&gt; &lt;option value = ""11""&gt; November &lt;/ option&gt; &lt;option value = ""12""&gt; December &lt;/ option&gt; &lt;/ select&gt; &lt;select tabindex = ""- 1"" class = ""airy-age-gate-"&amp;"day""&gt; &lt;opti = One value ""1""&gt; 1 &lt;/ option&gt; &lt;option value = ""2""&gt; 2 &lt;/ option&gt; &lt;option value = ""3""&gt; 3 &lt;/ option&gt; &lt;option value = ""4""&gt; 4 &lt;/ option &gt; &lt;option value = ""5""&gt; 5 &lt;/ option&gt; &lt;option value = ""6""&gt; 6 &lt;/ option&gt; &lt;option value = ""7""&gt; 7 &lt;/ o"&amp;"ption&gt; &lt;option value = ""8""&gt; 8 &lt; / option&gt; &lt;option value = ""9""&gt; 9 &lt;/ option&gt; &lt;option value = ""10""&gt; 10 &lt;/ option&gt; &lt;option value = ""11""&gt; 11 &lt;/ option&gt; &lt;option value = ""12""&gt; 12 &lt;/ option&gt; &lt;option value = ""13""&gt; 13 &lt;/ option&gt; &lt;option value = ""14""&gt;"&amp;" 14 &lt;/ option&gt; &lt;option value = ""15""&gt; 15 &lt;/ option&gt; &lt;option value = ""16 ""&gt; 16 &lt;/ option&gt; &lt;option value ="" 17 ""&gt; 17 &lt;/ option&gt; &lt;option value ="" 18 ""&gt; 18 &lt;/ option&gt; &lt;option value ="" 19 ""&gt; 19 &lt;/ option&gt; &lt;option value = ""20""&gt; 20 &lt;/ option&gt; &lt;option "&amp;"value = ""21""&gt; 21 &lt;/ option&gt; &lt;option value = ""22""&gt; 22 &lt;/ option&gt; &lt;option value = ""23""&gt; 23 &lt;/ option&gt; &lt;option value = ""24""&gt; 24 &lt;/ option&gt; &lt;option value = ""25""&gt; 25 &lt;/ option&gt; &lt;option value = ""26""&gt; 26 &lt;/ option&gt; &lt;option value = ""27""&gt; 27 &lt;/ optio"&amp;"n&gt; &lt;option value = ""28""&gt; 28 &lt;/ option&gt; &lt;option value = ""29""&gt; 29 &lt;/ option&gt; &lt;option value = ""30""&gt; 30 &lt;/ option&gt; &lt;option value = ""31""&gt; 31 &lt;/ option&gt; &lt;/ select&gt; &lt;select tabindex = ""- 1"" class = ""airy-age-gate-year""&gt; &lt;option value = ""2019""&gt; 2019"&amp;" &lt;/ option&gt; &lt; option value = ""2018""&gt; 2018 &lt;/ option&gt; &lt;option value = ""2017""&gt; 2017 &lt;/ option&gt; &lt;option value = ""2016""&gt; ​​2016 &lt;/ option&gt; &lt;option value = ""2015""&gt; 2015 &lt;/ option &gt; &lt;option value = ""2014""&gt; 2014 &lt;/ option&gt; &lt;option value = ""2013""&gt; 201"&amp;"3 &lt;/ option&gt; &lt;option value = ""2012""&gt; 2012 &lt;/ option&gt; &lt;option value = ""2011""&gt; 2011 &lt; / option&gt; &lt;option value = ""2010""&gt; 2010 &lt;/ option&gt; &lt;option value = ""2009""&gt; 2009 &lt;/ option&gt; &lt;option value = ""2008""&gt; 2008 &lt;/ option&gt; &lt;option value = ""2007""&gt; 2007 "&amp;"&lt;/ option&gt; &lt;option value = ""2006""&gt; 2006 &lt;/ option&gt; &lt;option value = ""2005""&gt; 2005 &lt;/ option&gt; &lt;option value = ""2004""&gt; 2004 &lt;/ option&gt; &lt;option value = ""2003 ""&gt; 2003 &lt;/ option&gt; &lt;option value ="" 2002 ""&gt; 2002 &lt;/ option&gt; &lt;option value ="" 2001 ""&gt; 2001 "&amp;"&lt;/ option&gt; &lt;option value ="" 2000 ""&gt; 2000 &lt;/ option&gt; &lt;option value = ""1999""&gt; 1999 &lt;/ option&gt; &lt;option value = ""1998""&gt; 1998 &lt;/ option&gt; &lt;option value = ""1997""&gt; 1997 &lt;/ option&gt; &lt;option value = ""1996""&gt; 1996 &lt;/ option&gt; &lt;option value = ""1995""&gt; 1995 &lt;/"&amp;" option&gt; &lt;option value = ""1994""&gt; 1994 &lt;/ option&gt; &lt;option value = ""1993""&gt; 1993 &lt;/ option&gt; &lt;option value = ""1992""&gt; 1992 &lt;/ option&gt; &lt;option value = ""1991""&gt; 1991 &lt;/ option&gt; &lt;option value = ""1990""&gt; 1990 &lt;/ option&gt; &lt;option value = "" 1989 ""&gt; 1989 &lt;/ "&amp;"option&gt; &lt;option value ="" 1988 ""&gt; 1988 &lt;/ option&gt; &lt;option value ="" 1987 ""&gt; 1987 &lt;/ option&gt; &lt;option value ="" 1986 ""&gt; 1986 &lt;/ option&gt; &lt;option value = ""1985""&gt; 1985 &lt;/ option&gt; &lt;option value = ""1984""&gt; 1984 &lt;/ option&gt; &lt;option value = ""1983""&gt; 1983 &lt;/ "&amp;"option&gt; &lt;option value = ""1982""&gt; 1982 &lt;/ option&gt; &lt; option value = ""1981""&gt; 1981 &lt;/ option&gt; &lt;option value = ""1980""&gt; 1980 &lt;/ option&gt; &lt;option value = ""1979""&gt; 1979 &lt;/ option&gt; &lt;option value = ""1978""&gt; 1978 &lt;/ option &gt; &lt;option value = ""1977""&gt; 1977 &lt;/ o"&amp;"ption&gt; &lt;option value = ""1976""&gt; 1976 &lt;/ option&gt; &lt;option value = ""1975""&gt; 1975 &lt;/ option&gt; &lt;option value = ""1974""&gt; 1974 &lt; / option&gt; &lt;option value = ""1973""&gt; 1973 &lt;/ option&gt; &lt;option value = ""1972""&gt; 1972 &lt;/ option&gt; &lt;option value = ""1971""&gt; 1971 &lt;/ opt"&amp;"ion&gt; &lt;option value = ""1970""&gt; 1970 &lt;/ option&gt; &lt;option value = ""1969""&gt; 1969 &lt;/ option&gt; &lt;option value = ""1968""&gt; 1968 &lt;/ option&gt; &lt;option value = ""1967""&gt; 1967 &lt;/ option&gt; &lt;option value = ""1966 ""&gt; 1966 &lt;/ option&gt; &lt;option value ="" 1965 ""&gt; 1965 &lt;/ opti"&amp;"on&gt; &lt;option value ="" 1964 ""&gt; 1964 &lt;/ option&gt; &lt;option value ="" 1963 ""&gt; 1963 &lt;/ option&gt; &lt;option value = ""1962""&gt; 1962 &lt;/ option&gt; &lt;option value = ""1961""&gt; 1961 &lt;/ option&gt; &lt;option value = ""1960""&gt; 1960 &lt;/ op tion&gt; &lt;option value = ""1959""&gt; 1959 &lt;/ opti"&amp;"on&gt; &lt;option value = ""1958""&gt; 1958 &lt;/ option&gt; &lt;option value = ""1957""&gt; 1957 &lt;/ option&gt; &lt;option value = ""1956""&gt; 1956 &lt;/ option&gt; &lt;option value = ""1955""&gt; 1955 &lt;/ option&gt; &lt;option value = ""1954""&gt; 1954 &lt;/ option&gt; &lt;option value = ""1953""&gt; 1953 &lt;/ option&gt;"&amp;" &lt;option value = ""1952"" &gt; 1952 &lt;/ option&gt; &lt;option value = ""1951""&gt; 1951 &lt;/ option&gt; &lt;option value = ""1950""&gt; 1950 &lt;/ option&gt; &lt;option value = ""1949""&gt; 1949 &lt;/ option&gt; &lt;option value = "" 1948 ""&gt; 1948 &lt;/ option&gt; &lt;option value ="" 1947 ""&gt; 1947 &lt;/ option"&amp;"&gt; &lt;option value ="" 1946 ""&gt; 1946 &lt;/ option&gt; &lt;option value ="" 1945 ""&gt; 1945 &lt;/ option&gt; &lt;option value = ""1944""&gt; 1944 &lt;/ option&gt; &lt;option value = ""1943""&gt; 1943 &lt;/ option&gt; &lt;option value = ""1942""&gt; 1942 &lt;/ option&gt; &lt;option value = ""1941""&gt; 1941 &lt;/ option&gt;"&amp;" &lt; option value = ""1940""&gt; 1940 &lt;/ option&gt; &lt;option value = ""1939""&gt; 1939 &lt;/ option&gt; &lt;option value = ""1938""&gt; 1938 &lt;/ option&gt; &lt;option value = ""1937""&gt; 1937 &lt;/ option &gt; &lt;option value = ""1936""&gt; 1936 &lt;/ option&gt; &lt;option value = ""1935""&gt; 1935 &lt;/ option&gt; "&amp;"&lt;option value = ""1934""&gt; 1934 &lt;/ option&gt; &lt;option value = ""1933""&gt; 1933 &lt; / option&gt; &lt;option value = ""1932""&gt; 1932 &lt;/ option&gt; &lt;option value = ""1931""&gt; 1931 &lt;/ option&gt; &lt;option v alue = ""1930""&gt; 1930 &lt;/ option&gt; &lt;option value = ""1929""&gt; 1929 &lt;/ option&gt; &lt;"&amp;"option value = ""1928""&gt; 1928 &lt;/ option&gt; &lt;option value = ""1927""&gt; 1927 &lt;/ option&gt; &lt;option value = ""1926""&gt; 1926 &lt;/ option&gt; &lt;option value = ""1925""&gt; 1925 &lt;/ option&gt; &lt;option value = ""1924""&gt; 1924 &lt;/ option&gt; &lt;option value = ""1923""&gt; 1923 &lt;/ option&gt; &lt;opt"&amp;"ion value = ""1922""&gt; 1922 &lt;/ option&gt; &lt;option value = ""1921""&gt; 1921 &lt;/ option&gt; &lt;option value = ""1920""&gt; 1920 &lt;/ option&gt; &lt;option value = ""1919""&gt; 1919 &lt;/ option&gt; &lt;option value = ""1918""&gt; 1918 &lt;/ option&gt; &lt;option value = ""1917""&gt; 1917 &lt;/ option&gt; &lt;option"&amp;" value = ""1916""&gt; 1916 &lt;/ option&gt; &lt;option value = ""1915"" &gt; 1915 &lt;/ option&gt; &lt;option value = ""1914""&gt; 1914 &lt;/ option&gt; &lt;option value = ""1913""&gt; 1913 &lt;/ option&gt; &lt;option value = ""1912""&gt; 1912 &lt;/ option&gt; &lt;option value = "" 1911 ""&gt; 1911 &lt;/ option&gt; &lt;option"&amp;" value ="" 1910 ""&gt; 1910 &lt;/ option&gt; &lt;option value ="" 1909 ""&gt; 1909 &lt;/ option&gt; &lt;option value ="" 1908 ""&gt; 1908 &lt;/ option&gt; &lt;option value = ""1907""&gt; 1907 &lt;/ option&gt; &lt;option value = ""1906""&gt; 1906 &lt;/ option&gt; &lt;option value = ""1905""&gt; 1905 &lt;/ option&gt; &lt;option"&amp;" value = ""1904""&gt; 1904 &lt;/ option&gt; &lt; option value = ""1903""&gt; 1903 &lt;/ option&gt; &lt;option value = ""1902""&gt; 1902 &lt;/ option&gt; &lt;option value = ""1901""&gt; 19 01 &lt;/ option&gt; &lt;option value = ""1900""&gt; 1900 &lt;/ option&gt; &lt;/ select&gt; &lt;div tabindex = ""- 1"" class = ""airy-"&amp;"age-gate-submit airy-submit-button airy airy-submit- disabled ""&gt; Submit &lt;/ div&gt; &lt;/ div&gt; &lt;/ div&gt; &lt;/ div&gt; &lt;/ div&gt; &lt;/ div&gt; &lt;div tabindex ="" - 1 ""class ="" airy-install-flash-dialog airy-course airy -Vertical-centering-table dialog airy-airy-denied ""style"&amp;" ="" opacity: 0; visibility: hidden; ""&gt; &lt;div tabindex ="" - 1 ""class ="" airy-install-flash-vertical-centering-table-cell airy-vertical-centering-table-cell ""&gt; &lt;div tabindex ="" - 1 ""class = ""airy-vertical-centering-wrapper airy-install-flash-element"&amp;"s-wrapper""&gt; &lt;div tabindex = ""- 1"" class = ""airy-install-flash-elements airy-dialog-elements""&gt; &lt;div tabindex = "" -1 ""class ="" airy-install-flash-prompt ""&gt; Adobe Flash Player is required to watch this video &lt;/ div&gt; &lt;div = tabindex."" - 1 ""class ="&amp;""" airy-install-flash-button-wrapper airy -dialog-inner-elements ""&gt; &lt;div tabindex ="" - 1 ""class ="" airy-install-flash-button airy-button ""&gt; install Flash Player &lt;/ div&gt; &lt;/ div&gt; &lt;/ div&gt; &lt;/ div&gt; &lt;/ div&gt; &lt;/ div&gt; &lt;div tabindex = ""- 1"" class = ""airy-vi"&amp;"deo-unsupported-dialog airy-course airy-vertical-centering table-airy-dialog airy-denied"" style = ""opacity: 0; visibility: hidden; ""&gt; &lt;div tabindex ="" - 1 ""class ="" airy-video-unsupported-vertical-centering-table-cell airy-vertical-centering-table-c"&amp;"ell ""&gt; &lt;div tabindex ="" - 1 ""class = ""airy-vertical-centering-wrapper airy-video-unsupported-elements-wrapper""&gt; &lt;div tabindex = ""- 1"" class = ""airy-video-unsupported-elements airy-dialog-elements""&gt; &lt;div tabindex = "" -1 ""class ="" airy-video-uns"&amp;"upported-prompt ""&gt; &lt;/ div&gt; &lt;/ div&gt; &lt;/ div&gt; &lt;/ div&gt; &lt;/ div&gt; &lt;div tabindex ="" - 1 ""class ="" airy-loading- spinner-stage airy-stage ""&gt; &lt;div tabindex ="" - 1 ""class ="" airy-loading-spinner-vertical-centering-table-cell airy-vertical-centering-table-cel"&amp;"l ""&gt; &lt;div tabindex ="" - 1 ""class ="" airy-loading-spinner container airy-scalable-hint-container ""&gt; &lt;div tabindex ="" - 1 ""class ="" airy-loading-spinner-dummy airy-scalable-dummy ""&gt; &lt;/ div&gt; &lt; div tabindex = ""- 1"" class = ""airy-loading-spinner ai"&amp;"ry-hint"" style = ""visibility: hidden;""&gt; &lt;/ div&gt; &lt;/ div&gt; &lt;/ div&gt; &lt;/ div&gt; &lt;div tabindex = ""- 1 ""class ="" airy-ads-screen-size-toggle airy-screen-size-toggle airy-fullscreen ""style ="" visibility: hidden; ""&gt; &lt;/ div&gt; &lt;div tabindex = ""-1"" class = ""a"&amp;"iry-ad-prompt-container"" style = ""visibility: hidden;""&gt; &lt;div tabindex = ""- 1"" class = ""airy-ad-prompt-vertical-centering table-airy-vertical- centering-table ""&gt; &lt;div tabindex ="" - 1 ""class ="" airy-ad-prompt-vertical-centering-table-cell airy-ver"&amp;"tical-centering-table-cell ""&gt; &lt;div tabindex ="" - 1 ""class = ""airy-ad-prompt-label""&gt; &lt;/ div&gt; &lt;/ div&gt; &lt;/ div&gt; &lt;/ div&gt; &lt;div tabindex = ""- 1"" class = ""airy-ads-controls-container"" style = ""visibility: hidden; ""&gt; &lt;div tabindex ="" - 1 ""class ="" ai"&amp;"ry-ads-audio-toggle airy-audio-toggle airy-on ""style ="" visibility: hidden; ""&gt; &lt;/ div&gt; &lt;div tabindex ="" - 1 ""class ="" airy-time-remaining-label-container ""&gt; &lt;div tabindex ="" - 1 ""class ="" airy-time-remaining-vertical-centering table-airy-vertica"&amp;"l-centering-table ""&gt; &lt;div tabindex = ""- 1"" class = ""airy-time-remaining-vertical-centering-table-cell airy-vertical-centering-table-cell""&gt; &lt;div tabindex = ""- 1"" class = ""airy-vertical-centering-wrapper airy-time-remaining-label-wrapper ""&gt; &lt;div ta"&amp;"bindex ="" - 1 ""class ="" airy-time-remaining-label ""style ="" visibility: hidden; ""&gt; &lt;/ div&gt; &lt;div tabi ndex = ""- 1"" class = ""airy-ad-skip"" style = ""visibility: hidden;""&gt; &lt;/ div&gt; &lt;div tabindex = ""- 1"" class = ""airy-ad-end"" style = ""visibilit"&amp;"y: hidden; ""&gt; &lt;/ div&gt; &lt;/ div&gt; &lt;/ div&gt; &lt;/ div&gt; &lt;/ div&gt; &lt;div tabindex ="" - 1 ""class ="" airy-learn-more ""style ="" visibility: hidden; ""&gt; &lt;/ div&gt; &lt;/ div&gt; &lt;div tabindex = ""- 1"" class = ""airy-play-toggle-hint-stage airy-course airy-cursor""&gt; &lt;div tabi"&amp;"ndex = ""- 1"" class = ""airy-play -toggle-hint-vertical-centering-table-cell airy-vertical-centering-table-cell airy-cursor ""&gt; &lt;div tabindex ="" - 1 ""class ="" airy-play-toggle-hint-container airy-scalable- hint-container ""&gt; &lt;div tabindex ="" - 1 ""cl"&amp;"ass ="" airy-play-toggle-hint-dummy airy-scalable-dummy ""&gt; &lt;/ div&gt; &lt;div tabindex ="" - 1 ""class ="" airy-play -toggle airy-hint-hint-hint airy-play ""style ="" opacity: 1; visibility: visible; ""&gt; &lt;/ div&gt; &lt;/ div&gt; &lt;/ div&gt; &lt;/ div&gt; &lt;div tabindex ="" - 1 """&amp;"class ="" airy-replay-hint-stage airy-stage ""style ="" visibility: hidden ; ""&gt; &lt;div tabindex ="" - 1 ""class ="" airy-replay-hint-vertical-centering-table-cell airy-vertical-centering-table-cell airy-cursor ""&gt; &lt;div tabindex ="" - 1 ""class = ""airy-rep"&amp;"lay-hint-container airy-scalable-hint-container""&gt; &lt;div tabindex = ""- 1"" class = ""airy-replay-hint-dummy airy-scalable-dummy""&gt; &lt;/ div&gt; &lt;div tabindex = ""- 1"" class = ""airy-replay-hint airy-hint""&gt; &lt;/ div&gt; &lt;/ div&gt; &lt;/ div&gt; &lt;/ div&gt; &lt;div tabindex = ""- "&amp;"1"" class = ""airy-autoplay-hint -stage airy-stage ""style ="" visibility: hidden; ""&gt; &lt;div tabindex ="" - 1 ""class ="" airy-autoplay-hint-vertical-centering-table-cell airy-vertical-centering-table-cell airy- cursor ""&gt; &lt;div tabindex ="" - 1 ""class ="""&amp;" autoplay airy-airy-hint-container-scalable-hint-container ""&gt; &lt;div tabindex ="" - 1 ""class ="" airy-autoplay-hint-dummy airy- scalable-dummy ""&gt; &lt;/ div&gt; &lt;/ div&gt; &lt;/ div&gt; &lt;/ div&gt; &lt;/ div&gt; &lt;/ div&gt; &lt;input type ="" hidden ""name ="" ""value ="" https: // pict"&amp;"ures-eu .ssl-image amazon.com / images / I / E1Z5y9y6sES.mp4 ""Class ="" video-url ""&gt; &lt;input type ="" hidden ""name ="" ""value ="" https://images-eu.ssl-images-amazon.com/images/I/81RYddnewMS.png ""class ="" video-slate-img-url ""&gt; &amp; nbsp; I could write"&amp;" page and pages to the wire, but when it is good not need to make tons, ugreen again assure with this material, no problem. because the cable is heavy armored and copper, rubber boot is also superb, so nothing to say flawless.")</f>
        <v>super &lt;div id = "video-block-R1XBUMTQMJMQPJ" class = "a-section-spacing-small in-spacing-top mini video-block"&gt; &lt;div tabindex = "0" class = "airy airy-svg vmin -supported airy-skin-beacon "style =" background-color: rgb (0, 0, 0); position: relative; width: 100%; height: 100%; font-size: 0px; overflow: hidden; outline: none; "&gt; &lt;div class =" airy-renderer-container "style =" position: relative; height: 100%; width: 100%; "&gt; &lt;video id =" 7 "preload =" auto "src =" https : //images-eu.ssl-images-amazon.com/images/I/E1Z5y9y6sES.mp4 "style =" position: absolute; left: 0px; top: 0px; overflow: hidden; height: 1px; width: 1px; "&gt; &lt;/ video&gt; &lt;/ div&gt; &lt;div id =" airy-slate-preload "style =" background-color: rgb (0, 0, 0); background-image: url (&amp; quot; https: // pictures -eu.ssl-images-amazon.com/images/I/81RYddnewMS.png&amp;quot;); background-size: contain; background-position: center center; background-repeat: no-repeat; position: absolute; top: 0px; left: 0px; visibility: visible; width: 100%; height: 100% "&gt; &lt;/ div&gt; &lt;iframe scrolling =" no "frameb order = "0" src = "about: blank" style = "display: none;"&gt; &lt;/ iframe&gt; &lt;div tabindex = "- 1" class = "airy-controls-container" style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4:48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airy-progress-bar "style =" width: 6.11556%; "&gt; &lt;/ div&gt; &lt;div tabindex =" - 1 "class =" airy-scrubber bar "&gt; &lt;/ div&gt; &lt;div tabindex =" - 1 "class =" airy-scrubber "&gt; &lt;div tabindex =" - 1 "class =" airy-scrubber-icon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E1Z5y9y6sES.mp4 "Class =" video-url "&gt; &lt;input type =" hidden "name =" "value =" https://images-eu.ssl-images-amazon.com/images/I/81RYddnewMS.png "class =" video-slate-img-url "&gt; &amp; nbsp; I could write page and pages to the wire, but when it is good not need to make tons, ugreen again assure with this material, no problem. because the cable is heavy armored and copper, rubber boot is also superb, so nothing to say flawless.</v>
      </c>
    </row>
    <row r="18763">
      <c r="A18763" s="1">
        <v>5.0</v>
      </c>
      <c r="B18763" s="1" t="s">
        <v>18457</v>
      </c>
      <c r="C18763" t="str">
        <f>IFERROR(__xludf.DUMMYFUNCTION("GOOGLETRANSLATE(B18763, ""fr"", ""en"")"),"Good quality I use when I feus Nordic walking very good value for money headset.")</f>
        <v>Good quality I use when I feus Nordic walking very good value for money headset.</v>
      </c>
    </row>
    <row r="18764">
      <c r="A18764" s="1">
        <v>5.0</v>
      </c>
      <c r="B18764" s="1" t="s">
        <v>18458</v>
      </c>
      <c r="C18764" t="str">
        <f>IFERROR(__xludf.DUMMYFUNCTION("GOOGLETRANSLATE(B18764, ""fr"", ""en"")"),"Classic, makes the case simple and basic model, satisfied.")</f>
        <v>Classic, makes the case simple and basic model, satisfied.</v>
      </c>
    </row>
    <row r="18765">
      <c r="A18765" s="1">
        <v>5.0</v>
      </c>
      <c r="B18765" s="1" t="s">
        <v>18459</v>
      </c>
      <c r="C18765" t="str">
        <f>IFERROR(__xludf.DUMMYFUNCTION("GOOGLETRANSLATE(B18765, ""fr"", ""en"")"),"Cable quality Very good value")</f>
        <v>Cable quality Very good value</v>
      </c>
    </row>
    <row r="18766">
      <c r="A18766" s="1">
        <v>5.0</v>
      </c>
      <c r="B18766" s="1" t="s">
        <v>18460</v>
      </c>
      <c r="C18766" t="str">
        <f>IFERROR(__xludf.DUMMYFUNCTION("GOOGLETRANSLATE(B18766, ""fr"", ""en"")"),"Impeccable! I love my coffee! Now 6 months since I use it and it is perfect. I must admit it seemed huge when I lai received and it is true that it takes up more space than the other but it did not interfere in the end. Heater temperature quickly and reli"&amp;"ably. Agrees with all the preparations of hot drink with the temperature of choice (this is the first reason for my choice for this). The little bell alert is not aggressive and function stay warm can be handy. I buy black because I find it absurd to put "&amp;"up to 30 euros more to have it in turquoise but it is very beautiful. I recommend this product without hesitation.")</f>
        <v>Impeccable! I love my coffee! Now 6 months since I use it and it is perfect. I must admit it seemed huge when I lai received and it is true that it takes up more space than the other but it did not interfere in the end. Heater temperature quickly and reliably. Agrees with all the preparations of hot drink with the temperature of choice (this is the first reason for my choice for this). The little bell alert is not aggressive and function stay warm can be handy. I buy black because I find it absurd to put up to 30 euros more to have it in turquoise but it is very beautiful. I recommend this product without hesitation.</v>
      </c>
    </row>
    <row r="18767">
      <c r="A18767" s="1">
        <v>5.0</v>
      </c>
      <c r="B18767" s="1" t="s">
        <v>18461</v>
      </c>
      <c r="C18767" t="str">
        <f>IFERROR(__xludf.DUMMYFUNCTION("GOOGLETRANSLATE(B18767, ""fr"", ""en"")"),"The north face Complies description..tient super hot ..")</f>
        <v>The north face Complies description..tient super hot ..</v>
      </c>
    </row>
    <row r="18768">
      <c r="A18768" s="1">
        <v>5.0</v>
      </c>
      <c r="B18768" s="1" t="s">
        <v>18462</v>
      </c>
      <c r="C18768" t="str">
        <f>IFERROR(__xludf.DUMMYFUNCTION("GOOGLETRANSLATE(B18768, ""fr"", ""en"")"),"Light as expected, soft material and thin, good cut, comfortable to wear, jogging pants as we expected.")</f>
        <v>Light as expected, soft material and thin, good cut, comfortable to wear, jogging pants as we expected.</v>
      </c>
    </row>
    <row r="18769">
      <c r="A18769" s="1">
        <v>5.0</v>
      </c>
      <c r="B18769" s="1" t="s">
        <v>18463</v>
      </c>
      <c r="C18769" t="str">
        <f>IFERROR(__xludf.DUMMYFUNCTION("GOOGLETRANSLATE(B18769, ""fr"", ""en"")"),"Perfect and good size perfect for Short put under dresses, skirts or playing sports by against I took a size up bogging comments And I will not have the sizes are perfect and I end up with shorts perfect but a little too big !!! Take your size and the nee"&amp;"d of the size above is that you made the size above!")</f>
        <v>Perfect and good size perfect for Short put under dresses, skirts or playing sports by against I took a size up bogging comments And I will not have the sizes are perfect and I end up with shorts perfect but a little too big !!! Take your size and the need of the size above is that you made the size above!</v>
      </c>
    </row>
    <row r="18770">
      <c r="A18770" s="1">
        <v>5.0</v>
      </c>
      <c r="B18770" s="1" t="s">
        <v>18464</v>
      </c>
      <c r="C18770" t="str">
        <f>IFERROR(__xludf.DUMMYFUNCTION("GOOGLETRANSLATE(B18770, ""fr"", ""en"")"),"Super Super for mixing powdered baby milk. We use a thickening powder and it does no lumps with this mixer")</f>
        <v>Super Super for mixing powdered baby milk. We use a thickening powder and it does no lumps with this mixer</v>
      </c>
    </row>
    <row r="18771">
      <c r="A18771" s="1">
        <v>5.0</v>
      </c>
      <c r="B18771" s="1" t="s">
        <v>18465</v>
      </c>
      <c r="C18771" t="str">
        <f>IFERROR(__xludf.DUMMYFUNCTION("GOOGLETRANSLATE(B18771, ""fr"", ""en"")"),"Effective. I bought the black vibrator (first version) in March and it functions properly. It takes some time and does not have to be reloaded each time. I only use the continuous mode, but there are 10 different for each finds his taste. The texture is n"&amp;"ice and does not necessarily need to be lubricated. There is little noise to use and cleans up very quickly. I recommend it.")</f>
        <v>Effective. I bought the black vibrator (first version) in March and it functions properly. It takes some time and does not have to be reloaded each time. I only use the continuous mode, but there are 10 different for each finds his taste. The texture is nice and does not necessarily need to be lubricated. There is little noise to use and cleans up very quickly. I recommend it.</v>
      </c>
    </row>
    <row r="18772">
      <c r="A18772" s="1">
        <v>5.0</v>
      </c>
      <c r="B18772" s="1" t="s">
        <v>18466</v>
      </c>
      <c r="C18772" t="str">
        <f>IFERROR(__xludf.DUMMYFUNCTION("GOOGLETRANSLATE(B18772, ""fr"", ""en"")"),"Satisfied Use for back pain, relieve back pain")</f>
        <v>Satisfied Use for back pain, relieve back pain</v>
      </c>
    </row>
    <row r="18773">
      <c r="A18773" s="1">
        <v>2.0</v>
      </c>
      <c r="B18773" s="1" t="s">
        <v>18467</v>
      </c>
      <c r="C18773" t="str">
        <f>IFERROR(__xludf.DUMMYFUNCTION("GOOGLETRANSLATE(B18773, ""fr"", ""en"")"),"Takes Very comfortable super color water but not waterproof as said foot wet while it was only the morning rose")</f>
        <v>Takes Very comfortable super color water but not waterproof as said foot wet while it was only the morning rose</v>
      </c>
    </row>
    <row r="18774">
      <c r="A18774" s="1">
        <v>1.0</v>
      </c>
      <c r="B18774" s="1" t="s">
        <v>18468</v>
      </c>
      <c r="C18774" t="str">
        <f>IFERROR(__xludf.DUMMYFUNCTION("GOOGLETRANSLATE(B18774, ""fr"", ""en"")"),"I do not like I like it at all I do not expect that it's huge 😤")</f>
        <v>I do not like I like it at all I do not expect that it's huge 😤</v>
      </c>
    </row>
    <row r="18775">
      <c r="A18775" s="1">
        <v>1.0</v>
      </c>
      <c r="B18775" s="1" t="s">
        <v>18469</v>
      </c>
      <c r="C18775" t="str">
        <f>IFERROR(__xludf.DUMMYFUNCTION("GOOGLETRANSLATE(B18775, ""fr"", ""en"")"),"Too bad the plastic paving stones dislodged from the base after a few days, because the plastic clogs are comfortable to wear. I 've returned to Amazon for a refund.")</f>
        <v>Too bad the plastic paving stones dislodged from the base after a few days, because the plastic clogs are comfortable to wear. I 've returned to Amazon for a refund.</v>
      </c>
    </row>
    <row r="18776">
      <c r="A18776" s="1">
        <v>3.0</v>
      </c>
      <c r="B18776" s="1" t="s">
        <v>18470</v>
      </c>
      <c r="C18776" t="str">
        <f>IFERROR(__xludf.DUMMYFUNCTION("GOOGLETRANSLATE(B18776, ""fr"", ""en"")"),"Beautiful shoes that cut too large. The pair of shoes size too large it had never happened or it is of good quality.")</f>
        <v>Beautiful shoes that cut too large. The pair of shoes size too large it had never happened or it is of good quality.</v>
      </c>
    </row>
    <row r="18777">
      <c r="A18777" s="1">
        <v>3.0</v>
      </c>
      <c r="B18777" s="1" t="s">
        <v>18471</v>
      </c>
      <c r="C18777" t="str">
        <f>IFERROR(__xludf.DUMMYFUNCTION("GOOGLETRANSLATE(B18777, ""fr"", ""en"")"),"Once reattached, basketball very well for the price. Comes off at the end of one week on the front, forced reattached. if not comfortable. Very good .")</f>
        <v>Once reattached, basketball very well for the price. Comes off at the end of one week on the front, forced reattached. if not comfortable. Very good .</v>
      </c>
    </row>
    <row r="18778">
      <c r="A18778" s="1">
        <v>4.0</v>
      </c>
      <c r="B18778" s="1" t="s">
        <v>18472</v>
      </c>
      <c r="C18778" t="str">
        <f>IFERROR(__xludf.DUMMYFUNCTION("GOOGLETRANSLATE(B18778, ""fr"", ""en"")"),"Bel purchase Very good")</f>
        <v>Bel purchase Very good</v>
      </c>
    </row>
    <row r="18779">
      <c r="A18779" s="1">
        <v>4.0</v>
      </c>
      <c r="B18779" s="1" t="s">
        <v>18473</v>
      </c>
      <c r="C18779" t="str">
        <f>IFERROR(__xludf.DUMMYFUNCTION("GOOGLETRANSLATE(B18779, ""fr"", ""en"")"),"Comfortable, convenient This sports pants are very comfortable, it does not limit the movements, it is also padded thus usable in winter and shoulder season. The cup in the pelvis is very basic and not super flattering on me, but hey, that's fine. I let y"&amp;"ou judge the photos. To go to table tennis is impeccable.")</f>
        <v>Comfortable, convenient This sports pants are very comfortable, it does not limit the movements, it is also padded thus usable in winter and shoulder season. The cup in the pelvis is very basic and not super flattering on me, but hey, that's fine. I let you judge the photos. To go to table tennis is impeccable.</v>
      </c>
    </row>
    <row r="18780">
      <c r="A18780" s="1">
        <v>4.0</v>
      </c>
      <c r="B18780" s="1" t="s">
        <v>18474</v>
      </c>
      <c r="C18780" t="str">
        <f>IFERROR(__xludf.DUMMYFUNCTION("GOOGLETRANSLATE(B18780, ""fr"", ""en"")"),"Nice and pretty for the value for money it is high jolli and feminine, very comfortable material. normal size to order because it is not too sticky I recommend")</f>
        <v>Nice and pretty for the value for money it is high jolli and feminine, very comfortable material. normal size to order because it is not too sticky I recommend</v>
      </c>
    </row>
    <row r="18781">
      <c r="A18781" s="1">
        <v>4.0</v>
      </c>
      <c r="B18781" s="1" t="s">
        <v>18475</v>
      </c>
      <c r="C18781" t="str">
        <f>IFERROR(__xludf.DUMMYFUNCTION("GOOGLETRANSLATE(B18781, ""fr"", ""en"")"),"Roland RH-5 Headphones HiFi Listen impeccable from a digital piano Roland F-140R but I wish I could adjust volume with a knob on the cable. I'm very happy ... but do not expect harmonic Steinway or Fazioli with a digital piano course.")</f>
        <v>Roland RH-5 Headphones HiFi Listen impeccable from a digital piano Roland F-140R but I wish I could adjust volume with a knob on the cable. I'm very happy ... but do not expect harmonic Steinway or Fazioli with a digital piano course.</v>
      </c>
    </row>
    <row r="18782">
      <c r="A18782" s="1">
        <v>5.0</v>
      </c>
      <c r="B18782" s="1" t="s">
        <v>18476</v>
      </c>
      <c r="C18782" t="str">
        <f>IFERROR(__xludf.DUMMYFUNCTION("GOOGLETRANSLATE(B18782, ""fr"", ""en"")"),"okay okay Product")</f>
        <v>okay okay Product</v>
      </c>
    </row>
    <row r="18783">
      <c r="A18783" s="1">
        <v>5.0</v>
      </c>
      <c r="B18783" s="1" t="s">
        <v>18477</v>
      </c>
      <c r="C18783" t="str">
        <f>IFERROR(__xludf.DUMMYFUNCTION("GOOGLETRANSLATE(B18783, ""fr"", ""en"")"),"Good Ecouteurs no son at the top. Easy connection to the smartphone. The sound is good, not too loud. They are comfortable. The charger is easy to access and portable.")</f>
        <v>Good Ecouteurs no son at the top. Easy connection to the smartphone. The sound is good, not too loud. They are comfortable. The charger is easy to access and portable.</v>
      </c>
    </row>
    <row r="18784">
      <c r="A18784" s="1">
        <v>5.0</v>
      </c>
      <c r="B18784" s="1" t="s">
        <v>18478</v>
      </c>
      <c r="C18784" t="str">
        <f>IFERROR(__xludf.DUMMYFUNCTION("GOOGLETRANSLATE(B18784, ""fr"", ""en"")"),"No faults and very practical. Nothing to say, very useful in the case of mothers mini ITX boards that often have only taken 2 fans. With the duplicator, all ventilos Corsair Obsidian 250D my find themselves controlled via the motherboard. In addition, the"&amp;" cladding is of sufficient quality and adds an aesthetic benefit!")</f>
        <v>No faults and very practical. Nothing to say, very useful in the case of mothers mini ITX boards that often have only taken 2 fans. With the duplicator, all ventilos Corsair Obsidian 250D my find themselves controlled via the motherboard. In addition, the cladding is of sufficient quality and adds an aesthetic benefit!</v>
      </c>
    </row>
    <row r="18785">
      <c r="A18785" s="1">
        <v>5.0</v>
      </c>
      <c r="B18785" s="1" t="s">
        <v>18479</v>
      </c>
      <c r="C18785" t="str">
        <f>IFERROR(__xludf.DUMMYFUNCTION("GOOGLETRANSLATE(B18785, ""fr"", ""en"")"),"effective small diffuser cute beautiful beautiful imitation very easy to use effective")</f>
        <v>effective small diffuser cute beautiful beautiful imitation very easy to use effective</v>
      </c>
    </row>
    <row r="18786">
      <c r="A18786" s="1">
        <v>5.0</v>
      </c>
      <c r="B18786" s="1" t="s">
        <v>18480</v>
      </c>
      <c r="C18786" t="str">
        <f>IFERROR(__xludf.DUMMYFUNCTION("GOOGLETRANSLATE(B18786, ""fr"", ""en"")"),"Very comfortable and great design I love my Adidas I wear with my blue jeans almost every day. Really cheap.")</f>
        <v>Very comfortable and great design I love my Adidas I wear with my blue jeans almost every day. Really cheap.</v>
      </c>
    </row>
    <row r="18787">
      <c r="A18787" s="1">
        <v>5.0</v>
      </c>
      <c r="B18787" s="1" t="s">
        <v>18481</v>
      </c>
      <c r="C18787" t="str">
        <f>IFERROR(__xludf.DUMMYFUNCTION("GOOGLETRANSLATE(B18787, ""fr"", ""en"")"),"Excellent! Fast delivery and the product fits the description. Thank you!")</f>
        <v>Excellent! Fast delivery and the product fits the description. Thank you!</v>
      </c>
    </row>
    <row r="18788">
      <c r="A18788" s="1">
        <v>5.0</v>
      </c>
      <c r="B18788" s="1" t="s">
        <v>18482</v>
      </c>
      <c r="C18788" t="str">
        <f>IFERROR(__xludf.DUMMYFUNCTION("GOOGLETRANSLATE(B18788, ""fr"", ""en"")"),"Super Brand I already knew .... flawless")</f>
        <v>Super Brand I already knew .... flawless</v>
      </c>
    </row>
    <row r="18789">
      <c r="A18789" s="1">
        <v>5.0</v>
      </c>
      <c r="B18789" s="1" t="s">
        <v>18483</v>
      </c>
      <c r="C18789" t="str">
        <f>IFERROR(__xludf.DUMMYFUNCTION("GOOGLETRANSLATE(B18789, ""fr"", ""en"")"),"Fast delivery very good, practical, however very noisy! Warning periphery is very hot metal because")</f>
        <v>Fast delivery very good, practical, however very noisy! Warning periphery is very hot metal because</v>
      </c>
    </row>
    <row r="18790">
      <c r="A18790" s="1">
        <v>5.0</v>
      </c>
      <c r="B18790" s="1" t="s">
        <v>18484</v>
      </c>
      <c r="C18790" t="str">
        <f>IFERROR(__xludf.DUMMYFUNCTION("GOOGLETRANSLATE(B18790, ""fr"", ""en"")"),"SUPERB !! Received 36 hours after the order, perfectly packaged. Regarding the coffee, it is simply GORGEOUS !! Very nice, very quiet, fast, little more, programming is done in a wink ... I have not even opened the booklet provided. RUSSELL HOBBS thank yo"&amp;"u !!")</f>
        <v>SUPERB !! Received 36 hours after the order, perfectly packaged. Regarding the coffee, it is simply GORGEOUS !! Very nice, very quiet, fast, little more, programming is done in a wink ... I have not even opened the booklet provided. RUSSELL HOBBS thank you !!</v>
      </c>
    </row>
    <row r="18791">
      <c r="A18791" s="1">
        <v>5.0</v>
      </c>
      <c r="B18791" s="1" t="s">
        <v>18485</v>
      </c>
      <c r="C18791" t="str">
        <f>IFERROR(__xludf.DUMMYFUNCTION("GOOGLETRANSLATE(B18791, ""fr"", ""en"")"),"👍🏻 Super pretty. On top of that it is really comfortable and light. I recommend !")</f>
        <v>👍🏻 Super pretty. On top of that it is really comfortable and light. I recommend !</v>
      </c>
    </row>
    <row r="18792">
      <c r="A18792" s="1">
        <v>5.0</v>
      </c>
      <c r="B18792" s="1" t="s">
        <v>18486</v>
      </c>
      <c r="C18792" t="str">
        <f>IFERROR(__xludf.DUMMYFUNCTION("GOOGLETRANSLATE(B18792, ""fr"", ""en"")"),"Quality is at the appointment I am a daily user kettle 0,5l compact at home and at work, so I was looking for a model with stainless steel tank for frequent use. The reception of the object already gives confidence, the quality is perfect, then the operat"&amp;"ion with 4 levels of heating is great, I use it for 3 weeks with great satisfaction. A call because guarantee of a crack in the tank after 2 months of use has been well treated, very good after sales service.")</f>
        <v>Quality is at the appointment I am a daily user kettle 0,5l compact at home and at work, so I was looking for a model with stainless steel tank for frequent use. The reception of the object already gives confidence, the quality is perfect, then the operation with 4 levels of heating is great, I use it for 3 weeks with great satisfaction. A call because guarantee of a crack in the tank after 2 months of use has been well treated, very good after sales service.</v>
      </c>
    </row>
    <row r="18793">
      <c r="A18793" s="1">
        <v>5.0</v>
      </c>
      <c r="B18793" s="1" t="s">
        <v>18487</v>
      </c>
      <c r="C18793" t="str">
        <f>IFERROR(__xludf.DUMMYFUNCTION("GOOGLETRANSLATE(B18793, ""fr"", ""en"")"),"A comfortable and well maintained items of very good quality, slightly tight in size, but they are only slippers ... when was the foot, the arch is ideal. Another small flaw textile material stuffed a lot in the beginning and are sown the ""kitties"" colo"&amp;"red throughout the house, but are only slight defects soon forgotten")</f>
        <v>A comfortable and well maintained items of very good quality, slightly tight in size, but they are only slippers ... when was the foot, the arch is ideal. Another small flaw textile material stuffed a lot in the beginning and are sown the "kitties" colored throughout the house, but are only slight defects soon forgotten</v>
      </c>
    </row>
    <row r="18794">
      <c r="A18794" s="1">
        <v>5.0</v>
      </c>
      <c r="B18794" s="1" t="s">
        <v>18488</v>
      </c>
      <c r="C18794" t="str">
        <f>IFERROR(__xludf.DUMMYFUNCTION("GOOGLETRANSLATE(B18794, ""fr"", ""en"")"),"Grand inimitable classic, the lay do not disappoint. Happening everywhere, they are really nice. Perfect for work, around town, ... Attention, the white model is messy.")</f>
        <v>Grand inimitable classic, the lay do not disappoint. Happening everywhere, they are really nice. Perfect for work, around town, ... Attention, the white model is messy.</v>
      </c>
    </row>
    <row r="18795">
      <c r="A18795" s="1">
        <v>5.0</v>
      </c>
      <c r="B18795" s="1" t="s">
        <v>18489</v>
      </c>
      <c r="C18795" t="str">
        <f>IFERROR(__xludf.DUMMYFUNCTION("GOOGLETRANSLATE(B18795, ""fr"", ""en"")"),"Lot 8 pairs of socks I recommend this pack of socks. The price is satisfactory and socks are of good quality and it's tough.")</f>
        <v>Lot 8 pairs of socks I recommend this pack of socks. The price is satisfactory and socks are of good quality and it's tough.</v>
      </c>
    </row>
    <row r="18796">
      <c r="A18796" s="1">
        <v>5.0</v>
      </c>
      <c r="B18796" s="1" t="s">
        <v>18490</v>
      </c>
      <c r="C18796" t="str">
        <f>IFERROR(__xludf.DUMMYFUNCTION("GOOGLETRANSLATE(B18796, ""fr"", ""en"")"),"Very good gift The bracelet comes in a nice box If you want to offer, it is lightweight and easy to put on, very bright it is just perfect, it is not too suitable for women wrist")</f>
        <v>Very good gift The bracelet comes in a nice box If you want to offer, it is lightweight and easy to put on, very bright it is just perfect, it is not too suitable for women wrist</v>
      </c>
    </row>
    <row r="18797">
      <c r="A18797" s="1">
        <v>2.0</v>
      </c>
      <c r="B18797" s="1" t="s">
        <v>18491</v>
      </c>
      <c r="C18797" t="str">
        <f>IFERROR(__xludf.DUMMYFUNCTION("GOOGLETRANSLATE(B18797, ""fr"", ""en"")"),"Too tight ... despite the different combinations possible ... I could not find an optimal configuration for the loops or too tight or too loose, plus I bought several pairs to fit all my shoes !!! I had to turn to another brand with elastic laces of diffe"&amp;"rent size that clamp least without being too loose and are cheaper.")</f>
        <v>Too tight ... despite the different combinations possible ... I could not find an optimal configuration for the loops or too tight or too loose, plus I bought several pairs to fit all my shoes !!! I had to turn to another brand with elastic laces of different size that clamp least without being too loose and are cheaper.</v>
      </c>
    </row>
    <row r="18798">
      <c r="A18798" s="1">
        <v>1.0</v>
      </c>
      <c r="B18798" s="1" t="s">
        <v>18492</v>
      </c>
      <c r="C18798" t="str">
        <f>IFERROR(__xludf.DUMMYFUNCTION("GOOGLETRANSLATE(B18798, ""fr"", ""en"")"),"surely a counterfeit I get this watch that I had ever had before, I opened the package, called out this show and there .... the figure for the month is illegible, the largest circles does not work and the led more than palote .... From there to think that"&amp;" this watch is an imitation casio. I really do not board this purchase")</f>
        <v>surely a counterfeit I get this watch that I had ever had before, I opened the package, called out this show and there .... the figure for the month is illegible, the largest circles does not work and the led more than palote .... From there to think that this watch is an imitation casio. I really do not board this purchase</v>
      </c>
    </row>
    <row r="18799">
      <c r="A18799" s="1">
        <v>1.0</v>
      </c>
      <c r="B18799" s="1" t="s">
        <v>18493</v>
      </c>
      <c r="C18799" t="str">
        <f>IFERROR(__xludf.DUMMYFUNCTION("GOOGLETRANSLATE(B18799, ""fr"", ""en"")"),"Unfortunately very low product j been disappointed by the quality of the earphone. The maximum sound level is too low. The quality of voice received by your not good interloculeur. A CHAQ call my interlocutor reclame the qualote my voice that we speak too"&amp;" far. The battery will discharge very quickly. The bleutheoot of connection strength is very low. Mm 3 m not they already begin cuts")</f>
        <v>Unfortunately very low product j been disappointed by the quality of the earphone. The maximum sound level is too low. The quality of voice received by your not good interloculeur. A CHAQ call my interlocutor reclame the qualote my voice that we speak too far. The battery will discharge very quickly. The bleutheoot of connection strength is very low. Mm 3 m not they already begin cuts</v>
      </c>
    </row>
    <row r="18800">
      <c r="A18800" s="1">
        <v>3.0</v>
      </c>
      <c r="B18800" s="1" t="s">
        <v>18494</v>
      </c>
      <c r="C18800" t="str">
        <f>IFERROR(__xludf.DUMMYFUNCTION("GOOGLETRANSLATE(B18800, ""fr"", ""en"")"),"Very practical and very light, but ... we could forget that we have these headphones in each ear! Very light and very stable, they seem perfect for sports. I ran and lifted the iron with, at no time did they bothered me. Unfortunately, the sound quality i"&amp;"s not at the rendezvous: the treble and midrange are predominant and the low almost completely absent, despite the settings on my smartphone (which they are paired perfectly). Too bad, because other manufacturers of headsets offer better sound ... So, not"&amp;" bad product, very practical, well designed, but the primary function is to reproduce sound, it is far from perfect ...")</f>
        <v>Very practical and very light, but ... we could forget that we have these headphones in each ear! Very light and very stable, they seem perfect for sports. I ran and lifted the iron with, at no time did they bothered me. Unfortunately, the sound quality is not at the rendezvous: the treble and midrange are predominant and the low almost completely absent, despite the settings on my smartphone (which they are paired perfectly). Too bad, because other manufacturers of headsets offer better sound ... So, not bad product, very practical, well designed, but the primary function is to reproduce sound, it is far from perfect ...</v>
      </c>
    </row>
    <row r="18801">
      <c r="A18801" s="1">
        <v>3.0</v>
      </c>
      <c r="B18801" s="1" t="s">
        <v>18495</v>
      </c>
      <c r="C18801" t="str">
        <f>IFERROR(__xludf.DUMMYFUNCTION("GOOGLETRANSLATE(B18801, ""fr"", ""en"")"),"Casio F-91W-man 1DG Three stars for the good quality / price ratio. But watch this show called ""Men"" to a bracelet of intermediate length between a woman and a man model model. I did not especially large wrists and am on the last centimeters of the brac"&amp;"elet. The shows tend to be shifted and am often in the process of replacing it. For the cheap that serves only job and I would not cry if it breaks it's fine. Other concerns, the buttons are too sensitive and lighting is it totally ineffective.")</f>
        <v>Casio F-91W-man 1DG Three stars for the good quality / price ratio. But watch this show called "Men" to a bracelet of intermediate length between a woman and a man model model. I did not especially large wrists and am on the last centimeters of the bracelet. The shows tend to be shifted and am often in the process of replacing it. For the cheap that serves only job and I would not cry if it breaks it's fine. Other concerns, the buttons are too sensitive and lighting is it totally ineffective.</v>
      </c>
    </row>
    <row r="18802">
      <c r="A18802" s="1">
        <v>4.0</v>
      </c>
      <c r="B18802" s="1" t="s">
        <v>18496</v>
      </c>
      <c r="C18802" t="str">
        <f>IFERROR(__xludf.DUMMYFUNCTION("GOOGLETRANSLATE(B18802, ""fr"", ""en"")"),"cool Wedding")</f>
        <v>cool Wedding</v>
      </c>
    </row>
    <row r="18803">
      <c r="A18803" s="1">
        <v>4.0</v>
      </c>
      <c r="B18803" s="1" t="s">
        <v>18497</v>
      </c>
      <c r="C18803" t="str">
        <f>IFERROR(__xludf.DUMMYFUNCTION("GOOGLETRANSLATE(B18803, ""fr"", ""en"")"),"Quick tb")</f>
        <v>Quick tb</v>
      </c>
    </row>
    <row r="18804">
      <c r="A18804" s="1">
        <v>4.0</v>
      </c>
      <c r="B18804" s="1" t="s">
        <v>18498</v>
      </c>
      <c r="C18804" t="str">
        <f>IFERROR(__xludf.DUMMYFUNCTION("GOOGLETRANSLATE(B18804, ""fr"", ""en"")"),"Super Pouch This pouch is perfect for putting maps service and u phone. There are several small compartment inside it's great not that it does not become a mess inside. Very discreet under clothing. In short I highly recommend.")</f>
        <v>Super Pouch This pouch is perfect for putting maps service and u phone. There are several small compartment inside it's great not that it does not become a mess inside. Very discreet under clothing. In short I highly recommend.</v>
      </c>
    </row>
    <row r="18805">
      <c r="A18805" s="1">
        <v>4.0</v>
      </c>
      <c r="B18805" s="1" t="s">
        <v>18499</v>
      </c>
      <c r="C18805" t="str">
        <f>IFERROR(__xludf.DUMMYFUNCTION("GOOGLETRANSLATE(B18805, ""fr"", ""en"")"),"Very good product very good product, the battery takes 8 am rather than 6 am, which is great! Earphones that works very well !! I recommend")</f>
        <v>Very good product very good product, the battery takes 8 am rather than 6 am, which is great! Earphones that works very well !! I recommend</v>
      </c>
    </row>
    <row r="18806">
      <c r="A18806" s="1">
        <v>5.0</v>
      </c>
      <c r="B18806" s="1" t="s">
        <v>18500</v>
      </c>
      <c r="C18806" t="str">
        <f>IFERROR(__xludf.DUMMYFUNCTION("GOOGLETRANSLATE(B18806, ""fr"", ""en"")"),"Pleasant surprise for the price Basketball Summer mesh on top, very comfortable, sole bubble that well absorbs the foot, and beautiful enough on foot, surprised at this quality at this price")</f>
        <v>Pleasant surprise for the price Basketball Summer mesh on top, very comfortable, sole bubble that well absorbs the foot, and beautiful enough on foot, surprised at this quality at this price</v>
      </c>
    </row>
    <row r="18807">
      <c r="A18807" s="1">
        <v>5.0</v>
      </c>
      <c r="B18807" s="1" t="s">
        <v>18501</v>
      </c>
      <c r="C18807" t="str">
        <f>IFERROR(__xludf.DUMMYFUNCTION("GOOGLETRANSLATE(B18807, ""fr"", ""en"")"),"Pretty decent time shows aesthetic Jolie shows estherque")</f>
        <v>Pretty decent time shows aesthetic Jolie shows estherque</v>
      </c>
    </row>
    <row r="18808">
      <c r="A18808" s="1">
        <v>5.0</v>
      </c>
      <c r="B18808" s="1" t="s">
        <v>18502</v>
      </c>
      <c r="C18808" t="str">
        <f>IFERROR(__xludf.DUMMYFUNCTION("GOOGLETRANSLATE(B18808, ""fr"", ""en"")"),"good helmet it is a very good headset for the price, too bad there is no microphone to communicate with a smartphone")</f>
        <v>good helmet it is a very good headset for the price, too bad there is no microphone to communicate with a smartphone</v>
      </c>
    </row>
    <row r="18809">
      <c r="A18809" s="1">
        <v>5.0</v>
      </c>
      <c r="B18809" s="1" t="s">
        <v>18503</v>
      </c>
      <c r="C18809" t="str">
        <f>IFERROR(__xludf.DUMMYFUNCTION("GOOGLETRANSLATE(B18809, ""fr"", ""en"")"),"NOT VERY SWEET")</f>
        <v>NOT VERY SWEET</v>
      </c>
    </row>
    <row r="18810">
      <c r="A18810" s="1">
        <v>5.0</v>
      </c>
      <c r="B18810" s="1" t="s">
        <v>18504</v>
      </c>
      <c r="C18810" t="str">
        <f>IFERROR(__xludf.DUMMYFUNCTION("GOOGLETRANSLATE(B18810, ""fr"", ""en"")"),"Petticoat retro I'm happy with my purchase. This skirt is of good quality, the high elastic fabric is comfortable to wear, down stiff tulle to give volume to retro dresses.")</f>
        <v>Petticoat retro I'm happy with my purchase. This skirt is of good quality, the high elastic fabric is comfortable to wear, down stiff tulle to give volume to retro dresses.</v>
      </c>
    </row>
    <row r="18811">
      <c r="A18811" s="1">
        <v>5.0</v>
      </c>
      <c r="B18811" s="1" t="s">
        <v>18505</v>
      </c>
      <c r="C18811" t="str">
        <f>IFERROR(__xludf.DUMMYFUNCTION("GOOGLETRANSLATE(B18811, ""fr"", ""en"")"),"Size Hard to put consistent superb quality product if not all brand products")</f>
        <v>Size Hard to put consistent superb quality product if not all brand products</v>
      </c>
    </row>
    <row r="18812">
      <c r="A18812" s="1">
        <v>5.0</v>
      </c>
      <c r="B18812" s="1" t="s">
        <v>1261</v>
      </c>
      <c r="C18812" t="str">
        <f>IFERROR(__xludf.DUMMYFUNCTION("GOOGLETRANSLATE(B18812, ""fr"", ""en"")"),"good good")</f>
        <v>good good</v>
      </c>
    </row>
    <row r="18813">
      <c r="A18813" s="1">
        <v>5.0</v>
      </c>
      <c r="B18813" s="1" t="s">
        <v>18506</v>
      </c>
      <c r="C18813" t="str">
        <f>IFERROR(__xludf.DUMMYFUNCTION("GOOGLETRANSLATE(B18813, ""fr"", ""en"")"),"white converse love converse j, super model, comfort, and perfect size remains messy but washes a great advisor Machine")</f>
        <v>white converse love converse j, super model, comfort, and perfect size remains messy but washes a great advisor Machine</v>
      </c>
    </row>
    <row r="18814">
      <c r="A18814" s="1">
        <v>5.0</v>
      </c>
      <c r="B18814" s="1" t="s">
        <v>18507</v>
      </c>
      <c r="C18814" t="str">
        <f>IFERROR(__xludf.DUMMYFUNCTION("GOOGLETRANSLATE(B18814, ""fr"", ""en"")"),"Watch nice Very nice report quality very well I re order gift price small price identical to the description beautiful dial wur orange background I re order")</f>
        <v>Watch nice Very nice report quality very well I re order gift price small price identical to the description beautiful dial wur orange background I re order</v>
      </c>
    </row>
    <row r="18815">
      <c r="A18815" s="1">
        <v>5.0</v>
      </c>
      <c r="B18815" s="1" t="s">
        <v>18508</v>
      </c>
      <c r="C18815" t="str">
        <f>IFERROR(__xludf.DUMMYFUNCTION("GOOGLETRANSLATE(B18815, ""fr"", ""en"")"),"certified authentic Model Timberland Received it a few days ago, I am satisfied with the product. After reading some reviews, I decided to go to a Timberland store for me the authenticity of shoes, shop confirmed. they do not actually have the r above the"&amp;" logo, but good numbers do not store well. It depends on the models. I recommend.")</f>
        <v>certified authentic Model Timberland Received it a few days ago, I am satisfied with the product. After reading some reviews, I decided to go to a Timberland store for me the authenticity of shoes, shop confirmed. they do not actually have the r above the logo, but good numbers do not store well. It depends on the models. I recommend.</v>
      </c>
    </row>
    <row r="18816">
      <c r="A18816" s="1">
        <v>5.0</v>
      </c>
      <c r="B18816" s="1" t="s">
        <v>18509</v>
      </c>
      <c r="C18816" t="str">
        <f>IFERROR(__xludf.DUMMYFUNCTION("GOOGLETRANSLATE(B18816, ""fr"", ""en"")"),"Ease of use and storage box that serves as a charging cradle For very light days the sound is of very good quality ranks well in its box that also serves to recharge the headphones, there are the tips of several size s to your ear, easily connect the phon"&amp;"e I recommend")</f>
        <v>Ease of use and storage box that serves as a charging cradle For very light days the sound is of very good quality ranks well in its box that also serves to recharge the headphones, there are the tips of several size s to your ear, easily connect the phone I recommend</v>
      </c>
    </row>
    <row r="18817">
      <c r="A18817" s="1">
        <v>5.0</v>
      </c>
      <c r="B18817" s="1" t="s">
        <v>18510</v>
      </c>
      <c r="C18817" t="str">
        <f>IFERROR(__xludf.DUMMYFUNCTION("GOOGLETRANSLATE(B18817, ""fr"", ""en"")"),"PERFECT Perfect size, very wearable fabric, well maintained, beautiful short, very satisfied with my purchase, I recommend this product")</f>
        <v>PERFECT Perfect size, very wearable fabric, well maintained, beautiful short, very satisfied with my purchase, I recommend this product</v>
      </c>
    </row>
    <row r="18818">
      <c r="A18818" s="1">
        <v>5.0</v>
      </c>
      <c r="B18818" s="1" t="s">
        <v>18511</v>
      </c>
      <c r="C18818" t="str">
        <f>IFERROR(__xludf.DUMMYFUNCTION("GOOGLETRANSLATE(B18818, ""fr"", ""en"")"),"Very handy handy for the garden they protect very well! They Shoe a little big but are very durable and good quality")</f>
        <v>Very handy handy for the garden they protect very well! They Shoe a little big but are very durable and good quality</v>
      </c>
    </row>
    <row r="18819">
      <c r="A18819" s="1">
        <v>5.0</v>
      </c>
      <c r="B18819" s="1" t="s">
        <v>18512</v>
      </c>
      <c r="C18819" t="str">
        <f>IFERROR(__xludf.DUMMYFUNCTION("GOOGLETRANSLATE(B18819, ""fr"", ""en"")"),"Council Meets picture: You're doing 40 shoe - Take 41.")</f>
        <v>Council Meets picture: You're doing 40 shoe - Take 41.</v>
      </c>
    </row>
    <row r="18820">
      <c r="A18820" s="1">
        <v>5.0</v>
      </c>
      <c r="B18820" s="1" t="s">
        <v>18513</v>
      </c>
      <c r="C18820" t="str">
        <f>IFERROR(__xludf.DUMMYFUNCTION("GOOGLETRANSLATE(B18820, ""fr"", ""en"")"),"Exactly what I expected really good too! Packaging in good condition. The mass produced well. Indeed it take qq minutes to warm up but it will. A little but bruillant good massage helps to ignore. neck massage, top and bottom of the really effective back."&amp;" I recommend!")</f>
        <v>Exactly what I expected really good too! Packaging in good condition. The mass produced well. Indeed it take qq minutes to warm up but it will. A little but bruillant good massage helps to ignore. neck massage, top and bottom of the really effective back. I recommend!</v>
      </c>
    </row>
    <row r="18821">
      <c r="A18821" s="1">
        <v>2.0</v>
      </c>
      <c r="B18821" s="1" t="s">
        <v>18514</v>
      </c>
      <c r="C18821" t="str">
        <f>IFERROR(__xludf.DUMMYFUNCTION("GOOGLETRANSLATE(B18821, ""fr"", ""en"")"),"Shipping ok but labels from peeling labels received on time, well packaged and good quality. But do not take the long term. Most of them are detached after 3 washes.")</f>
        <v>Shipping ok but labels from peeling labels received on time, well packaged and good quality. But do not take the long term. Most of them are detached after 3 washes.</v>
      </c>
    </row>
    <row r="18822">
      <c r="A18822" s="1">
        <v>1.0</v>
      </c>
      <c r="B18822" s="1" t="s">
        <v>18515</v>
      </c>
      <c r="C18822" t="str">
        <f>IFERROR(__xludf.DUMMYFUNCTION("GOOGLETRANSLATE(B18822, ""fr"", ""en"")"),"Do not order for swimming I find it incredible that this is at the top of many comparisons. For swimming, it is a very bad product. The sound is very very very small. I had to manually increase the volume of files that I listen from my computer to vaguely"&amp;" hear while swimming. There is no bass. Comfort is not as good as what design suggests. In short, it is very expensive for a product of this level ...")</f>
        <v>Do not order for swimming I find it incredible that this is at the top of many comparisons. For swimming, it is a very bad product. The sound is very very very small. I had to manually increase the volume of files that I listen from my computer to vaguely hear while swimming. There is no bass. Comfort is not as good as what design suggests. In short, it is very expensive for a product of this level ...</v>
      </c>
    </row>
    <row r="18823">
      <c r="A18823" s="1">
        <v>1.0</v>
      </c>
      <c r="B18823" s="1" t="s">
        <v>18516</v>
      </c>
      <c r="C18823" t="str">
        <f>IFERROR(__xludf.DUMMYFUNCTION("GOOGLETRANSLATE(B18823, ""fr"", ""en"")"),"Not great quality of this watch I just got mine, but is not at all my expectations, nothing to do with my previous GSCHOK !!!!")</f>
        <v>Not great quality of this watch I just got mine, but is not at all my expectations, nothing to do with my previous GSCHOK !!!!</v>
      </c>
    </row>
    <row r="18824">
      <c r="A18824" s="1">
        <v>3.0</v>
      </c>
      <c r="B18824" s="1" t="s">
        <v>18517</v>
      </c>
      <c r="C18824" t="str">
        <f>IFERROR(__xludf.DUMMYFUNCTION("GOOGLETRANSLATE(B18824, ""fr"", ""en"")"),"Just too bad that pr bonnet I will be as level juste..au turn back 3cm unless the measures bra ... otherwise maintaining ok")</f>
        <v>Just too bad that pr bonnet I will be as level juste..au turn back 3cm unless the measures bra ... otherwise maintaining ok</v>
      </c>
    </row>
    <row r="18825">
      <c r="A18825" s="1">
        <v>4.0</v>
      </c>
      <c r="B18825" s="1" t="s">
        <v>18518</v>
      </c>
      <c r="C18825" t="str">
        <f>IFERROR(__xludf.DUMMYFUNCTION("GOOGLETRANSLATE(B18825, ""fr"", ""en"")"),"no title for this product, too much choice especially with prices with big differences. dificult to do an idea to make a good choice")</f>
        <v>no title for this product, too much choice especially with prices with big differences. dificult to do an idea to make a good choice</v>
      </c>
    </row>
    <row r="18826">
      <c r="A18826" s="1">
        <v>4.0</v>
      </c>
      <c r="B18826" s="1" t="s">
        <v>2457</v>
      </c>
      <c r="C18826" t="str">
        <f>IFERROR(__xludf.DUMMYFUNCTION("GOOGLETRANSLATE(B18826, ""fr"", ""en"")"),"Ok Ok")</f>
        <v>Ok Ok</v>
      </c>
    </row>
    <row r="18827">
      <c r="A18827" s="1">
        <v>4.0</v>
      </c>
      <c r="B18827" s="1" t="s">
        <v>18519</v>
      </c>
      <c r="C18827" t="str">
        <f>IFERROR(__xludf.DUMMYFUNCTION("GOOGLETRANSLATE(B18827, ""fr"", ""en"")"),"Well suited in size but not very thick I received this leggings timely oh yes !! Amazon. The size is good, the fabric soft and very pleasant. It holds very well at the waist and does not deform. No risk of seeing off at every movement. No either knee pock"&amp;"et. What prevents me to put 5 stars is that it is a little late and not very hot.")</f>
        <v>Well suited in size but not very thick I received this leggings timely oh yes !! Amazon. The size is good, the fabric soft and very pleasant. It holds very well at the waist and does not deform. No risk of seeing off at every movement. No either knee pocket. What prevents me to put 5 stars is that it is a little late and not very hot.</v>
      </c>
    </row>
    <row r="18828">
      <c r="A18828" s="1">
        <v>4.0</v>
      </c>
      <c r="B18828" s="1" t="s">
        <v>18520</v>
      </c>
      <c r="C18828" t="str">
        <f>IFERROR(__xludf.DUMMYFUNCTION("GOOGLETRANSLATE(B18828, ""fr"", ""en"")"),"At the top I board")</f>
        <v>At the top I board</v>
      </c>
    </row>
    <row r="18829">
      <c r="A18829" s="1">
        <v>5.0</v>
      </c>
      <c r="B18829" s="1" t="s">
        <v>18521</v>
      </c>
      <c r="C18829" t="str">
        <f>IFERROR(__xludf.DUMMYFUNCTION("GOOGLETRANSLATE(B18829, ""fr"", ""en"")"),"Lacoste sweatshirt Authentic product, impeccable quality Lacoste, has commissioned eyes closed ... Thanks Amazon !!!")</f>
        <v>Lacoste sweatshirt Authentic product, impeccable quality Lacoste, has commissioned eyes closed ... Thanks Amazon !!!</v>
      </c>
    </row>
    <row r="18830">
      <c r="A18830" s="1">
        <v>5.0</v>
      </c>
      <c r="B18830" s="1" t="s">
        <v>18522</v>
      </c>
      <c r="C18830" t="str">
        <f>IFERROR(__xludf.DUMMYFUNCTION("GOOGLETRANSLATE(B18830, ""fr"", ""en"")"),"PERFECT ! A good helmet is worth its price, its correct and complete autonomy. I for 6 months and no problems. To buy without hesitation !!!!")</f>
        <v>PERFECT ! A good helmet is worth its price, its correct and complete autonomy. I for 6 months and no problems. To buy without hesitation !!!!</v>
      </c>
    </row>
    <row r="18831">
      <c r="A18831" s="1">
        <v>5.0</v>
      </c>
      <c r="B18831" s="1" t="s">
        <v>18523</v>
      </c>
      <c r="C18831" t="str">
        <f>IFERROR(__xludf.DUMMYFUNCTION("GOOGLETRANSLATE(B18831, ""fr"", ""en"")"),"Although jewelry Small hard time to summer")</f>
        <v>Although jewelry Small hard time to summer</v>
      </c>
    </row>
    <row r="18832">
      <c r="A18832" s="1">
        <v>5.0</v>
      </c>
      <c r="B18832" s="1" t="s">
        <v>18524</v>
      </c>
      <c r="C18832" t="str">
        <f>IFERROR(__xludf.DUMMYFUNCTION("GOOGLETRANSLATE(B18832, ""fr"", ""en"")"),"socks top quality and sober these sports socks are perfect for everyday wear they are discrete and comfortable")</f>
        <v>socks top quality and sober these sports socks are perfect for everyday wear they are discrete and comfortable</v>
      </c>
    </row>
    <row r="18833">
      <c r="A18833" s="1">
        <v>5.0</v>
      </c>
      <c r="B18833" s="1" t="s">
        <v>18525</v>
      </c>
      <c r="C18833" t="str">
        <f>IFERROR(__xludf.DUMMYFUNCTION("GOOGLETRANSLATE(B18833, ""fr"", ""en"")"),"Top ! Parcels received on time! very beautiful, light and easy to wash.")</f>
        <v>Top ! Parcels received on time! very beautiful, light and easy to wash.</v>
      </c>
    </row>
    <row r="18834">
      <c r="A18834" s="1">
        <v>5.0</v>
      </c>
      <c r="B18834" s="1" t="s">
        <v>18526</v>
      </c>
      <c r="C18834" t="str">
        <f>IFERROR(__xludf.DUMMYFUNCTION("GOOGLETRANSLATE(B18834, ""fr"", ""en"")"),"Super nice too convenient for me that uses mam baby bottles that can be dismantled completely easy to clean grass that dissociates from the white background")</f>
        <v>Super nice too convenient for me that uses mam baby bottles that can be dismantled completely easy to clean grass that dissociates from the white background</v>
      </c>
    </row>
    <row r="18835">
      <c r="A18835" s="1">
        <v>5.0</v>
      </c>
      <c r="B18835" s="1" t="s">
        <v>18527</v>
      </c>
      <c r="C18835" t="str">
        <f>IFERROR(__xludf.DUMMYFUNCTION("GOOGLETRANSLATE(B18835, ""fr"", ""en"")"),"The surprise I sound equipment to animate the evening with friends, and I'd need a microphone to present or facilitate during certain evenings, hence my surprise on the sound quality and adjustment of fréqences, I recommend this product it can fit on any "&amp;"kinds of tables or sound equipment, the more I valid for its value for money")</f>
        <v>The surprise I sound equipment to animate the evening with friends, and I'd need a microphone to present or facilitate during certain evenings, hence my surprise on the sound quality and adjustment of fréqences, I recommend this product it can fit on any kinds of tables or sound equipment, the more I valid for its value for money</v>
      </c>
    </row>
    <row r="18836">
      <c r="A18836" s="1">
        <v>5.0</v>
      </c>
      <c r="B18836" s="1" t="s">
        <v>18528</v>
      </c>
      <c r="C18836" t="str">
        <f>IFERROR(__xludf.DUMMYFUNCTION("GOOGLETRANSLATE(B18836, ""fr"", ""en"")"),"Good! Product lovely and no problems second pair that I ordered for a friend from the same place and will order again. Very comfortable and keeps the load.")</f>
        <v>Good! Product lovely and no problems second pair that I ordered for a friend from the same place and will order again. Very comfortable and keeps the load.</v>
      </c>
    </row>
    <row r="18837">
      <c r="A18837" s="1">
        <v>5.0</v>
      </c>
      <c r="B18837" s="1" t="s">
        <v>18529</v>
      </c>
      <c r="C18837" t="str">
        <f>IFERROR(__xludf.DUMMYFUNCTION("GOOGLETRANSLATE(B18837, ""fr"", ""en"")"),"Beautiful To offer very nice color and good quality I am delighted with my order and I recommend this seller and this article eyes closed")</f>
        <v>Beautiful To offer very nice color and good quality I am delighted with my order and I recommend this seller and this article eyes closed</v>
      </c>
    </row>
    <row r="18838">
      <c r="A18838" s="1">
        <v>5.0</v>
      </c>
      <c r="B18838" s="1" t="s">
        <v>18530</v>
      </c>
      <c r="C18838" t="str">
        <f>IFERROR(__xludf.DUMMYFUNCTION("GOOGLETRANSLATE(B18838, ""fr"", ""en"")"),"meets expectations handy device; good value for money, compact, easy to store; Not necessarily as intuitive manual, but easy when you have the habit; Beware the liquid freezing! there is a user forum!")</f>
        <v>meets expectations handy device; good value for money, compact, easy to store; Not necessarily as intuitive manual, but easy when you have the habit; Beware the liquid freezing! there is a user forum!</v>
      </c>
    </row>
    <row r="18839">
      <c r="A18839" s="1">
        <v>5.0</v>
      </c>
      <c r="B18839" s="1" t="s">
        <v>18531</v>
      </c>
      <c r="C18839" t="str">
        <f>IFERROR(__xludf.DUMMYFUNCTION("GOOGLETRANSLATE(B18839, ""fr"", ""en"")"),"Perfect I have all the colors of the converse pattern I match the color of my pants very comfortable and perfect size the only downside soles wear fast enough to heels")</f>
        <v>Perfect I have all the colors of the converse pattern I match the color of my pants very comfortable and perfect size the only downside soles wear fast enough to heels</v>
      </c>
    </row>
    <row r="18840">
      <c r="A18840" s="1">
        <v>5.0</v>
      </c>
      <c r="B18840" s="1" t="s">
        <v>18532</v>
      </c>
      <c r="C18840" t="str">
        <f>IFERROR(__xludf.DUMMYFUNCTION("GOOGLETRANSLATE(B18840, ""fr"", ""en"")"),"Super Hi this is a good product. Super .. I love. My girlfriend also likes it well. I recommend many Great For People")</f>
        <v>Super Hi this is a good product. Super .. I love. My girlfriend also likes it well. I recommend many Great For People</v>
      </c>
    </row>
    <row r="18841">
      <c r="A18841" s="1">
        <v>5.0</v>
      </c>
      <c r="B18841" s="1" t="s">
        <v>18533</v>
      </c>
      <c r="C18841" t="str">
        <f>IFERROR(__xludf.DUMMYFUNCTION("GOOGLETRANSLATE(B18841, ""fr"", ""en"")"),"The prix.imbatable. Bjrs.tres satisfied with this product, c is the one I take regularly and especially parceq hat are more expensive than in big surfaces.ici, I economise 6 euros each commandes.ca worth coup.salutations.")</f>
        <v>The prix.imbatable. Bjrs.tres satisfied with this product, c is the one I take regularly and especially parceq hat are more expensive than in big surfaces.ici, I economise 6 euros each commandes.ca worth coup.salutations.</v>
      </c>
    </row>
    <row r="18842">
      <c r="A18842" s="1">
        <v>5.0</v>
      </c>
      <c r="B18842" s="1" t="s">
        <v>18534</v>
      </c>
      <c r="C18842" t="str">
        <f>IFERROR(__xludf.DUMMYFUNCTION("GOOGLETRANSLATE(B18842, ""fr"", ""en"")"),"Okay, that bottles box is fine. There are 2 bottles of 125ml and 260ml of 2 and an anti-colic valve which suits each of the bottles. There is also a pacifier (for 0/6 months) with a cache that ensures hygiene and a bottle brush / brush to clean the bottle"&amp;"s. The teats are suitable for newborns (it will change with the age of the baby). The design is simple and sober (but it will not interfere baby). There is an anti-colic valve but you can buy 2 for 6 € on the site. In short this is a good case for a gift,"&amp;" for a fair price. I recommend.")</f>
        <v>Okay, that bottles box is fine. There are 2 bottles of 125ml and 260ml of 2 and an anti-colic valve which suits each of the bottles. There is also a pacifier (for 0/6 months) with a cache that ensures hygiene and a bottle brush / brush to clean the bottles. The teats are suitable for newborns (it will change with the age of the baby). The design is simple and sober (but it will not interfere baby). There is an anti-colic valve but you can buy 2 for 6 € on the site. In short this is a good case for a gift, for a fair price. I recommend.</v>
      </c>
    </row>
    <row r="18843">
      <c r="A18843" s="1">
        <v>5.0</v>
      </c>
      <c r="B18843" s="1" t="s">
        <v>18535</v>
      </c>
      <c r="C18843" t="str">
        <f>IFERROR(__xludf.DUMMYFUNCTION("GOOGLETRANSLATE(B18843, ""fr"", ""en"")"),"Pleasant surprise I ordered this clock radio for my daughter who goes to college so it is autonomously for revival. The duties announced I liked and design too. I'm not disappointed at all, all functions are there. It is easy to use (with leaflet in Frenc"&amp;"h). I further discovered that it was powered by a standard USB charger supplied (so easily replaced if necessary). There is a USB port on the clock radio to be able to charge a phone or other object powered by USB. The only complaint I will make is perfec"&amp;"tible scan FM stations. It scans all FM frequencies but also stores with crackling and therefore useless. Fortunately, I often do not exchange stations on an alarm clock so it is not too serious for me. The whole family loved this clock radio and we know "&amp;"that has bought any failure of those we have now.")</f>
        <v>Pleasant surprise I ordered this clock radio for my daughter who goes to college so it is autonomously for revival. The duties announced I liked and design too. I'm not disappointed at all, all functions are there. It is easy to use (with leaflet in French). I further discovered that it was powered by a standard USB charger supplied (so easily replaced if necessary). There is a USB port on the clock radio to be able to charge a phone or other object powered by USB. The only complaint I will make is perfectible scan FM stations. It scans all FM frequencies but also stores with crackling and therefore useless. Fortunately, I often do not exchange stations on an alarm clock so it is not too serious for me. The whole family loved this clock radio and we know that has bought any failure of those we have now.</v>
      </c>
    </row>
    <row r="18844">
      <c r="A18844" s="1">
        <v>2.0</v>
      </c>
      <c r="B18844" s="1" t="s">
        <v>18536</v>
      </c>
      <c r="C18844" t="str">
        <f>IFERROR(__xludf.DUMMYFUNCTION("GOOGLETRANSLATE(B18844, ""fr"", ""en"")"),"Already down down !! received 13 January 2017 to replace the purchase of 28 December 2016 Suite this August 2018 The kettle is again down following a new seal leakage of the vase. I de-board product of poor quality. I treat with great caution by not boil "&amp;"water unnecessarily, I paid at 85 ° C for 94 ° C at the end of heaters! I filled immediately with cold water to cool the tank and seal! despite all these precautions the seal has again unleashed! I take a brand new! First kettle, received December 30, 201"&amp;"6: Today February 7, 2017, she passed away !! I will appeal to the warranty repair, I hope that we will quickly replace me. You will know the result as soon as I recover one that works. This kettle was quite handy when working. Too bad that we should stop"&amp;" it manually when the temperature selector is on (the boiling mode, the default shutdown permanently), otherwise it maintains the temperature for 2 hours :( After contacting customer service, 10 February I received the news kettle and it works very well :"&amp;"-) Thanks for this fast AMAZON, I remember in my future purchases.")</f>
        <v>Already down down !! received 13 January 2017 to replace the purchase of 28 December 2016 Suite this August 2018 The kettle is again down following a new seal leakage of the vase. I de-board product of poor quality. I treat with great caution by not boil water unnecessarily, I paid at 85 ° C for 94 ° C at the end of heaters! I filled immediately with cold water to cool the tank and seal! despite all these precautions the seal has again unleashed! I take a brand new! First kettle, received December 30, 2016: Today February 7, 2017, she passed away !! I will appeal to the warranty repair, I hope that we will quickly replace me. You will know the result as soon as I recover one that works. This kettle was quite handy when working. Too bad that we should stop it manually when the temperature selector is on (the boiling mode, the default shutdown permanently), otherwise it maintains the temperature for 2 hours :( After contacting customer service, 10 February I received the news kettle and it works very well :-) Thanks for this fast AMAZON, I remember in my future purchases.</v>
      </c>
    </row>
    <row r="18845">
      <c r="A18845" s="1">
        <v>1.0</v>
      </c>
      <c r="B18845" s="1" t="s">
        <v>18537</v>
      </c>
      <c r="C18845" t="str">
        <f>IFERROR(__xludf.DUMMYFUNCTION("GOOGLETRANSLATE(B18845, ""fr"", ""en"")"),"Disappointed I am very disappointed. I received damaged and open box. Now I ordered new pens and not of occasions.")</f>
        <v>Disappointed I am very disappointed. I received damaged and open box. Now I ordered new pens and not of occasions.</v>
      </c>
    </row>
    <row r="18846">
      <c r="A18846" s="1">
        <v>3.0</v>
      </c>
      <c r="B18846" s="1" t="s">
        <v>18538</v>
      </c>
      <c r="C18846" t="str">
        <f>IFERROR(__xludf.DUMMYFUNCTION("GOOGLETRANSLATE(B18846, ""fr"", ""en"")"),"A perfect product ... for children. A careless error, a focus on size and is the drama! ;-) This is a child model (including the insole allows realizing and a yaw notch less). In short if you are ItS small adult size, go your way :-) This is a child model"&amp;". Model returned carefree through Amazon.")</f>
        <v>A perfect product ... for children. A careless error, a focus on size and is the drama! ;-) This is a child model (including the insole allows realizing and a yaw notch less). In short if you are ItS small adult size, go your way :-) This is a child model. Model returned carefree through Amazon.</v>
      </c>
    </row>
    <row r="18847">
      <c r="A18847" s="1">
        <v>3.0</v>
      </c>
      <c r="B18847" s="1" t="s">
        <v>18539</v>
      </c>
      <c r="C18847" t="str">
        <f>IFERROR(__xludf.DUMMYFUNCTION("GOOGLETRANSLATE(B18847, ""fr"", ""en"")"),"Does not mix since Deezer or Spotify !! A nice finish, good quality product !! Beware though, big misunderstanding (to be polite ..) because even on the site of hercules they ventent product as being able to stream from any source of streaming broadcast ."&amp;".. yes ... mix, no !! Indeed DJUCED the software supplied with this controller does not load from Spotify or Deezer, it does not recognize !! This will require either plug the live feed on the stage for just broadcast in not passing the controller (absolu"&amp;"tely useless ...) or invest in other software (VDJ (one hundred €), for example) in order to load from streaming platforms and finally mix your favorite songs !!")</f>
        <v>Does not mix since Deezer or Spotify !! A nice finish, good quality product !! Beware though, big misunderstanding (to be polite ..) because even on the site of hercules they ventent product as being able to stream from any source of streaming broadcast ... yes ... mix, no !! Indeed DJUCED the software supplied with this controller does not load from Spotify or Deezer, it does not recognize !! This will require either plug the live feed on the stage for just broadcast in not passing the controller (absolutely useless ...) or invest in other software (VDJ (one hundred €), for example) in order to load from streaming platforms and finally mix your favorite songs !!</v>
      </c>
    </row>
    <row r="18848">
      <c r="A18848" s="1">
        <v>4.0</v>
      </c>
      <c r="B18848" s="1" t="s">
        <v>18540</v>
      </c>
      <c r="C18848" t="str">
        <f>IFERROR(__xludf.DUMMYFUNCTION("GOOGLETRANSLATE(B18848, ""fr"", ""en"")"),"super conforming to the ad")</f>
        <v>super conforming to the ad</v>
      </c>
    </row>
    <row r="18849">
      <c r="A18849" s="1">
        <v>4.0</v>
      </c>
      <c r="B18849" s="1" t="s">
        <v>18541</v>
      </c>
      <c r="C18849" t="str">
        <f>IFERROR(__xludf.DUMMYFUNCTION("GOOGLETRANSLATE(B18849, ""fr"", ""en"")"),"Very good value for money Perfect for tea")</f>
        <v>Very good value for money Perfect for tea</v>
      </c>
    </row>
    <row r="18850">
      <c r="A18850" s="1">
        <v>4.0</v>
      </c>
      <c r="B18850" s="1" t="s">
        <v>18542</v>
      </c>
      <c r="C18850" t="str">
        <f>IFERROR(__xludf.DUMMYFUNCTION("GOOGLETRANSLATE(B18850, ""fr"", ""en"")"),"I recommend Works great. Very nice to choose the heating temperature and keep warm. Caution once busy it may appear heavier than a plastic kettle. Very nice anyway.")</f>
        <v>I recommend Works great. Very nice to choose the heating temperature and keep warm. Caution once busy it may appear heavier than a plastic kettle. Very nice anyway.</v>
      </c>
    </row>
    <row r="18851">
      <c r="A18851" s="1">
        <v>4.0</v>
      </c>
      <c r="B18851" s="1" t="s">
        <v>18543</v>
      </c>
      <c r="C18851" t="str">
        <f>IFERROR(__xludf.DUMMYFUNCTION("GOOGLETRANSLATE(B18851, ""fr"", ""en"")"),"comfortable shoes pretty fast delivery, the shoes are cute, for against the rubber sole is a little too yellow against the white canvas.")</f>
        <v>comfortable shoes pretty fast delivery, the shoes are cute, for against the rubber sole is a little too yellow against the white canvas.</v>
      </c>
    </row>
    <row r="18852">
      <c r="A18852" s="1">
        <v>5.0</v>
      </c>
      <c r="B18852" s="1" t="s">
        <v>18544</v>
      </c>
      <c r="C18852" t="str">
        <f>IFERROR(__xludf.DUMMYFUNCTION("GOOGLETRANSLATE(B18852, ""fr"", ""en"")"),"Satisfied I bought for my husband, because I supported more see with long shorts socks. So if one is perfect. After several washings, and they still hold the small tab is useful, from my husband for the shoot.")</f>
        <v>Satisfied I bought for my husband, because I supported more see with long shorts socks. So if one is perfect. After several washings, and they still hold the small tab is useful, from my husband for the shoot.</v>
      </c>
    </row>
    <row r="18853">
      <c r="A18853" s="1">
        <v>5.0</v>
      </c>
      <c r="B18853" s="1" t="s">
        <v>18545</v>
      </c>
      <c r="C18853" t="str">
        <f>IFERROR(__xludf.DUMMYFUNCTION("GOOGLETRANSLATE(B18853, ""fr"", ""en"")"),"basketball Globe totally satisfied. I do not regret this purchase. Good quality I wear them every day. I've even been delivered ahead of schedule which suited me")</f>
        <v>basketball Globe totally satisfied. I do not regret this purchase. Good quality I wear them every day. I've even been delivered ahead of schedule which suited me</v>
      </c>
    </row>
    <row r="18854">
      <c r="A18854" s="1">
        <v>5.0</v>
      </c>
      <c r="B18854" s="1" t="s">
        <v>18546</v>
      </c>
      <c r="C18854" t="str">
        <f>IFERROR(__xludf.DUMMYFUNCTION("GOOGLETRANSLATE(B18854, ""fr"", ""en"")"),"good pair of shoes shoe arrived as scheduled. I always take a poiture above to avoid unpleasant surprises.")</f>
        <v>good pair of shoes shoe arrived as scheduled. I always take a poiture above to avoid unpleasant surprises.</v>
      </c>
    </row>
    <row r="18855">
      <c r="A18855" s="1">
        <v>5.0</v>
      </c>
      <c r="B18855" s="1" t="s">
        <v>18547</v>
      </c>
      <c r="C18855" t="str">
        <f>IFERROR(__xludf.DUMMYFUNCTION("GOOGLETRANSLATE(B18855, ""fr"", ""en"")"),"Meets! Bag perfectly meets my expectations, beautiful color and lots of storage")</f>
        <v>Meets! Bag perfectly meets my expectations, beautiful color and lots of storage</v>
      </c>
    </row>
    <row r="18856">
      <c r="A18856" s="1">
        <v>5.0</v>
      </c>
      <c r="B18856" s="1" t="s">
        <v>18548</v>
      </c>
      <c r="C18856" t="str">
        <f>IFERROR(__xludf.DUMMYFUNCTION("GOOGLETRANSLATE(B18856, ""fr"", ""en"")"),"Lightweight and comfortable Purchased for an elderly relative who has cold feet since October but who enjoys his daily walks, for all time. These shoes (with synthetic faux fur) are comfortably warm without too thick lining. They are lightweight and allow"&amp;" to walk flexibly, easily and at the same time safely because the sole is actually slip resistant and provides good grip. The heel of 3 cm is nice and participates in comfort. I've only had positive feedback since he uses them, for a good fifteen now. I a"&amp;"m delighted &amp; nbsp ;: a good shoe at a price quite reasonable.")</f>
        <v>Lightweight and comfortable Purchased for an elderly relative who has cold feet since October but who enjoys his daily walks, for all time. These shoes (with synthetic faux fur) are comfortably warm without too thick lining. They are lightweight and allow to walk flexibly, easily and at the same time safely because the sole is actually slip resistant and provides good grip. The heel of 3 cm is nice and participates in comfort. I've only had positive feedback since he uses them, for a good fifteen now. I am delighted &amp; nbsp ;: a good shoe at a price quite reasonable.</v>
      </c>
    </row>
    <row r="18857">
      <c r="A18857" s="1">
        <v>5.0</v>
      </c>
      <c r="B18857" s="1" t="s">
        <v>224</v>
      </c>
      <c r="C18857" t="str">
        <f>IFERROR(__xludf.DUMMYFUNCTION("GOOGLETRANSLATE(B18857, ""fr"", ""en"")"),"perfect perfect")</f>
        <v>perfect perfect</v>
      </c>
    </row>
    <row r="18858">
      <c r="A18858" s="1">
        <v>5.0</v>
      </c>
      <c r="B18858" s="1" t="s">
        <v>18549</v>
      </c>
      <c r="C18858" t="str">
        <f>IFERROR(__xludf.DUMMYFUNCTION("GOOGLETRANSLATE(B18858, ""fr"", ""en"")"),"Nikel Just EXCELLENT.")</f>
        <v>Nikel Just EXCELLENT.</v>
      </c>
    </row>
    <row r="18859">
      <c r="A18859" s="1">
        <v>5.0</v>
      </c>
      <c r="B18859" s="1" t="s">
        <v>18550</v>
      </c>
      <c r="C18859" t="str">
        <f>IFERROR(__xludf.DUMMYFUNCTION("GOOGLETRANSLATE(B18859, ""fr"", ""en"")"),"Quality Sport good value comfortable")</f>
        <v>Quality Sport good value comfortable</v>
      </c>
    </row>
    <row r="18860">
      <c r="A18860" s="1">
        <v>5.0</v>
      </c>
      <c r="B18860" s="1" t="s">
        <v>18551</v>
      </c>
      <c r="C18860" t="str">
        <f>IFERROR(__xludf.DUMMYFUNCTION("GOOGLETRANSLATE(B18860, ""fr"", ""en"")"),"bose quality is no longer the brand, everything is nickel with a small problem, it takes one and it's personal, I find it does not strong enough. this is all I found ""less good"".")</f>
        <v>bose quality is no longer the brand, everything is nickel with a small problem, it takes one and it's personal, I find it does not strong enough. this is all I found "less good".</v>
      </c>
    </row>
    <row r="18861">
      <c r="A18861" s="1">
        <v>5.0</v>
      </c>
      <c r="B18861" s="1" t="s">
        <v>18552</v>
      </c>
      <c r="C18861" t="str">
        <f>IFERROR(__xludf.DUMMYFUNCTION("GOOGLETRANSLATE(B18861, ""fr"", ""en"")"),"Shoes look nice I am very satisfied with this purchase, it's like in slippers, it's hot, it's like sneakers filled with friendly sports side. Shoes look nice, very light, soft, warm and extremely comfortable. Having wide feet, I took a size up the value f"&amp;"or money seems to me there.")</f>
        <v>Shoes look nice I am very satisfied with this purchase, it's like in slippers, it's hot, it's like sneakers filled with friendly sports side. Shoes look nice, very light, soft, warm and extremely comfortable. Having wide feet, I took a size up the value for money seems to me there.</v>
      </c>
    </row>
    <row r="18862">
      <c r="A18862" s="1">
        <v>5.0</v>
      </c>
      <c r="B18862" s="1" t="s">
        <v>18553</v>
      </c>
      <c r="C18862" t="str">
        <f>IFERROR(__xludf.DUMMYFUNCTION("GOOGLETRANSLATE(B18862, ""fr"", ""en"")"),"Beautiful Carnelian Bracelet For the pleasure of wearing beautiful costume jewelery")</f>
        <v>Beautiful Carnelian Bracelet For the pleasure of wearing beautiful costume jewelery</v>
      </c>
    </row>
    <row r="18863">
      <c r="A18863" s="1">
        <v>5.0</v>
      </c>
      <c r="B18863" s="1" t="s">
        <v>18554</v>
      </c>
      <c r="C18863" t="str">
        <f>IFERROR(__xludf.DUMMYFUNCTION("GOOGLETRANSLATE(B18863, ""fr"", ""en"")"),"3 ways to set colors! This small suitcase is full and offers the child something to discover and experiment with different techniques to color the large poster folded to make the box. The poster includes scenes, characters and locations of children's stor"&amp;"ies in a large format. The black coloring drawings are identified according to the dictates of the artist. There will be room for two ""colorieurs"", one at each end of the post: it will tell and laugh! The case will have a long life and in my opinion wil"&amp;"l serve as a big drawing kit for years. Pretty creative gift.")</f>
        <v>3 ways to set colors! This small suitcase is full and offers the child something to discover and experiment with different techniques to color the large poster folded to make the box. The poster includes scenes, characters and locations of children's stories in a large format. The black coloring drawings are identified according to the dictates of the artist. There will be room for two "colorieurs", one at each end of the post: it will tell and laugh! The case will have a long life and in my opinion will serve as a big drawing kit for years. Pretty creative gift.</v>
      </c>
    </row>
    <row r="18864">
      <c r="A18864" s="1">
        <v>5.0</v>
      </c>
      <c r="B18864" s="1" t="s">
        <v>18555</v>
      </c>
      <c r="C18864" t="str">
        <f>IFERROR(__xludf.DUMMYFUNCTION("GOOGLETRANSLATE(B18864, ""fr"", ""en"")"),"quality toilet paper Purchased for an elderly perdonne.")</f>
        <v>quality toilet paper Purchased for an elderly perdonne.</v>
      </c>
    </row>
    <row r="18865">
      <c r="A18865" s="1">
        <v>5.0</v>
      </c>
      <c r="B18865" s="1" t="s">
        <v>18556</v>
      </c>
      <c r="C18865" t="str">
        <f>IFERROR(__xludf.DUMMYFUNCTION("GOOGLETRANSLATE(B18865, ""fr"", ""en"")"),"The high quality product meets and corresponds fully to the description. It is lovely and of excellent quality. Easy to use, quiet and fast. Fast delivery and problem free. I recommand it !")</f>
        <v>The high quality product meets and corresponds fully to the description. It is lovely and of excellent quality. Easy to use, quiet and fast. Fast delivery and problem free. I recommand it !</v>
      </c>
    </row>
    <row r="18866">
      <c r="A18866" s="1">
        <v>5.0</v>
      </c>
      <c r="B18866" s="1" t="s">
        <v>18557</v>
      </c>
      <c r="C18866" t="str">
        <f>IFERROR(__xludf.DUMMYFUNCTION("GOOGLETRANSLATE(B18866, ""fr"", ""en"")"),"Nickel frankly very comfortable with during my work")</f>
        <v>Nickel frankly very comfortable with during my work</v>
      </c>
    </row>
    <row r="18867">
      <c r="A18867" s="1">
        <v>2.0</v>
      </c>
      <c r="B18867" s="1" t="s">
        <v>18558</v>
      </c>
      <c r="C18867" t="str">
        <f>IFERROR(__xludf.DUMMYFUNCTION("GOOGLETRANSLATE(B18867, ""fr"", ""en"")"),"Nice I had ordered a ring (silver + blue) which was fine, I have therefore taken a second. The black and gold. Overall this is a good ring size it correctly but the color tends to go. I would advise most to take silver with color inside rather than having"&amp;" a main color")</f>
        <v>Nice I had ordered a ring (silver + blue) which was fine, I have therefore taken a second. The black and gold. Overall this is a good ring size it correctly but the color tends to go. I would advise most to take silver with color inside rather than having a main color</v>
      </c>
    </row>
    <row r="18868">
      <c r="A18868" s="1">
        <v>1.0</v>
      </c>
      <c r="B18868" s="1" t="s">
        <v>18559</v>
      </c>
      <c r="C18868" t="str">
        <f>IFERROR(__xludf.DUMMYFUNCTION("GOOGLETRANSLATE(B18868, ""fr"", ""en"")"),"I have no command of English size 11 and 45 resulting in a much too large is easily a 47. I do not know where they go for their tailles.article not order")</f>
        <v>I have no command of English size 11 and 45 resulting in a much too large is easily a 47. I do not know where they go for their tailles.article not order</v>
      </c>
    </row>
    <row r="18869">
      <c r="A18869" s="1">
        <v>1.0</v>
      </c>
      <c r="B18869" s="1" t="s">
        <v>18560</v>
      </c>
      <c r="C18869" t="str">
        <f>IFERROR(__xludf.DUMMYFUNCTION("GOOGLETRANSLATE(B18869, ""fr"", ""en"")"),"Fragility of the product The pendant broke after 2 days.")</f>
        <v>Fragility of the product The pendant broke after 2 days.</v>
      </c>
    </row>
    <row r="18870">
      <c r="A18870" s="1">
        <v>3.0</v>
      </c>
      <c r="B18870" s="1" t="s">
        <v>18561</v>
      </c>
      <c r="C18870" t="str">
        <f>IFERROR(__xludf.DUMMYFUNCTION("GOOGLETRANSLATE(B18870, ""fr"", ""en"")"),"Pretty, but proper implementation details that angry at this price nothing to discuss the design side, one likes or dislikes. Advantages: - Wireless base - balanced with the Hanse above - one big flow of water when poured - the water comes into contact wi"&amp;"th stainless steel surfaces, so no risk of plastic taste Disadvantages: - relatively compact - no visibility on the water level of the outer - perfected Manufacturer: the body is painted stainless steel (outside is not enamel), some plastic parts on the o"&amp;"utside, Hansa hollow metal - plastic button chrome finish (pretty cheap) - blue LED jackie style that completely breaks the retro style of the whole (retail frankly ridiculous enough) - no insulation, the body becomes a burning Finally mignone kettle but "&amp;"rather is 45-50 euros 80.")</f>
        <v>Pretty, but proper implementation details that angry at this price nothing to discuss the design side, one likes or dislikes. Advantages: - Wireless base - balanced with the Hanse above - one big flow of water when poured - the water comes into contact with stainless steel surfaces, so no risk of plastic taste Disadvantages: - relatively compact - no visibility on the water level of the outer - perfected Manufacturer: the body is painted stainless steel (outside is not enamel), some plastic parts on the outside, Hansa hollow metal - plastic button chrome finish (pretty cheap) - blue LED jackie style that completely breaks the retro style of the whole (retail frankly ridiculous enough) - no insulation, the body becomes a burning Finally mignone kettle but rather is 45-50 euros 80.</v>
      </c>
    </row>
    <row r="18871">
      <c r="A18871" s="1">
        <v>3.0</v>
      </c>
      <c r="B18871" s="1" t="s">
        <v>18562</v>
      </c>
      <c r="C18871" t="str">
        <f>IFERROR(__xludf.DUMMYFUNCTION("GOOGLETRANSLATE(B18871, ""fr"", ""en"")"),"Good product Good product, practice.")</f>
        <v>Good product Good product, practice.</v>
      </c>
    </row>
    <row r="18872">
      <c r="A18872" s="1">
        <v>4.0</v>
      </c>
      <c r="B18872" s="1" t="s">
        <v>18563</v>
      </c>
      <c r="C18872" t="str">
        <f>IFERROR(__xludf.DUMMYFUNCTION("GOOGLETRANSLATE(B18872, ""fr"", ""en"")"),"Very comfortable pants No special remarks. Pants very flexible. Taken 2 sizes bigger (XL instead of M). I will appreciate more inter-seasons.")</f>
        <v>Very comfortable pants No special remarks. Pants very flexible. Taken 2 sizes bigger (XL instead of M). I will appreciate more inter-seasons.</v>
      </c>
    </row>
    <row r="18873">
      <c r="A18873" s="1">
        <v>4.0</v>
      </c>
      <c r="B18873" s="1" t="s">
        <v>18564</v>
      </c>
      <c r="C18873" t="str">
        <f>IFERROR(__xludf.DUMMYFUNCTION("GOOGLETRANSLATE(B18873, ""fr"", ""en"")"),"Although for the price it's okay. Rather comfortable and not too heavy.")</f>
        <v>Although for the price it's okay. Rather comfortable and not too heavy.</v>
      </c>
    </row>
    <row r="18874">
      <c r="A18874" s="1">
        <v>4.0</v>
      </c>
      <c r="B18874" s="1" t="s">
        <v>18565</v>
      </c>
      <c r="C18874" t="str">
        <f>IFERROR(__xludf.DUMMYFUNCTION("GOOGLETRANSLATE(B18874, ""fr"", ""en"")"),"good good size size I ordered burgundy compliant content of this article.")</f>
        <v>good good size size I ordered burgundy compliant content of this article.</v>
      </c>
    </row>
    <row r="18875">
      <c r="A18875" s="1">
        <v>4.0</v>
      </c>
      <c r="B18875" s="1" t="s">
        <v>18566</v>
      </c>
      <c r="C18875" t="str">
        <f>IFERROR(__xludf.DUMMYFUNCTION("GOOGLETRANSLATE(B18875, ""fr"", ""en"")"),"Crocs: great size, great! My shoe size is usually 43/44, so I naturally chose this size ... Out at the reception, I see that it is rather equivalent to the 45/46. I have therefore returned (nickel procedure!) And I have recommended other 2 sizes smaller, "&amp;"and there perfect. A point that needs attention: according to color, place of manufacture is not the same. The black are made in Italy, which from the comments, is a better guarantee (comfort, odor, ...) we find this information in photos, on the undersid"&amp;"e of the sole.")</f>
        <v>Crocs: great size, great! My shoe size is usually 43/44, so I naturally chose this size ... Out at the reception, I see that it is rather equivalent to the 45/46. I have therefore returned (nickel procedure!) And I have recommended other 2 sizes smaller, and there perfect. A point that needs attention: according to color, place of manufacture is not the same. The black are made in Italy, which from the comments, is a better guarantee (comfort, odor, ...) we find this information in photos, on the underside of the sole.</v>
      </c>
    </row>
    <row r="18876">
      <c r="A18876" s="1">
        <v>5.0</v>
      </c>
      <c r="B18876" s="1" t="s">
        <v>18567</v>
      </c>
      <c r="C18876" t="str">
        <f>IFERROR(__xludf.DUMMYFUNCTION("GOOGLETRANSLATE(B18876, ""fr"", ""en"")"),"Invicta Excellent watch very good quality, not too big wrist automatic that keeps long movement. Very satisfied")</f>
        <v>Invicta Excellent watch very good quality, not too big wrist automatic that keeps long movement. Very satisfied</v>
      </c>
    </row>
    <row r="18877">
      <c r="A18877" s="1">
        <v>5.0</v>
      </c>
      <c r="B18877" s="1" t="s">
        <v>18568</v>
      </c>
      <c r="C18877" t="str">
        <f>IFERROR(__xludf.DUMMYFUNCTION("GOOGLETRANSLATE(B18877, ""fr"", ""en"")"),"Good product Having hesitated to buy these boots (reading the comments not always reassuring) I'm tempted. And now 3 weeks I put them every day to raise and lower my gear, walk the yard in water and mud. And I'm satisfied they are waterproof and toed. Hop"&amp;"e it lasts but no signs of weakness yet. We hope this will help you in your choice.")</f>
        <v>Good product Having hesitated to buy these boots (reading the comments not always reassuring) I'm tempted. And now 3 weeks I put them every day to raise and lower my gear, walk the yard in water and mud. And I'm satisfied they are waterproof and toed. Hope it lasts but no signs of weakness yet. We hope this will help you in your choice.</v>
      </c>
    </row>
    <row r="18878">
      <c r="A18878" s="1">
        <v>5.0</v>
      </c>
      <c r="B18878" s="1" t="s">
        <v>18569</v>
      </c>
      <c r="C18878" t="str">
        <f>IFERROR(__xludf.DUMMYFUNCTION("GOOGLETRANSLATE(B18878, ""fr"", ""en"")"),"Very good shoes Good shoes, very light")</f>
        <v>Very good shoes Good shoes, very light</v>
      </c>
    </row>
    <row r="18879">
      <c r="A18879" s="1">
        <v>5.0</v>
      </c>
      <c r="B18879" s="1" t="s">
        <v>18570</v>
      </c>
      <c r="C18879" t="str">
        <f>IFERROR(__xludf.DUMMYFUNCTION("GOOGLETRANSLATE(B18879, ""fr"", ""en"")"),"Very nice necklace Very nice necklace, commissioned for a baby of 5 months he goes a little bit large, perfect for the coming months. Fine finish, no risk that the child opens the collar, closing by screw is hidden in the stones. I recommend")</f>
        <v>Very nice necklace Very nice necklace, commissioned for a baby of 5 months he goes a little bit large, perfect for the coming months. Fine finish, no risk that the child opens the collar, closing by screw is hidden in the stones. I recommend</v>
      </c>
    </row>
    <row r="18880">
      <c r="A18880" s="1">
        <v>5.0</v>
      </c>
      <c r="B18880" s="1" t="s">
        <v>18571</v>
      </c>
      <c r="C18880" t="str">
        <f>IFERROR(__xludf.DUMMYFUNCTION("GOOGLETRANSLATE(B18880, ""fr"", ""en"")"),"Excellent bag! Hello This is a very good and convenient facil bag, I use it every day to go to unnif it suits me perfectly and has a closed ""magnetic"" very well thought out.")</f>
        <v>Excellent bag! Hello This is a very good and convenient facil bag, I use it every day to go to unnif it suits me perfectly and has a closed "magnetic" very well thought out.</v>
      </c>
    </row>
    <row r="18881">
      <c r="A18881" s="1">
        <v>5.0</v>
      </c>
      <c r="B18881" s="1" t="s">
        <v>18572</v>
      </c>
      <c r="C18881" t="str">
        <f>IFERROR(__xludf.DUMMYFUNCTION("GOOGLETRANSLATE(B18881, ""fr"", ""en"")"),"Simple and reasonable price I needed a labeller. This one is practical, simple and not too expensive. 6 font sizes, many symbols and icons, really disappointed in my purchase.")</f>
        <v>Simple and reasonable price I needed a labeller. This one is practical, simple and not too expensive. 6 font sizes, many symbols and icons, really disappointed in my purchase.</v>
      </c>
    </row>
    <row r="18882">
      <c r="A18882" s="1">
        <v>5.0</v>
      </c>
      <c r="B18882" s="1" t="s">
        <v>18573</v>
      </c>
      <c r="C18882" t="str">
        <f>IFERROR(__xludf.DUMMYFUNCTION("GOOGLETRANSLATE(B18882, ""fr"", ""en"")"),"I recommend using this product for headache to lightly apply also to relieve mosquito bites etc ... Very good product. I regularly buy. Very effective....")</f>
        <v>I recommend using this product for headache to lightly apply also to relieve mosquito bites etc ... Very good product. I regularly buy. Very effective....</v>
      </c>
    </row>
    <row r="18883">
      <c r="A18883" s="1">
        <v>5.0</v>
      </c>
      <c r="B18883" s="1" t="s">
        <v>18574</v>
      </c>
      <c r="C18883" t="str">
        <f>IFERROR(__xludf.DUMMYFUNCTION("GOOGLETRANSLATE(B18883, ""fr"", ""en"")"),"Bralelet I left him more. He's very beautiful")</f>
        <v>Bralelet I left him more. He's very beautiful</v>
      </c>
    </row>
    <row r="18884">
      <c r="A18884" s="1">
        <v>5.0</v>
      </c>
      <c r="B18884" s="1" t="s">
        <v>18575</v>
      </c>
      <c r="C18884" t="str">
        <f>IFERROR(__xludf.DUMMYFUNCTION("GOOGLETRANSLATE(B18884, ""fr"", ""en"")"),"Wonderful Wonderful, I offered for my mother's birthday and loved it, the finishes are just remarkable")</f>
        <v>Wonderful Wonderful, I offered for my mother's birthday and loved it, the finishes are just remarkable</v>
      </c>
    </row>
    <row r="18885">
      <c r="A18885" s="1">
        <v>5.0</v>
      </c>
      <c r="B18885" s="1" t="s">
        <v>18576</v>
      </c>
      <c r="C18885" t="str">
        <f>IFERROR(__xludf.DUMMYFUNCTION("GOOGLETRANSLATE(B18885, ""fr"", ""en"")"),"the sun of Provence birth products are of very good quality and very economical because concentrates. What a pleasure to believe under the Provencal sun by putting a few drops of this in the diffuser HE!")</f>
        <v>the sun of Provence birth products are of very good quality and very economical because concentrates. What a pleasure to believe under the Provencal sun by putting a few drops of this in the diffuser HE!</v>
      </c>
    </row>
    <row r="18886">
      <c r="A18886" s="1">
        <v>5.0</v>
      </c>
      <c r="B18886" s="1" t="s">
        <v>18577</v>
      </c>
      <c r="C18886" t="str">
        <f>IFERROR(__xludf.DUMMYFUNCTION("GOOGLETRANSLATE(B18886, ""fr"", ""en"")"),"Fluffy slippers, hot and not too noisy")</f>
        <v>Fluffy slippers, hot and not too noisy</v>
      </c>
    </row>
    <row r="18887">
      <c r="A18887" s="1">
        <v>5.0</v>
      </c>
      <c r="B18887" s="1" t="s">
        <v>18578</v>
      </c>
      <c r="C18887" t="str">
        <f>IFERROR(__xludf.DUMMYFUNCTION("GOOGLETRANSLATE(B18887, ""fr"", ""en"")"),"Good material A good size right material")</f>
        <v>Good material A good size right material</v>
      </c>
    </row>
    <row r="18888">
      <c r="A18888" s="1">
        <v>5.0</v>
      </c>
      <c r="B18888" s="1" t="s">
        <v>18579</v>
      </c>
      <c r="C18888" t="str">
        <f>IFERROR(__xludf.DUMMYFUNCTION("GOOGLETRANSLATE(B18888, ""fr"", ""en"")"),"Delighted excellent value Meets the pictures and description, the chain is fine seems fragile enough The pendant is beautiful but discreet enough light")</f>
        <v>Delighted excellent value Meets the pictures and description, the chain is fine seems fragile enough The pendant is beautiful but discreet enough light</v>
      </c>
    </row>
    <row r="18889">
      <c r="A18889" s="1">
        <v>5.0</v>
      </c>
      <c r="B18889" s="1" t="s">
        <v>18580</v>
      </c>
      <c r="C18889" t="str">
        <f>IFERROR(__xludf.DUMMYFUNCTION("GOOGLETRANSLATE(B18889, ""fr"", ""en"")"),"The Canson brand always equal to itself. The CANSON quality is renowned and does not change over time. My husband and I draw much (our favorite leisure) and use different grains according to the drawing method. Recently went to mandalas we print on Canson"&amp;" paper. Of course it's thick media but no worries to cross or hang the paper with markers. I recommend these blocks.")</f>
        <v>The Canson brand always equal to itself. The CANSON quality is renowned and does not change over time. My husband and I draw much (our favorite leisure) and use different grains according to the drawing method. Recently went to mandalas we print on Canson paper. Of course it's thick media but no worries to cross or hang the paper with markers. I recommend these blocks.</v>
      </c>
    </row>
    <row r="18890">
      <c r="A18890" s="1">
        <v>5.0</v>
      </c>
      <c r="B18890" s="1" t="s">
        <v>18581</v>
      </c>
      <c r="C18890" t="str">
        <f>IFERROR(__xludf.DUMMYFUNCTION("GOOGLETRANSLATE(B18890, ""fr"", ""en"")"),"I like a small size can")</f>
        <v>I like a small size can</v>
      </c>
    </row>
    <row r="18891">
      <c r="A18891" s="1">
        <v>2.0</v>
      </c>
      <c r="B18891" s="1" t="s">
        <v>18582</v>
      </c>
      <c r="C18891" t="str">
        <f>IFERROR(__xludf.DUMMYFUNCTION("GOOGLETRANSLATE(B18891, ""fr"", ""en"")"),"info wrong data words, more words, (extréme smooth - velvety - very high resistance (which is torn same folded in half) but in reality it is a classic &amp; amp; 50% more expensive than the supermarket trapped. once, but not two. take other than at home.")</f>
        <v>info wrong data words, more words, (extréme smooth - velvety - very high resistance (which is torn same folded in half) but in reality it is a classic &amp; amp; 50% more expensive than the supermarket trapped. once, but not two. take other than at home.</v>
      </c>
    </row>
    <row r="18892">
      <c r="A18892" s="1">
        <v>1.0</v>
      </c>
      <c r="B18892" s="1" t="s">
        <v>18583</v>
      </c>
      <c r="C18892" t="str">
        <f>IFERROR(__xludf.DUMMYFUNCTION("GOOGLETRANSLATE(B18892, ""fr"", ""en"")"),"bad I deconseille")</f>
        <v>bad I deconseille</v>
      </c>
    </row>
    <row r="18893">
      <c r="A18893" s="1">
        <v>1.0</v>
      </c>
      <c r="B18893" s="1" t="s">
        <v>18584</v>
      </c>
      <c r="C18893" t="str">
        <f>IFERROR(__xludf.DUMMYFUNCTION("GOOGLETRANSLATE(B18893, ""fr"", ""en"")"),"Product not in accordance with the announcement, I think they meant 120 g and not 120kg !!! I recommend for objects in kg Very disappointed with this product! Unfortunately for me, without testing it first that I bought, I ordered a second. This, in order"&amp;" to have enough to pick my shower mirror (. Although perfectly having covered all sides of the mirror, it sold, scraping the way my bathtub. I really regret this purchase and does not recommend the all, unless you want to paste objects from a few grams! I"&amp;" wanted to save money by buying instead of that, I find myself again my bathtub !!! I should buy one for € 10 at Leroy -Merlin which was very resistant !!!")</f>
        <v>Product not in accordance with the announcement, I think they meant 120 g and not 120kg !!! I recommend for objects in kg Very disappointed with this product! Unfortunately for me, without testing it first that I bought, I ordered a second. This, in order to have enough to pick my shower mirror (. Although perfectly having covered all sides of the mirror, it sold, scraping the way my bathtub. I really regret this purchase and does not recommend the all, unless you want to paste objects from a few grams! I wanted to save money by buying instead of that, I find myself again my bathtub !!! I should buy one for € 10 at Leroy -Merlin which was very resistant !!!</v>
      </c>
    </row>
    <row r="18894">
      <c r="A18894" s="1">
        <v>3.0</v>
      </c>
      <c r="B18894" s="1" t="s">
        <v>18585</v>
      </c>
      <c r="C18894" t="str">
        <f>IFERROR(__xludf.DUMMYFUNCTION("GOOGLETRANSLATE(B18894, ""fr"", ""en"")"),"Comfortable Shoe correctly, the sporting experience of TBS makes a comfortable shoe and adapted to non-urban markets. Manufacturing seems correct.")</f>
        <v>Comfortable Shoe correctly, the sporting experience of TBS makes a comfortable shoe and adapted to non-urban markets. Manufacturing seems correct.</v>
      </c>
    </row>
    <row r="18895">
      <c r="A18895" s="1">
        <v>4.0</v>
      </c>
      <c r="B18895" s="1" t="s">
        <v>18586</v>
      </c>
      <c r="C18895" t="str">
        <f>IFERROR(__xludf.DUMMYFUNCTION("GOOGLETRANSLATE(B18895, ""fr"", ""en"")"),"Although Good quality / price ratio")</f>
        <v>Although Good quality / price ratio</v>
      </c>
    </row>
    <row r="18896">
      <c r="A18896" s="1">
        <v>4.0</v>
      </c>
      <c r="B18896" s="1" t="s">
        <v>18587</v>
      </c>
      <c r="C18896" t="str">
        <f>IFERROR(__xludf.DUMMYFUNCTION("GOOGLETRANSLATE(B18896, ""fr"", ""en"")"),"Waking differently it works! I chose this dawn simulator alarm clock to find a palliative syndrome ""alarm ringing on the phone, I turn it off and then I go back to sleep forever."" One may be skeptical at first but I must admit that allows light to emerg"&amp;"e and wake up almost naturally. Set to a period of 30 minutes, I often open my eyes naturally about ten minutes before and I wait patiently birds singing to get up. The ""Twilight"" is found as well, I use it as a deadline to go to bed. For the price, I h"&amp;"ope that the life of the bulb is at least ten years. It's true that the buttons have earned beings bigger or better disposed especially one used to switch on the light. And the choice of sounds is quite limited (only one 3 ...). I did not test the radio r"&amp;"eception for now. I think the investment is worth it if like me you want to hold the working week without unwelcome every morning! For those who find the high price, the division made over ten years go, believe in non-obsolescence for this kind of product"&amp;"!")</f>
        <v>Waking differently it works! I chose this dawn simulator alarm clock to find a palliative syndrome "alarm ringing on the phone, I turn it off and then I go back to sleep forever." One may be skeptical at first but I must admit that allows light to emerge and wake up almost naturally. Set to a period of 30 minutes, I often open my eyes naturally about ten minutes before and I wait patiently birds singing to get up. The "Twilight" is found as well, I use it as a deadline to go to bed. For the price, I hope that the life of the bulb is at least ten years. It's true that the buttons have earned beings bigger or better disposed especially one used to switch on the light. And the choice of sounds is quite limited (only one 3 ...). I did not test the radio reception for now. I think the investment is worth it if like me you want to hold the working week without unwelcome every morning! For those who find the high price, the division made over ten years go, believe in non-obsolescence for this kind of product!</v>
      </c>
    </row>
    <row r="18897">
      <c r="A18897" s="1">
        <v>4.0</v>
      </c>
      <c r="B18897" s="1" t="s">
        <v>4787</v>
      </c>
      <c r="C18897" t="str">
        <f>IFERROR(__xludf.DUMMYFUNCTION("GOOGLETRANSLATE(B18897, ""fr"", ""en"")"),"Consistent with the description consistent with the description")</f>
        <v>Consistent with the description consistent with the description</v>
      </c>
    </row>
    <row r="18898">
      <c r="A18898" s="1">
        <v>4.0</v>
      </c>
      <c r="B18898" s="1" t="s">
        <v>18588</v>
      </c>
      <c r="C18898" t="str">
        <f>IFERROR(__xludf.DUMMYFUNCTION("GOOGLETRANSLATE(B18898, ""fr"", ""en"")"),"Meet the design &lt;div id = ""video-block-RHHVQM12J82KI"" class = ""a-section-spacing-small in-spacing-top mini video-block""&gt; &lt;/ div&gt; &lt;input type = ""hidden"" name = """" value = ""https://images-eu.ssl-images-amazon.com/images/I/B1nFns9wlvS.mp4"" class = "&amp;"""video-url""&gt; &lt;input type = ""hidden"" name = """" value = ""https://images-eu.ssl-images-amazon.com/images/I/A1W92a5wM4S.png"" class = ""video-slate-img-url""&gt; &amp; nbsp; These are good small Bluetooth headset that do their job. They are indeed waterproof "&amp;"and microphone quality is good. They come with a nice pouch for storage and spare tips. The apparaige is fast and they have been recognized by my recent devices and older. The mounting system that they adhere very well to the ears and are quickly forgotte"&amp;"n. The lifespan of the battery seems more correct: I have not recharged after several hours of listening. :-) It seems to be a good value.")</f>
        <v>Meet the design &lt;div id = "video-block-RHHVQM12J82KI" class = "a-section-spacing-small in-spacing-top mini video-block"&gt; &lt;/ div&gt; &lt;input type = "hidden" name = "" value = "https://images-eu.ssl-images-amazon.com/images/I/B1nFns9wlvS.mp4" class = "video-url"&gt; &lt;input type = "hidden" name = "" value = "https://images-eu.ssl-images-amazon.com/images/I/A1W92a5wM4S.png" class = "video-slate-img-url"&gt; &amp; nbsp; These are good small Bluetooth headset that do their job. They are indeed waterproof and microphone quality is good. They come with a nice pouch for storage and spare tips. The apparaige is fast and they have been recognized by my recent devices and older. The mounting system that they adhere very well to the ears and are quickly forgotten. The lifespan of the battery seems more correct: I have not recharged after several hours of listening. :-) It seems to be a good value.</v>
      </c>
    </row>
    <row r="18899">
      <c r="A18899" s="1">
        <v>4.0</v>
      </c>
      <c r="B18899" s="1" t="s">
        <v>18589</v>
      </c>
      <c r="C18899" t="str">
        <f>IFERROR(__xludf.DUMMYFUNCTION("GOOGLETRANSLATE(B18899, ""fr"", ""en"")"),"Beautiful and good product My opinion is that of a novice. Suffice it to say that the product is stunning in appearance and convenience. I know nothing jog in fader, and other pitches, but the product comes with a well documented software. It has two deck"&amp;"s, that is to say, two inputs, two tracks that can be played sequentially or mixed. DJ side, I do not know, but to create an original soundtrack to a slideshow or movie is not bad. That said. If you did not know what a loop, a purpose, a sample, a cue, th"&amp;"is little device will make an excellent entertainment for an evening with friends, a family reunion, and so on. For a DJ, you can expect to stay an amateur, but with much more knowledge and skill than before. For me, the potentiometers are well sized, and"&amp;" each button (pad), jog wheel, or crossfader, fulfills its tasks since they vary in conjunction with another (as on PC, Ctrl + ...) The software brings another functions (echo, flanger, reverb, chorus), it also allows to act on the high and platinum butto"&amp;"ns eliminate the need to go looking for the mouse. Unless very good, I do not think it is possible to animate an evening without a minimum of preparation, so what is missing on the plate itself is not catastrophic. It can not be dissociated from a laptop."&amp;" Nice gift and good appetizer for future DJs.")</f>
        <v>Beautiful and good product My opinion is that of a novice. Suffice it to say that the product is stunning in appearance and convenience. I know nothing jog in fader, and other pitches, but the product comes with a well documented software. It has two decks, that is to say, two inputs, two tracks that can be played sequentially or mixed. DJ side, I do not know, but to create an original soundtrack to a slideshow or movie is not bad. That said. If you did not know what a loop, a purpose, a sample, a cue, this little device will make an excellent entertainment for an evening with friends, a family reunion, and so on. For a DJ, you can expect to stay an amateur, but with much more knowledge and skill than before. For me, the potentiometers are well sized, and each button (pad), jog wheel, or crossfader, fulfills its tasks since they vary in conjunction with another (as on PC, Ctrl + ...) The software brings another functions (echo, flanger, reverb, chorus), it also allows to act on the high and platinum buttons eliminate the need to go looking for the mouse. Unless very good, I do not think it is possible to animate an evening without a minimum of preparation, so what is missing on the plate itself is not catastrophic. It can not be dissociated from a laptop. Nice gift and good appetizer for future DJs.</v>
      </c>
    </row>
    <row r="18900">
      <c r="A18900" s="1">
        <v>5.0</v>
      </c>
      <c r="B18900" s="1" t="s">
        <v>18590</v>
      </c>
      <c r="C18900" t="str">
        <f>IFERROR(__xludf.DUMMYFUNCTION("GOOGLETRANSLATE(B18900, ""fr"", ""en"")"),"Although garbage bag")</f>
        <v>Although garbage bag</v>
      </c>
    </row>
    <row r="18901">
      <c r="A18901" s="1">
        <v>5.0</v>
      </c>
      <c r="B18901" s="1" t="s">
        <v>18591</v>
      </c>
      <c r="C18901" t="str">
        <f>IFERROR(__xludf.DUMMYFUNCTION("GOOGLETRANSLATE(B18901, ""fr"", ""en"")"),"Top Earphones.")</f>
        <v>Top Earphones.</v>
      </c>
    </row>
    <row r="18902">
      <c r="A18902" s="1">
        <v>5.0</v>
      </c>
      <c r="B18902" s="1" t="s">
        <v>18592</v>
      </c>
      <c r="C18902" t="str">
        <f>IFERROR(__xludf.DUMMYFUNCTION("GOOGLETRANSLATE(B18902, ""fr"", ""en"")"),"Very good value Nothing to say, it fulfills its role to perfection! The lack of external gauge may interfere in some, but when it comes to heat water without seeking a specific quantity, it's perfect. Attention to regularly clean if you have hard water (c"&amp;"alcium), the filter does its job, but the kettle becomes noisy if it is calcified.")</f>
        <v>Very good value Nothing to say, it fulfills its role to perfection! The lack of external gauge may interfere in some, but when it comes to heat water without seeking a specific quantity, it's perfect. Attention to regularly clean if you have hard water (calcium), the filter does its job, but the kettle becomes noisy if it is calcified.</v>
      </c>
    </row>
    <row r="18903">
      <c r="A18903" s="1">
        <v>5.0</v>
      </c>
      <c r="B18903" s="1" t="s">
        <v>18593</v>
      </c>
      <c r="C18903" t="str">
        <f>IFERROR(__xludf.DUMMYFUNCTION("GOOGLETRANSLATE(B18903, ""fr"", ""en"")"),"Good kit shoes Good shoes mutli use kit finally there is not understood what it was used gum but good all the products are there and efficient presentation and can keep the box I advise")</f>
        <v>Good kit shoes Good shoes mutli use kit finally there is not understood what it was used gum but good all the products are there and efficient presentation and can keep the box I advise</v>
      </c>
    </row>
    <row r="18904">
      <c r="A18904" s="1">
        <v>5.0</v>
      </c>
      <c r="B18904" s="1" t="s">
        <v>4137</v>
      </c>
      <c r="C18904" t="str">
        <f>IFERROR(__xludf.DUMMYFUNCTION("GOOGLETRANSLATE(B18904, ""fr"", ""en"")"),"Excellent Excellent")</f>
        <v>Excellent Excellent</v>
      </c>
    </row>
    <row r="18905">
      <c r="A18905" s="1">
        <v>5.0</v>
      </c>
      <c r="B18905" s="1" t="s">
        <v>18594</v>
      </c>
      <c r="C18905" t="str">
        <f>IFERROR(__xludf.DUMMYFUNCTION("GOOGLETRANSLATE(B18905, ""fr"", ""en"")"),"Product descriptions faithful. Purchase made for manufacturing laundry and other house .... I am very satisfied with this product. Product faithful to the photos.")</f>
        <v>Product descriptions faithful. Purchase made for manufacturing laundry and other house .... I am very satisfied with this product. Product faithful to the photos.</v>
      </c>
    </row>
    <row r="18906">
      <c r="A18906" s="1">
        <v>5.0</v>
      </c>
      <c r="B18906" s="1" t="s">
        <v>18595</v>
      </c>
      <c r="C18906" t="str">
        <f>IFERROR(__xludf.DUMMYFUNCTION("GOOGLETRANSLATE(B18906, ""fr"", ""en"")"),"Kettle very fast nice to heat water, I love the blue, which is the largest Led effect, very nice I like the glass container comes with manual and maintenance advice even if its use is very simple")</f>
        <v>Kettle very fast nice to heat water, I love the blue, which is the largest Led effect, very nice I like the glass container comes with manual and maintenance advice even if its use is very simple</v>
      </c>
    </row>
    <row r="18907">
      <c r="A18907" s="1">
        <v>5.0</v>
      </c>
      <c r="B18907" s="1" t="s">
        <v>18596</v>
      </c>
      <c r="C18907" t="str">
        <f>IFERROR(__xludf.DUMMYFUNCTION("GOOGLETRANSLATE(B18907, ""fr"", ""en"")"),"I recommend very beautiful and original, as indicated in several comments, take a size less. This is my case I took 41.5 instead of 42 and it's great")</f>
        <v>I recommend very beautiful and original, as indicated in several comments, take a size less. This is my case I took 41.5 instead of 42 and it's great</v>
      </c>
    </row>
    <row r="18908">
      <c r="A18908" s="1">
        <v>5.0</v>
      </c>
      <c r="B18908" s="1" t="s">
        <v>18597</v>
      </c>
      <c r="C18908" t="str">
        <f>IFERROR(__xludf.DUMMYFUNCTION("GOOGLETRANSLATE(B18908, ""fr"", ""en"")"),"Very good bag Really good! I can put a lot of case and handy")</f>
        <v>Very good bag Really good! I can put a lot of case and handy</v>
      </c>
    </row>
    <row r="18909">
      <c r="A18909" s="1">
        <v>5.0</v>
      </c>
      <c r="B18909" s="1" t="s">
        <v>18598</v>
      </c>
      <c r="C18909" t="str">
        <f>IFERROR(__xludf.DUMMYFUNCTION("GOOGLETRANSLATE(B18909, ""fr"", ""en"")"),"Nickel Basketball consistent, good size, has in laise")</f>
        <v>Nickel Basketball consistent, good size, has in laise</v>
      </c>
    </row>
    <row r="18910">
      <c r="A18910" s="1">
        <v>5.0</v>
      </c>
      <c r="B18910" s="1" t="s">
        <v>18599</v>
      </c>
      <c r="C18910" t="str">
        <f>IFERROR(__xludf.DUMMYFUNCTION("GOOGLETRANSLATE(B18910, ""fr"", ""en"")"),"Great value. The cougar image (football and cycling) in the 80 back in the past for me! The Super Puma Kong Magic!")</f>
        <v>Great value. The cougar image (football and cycling) in the 80 back in the past for me! The Super Puma Kong Magic!</v>
      </c>
    </row>
    <row r="18911">
      <c r="A18911" s="1">
        <v>5.0</v>
      </c>
      <c r="B18911" s="1" t="s">
        <v>18600</v>
      </c>
      <c r="C18911" t="str">
        <f>IFERROR(__xludf.DUMMYFUNCTION("GOOGLETRANSLATE(B18911, ""fr"", ""en"")"),"two essential sprinklers in a very practical ...! I am the User everyday products consistent with the description. I recommend. In the top")</f>
        <v>two essential sprinklers in a very practical ...! I am the User everyday products consistent with the description. I recommend. In the top</v>
      </c>
    </row>
    <row r="18912">
      <c r="A18912" s="1">
        <v>5.0</v>
      </c>
      <c r="B18912" s="1" t="s">
        <v>18601</v>
      </c>
      <c r="C18912" t="str">
        <f>IFERROR(__xludf.DUMMYFUNCTION("GOOGLETRANSLATE(B18912, ""fr"", ""en"")"),"without hesitation entirely consistent with the description; after reading the reviews, I ordered a half size smaller than my usual size and this corresponds entirely; aesthetics and comfort in the appointment; Wholesale + delivery was very fast (3 days t"&amp;"o a product from Italy)")</f>
        <v>without hesitation entirely consistent with the description; after reading the reviews, I ordered a half size smaller than my usual size and this corresponds entirely; aesthetics and comfort in the appointment; Wholesale + delivery was very fast (3 days to a product from Italy)</v>
      </c>
    </row>
    <row r="18913">
      <c r="A18913" s="1">
        <v>5.0</v>
      </c>
      <c r="B18913" s="1" t="s">
        <v>18602</v>
      </c>
      <c r="C18913" t="str">
        <f>IFERROR(__xludf.DUMMYFUNCTION("GOOGLETRANSLATE(B18913, ""fr"", ""en"")"),"Very good bose speaker adapter poyr Fills office. I lost the adapter that came with my bose wireless speaker. And here I can again enjoy the Bose speaker for listening to music via bluetooth to my iphone, ipad. The sound is great.")</f>
        <v>Very good bose speaker adapter poyr Fills office. I lost the adapter that came with my bose wireless speaker. And here I can again enjoy the Bose speaker for listening to music via bluetooth to my iphone, ipad. The sound is great.</v>
      </c>
    </row>
    <row r="18914">
      <c r="A18914" s="1">
        <v>5.0</v>
      </c>
      <c r="B18914" s="1" t="s">
        <v>18603</v>
      </c>
      <c r="C18914" t="str">
        <f>IFERROR(__xludf.DUMMYFUNCTION("GOOGLETRANSLATE(B18914, ""fr"", ""en"")"),"Super strong The most durable trash bags I found the only that does not crack does not pierce! Ultra strong!")</f>
        <v>Super strong The most durable trash bags I found the only that does not crack does not pierce! Ultra strong!</v>
      </c>
    </row>
    <row r="18915">
      <c r="A18915" s="1">
        <v>5.0</v>
      </c>
      <c r="B18915" s="1" t="s">
        <v>18604</v>
      </c>
      <c r="C18915" t="str">
        <f>IFERROR(__xludf.DUMMYFUNCTION("GOOGLETRANSLATE(B18915, ""fr"", ""en"")"),"bag shoulder strap bag with shoulder strap pretty handy and solid material storage for paper and other affairs well pleased")</f>
        <v>bag shoulder strap bag with shoulder strap pretty handy and solid material storage for paper and other affairs well pleased</v>
      </c>
    </row>
    <row r="18916">
      <c r="A18916" s="1">
        <v>2.0</v>
      </c>
      <c r="B18916" s="1" t="s">
        <v>18605</v>
      </c>
      <c r="C18916" t="str">
        <f>IFERROR(__xludf.DUMMYFUNCTION("GOOGLETRANSLATE(B18916, ""fr"", ""en"")"),"Yes ... I do not like the price HP forcing us to buy its products if it does not change its printer. No choice, compliant do not work 80%, ""planned obsolescence,"" almost from date to date, many users agree. In addition, even if the black cartridge chang"&amp;"e, it is worth buying the kit with the color cartridge, considering the price. For intensive use, it is better to change the printer.")</f>
        <v>Yes ... I do not like the price HP forcing us to buy its products if it does not change its printer. No choice, compliant do not work 80%, "planned obsolescence," almost from date to date, many users agree. In addition, even if the black cartridge change, it is worth buying the kit with the color cartridge, considering the price. For intensive use, it is better to change the printer.</v>
      </c>
    </row>
    <row r="18917">
      <c r="A18917" s="1">
        <v>1.0</v>
      </c>
      <c r="B18917" s="1" t="s">
        <v>18606</v>
      </c>
      <c r="C18917" t="str">
        <f>IFERROR(__xludf.DUMMYFUNCTION("GOOGLETRANSLATE(B18917, ""fr"", ""en"")"),"Article incomplete and very poor Parcel received in the power cable (charger) returned the same day. I was able to try it because the battery was charged. His poor, unclear instructions and minimal. Impossible to connect to a PC. In short very disappointe"&amp;"d even though I do not expect a high quality given the low price.")</f>
        <v>Article incomplete and very poor Parcel received in the power cable (charger) returned the same day. I was able to try it because the battery was charged. His poor, unclear instructions and minimal. Impossible to connect to a PC. In short very disappointed even though I do not expect a high quality given the low price.</v>
      </c>
    </row>
    <row r="18918">
      <c r="A18918" s="1">
        <v>3.0</v>
      </c>
      <c r="B18918" s="1" t="s">
        <v>18607</v>
      </c>
      <c r="C18918" t="str">
        <f>IFERROR(__xludf.DUMMYFUNCTION("GOOGLETRANSLATE(B18918, ""fr"", ""en"")"),"not the quality expected loops lose their chips")</f>
        <v>not the quality expected loops lose their chips</v>
      </c>
    </row>
    <row r="18919">
      <c r="A18919" s="1">
        <v>3.0</v>
      </c>
      <c r="B18919" s="1" t="s">
        <v>18608</v>
      </c>
      <c r="C18919" t="str">
        <f>IFERROR(__xludf.DUMMYFUNCTION("GOOGLETRANSLATE(B18919, ""fr"", ""en"")"),"Good but could do better vacuum cleaner that makes a lot of noise and yet the power of the suction is not very impressive. This is perfect for the ashes but I also thought that the use to suck dirt in the garage (gravel, small herbs etc ...) it is missed "&amp;"... I will just ashes.")</f>
        <v>Good but could do better vacuum cleaner that makes a lot of noise and yet the power of the suction is not very impressive. This is perfect for the ashes but I also thought that the use to suck dirt in the garage (gravel, small herbs etc ...) it is missed ... I will just ashes.</v>
      </c>
    </row>
    <row r="18920">
      <c r="A18920" s="1">
        <v>4.0</v>
      </c>
      <c r="B18920" s="1" t="s">
        <v>18609</v>
      </c>
      <c r="C18920" t="str">
        <f>IFERROR(__xludf.DUMMYFUNCTION("GOOGLETRANSLATE(B18920, ""fr"", ""en"")"),"Good resistance Very good")</f>
        <v>Good resistance Very good</v>
      </c>
    </row>
    <row r="18921">
      <c r="A18921" s="1">
        <v>4.0</v>
      </c>
      <c r="B18921" s="1" t="s">
        <v>18610</v>
      </c>
      <c r="C18921" t="str">
        <f>IFERROR(__xludf.DUMMYFUNCTION("GOOGLETRANSLATE(B18921, ""fr"", ""en"")"),"Well I ve hole like the necklace c value")</f>
        <v>Well I ve hole like the necklace c value</v>
      </c>
    </row>
    <row r="18922">
      <c r="A18922" s="1">
        <v>4.0</v>
      </c>
      <c r="B18922" s="1" t="s">
        <v>18611</v>
      </c>
      <c r="C18922" t="str">
        <f>IFERROR(__xludf.DUMMYFUNCTION("GOOGLETRANSLATE(B18922, ""fr"", ""en"")"),"ariver like. very well planned")</f>
        <v>ariver like. very well planned</v>
      </c>
    </row>
    <row r="18923">
      <c r="A18923" s="1">
        <v>4.0</v>
      </c>
      <c r="B18923" s="1" t="s">
        <v>18612</v>
      </c>
      <c r="C18923" t="str">
        <f>IFERROR(__xludf.DUMMYFUNCTION("GOOGLETRANSLATE(B18923, ""fr"", ""en"")"),"recommended is quite the description")</f>
        <v>recommended is quite the description</v>
      </c>
    </row>
    <row r="18924">
      <c r="A18924" s="1">
        <v>5.0</v>
      </c>
      <c r="B18924" s="1" t="s">
        <v>18613</v>
      </c>
      <c r="C18924" t="str">
        <f>IFERROR(__xludf.DUMMYFUNCTION("GOOGLETRANSLATE(B18924, ""fr"", ""en"")"),"Nickel perfect as usual with all star! When will all star liberty with laces colors. ???? I have to customize pr my 11 years ....")</f>
        <v>Nickel perfect as usual with all star! When will all star liberty with laces colors. ???? I have to customize pr my 11 years ....</v>
      </c>
    </row>
    <row r="18925">
      <c r="A18925" s="1">
        <v>5.0</v>
      </c>
      <c r="B18925" s="1" t="s">
        <v>18614</v>
      </c>
      <c r="C18925" t="str">
        <f>IFERROR(__xludf.DUMMYFUNCTION("GOOGLETRANSLATE(B18925, ""fr"", ""en"")"),"Very good product very effective. Used on traces of mold on the back seat of my car.")</f>
        <v>Very good product very effective. Used on traces of mold on the back seat of my car.</v>
      </c>
    </row>
    <row r="18926">
      <c r="A18926" s="1">
        <v>5.0</v>
      </c>
      <c r="B18926" s="1" t="s">
        <v>18615</v>
      </c>
      <c r="C18926" t="str">
        <f>IFERROR(__xludf.DUMMYFUNCTION("GOOGLETRANSLATE(B18926, ""fr"", ""en"")"),"Superb shows I'm totally in love with this show, everyone says she is very stylish, ideal for young lovers of vintage")</f>
        <v>Superb shows I'm totally in love with this show, everyone says she is very stylish, ideal for young lovers of vintage</v>
      </c>
    </row>
    <row r="18927">
      <c r="A18927" s="1">
        <v>5.0</v>
      </c>
      <c r="B18927" s="1" t="s">
        <v>18616</v>
      </c>
      <c r="C18927" t="str">
        <f>IFERROR(__xludf.DUMMYFUNCTION("GOOGLETRANSLATE(B18927, ""fr"", ""en"")"),"vinegar to clean This is an article that I love and I made good advertising to my friends. Very convenient, efficient, cheap and good quality.")</f>
        <v>vinegar to clean This is an article that I love and I made good advertising to my friends. Very convenient, efficient, cheap and good quality.</v>
      </c>
    </row>
    <row r="18928">
      <c r="A18928" s="1">
        <v>5.0</v>
      </c>
      <c r="B18928" s="1" t="s">
        <v>18617</v>
      </c>
      <c r="C18928" t="str">
        <f>IFERROR(__xludf.DUMMYFUNCTION("GOOGLETRANSLATE(B18928, ""fr"", ""en"")"),"This easy to use kettle is of good quality, we can control the temperature, it suits us well with the baby")</f>
        <v>This easy to use kettle is of good quality, we can control the temperature, it suits us well with the baby</v>
      </c>
    </row>
    <row r="18929">
      <c r="A18929" s="1">
        <v>5.0</v>
      </c>
      <c r="B18929" s="1" t="s">
        <v>18618</v>
      </c>
      <c r="C18929" t="str">
        <f>IFERROR(__xludf.DUMMYFUNCTION("GOOGLETRANSLATE(B18929, ""fr"", ""en"")"),"Super good product laminator with cutter and lots of little object to make creations")</f>
        <v>Super good product laminator with cutter and lots of little object to make creations</v>
      </c>
    </row>
    <row r="18930">
      <c r="A18930" s="1">
        <v>5.0</v>
      </c>
      <c r="B18930" s="1" t="s">
        <v>18619</v>
      </c>
      <c r="C18930" t="str">
        <f>IFERROR(__xludf.DUMMYFUNCTION("GOOGLETRANSLATE(B18930, ""fr"", ""en"")"),"Cheap and Super fine and two times cheaper than in stores")</f>
        <v>Cheap and Super fine and two times cheaper than in stores</v>
      </c>
    </row>
    <row r="18931">
      <c r="A18931" s="1">
        <v>5.0</v>
      </c>
      <c r="B18931" s="1" t="s">
        <v>18620</v>
      </c>
      <c r="C18931" t="str">
        <f>IFERROR(__xludf.DUMMYFUNCTION("GOOGLETRANSLATE(B18931, ""fr"", ""en"")"),"A good buy The bag is made with good quality materials. It contains a sufficient number of pockets: two small (one on each side), a large main compartment with a zipper and which contains a small bag with a zipper on the inside, there is also a pocket on "&amp;"the side of main pocket.")</f>
        <v>A good buy The bag is made with good quality materials. It contains a sufficient number of pockets: two small (one on each side), a large main compartment with a zipper and which contains a small bag with a zipper on the inside, there is also a pocket on the side of main pocket.</v>
      </c>
    </row>
    <row r="18932">
      <c r="A18932" s="1">
        <v>5.0</v>
      </c>
      <c r="B18932" s="1" t="s">
        <v>18621</v>
      </c>
      <c r="C18932" t="str">
        <f>IFERROR(__xludf.DUMMYFUNCTION("GOOGLETRANSLATE(B18932, ""fr"", ""en"")"),"Very strong! Finally a bottle brush resists and does not make the soul after a month of use! Hair very strong and remain in place. I'm so glad of my purchase. The Philips Avent range (bottles, disks, jars, bottle brush) is very good!")</f>
        <v>Very strong! Finally a bottle brush resists and does not make the soul after a month of use! Hair very strong and remain in place. I'm so glad of my purchase. The Philips Avent range (bottles, disks, jars, bottle brush) is very good!</v>
      </c>
    </row>
    <row r="18933">
      <c r="A18933" s="1">
        <v>5.0</v>
      </c>
      <c r="B18933" s="1" t="s">
        <v>18622</v>
      </c>
      <c r="C18933" t="str">
        <f>IFERROR(__xludf.DUMMYFUNCTION("GOOGLETRANSLATE(B18933, ""fr"", ""en"")"),"Compact and convenient Small efficient kettle for an honorable price. Nice design. Good grip. very correct heating rate, with automatic stop at the end. Removable filter limestone anti at spout level. In short ,: this kettle perfectly fulfills its functio"&amp;"n and is comparable to other similar template ..")</f>
        <v>Compact and convenient Small efficient kettle for an honorable price. Nice design. Good grip. very correct heating rate, with automatic stop at the end. Removable filter limestone anti at spout level. In short ,: this kettle perfectly fulfills its function and is comparable to other similar template ..</v>
      </c>
    </row>
    <row r="18934">
      <c r="A18934" s="1">
        <v>5.0</v>
      </c>
      <c r="B18934" s="1" t="s">
        <v>18623</v>
      </c>
      <c r="C18934" t="str">
        <f>IFERROR(__xludf.DUMMYFUNCTION("GOOGLETRANSLATE(B18934, ""fr"", ""en"")"),"Super Super bottle bottle and good grip, very happy that I bought that brand MAM bottles and pacifiers")</f>
        <v>Super Super bottle bottle and good grip, very happy that I bought that brand MAM bottles and pacifiers</v>
      </c>
    </row>
    <row r="18935">
      <c r="A18935" s="1">
        <v>5.0</v>
      </c>
      <c r="B18935" s="1" t="s">
        <v>18624</v>
      </c>
      <c r="C18935" t="str">
        <f>IFERROR(__xludf.DUMMYFUNCTION("GOOGLETRANSLATE(B18935, ""fr"", ""en"")"),"Diffuser Using staff very nice product")</f>
        <v>Diffuser Using staff very nice product</v>
      </c>
    </row>
    <row r="18936">
      <c r="A18936" s="1">
        <v>5.0</v>
      </c>
      <c r="B18936" s="1" t="s">
        <v>18625</v>
      </c>
      <c r="C18936" t="str">
        <f>IFERROR(__xludf.DUMMYFUNCTION("GOOGLETRANSLATE(B18936, ""fr"", ""en"")"),"Bottle Master Class! Very good product from Phillips and perfectly prevents air back whatever its inclination, at least our little piece, the quickly adopted.")</f>
        <v>Bottle Master Class! Very good product from Phillips and perfectly prevents air back whatever its inclination, at least our little piece, the quickly adopted.</v>
      </c>
    </row>
    <row r="18937">
      <c r="A18937" s="1">
        <v>5.0</v>
      </c>
      <c r="B18937" s="1" t="s">
        <v>18626</v>
      </c>
      <c r="C18937" t="str">
        <f>IFERROR(__xludf.DUMMYFUNCTION("GOOGLETRANSLATE(B18937, ""fr"", ""en"")"),"Beautiful shoes To run on land and mud, I bought this pair of sneakers. I use them for 2 days and I am satisfied. The size is good, perfect for my feet. The shoes are pretty good for the price. Not much to complain about. In the top")</f>
        <v>Beautiful shoes To run on land and mud, I bought this pair of sneakers. I use them for 2 days and I am satisfied. The size is good, perfect for my feet. The shoes are pretty good for the price. Not much to complain about. In the top</v>
      </c>
    </row>
    <row r="18938">
      <c r="A18938" s="1">
        <v>5.0</v>
      </c>
      <c r="B18938" s="1" t="s">
        <v>18627</v>
      </c>
      <c r="C18938" t="str">
        <f>IFERROR(__xludf.DUMMYFUNCTION("GOOGLETRANSLATE(B18938, ""fr"", ""en"")"),"cheaper and on top! Perfect")</f>
        <v>cheaper and on top! Perfect</v>
      </c>
    </row>
    <row r="18939">
      <c r="A18939" s="1">
        <v>2.0</v>
      </c>
      <c r="B18939" s="1" t="s">
        <v>18628</v>
      </c>
      <c r="C18939" t="str">
        <f>IFERROR(__xludf.DUMMYFUNCTION("GOOGLETRANSLATE(B18939, ""fr"", ""en"")"),"look nice, comfortable but .......... I was looking comfortable shoes, safe but does not shake my foot. I found them more with a nice look and not too dear. Perfect for 6 months, but here the fabric tears the inset is deteriorating .... Voila, damn it, an"&amp;"d yet not too stressed, work part time, no liquid, no corrosive, just pump the Chinese really solid, good, we'll look for others.")</f>
        <v>look nice, comfortable but .......... I was looking comfortable shoes, safe but does not shake my foot. I found them more with a nice look and not too dear. Perfect for 6 months, but here the fabric tears the inset is deteriorating .... Voila, damn it, and yet not too stressed, work part time, no liquid, no corrosive, just pump the Chinese really solid, good, we'll look for others.</v>
      </c>
    </row>
    <row r="18940">
      <c r="A18940" s="1">
        <v>1.0</v>
      </c>
      <c r="B18940" s="1" t="s">
        <v>18629</v>
      </c>
      <c r="C18940" t="str">
        <f>IFERROR(__xludf.DUMMYFUNCTION("GOOGLETRANSLATE(B18940, ""fr"", ""en"")"),"Disappointed mounting system I bought this bracelet, then it is good, beautiful and looks solid, though the mounting system comes with is a real sea ... ** tips loaded to push the stems break the media is not calibrated and flimsy, short ... So I'm disapp"&amp;"ointed with my purchase.")</f>
        <v>Disappointed mounting system I bought this bracelet, then it is good, beautiful and looks solid, though the mounting system comes with is a real sea ... ** tips loaded to push the stems break the media is not calibrated and flimsy, short ... So I'm disappointed with my purchase.</v>
      </c>
    </row>
    <row r="18941">
      <c r="A18941" s="1">
        <v>1.0</v>
      </c>
      <c r="B18941" s="1" t="s">
        <v>18630</v>
      </c>
      <c r="C18941" t="str">
        <f>IFERROR(__xludf.DUMMYFUNCTION("GOOGLETRANSLATE(B18941, ""fr"", ""en"")"),"Teats leaky bottle with pacifier that quite fled (all those I purchased the Avent range presents this ""defect"" ... It can not be just not right for my baby ...")</f>
        <v>Teats leaky bottle with pacifier that quite fled (all those I purchased the Avent range presents this "defect" ... It can not be just not right for my baby ...</v>
      </c>
    </row>
    <row r="18942">
      <c r="A18942" s="1">
        <v>3.0</v>
      </c>
      <c r="B18942" s="1" t="s">
        <v>18631</v>
      </c>
      <c r="C18942" t="str">
        <f>IFERROR(__xludf.DUMMYFUNCTION("GOOGLETRANSLATE(B18942, ""fr"", ""en"")"),"GAP strap really any which unfortunately considerably reduces the bag aesthetically")</f>
        <v>GAP strap really any which unfortunately considerably reduces the bag aesthetically</v>
      </c>
    </row>
    <row r="18943">
      <c r="A18943" s="1">
        <v>3.0</v>
      </c>
      <c r="B18943" s="1" t="s">
        <v>18632</v>
      </c>
      <c r="C18943" t="str">
        <f>IFERROR(__xludf.DUMMYFUNCTION("GOOGLETRANSLATE(B18943, ""fr"", ""en"")"),"Kettle. Article very silent variable temperature. Degrees adjustable from 5 to 5 with keeping warm. Easy to maintain for dressing chrome fingerprints easily erasable. However big negative because not insulated! The walls are hot and it is unacceptable for"&amp;" a product if the price !!")</f>
        <v>Kettle. Article very silent variable temperature. Degrees adjustable from 5 to 5 with keeping warm. Easy to maintain for dressing chrome fingerprints easily erasable. However big negative because not insulated! The walls are hot and it is unacceptable for a product if the price !!</v>
      </c>
    </row>
    <row r="18944">
      <c r="A18944" s="1">
        <v>4.0</v>
      </c>
      <c r="B18944" s="1" t="s">
        <v>18633</v>
      </c>
      <c r="C18944" t="str">
        <f>IFERROR(__xludf.DUMMYFUNCTION("GOOGLETRANSLATE(B18944, ""fr"", ""en"")"),"Perfect and compliant Compliant my expectations.")</f>
        <v>Perfect and compliant Compliant my expectations.</v>
      </c>
    </row>
    <row r="18945">
      <c r="A18945" s="1">
        <v>4.0</v>
      </c>
      <c r="B18945" s="1" t="s">
        <v>18634</v>
      </c>
      <c r="C18945" t="str">
        <f>IFERROR(__xludf.DUMMYFUNCTION("GOOGLETRANSLATE(B18945, ""fr"", ""en"")"),"NOT BAD My son uses this product on her Samsung phone to listen to music and he is very satisfied. Thank you")</f>
        <v>NOT BAD My son uses this product on her Samsung phone to listen to music and he is very satisfied. Thank you</v>
      </c>
    </row>
    <row r="18946">
      <c r="A18946" s="1">
        <v>4.0</v>
      </c>
      <c r="B18946" s="1" t="s">
        <v>18635</v>
      </c>
      <c r="C18946" t="str">
        <f>IFERROR(__xludf.DUMMYFUNCTION("GOOGLETRANSLATE(B18946, ""fr"", ""en"")"),"It is the glue no more or less conventional glue sticks and handy to use even if each glue stick does not last very long.")</f>
        <v>It is the glue no more or less conventional glue sticks and handy to use even if each glue stick does not last very long.</v>
      </c>
    </row>
    <row r="18947">
      <c r="A18947" s="1">
        <v>4.0</v>
      </c>
      <c r="B18947" s="1" t="s">
        <v>18636</v>
      </c>
      <c r="C18947" t="str">
        <f>IFERROR(__xludf.DUMMYFUNCTION("GOOGLETRANSLATE(B18947, ""fr"", ""en"")"),"Artist Brushes Excellent brush you just tame")</f>
        <v>Artist Brushes Excellent brush you just tame</v>
      </c>
    </row>
    <row r="18948">
      <c r="A18948" s="1">
        <v>5.0</v>
      </c>
      <c r="B18948" s="1" t="s">
        <v>18637</v>
      </c>
      <c r="C18948" t="str">
        <f>IFERROR(__xludf.DUMMYFUNCTION("GOOGLETRANSLATE(B18948, ""fr"", ""en"")"),"Super seller arrived on time, the parcel was nickel.")</f>
        <v>Super seller arrived on time, the parcel was nickel.</v>
      </c>
    </row>
    <row r="18949">
      <c r="A18949" s="1">
        <v>5.0</v>
      </c>
      <c r="B18949" s="1" t="s">
        <v>18638</v>
      </c>
      <c r="C18949" t="str">
        <f>IFERROR(__xludf.DUMMYFUNCTION("GOOGLETRANSLATE(B18949, ""fr"", ""en"")"),"Meets Design, good composure, good price / quality, robust, consistent with the description. I recommend")</f>
        <v>Meets Design, good composure, good price / quality, robust, consistent with the description. I recommend</v>
      </c>
    </row>
    <row r="18950">
      <c r="A18950" s="1">
        <v>5.0</v>
      </c>
      <c r="B18950" s="1" t="s">
        <v>18639</v>
      </c>
      <c r="C18950" t="str">
        <f>IFERROR(__xludf.DUMMYFUNCTION("GOOGLETRANSLATE(B18950, ""fr"", ""en"")"),"subtle and sublime class !! I am a collector of fine watches and this watch really something other n ""pas.elle have a tinted window but not too dial changes color (red or burgundy) or as"" have found it .. bracelet and are good quality and the chronograp"&amp;"h estcreusé and embossed .. it has .. reflection gold bracelet and watch design large marques..je you advice .. !!")</f>
        <v>subtle and sublime class !! I am a collector of fine watches and this watch really something other n "pas.elle have a tinted window but not too dial changes color (red or burgundy) or as" have found it .. bracelet and are good quality and the chronograph estcreusé and embossed .. it has .. reflection gold bracelet and watch design large marques..je you advice .. !!</v>
      </c>
    </row>
    <row r="18951">
      <c r="A18951" s="1">
        <v>5.0</v>
      </c>
      <c r="B18951" s="1" t="s">
        <v>18640</v>
      </c>
      <c r="C18951" t="str">
        <f>IFERROR(__xludf.DUMMYFUNCTION("GOOGLETRANSLATE(B18951, ""fr"", ""en"")"),"Bottine Good quality")</f>
        <v>Bottine Good quality</v>
      </c>
    </row>
    <row r="18952">
      <c r="A18952" s="1">
        <v>5.0</v>
      </c>
      <c r="B18952" s="1" t="s">
        <v>18641</v>
      </c>
      <c r="C18952" t="str">
        <f>IFERROR(__xludf.DUMMYFUNCTION("GOOGLETRANSLATE(B18952, ""fr"", ""en"")"),"It really perfect diffuse well, even in a large room. It is beautiful the color of the light is selected according to taste: really good.")</f>
        <v>It really perfect diffuse well, even in a large room. It is beautiful the color of the light is selected according to taste: really good.</v>
      </c>
    </row>
    <row r="18953">
      <c r="A18953" s="1">
        <v>5.0</v>
      </c>
      <c r="B18953" s="1" t="s">
        <v>18642</v>
      </c>
      <c r="C18953" t="str">
        <f>IFERROR(__xludf.DUMMYFUNCTION("GOOGLETRANSLATE(B18953, ""fr"", ""en"")"),"ALMOST PERFECT SIZE SOME SMALL OTHERWISE PERFECT")</f>
        <v>ALMOST PERFECT SIZE SOME SMALL OTHERWISE PERFECT</v>
      </c>
    </row>
    <row r="18954">
      <c r="A18954" s="1">
        <v>5.0</v>
      </c>
      <c r="B18954" s="1" t="s">
        <v>18643</v>
      </c>
      <c r="C18954" t="str">
        <f>IFERROR(__xludf.DUMMYFUNCTION("GOOGLETRANSLATE(B18954, ""fr"", ""en"")"),"Size 45, perfect. Shoes very good, size is good.")</f>
        <v>Size 45, perfect. Shoes very good, size is good.</v>
      </c>
    </row>
    <row r="18955">
      <c r="A18955" s="1">
        <v>5.0</v>
      </c>
      <c r="B18955" s="1" t="s">
        <v>18644</v>
      </c>
      <c r="C18955" t="str">
        <f>IFERROR(__xludf.DUMMYFUNCTION("GOOGLETRANSLATE(B18955, ""fr"", ""en"")"),"Perfect Good quality")</f>
        <v>Perfect Good quality</v>
      </c>
    </row>
    <row r="18956">
      <c r="A18956" s="1">
        <v>5.0</v>
      </c>
      <c r="B18956" s="1" t="s">
        <v>18645</v>
      </c>
      <c r="C18956" t="str">
        <f>IFERROR(__xludf.DUMMYFUNCTION("GOOGLETRANSLATE(B18956, ""fr"", ""en"")"),"Beautiful color for my baby 16 months it's perfect. Pencils and felt have pretty colors. Look good in his small hands. Only Bémol the box arrived broken on delivery shame suddenly I can close more.")</f>
        <v>Beautiful color for my baby 16 months it's perfect. Pencils and felt have pretty colors. Look good in his small hands. Only Bémol the box arrived broken on delivery shame suddenly I can close more.</v>
      </c>
    </row>
    <row r="18957">
      <c r="A18957" s="1">
        <v>5.0</v>
      </c>
      <c r="B18957" s="1" t="s">
        <v>18646</v>
      </c>
      <c r="C18957" t="str">
        <f>IFERROR(__xludf.DUMMYFUNCTION("GOOGLETRANSLATE(B18957, ""fr"", ""en"")"),"Perfect taking 1/2 size smaller Teen happy, beautiful large color rouge.Taille I took 37.5 instead of 38 and it's nickel. Besides great price on Amazon.")</f>
        <v>Perfect taking 1/2 size smaller Teen happy, beautiful large color rouge.Taille I took 37.5 instead of 38 and it's nickel. Besides great price on Amazon.</v>
      </c>
    </row>
    <row r="18958">
      <c r="A18958" s="1">
        <v>5.0</v>
      </c>
      <c r="B18958" s="1" t="s">
        <v>18647</v>
      </c>
      <c r="C18958" t="str">
        <f>IFERROR(__xludf.DUMMYFUNCTION("GOOGLETRANSLATE(B18958, ""fr"", ""en"")"),"THIRD PERSON seduced ..... An acquaintance of mine asked me to serve as an intermediary to procure this Canon cartridge ... I took the opportunity, too, to make known ^ te r Amazon ... This very well because this person has finally opened its own account!"&amp;" According to him, this cartridge is the cheapest she found on the market, with equal mark ...")</f>
        <v>THIRD PERSON seduced ..... An acquaintance of mine asked me to serve as an intermediary to procure this Canon cartridge ... I took the opportunity, too, to make known ^ te r Amazon ... This very well because this person has finally opened its own account! According to him, this cartridge is the cheapest she found on the market, with equal mark ...</v>
      </c>
    </row>
    <row r="18959">
      <c r="A18959" s="1">
        <v>5.0</v>
      </c>
      <c r="B18959" s="1" t="s">
        <v>18648</v>
      </c>
      <c r="C18959" t="str">
        <f>IFERROR(__xludf.DUMMYFUNCTION("GOOGLETRANSLATE(B18959, ""fr"", ""en"")"),"Very good fun for voitire on ventilation and put the desired scent with various buffers at I recommend")</f>
        <v>Very good fun for voitire on ventilation and put the desired scent with various buffers at I recommend</v>
      </c>
    </row>
    <row r="18960">
      <c r="A18960" s="1">
        <v>5.0</v>
      </c>
      <c r="B18960" s="1" t="s">
        <v>18649</v>
      </c>
      <c r="C18960" t="str">
        <f>IFERROR(__xludf.DUMMYFUNCTION("GOOGLETRANSLATE(B18960, ""fr"", ""en"")"),"Very good product very nice product, good quality! Which diffuses essential oils very well! But also it serves as decoration. I recommend this product without hesitation. value for money at the top !! You can choose the diffusion time, it changes colors b"&amp;"ut can also remain fixed.")</f>
        <v>Very good product very nice product, good quality! Which diffuses essential oils very well! But also it serves as decoration. I recommend this product without hesitation. value for money at the top !! You can choose the diffusion time, it changes colors but can also remain fixed.</v>
      </c>
    </row>
    <row r="18961">
      <c r="A18961" s="1">
        <v>5.0</v>
      </c>
      <c r="B18961" s="1" t="s">
        <v>18650</v>
      </c>
      <c r="C18961" t="str">
        <f>IFERROR(__xludf.DUMMYFUNCTION("GOOGLETRANSLATE(B18961, ""fr"", ""en"")"),"works well for eg tea! practical and aesthetic.")</f>
        <v>works well for eg tea! practical and aesthetic.</v>
      </c>
    </row>
    <row r="18962">
      <c r="A18962" s="1">
        <v>5.0</v>
      </c>
      <c r="B18962" s="1" t="s">
        <v>18651</v>
      </c>
      <c r="C18962" t="str">
        <f>IFERROR(__xludf.DUMMYFUNCTION("GOOGLETRANSLATE(B18962, ""fr"", ""en"")"),"I love this brand simply j'adore !!! These small comfortable shoes fit with any outfit. In addition they provide a summer air early.")</f>
        <v>I love this brand simply j'adore !!! These small comfortable shoes fit with any outfit. In addition they provide a summer air early.</v>
      </c>
    </row>
    <row r="18963">
      <c r="A18963" s="1">
        <v>2.0</v>
      </c>
      <c r="B18963" s="1" t="s">
        <v>18652</v>
      </c>
      <c r="C18963" t="str">
        <f>IFERROR(__xludf.DUMMYFUNCTION("GOOGLETRANSLATE(B18963, ""fr"", ""en"")"),"For experts the fingers of fairies The earrings are very difficult to open and close even more especially once positioned (if we get to the position). It is true that the price is not high so we did not necessarily expect to away top quality but this is u"&amp;"nfortunate is that they are almost unusable and deteriorate very quickly if you force a too much despair")</f>
        <v>For experts the fingers of fairies The earrings are very difficult to open and close even more especially once positioned (if we get to the position). It is true that the price is not high so we did not necessarily expect to away top quality but this is unfortunate is that they are almost unusable and deteriorate very quickly if you force a too much despair</v>
      </c>
    </row>
    <row r="18964">
      <c r="A18964" s="1">
        <v>1.0</v>
      </c>
      <c r="B18964" s="1" t="s">
        <v>18653</v>
      </c>
      <c r="C18964" t="str">
        <f>IFERROR(__xludf.DUMMYFUNCTION("GOOGLETRANSLATE(B18964, ""fr"", ""en"")"),"very fine quality poor they are super fine")</f>
        <v>very fine quality poor they are super fine</v>
      </c>
    </row>
    <row r="18965">
      <c r="A18965" s="1">
        <v>1.0</v>
      </c>
      <c r="B18965" s="1" t="s">
        <v>18654</v>
      </c>
      <c r="C18965" t="str">
        <f>IFERROR(__xludf.DUMMYFUNCTION("GOOGLETRANSLATE(B18965, ""fr"", ""en"")"),"Cartridge defective cartridge my only lasted 8 days instead of a month in normal use. defective product??")</f>
        <v>Cartridge defective cartridge my only lasted 8 days instead of a month in normal use. defective product??</v>
      </c>
    </row>
    <row r="18966">
      <c r="A18966" s="1">
        <v>3.0</v>
      </c>
      <c r="B18966" s="1" t="s">
        <v>18655</v>
      </c>
      <c r="C18966" t="str">
        <f>IFERROR(__xludf.DUMMYFUNCTION("GOOGLETRANSLATE(B18966, ""fr"", ""en"")"),"Watch entertainment with amazing Default I bought this watch for recreation, sport. Its look is consistent with the image. From my perspective, it has a real fault, amazing, surprising when Japanese technology is mentioned. His glass is not flush ?? it ex"&amp;"ceeds half a millimeter, why? it will collect dust and what else? it's weird and incomprehensible well. I'll see to use. But I put only 3 *. I do not recommend this article I think the glass will face sooner or later to a table object and who knows what w"&amp;"ill ruin? the glass itself or object.")</f>
        <v>Watch entertainment with amazing Default I bought this watch for recreation, sport. Its look is consistent with the image. From my perspective, it has a real fault, amazing, surprising when Japanese technology is mentioned. His glass is not flush ?? it exceeds half a millimeter, why? it will collect dust and what else? it's weird and incomprehensible well. I'll see to use. But I put only 3 *. I do not recommend this article I think the glass will face sooner or later to a table object and who knows what will ruin? the glass itself or object.</v>
      </c>
    </row>
    <row r="18967">
      <c r="A18967" s="1">
        <v>3.0</v>
      </c>
      <c r="B18967" s="1" t="s">
        <v>18656</v>
      </c>
      <c r="C18967" t="str">
        <f>IFERROR(__xludf.DUMMYFUNCTION("GOOGLETRANSLATE(B18967, ""fr"", ""en"")"),"Good but not great Aesthetics is correct but the quality is not the RDV, it feels right packaging, difficult indeed to drag the scissors without the paper come to tear rather than cut letting go.")</f>
        <v>Good but not great Aesthetics is correct but the quality is not the RDV, it feels right packaging, difficult indeed to drag the scissors without the paper come to tear rather than cut letting go.</v>
      </c>
    </row>
    <row r="18968">
      <c r="A18968" s="1">
        <v>4.0</v>
      </c>
      <c r="B18968" s="1" t="s">
        <v>18657</v>
      </c>
      <c r="C18968" t="str">
        <f>IFERROR(__xludf.DUMMYFUNCTION("GOOGLETRANSLATE(B18968, ""fr"", ""en"")"),"They are waterproof Presques perfect contrast to the conservation pots Brand A ****. By cons not possible to write something on it (draw date ...) that fades quickly, should an area or ink runs until washing.")</f>
        <v>They are waterproof Presques perfect contrast to the conservation pots Brand A ****. By cons not possible to write something on it (draw date ...) that fades quickly, should an area or ink runs until washing.</v>
      </c>
    </row>
    <row r="18969">
      <c r="A18969" s="1">
        <v>4.0</v>
      </c>
      <c r="B18969" s="1" t="s">
        <v>18658</v>
      </c>
      <c r="C18969" t="str">
        <f>IFERROR(__xludf.DUMMYFUNCTION("GOOGLETRANSLATE(B18969, ""fr"", ""en"")"),"Excellent! Received quickly. Upon receipt I put in charge and I tried day for 4 hours. No problem even when I move away to more than 7 meters from the Bluetooth source (television). At that distance, even with walls between the background noise is very lo"&amp;"w. The headphones are very comfortable and I did not feel on the ears. I recommend this material without any problems!")</f>
        <v>Excellent! Received quickly. Upon receipt I put in charge and I tried day for 4 hours. No problem even when I move away to more than 7 meters from the Bluetooth source (television). At that distance, even with walls between the background noise is very low. The headphones are very comfortable and I did not feel on the ears. I recommend this material without any problems!</v>
      </c>
    </row>
    <row r="18970">
      <c r="A18970" s="1">
        <v>4.0</v>
      </c>
      <c r="B18970" s="1" t="s">
        <v>18659</v>
      </c>
      <c r="C18970" t="str">
        <f>IFERROR(__xludf.DUMMYFUNCTION("GOOGLETRANSLATE(B18970, ""fr"", ""en"")"),"a good smell fresh at the opening of the washing machine I tried Lenor Unstoppables Air Linen Scent Beads 285 g - 3 Pack within prescribed doses (and put the plug in the machine, as advised by the manufacturer!) and I was surprised at the opening of the w"&amp;"ashing machine by the aroma that is so prevalent. immediately put it in the dryer, the clothes have kept this refreshing scent, and saw temperatures going back these days, I'll have clean clothes and smelling!")</f>
        <v>a good smell fresh at the opening of the washing machine I tried Lenor Unstoppables Air Linen Scent Beads 285 g - 3 Pack within prescribed doses (and put the plug in the machine, as advised by the manufacturer!) and I was surprised at the opening of the washing machine by the aroma that is so prevalent. immediately put it in the dryer, the clothes have kept this refreshing scent, and saw temperatures going back these days, I'll have clean clothes and smelling!</v>
      </c>
    </row>
    <row r="18971">
      <c r="A18971" s="1">
        <v>4.0</v>
      </c>
      <c r="B18971" s="1" t="s">
        <v>18660</v>
      </c>
      <c r="C18971" t="str">
        <f>IFERROR(__xludf.DUMMYFUNCTION("GOOGLETRANSLATE(B18971, ""fr"", ""en"")"),"Stylish design as the perfect stylish picture Leger. But provide a higher size Quality is judged on use")</f>
        <v>Stylish design as the perfect stylish picture Leger. But provide a higher size Quality is judged on use</v>
      </c>
    </row>
    <row r="18972">
      <c r="A18972" s="1">
        <v>5.0</v>
      </c>
      <c r="B18972" s="1" t="s">
        <v>18661</v>
      </c>
      <c r="C18972" t="str">
        <f>IFERROR(__xludf.DUMMYFUNCTION("GOOGLETRANSLATE(B18972, ""fr"", ""en"")"),"Shoes a little small to take a size above Sturdy boots for small course not too rough")</f>
        <v>Shoes a little small to take a size above Sturdy boots for small course not too rough</v>
      </c>
    </row>
    <row r="18973">
      <c r="A18973" s="1">
        <v>5.0</v>
      </c>
      <c r="B18973" s="1" t="s">
        <v>18662</v>
      </c>
      <c r="C18973" t="str">
        <f>IFERROR(__xludf.DUMMYFUNCTION("GOOGLETRANSLATE(B18973, ""fr"", ""en"")"),"Fast shipping and perfect boots conform to the picture and description. A pair of more to my collection. The seller responds to questions. A + for him.")</f>
        <v>Fast shipping and perfect boots conform to the picture and description. A pair of more to my collection. The seller responds to questions. A + for him.</v>
      </c>
    </row>
    <row r="18974">
      <c r="A18974" s="1">
        <v>5.0</v>
      </c>
      <c r="B18974" s="1" t="s">
        <v>18663</v>
      </c>
      <c r="C18974" t="str">
        <f>IFERROR(__xludf.DUMMYFUNCTION("GOOGLETRANSLATE(B18974, ""fr"", ""en"")"),"super whitening and disinfectant I've never had such white linen since I discovered this second order and always satisfied too. Very fast delivery and perfect packaging")</f>
        <v>super whitening and disinfectant I've never had such white linen since I discovered this second order and always satisfied too. Very fast delivery and perfect packaging</v>
      </c>
    </row>
    <row r="18975">
      <c r="A18975" s="1">
        <v>5.0</v>
      </c>
      <c r="B18975" s="1" t="s">
        <v>18664</v>
      </c>
      <c r="C18975" t="str">
        <f>IFERROR(__xludf.DUMMYFUNCTION("GOOGLETRANSLATE(B18975, ""fr"", ""en"")"),"high quality adult Played adult played very good. Easy to clean, pleasant to use. Start / stop very sensitive!")</f>
        <v>high quality adult Played adult played very good. Easy to clean, pleasant to use. Start / stop very sensitive!</v>
      </c>
    </row>
    <row r="18976">
      <c r="A18976" s="1">
        <v>5.0</v>
      </c>
      <c r="B18976" s="1" t="s">
        <v>18665</v>
      </c>
      <c r="C18976" t="str">
        <f>IFERROR(__xludf.DUMMYFUNCTION("GOOGLETRANSLATE(B18976, ""fr"", ""en"")"),"Excellent value ! I bought the broadcaster as a small gift for my mother. She wanted one in this color because it has a ""hazel"" area and it looks fine with that. As for the packaging, I must say it was fun and funny. But this did not affect the function"&amp;"ality. The following items were included: cleaning brush, German manual, charger and kl. Water reservoir. However, you must separately oils because they are not included. It is easy to use. Bsp adjustable interval. 1 h. / 2h etc. You can change the color "&amp;"bands in beautiful colors. Once the water is empty, the diffuser also closes to protect the engine. It also looks very elegant decorative.")</f>
        <v>Excellent value ! I bought the broadcaster as a small gift for my mother. She wanted one in this color because it has a "hazel" area and it looks fine with that. As for the packaging, I must say it was fun and funny. But this did not affect the functionality. The following items were included: cleaning brush, German manual, charger and kl. Water reservoir. However, you must separately oils because they are not included. It is easy to use. Bsp adjustable interval. 1 h. / 2h etc. You can change the color bands in beautiful colors. Once the water is empty, the diffuser also closes to protect the engine. It also looks very elegant decorative.</v>
      </c>
    </row>
    <row r="18977">
      <c r="A18977" s="1">
        <v>5.0</v>
      </c>
      <c r="B18977" s="1" t="s">
        <v>18666</v>
      </c>
      <c r="C18977" t="str">
        <f>IFERROR(__xludf.DUMMYFUNCTION("GOOGLETRANSLATE(B18977, ""fr"", ""en"")"),"Very satisfied My son wear them every day is delighted")</f>
        <v>Very satisfied My son wear them every day is delighted</v>
      </c>
    </row>
    <row r="18978">
      <c r="A18978" s="1">
        <v>5.0</v>
      </c>
      <c r="B18978" s="1" t="s">
        <v>18667</v>
      </c>
      <c r="C18978" t="str">
        <f>IFERROR(__xludf.DUMMYFUNCTION("GOOGLETRANSLATE(B18978, ""fr"", ""en"")"),"I love FUNKY")</f>
        <v>I love FUNKY</v>
      </c>
    </row>
    <row r="18979">
      <c r="A18979" s="1">
        <v>5.0</v>
      </c>
      <c r="B18979" s="1" t="s">
        <v>224</v>
      </c>
      <c r="C18979" t="str">
        <f>IFERROR(__xludf.DUMMYFUNCTION("GOOGLETRANSLATE(B18979, ""fr"", ""en"")"),"perfect perfect")</f>
        <v>perfect perfect</v>
      </c>
    </row>
    <row r="18980">
      <c r="A18980" s="1">
        <v>5.0</v>
      </c>
      <c r="B18980" s="1" t="s">
        <v>18668</v>
      </c>
      <c r="C18980" t="str">
        <f>IFERROR(__xludf.DUMMYFUNCTION("GOOGLETRANSLATE(B18980, ""fr"", ""en"")"),"Perfect Simple, pretty and not too big, perfect to offer a girl / woman")</f>
        <v>Perfect Simple, pretty and not too big, perfect to offer a girl / woman</v>
      </c>
    </row>
    <row r="18981">
      <c r="A18981" s="1">
        <v>5.0</v>
      </c>
      <c r="B18981" s="1" t="s">
        <v>18669</v>
      </c>
      <c r="C18981" t="str">
        <f>IFERROR(__xludf.DUMMYFUNCTION("GOOGLETRANSLATE(B18981, ""fr"", ""en"")"),"Tip Top Very Good product .. Give truly the effect of a second skin .. Really very fine and warm .Envoie fast. I recommend this product .")</f>
        <v>Tip Top Very Good product .. Give truly the effect of a second skin .. Really very fine and warm .Envoie fast. I recommend this product .</v>
      </c>
    </row>
    <row r="18982">
      <c r="A18982" s="1">
        <v>5.0</v>
      </c>
      <c r="B18982" s="1" t="s">
        <v>18670</v>
      </c>
      <c r="C18982" t="str">
        <f>IFERROR(__xludf.DUMMYFUNCTION("GOOGLETRANSLATE(B18982, ""fr"", ""en"")"),"raincoat I have not tried by heavy rain since it makes it very hot now, but the material is very comfortable to wear and great size, recommend")</f>
        <v>raincoat I have not tried by heavy rain since it makes it very hot now, but the material is very comfortable to wear and great size, recommend</v>
      </c>
    </row>
    <row r="18983">
      <c r="A18983" s="1">
        <v>5.0</v>
      </c>
      <c r="B18983" s="1" t="s">
        <v>18671</v>
      </c>
      <c r="C18983" t="str">
        <f>IFERROR(__xludf.DUMMYFUNCTION("GOOGLETRANSLATE(B18983, ""fr"", ""en"")"),"Top compression Exactly compression shirt I wanted. Ideal to avoid friction during the running outputs. Size L perfectly suited to my 1m90.")</f>
        <v>Top compression Exactly compression shirt I wanted. Ideal to avoid friction during the running outputs. Size L perfectly suited to my 1m90.</v>
      </c>
    </row>
    <row r="18984">
      <c r="A18984" s="1">
        <v>5.0</v>
      </c>
      <c r="B18984" s="1" t="s">
        <v>18672</v>
      </c>
      <c r="C18984" t="str">
        <f>IFERROR(__xludf.DUMMYFUNCTION("GOOGLETRANSLATE(B18984, ""fr"", ""en"")"),"Leather Strap Watch Command and reception on time. Watchband of a good quality and easy to install. Unfortunately for me, I ordered the bracelet 20mm while I had a 18mm.")</f>
        <v>Leather Strap Watch Command and reception on time. Watchband of a good quality and easy to install. Unfortunately for me, I ordered the bracelet 20mm while I had a 18mm.</v>
      </c>
    </row>
    <row r="18985">
      <c r="A18985" s="1">
        <v>5.0</v>
      </c>
      <c r="B18985" s="1" t="s">
        <v>18673</v>
      </c>
      <c r="C18985" t="str">
        <f>IFERROR(__xludf.DUMMYFUNCTION("GOOGLETRANSLATE(B18985, ""fr"", ""en"")"),"Baby Bottle Baby Bottle practice practical use. Unscrews in 5 parts: the base, the seal which is in the bottom, the body and the teat holder and the teat. There is also a cover. Wide enough to clean by hand, but everything goes in the dishwasher. Care mus"&amp;"t be taken not to over tighten the bottom and nipple screwing so that air can circulate when the baby drinks. Several choices of teats that mark which are suitable for all bottles when baby grows. The trough bottom allows the baby to catch him to drink ev"&amp;"en when it is larger. I do not know if this is the anti-colic system but my son does actually ever had.")</f>
        <v>Baby Bottle Baby Bottle practice practical use. Unscrews in 5 parts: the base, the seal which is in the bottom, the body and the teat holder and the teat. There is also a cover. Wide enough to clean by hand, but everything goes in the dishwasher. Care must be taken not to over tighten the bottom and nipple screwing so that air can circulate when the baby drinks. Several choices of teats that mark which are suitable for all bottles when baby grows. The trough bottom allows the baby to catch him to drink even when it is larger. I do not know if this is the anti-colic system but my son does actually ever had.</v>
      </c>
    </row>
    <row r="18986">
      <c r="A18986" s="1">
        <v>5.0</v>
      </c>
      <c r="B18986" s="1" t="s">
        <v>18674</v>
      </c>
      <c r="C18986" t="str">
        <f>IFERROR(__xludf.DUMMYFUNCTION("GOOGLETRANSLATE(B18986, ""fr"", ""en"")"),"Superb superb watch and bracelet watch, large dial in Diesel style")</f>
        <v>Superb superb watch and bracelet watch, large dial in Diesel style</v>
      </c>
    </row>
    <row r="18987">
      <c r="A18987" s="1">
        <v>2.0</v>
      </c>
      <c r="B18987" s="1" t="s">
        <v>18675</v>
      </c>
      <c r="C18987" t="str">
        <f>IFERROR(__xludf.DUMMYFUNCTION("GOOGLETRANSLATE(B18987, ""fr"", ""en"")"),"Diffuse and badly keeps heat Joli lot of hot water bottle, I was happy to unpack because very little odor but very disappointed with use. Diffuse and badly keeps heat. So I'll buy more.")</f>
        <v>Diffuse and badly keeps heat Joli lot of hot water bottle, I was happy to unpack because very little odor but very disappointed with use. Diffuse and badly keeps heat. So I'll buy more.</v>
      </c>
    </row>
    <row r="18988">
      <c r="A18988" s="1">
        <v>1.0</v>
      </c>
      <c r="B18988" s="1" t="s">
        <v>18676</v>
      </c>
      <c r="C18988" t="str">
        <f>IFERROR(__xludf.DUMMYFUNCTION("GOOGLETRANSLATE(B18988, ""fr"", ""en"")"),"Do not buy the first washing and all the white parts were glued together, impossible for the detached, good for the garbage In addition I ordered an L which proved as a carve XS")</f>
        <v>Do not buy the first washing and all the white parts were glued together, impossible for the detached, good for the garbage In addition I ordered an L which proved as a carve XS</v>
      </c>
    </row>
    <row r="18989">
      <c r="A18989" s="1">
        <v>1.0</v>
      </c>
      <c r="B18989" s="1" t="s">
        <v>18677</v>
      </c>
      <c r="C18989" t="str">
        <f>IFERROR(__xludf.DUMMYFUNCTION("GOOGLETRANSLATE(B18989, ""fr"", ""en"")"),"Especially not buy Report bad quality. Parcels received with broken packaging package open without protection. Very disappointed with this gift. After the first use black spots at the bottom of the kettle. I'm not picky but considering the price it is exp"&amp;"ected the quality ... Never aicok")</f>
        <v>Especially not buy Report bad quality. Parcels received with broken packaging package open without protection. Very disappointed with this gift. After the first use black spots at the bottom of the kettle. I'm not picky but considering the price it is expected the quality ... Never aicok</v>
      </c>
    </row>
    <row r="18990">
      <c r="A18990" s="1">
        <v>3.0</v>
      </c>
      <c r="B18990" s="1" t="s">
        <v>18678</v>
      </c>
      <c r="C18990" t="str">
        <f>IFERROR(__xludf.DUMMYFUNCTION("GOOGLETRANSLATE(B18990, ""fr"", ""en"")"),"Well Done the job but the product is not of high quality")</f>
        <v>Well Done the job but the product is not of high quality</v>
      </c>
    </row>
    <row r="18991">
      <c r="A18991" s="1">
        <v>4.0</v>
      </c>
      <c r="B18991" s="1" t="s">
        <v>18679</v>
      </c>
      <c r="C18991" t="str">
        <f>IFERROR(__xludf.DUMMYFUNCTION("GOOGLETRANSLATE(B18991, ""fr"", ""en"")"),"👍🏻👍🏻 beautiful necklace clasp that screwed so well baby Apart duplicate around the ankle 👍🏻👍🏻")</f>
        <v>👍🏻👍🏻 beautiful necklace clasp that screwed so well baby Apart duplicate around the ankle 👍🏻👍🏻</v>
      </c>
    </row>
    <row r="18992">
      <c r="A18992" s="1">
        <v>4.0</v>
      </c>
      <c r="B18992" s="1" t="s">
        <v>18680</v>
      </c>
      <c r="C18992" t="str">
        <f>IFERROR(__xludf.DUMMYFUNCTION("GOOGLETRANSLATE(B18992, ""fr"", ""en"")"),"Good product. Excellent quality / price very complete sport Watch, clear and visible figures. Too bad that the pressure variations are not permanently displayed on the middle bar.")</f>
        <v>Good product. Excellent quality / price very complete sport Watch, clear and visible figures. Too bad that the pressure variations are not permanently displayed on the middle bar.</v>
      </c>
    </row>
    <row r="18993">
      <c r="A18993" s="1">
        <v>4.0</v>
      </c>
      <c r="B18993" s="1" t="s">
        <v>18681</v>
      </c>
      <c r="C18993" t="str">
        <f>IFERROR(__xludf.DUMMYFUNCTION("GOOGLETRANSLATE(B18993, ""fr"", ""en"")"),"Correct Good product for its price, with built-in fans for laptops. I use it for keyboards and mice to a fixed PC from the couch. The template is just suitable for the keyboard, spacious enough tray for the mouse. Only small flat, light felt ""cheap"" abo"&amp;"ut the quality of the materials as slightly wobbly (but this is negligible) does not hinder the use, even for playing the keyboard and mouse. It remains to see the strength over time.")</f>
        <v>Correct Good product for its price, with built-in fans for laptops. I use it for keyboards and mice to a fixed PC from the couch. The template is just suitable for the keyboard, spacious enough tray for the mouse. Only small flat, light felt "cheap" about the quality of the materials as slightly wobbly (but this is negligible) does not hinder the use, even for playing the keyboard and mouse. It remains to see the strength over time.</v>
      </c>
    </row>
    <row r="18994">
      <c r="A18994" s="1">
        <v>4.0</v>
      </c>
      <c r="B18994" s="1" t="s">
        <v>18682</v>
      </c>
      <c r="C18994" t="str">
        <f>IFERROR(__xludf.DUMMYFUNCTION("GOOGLETRANSLATE(B18994, ""fr"", ""en"")"),"carrier tape I chose this object parcque I needed and it is fun with beautiful colors; practice, I still worry a foot that is used to cut the tape of his space out")</f>
        <v>carrier tape I chose this object parcque I needed and it is fun with beautiful colors; practice, I still worry a foot that is used to cut the tape of his space out</v>
      </c>
    </row>
    <row r="18995">
      <c r="A18995" s="1">
        <v>5.0</v>
      </c>
      <c r="B18995" s="1" t="s">
        <v>18683</v>
      </c>
      <c r="C18995" t="str">
        <f>IFERROR(__xludf.DUMMYFUNCTION("GOOGLETRANSLATE(B18995, ""fr"", ""en"")"),"Remote I took this telecomande for my mother who is a professor at the university. It is a very useful, easy use and to remotely large enough, can be recharging a computer, shows the time and can point with the laser. I really recommend the product 😍")</f>
        <v>Remote I took this telecomande for my mother who is a professor at the university. It is a very useful, easy use and to remotely large enough, can be recharging a computer, shows the time and can point with the laser. I really recommend the product 😍</v>
      </c>
    </row>
    <row r="18996">
      <c r="A18996" s="1">
        <v>5.0</v>
      </c>
      <c r="B18996" s="1" t="s">
        <v>18684</v>
      </c>
      <c r="C18996" t="str">
        <f>IFERROR(__xludf.DUMMYFUNCTION("GOOGLETRANSLATE(B18996, ""fr"", ""en"")"),"Top Very good teats. Definitely suitable for a baby of 1 month and more especially if he drinks quickly.")</f>
        <v>Top Very good teats. Definitely suitable for a baby of 1 month and more especially if he drinks quickly.</v>
      </c>
    </row>
    <row r="18997">
      <c r="A18997" s="1">
        <v>5.0</v>
      </c>
      <c r="B18997" s="1" t="s">
        <v>18685</v>
      </c>
      <c r="C18997" t="str">
        <f>IFERROR(__xludf.DUMMYFUNCTION("GOOGLETRANSLATE(B18997, ""fr"", ""en"")"),"PERFECT Good quality shoes, my husband lost a leg can not put these shoes! easy to put on, comfortable and well hold the foot.")</f>
        <v>PERFECT Good quality shoes, my husband lost a leg can not put these shoes! easy to put on, comfortable and well hold the foot.</v>
      </c>
    </row>
    <row r="18998">
      <c r="A18998" s="1">
        <v>5.0</v>
      </c>
      <c r="B18998" s="1" t="s">
        <v>6638</v>
      </c>
      <c r="C18998" t="str">
        <f>IFERROR(__xludf.DUMMYFUNCTION("GOOGLETRANSLATE(B18998, ""fr"", ""en"")"),"Product in accordance product according")</f>
        <v>Product in accordance product according</v>
      </c>
    </row>
    <row r="18999">
      <c r="A18999" s="1">
        <v>5.0</v>
      </c>
      <c r="B18999" s="1" t="s">
        <v>18686</v>
      </c>
      <c r="C18999" t="str">
        <f>IFERROR(__xludf.DUMMYFUNCTION("GOOGLETRANSLATE(B18999, ""fr"", ""en"")"),"I adore😍 I was wrong size fine quality also")</f>
        <v>I adore😍 I was wrong size fine quality also</v>
      </c>
    </row>
    <row r="19000">
      <c r="A19000" s="1">
        <v>5.0</v>
      </c>
      <c r="B19000" s="1" t="s">
        <v>18687</v>
      </c>
      <c r="C19000" t="str">
        <f>IFERROR(__xludf.DUMMYFUNCTION("GOOGLETRANSLATE(B19000, ""fr"", ""en"")"),"Great! A very good value for money! The plastic is very solid and resistant. It is good as finishes (in shipping seller very fast!). Recommend without worries, my gray card is well protected! As well as there is transparent, if one is controlled not need "&amp;"to get out of his protection since everything is visible!")</f>
        <v>Great! A very good value for money! The plastic is very solid and resistant. It is good as finishes (in shipping seller very fast!). Recommend without worries, my gray card is well protected! As well as there is transparent, if one is controlled not need to get out of his protection since everything is visible!</v>
      </c>
    </row>
    <row r="19001">
      <c r="A19001" s="1">
        <v>5.0</v>
      </c>
      <c r="B19001" s="1" t="s">
        <v>18688</v>
      </c>
      <c r="C19001" t="str">
        <f>IFERROR(__xludf.DUMMYFUNCTION("GOOGLETRANSLATE(B19001, ""fr"", ""en"")"),"Perforated sleeves intensive use A4 Excellent product. I am so pleased that I recommended. And the price difference is justified in relation to the pockets of poorer bill that wrinkle and tear.")</f>
        <v>Perforated sleeves intensive use A4 Excellent product. I am so pleased that I recommended. And the price difference is justified in relation to the pockets of poorer bill that wrinkle and tear.</v>
      </c>
    </row>
    <row r="19002">
      <c r="A19002" s="1">
        <v>5.0</v>
      </c>
      <c r="B19002" s="1" t="s">
        <v>18689</v>
      </c>
      <c r="C19002" t="str">
        <f>IFERROR(__xludf.DUMMYFUNCTION("GOOGLETRANSLATE(B19002, ""fr"", ""en"")"),"Super basquettes Size as desired, beautiful pumps")</f>
        <v>Super basquettes Size as desired, beautiful pumps</v>
      </c>
    </row>
    <row r="19003">
      <c r="A19003" s="1">
        <v>5.0</v>
      </c>
      <c r="B19003" s="1" t="s">
        <v>18690</v>
      </c>
      <c r="C19003" t="str">
        <f>IFERROR(__xludf.DUMMYFUNCTION("GOOGLETRANSLATE(B19003, ""fr"", ""en"")"),"beautiful and durable! Very pretty paper that can be used in all circumstances by these colors. It is very beautiful and above all very good compared to small rolls sold in supermarkets. As also is known rollers prices 2X0.70 m, we said we soon going to p"&amp;"ay for! given the number of packets already packed with, I do not regret my purchase far from it! I highly recommend this product.")</f>
        <v>beautiful and durable! Very pretty paper that can be used in all circumstances by these colors. It is very beautiful and above all very good compared to small rolls sold in supermarkets. As also is known rollers prices 2X0.70 m, we said we soon going to pay for! given the number of packets already packed with, I do not regret my purchase far from it! I highly recommend this product.</v>
      </c>
    </row>
    <row r="19004">
      <c r="A19004" s="1">
        <v>5.0</v>
      </c>
      <c r="B19004" s="1" t="s">
        <v>18691</v>
      </c>
      <c r="C19004" t="str">
        <f>IFERROR(__xludf.DUMMYFUNCTION("GOOGLETRANSLATE(B19004, ""fr"", ""en"")"),"Great quality at a great price! Article come with 1 day in advance Impeccably packaged by the manufacturer. Very robust and easy to install .. Contrary to what I read in a comment: 2 monitors are necessarily set to the same height and the office can be pr"&amp;"actically glued to the wall, depending on the size of the cables down (for me, having a lot of cables, there is a space of about 2 cm between the edge of the desk and the wall). I had doubts because my office is not deep (60cm) but the arm is quite suitab"&amp;"le even in a small space, the screens are not too advanced on the desktop, there is plenty of opportunity to place settings screens at their convenience. It actually saves a lot of space on the screens! In short, I highly recommend this product! Just a ca"&amp;"veat, the clips on the main arm broke when I wanted to get all the cables ... I must say that I had forced. It's a shame, but not very annoying ..")</f>
        <v>Great quality at a great price! Article come with 1 day in advance Impeccably packaged by the manufacturer. Very robust and easy to install .. Contrary to what I read in a comment: 2 monitors are necessarily set to the same height and the office can be practically glued to the wall, depending on the size of the cables down (for me, having a lot of cables, there is a space of about 2 cm between the edge of the desk and the wall). I had doubts because my office is not deep (60cm) but the arm is quite suitable even in a small space, the screens are not too advanced on the desktop, there is plenty of opportunity to place settings screens at their convenience. It actually saves a lot of space on the screens! In short, I highly recommend this product! Just a caveat, the clips on the main arm broke when I wanted to get all the cables ... I must say that I had forced. It's a shame, but not very annoying ..</v>
      </c>
    </row>
    <row r="19005">
      <c r="A19005" s="1">
        <v>5.0</v>
      </c>
      <c r="B19005" s="1" t="s">
        <v>18692</v>
      </c>
      <c r="C19005" t="str">
        <f>IFERROR(__xludf.DUMMYFUNCTION("GOOGLETRANSLATE(B19005, ""fr"", ""en"")"),"top top same washing")</f>
        <v>top top same washing</v>
      </c>
    </row>
    <row r="19006">
      <c r="A19006" s="1">
        <v>5.0</v>
      </c>
      <c r="B19006" s="1" t="s">
        <v>18693</v>
      </c>
      <c r="C19006" t="str">
        <f>IFERROR(__xludf.DUMMYFUNCTION("GOOGLETRANSLATE(B19006, ""fr"", ""en"")"),"Excellent value for money leather is very flexible, but strong, the whole shoe is very well designed.")</f>
        <v>Excellent value for money leather is very flexible, but strong, the whole shoe is very well designed.</v>
      </c>
    </row>
    <row r="19007">
      <c r="A19007" s="1">
        <v>5.0</v>
      </c>
      <c r="B19007" s="1" t="s">
        <v>18694</v>
      </c>
      <c r="C19007" t="str">
        <f>IFERROR(__xludf.DUMMYFUNCTION("GOOGLETRANSLATE(B19007, ""fr"", ""en"")"),"COOL GOOD PRODUCT")</f>
        <v>COOL GOOD PRODUCT</v>
      </c>
    </row>
    <row r="19008">
      <c r="A19008" s="1">
        <v>5.0</v>
      </c>
      <c r="B19008" s="1" t="s">
        <v>18695</v>
      </c>
      <c r="C19008" t="str">
        <f>IFERROR(__xludf.DUMMYFUNCTION("GOOGLETRANSLATE(B19008, ""fr"", ""en"")"),"Good tong I am happy with my tong fangs, they are comfortable to wear and do not hurt me at the end of the day.")</f>
        <v>Good tong I am happy with my tong fangs, they are comfortable to wear and do not hurt me at the end of the day.</v>
      </c>
    </row>
    <row r="19009">
      <c r="A19009" s="1">
        <v>5.0</v>
      </c>
      <c r="B19009" s="1" t="s">
        <v>18696</v>
      </c>
      <c r="C19009" t="str">
        <f>IFERROR(__xludf.DUMMYFUNCTION("GOOGLETRANSLATE(B19009, ""fr"", ""en"")"),"very good food after a catastrophic delivery 2 days late, this PSU has revived in my Raspberry Pi 3, it even supports self external hard drive supplies. but happiness at the moment.")</f>
        <v>very good food after a catastrophic delivery 2 days late, this PSU has revived in my Raspberry Pi 3, it even supports self external hard drive supplies. but happiness at the moment.</v>
      </c>
    </row>
    <row r="19010">
      <c r="A19010" s="1">
        <v>2.0</v>
      </c>
      <c r="B19010" s="1" t="s">
        <v>18697</v>
      </c>
      <c r="C19010" t="str">
        <f>IFERROR(__xludf.DUMMYFUNCTION("GOOGLETRANSLATE(B19010, ""fr"", ""en"")"),"Bad Tempered glass do not do all the screen so it has a problem to write the letters on the dimension")</f>
        <v>Bad Tempered glass do not do all the screen so it has a problem to write the letters on the dimension</v>
      </c>
    </row>
    <row r="19011">
      <c r="A19011" s="1">
        <v>1.0</v>
      </c>
      <c r="B19011" s="1" t="s">
        <v>18698</v>
      </c>
      <c r="C19011" t="str">
        <f>IFERROR(__xludf.DUMMYFUNCTION("GOOGLETRANSLATE(B19011, ""fr"", ""en"")"),"Too little I begin a size 42 you referring me 41.")</f>
        <v>Too little I begin a size 42 you referring me 41.</v>
      </c>
    </row>
    <row r="19012">
      <c r="A19012" s="1">
        <v>3.0</v>
      </c>
      <c r="B19012" s="1" t="s">
        <v>18699</v>
      </c>
      <c r="C19012" t="str">
        <f>IFERROR(__xludf.DUMMYFUNCTION("GOOGLETRANSLATE(B19012, ""fr"", ""en"")"),"good product product that seems to work, I do not know if this has a cause and effect but a short time after having emptied a bag of this product in my toilet, my septic tank smelled much less to the external. by cons must flush several times to ensure th"&amp;"at all product is evacuated")</f>
        <v>good product product that seems to work, I do not know if this has a cause and effect but a short time after having emptied a bag of this product in my toilet, my septic tank smelled much less to the external. by cons must flush several times to ensure that all product is evacuated</v>
      </c>
    </row>
    <row r="19013">
      <c r="A19013" s="1">
        <v>3.0</v>
      </c>
      <c r="B19013" s="1" t="s">
        <v>18700</v>
      </c>
      <c r="C19013" t="str">
        <f>IFERROR(__xludf.DUMMYFUNCTION("GOOGLETRANSLATE(B19013, ""fr"", ""en"")"),"He hurt his back he hurt his back")</f>
        <v>He hurt his back he hurt his back</v>
      </c>
    </row>
    <row r="19014">
      <c r="A19014" s="1">
        <v>4.0</v>
      </c>
      <c r="B19014" s="1" t="s">
        <v>18701</v>
      </c>
      <c r="C19014" t="str">
        <f>IFERROR(__xludf.DUMMYFUNCTION("GOOGLETRANSLATE(B19014, ""fr"", ""en"")"),"Meets Size a little big, I play 39, I preferred to keep this size and a sole could be useful although I can wear them well anyway. consistent color.")</f>
        <v>Meets Size a little big, I play 39, I preferred to keep this size and a sole could be useful although I can wear them well anyway. consistent color.</v>
      </c>
    </row>
    <row r="19015">
      <c r="A19015" s="1">
        <v>4.0</v>
      </c>
      <c r="B19015" s="1" t="s">
        <v>18702</v>
      </c>
      <c r="C19015" t="str">
        <f>IFERROR(__xludf.DUMMYFUNCTION("GOOGLETRANSLATE(B19015, ""fr"", ""en"")"),"Top Although it is not the original, it it well, perfectly sealed the bracelet is great beefy brief")</f>
        <v>Top Although it is not the original, it it well, perfectly sealed the bracelet is great beefy brief</v>
      </c>
    </row>
    <row r="19016">
      <c r="A19016" s="1">
        <v>4.0</v>
      </c>
      <c r="B19016" s="1" t="s">
        <v>18703</v>
      </c>
      <c r="C19016" t="str">
        <f>IFERROR(__xludf.DUMMYFUNCTION("GOOGLETRANSLATE(B19016, ""fr"", ""en"")"),"For fans The sweatshirt has fashion for the series in fashion")</f>
        <v>For fans The sweatshirt has fashion for the series in fashion</v>
      </c>
    </row>
    <row r="19017">
      <c r="A19017" s="1">
        <v>4.0</v>
      </c>
      <c r="B19017" s="1" t="s">
        <v>18704</v>
      </c>
      <c r="C19017" t="str">
        <f>IFERROR(__xludf.DUMMYFUNCTION("GOOGLETRANSLATE(B19017, ""fr"", ""en"")"),"These comfortable shoes are comfortable, and the color is nice. Too bad they are a bit hot with the inner fur!")</f>
        <v>These comfortable shoes are comfortable, and the color is nice. Too bad they are a bit hot with the inner fur!</v>
      </c>
    </row>
    <row r="19018">
      <c r="A19018" s="1">
        <v>5.0</v>
      </c>
      <c r="B19018" s="1" t="s">
        <v>18705</v>
      </c>
      <c r="C19018" t="str">
        <f>IFERROR(__xludf.DUMMYFUNCTION("GOOGLETRANSLATE(B19018, ""fr"", ""en"")"),"Victoria Shoes are beautiful, I love them !!")</f>
        <v>Victoria Shoes are beautiful, I love them !!</v>
      </c>
    </row>
    <row r="19019">
      <c r="A19019" s="1">
        <v>5.0</v>
      </c>
      <c r="B19019" s="1" t="s">
        <v>18706</v>
      </c>
      <c r="C19019" t="str">
        <f>IFERROR(__xludf.DUMMYFUNCTION("GOOGLETRANSLATE(B19019, ""fr"", ""en"")"),"Recommend Headphones arrived fully charged and the basis (100% - indicated on top). Low-energy, this is 2 weeks I have these headphones and I have not loaded the base (currently it is 85%) I use headphones approx 2 hours a day and then I put them in the b"&amp;"ox which charger. when they are put in they are slightly magnetized and thus position themselves well to load. We hear well. Pairing easy with samsung s8 + Tips are of good quality and there are big or small caps. Supplied with a kind of pouch to carry ev"&amp;"erything Convenient bluetooth system, why I did not buy them before!")</f>
        <v>Recommend Headphones arrived fully charged and the basis (100% - indicated on top). Low-energy, this is 2 weeks I have these headphones and I have not loaded the base (currently it is 85%) I use headphones approx 2 hours a day and then I put them in the box which charger. when they are put in they are slightly magnetized and thus position themselves well to load. We hear well. Pairing easy with samsung s8 + Tips are of good quality and there are big or small caps. Supplied with a kind of pouch to carry everything Convenient bluetooth system, why I did not buy them before!</v>
      </c>
    </row>
    <row r="19020">
      <c r="A19020" s="1">
        <v>5.0</v>
      </c>
      <c r="B19020" s="1" t="s">
        <v>590</v>
      </c>
      <c r="C19020" t="str">
        <f>IFERROR(__xludf.DUMMYFUNCTION("GOOGLETRANSLATE(B19020, ""fr"", ""en"")"),"Although Good product")</f>
        <v>Although Good product</v>
      </c>
    </row>
    <row r="19021">
      <c r="A19021" s="1">
        <v>5.0</v>
      </c>
      <c r="B19021" s="1" t="s">
        <v>18707</v>
      </c>
      <c r="C19021" t="str">
        <f>IFERROR(__xludf.DUMMYFUNCTION("GOOGLETRANSLATE(B19021, ""fr"", ""en"")"),"I recommend Good comfort very good wet grip.")</f>
        <v>I recommend Good comfort very good wet grip.</v>
      </c>
    </row>
    <row r="19022">
      <c r="A19022" s="1">
        <v>5.0</v>
      </c>
      <c r="B19022" s="1" t="s">
        <v>18708</v>
      </c>
      <c r="C19022" t="str">
        <f>IFERROR(__xludf.DUMMYFUNCTION("GOOGLETRANSLATE(B19022, ""fr"", ""en"")"),"R.A.S Good value. Neither too thin nor too thick.")</f>
        <v>R.A.S Good value. Neither too thin nor too thick.</v>
      </c>
    </row>
    <row r="19023">
      <c r="A19023" s="1">
        <v>5.0</v>
      </c>
      <c r="B19023" s="1" t="s">
        <v>18709</v>
      </c>
      <c r="C19023" t="str">
        <f>IFERROR(__xludf.DUMMYFUNCTION("GOOGLETRANSLATE(B19023, ""fr"", ""en"")"),"quality product Reconmende")</f>
        <v>quality product Reconmende</v>
      </c>
    </row>
    <row r="19024">
      <c r="A19024" s="1">
        <v>5.0</v>
      </c>
      <c r="B19024" s="1" t="s">
        <v>18710</v>
      </c>
      <c r="C19024" t="str">
        <f>IFERROR(__xludf.DUMMYFUNCTION("GOOGLETRANSLATE(B19024, ""fr"", ""en"")"),"Super Fast Shipping. I use it mainly thermos to carry water to warm baby bottles. 24 hours after the water is still hot! Super happy with my purchase!")</f>
        <v>Super Fast Shipping. I use it mainly thermos to carry water to warm baby bottles. 24 hours after the water is still hot! Super happy with my purchase!</v>
      </c>
    </row>
    <row r="19025">
      <c r="A19025" s="1">
        <v>5.0</v>
      </c>
      <c r="B19025" s="1" t="s">
        <v>18711</v>
      </c>
      <c r="C19025" t="str">
        <f>IFERROR(__xludf.DUMMYFUNCTION("GOOGLETRANSLATE(B19025, ""fr"", ""en"")"),"Evaluation Quite consistent with the description, very nice perfect size material I recommend very good buy for the price which is really okay.")</f>
        <v>Evaluation Quite consistent with the description, very nice perfect size material I recommend very good buy for the price which is really okay.</v>
      </c>
    </row>
    <row r="19026">
      <c r="A19026" s="1">
        <v>5.0</v>
      </c>
      <c r="B19026" s="1" t="s">
        <v>18712</v>
      </c>
      <c r="C19026" t="str">
        <f>IFERROR(__xludf.DUMMYFUNCTION("GOOGLETRANSLATE(B19026, ""fr"", ""en"")"),"Formidable Very nice")</f>
        <v>Formidable Very nice</v>
      </c>
    </row>
    <row r="19027">
      <c r="A19027" s="1">
        <v>5.0</v>
      </c>
      <c r="B19027" s="1" t="s">
        <v>18713</v>
      </c>
      <c r="C19027" t="str">
        <f>IFERROR(__xludf.DUMMYFUNCTION("GOOGLETRANSLATE(B19027, ""fr"", ""en"")"),"good product that fat is fine because it penetrates deep into my leather jacket, after a good polishing it is like new and I recommend it highly to all the old coats (jackets) leather. it is a quality fat.")</f>
        <v>good product that fat is fine because it penetrates deep into my leather jacket, after a good polishing it is like new and I recommend it highly to all the old coats (jackets) leather. it is a quality fat.</v>
      </c>
    </row>
    <row r="19028">
      <c r="A19028" s="1">
        <v>5.0</v>
      </c>
      <c r="B19028" s="1" t="s">
        <v>18714</v>
      </c>
      <c r="C19028" t="str">
        <f>IFERROR(__xludf.DUMMYFUNCTION("GOOGLETRANSLATE(B19028, ""fr"", ""en"")"),"Waouuuuu Super nothing to say")</f>
        <v>Waouuuuu Super nothing to say</v>
      </c>
    </row>
    <row r="19029">
      <c r="A19029" s="1">
        <v>5.0</v>
      </c>
      <c r="B19029" s="1" t="s">
        <v>18715</v>
      </c>
      <c r="C19029" t="str">
        <f>IFERROR(__xludf.DUMMYFUNCTION("GOOGLETRANSLATE(B19029, ""fr"", ""en"")"),"Small and handy to take current audio When I received the product I was scared seeing the size ... very very small. I put it in my bag. Bought to take courses in lecture theater and TD it has done its job. I changed the quality of the minimum records to i"&amp;"ncrease my storage capacity and it is impeccable. The battery holds a long time now. In lecture hall, I said I'm in the front row of course. The sound is good with preferably headphones. Excellent value for money and so small that nobody sees the downside"&amp;" is the small screen and therefore must have very good eyes to the menu! I do not regret my purchase")</f>
        <v>Small and handy to take current audio When I received the product I was scared seeing the size ... very very small. I put it in my bag. Bought to take courses in lecture theater and TD it has done its job. I changed the quality of the minimum records to increase my storage capacity and it is impeccable. The battery holds a long time now. In lecture hall, I said I'm in the front row of course. The sound is good with preferably headphones. Excellent value for money and so small that nobody sees the downside is the small screen and therefore must have very good eyes to the menu! I do not regret my purchase</v>
      </c>
    </row>
    <row r="19030">
      <c r="A19030" s="1">
        <v>5.0</v>
      </c>
      <c r="B19030" s="1" t="s">
        <v>18716</v>
      </c>
      <c r="C19030" t="str">
        <f>IFERROR(__xludf.DUMMYFUNCTION("GOOGLETRANSLATE(B19030, ""fr"", ""en"")"),"Very nice article recommend practical with its numerous pockets and large capacity closure adapted very nice color and adapted to humans")</f>
        <v>Very nice article recommend practical with its numerous pockets and large capacity closure adapted very nice color and adapted to humans</v>
      </c>
    </row>
    <row r="19031">
      <c r="A19031" s="1">
        <v>5.0</v>
      </c>
      <c r="B19031" s="1" t="s">
        <v>18717</v>
      </c>
      <c r="C19031" t="str">
        <f>IFERROR(__xludf.DUMMYFUNCTION("GOOGLETRANSLATE(B19031, ""fr"", ""en"")"),"Great ! Super comfortable and great look for my teen! The shoe is well finished, thick enough to keep warm during the winter. The brand is fashionable, it all at this age.")</f>
        <v>Great ! Super comfortable and great look for my teen! The shoe is well finished, thick enough to keep warm during the winter. The brand is fashionable, it all at this age.</v>
      </c>
    </row>
    <row r="19032">
      <c r="A19032" s="1">
        <v>5.0</v>
      </c>
      <c r="B19032" s="1" t="s">
        <v>18718</v>
      </c>
      <c r="C19032" t="str">
        <f>IFERROR(__xludf.DUMMYFUNCTION("GOOGLETRANSLATE(B19032, ""fr"", ""en"")"),"Value for money Very good product at a good price")</f>
        <v>Value for money Very good product at a good price</v>
      </c>
    </row>
    <row r="19033">
      <c r="A19033" s="1">
        <v>2.0</v>
      </c>
      <c r="B19033" s="1" t="s">
        <v>18719</v>
      </c>
      <c r="C19033" t="str">
        <f>IFERROR(__xludf.DUMMYFUNCTION("GOOGLETRANSLATE(B19033, ""fr"", ""en"")"),"Tissue thin, no padding disappointing quality! I see the day through the bottom. the back is not padded, the fabric is too thin. VERY disappointing return made! 28 € coupon bought in, it is worth less ...")</f>
        <v>Tissue thin, no padding disappointing quality! I see the day through the bottom. the back is not padded, the fabric is too thin. VERY disappointing return made! 28 € coupon bought in, it is worth less ...</v>
      </c>
    </row>
    <row r="19034">
      <c r="A19034" s="1">
        <v>1.0</v>
      </c>
      <c r="B19034" s="1" t="s">
        <v>18720</v>
      </c>
      <c r="C19034" t="str">
        <f>IFERROR(__xludf.DUMMYFUNCTION("GOOGLETRANSLATE(B19034, ""fr"", ""en"")"),"Very disappointed Backstage slipping badly, impossible to reseal the bag. I am very disappointed because of the same brand I bought supermarket backstage bags that were shut very well.")</f>
        <v>Very disappointed Backstage slipping badly, impossible to reseal the bag. I am very disappointed because of the same brand I bought supermarket backstage bags that were shut very well.</v>
      </c>
    </row>
    <row r="19035">
      <c r="A19035" s="1">
        <v>1.0</v>
      </c>
      <c r="B19035" s="1" t="s">
        <v>18721</v>
      </c>
      <c r="C19035" t="str">
        <f>IFERROR(__xludf.DUMMYFUNCTION("GOOGLETRANSLATE(B19035, ""fr"", ""en"")"),"Do not buy Value zero price. If only all stops without connection to the outlet. Very low quality of its")</f>
        <v>Do not buy Value zero price. If only all stops without connection to the outlet. Very low quality of its</v>
      </c>
    </row>
    <row r="19036">
      <c r="A19036" s="1">
        <v>3.0</v>
      </c>
      <c r="B19036" s="1" t="s">
        <v>18722</v>
      </c>
      <c r="C19036" t="str">
        <f>IFERROR(__xludf.DUMMYFUNCTION("GOOGLETRANSLATE(B19036, ""fr"", ""en"")"),"really T-Shirt and fragile Not much to say, is not worth more than 15 euros. Mine ""pill"" a little after wearing just 3 times. Nike is but it is not better than the supermarket product. Size L OK to me that measures 1.83. I had taken 2 I sent a car not r"&amp;"eally interest (neither technical nor beautiful nor cheap)")</f>
        <v>really T-Shirt and fragile Not much to say, is not worth more than 15 euros. Mine "pill" a little after wearing just 3 times. Nike is but it is not better than the supermarket product. Size L OK to me that measures 1.83. I had taken 2 I sent a car not really interest (neither technical nor beautiful nor cheap)</v>
      </c>
    </row>
    <row r="19037">
      <c r="A19037" s="1">
        <v>3.0</v>
      </c>
      <c r="B19037" s="1" t="s">
        <v>18723</v>
      </c>
      <c r="C19037" t="str">
        <f>IFERROR(__xludf.DUMMYFUNCTION("GOOGLETRANSLATE(B19037, ""fr"", ""en"")"),"Its average compared to branded ... well there is no difference ... I m expecting more from JBL")</f>
        <v>Its average compared to branded ... well there is no difference ... I m expecting more from JBL</v>
      </c>
    </row>
    <row r="19038">
      <c r="A19038" s="1">
        <v>4.0</v>
      </c>
      <c r="B19038" s="1" t="s">
        <v>18724</v>
      </c>
      <c r="C19038" t="str">
        <f>IFERROR(__xludf.DUMMYFUNCTION("GOOGLETRANSLATE(B19038, ""fr"", ""en"")"),"Efficient and convenient arrived quickly, peigne- brush is perfect for removing hair and small twigs that cling ... only downside: a little hard for small dogs can be a little doudouille; )")</f>
        <v>Efficient and convenient arrived quickly, peigne- brush is perfect for removing hair and small twigs that cling ... only downside: a little hard for small dogs can be a little doudouille; )</v>
      </c>
    </row>
    <row r="19039">
      <c r="A19039" s="1">
        <v>4.0</v>
      </c>
      <c r="B19039" s="1" t="s">
        <v>18725</v>
      </c>
      <c r="C19039" t="str">
        <f>IFERROR(__xludf.DUMMYFUNCTION("GOOGLETRANSLATE(B19039, ""fr"", ""en"")"),"Good overall I sent the first pair, as the left foot is deformed in the sun. Beyond that, on the whole, satisfactory enough, a nice pair at low prices.")</f>
        <v>Good overall I sent the first pair, as the left foot is deformed in the sun. Beyond that, on the whole, satisfactory enough, a nice pair at low prices.</v>
      </c>
    </row>
    <row r="19040">
      <c r="A19040" s="1">
        <v>4.0</v>
      </c>
      <c r="B19040" s="1" t="s">
        <v>18726</v>
      </c>
      <c r="C19040" t="str">
        <f>IFERROR(__xludf.DUMMYFUNCTION("GOOGLETRANSLATE(B19040, ""fr"", ""en"")"),"Super happy ... 90% 90% Why? Simply that the quality of the microphone is really deplorable, no, I would say! I buy a microphone stand, apart. Now it's my opinion, make what you want ... If not, have to say, comfort, great, sound quality, great (the bass "&amp;"are very nice, the cable may be a bit short. That here ...")</f>
        <v>Super happy ... 90% 90% Why? Simply that the quality of the microphone is really deplorable, no, I would say! I buy a microphone stand, apart. Now it's my opinion, make what you want ... If not, have to say, comfort, great, sound quality, great (the bass are very nice, the cable may be a bit short. That here ...</v>
      </c>
    </row>
    <row r="19041">
      <c r="A19041" s="1">
        <v>4.0</v>
      </c>
      <c r="B19041" s="1" t="s">
        <v>18727</v>
      </c>
      <c r="C19041" t="str">
        <f>IFERROR(__xludf.DUMMYFUNCTION("GOOGLETRANSLATE(B19041, ""fr"", ""en"")"),"Nickel Filled its Value role super price")</f>
        <v>Nickel Filled its Value role super price</v>
      </c>
    </row>
    <row r="19042">
      <c r="A19042" s="1">
        <v>4.0</v>
      </c>
      <c r="B19042" s="1" t="s">
        <v>18728</v>
      </c>
      <c r="C19042" t="str">
        <f>IFERROR(__xludf.DUMMYFUNCTION("GOOGLETRANSLATE(B19042, ""fr"", ""en"")"),"no problem asking a trash bag? it is resistant, size appropriate, I do not put 5 stars because it does not close by itself and does not alone in the dumpster ;-)")</f>
        <v>no problem asking a trash bag? it is resistant, size appropriate, I do not put 5 stars because it does not close by itself and does not alone in the dumpster ;-)</v>
      </c>
    </row>
    <row r="19043">
      <c r="A19043" s="1">
        <v>5.0</v>
      </c>
      <c r="B19043" s="1" t="s">
        <v>18729</v>
      </c>
      <c r="C19043" t="str">
        <f>IFERROR(__xludf.DUMMYFUNCTION("GOOGLETRANSLATE(B19043, ""fr"", ""en"")"),"I recommend Top")</f>
        <v>I recommend Top</v>
      </c>
    </row>
    <row r="19044">
      <c r="A19044" s="1">
        <v>5.0</v>
      </c>
      <c r="B19044" s="1" t="s">
        <v>18730</v>
      </c>
      <c r="C19044" t="str">
        <f>IFERROR(__xludf.DUMMYFUNCTION("GOOGLETRANSLATE(B19044, ""fr"", ""en"")"),"No problems as toujour NUK products are well accepted by our baby. Only sugettes are very expensive or tros. The reultat with the NUK Baby Bottle Nature Sense are the same.")</f>
        <v>No problems as toujour NUK products are well accepted by our baby. Only sugettes are very expensive or tros. The reultat with the NUK Baby Bottle Nature Sense are the same.</v>
      </c>
    </row>
    <row r="19045">
      <c r="A19045" s="1">
        <v>5.0</v>
      </c>
      <c r="B19045" s="1" t="s">
        <v>18731</v>
      </c>
      <c r="C19045" t="str">
        <f>IFERROR(__xludf.DUMMYFUNCTION("GOOGLETRANSLATE(B19045, ""fr"", ""en"")"),"Impeccable 😉")</f>
        <v>Impeccable 😉</v>
      </c>
    </row>
    <row r="19046">
      <c r="A19046" s="1">
        <v>5.0</v>
      </c>
      <c r="B19046" s="1" t="s">
        <v>18732</v>
      </c>
      <c r="C19046" t="str">
        <f>IFERROR(__xludf.DUMMYFUNCTION("GOOGLETRANSLATE(B19046, ""fr"", ""en"")"),"Comments The device meets my expectations. I recommend it to any person for parties, snacks and augers festivities.")</f>
        <v>Comments The device meets my expectations. I recommend it to any person for parties, snacks and augers festivities.</v>
      </c>
    </row>
    <row r="19047">
      <c r="A19047" s="1">
        <v>5.0</v>
      </c>
      <c r="B19047" s="1" t="s">
        <v>18733</v>
      </c>
      <c r="C19047" t="str">
        <f>IFERROR(__xludf.DUMMYFUNCTION("GOOGLETRANSLATE(B19047, ""fr"", ""en"")"),"The reporter smartphone video companion Perfect I useful with my Xperia Z5 to use a zoom h6 audio source. His perfect and all of a sudden my mobile becomes 4g audio transmitter with 4 XLR microphone.")</f>
        <v>The reporter smartphone video companion Perfect I useful with my Xperia Z5 to use a zoom h6 audio source. His perfect and all of a sudden my mobile becomes 4g audio transmitter with 4 XLR microphone.</v>
      </c>
    </row>
    <row r="19048">
      <c r="A19048" s="1">
        <v>5.0</v>
      </c>
      <c r="B19048" s="1" t="s">
        <v>18734</v>
      </c>
      <c r="C19048" t="str">
        <f>IFERROR(__xludf.DUMMYFUNCTION("GOOGLETRANSLATE(B19048, ""fr"", ""en"")"),"Good quality very good, I am absolutely not disappointed Product")</f>
        <v>Good quality very good, I am absolutely not disappointed Product</v>
      </c>
    </row>
    <row r="19049">
      <c r="A19049" s="1">
        <v>5.0</v>
      </c>
      <c r="B19049" s="1" t="s">
        <v>18735</v>
      </c>
      <c r="C19049" t="str">
        <f>IFERROR(__xludf.DUMMYFUNCTION("GOOGLETRANSLATE(B19049, ""fr"", ""en"")"),"perfect jeans")</f>
        <v>perfect jeans</v>
      </c>
    </row>
    <row r="19050">
      <c r="A19050" s="1">
        <v>5.0</v>
      </c>
      <c r="B19050" s="1" t="s">
        <v>18736</v>
      </c>
      <c r="C19050" t="str">
        <f>IFERROR(__xludf.DUMMYFUNCTION("GOOGLETRANSLATE(B19050, ""fr"", ""en"")"),"An essential kit for baby's arrival If you can not or you do not want to breastfeed or simply if we practice mixed feeding. The shape of the teat well approximates that of mother's breast, which facilitates the transition between the bottle and breast. Th"&amp;"e nipples are really slow flow: a child who had the bottle to experience faster speeds may have trouble breastfeeding at first, by cons for a baby who used breast (which requires much more effort to suckle) great! If the pack is very complete: 2 small bot"&amp;"tles, 2 large, and tutute and brush, you have everything to get you on receipt (after sterilization). I regret by cons, that price almost equivalent (€ 2 difference) Tommee Tippee sell this colorful kit ""girl"" with fewer parts than neutral kit, it's a l"&amp;"ittle rough ... I find particularly damaging, the fact that there is not in this kit pacifiers average rate proposed in the neutral kit and that can change the nipple bottles if baby does not have enough strength (or patience) for flow teats slow. It is i"&amp;"nflated by the brand to remove 2 teats and a tutute and sell this kit at the same price ... here is expensive color! For parents, the shape of the bottles Tommee Tippee is nice and easy to hold in hand, even if one of osteoarthritis (it is not just for ol"&amp;"der people!), They are also easy to clean large their wide neck. A basic purchase that can calmly await the arrival of baby.")</f>
        <v>An essential kit for baby's arrival If you can not or you do not want to breastfeed or simply if we practice mixed feeding. The shape of the teat well approximates that of mother's breast, which facilitates the transition between the bottle and breast. The nipples are really slow flow: a child who had the bottle to experience faster speeds may have trouble breastfeeding at first, by cons for a baby who used breast (which requires much more effort to suckle) great! If the pack is very complete: 2 small bottles, 2 large, and tutute and brush, you have everything to get you on receipt (after sterilization). I regret by cons, that price almost equivalent (€ 2 difference) Tommee Tippee sell this colorful kit "girl" with fewer parts than neutral kit, it's a little rough ... I find particularly damaging, the fact that there is not in this kit pacifiers average rate proposed in the neutral kit and that can change the nipple bottles if baby does not have enough strength (or patience) for flow teats slow. It is inflated by the brand to remove 2 teats and a tutute and sell this kit at the same price ... here is expensive color! For parents, the shape of the bottles Tommee Tippee is nice and easy to hold in hand, even if one of osteoarthritis (it is not just for older people!), They are also easy to clean large their wide neck. A basic purchase that can calmly await the arrival of baby.</v>
      </c>
    </row>
    <row r="19051">
      <c r="A19051" s="1">
        <v>5.0</v>
      </c>
      <c r="B19051" s="1" t="s">
        <v>18737</v>
      </c>
      <c r="C19051" t="str">
        <f>IFERROR(__xludf.DUMMYFUNCTION("GOOGLETRANSLATE(B19051, ""fr"", ""en"")"),"Excellent value for money Great value for money! Good sound, good range, easy connection to make. The adapter small jack - &amp; gt; big jack is a real plus. I recommend !")</f>
        <v>Excellent value for money Great value for money! Good sound, good range, easy connection to make. The adapter small jack - &amp; gt; big jack is a real plus. I recommend !</v>
      </c>
    </row>
    <row r="19052">
      <c r="A19052" s="1">
        <v>5.0</v>
      </c>
      <c r="B19052" s="1" t="s">
        <v>18738</v>
      </c>
      <c r="C19052" t="str">
        <f>IFERROR(__xludf.DUMMYFUNCTION("GOOGLETRANSLATE(B19052, ""fr"", ""en"")"),"Very satisfied Very satisfied. Watch bought it 2 years ago and still in perfect condition, solid and precise. I was looking for a watch, not too thick, conspicuous figures ... and this show fits perfectly.")</f>
        <v>Very satisfied Very satisfied. Watch bought it 2 years ago and still in perfect condition, solid and precise. I was looking for a watch, not too thick, conspicuous figures ... and this show fits perfectly.</v>
      </c>
    </row>
    <row r="19053">
      <c r="A19053" s="1">
        <v>5.0</v>
      </c>
      <c r="B19053" s="1" t="s">
        <v>18739</v>
      </c>
      <c r="C19053" t="str">
        <f>IFERROR(__xludf.DUMMYFUNCTION("GOOGLETRANSLATE(B19053, ""fr"", ""en"")"),"😭😍 Still beautiful.")</f>
        <v>😭😍 Still beautiful.</v>
      </c>
    </row>
    <row r="19054">
      <c r="A19054" s="1">
        <v>5.0</v>
      </c>
      <c r="B19054" s="1" t="s">
        <v>18740</v>
      </c>
      <c r="C19054" t="str">
        <f>IFERROR(__xludf.DUMMYFUNCTION("GOOGLETRANSLATE(B19054, ""fr"", ""en"")"),"Earphones nice to put headphones bought for sports. Very satisfied with the sound. The storage box and loading is done well and practice.")</f>
        <v>Earphones nice to put headphones bought for sports. Very satisfied with the sound. The storage box and loading is done well and practice.</v>
      </c>
    </row>
    <row r="19055">
      <c r="A19055" s="1">
        <v>5.0</v>
      </c>
      <c r="B19055" s="1" t="s">
        <v>18741</v>
      </c>
      <c r="C19055" t="str">
        <f>IFERROR(__xludf.DUMMYFUNCTION("GOOGLETRANSLATE(B19055, ""fr"", ""en"")"),"Super bottle warmer! A little septic before buying after consultation opinions ... I'm not at all disappointed with this purchase! On the contrary ! There is little to be not super sophisticated with 50,000 button but it does the job! Getting the right am"&amp;"ount of water according to the capacity of your bottles and there, baby can tasted immediately. I recommend it 200%!")</f>
        <v>Super bottle warmer! A little septic before buying after consultation opinions ... I'm not at all disappointed with this purchase! On the contrary ! There is little to be not super sophisticated with 50,000 button but it does the job! Getting the right amount of water according to the capacity of your bottles and there, baby can tasted immediately. I recommend it 200%!</v>
      </c>
    </row>
    <row r="19056">
      <c r="A19056" s="1">
        <v>5.0</v>
      </c>
      <c r="B19056" s="1" t="s">
        <v>18742</v>
      </c>
      <c r="C19056" t="str">
        <f>IFERROR(__xludf.DUMMYFUNCTION("GOOGLETRANSLATE(B19056, ""fr"", ""en"")"),"easy to use simple and powerful for my use; not find setting volume on microphone")</f>
        <v>easy to use simple and powerful for my use; not find setting volume on microphone</v>
      </c>
    </row>
    <row r="19057">
      <c r="A19057" s="1">
        <v>5.0</v>
      </c>
      <c r="B19057" s="1" t="s">
        <v>18743</v>
      </c>
      <c r="C19057" t="str">
        <f>IFERROR(__xludf.DUMMYFUNCTION("GOOGLETRANSLATE(B19057, ""fr"", ""en"")"),"I like the design of this very soft and lightweight headset. Bluetooth Lovers 5.0, which connects instantly with my phone. All control functions from the function button by pressing gently. The sound quality is excellent and clear, with deep bass. Mic wor"&amp;"ks well. Reduce its exterior. Small suitcase can be kept in the pocket. I love the structure, rests perfectly in my ear and does not fall (I tried running on a treadmill). Over 4 hours of battery life. And rapid charging because of the type-C. The additio"&amp;"n of tactile keys would be perfect for this listener.")</f>
        <v>I like the design of this very soft and lightweight headset. Bluetooth Lovers 5.0, which connects instantly with my phone. All control functions from the function button by pressing gently. The sound quality is excellent and clear, with deep bass. Mic works well. Reduce its exterior. Small suitcase can be kept in the pocket. I love the structure, rests perfectly in my ear and does not fall (I tried running on a treadmill). Over 4 hours of battery life. And rapid charging because of the type-C. The addition of tactile keys would be perfect for this listener.</v>
      </c>
    </row>
    <row r="19058">
      <c r="A19058" s="1">
        <v>2.0</v>
      </c>
      <c r="B19058" s="1" t="s">
        <v>18744</v>
      </c>
      <c r="C19058" t="str">
        <f>IFERROR(__xludf.DUMMYFUNCTION("GOOGLETRANSLATE(B19058, ""fr"", ""en"")"),"no more I'm a little disappointed I can not see can stain, much less disinfectant, my machine is the same as before, damage")</f>
        <v>no more I'm a little disappointed I can not see can stain, much less disinfectant, my machine is the same as before, damage</v>
      </c>
    </row>
    <row r="19059">
      <c r="A19059" s="1">
        <v>1.0</v>
      </c>
      <c r="B19059" s="1" t="s">
        <v>18745</v>
      </c>
      <c r="C19059" t="str">
        <f>IFERROR(__xludf.DUMMYFUNCTION("GOOGLETRANSLATE(B19059, ""fr"", ""en"")"),"Lack of info on your site Hello, I can not provide an objective rating because I found out about the booklet included with the product that it was not advisable for stents porters, pacemaker and / or Cancer. It happens that I am carrying three because I h"&amp;"ave more leukemia. I think it will have been important to report it on your site because I will not have made the purchase. How do I go back to what you please product. I am one of your loyal customer and I hope you will facilitate my task? cordially")</f>
        <v>Lack of info on your site Hello, I can not provide an objective rating because I found out about the booklet included with the product that it was not advisable for stents porters, pacemaker and / or Cancer. It happens that I am carrying three because I have more leukemia. I think it will have been important to report it on your site because I will not have made the purchase. How do I go back to what you please product. I am one of your loyal customer and I hope you will facilitate my task? cordially</v>
      </c>
    </row>
    <row r="19060">
      <c r="A19060" s="1">
        <v>1.0</v>
      </c>
      <c r="B19060" s="1" t="s">
        <v>18746</v>
      </c>
      <c r="C19060" t="str">
        <f>IFERROR(__xludf.DUMMYFUNCTION("GOOGLETRANSLATE(B19060, ""fr"", ""en"")"),"Do not work with a distortion pedal does not work between my distortion pedal and my amp. Pity...")</f>
        <v>Do not work with a distortion pedal does not work between my distortion pedal and my amp. Pity...</v>
      </c>
    </row>
    <row r="19061">
      <c r="A19061" s="1">
        <v>3.0</v>
      </c>
      <c r="B19061" s="1" t="s">
        <v>18747</v>
      </c>
      <c r="C19061" t="str">
        <f>IFERROR(__xludf.DUMMYFUNCTION("GOOGLETRANSLATE(B19061, ""fr"", ""en"")"),"Fair and that's it. This microphone could have been interesting but the sound was not up to its competitors in this price range. To this it adds a quality of sound that is largely deteriorated over the months after purchase ... just too short to advise. ["&amp;"EDIT] microphone is unusable, it is better to save a micro better quality than this one.")</f>
        <v>Fair and that's it. This microphone could have been interesting but the sound was not up to its competitors in this price range. To this it adds a quality of sound that is largely deteriorated over the months after purchase ... just too short to advise. [EDIT] microphone is unusable, it is better to save a micro better quality than this one.</v>
      </c>
    </row>
    <row r="19062">
      <c r="A19062" s="1">
        <v>3.0</v>
      </c>
      <c r="B19062" s="1" t="s">
        <v>18748</v>
      </c>
      <c r="C19062" t="str">
        <f>IFERROR(__xludf.DUMMYFUNCTION("GOOGLETRANSLATE(B19062, ""fr"", ""en"")"),"The chain provided good compromise is not the same as in the picture but the price is very interesting just for the pendant")</f>
        <v>The chain provided good compromise is not the same as in the picture but the price is very interesting just for the pendant</v>
      </c>
    </row>
    <row r="19063">
      <c r="A19063" s="1">
        <v>4.0</v>
      </c>
      <c r="B19063" s="1" t="s">
        <v>18749</v>
      </c>
      <c r="C19063" t="str">
        <f>IFERROR(__xludf.DUMMYFUNCTION("GOOGLETRANSLATE(B19063, ""fr"", ""en"")"),"To offer in combination with the earrings to one attractive finery")</f>
        <v>To offer in combination with the earrings to one attractive finery</v>
      </c>
    </row>
    <row r="19064">
      <c r="A19064" s="1">
        <v>4.0</v>
      </c>
      <c r="B19064" s="1" t="s">
        <v>18750</v>
      </c>
      <c r="C19064" t="str">
        <f>IFERROR(__xludf.DUMMYFUNCTION("GOOGLETRANSLATE(B19064, ""fr"", ""en"")"),"Quality Casio! Goodies: Very good quality / price ratio as often with Casio. The bracelet is very flexible and also of good quality. Cons: The needles are not phosphorescent. The ice seems to be plastic and not as yet indicated mineral.")</f>
        <v>Quality Casio! Goodies: Very good quality / price ratio as often with Casio. The bracelet is very flexible and also of good quality. Cons: The needles are not phosphorescent. The ice seems to be plastic and not as yet indicated mineral.</v>
      </c>
    </row>
    <row r="19065">
      <c r="A19065" s="1">
        <v>4.0</v>
      </c>
      <c r="B19065" s="1" t="s">
        <v>18751</v>
      </c>
      <c r="C19065" t="str">
        <f>IFERROR(__xludf.DUMMYFUNCTION("GOOGLETRANSLATE(B19065, ""fr"", ""en"")"),"nice massaging cushion to relax I who have back problems and neck, I really recommend this product. A moment of perfect relaxation after a long day. The only downside is that c you have to wedge the back with pillows to not be too pressed the massage ball"&amp;"s at the risk of being painful. But so effective to untie the knots that we easily arrive at a solution to wedge")</f>
        <v>nice massaging cushion to relax I who have back problems and neck, I really recommend this product. A moment of perfect relaxation after a long day. The only downside is that c you have to wedge the back with pillows to not be too pressed the massage balls at the risk of being painful. But so effective to untie the knots that we easily arrive at a solution to wedge</v>
      </c>
    </row>
    <row r="19066">
      <c r="A19066" s="1">
        <v>4.0</v>
      </c>
      <c r="B19066" s="1" t="s">
        <v>18752</v>
      </c>
      <c r="C19066" t="str">
        <f>IFERROR(__xludf.DUMMYFUNCTION("GOOGLETRANSLATE(B19066, ""fr"", ""en"")"),"Makes his case Just a pity they are not repositionable .. At the first use, I wanted to take off a few stuck by accident and it tore the (pretty) card stock to which it was attached. At least tell us, proof that they stick well ...")</f>
        <v>Makes his case Just a pity they are not repositionable .. At the first use, I wanted to take off a few stuck by accident and it tore the (pretty) card stock to which it was attached. At least tell us, proof that they stick well ...</v>
      </c>
    </row>
    <row r="19067">
      <c r="A19067" s="1">
        <v>5.0</v>
      </c>
      <c r="B19067" s="1" t="s">
        <v>18753</v>
      </c>
      <c r="C19067" t="str">
        <f>IFERROR(__xludf.DUMMYFUNCTION("GOOGLETRANSLATE(B19067, ""fr"", ""en"")"),"Replacing a bracelet original 18 mm wide inking of the shows I'm really happy with this bracelet, to replace my original strap of a Casio watch, which I did not find the strap of originally growing all the tools included in the kit, to recommend!")</f>
        <v>Replacing a bracelet original 18 mm wide inking of the shows I'm really happy with this bracelet, to replace my original strap of a Casio watch, which I did not find the strap of originally growing all the tools included in the kit, to recommend!</v>
      </c>
    </row>
    <row r="19068">
      <c r="A19068" s="1">
        <v>5.0</v>
      </c>
      <c r="B19068" s="1" t="s">
        <v>18754</v>
      </c>
      <c r="C19068" t="str">
        <f>IFERROR(__xludf.DUMMYFUNCTION("GOOGLETRANSLATE(B19068, ""fr"", ""en"")"),"Felt very good and do not drool on the leaves. I use these markers to make art therapy on drawings very fine print. It's a treat to use. I like this brand for high quality. I bought regularly now.")</f>
        <v>Felt very good and do not drool on the leaves. I use these markers to make art therapy on drawings very fine print. It's a treat to use. I like this brand for high quality. I bought regularly now.</v>
      </c>
    </row>
    <row r="19069">
      <c r="A19069" s="1">
        <v>5.0</v>
      </c>
      <c r="B19069" s="1" t="s">
        <v>18755</v>
      </c>
      <c r="C19069" t="str">
        <f>IFERROR(__xludf.DUMMYFUNCTION("GOOGLETRANSLATE(B19069, ""fr"", ""en"")"),"perfect working perfectly. thank you generic !!! fed up with brands that stuff themselves with crazy margins. Here we have a replacement product that works very well, I highly recommend. My only regret: I'll have to take more to reduce costs !!")</f>
        <v>perfect working perfectly. thank you generic !!! fed up with brands that stuff themselves with crazy margins. Here we have a replacement product that works very well, I highly recommend. My only regret: I'll have to take more to reduce costs !!</v>
      </c>
    </row>
    <row r="19070">
      <c r="A19070" s="1">
        <v>5.0</v>
      </c>
      <c r="B19070" s="1" t="s">
        <v>18756</v>
      </c>
      <c r="C19070" t="str">
        <f>IFERROR(__xludf.DUMMYFUNCTION("GOOGLETRANSLATE(B19070, ""fr"", ""en"")"),"Good vibrations guaranteed 7th heaven")</f>
        <v>Good vibrations guaranteed 7th heaven</v>
      </c>
    </row>
    <row r="19071">
      <c r="A19071" s="1">
        <v>5.0</v>
      </c>
      <c r="B19071" s="1" t="s">
        <v>18757</v>
      </c>
      <c r="C19071" t="str">
        <f>IFERROR(__xludf.DUMMYFUNCTION("GOOGLETRANSLATE(B19071, ""fr"", ""en"")"),"So I urge without jargon, I was expecting an average copy airpods. Well already nothing to do with airpods, the design is very different, very sober. I am really suprised by the noise reduction is really not bad, but especially by the quality of the music"&amp;", even if the bass could be more punchy. The fact that they are in-ear is a big plus! A bit difficult to use instinctively, but with the manual is niquel! I recommend.")</f>
        <v>So I urge without jargon, I was expecting an average copy airpods. Well already nothing to do with airpods, the design is very different, very sober. I am really suprised by the noise reduction is really not bad, but especially by the quality of the music, even if the bass could be more punchy. The fact that they are in-ear is a big plus! A bit difficult to use instinctively, but with the manual is niquel! I recommend.</v>
      </c>
    </row>
    <row r="19072">
      <c r="A19072" s="1">
        <v>5.0</v>
      </c>
      <c r="B19072" s="1" t="s">
        <v>18758</v>
      </c>
      <c r="C19072" t="str">
        <f>IFERROR(__xludf.DUMMYFUNCTION("GOOGLETRANSLATE(B19072, ""fr"", ""en"")"),"Bottle Nikel")</f>
        <v>Bottle Nikel</v>
      </c>
    </row>
    <row r="19073">
      <c r="A19073" s="1">
        <v>5.0</v>
      </c>
      <c r="B19073" s="1" t="s">
        <v>18759</v>
      </c>
      <c r="C19073" t="str">
        <f>IFERROR(__xludf.DUMMYFUNCTION("GOOGLETRANSLATE(B19073, ""fr"", ""en"")"),"Perfect I buy white basketball for my little sister a smaller size that she wears! and fast delivery, perfect packaging, product origin, clean new, very nice! I recommend the website amazon to everyone without hesitation and converse too! Thank you")</f>
        <v>Perfect I buy white basketball for my little sister a smaller size that she wears! and fast delivery, perfect packaging, product origin, clean new, very nice! I recommend the website amazon to everyone without hesitation and converse too! Thank you</v>
      </c>
    </row>
    <row r="19074">
      <c r="A19074" s="1">
        <v>5.0</v>
      </c>
      <c r="B19074" s="1" t="s">
        <v>18760</v>
      </c>
      <c r="C19074" t="str">
        <f>IFERROR(__xludf.DUMMYFUNCTION("GOOGLETRANSLATE(B19074, ""fr"", ""en"")"),"Perfect Used to complement the album Hama Jumbo Album Photo Fine Art, these adhesive pads are great! Easy to take off from their support and to set up behind the photos, they hold up very well (see the son for years, but good). I recommend !")</f>
        <v>Perfect Used to complement the album Hama Jumbo Album Photo Fine Art, these adhesive pads are great! Easy to take off from their support and to set up behind the photos, they hold up very well (see the son for years, but good). I recommend !</v>
      </c>
    </row>
    <row r="19075">
      <c r="A19075" s="1">
        <v>5.0</v>
      </c>
      <c r="B19075" s="1" t="s">
        <v>18761</v>
      </c>
      <c r="C19075" t="str">
        <f>IFERROR(__xludf.DUMMYFUNCTION("GOOGLETRANSLATE(B19075, ""fr"", ""en"")"),"Very good for the price. Impeccable !!! Caution, however, although it looks like a G-Shock, it is not one, no clock and no light either. Apart from that, and considering the price, excellent shows 👍")</f>
        <v>Very good for the price. Impeccable !!! Caution, however, although it looks like a G-Shock, it is not one, no clock and no light either. Apart from that, and considering the price, excellent shows 👍</v>
      </c>
    </row>
    <row r="19076">
      <c r="A19076" s="1">
        <v>5.0</v>
      </c>
      <c r="B19076" s="1" t="s">
        <v>18762</v>
      </c>
      <c r="C19076" t="str">
        <f>IFERROR(__xludf.DUMMYFUNCTION("GOOGLETRANSLATE(B19076, ""fr"", ""en"")"),"Frankly a good surprise for ten euros is a good surprise. The battery is correct, and although his charge low and soft midrange so typical in-ear mediocre, I must admit that it's the TAF. The microphone is not great either but helps out, and on top of tha"&amp;"t overall latency of the device is very correct short, I recommend")</f>
        <v>Frankly a good surprise for ten euros is a good surprise. The battery is correct, and although his charge low and soft midrange so typical in-ear mediocre, I must admit that it's the TAF. The microphone is not great either but helps out, and on top of that overall latency of the device is very correct short, I recommend</v>
      </c>
    </row>
    <row r="19077">
      <c r="A19077" s="1">
        <v>5.0</v>
      </c>
      <c r="B19077" s="1" t="s">
        <v>18763</v>
      </c>
      <c r="C19077" t="str">
        <f>IFERROR(__xludf.DUMMYFUNCTION("GOOGLETRANSLATE(B19077, ""fr"", ""en"")"),"A timeless classic ...")</f>
        <v>A timeless classic ...</v>
      </c>
    </row>
    <row r="19078">
      <c r="A19078" s="1">
        <v>5.0</v>
      </c>
      <c r="B19078" s="1" t="s">
        <v>18764</v>
      </c>
      <c r="C19078" t="str">
        <f>IFERROR(__xludf.DUMMYFUNCTION("GOOGLETRANSLATE(B19078, ""fr"", ""en"")"),"Super Shoes products on top for comfortable and resistant solid work")</f>
        <v>Super Shoes products on top for comfortable and resistant solid work</v>
      </c>
    </row>
    <row r="19079">
      <c r="A19079" s="1">
        <v>5.0</v>
      </c>
      <c r="B19079" s="1" t="s">
        <v>18765</v>
      </c>
      <c r="C19079" t="str">
        <f>IFERROR(__xludf.DUMMYFUNCTION("GOOGLETRANSLATE(B19079, ""fr"", ""en"")"),"Lacoste bag Very nice bag good format..pratique, neither too big nor too petite..et as always the quality lacoste")</f>
        <v>Lacoste bag Very nice bag good format..pratique, neither too big nor too petite..et as always the quality lacoste</v>
      </c>
    </row>
    <row r="19080">
      <c r="A19080" s="1">
        <v>5.0</v>
      </c>
      <c r="B19080" s="1" t="s">
        <v>18766</v>
      </c>
      <c r="C19080" t="str">
        <f>IFERROR(__xludf.DUMMYFUNCTION("GOOGLETRANSLATE(B19080, ""fr"", ""en"")"),"Good value satisfactory thickness, good price, soft and comfortable for small buttocks all the family! lol package keeps me 1 month and a half, which is more than I expected at the base!")</f>
        <v>Good value satisfactory thickness, good price, soft and comfortable for small buttocks all the family! lol package keeps me 1 month and a half, which is more than I expected at the base!</v>
      </c>
    </row>
    <row r="19081">
      <c r="A19081" s="1">
        <v>5.0</v>
      </c>
      <c r="B19081" s="1" t="s">
        <v>18767</v>
      </c>
      <c r="C19081" t="str">
        <f>IFERROR(__xludf.DUMMYFUNCTION("GOOGLETRANSLATE(B19081, ""fr"", ""en"")"),"Good bracelet. Bracelet received quickly and in excellent conditions. The bracelet is very well protected and it fits perfectly. It contains three clips, bracelet and two tools to adjust it. Until then, I am completely satisfied. The bracelet weighs watch"&amp;" but this is normal because it is metal.")</f>
        <v>Good bracelet. Bracelet received quickly and in excellent conditions. The bracelet is very well protected and it fits perfectly. It contains three clips, bracelet and two tools to adjust it. Until then, I am completely satisfied. The bracelet weighs watch but this is normal because it is metal.</v>
      </c>
    </row>
    <row r="19082">
      <c r="A19082" s="1">
        <v>2.0</v>
      </c>
      <c r="B19082" s="1" t="s">
        <v>18768</v>
      </c>
      <c r="C19082" t="str">
        <f>IFERROR(__xludf.DUMMYFUNCTION("GOOGLETRANSLATE(B19082, ""fr"", ""en"")"),"To flee ! Product arrived dirty. Sloppy, we see all burrs. In addition, the battery is 500mA and 1800mA not as advertised .... The sound quality is poor. Far too expensive for the quality (or mediocrity) Final")</f>
        <v>To flee ! Product arrived dirty. Sloppy, we see all burrs. In addition, the battery is 500mA and 1800mA not as advertised .... The sound quality is poor. Far too expensive for the quality (or mediocrity) Final</v>
      </c>
    </row>
    <row r="19083">
      <c r="A19083" s="1">
        <v>1.0</v>
      </c>
      <c r="B19083" s="1" t="s">
        <v>18769</v>
      </c>
      <c r="C19083" t="str">
        <f>IFERROR(__xludf.DUMMYFUNCTION("GOOGLETRANSLATE(B19083, ""fr"", ""en"")"),"Big disappointment A simple bowl would have done the trick. I expected more for the price, I think it's a shame. No massage, excessive vibration, it can not interfere in apartment neighbors. The components inside are a very misplaced both are useless. Too"&amp;" hard for the foot, annoying after a while it almost hurts. Accessories are no home no it does is absolutely worthless. I do not know if I return or I made a gift.")</f>
        <v>Big disappointment A simple bowl would have done the trick. I expected more for the price, I think it's a shame. No massage, excessive vibration, it can not interfere in apartment neighbors. The components inside are a very misplaced both are useless. Too hard for the foot, annoying after a while it almost hurts. Accessories are no home no it does is absolutely worthless. I do not know if I return or I made a gift.</v>
      </c>
    </row>
    <row r="19084">
      <c r="A19084" s="1">
        <v>1.0</v>
      </c>
      <c r="B19084" s="1" t="s">
        <v>18770</v>
      </c>
      <c r="C19084" t="str">
        <f>IFERROR(__xludf.DUMMYFUNCTION("GOOGLETRANSLATE(B19084, ""fr"", ""en"")"),"So-so")</f>
        <v>So-so</v>
      </c>
    </row>
    <row r="19085">
      <c r="A19085" s="1">
        <v>3.0</v>
      </c>
      <c r="B19085" s="1" t="s">
        <v>18771</v>
      </c>
      <c r="C19085" t="str">
        <f>IFERROR(__xludf.DUMMYFUNCTION("GOOGLETRANSLATE(B19085, ""fr"", ""en"")"),"Ink for Canon Very good product but obviously ink cartridges really too expensive! Too bad it does not exist these ink cartridges of other brands to lower prices")</f>
        <v>Ink for Canon Very good product but obviously ink cartridges really too expensive! Too bad it does not exist these ink cartridges of other brands to lower prices</v>
      </c>
    </row>
    <row r="19086">
      <c r="A19086" s="1">
        <v>4.0</v>
      </c>
      <c r="B19086" s="1" t="s">
        <v>18772</v>
      </c>
      <c r="C19086" t="str">
        <f>IFERROR(__xludf.DUMMYFUNCTION("GOOGLETRANSLATE(B19086, ""fr"", ""en"")"),"Simple and effective I offered for my mother's birthday and she is happy, simple and effective rather Zen with light therapy. I just find that the clock tracks are rather short and repetitive stroke. But otherwise simple and effective product thank you")</f>
        <v>Simple and effective I offered for my mother's birthday and she is happy, simple and effective rather Zen with light therapy. I just find that the clock tracks are rather short and repetitive stroke. But otherwise simple and effective product thank you</v>
      </c>
    </row>
    <row r="19087">
      <c r="A19087" s="1">
        <v>4.0</v>
      </c>
      <c r="B19087" s="1" t="s">
        <v>18773</v>
      </c>
      <c r="C19087" t="str">
        <f>IFERROR(__xludf.DUMMYFUNCTION("GOOGLETRANSLATE(B19087, ""fr"", ""en"")"),"Although easy use")</f>
        <v>Although easy use</v>
      </c>
    </row>
    <row r="19088">
      <c r="A19088" s="1">
        <v>4.0</v>
      </c>
      <c r="B19088" s="1" t="s">
        <v>18774</v>
      </c>
      <c r="C19088" t="str">
        <f>IFERROR(__xludf.DUMMYFUNCTION("GOOGLETRANSLATE(B19088, ""fr"", ""en"")"),"Helpful Good value")</f>
        <v>Helpful Good value</v>
      </c>
    </row>
    <row r="19089">
      <c r="A19089" s="1">
        <v>4.0</v>
      </c>
      <c r="B19089" s="1" t="s">
        <v>18775</v>
      </c>
      <c r="C19089" t="str">
        <f>IFERROR(__xludf.DUMMYFUNCTION("GOOGLETRANSLATE(B19089, ""fr"", ""en"")"),"Although for my son")</f>
        <v>Although for my son</v>
      </c>
    </row>
    <row r="19090">
      <c r="A19090" s="1">
        <v>5.0</v>
      </c>
      <c r="B19090" s="1" t="s">
        <v>18776</v>
      </c>
      <c r="C19090" t="str">
        <f>IFERROR(__xludf.DUMMYFUNCTION("GOOGLETRANSLATE(B19090, ""fr"", ""en"")"),"? small but good size")</f>
        <v>? small but good size</v>
      </c>
    </row>
    <row r="19091">
      <c r="A19091" s="1">
        <v>5.0</v>
      </c>
      <c r="B19091" s="1" t="s">
        <v>18777</v>
      </c>
      <c r="C19091" t="str">
        <f>IFERROR(__xludf.DUMMYFUNCTION("GOOGLETRANSLATE(B19091, ""fr"", ""en"")"),"beautiful Creoles product of good quality, consistent and even better than the picture. Will make a wonderful gift with a nice setting")</f>
        <v>beautiful Creoles product of good quality, consistent and even better than the picture. Will make a wonderful gift with a nice setting</v>
      </c>
    </row>
    <row r="19092">
      <c r="A19092" s="1">
        <v>5.0</v>
      </c>
      <c r="B19092" s="1" t="s">
        <v>18778</v>
      </c>
      <c r="C19092" t="str">
        <f>IFERROR(__xludf.DUMMYFUNCTION("GOOGLETRANSLATE(B19092, ""fr"", ""en"")"),"Perfect This product is one of my best finds, for one size perfectly matched my expectations, my biggest fear proved to be the quality of the fabrics (material) and against all odds I am not disappointed. Also I received in advance so what more?")</f>
        <v>Perfect This product is one of my best finds, for one size perfectly matched my expectations, my biggest fear proved to be the quality of the fabrics (material) and against all odds I am not disappointed. Also I received in advance so what more?</v>
      </c>
    </row>
    <row r="19093">
      <c r="A19093" s="1">
        <v>5.0</v>
      </c>
      <c r="B19093" s="1" t="s">
        <v>18779</v>
      </c>
      <c r="C19093" t="str">
        <f>IFERROR(__xludf.DUMMYFUNCTION("GOOGLETRANSLATE(B19093, ""fr"", ""en"")"),"Lightweight and powerful concentration of technology A small concentration of technology it is Bluetooth, listen to the radio, receiving call while small does not take place we can put it in the pocket-friendly to use I lie've used for sports nickel I you"&amp;" recommended on top")</f>
        <v>Lightweight and powerful concentration of technology A small concentration of technology it is Bluetooth, listen to the radio, receiving call while small does not take place we can put it in the pocket-friendly to use I lie've used for sports nickel I you recommended on top</v>
      </c>
    </row>
    <row r="19094">
      <c r="A19094" s="1">
        <v>5.0</v>
      </c>
      <c r="B19094" s="1" t="s">
        <v>18780</v>
      </c>
      <c r="C19094" t="str">
        <f>IFERROR(__xludf.DUMMYFUNCTION("GOOGLETRANSLATE(B19094, ""fr"", ""en"")"),"VERY SURPRISING ... I bought this helmet because I liked its appearance and for the price ... until now I used ear and when we listen to music, the sound seems to be heard at the top of the skull that which is normal; I have used other helmets, certainly "&amp;"cheap but not better. But with this one, the hearing is very surprising, the music is heard in both ears but the singer's voice on videos like The Voice example is centered and it is as if the sound came well out of his mouth into the microphone ... I do "&amp;"not know how this works but it gives a different listening quality and more .... for the price you can try.")</f>
        <v>VERY SURPRISING ... I bought this helmet because I liked its appearance and for the price ... until now I used ear and when we listen to music, the sound seems to be heard at the top of the skull that which is normal; I have used other helmets, certainly cheap but not better. But with this one, the hearing is very surprising, the music is heard in both ears but the singer's voice on videos like The Voice example is centered and it is as if the sound came well out of his mouth into the microphone ... I do not know how this works but it gives a different listening quality and more .... for the price you can try.</v>
      </c>
    </row>
    <row r="19095">
      <c r="A19095" s="1">
        <v>5.0</v>
      </c>
      <c r="B19095" s="1" t="s">
        <v>18781</v>
      </c>
      <c r="C19095" t="str">
        <f>IFERROR(__xludf.DUMMYFUNCTION("GOOGLETRANSLATE(B19095, ""fr"", ""en"")"),"Although good produitBien to pole dance")</f>
        <v>Although good produitBien to pole dance</v>
      </c>
    </row>
    <row r="19096">
      <c r="A19096" s="1">
        <v>5.0</v>
      </c>
      <c r="B19096" s="1" t="s">
        <v>18782</v>
      </c>
      <c r="C19096" t="str">
        <f>IFERROR(__xludf.DUMMYFUNCTION("GOOGLETRANSLATE(B19096, ""fr"", ""en"")"),"adjustable product. Super super adjustable product. Temperature selection, glass container. Very good value for money !")</f>
        <v>adjustable product. Super super adjustable product. Temperature selection, glass container. Very good value for money !</v>
      </c>
    </row>
    <row r="19097">
      <c r="A19097" s="1">
        <v>5.0</v>
      </c>
      <c r="B19097" s="1" t="s">
        <v>18783</v>
      </c>
      <c r="C19097" t="str">
        <f>IFERROR(__xludf.DUMMYFUNCTION("GOOGLETRANSLATE(B19097, ""fr"", ""en"")"),"filled his role well the wrist is relieved, the gel appears to be resistant and not too dug for 1 year, the mat itself remains in good condition and does not wear too")</f>
        <v>filled his role well the wrist is relieved, the gel appears to be resistant and not too dug for 1 year, the mat itself remains in good condition and does not wear too</v>
      </c>
    </row>
    <row r="19098">
      <c r="A19098" s="1">
        <v>5.0</v>
      </c>
      <c r="B19098" s="1" t="s">
        <v>1687</v>
      </c>
      <c r="C19098" t="str">
        <f>IFERROR(__xludf.DUMMYFUNCTION("GOOGLETRANSLATE(B19098, ""fr"", ""en"")"),"Super Super")</f>
        <v>Super Super</v>
      </c>
    </row>
    <row r="19099">
      <c r="A19099" s="1">
        <v>5.0</v>
      </c>
      <c r="B19099" s="1" t="s">
        <v>18784</v>
      </c>
      <c r="C19099" t="str">
        <f>IFERROR(__xludf.DUMMYFUNCTION("GOOGLETRANSLATE(B19099, ""fr"", ""en"")"),"Satisfied satisfied. Black is absolutely not transparent 👍🏻. Size suitable. However, I find it a bit short in length on the leg. Instead of 7 / 8th. Only flaw for me.")</f>
        <v>Satisfied satisfied. Black is absolutely not transparent 👍🏻. Size suitable. However, I find it a bit short in length on the leg. Instead of 7 / 8th. Only flaw for me.</v>
      </c>
    </row>
    <row r="19100">
      <c r="A19100" s="1">
        <v>5.0</v>
      </c>
      <c r="B19100" s="1" t="s">
        <v>18785</v>
      </c>
      <c r="C19100" t="str">
        <f>IFERROR(__xludf.DUMMYFUNCTION("GOOGLETRANSLATE(B19100, ""fr"", ""en"")"),"A very nice watch, nice and light This watch is excellent, it is comfortable, light and strength of feeling on the clock level and strap fasteners. The bracelet itself is very ""sweet"", rigid on arrival but after two hours it takes the shape of the wrist"&amp;". The automatic mechanism seems to work very well, many details that catches the eye. Watch very ""flashy"" of its architecture ""Skeleton"" and large (47mm for the dial). The watch arrived 3d ahead, Amazon in a proper packaging and not damaged, against s"&amp;"ignature.")</f>
        <v>A very nice watch, nice and light This watch is excellent, it is comfortable, light and strength of feeling on the clock level and strap fasteners. The bracelet itself is very "sweet", rigid on arrival but after two hours it takes the shape of the wrist. The automatic mechanism seems to work very well, many details that catches the eye. Watch very "flashy" of its architecture "Skeleton" and large (47mm for the dial). The watch arrived 3d ahead, Amazon in a proper packaging and not damaged, against signature.</v>
      </c>
    </row>
    <row r="19101">
      <c r="A19101" s="1">
        <v>5.0</v>
      </c>
      <c r="B19101" s="1" t="s">
        <v>18786</v>
      </c>
      <c r="C19101" t="str">
        <f>IFERROR(__xludf.DUMMYFUNCTION("GOOGLETRANSLATE(B19101, ""fr"", ""en"")"),"perfect for little hands Good crayons for the little ones, easy to learn, easy to erase the traces they leave is washable. You can write on a sheet on the floor, the windows ... I recommend!")</f>
        <v>perfect for little hands Good crayons for the little ones, easy to learn, easy to erase the traces they leave is washable. You can write on a sheet on the floor, the windows ... I recommend!</v>
      </c>
    </row>
    <row r="19102">
      <c r="A19102" s="1">
        <v>5.0</v>
      </c>
      <c r="B19102" s="1" t="s">
        <v>18787</v>
      </c>
      <c r="C19102" t="str">
        <f>IFERROR(__xludf.DUMMYFUNCTION("GOOGLETRANSLATE(B19102, ""fr"", ""en"")"),"Pablo Perfecto Really great .... I am much faster with his boots with my old I gained about 15 km Transmission average time when I move into my garden, only small problem every 4th round I must makes a pit stop")</f>
        <v>Pablo Perfecto Really great .... I am much faster with his boots with my old I gained about 15 km Transmission average time when I move into my garden, only small problem every 4th round I must makes a pit stop</v>
      </c>
    </row>
    <row r="19103">
      <c r="A19103" s="1">
        <v>5.0</v>
      </c>
      <c r="B19103" s="1" t="s">
        <v>18788</v>
      </c>
      <c r="C19103" t="str">
        <f>IFERROR(__xludf.DUMMYFUNCTION("GOOGLETRANSLATE(B19103, ""fr"", ""en"")"),"Very comfortable to wear for hiking Purchased Item")</f>
        <v>Very comfortable to wear for hiking Purchased Item</v>
      </c>
    </row>
    <row r="19104">
      <c r="A19104" s="1">
        <v>5.0</v>
      </c>
      <c r="B19104" s="1" t="s">
        <v>18789</v>
      </c>
      <c r="C19104" t="str">
        <f>IFERROR(__xludf.DUMMYFUNCTION("GOOGLETRANSLATE(B19104, ""fr"", ""en"")"),"Quality and comfort. Next others notice I took a xl size, but I think the size would suffice. Very good, comfortable after a long sports scéance.")</f>
        <v>Quality and comfort. Next others notice I took a xl size, but I think the size would suffice. Very good, comfortable after a long sports scéance.</v>
      </c>
    </row>
    <row r="19105">
      <c r="A19105" s="1">
        <v>5.0</v>
      </c>
      <c r="B19105" s="1" t="s">
        <v>18790</v>
      </c>
      <c r="C19105" t="str">
        <f>IFERROR(__xludf.DUMMYFUNCTION("GOOGLETRANSLATE(B19105, ""fr"", ""en"")"),"Castor oil 1l Excellent product except the cap was breaking those everything was perfect.")</f>
        <v>Castor oil 1l Excellent product except the cap was breaking those everything was perfect.</v>
      </c>
    </row>
    <row r="19106">
      <c r="A19106" s="1">
        <v>2.0</v>
      </c>
      <c r="B19106" s="1" t="s">
        <v>18791</v>
      </c>
      <c r="C19106" t="str">
        <f>IFERROR(__xludf.DUMMYFUNCTION("GOOGLETRANSLATE(B19106, ""fr"", ""en"")"),"problem too boring colors changing suddenly so suddenly not such painful is pressed nothing happens impossible to find a good red color seen prixlol !!! damage the lamp is pretty and nice thought but here !!!!!!!")</f>
        <v>problem too boring colors changing suddenly so suddenly not such painful is pressed nothing happens impossible to find a good red color seen prixlol !!! damage the lamp is pretty and nice thought but here !!!!!!!</v>
      </c>
    </row>
    <row r="19107">
      <c r="A19107" s="1">
        <v>1.0</v>
      </c>
      <c r="B19107" s="1" t="s">
        <v>18792</v>
      </c>
      <c r="C19107" t="str">
        <f>IFERROR(__xludf.DUMMYFUNCTION("GOOGLETRANSLATE(B19107, ""fr"", ""en"")"),"Already down Hello After 1 hour of walking the distributor has already failed !! What more can be said!! Highly disappointed with this !! I do not recommend this product.")</f>
        <v>Already down Hello After 1 hour of walking the distributor has already failed !! What more can be said!! Highly disappointed with this !! I do not recommend this product.</v>
      </c>
    </row>
    <row r="19108">
      <c r="A19108" s="1">
        <v>3.0</v>
      </c>
      <c r="B19108" s="1" t="s">
        <v>18793</v>
      </c>
      <c r="C19108" t="str">
        <f>IFERROR(__xludf.DUMMYFUNCTION("GOOGLETRANSLATE(B19108, ""fr"", ""en"")"),"comfortable but be careful not leather! The quality and comfort of the brand is there but very disappointed because the model is not leather as advertised. So the record is so pretty and the price becomes much less interesting.")</f>
        <v>comfortable but be careful not leather! The quality and comfort of the brand is there but very disappointed because the model is not leather as advertised. So the record is so pretty and the price becomes much less interesting.</v>
      </c>
    </row>
    <row r="19109">
      <c r="A19109" s="1">
        <v>3.0</v>
      </c>
      <c r="B19109" s="1" t="s">
        <v>18794</v>
      </c>
      <c r="C19109" t="str">
        <f>IFERROR(__xludf.DUMMYFUNCTION("GOOGLETRANSLATE(B19109, ""fr"", ""en"")"),"Cartridge Samsung MLT-D111S Cartridge prints perfectly very good record, but do not keep promises its numbers of printed pages. Otherwise no complaints")</f>
        <v>Cartridge Samsung MLT-D111S Cartridge prints perfectly very good record, but do not keep promises its numbers of printed pages. Otherwise no complaints</v>
      </c>
    </row>
    <row r="19110">
      <c r="A19110" s="1">
        <v>4.0</v>
      </c>
      <c r="B19110" s="1" t="s">
        <v>18795</v>
      </c>
      <c r="C19110" t="str">
        <f>IFERROR(__xludf.DUMMYFUNCTION("GOOGLETRANSLATE(B19110, ""fr"", ""en"")"),"Jewelry opportunity very good condition Very nice trends to make every day.")</f>
        <v>Jewelry opportunity very good condition Very nice trends to make every day.</v>
      </c>
    </row>
    <row r="19111">
      <c r="A19111" s="1">
        <v>4.0</v>
      </c>
      <c r="B19111" s="1" t="s">
        <v>18796</v>
      </c>
      <c r="C19111" t="str">
        <f>IFERROR(__xludf.DUMMYFUNCTION("GOOGLETRANSLATE(B19111, ""fr"", ""en"")"),"Very beauu The chain is very thin and the pendant is pretty. It was for a birthday gift. It rained and she found it very beautiful. It comes in a box.")</f>
        <v>Very beauu The chain is very thin and the pendant is pretty. It was for a birthday gift. It rained and she found it very beautiful. It comes in a box.</v>
      </c>
    </row>
    <row r="19112">
      <c r="A19112" s="1">
        <v>4.0</v>
      </c>
      <c r="B19112" s="1" t="s">
        <v>18797</v>
      </c>
      <c r="C19112" t="str">
        <f>IFERROR(__xludf.DUMMYFUNCTION("GOOGLETRANSLATE(B19112, ""fr"", ""en"")"),"Ras Meets command prompt delivery lacks some comfort")</f>
        <v>Ras Meets command prompt delivery lacks some comfort</v>
      </c>
    </row>
    <row r="19113">
      <c r="A19113" s="1">
        <v>4.0</v>
      </c>
      <c r="B19113" s="1" t="s">
        <v>18798</v>
      </c>
      <c r="C19113" t="str">
        <f>IFERROR(__xludf.DUMMYFUNCTION("GOOGLETRANSLATE(B19113, ""fr"", ""en"")"),"Top quality These headphones are really nomads, with a battery-life and a more than adequate, they accompany me every day to go to work!")</f>
        <v>Top quality These headphones are really nomads, with a battery-life and a more than adequate, they accompany me every day to go to work!</v>
      </c>
    </row>
    <row r="19114">
      <c r="A19114" s="1">
        <v>5.0</v>
      </c>
      <c r="B19114" s="1" t="s">
        <v>18799</v>
      </c>
      <c r="C19114" t="str">
        <f>IFERROR(__xludf.DUMMYFUNCTION("GOOGLETRANSLATE(B19114, ""fr"", ""en"")"),"Very good product! Quick delivery! Very happy with the product!")</f>
        <v>Very good product! Quick delivery! Very happy with the product!</v>
      </c>
    </row>
    <row r="19115">
      <c r="A19115" s="1">
        <v>5.0</v>
      </c>
      <c r="B19115" s="1" t="s">
        <v>18800</v>
      </c>
      <c r="C19115" t="str">
        <f>IFERROR(__xludf.DUMMYFUNCTION("GOOGLETRANSLATE(B19115, ""fr"", ""en"")"),"Sock fast delivery fast delivery well cut, a consistent picture and description.")</f>
        <v>Sock fast delivery fast delivery well cut, a consistent picture and description.</v>
      </c>
    </row>
    <row r="19116">
      <c r="A19116" s="1">
        <v>5.0</v>
      </c>
      <c r="B19116" s="1" t="s">
        <v>18801</v>
      </c>
      <c r="C19116" t="str">
        <f>IFERROR(__xludf.DUMMYFUNCTION("GOOGLETRANSLATE(B19116, ""fr"", ""en"")"),"Excellent product Excellent listener without noticeable defect. It's all good ... To buy eyes closed")</f>
        <v>Excellent product Excellent listener without noticeable defect. It's all good ... To buy eyes closed</v>
      </c>
    </row>
    <row r="19117">
      <c r="A19117" s="1">
        <v>5.0</v>
      </c>
      <c r="B19117" s="1" t="s">
        <v>18802</v>
      </c>
      <c r="C19117" t="str">
        <f>IFERROR(__xludf.DUMMYFUNCTION("GOOGLETRANSLATE(B19117, ""fr"", ""en"")"),"Nice effect Received very quickly my order. Corresponds to my expectations, received many compliments on my necklace.")</f>
        <v>Nice effect Received very quickly my order. Corresponds to my expectations, received many compliments on my necklace.</v>
      </c>
    </row>
    <row r="19118">
      <c r="A19118" s="1">
        <v>5.0</v>
      </c>
      <c r="B19118" s="1" t="s">
        <v>18803</v>
      </c>
      <c r="C19118" t="str">
        <f>IFERROR(__xludf.DUMMYFUNCTION("GOOGLETRANSLATE(B19118, ""fr"", ""en"")"),"The best for baby! I am fan of mam bottles since the birth of my son! And even if I had the opportunity to test other brands ... Nothing to do!")</f>
        <v>The best for baby! I am fan of mam bottles since the birth of my son! And even if I had the opportunity to test other brands ... Nothing to do!</v>
      </c>
    </row>
    <row r="19119">
      <c r="A19119" s="1">
        <v>5.0</v>
      </c>
      <c r="B19119" s="1" t="s">
        <v>18804</v>
      </c>
      <c r="C19119" t="str">
        <f>IFERROR(__xludf.DUMMYFUNCTION("GOOGLETRANSLATE(B19119, ""fr"", ""en"")"),"Great product I needed bleutooth headphones in order to load my phone (iPhone X) and listen to music at the same time, these headphones fit perfectly with my expectations, low prices and good product, and product colors .Very easy to use.")</f>
        <v>Great product I needed bleutooth headphones in order to load my phone (iPhone X) and listen to music at the same time, these headphones fit perfectly with my expectations, low prices and good product, and product colors .Very easy to use.</v>
      </c>
    </row>
    <row r="19120">
      <c r="A19120" s="1">
        <v>5.0</v>
      </c>
      <c r="B19120" s="1" t="s">
        <v>18805</v>
      </c>
      <c r="C19120" t="str">
        <f>IFERROR(__xludf.DUMMYFUNCTION("GOOGLETRANSLATE(B19120, ""fr"", ""en"")"),"My daughter compliant vans Vans door, she very happy and for me also saw the price and zero coupon shipping, free exchange in case. comfortable shoe, shoe and took 39 of 39. Perfect.")</f>
        <v>My daughter compliant vans Vans door, she very happy and for me also saw the price and zero coupon shipping, free exchange in case. comfortable shoe, shoe and took 39 of 39. Perfect.</v>
      </c>
    </row>
    <row r="19121">
      <c r="A19121" s="1">
        <v>5.0</v>
      </c>
      <c r="B19121" s="1" t="s">
        <v>18806</v>
      </c>
      <c r="C19121" t="str">
        <f>IFERROR(__xludf.DUMMYFUNCTION("GOOGLETRANSLATE(B19121, ""fr"", ""en"")"),"Excellent Value ""Quality / Price"" On opening the package, I have been impressed by the quality of all even before you use it. The ""Design"" is great! Do not move a muscle in the ears, no discomfort after several hours of listening. There are 3 sizes of"&amp;" ""plugs"". Lightweight: less than 5 grams. Sound quality very good for the price. The touch control seems a bit complicated at first use, but after a good grip allows many things: Play, Pause, Forward, Back, Reject call etc .... Warning to load before th"&amp;"e first use to avoid the Bluetooth connection problems. Other +: The case of little use backup battery for the phone !!!, small pouch and transport fabric in the kit. very fast and well packaged delivery Amazon Thanks !!!")</f>
        <v>Excellent Value "Quality / Price" On opening the package, I have been impressed by the quality of all even before you use it. The "Design" is great! Do not move a muscle in the ears, no discomfort after several hours of listening. There are 3 sizes of "plugs". Lightweight: less than 5 grams. Sound quality very good for the price. The touch control seems a bit complicated at first use, but after a good grip allows many things: Play, Pause, Forward, Back, Reject call etc .... Warning to load before the first use to avoid the Bluetooth connection problems. Other +: The case of little use backup battery for the phone !!!, small pouch and transport fabric in the kit. very fast and well packaged delivery Amazon Thanks !!!</v>
      </c>
    </row>
    <row r="19122">
      <c r="A19122" s="1">
        <v>5.0</v>
      </c>
      <c r="B19122" s="1" t="s">
        <v>18807</v>
      </c>
      <c r="C19122" t="str">
        <f>IFERROR(__xludf.DUMMYFUNCTION("GOOGLETRANSLATE(B19122, ""fr"", ""en"")"),"NICE PRODUCT This bag meets my expectation, it is neither too big nor too small. The leather is beautiful, neat execution and pleasant style.")</f>
        <v>NICE PRODUCT This bag meets my expectation, it is neither too big nor too small. The leather is beautiful, neat execution and pleasant style.</v>
      </c>
    </row>
    <row r="19123">
      <c r="A19123" s="1">
        <v>5.0</v>
      </c>
      <c r="B19123" s="1" t="s">
        <v>18808</v>
      </c>
      <c r="C19123" t="str">
        <f>IFERROR(__xludf.DUMMYFUNCTION("GOOGLETRANSLATE(B19123, ""fr"", ""en"")"),"Pleasant surprise Very nice and relatively accessible. The bass is good and well tap. The box with a USB-c serves as charger port. The box includes a battery does not need the left connected, very convenient for charging during the day. The box has a USB "&amp;"port to load as its smartphone in case of pump stroke and this is a great idea. The digital display battery percentage is well done! They are lightweight and comfortable to wear. The set goes unnoticed in his bag. Those worth apple For 4x cheaper!")</f>
        <v>Pleasant surprise Very nice and relatively accessible. The bass is good and well tap. The box with a USB-c serves as charger port. The box includes a battery does not need the left connected, very convenient for charging during the day. The box has a USB port to load as its smartphone in case of pump stroke and this is a great idea. The digital display battery percentage is well done! They are lightweight and comfortable to wear. The set goes unnoticed in his bag. Those worth apple For 4x cheaper!</v>
      </c>
    </row>
    <row r="19124">
      <c r="A19124" s="1">
        <v>5.0</v>
      </c>
      <c r="B19124" s="1" t="s">
        <v>18809</v>
      </c>
      <c r="C19124" t="str">
        <f>IFERROR(__xludf.DUMMYFUNCTION("GOOGLETRANSLATE(B19124, ""fr"", ""en"")"),"BEAUTIFUL PRODUCT !!! Very happy with our purchase, beautiful and good quality !!!")</f>
        <v>BEAUTIFUL PRODUCT !!! Very happy with our purchase, beautiful and good quality !!!</v>
      </c>
    </row>
    <row r="19125">
      <c r="A19125" s="1">
        <v>5.0</v>
      </c>
      <c r="B19125" s="1" t="s">
        <v>18810</v>
      </c>
      <c r="C19125" t="str">
        <f>IFERROR(__xludf.DUMMYFUNCTION("GOOGLETRANSLATE(B19125, ""fr"", ""en"")"),"Puma black. Size 40 I like everything !!! The model, color, wide laces ... I almost daily wearing with pants, jeans, skirts, dresses and even shorts. I have not yet tried the satin laces provided but when I do, I will make an update. well take your waist "&amp;"size because it well.")</f>
        <v>Puma black. Size 40 I like everything !!! The model, color, wide laces ... I almost daily wearing with pants, jeans, skirts, dresses and even shorts. I have not yet tried the satin laces provided but when I do, I will make an update. well take your waist size because it well.</v>
      </c>
    </row>
    <row r="19126">
      <c r="A19126" s="1">
        <v>5.0</v>
      </c>
      <c r="B19126" s="1" t="s">
        <v>18811</v>
      </c>
      <c r="C19126" t="str">
        <f>IFERROR(__xludf.DUMMYFUNCTION("GOOGLETRANSLATE(B19126, ""fr"", ""en"")"),"Fossil Wrist Okay Do not regret this little pleasure in this purchase very light to carry and discreet Very well packed")</f>
        <v>Fossil Wrist Okay Do not regret this little pleasure in this purchase very light to carry and discreet Very well packed</v>
      </c>
    </row>
    <row r="19127">
      <c r="A19127" s="1">
        <v>5.0</v>
      </c>
      <c r="B19127" s="1" t="s">
        <v>18812</v>
      </c>
      <c r="C19127" t="str">
        <f>IFERROR(__xludf.DUMMYFUNCTION("GOOGLETRANSLATE(B19127, ""fr"", ""en"")"),"Superb Leather Satchel Messenger bags that I took in black, the bag is composed of 2 parts, a central part where you can put a macbook pro without any worries, touch pad etc., the other party is a little smaller, but still accommodates a touch pad, laptop"&amp;" power cord, or otherwise. In the first part there is a large zippered pocket, other small pockets are available on the front of the bag, there is enough pocket to store a quantity thing, smartphone, pencil pen, wallet, external battery etc .. I find the "&amp;"design very successful bag, a small side Vintage that I love. To know that we can put the handles of the bag into two zip pockets that are located on each side of the bag, although good idea. It comes with an adjustable shoulder strap, so you can wear it "&amp;"either over the shoulder or by hand by its handles. Level Finishing nothing wrong, this is neat, the materials are of good bills, the value for money is very correct.")</f>
        <v>Superb Leather Satchel Messenger bags that I took in black, the bag is composed of 2 parts, a central part where you can put a macbook pro without any worries, touch pad etc., the other party is a little smaller, but still accommodates a touch pad, laptop power cord, or otherwise. In the first part there is a large zippered pocket, other small pockets are available on the front of the bag, there is enough pocket to store a quantity thing, smartphone, pencil pen, wallet, external battery etc .. I find the design very successful bag, a small side Vintage that I love. To know that we can put the handles of the bag into two zip pockets that are located on each side of the bag, although good idea. It comes with an adjustable shoulder strap, so you can wear it either over the shoulder or by hand by its handles. Level Finishing nothing wrong, this is neat, the materials are of good bills, the value for money is very correct.</v>
      </c>
    </row>
    <row r="19128">
      <c r="A19128" s="1">
        <v>5.0</v>
      </c>
      <c r="B19128" s="1" t="s">
        <v>18813</v>
      </c>
      <c r="C19128" t="str">
        <f>IFERROR(__xludf.DUMMYFUNCTION("GOOGLETRANSLATE(B19128, ""fr"", ""en"")"),"Superb Superb Watch shows bought it over a year and never failed me as I daily use in sometimes pretty rough context ..... Pure G-shock! You can go for it!")</f>
        <v>Superb Superb Watch shows bought it over a year and never failed me as I daily use in sometimes pretty rough context ..... Pure G-shock! You can go for it!</v>
      </c>
    </row>
    <row r="19129">
      <c r="A19129" s="1">
        <v>2.0</v>
      </c>
      <c r="B19129" s="1" t="s">
        <v>18814</v>
      </c>
      <c r="C19129" t="str">
        <f>IFERROR(__xludf.DUMMYFUNCTION("GOOGLETRANSLATE(B19129, ""fr"", ""en"")"),"Boots Safety Boots comfortable but after 15 days before the boot sole that cut and suddenly takes water !!! really disappointed 😔")</f>
        <v>Boots Safety Boots comfortable but after 15 days before the boot sole that cut and suddenly takes water !!! really disappointed 😔</v>
      </c>
    </row>
    <row r="19130">
      <c r="A19130" s="1">
        <v>1.0</v>
      </c>
      <c r="B19130" s="1" t="s">
        <v>18815</v>
      </c>
      <c r="C19130" t="str">
        <f>IFERROR(__xludf.DUMMYFUNCTION("GOOGLETRANSLATE(B19130, ""fr"", ""en"")"),"Faulty battery in less than 2 months This headset worked well, has connected easily, but the volume is always returned to its maximum when it was reconnected, which is a nuisance. However, the battery broke down after about six weeks - just outside the re"&amp;"turn period, and I could not find a way to use the warranty, the manufacturer or even write - so I ' I had to throw them away. Be warned - unreliable, and I certainly recommend anyone to buy them.")</f>
        <v>Faulty battery in less than 2 months This headset worked well, has connected easily, but the volume is always returned to its maximum when it was reconnected, which is a nuisance. However, the battery broke down after about six weeks - just outside the return period, and I could not find a way to use the warranty, the manufacturer or even write - so I ' I had to throw them away. Be warned - unreliable, and I certainly recommend anyone to buy them.</v>
      </c>
    </row>
    <row r="19131">
      <c r="A19131" s="1">
        <v>1.0</v>
      </c>
      <c r="B19131" s="1" t="s">
        <v>18816</v>
      </c>
      <c r="C19131" t="str">
        <f>IFERROR(__xludf.DUMMYFUNCTION("GOOGLETRANSLATE(B19131, ""fr"", ""en"")"),"Especially not a star, it is too. Blue light is a useless gadget, it would have been better provide automatic shutdown and more work designing this device that proves not only unsatisfactory but also dangerous: When the water boils, even if the kettle n '"&amp;" is not fulfilled to the maximum (instead of 1.7 l 1l) it overflows and flooding of boiling water where it is placed. In addition, the lid is not fully opened and the filter is fixed, which makes cleaning difficult. The instructions in French (!!) worth v"&amp;"isiting ... I absolutely recommend.")</f>
        <v>Especially not a star, it is too. Blue light is a useless gadget, it would have been better provide automatic shutdown and more work designing this device that proves not only unsatisfactory but also dangerous: When the water boils, even if the kettle n ' is not fulfilled to the maximum (instead of 1.7 l 1l) it overflows and flooding of boiling water where it is placed. In addition, the lid is not fully opened and the filter is fixed, which makes cleaning difficult. The instructions in French (!!) worth visiting ... I absolutely recommend.</v>
      </c>
    </row>
    <row r="19132">
      <c r="A19132" s="1">
        <v>3.0</v>
      </c>
      <c r="B19132" s="1" t="s">
        <v>18817</v>
      </c>
      <c r="C19132" t="str">
        <f>IFERROR(__xludf.DUMMYFUNCTION("GOOGLETRANSLATE(B19132, ""fr"", ""en"")"),"Post it for very thick photo No photo laying on time")</f>
        <v>Post it for very thick photo No photo laying on time</v>
      </c>
    </row>
    <row r="19133">
      <c r="A19133" s="1">
        <v>3.0</v>
      </c>
      <c r="B19133" s="1" t="s">
        <v>18818</v>
      </c>
      <c r="C19133" t="str">
        <f>IFERROR(__xludf.DUMMYFUNCTION("GOOGLETRANSLATE(B19133, ""fr"", ""en"")"),"Attention to the carrier uses Use on glass, tiles ... I'd buy it for use on a slate painting, but having clear, there remain visible traces of what was written! However on glass or tile, super")</f>
        <v>Attention to the carrier uses Use on glass, tiles ... I'd buy it for use on a slate painting, but having clear, there remain visible traces of what was written! However on glass or tile, super</v>
      </c>
    </row>
    <row r="19134">
      <c r="A19134" s="1">
        <v>4.0</v>
      </c>
      <c r="B19134" s="1" t="s">
        <v>18819</v>
      </c>
      <c r="C19134" t="str">
        <f>IFERROR(__xludf.DUMMYFUNCTION("GOOGLETRANSLATE(B19134, ""fr"", ""en"")"),"Good value This is the same 2 shows I buy. The first five years and reach daily showing signs of wear on the case: the silvery leaves room for the reddish color resin. Otherwise everything works after 5 years. Too bad the case is not made of steel.")</f>
        <v>Good value This is the same 2 shows I buy. The first five years and reach daily showing signs of wear on the case: the silvery leaves room for the reddish color resin. Otherwise everything works after 5 years. Too bad the case is not made of steel.</v>
      </c>
    </row>
    <row r="19135">
      <c r="A19135" s="1">
        <v>4.0</v>
      </c>
      <c r="B19135" s="1" t="s">
        <v>18820</v>
      </c>
      <c r="C19135" t="str">
        <f>IFERROR(__xludf.DUMMYFUNCTION("GOOGLETRANSLATE(B19135, ""fr"", ""en"")"),"Awesome ! I just love it !!! Excellent and perfect for biking! (No problems with the bike helmet and branches glasses.) A little expensive but I wanted to take the risk of being disappointed by a low-end product. His excellent (low quite correct). It can "&amp;"hold a telephone conversation while moderately rolling. I take off a star for the proprietary connector! even if the magnetic connector is convenient and autonomy seems promising because I have yet to see the end ...")</f>
        <v>Awesome ! I just love it !!! Excellent and perfect for biking! (No problems with the bike helmet and branches glasses.) A little expensive but I wanted to take the risk of being disappointed by a low-end product. His excellent (low quite correct). It can hold a telephone conversation while moderately rolling. I take off a star for the proprietary connector! even if the magnetic connector is convenient and autonomy seems promising because I have yet to see the end ...</v>
      </c>
    </row>
    <row r="19136">
      <c r="A19136" s="1">
        <v>4.0</v>
      </c>
      <c r="B19136" s="1" t="s">
        <v>18821</v>
      </c>
      <c r="C19136" t="str">
        <f>IFERROR(__xludf.DUMMYFUNCTION("GOOGLETRANSLATE(B19136, ""fr"", ""en"")"),"Comments from other compliance buyers to the product very good for sleeping or at home. Comments from other buyers compliant product")</f>
        <v>Comments from other compliance buyers to the product very good for sleeping or at home. Comments from other buyers compliant product</v>
      </c>
    </row>
    <row r="19137">
      <c r="A19137" s="1">
        <v>4.0</v>
      </c>
      <c r="B19137" s="1" t="s">
        <v>18822</v>
      </c>
      <c r="C19137" t="str">
        <f>IFERROR(__xludf.DUMMYFUNCTION("GOOGLETRANSLATE(B19137, ""fr"", ""en"")"),"heat the boots are very comfortable, fine quality finishes, and comfort in the boot is superb. they take very hot. Deeply snow!")</f>
        <v>heat the boots are very comfortable, fine quality finishes, and comfort in the boot is superb. they take very hot. Deeply snow!</v>
      </c>
    </row>
    <row r="19138">
      <c r="A19138" s="1">
        <v>5.0</v>
      </c>
      <c r="B19138" s="1" t="s">
        <v>18823</v>
      </c>
      <c r="C19138" t="str">
        <f>IFERROR(__xludf.DUMMYFUNCTION("GOOGLETRANSLATE(B19138, ""fr"", ""en"")"),"Super perfect. Complies description")</f>
        <v>Super perfect. Complies description</v>
      </c>
    </row>
    <row r="19139">
      <c r="A19139" s="1">
        <v>5.0</v>
      </c>
      <c r="B19139" s="1" t="s">
        <v>18824</v>
      </c>
      <c r="C19139" t="str">
        <f>IFERROR(__xludf.DUMMYFUNCTION("GOOGLETRANSLATE(B19139, ""fr"", ""en"")"),"Good product A product for good quality / price. The headphones that Viteb recharge and lasts long enough. I was afraid they do not take but in the end I'm not disappointed.")</f>
        <v>Good product A product for good quality / price. The headphones that Viteb recharge and lasts long enough. I was afraid they do not take but in the end I'm not disappointed.</v>
      </c>
    </row>
    <row r="19140">
      <c r="A19140" s="1">
        <v>5.0</v>
      </c>
      <c r="B19140" s="1" t="s">
        <v>18825</v>
      </c>
      <c r="C19140" t="str">
        <f>IFERROR(__xludf.DUMMYFUNCTION("GOOGLETRANSLATE(B19140, ""fr"", ""en"")"),"issue What size should it take for someone like me who is 1.80m and 65 kg ??? reviews, and information needs please;)?")</f>
        <v>issue What size should it take for someone like me who is 1.80m and 65 kg ??? reviews, and information needs please;)?</v>
      </c>
    </row>
    <row r="19141">
      <c r="A19141" s="1">
        <v>5.0</v>
      </c>
      <c r="B19141" s="1" t="s">
        <v>18826</v>
      </c>
      <c r="C19141" t="str">
        <f>IFERROR(__xludf.DUMMYFUNCTION("GOOGLETRANSLATE(B19141, ""fr"", ""en"")"),"Excellent product branded product deemed small flat 6 Jack while most of HIFI devices have 3 jack I can order an adapter Otherwise I am satisfied Amazon")</f>
        <v>Excellent product branded product deemed small flat 6 Jack while most of HIFI devices have 3 jack I can order an adapter Otherwise I am satisfied Amazon</v>
      </c>
    </row>
    <row r="19142">
      <c r="A19142" s="1">
        <v>5.0</v>
      </c>
      <c r="B19142" s="1" t="s">
        <v>18827</v>
      </c>
      <c r="C19142" t="str">
        <f>IFERROR(__xludf.DUMMYFUNCTION("GOOGLETRANSLATE(B19142, ""fr"", ""en"")"),"super perfect nipple with 3 speeds, suitable from baby birth, easy cleaning with brush or in the dishwasher, perfect outfit, I recommend this product.")</f>
        <v>super perfect nipple with 3 speeds, suitable from baby birth, easy cleaning with brush or in the dishwasher, perfect outfit, I recommend this product.</v>
      </c>
    </row>
    <row r="19143">
      <c r="A19143" s="1">
        <v>5.0</v>
      </c>
      <c r="B19143" s="1" t="s">
        <v>18828</v>
      </c>
      <c r="C19143" t="str">
        <f>IFERROR(__xludf.DUMMYFUNCTION("GOOGLETRANSLATE(B19143, ""fr"", ""en"")"),"A great quality / price ratio What to say, it is only for a microphone pack ""cheap"", it worth it! Used with an external sound card (with its own power supply + 48v), the microphone is perfect! Very good sound reproduction, no saturation, phantom power a"&amp;"lso comes with working correctly. The accessories included with its good also, good quality, it goes perfectly on a desk! The only negative that I noticed is that the arm is not rotating ... (That said, if have slightly loosen the screw keeps his work).")</f>
        <v>A great quality / price ratio What to say, it is only for a microphone pack "cheap", it worth it! Used with an external sound card (with its own power supply + 48v), the microphone is perfect! Very good sound reproduction, no saturation, phantom power also comes with working correctly. The accessories included with its good also, good quality, it goes perfectly on a desk! The only negative that I noticed is that the arm is not rotating ... (That said, if have slightly loosen the screw keeps his work).</v>
      </c>
    </row>
    <row r="19144">
      <c r="A19144" s="1">
        <v>5.0</v>
      </c>
      <c r="B19144" s="1" t="s">
        <v>18829</v>
      </c>
      <c r="C19144" t="str">
        <f>IFERROR(__xludf.DUMMYFUNCTION("GOOGLETRANSLATE(B19144, ""fr"", ""en"")"),"Using Perfect always perfect usual")</f>
        <v>Using Perfect always perfect usual</v>
      </c>
    </row>
    <row r="19145">
      <c r="A19145" s="1">
        <v>5.0</v>
      </c>
      <c r="B19145" s="1" t="s">
        <v>18830</v>
      </c>
      <c r="C19145" t="str">
        <f>IFERROR(__xludf.DUMMYFUNCTION("GOOGLETRANSLATE(B19145, ""fr"", ""en"")"),"💜👏 ♦ ♥ SUPER WELL PUT CLASS 3rd Pairs this month it was my first Timberland's Original and Radford are the shoes that feels like a genre where slippers Basketball 👏")</f>
        <v>💜👏 ♦ ♥ SUPER WELL PUT CLASS 3rd Pairs this month it was my first Timberland's Original and Radford are the shoes that feels like a genre where slippers Basketball 👏</v>
      </c>
    </row>
    <row r="19146">
      <c r="A19146" s="1">
        <v>5.0</v>
      </c>
      <c r="B19146" s="1" t="s">
        <v>18831</v>
      </c>
      <c r="C19146" t="str">
        <f>IFERROR(__xludf.DUMMYFUNCTION("GOOGLETRANSLATE(B19146, ""fr"", ""en"")"),"I recommend basketball from recycling classy Beautiful basketball great brand very solid product completely made from recycling an environmentally friendly product made from recycled and recyclable facilementoi very light and very attractive price fast de"&amp;"livery")</f>
        <v>I recommend basketball from recycling classy Beautiful basketball great brand very solid product completely made from recycling an environmentally friendly product made from recycled and recyclable facilementoi very light and very attractive price fast delivery</v>
      </c>
    </row>
    <row r="19147">
      <c r="A19147" s="1">
        <v>5.0</v>
      </c>
      <c r="B19147" s="1" t="s">
        <v>18832</v>
      </c>
      <c r="C19147" t="str">
        <f>IFERROR(__xludf.DUMMYFUNCTION("GOOGLETRANSLATE(B19147, ""fr"", ""en"")"),"backpack perfect, beautiful, strong, with wallet, okay great price, my daughter is happy, and it is practical for school. I recommend,")</f>
        <v>backpack perfect, beautiful, strong, with wallet, okay great price, my daughter is happy, and it is practical for school. I recommend,</v>
      </c>
    </row>
    <row r="19148">
      <c r="A19148" s="1">
        <v>5.0</v>
      </c>
      <c r="B19148" s="1" t="s">
        <v>18833</v>
      </c>
      <c r="C19148" t="str">
        <f>IFERROR(__xludf.DUMMYFUNCTION("GOOGLETRANSLATE(B19148, ""fr"", ""en"")"),"Felts effective table felts, although erasable on whiteboards and long lasting. A little big for the kits, and slates of schoolchildren against rather for large tables.")</f>
        <v>Felts effective table felts, although erasable on whiteboards and long lasting. A little big for the kits, and slates of schoolchildren against rather for large tables.</v>
      </c>
    </row>
    <row r="19149">
      <c r="A19149" s="1">
        <v>5.0</v>
      </c>
      <c r="B19149" s="1" t="s">
        <v>18834</v>
      </c>
      <c r="C19149" t="str">
        <f>IFERROR(__xludf.DUMMYFUNCTION("GOOGLETRANSLATE(B19149, ""fr"", ""en"")"),"Sock Conforms to control the product to the quality of air, I wish I had more information on chemical treatments performed on textiles")</f>
        <v>Sock Conforms to control the product to the quality of air, I wish I had more information on chemical treatments performed on textiles</v>
      </c>
    </row>
    <row r="19150">
      <c r="A19150" s="1">
        <v>5.0</v>
      </c>
      <c r="B19150" s="1" t="s">
        <v>18835</v>
      </c>
      <c r="C19150" t="str">
        <f>IFERROR(__xludf.DUMMYFUNCTION("GOOGLETRANSLATE(B19150, ""fr"", ""en"")"),"Very friendly Beautiful jewelry !! It's pretty late and the stone is not very big but it's nice enough and made a delicate jewelry, discreet and refined. Warning chain does not seem very great ... for the ""big"" wrist beware. With regard to the virtues o"&amp;"f the latter, I will tell you more in a few months but fingers crossed ...")</f>
        <v>Very friendly Beautiful jewelry !! It's pretty late and the stone is not very big but it's nice enough and made a delicate jewelry, discreet and refined. Warning chain does not seem very great ... for the "big" wrist beware. With regard to the virtues of the latter, I will tell you more in a few months but fingers crossed ...</v>
      </c>
    </row>
    <row r="19151">
      <c r="A19151" s="1">
        <v>5.0</v>
      </c>
      <c r="B19151" s="1" t="s">
        <v>18836</v>
      </c>
      <c r="C19151" t="str">
        <f>IFERROR(__xludf.DUMMYFUNCTION("GOOGLETRANSLATE(B19151, ""fr"", ""en"")"),"super quality I n attendaispas better")</f>
        <v>super quality I n attendaispas better</v>
      </c>
    </row>
    <row r="19152">
      <c r="A19152" s="1">
        <v>5.0</v>
      </c>
      <c r="B19152" s="1" t="s">
        <v>18837</v>
      </c>
      <c r="C19152" t="str">
        <f>IFERROR(__xludf.DUMMYFUNCTION("GOOGLETRANSLATE(B19152, ""fr"", ""en"")"),"Zippo Lighter great no leakage defects I recommend strongly to collectors and others. The picture is consistent with the item received")</f>
        <v>Zippo Lighter great no leakage defects I recommend strongly to collectors and others. The picture is consistent with the item received</v>
      </c>
    </row>
    <row r="19153">
      <c r="A19153" s="1">
        <v>2.0</v>
      </c>
      <c r="B19153" s="1" t="s">
        <v>18838</v>
      </c>
      <c r="C19153" t="str">
        <f>IFERROR(__xludf.DUMMYFUNCTION("GOOGLETRANSLATE(B19153, ""fr"", ""en"")"),":( Very disappointed in this watch far too big and we fluorescent in the dark I do not have time what bothers me much")</f>
        <v>:( Very disappointed in this watch far too big and we fluorescent in the dark I do not have time what bothers me much</v>
      </c>
    </row>
    <row r="19154">
      <c r="A19154" s="1">
        <v>1.0</v>
      </c>
      <c r="B19154" s="1" t="s">
        <v>18839</v>
      </c>
      <c r="C19154" t="str">
        <f>IFERROR(__xludf.DUMMYFUNCTION("GOOGLETRANSLATE(B19154, ""fr"", ""en"")"),"I would not recommend them! I bought 2 listener and the two are not the same length 2 weeks with no problems, very disturbing ..")</f>
        <v>I would not recommend them! I bought 2 listener and the two are not the same length 2 weeks with no problems, very disturbing ..</v>
      </c>
    </row>
    <row r="19155">
      <c r="A19155" s="1">
        <v>1.0</v>
      </c>
      <c r="B19155" s="1" t="s">
        <v>18840</v>
      </c>
      <c r="C19155" t="str">
        <f>IFERROR(__xludf.DUMMYFUNCTION("GOOGLETRANSLATE(B19155, ""fr"", ""en"")"),"Average quality used on a Pandora bracelet. S rubber is removed from the silver part after 15 days ...")</f>
        <v>Average quality used on a Pandora bracelet. S rubber is removed from the silver part after 15 days ...</v>
      </c>
    </row>
    <row r="19156">
      <c r="A19156" s="1">
        <v>3.0</v>
      </c>
      <c r="B19156" s="1" t="s">
        <v>18841</v>
      </c>
      <c r="C19156" t="str">
        <f>IFERROR(__xludf.DUMMYFUNCTION("GOOGLETRANSLATE(B19156, ""fr"", ""en"")"),"Comfortable to wear ... Maintenance 👎 Very comfortable to wear. nice price. Continued ... downside, however not terrible but common to this kind of underwear 🤷")</f>
        <v>Comfortable to wear ... Maintenance 👎 Very comfortable to wear. nice price. Continued ... downside, however not terrible but common to this kind of underwear 🤷</v>
      </c>
    </row>
    <row r="19157">
      <c r="A19157" s="1">
        <v>4.0</v>
      </c>
      <c r="B19157" s="1" t="s">
        <v>18842</v>
      </c>
      <c r="C19157" t="str">
        <f>IFERROR(__xludf.DUMMYFUNCTION("GOOGLETRANSLATE(B19157, ""fr"", ""en"")"),"comfortable it is a little too big, just 2 fingers that pass behind, I changed the laces too flachy for a factory lol. Super comfortable, I recommend it for those like me who to valgus halgus both feet)")</f>
        <v>comfortable it is a little too big, just 2 fingers that pass behind, I changed the laces too flachy for a factory lol. Super comfortable, I recommend it for those like me who to valgus halgus both feet)</v>
      </c>
    </row>
    <row r="19158">
      <c r="A19158" s="1">
        <v>4.0</v>
      </c>
      <c r="B19158" s="1" t="s">
        <v>18843</v>
      </c>
      <c r="C19158" t="str">
        <f>IFERROR(__xludf.DUMMYFUNCTION("GOOGLETRANSLATE(B19158, ""fr"", ""en"")"),"Everything is there !!! Watch buy recently, works very well, and seems to be my favorite of all that I bought. It is happening everywhere size, discreet, and as light. Resistant outdoor work. Radio controlled easily. I am satisfied.")</f>
        <v>Everything is there !!! Watch buy recently, works very well, and seems to be my favorite of all that I bought. It is happening everywhere size, discreet, and as light. Resistant outdoor work. Radio controlled easily. I am satisfied.</v>
      </c>
    </row>
    <row r="19159">
      <c r="A19159" s="1">
        <v>4.0</v>
      </c>
      <c r="B19159" s="1" t="s">
        <v>18844</v>
      </c>
      <c r="C19159" t="str">
        <f>IFERROR(__xludf.DUMMYFUNCTION("GOOGLETRANSLATE(B19159, ""fr"", ""en"")"),"Very handy handy kit. Just wash them in hot water quickly and it's good. I never had any problems with. And with that no flight risk because the opening is through the cap.")</f>
        <v>Very handy handy kit. Just wash them in hot water quickly and it's good. I never had any problems with. And with that no flight risk because the opening is through the cap.</v>
      </c>
    </row>
    <row r="19160">
      <c r="A19160" s="1">
        <v>4.0</v>
      </c>
      <c r="B19160" s="1" t="s">
        <v>18845</v>
      </c>
      <c r="C19160" t="str">
        <f>IFERROR(__xludf.DUMMYFUNCTION("GOOGLETRANSLATE(B19160, ""fr"", ""en"")"),"No more work! Who does not want a perfectly clean cloth output machine? Vanish stain your best ally to overcome all kinds of tasks, grease, wine, sugar etc ... Several methods of use are provided depending on the size of the task, the most radical being c"&amp;"old to pay with doser provided a small amount of product directly on the task lightly rub and you're on the result, more task without discoloration of laundry for autant.L'autre method is to put a dose of Vanish directly machine the result will be a littl"&amp;"e more random but will erase the less stubborn stains. A good product to solve a recurring problem on any kind of machine.")</f>
        <v>No more work! Who does not want a perfectly clean cloth output machine? Vanish stain your best ally to overcome all kinds of tasks, grease, wine, sugar etc ... Several methods of use are provided depending on the size of the task, the most radical being cold to pay with doser provided a small amount of product directly on the task lightly rub and you're on the result, more task without discoloration of laundry for autant.L'autre method is to put a dose of Vanish directly machine the result will be a little more random but will erase the less stubborn stains. A good product to solve a recurring problem on any kind of machine.</v>
      </c>
    </row>
    <row r="19161">
      <c r="A19161" s="1">
        <v>5.0</v>
      </c>
      <c r="B19161" s="1" t="s">
        <v>18846</v>
      </c>
      <c r="C19161" t="str">
        <f>IFERROR(__xludf.DUMMYFUNCTION("GOOGLETRANSLATE(B19161, ""fr"", ""en"")"),"Pretty Shoes very good! bought for Sevillian course of our daughter ... they are perfect")</f>
        <v>Pretty Shoes very good! bought for Sevillian course of our daughter ... they are perfect</v>
      </c>
    </row>
    <row r="19162">
      <c r="A19162" s="1">
        <v>5.0</v>
      </c>
      <c r="B19162" s="1" t="s">
        <v>18847</v>
      </c>
      <c r="C19162" t="str">
        <f>IFERROR(__xludf.DUMMYFUNCTION("GOOGLETRANSLATE(B19162, ""fr"", ""en"")"),"PEN rocked On invitation cards ""brown label"" it looks great in white. Do not run, fine writing. TO HAVE MULTI COLOR ALWAYS READY.")</f>
        <v>PEN rocked On invitation cards "brown label" it looks great in white. Do not run, fine writing. TO HAVE MULTI COLOR ALWAYS READY.</v>
      </c>
    </row>
    <row r="19163">
      <c r="A19163" s="1">
        <v>5.0</v>
      </c>
      <c r="B19163" s="1" t="s">
        <v>18848</v>
      </c>
      <c r="C19163" t="str">
        <f>IFERROR(__xludf.DUMMYFUNCTION("GOOGLETRANSLATE(B19163, ""fr"", ""en"")"),"Okay Cheap and good quality. To advice")</f>
        <v>Okay Cheap and good quality. To advice</v>
      </c>
    </row>
    <row r="19164">
      <c r="A19164" s="1">
        <v>5.0</v>
      </c>
      <c r="B19164" s="1" t="s">
        <v>18849</v>
      </c>
      <c r="C19164" t="str">
        <f>IFERROR(__xludf.DUMMYFUNCTION("GOOGLETRANSLATE(B19164, ""fr"", ""en"")"),"Trainers Ras")</f>
        <v>Trainers Ras</v>
      </c>
    </row>
    <row r="19165">
      <c r="A19165" s="1">
        <v>5.0</v>
      </c>
      <c r="B19165" s="1" t="s">
        <v>18850</v>
      </c>
      <c r="C19165" t="str">
        <f>IFERROR(__xludf.DUMMYFUNCTION("GOOGLETRANSLATE(B19165, ""fr"", ""en"")"),"Impeccable Fast shipping. Beautiful bright colors and good slides on the paper (it avoids slips and erasures for my little perfectionist who have very satisfied) For me that's the price I was most satisfied especially when we know the life felts the child"&amp;"ren of hand.")</f>
        <v>Impeccable Fast shipping. Beautiful bright colors and good slides on the paper (it avoids slips and erasures for my little perfectionist who have very satisfied) For me that's the price I was most satisfied especially when we know the life felts the children of hand.</v>
      </c>
    </row>
    <row r="19166">
      <c r="A19166" s="1">
        <v>5.0</v>
      </c>
      <c r="B19166" s="1" t="s">
        <v>18851</v>
      </c>
      <c r="C19166" t="str">
        <f>IFERROR(__xludf.DUMMYFUNCTION("GOOGLETRANSLATE(B19166, ""fr"", ""en"")"),"Great Au top !!! super comfortable beautiful effect. So many cool class it really well")</f>
        <v>Great Au top !!! super comfortable beautiful effect. So many cool class it really well</v>
      </c>
    </row>
    <row r="19167">
      <c r="A19167" s="1">
        <v>5.0</v>
      </c>
      <c r="B19167" s="1" t="s">
        <v>18852</v>
      </c>
      <c r="C19167" t="str">
        <f>IFERROR(__xludf.DUMMYFUNCTION("GOOGLETRANSLATE(B19167, ""fr"", ""en"")"),"Ok blue crystal heart-shaped brilliant. The small animal is encrusted with crystals that make reflections. As mentioned it is a fashion jewelery (not of precious metal). The chain can be carried in ""tidal neck"" or normal collar (as closed position).")</f>
        <v>Ok blue crystal heart-shaped brilliant. The small animal is encrusted with crystals that make reflections. As mentioned it is a fashion jewelery (not of precious metal). The chain can be carried in "tidal neck" or normal collar (as closed position).</v>
      </c>
    </row>
    <row r="19168">
      <c r="A19168" s="1">
        <v>5.0</v>
      </c>
      <c r="B19168" s="1" t="s">
        <v>18853</v>
      </c>
      <c r="C19168" t="str">
        <f>IFERROR(__xludf.DUMMYFUNCTION("GOOGLETRANSLATE(B19168, ""fr"", ""en"")"),"Finally a gentle wake No more sudden awakenings with ringing or radio commercials ... even wake up in the deep sleep is no longer a problem. I recommend it. I bought the offer for m and then I'm also offered")</f>
        <v>Finally a gentle wake No more sudden awakenings with ringing or radio commercials ... even wake up in the deep sleep is no longer a problem. I recommend it. I bought the offer for m and then I'm also offered</v>
      </c>
    </row>
    <row r="19169">
      <c r="A19169" s="1">
        <v>5.0</v>
      </c>
      <c r="B19169" s="1" t="s">
        <v>18854</v>
      </c>
      <c r="C19169" t="str">
        <f>IFERROR(__xludf.DUMMYFUNCTION("GOOGLETRANSLATE(B19169, ""fr"", ""en"")"),"My watch shows Bekke CSIO Tres and less expensive")</f>
        <v>My watch shows Bekke CSIO Tres and less expensive</v>
      </c>
    </row>
    <row r="19170">
      <c r="A19170" s="1">
        <v>5.0</v>
      </c>
      <c r="B19170" s="1" t="s">
        <v>18855</v>
      </c>
      <c r="C19170" t="str">
        <f>IFERROR(__xludf.DUMMYFUNCTION("GOOGLETRANSLATE(B19170, ""fr"", ""en"")"),"Very practical, discreet and effective - a must despite the price I bcp informed before investing in the free style for the price. No regrets, pr me is a must if only one wants to breastfeed up despite the resumption of work. Hyper compact, discreet and e"&amp;"fficient The big plus: freedom and opportunity to move qd gets its milk. Battery that has a beautiful autonomy, it allowed me to take my milk ds my car between 2 appointments and when we were traveling by car I could get my milk qd my husband was driving "&amp;"and baby slept. Very Convenient also to easily move without being connected to an outlet. Eg if I take my milk and hears crying I can go to his bedside without having to stop the expression of milk in the middle. Discretion assured thanks to the size and "&amp;"storage bag. They easily defeated and discreetly everywhere and it is light enough (you can even put it in his pocket) The nipple medela for us works great and I recommend it highly unlike other comments but you find what suits best for your baby. Practic"&amp;"al and discreet storage bag and small bag with ice to keep milk do. I like the clear digital display, ease of use to increase or decrease the suction force, personally I do not use data recording because I find it easier to make the adjustment manually in"&amp;"tensity according from the moment. In 8 minutes you may already have expressed 100ml milk (depends by time, and previous feedings) For me the double pumping is less useful. I do not use it but if you have special support bra that can be useful I think. Th"&amp;"e price is high initially considered as an investment if you plan to continue breastfeeding your baby. I use it for 3 months of my son I'm breastfeeding on demand, when I'm with her head in it and if he pulled my milk with the freestyle. He has 6 months a"&amp;"nd thanks to draws milk was able to continue breastfeeding. One of the sets pr pumping is not as effective at the beginning, this is not as tight at the air probably due to the use, so it can his time he has a need replacing .")</f>
        <v>Very practical, discreet and effective - a must despite the price I bcp informed before investing in the free style for the price. No regrets, pr me is a must if only one wants to breastfeed up despite the resumption of work. Hyper compact, discreet and efficient The big plus: freedom and opportunity to move qd gets its milk. Battery that has a beautiful autonomy, it allowed me to take my milk ds my car between 2 appointments and when we were traveling by car I could get my milk qd my husband was driving and baby slept. Very Convenient also to easily move without being connected to an outlet. Eg if I take my milk and hears crying I can go to his bedside without having to stop the expression of milk in the middle. Discretion assured thanks to the size and storage bag. They easily defeated and discreetly everywhere and it is light enough (you can even put it in his pocket) The nipple medela for us works great and I recommend it highly unlike other comments but you find what suits best for your baby. Practical and discreet storage bag and small bag with ice to keep milk do. I like the clear digital display, ease of use to increase or decrease the suction force, personally I do not use data recording because I find it easier to make the adjustment manually intensity according from the moment. In 8 minutes you may already have expressed 100ml milk (depends by time, and previous feedings) For me the double pumping is less useful. I do not use it but if you have special support bra that can be useful I think. The price is high initially considered as an investment if you plan to continue breastfeeding your baby. I use it for 3 months of my son I'm breastfeeding on demand, when I'm with her head in it and if he pulled my milk with the freestyle. He has 6 months and thanks to draws milk was able to continue breastfeeding. One of the sets pr pumping is not as effective at the beginning, this is not as tight at the air probably due to the use, so it can his time he has a need replacing .</v>
      </c>
    </row>
    <row r="19171">
      <c r="A19171" s="1">
        <v>5.0</v>
      </c>
      <c r="B19171" s="1" t="s">
        <v>18856</v>
      </c>
      <c r="C19171" t="str">
        <f>IFERROR(__xludf.DUMMYFUNCTION("GOOGLETRANSLATE(B19171, ""fr"", ""en"")"),"Article comply with the description Seller serious fast .Livraison fine.")</f>
        <v>Article comply with the description Seller serious fast .Livraison fine.</v>
      </c>
    </row>
    <row r="19172">
      <c r="A19172" s="1">
        <v>5.0</v>
      </c>
      <c r="B19172" s="1" t="s">
        <v>18857</v>
      </c>
      <c r="C19172" t="str">
        <f>IFERROR(__xludf.DUMMYFUNCTION("GOOGLETRANSLATE(B19172, ""fr"", ""en"")"),"I recommend Impeccable")</f>
        <v>I recommend Impeccable</v>
      </c>
    </row>
    <row r="19173">
      <c r="A19173" s="1">
        <v>5.0</v>
      </c>
      <c r="B19173" s="1" t="s">
        <v>18858</v>
      </c>
      <c r="C19173" t="str">
        <f>IFERROR(__xludf.DUMMYFUNCTION("GOOGLETRANSLATE(B19173, ""fr"", ""en"")"),"large size take a size smaller if it is unusable, if this is good slipon vans that go to skateboarding, beach, promenade ... pépouse")</f>
        <v>large size take a size smaller if it is unusable, if this is good slipon vans that go to skateboarding, beach, promenade ... pépouse</v>
      </c>
    </row>
    <row r="19174">
      <c r="A19174" s="1">
        <v>5.0</v>
      </c>
      <c r="B19174" s="1" t="s">
        <v>18859</v>
      </c>
      <c r="C19174" t="str">
        <f>IFERROR(__xludf.DUMMYFUNCTION("GOOGLETRANSLATE(B19174, ""fr"", ""en"")"),"Complies description I test the product that is solid and functional, command received quickly. I recommend this product. Good day and thank you.")</f>
        <v>Complies description I test the product that is solid and functional, command received quickly. I recommend this product. Good day and thank you.</v>
      </c>
    </row>
    <row r="19175">
      <c r="A19175" s="1">
        <v>5.0</v>
      </c>
      <c r="B19175" s="1" t="s">
        <v>18860</v>
      </c>
      <c r="C19175" t="str">
        <f>IFERROR(__xludf.DUMMYFUNCTION("GOOGLETRANSLATE(B19175, ""fr"", ""en"")"),"Very light foot I use these quasiments sneakers every day they are very light in feet I am very well in")</f>
        <v>Very light foot I use these quasiments sneakers every day they are very light in feet I am very well in</v>
      </c>
    </row>
    <row r="19176">
      <c r="A19176" s="1">
        <v>2.0</v>
      </c>
      <c r="B19176" s="1" t="s">
        <v>18861</v>
      </c>
      <c r="C19176" t="str">
        <f>IFERROR(__xludf.DUMMYFUNCTION("GOOGLETRANSLATE(B19176, ""fr"", ""en"")"),"Although too low but I just got it and unfortunately the media is too low, when I put my helmet on (ARCTIS pro) that relies on making this headset can damage over time, so I can not the use for my helmet .. If media is lightweight and suddenly it does not"&amp;" take too much space given its small size. It would be best for a wireless headset")</f>
        <v>Although too low but I just got it and unfortunately the media is too low, when I put my helmet on (ARCTIS pro) that relies on making this headset can damage over time, so I can not the use for my helmet .. If media is lightweight and suddenly it does not take too much space given its small size. It would be best for a wireless headset</v>
      </c>
    </row>
    <row r="19177">
      <c r="A19177" s="1">
        <v>1.0</v>
      </c>
      <c r="B19177" s="1" t="s">
        <v>18862</v>
      </c>
      <c r="C19177" t="str">
        <f>IFERROR(__xludf.DUMMYFUNCTION("GOOGLETRANSLATE(B19177, ""fr"", ""en"")"),"Disappointed Adapts as planned in size but having them washed at 30 degrees 2 size below C was the first time that J was buying real crocks but I do not it again since all my other pairs n have never shake even sI if it were sandal also good quality Super"&amp;" disappointed before washing I found them very comfortable shame")</f>
        <v>Disappointed Adapts as planned in size but having them washed at 30 degrees 2 size below C was the first time that J was buying real crocks but I do not it again since all my other pairs n have never shake even sI if it were sandal also good quality Super disappointed before washing I found them very comfortable shame</v>
      </c>
    </row>
    <row r="19178">
      <c r="A19178" s="1">
        <v>3.0</v>
      </c>
      <c r="B19178" s="1" t="s">
        <v>18863</v>
      </c>
      <c r="C19178" t="str">
        <f>IFERROR(__xludf.DUMMYFUNCTION("GOOGLETRANSLATE(B19178, ""fr"", ""en"")"),"Beautiful Pendant three colors with rhinestones in the middle Pendant: Length 180mm width and 150mm, the different rings are not welded together it gives a beautiful volume pendant. The chain by cons is very thin and long about 45 cm are easily entangled "&amp;"in the rings and then only after a day or I = scope due only 3 stars.")</f>
        <v>Beautiful Pendant three colors with rhinestones in the middle Pendant: Length 180mm width and 150mm, the different rings are not welded together it gives a beautiful volume pendant. The chain by cons is very thin and long about 45 cm are easily entangled in the rings and then only after a day or I = scope due only 3 stars.</v>
      </c>
    </row>
    <row r="19179">
      <c r="A19179" s="1">
        <v>3.0</v>
      </c>
      <c r="B19179" s="1" t="s">
        <v>8374</v>
      </c>
      <c r="C19179" t="str">
        <f>IFERROR(__xludf.DUMMYFUNCTION("GOOGLETRANSLATE(B19179, ""fr"", ""en"")"),"Very good Good")</f>
        <v>Very good Good</v>
      </c>
    </row>
    <row r="19180">
      <c r="A19180" s="1">
        <v>4.0</v>
      </c>
      <c r="B19180" s="1" t="s">
        <v>18864</v>
      </c>
      <c r="C19180" t="str">
        <f>IFERROR(__xludf.DUMMYFUNCTION("GOOGLETRANSLATE(B19180, ""fr"", ""en"")"),"Great Great product very happy walking every day")</f>
        <v>Great Great product very happy walking every day</v>
      </c>
    </row>
    <row r="19181">
      <c r="A19181" s="1">
        <v>4.0</v>
      </c>
      <c r="B19181" s="1" t="s">
        <v>18865</v>
      </c>
      <c r="C19181" t="str">
        <f>IFERROR(__xludf.DUMMYFUNCTION("GOOGLETRANSLATE(B19181, ""fr"", ""en"")"),"Very fast delivery, good price and good quality Very good quality and comfortable")</f>
        <v>Very fast delivery, good price and good quality Very good quality and comfortable</v>
      </c>
    </row>
    <row r="19182">
      <c r="A19182" s="1">
        <v>4.0</v>
      </c>
      <c r="B19182" s="1" t="s">
        <v>18866</v>
      </c>
      <c r="C19182" t="str">
        <f>IFERROR(__xludf.DUMMYFUNCTION("GOOGLETRANSLATE(B19182, ""fr"", ""en"")"),"I recommend good grip I bought this product to fix the nets")</f>
        <v>I recommend good grip I bought this product to fix the nets</v>
      </c>
    </row>
    <row r="19183">
      <c r="A19183" s="1">
        <v>4.0</v>
      </c>
      <c r="B19183" s="1" t="s">
        <v>18867</v>
      </c>
      <c r="C19183" t="str">
        <f>IFERROR(__xludf.DUMMYFUNCTION("GOOGLETRANSLATE(B19183, ""fr"", ""en"")"),"Plastic baby bottle, pacifier great! The bib are quite conform to but are plastic and I wanted the glass. I have returned and I took those glass. The teats are perfect. No problem")</f>
        <v>Plastic baby bottle, pacifier great! The bib are quite conform to but are plastic and I wanted the glass. I have returned and I took those glass. The teats are perfect. No problem</v>
      </c>
    </row>
    <row r="19184">
      <c r="A19184" s="1">
        <v>4.0</v>
      </c>
      <c r="B19184" s="1" t="s">
        <v>18868</v>
      </c>
      <c r="C19184" t="str">
        <f>IFERROR(__xludf.DUMMYFUNCTION("GOOGLETRANSLATE(B19184, ""fr"", ""en"")"),"Great but change always very comfortable shoe, but the tab is no longer leather !! Savings, savings .... it is a shame.")</f>
        <v>Great but change always very comfortable shoe, but the tab is no longer leather !! Savings, savings .... it is a shame.</v>
      </c>
    </row>
    <row r="19185">
      <c r="A19185" s="1">
        <v>5.0</v>
      </c>
      <c r="B19185" s="1" t="s">
        <v>18869</v>
      </c>
      <c r="C19185" t="str">
        <f>IFERROR(__xludf.DUMMYFUNCTION("GOOGLETRANSLATE(B19185, ""fr"", ""en"")"),"Uality product and Audible perfect I bought these headphones curiosity because of its extremely low price. I confess to being ""shocked"", very light, they hold well in the ears and the sound is perfect. I have, for now listened as two films. I recommend.")</f>
        <v>Uality product and Audible perfect I bought these headphones curiosity because of its extremely low price. I confess to being "shocked", very light, they hold well in the ears and the sound is perfect. I have, for now listened as two films. I recommend.</v>
      </c>
    </row>
    <row r="19186">
      <c r="A19186" s="1">
        <v>5.0</v>
      </c>
      <c r="B19186" s="1" t="s">
        <v>18870</v>
      </c>
      <c r="C19186" t="str">
        <f>IFERROR(__xludf.DUMMYFUNCTION("GOOGLETRANSLATE(B19186, ""fr"", ""en"")"),"ordered a perfect 41 for my husband, and perfect feet, a little hard at first, but normal it is necessary that his feet do the shoe, now when he comes home, he puts them away :)")</f>
        <v>ordered a perfect 41 for my husband, and perfect feet, a little hard at first, but normal it is necessary that his feet do the shoe, now when he comes home, he puts them away :)</v>
      </c>
    </row>
    <row r="19187">
      <c r="A19187" s="1">
        <v>5.0</v>
      </c>
      <c r="B19187" s="1" t="s">
        <v>18871</v>
      </c>
      <c r="C19187" t="str">
        <f>IFERROR(__xludf.DUMMYFUNCTION("GOOGLETRANSLATE(B19187, ""fr"", ""en"")"),"I recommend Same")</f>
        <v>I recommend Same</v>
      </c>
    </row>
    <row r="19188">
      <c r="A19188" s="1">
        <v>5.0</v>
      </c>
      <c r="B19188" s="1" t="s">
        <v>18872</v>
      </c>
      <c r="C19188" t="str">
        <f>IFERROR(__xludf.DUMMYFUNCTION("GOOGLETRANSLATE(B19188, ""fr"", ""en"")"),"Super-flat product on cleaning !!!! Great product to target zero waste, however, the gourds are easy to clean.")</f>
        <v>Super-flat product on cleaning !!!! Great product to target zero waste, however, the gourds are easy to clean.</v>
      </c>
    </row>
    <row r="19189">
      <c r="A19189" s="1">
        <v>5.0</v>
      </c>
      <c r="B19189" s="1" t="s">
        <v>18873</v>
      </c>
      <c r="C19189" t="str">
        <f>IFERROR(__xludf.DUMMYFUNCTION("GOOGLETRANSLATE(B19189, ""fr"", ""en"")"),"To order without hesitation Received very quickly, I'm happy, the size 43 perfect for me, the color as I wanted comfort as expected, in short all is well :)")</f>
        <v>To order without hesitation Received very quickly, I'm happy, the size 43 perfect for me, the color as I wanted comfort as expected, in short all is well :)</v>
      </c>
    </row>
    <row r="19190">
      <c r="A19190" s="1">
        <v>5.0</v>
      </c>
      <c r="B19190" s="1" t="s">
        <v>18874</v>
      </c>
      <c r="C19190" t="str">
        <f>IFERROR(__xludf.DUMMYFUNCTION("GOOGLETRANSLATE(B19190, ""fr"", ""en"")"),"Beautiful compliant rendering and consistent with the description.")</f>
        <v>Beautiful compliant rendering and consistent with the description.</v>
      </c>
    </row>
    <row r="19191">
      <c r="A19191" s="1">
        <v>5.0</v>
      </c>
      <c r="B19191" s="1" t="s">
        <v>18875</v>
      </c>
      <c r="C19191" t="str">
        <f>IFERROR(__xludf.DUMMYFUNCTION("GOOGLETRANSLATE(B19191, ""fr"", ""en"")"),"I impeccable shoes of 43, I ordered 42 as recommended and they fit me like a glove :) Anyway, I'm quite satisfied with my purchase.")</f>
        <v>I impeccable shoes of 43, I ordered 42 as recommended and they fit me like a glove :) Anyway, I'm quite satisfied with my purchase.</v>
      </c>
    </row>
    <row r="19192">
      <c r="A19192" s="1">
        <v>5.0</v>
      </c>
      <c r="B19192" s="1" t="s">
        <v>18876</v>
      </c>
      <c r="C19192" t="str">
        <f>IFERROR(__xludf.DUMMYFUNCTION("GOOGLETRANSLATE(B19192, ""fr"", ""en"")"),"A perfect transformer which transforms the current ..... for feeding a product (Bose) responsive. I trust in the brand!")</f>
        <v>A perfect transformer which transforms the current ..... for feeding a product (Bose) responsive. I trust in the brand!</v>
      </c>
    </row>
    <row r="19193">
      <c r="A19193" s="1">
        <v>5.0</v>
      </c>
      <c r="B19193" s="1" t="s">
        <v>18877</v>
      </c>
      <c r="C19193" t="str">
        <f>IFERROR(__xludf.DUMMYFUNCTION("GOOGLETRANSLATE(B19193, ""fr"", ""en"")"),"Excellent ""chest"" bag I was looking for a ""banana"" but lay on his chest (just to get ahead and everything at hand) and I must say that it is really excellent. On the rugged look, well finished, with a large number of pockets (2 front, 1 deep side and "&amp;"a small laptop with strap closure), it never leaves me. I highly recommend.")</f>
        <v>Excellent "chest" bag I was looking for a "banana" but lay on his chest (just to get ahead and everything at hand) and I must say that it is really excellent. On the rugged look, well finished, with a large number of pockets (2 front, 1 deep side and a small laptop with strap closure), it never leaves me. I highly recommend.</v>
      </c>
    </row>
    <row r="19194">
      <c r="A19194" s="1">
        <v>5.0</v>
      </c>
      <c r="B19194" s="1" t="s">
        <v>18878</v>
      </c>
      <c r="C19194" t="str">
        <f>IFERROR(__xludf.DUMMYFUNCTION("GOOGLETRANSLATE(B19194, ""fr"", ""en"")"),"Big big big problem AKG headphones Collector long and Professional Audio, I allow myself to claim that this helmet is a killer for a ridiculous budget. Several points are very very dangerous though: - competition could die - those who can find no flatter "&amp;"their deafness with a beat or a Marshall with all low slobbering that will go well - ideal for knowing what is recorded but does not forgive anything - really ridiculous price related quality of restitution extraordinary. For those who want a boost in the"&amp;" bass, there are several methods, including that of buying a special series Massdrop. But as is, this headset is demonic.")</f>
        <v>Big big big problem AKG headphones Collector long and Professional Audio, I allow myself to claim that this helmet is a killer for a ridiculous budget. Several points are very very dangerous though: - competition could die - those who can find no flatter their deafness with a beat or a Marshall with all low slobbering that will go well - ideal for knowing what is recorded but does not forgive anything - really ridiculous price related quality of restitution extraordinary. For those who want a boost in the bass, there are several methods, including that of buying a special series Massdrop. But as is, this headset is demonic.</v>
      </c>
    </row>
    <row r="19195">
      <c r="A19195" s="1">
        <v>5.0</v>
      </c>
      <c r="B19195" s="1" t="s">
        <v>18879</v>
      </c>
      <c r="C19195" t="str">
        <f>IFERROR(__xludf.DUMMYFUNCTION("GOOGLETRANSLATE(B19195, ""fr"", ""en"")"),"Beautiful bag, many pockets bag with numerous pockets allow to house a lot.")</f>
        <v>Beautiful bag, many pockets bag with numerous pockets allow to house a lot.</v>
      </c>
    </row>
    <row r="19196">
      <c r="A19196" s="1">
        <v>5.0</v>
      </c>
      <c r="B19196" s="1" t="s">
        <v>18880</v>
      </c>
      <c r="C19196" t="str">
        <f>IFERROR(__xludf.DUMMYFUNCTION("GOOGLETRANSLATE(B19196, ""fr"", ""en"")"),"Pretty kettle at Vintage Design Very nice design. Efficient but quite noisy during the heating time. I do not regret my purchase. Then see over time ...")</f>
        <v>Pretty kettle at Vintage Design Very nice design. Efficient but quite noisy during the heating time. I do not regret my purchase. Then see over time ...</v>
      </c>
    </row>
    <row r="19197">
      <c r="A19197" s="1">
        <v>5.0</v>
      </c>
      <c r="B19197" s="1" t="s">
        <v>18881</v>
      </c>
      <c r="C19197" t="str">
        <f>IFERROR(__xludf.DUMMYFUNCTION("GOOGLETRANSLATE(B19197, ""fr"", ""en"")"),"black ink cartridge in accordance with the original")</f>
        <v>black ink cartridge in accordance with the original</v>
      </c>
    </row>
    <row r="19198">
      <c r="A19198" s="1">
        <v>5.0</v>
      </c>
      <c r="B19198" s="1" t="s">
        <v>18882</v>
      </c>
      <c r="C19198" t="str">
        <f>IFERROR(__xludf.DUMMYFUNCTION("GOOGLETRANSLATE(B19198, ""fr"", ""en"")"),"Cartridges I always buy this brand for my printer")</f>
        <v>Cartridges I always buy this brand for my printer</v>
      </c>
    </row>
    <row r="19199">
      <c r="A19199" s="1">
        <v>5.0</v>
      </c>
      <c r="B19199" s="1" t="s">
        <v>18883</v>
      </c>
      <c r="C19199" t="str">
        <f>IFERROR(__xludf.DUMMYFUNCTION("GOOGLETRANSLATE(B19199, ""fr"", ""en"")"),"the fabric is light and soft wiring is neat, the fabric is lightweight and soft, elasticity and respirabilités are very good, and the body is used to change the body and will be bought again.")</f>
        <v>the fabric is light and soft wiring is neat, the fabric is lightweight and soft, elasticity and respirabilités are very good, and the body is used to change the body and will be bought again.</v>
      </c>
    </row>
    <row r="19200">
      <c r="A19200" s="1">
        <v>2.0</v>
      </c>
      <c r="B19200" s="1" t="s">
        <v>18884</v>
      </c>
      <c r="C19200" t="str">
        <f>IFERROR(__xludf.DUMMYFUNCTION("GOOGLETRANSLATE(B19200, ""fr"", ""en"")"),"Disappointed I've had a very disappointed false. And not suitable necklace")</f>
        <v>Disappointed I've had a very disappointed false. And not suitable necklace</v>
      </c>
    </row>
    <row r="19201">
      <c r="A19201" s="1">
        <v>1.0</v>
      </c>
      <c r="B19201" s="1" t="s">
        <v>18885</v>
      </c>
      <c r="C19201" t="str">
        <f>IFERROR(__xludf.DUMMYFUNCTION("GOOGLETRANSLATE(B19201, ""fr"", ""en"")"),"Pretty poor quality ... but poor quality earrings and so light that they bend and break. These are not Swarovski crystals. A stone fell the first time I wore them.")</f>
        <v>Pretty poor quality ... but poor quality earrings and so light that they bend and break. These are not Swarovski crystals. A stone fell the first time I wore them.</v>
      </c>
    </row>
    <row r="19202">
      <c r="A19202" s="1">
        <v>1.0</v>
      </c>
      <c r="B19202" s="1" t="s">
        <v>18886</v>
      </c>
      <c r="C19202" t="str">
        <f>IFERROR(__xludf.DUMMYFUNCTION("GOOGLETRANSLATE(B19202, ""fr"", ""en"")"),"I do not recommend at all Very Much too little blunt very poor finish and again this fact soon 1 months I expect my refund")</f>
        <v>I do not recommend at all Very Much too little blunt very poor finish and again this fact soon 1 months I expect my refund</v>
      </c>
    </row>
    <row r="19203">
      <c r="A19203" s="1">
        <v>3.0</v>
      </c>
      <c r="B19203" s="1" t="s">
        <v>18887</v>
      </c>
      <c r="C19203" t="str">
        <f>IFERROR(__xludf.DUMMYFUNCTION("GOOGLETRANSLATE(B19203, ""fr"", ""en"")"),"Comfortable personally take one size bigger, a little tight thong which suddenly turn back foot in the shoe. A look comfortable.")</f>
        <v>Comfortable personally take one size bigger, a little tight thong which suddenly turn back foot in the shoe. A look comfortable.</v>
      </c>
    </row>
    <row r="19204">
      <c r="A19204" s="1">
        <v>3.0</v>
      </c>
      <c r="B19204" s="1" t="s">
        <v>18888</v>
      </c>
      <c r="C19204" t="str">
        <f>IFERROR(__xludf.DUMMYFUNCTION("GOOGLETRANSLATE(B19204, ""fr"", ""en"")"),"not very repeatable I thought buying this brand have something more serious regarding the repeatability of measurements of variances of more than 1 ° to the same spot every few seconds to avoid for babies due to these abuses for adults my faith, ca alread"&amp;"y gives an indication")</f>
        <v>not very repeatable I thought buying this brand have something more serious regarding the repeatability of measurements of variances of more than 1 ° to the same spot every few seconds to avoid for babies due to these abuses for adults my faith, ca already gives an indication</v>
      </c>
    </row>
    <row r="19205">
      <c r="A19205" s="1">
        <v>4.0</v>
      </c>
      <c r="B19205" s="1" t="s">
        <v>18889</v>
      </c>
      <c r="C19205" t="str">
        <f>IFERROR(__xludf.DUMMYFUNCTION("GOOGLETRANSLATE(B19205, ""fr"", ""en"")"),"Very satisfied Very nice watch. I have wanted a G-shock but the price was not reasonable. so I chose this one. Beautiful, simple enough to use, simple and elegant. I wish I could choose the language of days of the week and to ""push"" needles for clear di"&amp;"gital displays, but otherwise perfect. I liked to set the size of even me bracelet with the tool provided. Very easy to do, without effort and without special knowledge.")</f>
        <v>Very satisfied Very nice watch. I have wanted a G-shock but the price was not reasonable. so I chose this one. Beautiful, simple enough to use, simple and elegant. I wish I could choose the language of days of the week and to "push" needles for clear digital displays, but otherwise perfect. I liked to set the size of even me bracelet with the tool provided. Very easy to do, without effort and without special knowledge.</v>
      </c>
    </row>
    <row r="19206">
      <c r="A19206" s="1">
        <v>4.0</v>
      </c>
      <c r="B19206" s="1" t="s">
        <v>18890</v>
      </c>
      <c r="C19206" t="str">
        <f>IFERROR(__xludf.DUMMYFUNCTION("GOOGLETRANSLATE(B19206, ""fr"", ""en"")"),"Top Effective")</f>
        <v>Top Effective</v>
      </c>
    </row>
    <row r="19207">
      <c r="A19207" s="1">
        <v>4.0</v>
      </c>
      <c r="B19207" s="1" t="s">
        <v>18891</v>
      </c>
      <c r="C19207" t="str">
        <f>IFERROR(__xludf.DUMMYFUNCTION("GOOGLETRANSLATE(B19207, ""fr"", ""en"")"),"ok good for warm winters foot too just with respect to size dieters after several washing efiloches not too much; To advice")</f>
        <v>ok good for warm winters foot too just with respect to size dieters after several washing efiloches not too much; To advice</v>
      </c>
    </row>
    <row r="19208">
      <c r="A19208" s="1">
        <v>4.0</v>
      </c>
      <c r="B19208" s="1" t="s">
        <v>18892</v>
      </c>
      <c r="C19208" t="str">
        <f>IFERROR(__xludf.DUMMYFUNCTION("GOOGLETRANSLATE(B19208, ""fr"", ""en"")"),"Really good and easy to assemble, but ... If you want to mount 2 screens 27 "", this model is a little"" just ""if you really want to change the orientation of the second screen, in my case, I a battery monitor in front of me and the other deported on the"&amp;" side. for this reason, I will change to take the model that accepts 32 ""screen 2nd thing to know if your sound screens of the same brand, no problem to align, but I have a Dell and AOC, although physical screen size is the same, the location of the supp"&amp;"ort to 4cm difference in height ... either I tinker my support or it take arm spring Gas, to make up the difference in order to align them apart ... these ""details"" I recommend this purchase, it is solid, easy to assemble, the result makes really good.")</f>
        <v>Really good and easy to assemble, but ... If you want to mount 2 screens 27 ", this model is a little" just "if you really want to change the orientation of the second screen, in my case, I a battery monitor in front of me and the other deported on the side. for this reason, I will change to take the model that accepts 32 "screen 2nd thing to know if your sound screens of the same brand, no problem to align, but I have a Dell and AOC, although physical screen size is the same, the location of the support to 4cm difference in height ... either I tinker my support or it take arm spring Gas, to make up the difference in order to align them apart ... these "details" I recommend this purchase, it is solid, easy to assemble, the result makes really good.</v>
      </c>
    </row>
    <row r="19209">
      <c r="A19209" s="1">
        <v>5.0</v>
      </c>
      <c r="B19209" s="1" t="s">
        <v>18893</v>
      </c>
      <c r="C19209" t="str">
        <f>IFERROR(__xludf.DUMMYFUNCTION("GOOGLETRANSLATE(B19209, ""fr"", ""en"")"),"Very good quality for the price of shoes every day is aging well")</f>
        <v>Very good quality for the price of shoes every day is aging well</v>
      </c>
    </row>
    <row r="19210">
      <c r="A19210" s="1">
        <v>5.0</v>
      </c>
      <c r="B19210" s="1" t="s">
        <v>18894</v>
      </c>
      <c r="C19210" t="str">
        <f>IFERROR(__xludf.DUMMYFUNCTION("GOOGLETRANSLATE(B19210, ""fr"", ""en"")"),"Rock Solid! Always faithful to Citizen after 25 years of diving (and after trying other brands). Quality, durability, aesthetics are there. Seller and delivery impeccable. These ""Ecodrive"" watches (they have a battery that recharges in sunlight) are for"&amp;" me the best quality / price ratio on the market for underwater activities and outdoor.")</f>
        <v>Rock Solid! Always faithful to Citizen after 25 years of diving (and after trying other brands). Quality, durability, aesthetics are there. Seller and delivery impeccable. These "Ecodrive" watches (they have a battery that recharges in sunlight) are for me the best quality / price ratio on the market for underwater activities and outdoor.</v>
      </c>
    </row>
    <row r="19211">
      <c r="A19211" s="1">
        <v>5.0</v>
      </c>
      <c r="B19211" s="1" t="s">
        <v>18895</v>
      </c>
      <c r="C19211" t="str">
        <f>IFERROR(__xludf.DUMMYFUNCTION("GOOGLETRANSLATE(B19211, ""fr"", ""en"")"),"On top Earphones bought for my daughter for her birthday .my spouse has tried and is ravis.E No more than a nice design, the sound is good .I think my daughter will be happy.")</f>
        <v>On top Earphones bought for my daughter for her birthday .my spouse has tried and is ravis.E No more than a nice design, the sound is good .I think my daughter will be happy.</v>
      </c>
    </row>
    <row r="19212">
      <c r="A19212" s="1">
        <v>5.0</v>
      </c>
      <c r="B19212" s="1" t="s">
        <v>18896</v>
      </c>
      <c r="C19212" t="str">
        <f>IFERROR(__xludf.DUMMYFUNCTION("GOOGLETRANSLATE(B19212, ""fr"", ""en"")"),"Awesome Very easy to use and small size flawless")</f>
        <v>Awesome Very easy to use and small size flawless</v>
      </c>
    </row>
    <row r="19213">
      <c r="A19213" s="1">
        <v>5.0</v>
      </c>
      <c r="B19213" s="1" t="s">
        <v>18897</v>
      </c>
      <c r="C19213" t="str">
        <f>IFERROR(__xludf.DUMMYFUNCTION("GOOGLETRANSLATE(B19213, ""fr"", ""en"")"),"Satisfied Very nice Bola pregnancy. Good quality and good solid")</f>
        <v>Satisfied Very nice Bola pregnancy. Good quality and good solid</v>
      </c>
    </row>
    <row r="19214">
      <c r="A19214" s="1">
        <v>5.0</v>
      </c>
      <c r="B19214" s="1" t="s">
        <v>18898</v>
      </c>
      <c r="C19214" t="str">
        <f>IFERROR(__xludf.DUMMYFUNCTION("GOOGLETRANSLATE(B19214, ""fr"", ""en"")"),"For sport fishnet! This long-sleeved T-shirt, with pass finger at each end, is decorated with bands so ""fishnet"" forearms and below the choker. The cute snowflake, symbol of the brand, gives a fun touch to the left of the garment. The material, composed"&amp;" of 90% polyamide and 10% elastane, is flexible and very wearable. Washing is done at 30 °. It should not be ironed, which would be useless elsewhere in light of the material. He has no uncomfortable seams and is ideal for gymnastics. Flattering, it is wo"&amp;"rn with shorts or sports leggings. &amp; Nbsp; &lt;a data-hook = ""product-link-linked"" class = ""a-link-normal"" href = ""/ Auric-in-offers-d- Moreover-a-matched / dp / B07CQ6NCDZ / ref = cm_cr_arp_d_rvw_txt? ie = UTF8 ""&gt; in Auric also offers assorted &lt;/a&gt;.")</f>
        <v>For sport fishnet! This long-sleeved T-shirt, with pass finger at each end, is decorated with bands so "fishnet" forearms and below the choker. The cute snowflake, symbol of the brand, gives a fun touch to the left of the garment. The material, composed of 90% polyamide and 10% elastane, is flexible and very wearable. Washing is done at 30 °. It should not be ironed, which would be useless elsewhere in light of the material. He has no uncomfortable seams and is ideal for gymnastics. Flattering, it is worn with shorts or sports leggings. &amp; Nbsp; &lt;a data-hook = "product-link-linked" class = "a-link-normal" href = "/ Auric-in-offers-d- Moreover-a-matched / dp / B07CQ6NCDZ / ref = cm_cr_arp_d_rvw_txt? ie = UTF8 "&gt; in Auric also offers assorted &lt;/a&gt;.</v>
      </c>
    </row>
    <row r="19215">
      <c r="A19215" s="1">
        <v>5.0</v>
      </c>
      <c r="B19215" s="1" t="s">
        <v>18899</v>
      </c>
      <c r="C19215" t="str">
        <f>IFERROR(__xludf.DUMMYFUNCTION("GOOGLETRANSLATE(B19215, ""fr"", ""en"")"),"perfect product complies fabric a bit late but very nice cut")</f>
        <v>perfect product complies fabric a bit late but very nice cut</v>
      </c>
    </row>
    <row r="19216">
      <c r="A19216" s="1">
        <v>5.0</v>
      </c>
      <c r="B19216" s="1" t="s">
        <v>18900</v>
      </c>
      <c r="C19216" t="str">
        <f>IFERROR(__xludf.DUMMYFUNCTION("GOOGLETRANSLATE(B19216, ""fr"", ""en"")"),"Easy to use and lasts a long time without recharging Nothing wrong! It works very well with each blow, and lights practically almost anything. No charge since its commissioning, and first shipment. Easy to use, and also because no gas in it! Level securit"&amp;"y is fine. No gas refill to complete, so practically almost no cost, except for electricity to recharge. Almost perfect ; It would have been even better if there was a small ring for hanging in the kitchen ... .because he not take up too much and falls of"&amp;"ten, if a little shakes. It is solved with a small sticker hook on the back, and a nail / screw on the wall, and that take up less space.")</f>
        <v>Easy to use and lasts a long time without recharging Nothing wrong! It works very well with each blow, and lights practically almost anything. No charge since its commissioning, and first shipment. Easy to use, and also because no gas in it! Level security is fine. No gas refill to complete, so practically almost no cost, except for electricity to recharge. Almost perfect ; It would have been even better if there was a small ring for hanging in the kitchen ... .because he not take up too much and falls often, if a little shakes. It is solved with a small sticker hook on the back, and a nail / screw on the wall, and that take up less space.</v>
      </c>
    </row>
    <row r="19217">
      <c r="A19217" s="1">
        <v>5.0</v>
      </c>
      <c r="B19217" s="1" t="s">
        <v>18901</v>
      </c>
      <c r="C19217" t="str">
        <f>IFERROR(__xludf.DUMMYFUNCTION("GOOGLETRANSLATE(B19217, ""fr"", ""en"")"),"Okay, private parcel carrier avoided The size is perfect and consistent with the description. However, Amazon has happened with the private parcel carrier, 2 weeks for the parcel instead of 2 days. I highly recommend this carrier")</f>
        <v>Okay, private parcel carrier avoided The size is perfect and consistent with the description. However, Amazon has happened with the private parcel carrier, 2 weeks for the parcel instead of 2 days. I highly recommend this carrier</v>
      </c>
    </row>
    <row r="19218">
      <c r="A19218" s="1">
        <v>5.0</v>
      </c>
      <c r="B19218" s="1" t="s">
        <v>18902</v>
      </c>
      <c r="C19218" t="str">
        <f>IFERROR(__xludf.DUMMYFUNCTION("GOOGLETRANSLATE(B19218, ""fr"", ""en"")"),"Corresponds to order and delivered on time I am delighted")</f>
        <v>Corresponds to order and delivered on time I am delighted</v>
      </c>
    </row>
    <row r="19219">
      <c r="A19219" s="1">
        <v>5.0</v>
      </c>
      <c r="B19219" s="1" t="s">
        <v>18903</v>
      </c>
      <c r="C19219" t="str">
        <f>IFERROR(__xludf.DUMMYFUNCTION("GOOGLETRANSLATE(B19219, ""fr"", ""en"")"),"Satisfied Product in accordance with the description, received well packaged with two cute little bottles for new born and two bottle a little bigger, and nipples + tututes and of course for brush wash. Not tested maisnje do not doubt the quality of produ"&amp;"cts.")</f>
        <v>Satisfied Product in accordance with the description, received well packaged with two cute little bottles for new born and two bottle a little bigger, and nipples + tututes and of course for brush wash. Not tested maisnje do not doubt the quality of products.</v>
      </c>
    </row>
    <row r="19220">
      <c r="A19220" s="1">
        <v>5.0</v>
      </c>
      <c r="B19220" s="1" t="s">
        <v>18904</v>
      </c>
      <c r="C19220" t="str">
        <f>IFERROR(__xludf.DUMMYFUNCTION("GOOGLETRANSLATE(B19220, ""fr"", ""en"")"),"right cables no surprises, good cable mid-range, solid, flexible, consistent with the price and the wait, beautiful color, good buy")</f>
        <v>right cables no surprises, good cable mid-range, solid, flexible, consistent with the price and the wait, beautiful color, good buy</v>
      </c>
    </row>
    <row r="19221">
      <c r="A19221" s="1">
        <v>5.0</v>
      </c>
      <c r="B19221" s="1" t="s">
        <v>18905</v>
      </c>
      <c r="C19221" t="str">
        <f>IFERROR(__xludf.DUMMYFUNCTION("GOOGLETRANSLATE(B19221, ""fr"", ""en"")"),"Does not support your mother too low if not excellent at advising")</f>
        <v>Does not support your mother too low if not excellent at advising</v>
      </c>
    </row>
    <row r="19222">
      <c r="A19222" s="1">
        <v>5.0</v>
      </c>
      <c r="B19222" s="1" t="s">
        <v>18906</v>
      </c>
      <c r="C19222" t="str">
        <f>IFERROR(__xludf.DUMMYFUNCTION("GOOGLETRANSLATE(B19222, ""fr"", ""en"")"),"Positively surprised Very good sound quality, especially when the noise reduction is activated. Good bass, the voice is clear. I mostly use in Parisian RER and the reduction is quite significant. In listening at normal volume sound announcements are entan"&amp;"t slightly, trains are very loud but it reduces ambient noise enough goods. The trouble is the cable, I was accustomed to the wireless, but I would prefer a nylon cord which would appear in any case stronger. With this one I'm afraid that in my pocket it "&amp;"twists")</f>
        <v>Positively surprised Very good sound quality, especially when the noise reduction is activated. Good bass, the voice is clear. I mostly use in Parisian RER and the reduction is quite significant. In listening at normal volume sound announcements are entant slightly, trains are very loud but it reduces ambient noise enough goods. The trouble is the cable, I was accustomed to the wireless, but I would prefer a nylon cord which would appear in any case stronger. With this one I'm afraid that in my pocket it twists</v>
      </c>
    </row>
    <row r="19223">
      <c r="A19223" s="1">
        <v>5.0</v>
      </c>
      <c r="B19223" s="1" t="s">
        <v>18907</v>
      </c>
      <c r="C19223" t="str">
        <f>IFERROR(__xludf.DUMMYFUNCTION("GOOGLETRANSLATE(B19223, ""fr"", ""en"")"),"Perfect I needed to just four big eyes for dolls ""sock"", there are 100 different sizes in the package, so I still have 96 ... Otherwise, those eyes stick on the great fabric, it is even clear from the off. Nickel.")</f>
        <v>Perfect I needed to just four big eyes for dolls "sock", there are 100 different sizes in the package, so I still have 96 ... Otherwise, those eyes stick on the great fabric, it is even clear from the off. Nickel.</v>
      </c>
    </row>
    <row r="19224">
      <c r="A19224" s="1">
        <v>2.0</v>
      </c>
      <c r="B19224" s="1" t="s">
        <v>18908</v>
      </c>
      <c r="C19224" t="str">
        <f>IFERROR(__xludf.DUMMYFUNCTION("GOOGLETRANSLATE(B19224, ""fr"", ""en"")"),"Her sizzling thoroughly. True copy of Soundpeats Capsule. These Bluetooth headsets in the same price area all offer the same product. A sound that sizzles qd puts it at the bottom. A connection a bit temperamental and very average call quality ...")</f>
        <v>Her sizzling thoroughly. True copy of Soundpeats Capsule. These Bluetooth headsets in the same price area all offer the same product. A sound that sizzles qd puts it at the bottom. A connection a bit temperamental and very average call quality ...</v>
      </c>
    </row>
    <row r="19225">
      <c r="A19225" s="1">
        <v>1.0</v>
      </c>
      <c r="B19225" s="1" t="s">
        <v>18909</v>
      </c>
      <c r="C19225" t="str">
        <f>IFERROR(__xludf.DUMMYFUNCTION("GOOGLETRANSLATE(B19225, ""fr"", ""en"")"),"Photo does not match Article Received a black pair while the photo of the item is a white pair. I do not recommend at all.")</f>
        <v>Photo does not match Article Received a black pair while the photo of the item is a white pair. I do not recommend at all.</v>
      </c>
    </row>
    <row r="19226">
      <c r="A19226" s="1">
        <v>1.0</v>
      </c>
      <c r="B19226" s="1" t="s">
        <v>2910</v>
      </c>
      <c r="C19226" t="str">
        <f>IFERROR(__xludf.DUMMYFUNCTION("GOOGLETRANSLATE(B19226, ""fr"", ""en"")"),"Very disappointed The outside is good for the soles against themselves apart in a very short time. I had to buy a sole and a gel cushion to replace all")</f>
        <v>Very disappointed The outside is good for the soles against themselves apart in a very short time. I had to buy a sole and a gel cushion to replace all</v>
      </c>
    </row>
    <row r="19227">
      <c r="A19227" s="1">
        <v>3.0</v>
      </c>
      <c r="B19227" s="1" t="s">
        <v>18910</v>
      </c>
      <c r="C19227" t="str">
        <f>IFERROR(__xludf.DUMMYFUNCTION("GOOGLETRANSLATE(B19227, ""fr"", ""en"")"),"Very good size too small, however, this brand is known for its quality, however, I pass a little while I took my size. I needed an emergency so I did not return otherwise it would have been done.")</f>
        <v>Very good size too small, however, this brand is known for its quality, however, I pass a little while I took my size. I needed an emergency so I did not return otherwise it would have been done.</v>
      </c>
    </row>
    <row r="19228">
      <c r="A19228" s="1">
        <v>3.0</v>
      </c>
      <c r="B19228" s="1" t="s">
        <v>18911</v>
      </c>
      <c r="C19228" t="str">
        <f>IFERROR(__xludf.DUMMYFUNCTION("GOOGLETRANSLATE(B19228, ""fr"", ""en"")"),"Baby love, not the parents Ergonomics this bottle is perfect for our daughter. It happens much to take in her small hands, loves the nipple, and generally prefers to Advent. BUT we parents deplore quality bottles Dodie: teats last 3 weeks the ring is brok"&amp;"en (too) easily if the bottle falls down. Already 3 broken rings in less than a year! And I'm not talking teats. Moreover, it is a disaster to wash. There are small unreachable gaps in the ring, and fungi eventually form. Yuck.")</f>
        <v>Baby love, not the parents Ergonomics this bottle is perfect for our daughter. It happens much to take in her small hands, loves the nipple, and generally prefers to Advent. BUT we parents deplore quality bottles Dodie: teats last 3 weeks the ring is broken (too) easily if the bottle falls down. Already 3 broken rings in less than a year! And I'm not talking teats. Moreover, it is a disaster to wash. There are small unreachable gaps in the ring, and fungi eventually form. Yuck.</v>
      </c>
    </row>
    <row r="19229">
      <c r="A19229" s="1">
        <v>4.0</v>
      </c>
      <c r="B19229" s="1" t="s">
        <v>18912</v>
      </c>
      <c r="C19229" t="str">
        <f>IFERROR(__xludf.DUMMYFUNCTION("GOOGLETRANSLATE(B19229, ""fr"", ""en"")"),"although the works prpoduit")</f>
        <v>although the works prpoduit</v>
      </c>
    </row>
    <row r="19230">
      <c r="A19230" s="1">
        <v>4.0</v>
      </c>
      <c r="B19230" s="1" t="s">
        <v>18913</v>
      </c>
      <c r="C19230" t="str">
        <f>IFERROR(__xludf.DUMMYFUNCTION("GOOGLETRANSLATE(B19230, ""fr"", ""en"")"),"For sport I bought these headphones for sport and prevent them from falling to far so good. But I did not try for a long run. In contrast to the price does not expect a sound of extreme quality, I would use them not to use every day but for now I'm happy.")</f>
        <v>For sport I bought these headphones for sport and prevent them from falling to far so good. But I did not try for a long run. In contrast to the price does not expect a sound of extreme quality, I would use them not to use every day but for now I'm happy.</v>
      </c>
    </row>
    <row r="19231">
      <c r="A19231" s="1">
        <v>4.0</v>
      </c>
      <c r="B19231" s="1" t="s">
        <v>18914</v>
      </c>
      <c r="C19231" t="str">
        <f>IFERROR(__xludf.DUMMYFUNCTION("GOOGLETRANSLATE(B19231, ""fr"", ""en"")"),"Good but very expensive Very surprised by the small size. Nice design that goes in my kitchen. Very brief instructions with pictures Strangely it does not ask us to wash all as about new products. I have it still took at least for the tank water. This one"&amp;" is also of great enough to make a lot of spots. J do not like its not convenient lid was put on or take. The machine heats up quickly by cons it's a little pump noise when the water comes out. C is noisier that kettle. The water is at the right temperatu"&amp;"re for me but too bad that we can not choose the temperature because my wife finds it too hot. The pods begin and s off easily falling into the tray. more perfume pods are provided to taste. My store does sell as mint tea or rose and herbal tea as By cons"&amp;" I m would serve not everyday c is super expensive in pods and n is not even a distributor brands pods. When my 20 bags of the cost 2,60euos, 10 capsules 3.60 .autant run me say that it is a luxury product that is a shame")</f>
        <v>Good but very expensive Very surprised by the small size. Nice design that goes in my kitchen. Very brief instructions with pictures Strangely it does not ask us to wash all as about new products. I have it still took at least for the tank water. This one is also of great enough to make a lot of spots. J do not like its not convenient lid was put on or take. The machine heats up quickly by cons it's a little pump noise when the water comes out. C is noisier that kettle. The water is at the right temperature for me but too bad that we can not choose the temperature because my wife finds it too hot. The pods begin and s off easily falling into the tray. more perfume pods are provided to taste. My store does sell as mint tea or rose and herbal tea as By cons I m would serve not everyday c is super expensive in pods and n is not even a distributor brands pods. When my 20 bags of the cost 2,60euos, 10 capsules 3.60 .autant run me say that it is a luxury product that is a shame</v>
      </c>
    </row>
    <row r="19232">
      <c r="A19232" s="1">
        <v>4.0</v>
      </c>
      <c r="B19232" s="1" t="s">
        <v>18915</v>
      </c>
      <c r="C19232" t="str">
        <f>IFERROR(__xludf.DUMMYFUNCTION("GOOGLETRANSLATE(B19232, ""fr"", ""en"")"),"Qualities to the height, single use Positives: Qualities to match what is shown - use control rather simple - quality material - discreet color appreciated. Cons: maybe just the seat a fair bit (approaching mid thigh (1,71m) - the ideal would be a sitting"&amp;" would happen near the bend of the knee Product thoughtful.")</f>
        <v>Qualities to the height, single use Positives: Qualities to match what is shown - use control rather simple - quality material - discreet color appreciated. Cons: maybe just the seat a fair bit (approaching mid thigh (1,71m) - the ideal would be a sitting would happen near the bend of the knee Product thoughtful.</v>
      </c>
    </row>
    <row r="19233">
      <c r="A19233" s="1">
        <v>5.0</v>
      </c>
      <c r="B19233" s="1" t="s">
        <v>18916</v>
      </c>
      <c r="C19233" t="str">
        <f>IFERROR(__xludf.DUMMYFUNCTION("GOOGLETRANSLATE(B19233, ""fr"", ""en"")"),"Joli educational book Great book with beautiful photos that my daughter enjoys flick since his 6 years")</f>
        <v>Joli educational book Great book with beautiful photos that my daughter enjoys flick since his 6 years</v>
      </c>
    </row>
    <row r="19234">
      <c r="A19234" s="1">
        <v>5.0</v>
      </c>
      <c r="B19234" s="1" t="s">
        <v>18917</v>
      </c>
      <c r="C19234" t="str">
        <f>IFERROR(__xludf.DUMMYFUNCTION("GOOGLETRANSLATE(B19234, ""fr"", ""en"")"),"A premature adopt my big girl agreed on them and yet I tried another well known brand .... nipple suitable for a thickened Anti-Regurgitation milk. Clearly AVENT remains a budget but quality has made its reputation.")</f>
        <v>A premature adopt my big girl agreed on them and yet I tried another well known brand .... nipple suitable for a thickened Anti-Regurgitation milk. Clearly AVENT remains a budget but quality has made its reputation.</v>
      </c>
    </row>
    <row r="19235">
      <c r="A19235" s="1">
        <v>5.0</v>
      </c>
      <c r="B19235" s="1" t="s">
        <v>18918</v>
      </c>
      <c r="C19235" t="str">
        <f>IFERROR(__xludf.DUMMYFUNCTION("GOOGLETRANSLATE(B19235, ""fr"", ""en"")"),"it's lucky! Find more of these round filters for different types of coffee makers, in particular the model of Krups T8! Anyway, this is a genuine product of Melitta, carefully conditioning: no problem and satisfaction guaranteed!")</f>
        <v>it's lucky! Find more of these round filters for different types of coffee makers, in particular the model of Krups T8! Anyway, this is a genuine product of Melitta, carefully conditioning: no problem and satisfaction guaranteed!</v>
      </c>
    </row>
    <row r="19236">
      <c r="A19236" s="1">
        <v>5.0</v>
      </c>
      <c r="B19236" s="1" t="s">
        <v>18919</v>
      </c>
      <c r="C19236" t="str">
        <f>IFERROR(__xludf.DUMMYFUNCTION("GOOGLETRANSLATE(B19236, ""fr"", ""en"")"),"Bottle brush for bottles, super quality")</f>
        <v>Bottle brush for bottles, super quality</v>
      </c>
    </row>
    <row r="19237">
      <c r="A19237" s="1">
        <v>5.0</v>
      </c>
      <c r="B19237" s="1" t="s">
        <v>18920</v>
      </c>
      <c r="C19237" t="str">
        <f>IFERROR(__xludf.DUMMYFUNCTION("GOOGLETRANSLATE(B19237, ""fr"", ""en"")"),"corresponds perfectly to our expectations My son is happy, and it's not easy to satisfy a teenager! I recommend this article is beautiful and keeps you warm")</f>
        <v>corresponds perfectly to our expectations My son is happy, and it's not easy to satisfy a teenager! I recommend this article is beautiful and keeps you warm</v>
      </c>
    </row>
    <row r="19238">
      <c r="A19238" s="1">
        <v>5.0</v>
      </c>
      <c r="B19238" s="1" t="s">
        <v>18921</v>
      </c>
      <c r="C19238" t="str">
        <f>IFERROR(__xludf.DUMMYFUNCTION("GOOGLETRANSLATE(B19238, ""fr"", ""en"")"),"Okay Mule somewhat unusual at first, but very comfortable after two three days. For the holidays or the pool is perfect. Very satisfied with the product.")</f>
        <v>Okay Mule somewhat unusual at first, but very comfortable after two three days. For the holidays or the pool is perfect. Very satisfied with the product.</v>
      </c>
    </row>
    <row r="19239">
      <c r="A19239" s="1">
        <v>5.0</v>
      </c>
      <c r="B19239" s="1" t="s">
        <v>18922</v>
      </c>
      <c r="C19239" t="str">
        <f>IFERROR(__xludf.DUMMYFUNCTION("GOOGLETRANSLATE(B19239, ""fr"", ""en"")"),"Coffee aesthetic and practical large capacity, convenient programming with its functions and keep warm ... good value. It fits perfectly with my deco and my retro appliances, I am delighted with my purchase!")</f>
        <v>Coffee aesthetic and practical large capacity, convenient programming with its functions and keep warm ... good value. It fits perfectly with my deco and my retro appliances, I am delighted with my purchase!</v>
      </c>
    </row>
    <row r="19240">
      <c r="A19240" s="1">
        <v>5.0</v>
      </c>
      <c r="B19240" s="1" t="s">
        <v>18923</v>
      </c>
      <c r="C19240" t="str">
        <f>IFERROR(__xludf.DUMMYFUNCTION("GOOGLETRANSLATE(B19240, ""fr"", ""en"")"),"Exactly what we needed It never leaves our suitcase in case the chosen hotel would not have a kettle in the room. Very convenient, especially for short or long weekend outside ...")</f>
        <v>Exactly what we needed It never leaves our suitcase in case the chosen hotel would not have a kettle in the room. Very convenient, especially for short or long weekend outside ...</v>
      </c>
    </row>
    <row r="19241">
      <c r="A19241" s="1">
        <v>5.0</v>
      </c>
      <c r="B19241" s="1" t="s">
        <v>18924</v>
      </c>
      <c r="C19241" t="str">
        <f>IFERROR(__xludf.DUMMYFUNCTION("GOOGLETRANSLATE(B19241, ""fr"", ""en"")"),"Stop everything bad I have been forced to change the rubber of a stopper. But otherwise nice")</f>
        <v>Stop everything bad I have been forced to change the rubber of a stopper. But otherwise nice</v>
      </c>
    </row>
    <row r="19242">
      <c r="A19242" s="1">
        <v>5.0</v>
      </c>
      <c r="B19242" s="1" t="s">
        <v>18925</v>
      </c>
      <c r="C19242" t="str">
        <f>IFERROR(__xludf.DUMMYFUNCTION("GOOGLETRANSLATE(B19242, ""fr"", ""en"")"),"Nothing wrong sound is just perfect, no complaints on that side. The left atrium has a tendency to loosen slightly (to force the turn to listen with one ear), but she screwed back easily by hand. The right atrium is stable. Nothing to say otherwise just p"&amp;"erfect.")</f>
        <v>Nothing wrong sound is just perfect, no complaints on that side. The left atrium has a tendency to loosen slightly (to force the turn to listen with one ear), but she screwed back easily by hand. The right atrium is stable. Nothing to say otherwise just perfect.</v>
      </c>
    </row>
    <row r="19243">
      <c r="A19243" s="1">
        <v>5.0</v>
      </c>
      <c r="B19243" s="1" t="s">
        <v>18926</v>
      </c>
      <c r="C19243" t="str">
        <f>IFERROR(__xludf.DUMMYFUNCTION("GOOGLETRANSLATE(B19243, ""fr"", ""en"")"),"Perfect Perfect for leather bracelets as metal bracelets. Blocks well Charms! Parcel very well packaged. I'm so glad of my purchase.")</f>
        <v>Perfect Perfect for leather bracelets as metal bracelets. Blocks well Charms! Parcel very well packaged. I'm so glad of my purchase.</v>
      </c>
    </row>
    <row r="19244">
      <c r="A19244" s="1">
        <v>5.0</v>
      </c>
      <c r="B19244" s="1" t="s">
        <v>18927</v>
      </c>
      <c r="C19244" t="str">
        <f>IFERROR(__xludf.DUMMYFUNCTION("GOOGLETRANSLATE(B19244, ""fr"", ""en"")"),"well flush compliant")</f>
        <v>well flush compliant</v>
      </c>
    </row>
    <row r="19245">
      <c r="A19245" s="1">
        <v>5.0</v>
      </c>
      <c r="B19245" s="1" t="s">
        <v>18928</v>
      </c>
      <c r="C19245" t="str">
        <f>IFERROR(__xludf.DUMMYFUNCTION("GOOGLETRANSLATE(B19245, ""fr"", ""en"")"),"Perfect! Very nice watch, very thin and discreet! I just regret that the bracelet mark so quickly (leather folding after the clip) Delivered in a timely manner, very satisfied!")</f>
        <v>Perfect! Very nice watch, very thin and discreet! I just regret that the bracelet mark so quickly (leather folding after the clip) Delivered in a timely manner, very satisfied!</v>
      </c>
    </row>
    <row r="19246">
      <c r="A19246" s="1">
        <v>5.0</v>
      </c>
      <c r="B19246" s="1" t="s">
        <v>18929</v>
      </c>
      <c r="C19246" t="str">
        <f>IFERROR(__xludf.DUMMYFUNCTION("GOOGLETRANSLATE(B19246, ""fr"", ""en"")"),"great eagle always beautiful and comfortable boots very happy ....")</f>
        <v>great eagle always beautiful and comfortable boots very happy ....</v>
      </c>
    </row>
    <row r="19247">
      <c r="A19247" s="1">
        <v>5.0</v>
      </c>
      <c r="B19247" s="1" t="s">
        <v>18930</v>
      </c>
      <c r="C19247" t="str">
        <f>IFERROR(__xludf.DUMMYFUNCTION("GOOGLETRANSLATE(B19247, ""fr"", ""en"")"),"RAS Very good product level value nothing wrong ^^. Regarding the noise level, I gave 3/5 because yes it makes noise, but no more than another brand (much more expensive). Also the sound does not bother me personally.")</f>
        <v>RAS Very good product level value nothing wrong ^^. Regarding the noise level, I gave 3/5 because yes it makes noise, but no more than another brand (much more expensive). Also the sound does not bother me personally.</v>
      </c>
    </row>
    <row r="19248">
      <c r="A19248" s="1">
        <v>2.0</v>
      </c>
      <c r="B19248" s="1" t="s">
        <v>18931</v>
      </c>
      <c r="C19248" t="str">
        <f>IFERROR(__xludf.DUMMYFUNCTION("GOOGLETRANSLATE(B19248, ""fr"", ""en"")"),"Cheap Renderings")</f>
        <v>Cheap Renderings</v>
      </c>
    </row>
    <row r="19249">
      <c r="A19249" s="1">
        <v>1.0</v>
      </c>
      <c r="B19249" s="1" t="s">
        <v>18932</v>
      </c>
      <c r="C19249" t="str">
        <f>IFERROR(__xludf.DUMMYFUNCTION("GOOGLETRANSLATE(B19249, ""fr"", ""en"")"),"seems MALFUNCTION I think the adapter received does not work because the microphone running on iPhone but not on my Zoom (recorder). If anyone can help me (I did not find where questions were asked): mac, is that we should connect the microphone with the "&amp;"adapter into the headphone jack mac? (Ca me strange looks ...), if not, where the plug? and does it one more adapter? Thank you !")</f>
        <v>seems MALFUNCTION I think the adapter received does not work because the microphone running on iPhone but not on my Zoom (recorder). If anyone can help me (I did not find where questions were asked): mac, is that we should connect the microphone with the adapter into the headphone jack mac? (Ca me strange looks ...), if not, where the plug? and does it one more adapter? Thank you !</v>
      </c>
    </row>
    <row r="19250">
      <c r="A19250" s="1">
        <v>1.0</v>
      </c>
      <c r="B19250" s="1" t="s">
        <v>18933</v>
      </c>
      <c r="C19250" t="str">
        <f>IFERROR(__xludf.DUMMYFUNCTION("GOOGLETRANSLATE(B19250, ""fr"", ""en"")"),"Audio headset with good qualities disappointing I bought this Gaming Headset for his fashion ""super human"" which allows the detection of opponents and their placement. This mode is really essential in this kind of play. (PUBG, Fortnite ...) Unfortunatel"&amp;"y once more opponents approach everything becomes imprecise and draft the headset is not up far from it impossible to locate players is catastrophic and disruptive ... I would not recommend the")</f>
        <v>Audio headset with good qualities disappointing I bought this Gaming Headset for his fashion "super human" which allows the detection of opponents and their placement. This mode is really essential in this kind of play. (PUBG, Fortnite ...) Unfortunately once more opponents approach everything becomes imprecise and draft the headset is not up far from it impossible to locate players is catastrophic and disruptive ... I would not recommend the</v>
      </c>
    </row>
    <row r="19251">
      <c r="A19251" s="1">
        <v>3.0</v>
      </c>
      <c r="B19251" s="1" t="s">
        <v>18934</v>
      </c>
      <c r="C19251" t="str">
        <f>IFERROR(__xludf.DUMMYFUNCTION("GOOGLETRANSLATE(B19251, ""fr"", ""en"")"),"Effective but noisy Everything is said, max power, it means maximum noise. for water heating in the morning when the house is still asleep, discretion point of view it is simply impossible. So pretty kettle, powerful, but noisy, hence the 3 stars.")</f>
        <v>Effective but noisy Everything is said, max power, it means maximum noise. for water heating in the morning when the house is still asleep, discretion point of view it is simply impossible. So pretty kettle, powerful, but noisy, hence the 3 stars.</v>
      </c>
    </row>
    <row r="19252">
      <c r="A19252" s="1">
        <v>4.0</v>
      </c>
      <c r="B19252" s="1" t="s">
        <v>18935</v>
      </c>
      <c r="C19252" t="str">
        <f>IFERROR(__xludf.DUMMYFUNCTION("GOOGLETRANSLATE(B19252, ""fr"", ""en"")"),"Beautiful aesthetics Bought for tea or herbal teas I m using it regularly to preheat water for rice pasta or vegetables water heats faster than the induction plate")</f>
        <v>Beautiful aesthetics Bought for tea or herbal teas I m using it regularly to preheat water for rice pasta or vegetables water heats faster than the induction plate</v>
      </c>
    </row>
    <row r="19253">
      <c r="A19253" s="1">
        <v>4.0</v>
      </c>
      <c r="B19253" s="1" t="s">
        <v>18936</v>
      </c>
      <c r="C19253" t="str">
        <f>IFERROR(__xludf.DUMMYFUNCTION("GOOGLETRANSLATE(B19253, ""fr"", ""en"")"),"Very happy with the product for a gift")</f>
        <v>Very happy with the product for a gift</v>
      </c>
    </row>
    <row r="19254">
      <c r="A19254" s="1">
        <v>4.0</v>
      </c>
      <c r="B19254" s="1" t="s">
        <v>18937</v>
      </c>
      <c r="C19254" t="str">
        <f>IFERROR(__xludf.DUMMYFUNCTION("GOOGLETRANSLATE(B19254, ""fr"", ""en"")"),"no comment. I bought this jewelry for a gift for Christmas. Hoping qu'ilplaira.")</f>
        <v>no comment. I bought this jewelry for a gift for Christmas. Hoping qu'ilplaira.</v>
      </c>
    </row>
    <row r="19255">
      <c r="A19255" s="1">
        <v>4.0</v>
      </c>
      <c r="B19255" s="1" t="s">
        <v>18938</v>
      </c>
      <c r="C19255" t="str">
        <f>IFERROR(__xludf.DUMMYFUNCTION("GOOGLETRANSLATE(B19255, ""fr"", ""en"")"),"Simple and functional Bought to accommodate the schedule of my association, sufficient for my needs.")</f>
        <v>Simple and functional Bought to accommodate the schedule of my association, sufficient for my needs.</v>
      </c>
    </row>
    <row r="19256">
      <c r="A19256" s="1">
        <v>5.0</v>
      </c>
      <c r="B19256" s="1" t="s">
        <v>18939</v>
      </c>
      <c r="C19256" t="str">
        <f>IFERROR(__xludf.DUMMYFUNCTION("GOOGLETRANSLATE(B19256, ""fr"", ""en"")"),"Nice atmosphere with essential oils This diffuser in addition to broadcast a pleasant essential oil odor in my apartment, adds a decorative touch in shape really nice, the adjustable lights and light white smoke that emerges through water which is added i"&amp;"n the recipiant. In addition to it really quick reception. I recommend !")</f>
        <v>Nice atmosphere with essential oils This diffuser in addition to broadcast a pleasant essential oil odor in my apartment, adds a decorative touch in shape really nice, the adjustable lights and light white smoke that emerges through water which is added in the recipiant. In addition to it really quick reception. I recommend !</v>
      </c>
    </row>
    <row r="19257">
      <c r="A19257" s="1">
        <v>5.0</v>
      </c>
      <c r="B19257" s="1" t="s">
        <v>18940</v>
      </c>
      <c r="C19257" t="str">
        <f>IFERROR(__xludf.DUMMYFUNCTION("GOOGLETRANSLATE(B19257, ""fr"", ""en"")"),"PERCOLATOR Corresponds quite Description see after use")</f>
        <v>PERCOLATOR Corresponds quite Description see after use</v>
      </c>
    </row>
    <row r="19258">
      <c r="A19258" s="1">
        <v>5.0</v>
      </c>
      <c r="B19258" s="1" t="s">
        <v>18941</v>
      </c>
      <c r="C19258" t="str">
        <f>IFERROR(__xludf.DUMMYFUNCTION("GOOGLETRANSLATE(B19258, ""fr"", ""en"")"),"Nickel Nothing to say except good shoe.")</f>
        <v>Nickel Nothing to say except good shoe.</v>
      </c>
    </row>
    <row r="19259">
      <c r="A19259" s="1">
        <v>5.0</v>
      </c>
      <c r="B19259" s="1" t="s">
        <v>18942</v>
      </c>
      <c r="C19259" t="str">
        <f>IFERROR(__xludf.DUMMYFUNCTION("GOOGLETRANSLATE(B19259, ""fr"", ""en"")"),"Perfect Pretty watch.")</f>
        <v>Perfect Pretty watch.</v>
      </c>
    </row>
    <row r="19260">
      <c r="A19260" s="1">
        <v>5.0</v>
      </c>
      <c r="B19260" s="1" t="s">
        <v>18943</v>
      </c>
      <c r="C19260" t="str">
        <f>IFERROR(__xludf.DUMMYFUNCTION("GOOGLETRANSLATE(B19260, ""fr"", ""en"")"),"super comfortable pants, worth its price Ideal in winter and between seasons to pedal for hours without catching cold. pants very comfortable, loose pockets. It lacks the zipper pockets and it would have been extra. Very good value for money.")</f>
        <v>super comfortable pants, worth its price Ideal in winter and between seasons to pedal for hours without catching cold. pants very comfortable, loose pockets. It lacks the zipper pockets and it would have been extra. Very good value for money.</v>
      </c>
    </row>
    <row r="19261">
      <c r="A19261" s="1">
        <v>5.0</v>
      </c>
      <c r="B19261" s="1" t="s">
        <v>18944</v>
      </c>
      <c r="C19261" t="str">
        <f>IFERROR(__xludf.DUMMYFUNCTION("GOOGLETRANSLATE(B19261, ""fr"", ""en"")"),"Watch the elegant look elegant watch with uncluttered style. I like his minimalist side and the color of the blue quadrant night is just beautiful. Mild to wear his bracelet is also nice. Ideal for one like me who loves the masculine / feminine style. Pro"&amp;"duced entirely consistent with the description and my expectations I recommend.")</f>
        <v>Watch the elegant look elegant watch with uncluttered style. I like his minimalist side and the color of the blue quadrant night is just beautiful. Mild to wear his bracelet is also nice. Ideal for one like me who loves the masculine / feminine style. Produced entirely consistent with the description and my expectations I recommend.</v>
      </c>
    </row>
    <row r="19262">
      <c r="A19262" s="1">
        <v>5.0</v>
      </c>
      <c r="B19262" s="1" t="s">
        <v>18945</v>
      </c>
      <c r="C19262" t="str">
        <f>IFERROR(__xludf.DUMMYFUNCTION("GOOGLETRANSLATE(B19262, ""fr"", ""en"")"),"Tiger Balm Effective !!!")</f>
        <v>Tiger Balm Effective !!!</v>
      </c>
    </row>
    <row r="19263">
      <c r="A19263" s="1">
        <v>5.0</v>
      </c>
      <c r="B19263" s="1" t="s">
        <v>18946</v>
      </c>
      <c r="C19263" t="str">
        <f>IFERROR(__xludf.DUMMYFUNCTION("GOOGLETRANSLATE(B19263, ""fr"", ""en"")"),"Ephemeris Product in accordance with my expectations")</f>
        <v>Ephemeris Product in accordance with my expectations</v>
      </c>
    </row>
    <row r="19264">
      <c r="A19264" s="1">
        <v>5.0</v>
      </c>
      <c r="B19264" s="1" t="s">
        <v>18947</v>
      </c>
      <c r="C19264" t="str">
        <f>IFERROR(__xludf.DUMMYFUNCTION("GOOGLETRANSLATE(B19264, ""fr"", ""en"")"),"Easy to read Small book fun to read when learning. Easy for a PC environment. Sentences short so that the child does not tire.")</f>
        <v>Easy to read Small book fun to read when learning. Easy for a PC environment. Sentences short so that the child does not tire.</v>
      </c>
    </row>
    <row r="19265">
      <c r="A19265" s="1">
        <v>5.0</v>
      </c>
      <c r="B19265" s="1" t="s">
        <v>18948</v>
      </c>
      <c r="C19265" t="str">
        <f>IFERROR(__xludf.DUMMYFUNCTION("GOOGLETRANSLATE(B19265, ""fr"", ""en"")"),"Excellent purchase ... Superb! Pockets of excellent qualities ... .. Smooth Brilliant ... and strong ... Excellent value for money ... I recommend")</f>
        <v>Excellent purchase ... Superb! Pockets of excellent qualities ... .. Smooth Brilliant ... and strong ... Excellent value for money ... I recommend</v>
      </c>
    </row>
    <row r="19266">
      <c r="A19266" s="1">
        <v>5.0</v>
      </c>
      <c r="B19266" s="1" t="s">
        <v>18949</v>
      </c>
      <c r="C19266" t="str">
        <f>IFERROR(__xludf.DUMMYFUNCTION("GOOGLETRANSLATE(B19266, ""fr"", ""en"")"),"Perfect for baby bottles and lovely The only drainer with receptacle which is nice on the market! It is not cheap and this is the perfect size for baby bottles! (Also for glasses)")</f>
        <v>Perfect for baby bottles and lovely The only drainer with receptacle which is nice on the market! It is not cheap and this is the perfect size for baby bottles! (Also for glasses)</v>
      </c>
    </row>
    <row r="19267">
      <c r="A19267" s="1">
        <v>5.0</v>
      </c>
      <c r="B19267" s="1" t="s">
        <v>18950</v>
      </c>
      <c r="C19267" t="str">
        <f>IFERROR(__xludf.DUMMYFUNCTION("GOOGLETRANSLATE(B19267, ""fr"", ""en"")"),"Product according to the product description in accordance with the description")</f>
        <v>Product according to the product description in accordance with the description</v>
      </c>
    </row>
    <row r="19268">
      <c r="A19268" s="1">
        <v>5.0</v>
      </c>
      <c r="B19268" s="1" t="s">
        <v>18951</v>
      </c>
      <c r="C19268" t="str">
        <f>IFERROR(__xludf.DUMMYFUNCTION("GOOGLETRANSLATE(B19268, ""fr"", ""en"")"),"Polivalent very comfortable and I personally use this product for several sports (cycling, walking and swimming stroke). I am delighted of this product during the practice of each. The product is robust, well finished and easy to use. I even still there r"&amp;"an and swam without music but I must recognize him, adding that it makes it less monotonous task. In terms of running, much like the product to the head. The deactivation of the microphone offers a true isolate careful, however, not to hear it breathing m"&amp;"ay tend to pack you. For swimming, as expected, the sound of water is obviously still present, however, the music is clearly audible. For cycling, day of cycle track no problems, however, at night or in town aware of cars. Without micro one is out of touc"&amp;"h, and the microphone amplifies the sound of wind. I recommend particularly strongly to this great swimmers who spend hours and hours in the water.")</f>
        <v>Polivalent very comfortable and I personally use this product for several sports (cycling, walking and swimming stroke). I am delighted of this product during the practice of each. The product is robust, well finished and easy to use. I even still there ran and swam without music but I must recognize him, adding that it makes it less monotonous task. In terms of running, much like the product to the head. The deactivation of the microphone offers a true isolate careful, however, not to hear it breathing may tend to pack you. For swimming, as expected, the sound of water is obviously still present, however, the music is clearly audible. For cycling, day of cycle track no problems, however, at night or in town aware of cars. Without micro one is out of touch, and the microphone amplifies the sound of wind. I recommend particularly strongly to this great swimmers who spend hours and hours in the water.</v>
      </c>
    </row>
    <row r="19269">
      <c r="A19269" s="1">
        <v>5.0</v>
      </c>
      <c r="B19269" s="1" t="s">
        <v>18952</v>
      </c>
      <c r="C19269" t="str">
        <f>IFERROR(__xludf.DUMMYFUNCTION("GOOGLETRANSLATE(B19269, ""fr"", ""en"")"),"Delicate and worked well. I love Very nice bracelet with 3 ties purposes but nevertheless seems solid. I am very happy with my purchase, I think sweetie will love. It's pretty, delicate, class. Laughs: if she does not like me yes! By cons I can not wear i"&amp;"t.")</f>
        <v>Delicate and worked well. I love Very nice bracelet with 3 ties purposes but nevertheless seems solid. I am very happy with my purchase, I think sweetie will love. It's pretty, delicate, class. Laughs: if she does not like me yes! By cons I can not wear it.</v>
      </c>
    </row>
    <row r="19270">
      <c r="A19270" s="1">
        <v>5.0</v>
      </c>
      <c r="B19270" s="1" t="s">
        <v>18953</v>
      </c>
      <c r="C19270" t="str">
        <f>IFERROR(__xludf.DUMMYFUNCTION("GOOGLETRANSLATE(B19270, ""fr"", ""en"")"),"Fast delivery and correct leak at the base of my Dolce Gusto coffee maker KRUPS")</f>
        <v>Fast delivery and correct leak at the base of my Dolce Gusto coffee maker KRUPS</v>
      </c>
    </row>
    <row r="19271">
      <c r="A19271" s="1">
        <v>2.0</v>
      </c>
      <c r="B19271" s="1" t="s">
        <v>18954</v>
      </c>
      <c r="C19271" t="str">
        <f>IFERROR(__xludf.DUMMYFUNCTION("GOOGLETRANSLATE(B19271, ""fr"", ""en"")"),"Perforations quality problem do not always fall in the same place so it shifts the pockets between her in the workbook. Definitely a production problem. In addition some transparent cover are bonded to two ends. This is the first time I meet poor quality "&amp;"covers. I recommend this purchase.")</f>
        <v>Perforations quality problem do not always fall in the same place so it shifts the pockets between her in the workbook. Definitely a production problem. In addition some transparent cover are bonded to two ends. This is the first time I meet poor quality covers. I recommend this purchase.</v>
      </c>
    </row>
    <row r="19272">
      <c r="A19272" s="1">
        <v>1.0</v>
      </c>
      <c r="B19272" s="1" t="s">
        <v>18955</v>
      </c>
      <c r="C19272" t="str">
        <f>IFERROR(__xludf.DUMMYFUNCTION("GOOGLETRANSLATE(B19272, ""fr"", ""en"")"),"Scam The black ink cartridge is full, the price of ink the least we can do is to fill it properly. The hp is the last time it was generic fonctionnees that up to half. This is a scam")</f>
        <v>Scam The black ink cartridge is full, the price of ink the least we can do is to fill it properly. The hp is the last time it was generic fonctionnees that up to half. This is a scam</v>
      </c>
    </row>
    <row r="19273">
      <c r="A19273" s="1">
        <v>3.0</v>
      </c>
      <c r="B19273" s="1" t="s">
        <v>18956</v>
      </c>
      <c r="C19273" t="str">
        <f>IFERROR(__xludf.DUMMYFUNCTION("GOOGLETRANSLATE(B19273, ""fr"", ""en"")"),"It is fun ! Not necessarily needed but I wanted to try to sneakers. can quickly put on his shoes. good foot. It's quite effective. The rendering is good. The children wanted the shot. purchase of curiosity we will say. Not bad.")</f>
        <v>It is fun ! Not necessarily needed but I wanted to try to sneakers. can quickly put on his shoes. good foot. It's quite effective. The rendering is good. The children wanted the shot. purchase of curiosity we will say. Not bad.</v>
      </c>
    </row>
    <row r="19274">
      <c r="A19274" s="1">
        <v>3.0</v>
      </c>
      <c r="B19274" s="1" t="s">
        <v>18957</v>
      </c>
      <c r="C19274" t="str">
        <f>IFERROR(__xludf.DUMMYFUNCTION("GOOGLETRANSLATE(B19274, ""fr"", ""en"")"),"difficult closing good product but")</f>
        <v>difficult closing good product but</v>
      </c>
    </row>
    <row r="19275">
      <c r="A19275" s="1">
        <v>4.0</v>
      </c>
      <c r="B19275" s="1" t="s">
        <v>18958</v>
      </c>
      <c r="C19275" t="str">
        <f>IFERROR(__xludf.DUMMYFUNCTION("GOOGLETRANSLATE(B19275, ""fr"", ""en"")"),"Good brushes These brushes are good qualities but I expected this qu'eles be slightly larger than that, but they do their work very well spread polish and shine the shoes, but I do that puts their 4 stars because of the size")</f>
        <v>Good brushes These brushes are good qualities but I expected this qu'eles be slightly larger than that, but they do their work very well spread polish and shine the shoes, but I do that puts their 4 stars because of the size</v>
      </c>
    </row>
    <row r="19276">
      <c r="A19276" s="1">
        <v>4.0</v>
      </c>
      <c r="B19276" s="1" t="s">
        <v>18959</v>
      </c>
      <c r="C19276" t="str">
        <f>IFERROR(__xludf.DUMMYFUNCTION("GOOGLETRANSLATE(B19276, ""fr"", ""en"")"),"Good Good sound good enough solid beugais At the beginning it a bit, but after 3 weeks working as tjrs bienn I recommend very good quality price raport Recut fairly quickly")</f>
        <v>Good Good sound good enough solid beugais At the beginning it a bit, but after 3 weeks working as tjrs bienn I recommend very good quality price raport Recut fairly quickly</v>
      </c>
    </row>
    <row r="19277">
      <c r="A19277" s="1">
        <v>4.0</v>
      </c>
      <c r="B19277" s="1" t="s">
        <v>18960</v>
      </c>
      <c r="C19277" t="str">
        <f>IFERROR(__xludf.DUMMYFUNCTION("GOOGLETRANSLATE(B19277, ""fr"", ""en"")"),"Knowing his size for everyday use")</f>
        <v>Knowing his size for everyday use</v>
      </c>
    </row>
    <row r="19278">
      <c r="A19278" s="1">
        <v>4.0</v>
      </c>
      <c r="B19278" s="1" t="s">
        <v>18961</v>
      </c>
      <c r="C19278" t="str">
        <f>IFERROR(__xludf.DUMMYFUNCTION("GOOGLETRANSLATE(B19278, ""fr"", ""en"")"),"Very good brush for bottles Cleans the great bibersons, except it's already torn a little after about 1 month of intensive use. It is expected to sell Lots together (in different colors).")</f>
        <v>Very good brush for bottles Cleans the great bibersons, except it's already torn a little after about 1 month of intensive use. It is expected to sell Lots together (in different colors).</v>
      </c>
    </row>
    <row r="19279">
      <c r="A19279" s="1">
        <v>5.0</v>
      </c>
      <c r="B19279" s="1" t="s">
        <v>18962</v>
      </c>
      <c r="C19279" t="str">
        <f>IFERROR(__xludf.DUMMYFUNCTION("GOOGLETRANSLATE(B19279, ""fr"", ""en"")"),"top notch my son, bassist, did not return: the best sound market, effective active reduction, total comfort coupled with relative lightness and compactness of the system ""button"" with simple touch works fine")</f>
        <v>top notch my son, bassist, did not return: the best sound market, effective active reduction, total comfort coupled with relative lightness and compactness of the system "button" with simple touch works fine</v>
      </c>
    </row>
    <row r="19280">
      <c r="A19280" s="1">
        <v>5.0</v>
      </c>
      <c r="B19280" s="1" t="s">
        <v>18963</v>
      </c>
      <c r="C19280" t="str">
        <f>IFERROR(__xludf.DUMMYFUNCTION("GOOGLETRANSLATE(B19280, ""fr"", ""en"")"),"Top My daughter will never separates victim of its success I have 2 blow")</f>
        <v>Top My daughter will never separates victim of its success I have 2 blow</v>
      </c>
    </row>
    <row r="19281">
      <c r="A19281" s="1">
        <v>5.0</v>
      </c>
      <c r="B19281" s="1" t="s">
        <v>18964</v>
      </c>
      <c r="C19281" t="str">
        <f>IFERROR(__xludf.DUMMYFUNCTION("GOOGLETRANSLATE(B19281, ""fr"", ""en"")"),"Perfect for all baby bottles The heating time is rather short which is perfect when baby cry famine. The fact that it adapts to any type of bottle is a real plus because we had to change brand along the way.")</f>
        <v>Perfect for all baby bottles The heating time is rather short which is perfect when baby cry famine. The fact that it adapts to any type of bottle is a real plus because we had to change brand along the way.</v>
      </c>
    </row>
    <row r="19282">
      <c r="A19282" s="1">
        <v>5.0</v>
      </c>
      <c r="B19282" s="1" t="s">
        <v>18965</v>
      </c>
      <c r="C19282" t="str">
        <f>IFERROR(__xludf.DUMMYFUNCTION("GOOGLETRANSLATE(B19282, ""fr"", ""en"")"),"SERIOUS SELLER THANK RAS")</f>
        <v>SERIOUS SELLER THANK RAS</v>
      </c>
    </row>
    <row r="19283">
      <c r="A19283" s="1">
        <v>5.0</v>
      </c>
      <c r="B19283" s="1" t="s">
        <v>18966</v>
      </c>
      <c r="C19283" t="str">
        <f>IFERROR(__xludf.DUMMYFUNCTION("GOOGLETRANSLATE(B19283, ""fr"", ""en"")"),"Buy perfect Christmas for my partner who had lost his (former G-Shock model). He is fully satisfied and never left!")</f>
        <v>Buy perfect Christmas for my partner who had lost his (former G-Shock model). He is fully satisfied and never left!</v>
      </c>
    </row>
    <row r="19284">
      <c r="A19284" s="1">
        <v>5.0</v>
      </c>
      <c r="B19284" s="1" t="s">
        <v>18967</v>
      </c>
      <c r="C19284" t="str">
        <f>IFERROR(__xludf.DUMMYFUNCTION("GOOGLETRANSLATE(B19284, ""fr"", ""en"")"),"Very good material excellent material to work from home. One small problem: the user does not have a single page in French and diagrams are not super clear. But the quality is the RV, it remains only training!")</f>
        <v>Very good material excellent material to work from home. One small problem: the user does not have a single page in French and diagrams are not super clear. But the quality is the RV, it remains only training!</v>
      </c>
    </row>
    <row r="19285">
      <c r="A19285" s="1">
        <v>5.0</v>
      </c>
      <c r="B19285" s="1" t="s">
        <v>18968</v>
      </c>
      <c r="C19285" t="str">
        <f>IFERROR(__xludf.DUMMYFUNCTION("GOOGLETRANSLATE(B19285, ""fr"", ""en"")"),"Super cable for a very interesting price these cables have linked the speakers to more than 20m from the amp. No significant loss")</f>
        <v>Super cable for a very interesting price these cables have linked the speakers to more than 20m from the amp. No significant loss</v>
      </c>
    </row>
    <row r="19286">
      <c r="A19286" s="1">
        <v>5.0</v>
      </c>
      <c r="B19286" s="1" t="s">
        <v>18969</v>
      </c>
      <c r="C19286" t="str">
        <f>IFERROR(__xludf.DUMMYFUNCTION("GOOGLETRANSLATE(B19286, ""fr"", ""en"")"),"Super good quality. very thick. beautiful quality")</f>
        <v>Super good quality. very thick. beautiful quality</v>
      </c>
    </row>
    <row r="19287">
      <c r="A19287" s="1">
        <v>5.0</v>
      </c>
      <c r="B19287" s="1" t="s">
        <v>18970</v>
      </c>
      <c r="C19287" t="str">
        <f>IFERROR(__xludf.DUMMYFUNCTION("GOOGLETRANSLATE(B19287, ""fr"", ""en"")"),"Very comfortable As the picture, no surprises ... There were hairs on it, but it does not matter, once removed, is impeccable. The material is really comfortable. I recommend.")</f>
        <v>Very comfortable As the picture, no surprises ... There were hairs on it, but it does not matter, once removed, is impeccable. The material is really comfortable. I recommend.</v>
      </c>
    </row>
    <row r="19288">
      <c r="A19288" s="1">
        <v>5.0</v>
      </c>
      <c r="B19288" s="1" t="s">
        <v>18971</v>
      </c>
      <c r="C19288" t="str">
        <f>IFERROR(__xludf.DUMMYFUNCTION("GOOGLETRANSLATE(B19288, ""fr"", ""en"")"),"Well I bought it for my son, he's happy he said he is very beautiful beautiful colors and a cute cat is comfortable and light, soft inside, the right size, warm look, I'm happy with my purchase.")</f>
        <v>Well I bought it for my son, he's happy he said he is very beautiful beautiful colors and a cute cat is comfortable and light, soft inside, the right size, warm look, I'm happy with my purchase.</v>
      </c>
    </row>
    <row r="19289">
      <c r="A19289" s="1">
        <v>5.0</v>
      </c>
      <c r="B19289" s="1" t="s">
        <v>18972</v>
      </c>
      <c r="C19289" t="str">
        <f>IFERROR(__xludf.DUMMYFUNCTION("GOOGLETRANSLATE(B19289, ""fr"", ""en"")"),"Everything you expect from a NB Gray on the logo and on the back of the shoe is bright enough and even reflective in the night, which is a nice surprise.")</f>
        <v>Everything you expect from a NB Gray on the logo and on the back of the shoe is bright enough and even reflective in the night, which is a nice surprise.</v>
      </c>
    </row>
    <row r="19290">
      <c r="A19290" s="1">
        <v>5.0</v>
      </c>
      <c r="B19290" s="1" t="s">
        <v>6904</v>
      </c>
      <c r="C19290" t="str">
        <f>IFERROR(__xludf.DUMMYFUNCTION("GOOGLETRANSLATE(B19290, ""fr"", ""en"")"),"Good quality / price ratio Purchased as a 2nd pair for sports, I must say I am pleasantly surprised by the quality / price ratio. Well finished and pretty, the blue color is bright. They are very comfortable every day as to the effort. The cushioning is c"&amp;"orrect especially for a pair that price. perfect!")</f>
        <v>Good quality / price ratio Purchased as a 2nd pair for sports, I must say I am pleasantly surprised by the quality / price ratio. Well finished and pretty, the blue color is bright. They are very comfortable every day as to the effort. The cushioning is correct especially for a pair that price. perfect!</v>
      </c>
    </row>
    <row r="19291">
      <c r="A19291" s="1">
        <v>5.0</v>
      </c>
      <c r="B19291" s="1" t="s">
        <v>18973</v>
      </c>
      <c r="C19291" t="str">
        <f>IFERROR(__xludf.DUMMYFUNCTION("GOOGLETRANSLATE(B19291, ""fr"", ""en"")"),"good very good product for hair mask, mixed with a little olive oil, it makes hair silky and they grow more vite.l'huile castor has many virtues")</f>
        <v>good very good product for hair mask, mixed with a little olive oil, it makes hair silky and they grow more vite.l'huile castor has many virtues</v>
      </c>
    </row>
    <row r="19292">
      <c r="A19292" s="1">
        <v>5.0</v>
      </c>
      <c r="B19292" s="1" t="s">
        <v>18974</v>
      </c>
      <c r="C19292" t="str">
        <f>IFERROR(__xludf.DUMMYFUNCTION("GOOGLETRANSLATE(B19292, ""fr"", ""en"")"),"Ultra washable and convenient This is my favorite brand of paint for children. Ultra washable on furniture, fabrics or hands. pretty colors, texture not too thick nor too thin. Perfect for young children.")</f>
        <v>Ultra washable and convenient This is my favorite brand of paint for children. Ultra washable on furniture, fabrics or hands. pretty colors, texture not too thick nor too thin. Perfect for young children.</v>
      </c>
    </row>
    <row r="19293">
      <c r="A19293" s="1">
        <v>5.0</v>
      </c>
      <c r="B19293" s="1" t="s">
        <v>18975</v>
      </c>
      <c r="C19293" t="str">
        <f>IFERROR(__xludf.DUMMYFUNCTION("GOOGLETRANSLATE(B19293, ""fr"", ""en"")"),"Very good laminated sheets They are rigid enough. Lamination is perfect. These sheets seem clearly superior to those sold in the same coupon as the laminator.")</f>
        <v>Very good laminated sheets They are rigid enough. Lamination is perfect. These sheets seem clearly superior to those sold in the same coupon as the laminator.</v>
      </c>
    </row>
    <row r="19294">
      <c r="A19294" s="1">
        <v>5.0</v>
      </c>
      <c r="B19294" s="1" t="s">
        <v>18976</v>
      </c>
      <c r="C19294" t="str">
        <f>IFERROR(__xludf.DUMMYFUNCTION("GOOGLETRANSLATE(B19294, ""fr"", ""en"")"),"I just love it . Very nice necklace and pendant, I'm not disappointed at all. It fits me perfectly and my husband loves.")</f>
        <v>I just love it . Very nice necklace and pendant, I'm not disappointed at all. It fits me perfectly and my husband loves.</v>
      </c>
    </row>
    <row r="19295">
      <c r="A19295" s="1">
        <v>2.0</v>
      </c>
      <c r="B19295" s="1" t="s">
        <v>18977</v>
      </c>
      <c r="C19295" t="str">
        <f>IFERROR(__xludf.DUMMYFUNCTION("GOOGLETRANSLATE(B19295, ""fr"", ""en"")"),"Disappointing! Product disappointing because silence boiling promised is not convincing at all. Further, a smell of plastic persists in boiled water which is rédibitoire for the quality of tea. Last drawback is the kettle in stainless steel, single wall, "&amp;"gets pretty hot when the water has boiled.")</f>
        <v>Disappointing! Product disappointing because silence boiling promised is not convincing at all. Further, a smell of plastic persists in boiled water which is rédibitoire for the quality of tea. Last drawback is the kettle in stainless steel, single wall, gets pretty hot when the water has boiled.</v>
      </c>
    </row>
    <row r="19296">
      <c r="A19296" s="1">
        <v>1.0</v>
      </c>
      <c r="B19296" s="1" t="s">
        <v>18978</v>
      </c>
      <c r="C19296" t="str">
        <f>IFERROR(__xludf.DUMMYFUNCTION("GOOGLETRANSLATE(B19296, ""fr"", ""en"")"),"poor I buy this model for my factory work qualities she is doing the 3 jrs disdain on top is torn I will try to stick it back but I think the quality is poor for work tools they protect its presence my feet")</f>
        <v>poor I buy this model for my factory work qualities she is doing the 3 jrs disdain on top is torn I will try to stick it back but I think the quality is poor for work tools they protect its presence my feet</v>
      </c>
    </row>
    <row r="19297">
      <c r="A19297" s="1">
        <v>1.0</v>
      </c>
      <c r="B19297" s="1" t="s">
        <v>18979</v>
      </c>
      <c r="C19297" t="str">
        <f>IFERROR(__xludf.DUMMYFUNCTION("GOOGLETRANSLATE(B19297, ""fr"", ""en"")"),"Warning !!! This will do three weeks that I have bought this product after 5 calls over two weeks, I haven still no bill has the purpose of bringing them to professional fees ... I highly recommend this purchase me after a regular user and assiduous of Am"&amp;"azon I urge you to beware.")</f>
        <v>Warning !!! This will do three weeks that I have bought this product after 5 calls over two weeks, I haven still no bill has the purpose of bringing them to professional fees ... I highly recommend this purchase me after a regular user and assiduous of Amazon I urge you to beware.</v>
      </c>
    </row>
    <row r="19298">
      <c r="A19298" s="1">
        <v>3.0</v>
      </c>
      <c r="B19298" s="1" t="s">
        <v>18980</v>
      </c>
      <c r="C19298" t="str">
        <f>IFERROR(__xludf.DUMMYFUNCTION("GOOGLETRANSLATE(B19298, ""fr"", ""en"")"),"Very light I expected a sweat, but it is much lighter and the fabric is thin")</f>
        <v>Very light I expected a sweat, but it is much lighter and the fabric is thin</v>
      </c>
    </row>
    <row r="19299">
      <c r="A19299" s="1">
        <v>3.0</v>
      </c>
      <c r="B19299" s="1" t="s">
        <v>18981</v>
      </c>
      <c r="C19299" t="str">
        <f>IFERROR(__xludf.DUMMYFUNCTION("GOOGLETRANSLATE(B19299, ""fr"", ""en"")"),"Incomplete packages Bottles conform to the description on the other hand there was no brush!")</f>
        <v>Incomplete packages Bottles conform to the description on the other hand there was no brush!</v>
      </c>
    </row>
    <row r="19300">
      <c r="A19300" s="1">
        <v>4.0</v>
      </c>
      <c r="B19300" s="1" t="s">
        <v>18982</v>
      </c>
      <c r="C19300" t="str">
        <f>IFERROR(__xludf.DUMMYFUNCTION("GOOGLETRANSLATE(B19300, ""fr"", ""en"")"),"Good coffee Good coffee made its only negative work tartar that moved frequently")</f>
        <v>Good coffee Good coffee made its only negative work tartar that moved frequently</v>
      </c>
    </row>
    <row r="19301">
      <c r="A19301" s="1">
        <v>4.0</v>
      </c>
      <c r="B19301" s="1" t="s">
        <v>18983</v>
      </c>
      <c r="C19301" t="str">
        <f>IFERROR(__xludf.DUMMYFUNCTION("GOOGLETRANSLATE(B19301, ""fr"", ""en"")"),"Pretty nice little pair basket.legere for walking.")</f>
        <v>Pretty nice little pair basket.legere for walking.</v>
      </c>
    </row>
    <row r="19302">
      <c r="A19302" s="1">
        <v>4.0</v>
      </c>
      <c r="B19302" s="1" t="s">
        <v>18984</v>
      </c>
      <c r="C19302" t="str">
        <f>IFERROR(__xludf.DUMMYFUNCTION("GOOGLETRANSLATE(B19302, ""fr"", ""en"")"),"Washing Ball Fast delivery and problem free. immediate use in the drum of my machine. At the moment I'm quite satisfied.")</f>
        <v>Washing Ball Fast delivery and problem free. immediate use in the drum of my machine. At the moment I'm quite satisfied.</v>
      </c>
    </row>
    <row r="19303">
      <c r="A19303" s="1">
        <v>4.0</v>
      </c>
      <c r="B19303" s="1" t="s">
        <v>18985</v>
      </c>
      <c r="C19303" t="str">
        <f>IFERROR(__xludf.DUMMYFUNCTION("GOOGLETRANSLATE(B19303, ""fr"", ""en"")"),"Interesting and fun makes learning fun way.")</f>
        <v>Interesting and fun makes learning fun way.</v>
      </c>
    </row>
    <row r="19304">
      <c r="A19304" s="1">
        <v>5.0</v>
      </c>
      <c r="B19304" s="1" t="s">
        <v>18986</v>
      </c>
      <c r="C19304" t="str">
        <f>IFERROR(__xludf.DUMMYFUNCTION("GOOGLETRANSLATE(B19304, ""fr"", ""en"")"),"Good compromise value Super bag very comfortable.")</f>
        <v>Good compromise value Super bag very comfortable.</v>
      </c>
    </row>
    <row r="19305">
      <c r="A19305" s="1">
        <v>5.0</v>
      </c>
      <c r="B19305" s="1" t="s">
        <v>18987</v>
      </c>
      <c r="C19305" t="str">
        <f>IFERROR(__xludf.DUMMYFUNCTION("GOOGLETRANSLATE(B19305, ""fr"", ""en"")"),"the hair just fine")</f>
        <v>the hair just fine</v>
      </c>
    </row>
    <row r="19306">
      <c r="A19306" s="1">
        <v>5.0</v>
      </c>
      <c r="B19306" s="1" t="s">
        <v>18988</v>
      </c>
      <c r="C19306" t="str">
        <f>IFERROR(__xludf.DUMMYFUNCTION("GOOGLETRANSLATE(B19306, ""fr"", ""en"")"),"C Perfect I hesitated to buy considering the price, but I do not regret. This breast pump is really powerful. I'm easily 200 ml morning in 10 minutes. Perfect for back to work. In addition he is small (when I see the other models of electric breast pump, "&amp;"I am frightened by their size) and easy to use. Its battery life is great. I used it a week without recharge. Cleaning is simple. The pump is discrete. I can not imagine that shoots electrical milk makes less noise. It comes with all necessary equipment: "&amp;"4 bottles with cork, a pacifier calmed, a portable cooler for 4 bottles and bread ice, battery charger, 2 bottles cal to lay the bottles without the risk of tipping. Caution during sterilization at first use. The limestone water seeps into the small pipe "&amp;"transparent and remains there during drying. C is not very beautiful. What I regret: - price. C is expensive and I understand that everyone can not afford it. Do not try to look for rent in the pharmacy. This breast pump is not for rent, supposedly for hy"&amp;"giene issue. I do not understand because you could buy a kit with hose and nozzle individually. But Medela does not, shame! - Calma nipple is zero. Must buy more bottles. - do not bother with the handsfree kit. There is more in the boxes, but frankly, it "&amp;"is useless! The concept was absurd because instead of keeping the breast pump at the nipple shields, he was now on the back of the bottle heads. And it was complicated to. Better slip nipple shields in the throat supports or, if you insist, buy a special "&amp;"support bra draws milk.")</f>
        <v>C Perfect I hesitated to buy considering the price, but I do not regret. This breast pump is really powerful. I'm easily 200 ml morning in 10 minutes. Perfect for back to work. In addition he is small (when I see the other models of electric breast pump, I am frightened by their size) and easy to use. Its battery life is great. I used it a week without recharge. Cleaning is simple. The pump is discrete. I can not imagine that shoots electrical milk makes less noise. It comes with all necessary equipment: 4 bottles with cork, a pacifier calmed, a portable cooler for 4 bottles and bread ice, battery charger, 2 bottles cal to lay the bottles without the risk of tipping. Caution during sterilization at first use. The limestone water seeps into the small pipe transparent and remains there during drying. C is not very beautiful. What I regret: - price. C is expensive and I understand that everyone can not afford it. Do not try to look for rent in the pharmacy. This breast pump is not for rent, supposedly for hygiene issue. I do not understand because you could buy a kit with hose and nozzle individually. But Medela does not, shame! - Calma nipple is zero. Must buy more bottles. - do not bother with the handsfree kit. There is more in the boxes, but frankly, it is useless! The concept was absurd because instead of keeping the breast pump at the nipple shields, he was now on the back of the bottle heads. And it was complicated to. Better slip nipple shields in the throat supports or, if you insist, buy a special support bra draws milk.</v>
      </c>
    </row>
    <row r="19307">
      <c r="A19307" s="1">
        <v>5.0</v>
      </c>
      <c r="B19307" s="1" t="s">
        <v>18989</v>
      </c>
      <c r="C19307" t="str">
        <f>IFERROR(__xludf.DUMMYFUNCTION("GOOGLETRANSLATE(B19307, ""fr"", ""en"")"),"Pretty etching Super attractive ring adjustable .. steel. Who does not move with pool .. seawater and other ... I recommend this product")</f>
        <v>Pretty etching Super attractive ring adjustable .. steel. Who does not move with pool .. seawater and other ... I recommend this product</v>
      </c>
    </row>
    <row r="19308">
      <c r="A19308" s="1">
        <v>5.0</v>
      </c>
      <c r="B19308" s="1" t="s">
        <v>18990</v>
      </c>
      <c r="C19308" t="str">
        <f>IFERROR(__xludf.DUMMYFUNCTION("GOOGLETRANSLATE(B19308, ""fr"", ""en"")"),"Consistent with the picture! Good shoes, consistent with the picture, no delivery problems.")</f>
        <v>Consistent with the picture! Good shoes, consistent with the picture, no delivery problems.</v>
      </c>
    </row>
    <row r="19309">
      <c r="A19309" s="1">
        <v>5.0</v>
      </c>
      <c r="B19309" s="1" t="s">
        <v>18991</v>
      </c>
      <c r="C19309" t="str">
        <f>IFERROR(__xludf.DUMMYFUNCTION("GOOGLETRANSLATE(B19309, ""fr"", ""en"")"),"suitable to my printer! text, email, photos, everything is ok!")</f>
        <v>suitable to my printer! text, email, photos, everything is ok!</v>
      </c>
    </row>
    <row r="19310">
      <c r="A19310" s="1">
        <v>5.0</v>
      </c>
      <c r="B19310" s="1" t="s">
        <v>18992</v>
      </c>
      <c r="C19310" t="str">
        <f>IFERROR(__xludf.DUMMYFUNCTION("GOOGLETRANSLATE(B19310, ""fr"", ""en"")"),"Great! I am a fan of stamps online and I found that the labels were a little expensive. There, nothing to say, the report quantity / price is more than excellent! When we know the time is lost waiting for the post office for a stamp booklet ....")</f>
        <v>Great! I am a fan of stamps online and I found that the labels were a little expensive. There, nothing to say, the report quantity / price is more than excellent! When we know the time is lost waiting for the post office for a stamp booklet ....</v>
      </c>
    </row>
    <row r="19311">
      <c r="A19311" s="1">
        <v>5.0</v>
      </c>
      <c r="B19311" s="1" t="s">
        <v>18993</v>
      </c>
      <c r="C19311" t="str">
        <f>IFERROR(__xludf.DUMMYFUNCTION("GOOGLETRANSLATE(B19311, ""fr"", ""en"")"),"Super Fine, comfortable and soft, not moving wash")</f>
        <v>Super Fine, comfortable and soft, not moving wash</v>
      </c>
    </row>
    <row r="19312">
      <c r="A19312" s="1">
        <v>5.0</v>
      </c>
      <c r="B19312" s="1" t="s">
        <v>18994</v>
      </c>
      <c r="C19312" t="str">
        <f>IFERROR(__xludf.DUMMYFUNCTION("GOOGLETRANSLATE(B19312, ""fr"", ""en"")"),"Balm original Tiger it seems Conforms to control it serves for any cold effect guaranteed hot seller Super 30 focus pot sometimes there are larger containers")</f>
        <v>Balm original Tiger it seems Conforms to control it serves for any cold effect guaranteed hot seller Super 30 focus pot sometimes there are larger containers</v>
      </c>
    </row>
    <row r="19313">
      <c r="A19313" s="1">
        <v>5.0</v>
      </c>
      <c r="B19313" s="1" t="s">
        <v>18995</v>
      </c>
      <c r="C19313" t="str">
        <f>IFERROR(__xludf.DUMMYFUNCTION("GOOGLETRANSLATE(B19313, ""fr"", ""en"")"),"Magnificent! J have adopted the casio vibration for a very short time and I must say that this one has much m. The black dial breaks the side a little bling golden watches. I find it very elegant! To wear for any occasion! I recommend!")</f>
        <v>Magnificent! J have adopted the casio vibration for a very short time and I must say that this one has much m. The black dial breaks the side a little bling golden watches. I find it very elegant! To wear for any occasion! I recommend!</v>
      </c>
    </row>
    <row r="19314">
      <c r="A19314" s="1">
        <v>5.0</v>
      </c>
      <c r="B19314" s="1" t="s">
        <v>18996</v>
      </c>
      <c r="C19314" t="str">
        <f>IFERROR(__xludf.DUMMYFUNCTION("GOOGLETRANSLATE(B19314, ""fr"", ""en"")"),"Great for kids The children burst to blow pens to draw. While protecting his table when used as brumise everywhere around.")</f>
        <v>Great for kids The children burst to blow pens to draw. While protecting his table when used as brumise everywhere around.</v>
      </c>
    </row>
    <row r="19315">
      <c r="A19315" s="1">
        <v>5.0</v>
      </c>
      <c r="B19315" s="1" t="s">
        <v>18997</v>
      </c>
      <c r="C19315" t="str">
        <f>IFERROR(__xludf.DUMMYFUNCTION("GOOGLETRANSLATE(B19315, ""fr"", ""en"")"),"Very satisfied I am very sastifete")</f>
        <v>Very satisfied I am very sastifete</v>
      </c>
    </row>
    <row r="19316">
      <c r="A19316" s="1">
        <v>5.0</v>
      </c>
      <c r="B19316" s="1" t="s">
        <v>18998</v>
      </c>
      <c r="C19316" t="str">
        <f>IFERROR(__xludf.DUMMYFUNCTION("GOOGLETRANSLATE(B19316, ""fr"", ""en"")"),"Very happy with this purchase Reception fast and product line with my expectations. The size size very well.")</f>
        <v>Very happy with this purchase Reception fast and product line with my expectations. The size size very well.</v>
      </c>
    </row>
    <row r="19317">
      <c r="A19317" s="1">
        <v>5.0</v>
      </c>
      <c r="B19317" s="1" t="s">
        <v>18999</v>
      </c>
      <c r="C19317" t="str">
        <f>IFERROR(__xludf.DUMMYFUNCTION("GOOGLETRANSLATE(B19317, ""fr"", ""en"")"),"solid the table is stable and looks solid mattress is thick it is a bit heavy but we can not all avoir.bon product.")</f>
        <v>solid the table is stable and looks solid mattress is thick it is a bit heavy but we can not all avoir.bon product.</v>
      </c>
    </row>
    <row r="19318">
      <c r="A19318" s="1">
        <v>5.0</v>
      </c>
      <c r="B19318" s="1" t="s">
        <v>19000</v>
      </c>
      <c r="C19318" t="str">
        <f>IFERROR(__xludf.DUMMYFUNCTION("GOOGLETRANSLATE(B19318, ""fr"", ""en"")"),"Very nice and comfortable Beautiful dress sweater. Ultra comfortable, the interior is very very soft fleece. It takes super hot. The color is bright. Neither too long nor too short. Really ideal for winter with tights or spring without sticky, with small "&amp;"sneakers. The pockets are a real plus! Few dresses have pockets! Level size is nickel. I measure 1m60 and I play 32/34 and I am at ease. It will be my ally for cold weather!")</f>
        <v>Very nice and comfortable Beautiful dress sweater. Ultra comfortable, the interior is very very soft fleece. It takes super hot. The color is bright. Neither too long nor too short. Really ideal for winter with tights or spring without sticky, with small sneakers. The pockets are a real plus! Few dresses have pockets! Level size is nickel. I measure 1m60 and I play 32/34 and I am at ease. It will be my ally for cold weather!</v>
      </c>
    </row>
    <row r="19319">
      <c r="A19319" s="1">
        <v>2.0</v>
      </c>
      <c r="B19319" s="1" t="s">
        <v>19001</v>
      </c>
      <c r="C19319" t="str">
        <f>IFERROR(__xludf.DUMMYFUNCTION("GOOGLETRANSLATE(B19319, ""fr"", ""en"")"),"THE true or false sale price missing XLR connection FOR QUALITY REMAINS HAVE")</f>
        <v>THE true or false sale price missing XLR connection FOR QUALITY REMAINS HAVE</v>
      </c>
    </row>
    <row r="19320">
      <c r="A19320" s="1">
        <v>1.0</v>
      </c>
      <c r="B19320" s="1" t="s">
        <v>19002</v>
      </c>
      <c r="C19320" t="str">
        <f>IFERROR(__xludf.DUMMYFUNCTION("GOOGLETRANSLATE(B19320, ""fr"", ""en"")"),"Counterfeiting of poor design, flee !!!! Very disappointed, it is a counterfeit, I request reimbursement because it is illegal, the logo is simply ""stickers"" and label Glued")</f>
        <v>Counterfeiting of poor design, flee !!!! Very disappointed, it is a counterfeit, I request reimbursement because it is illegal, the logo is simply "stickers" and label Glued</v>
      </c>
    </row>
    <row r="19321">
      <c r="A19321" s="1">
        <v>1.0</v>
      </c>
      <c r="B19321" s="1" t="s">
        <v>19003</v>
      </c>
      <c r="C19321" t="str">
        <f>IFERROR(__xludf.DUMMYFUNCTION("GOOGLETRANSLATE(B19321, ""fr"", ""en"")"),"too small we return this product too small")</f>
        <v>too small we return this product too small</v>
      </c>
    </row>
    <row r="19322">
      <c r="A19322" s="1">
        <v>3.0</v>
      </c>
      <c r="B19322" s="1" t="s">
        <v>19004</v>
      </c>
      <c r="C19322" t="str">
        <f>IFERROR(__xludf.DUMMYFUNCTION("GOOGLETRANSLATE(B19322, ""fr"", ""en"")"),"cardboard box amazon Very disappointed context !!! Received in a mini cardboard box delivery to MOi who wanted to offer I am pissed")</f>
        <v>cardboard box amazon Very disappointed context !!! Received in a mini cardboard box delivery to MOi who wanted to offer I am pissed</v>
      </c>
    </row>
    <row r="19323">
      <c r="A19323" s="1">
        <v>4.0</v>
      </c>
      <c r="B19323" s="1" t="s">
        <v>19005</v>
      </c>
      <c r="C19323" t="str">
        <f>IFERROR(__xludf.DUMMYFUNCTION("GOOGLETRANSLATE(B19323, ""fr"", ""en"")"),"Slippers These comfortable slippers fit their description. They are comfortable, warm and well adapted. The only small downside is a slight drop occurring quickly enough at the points of support of the foot.")</f>
        <v>Slippers These comfortable slippers fit their description. They are comfortable, warm and well adapted. The only small downside is a slight drop occurring quickly enough at the points of support of the foot.</v>
      </c>
    </row>
    <row r="19324">
      <c r="A19324" s="1">
        <v>4.0</v>
      </c>
      <c r="B19324" s="1" t="s">
        <v>19006</v>
      </c>
      <c r="C19324" t="str">
        <f>IFERROR(__xludf.DUMMYFUNCTION("GOOGLETRANSLATE(B19324, ""fr"", ""en"")"),"cafetiere 14/10/2018 nothing wrong it works very well I recommend")</f>
        <v>cafetiere 14/10/2018 nothing wrong it works very well I recommend</v>
      </c>
    </row>
    <row r="19325">
      <c r="A19325" s="1">
        <v>4.0</v>
      </c>
      <c r="B19325" s="1" t="s">
        <v>19007</v>
      </c>
      <c r="C19325" t="str">
        <f>IFERROR(__xludf.DUMMYFUNCTION("GOOGLETRANSLATE(B19325, ""fr"", ""en"")"),"Pretty showy sneakers The sneakers are pretty, a little showy, lots of glitter and blue mirror. They are comfortable and finishes are good, they are very pretty in the sun :))")</f>
        <v>Pretty showy sneakers The sneakers are pretty, a little showy, lots of glitter and blue mirror. They are comfortable and finishes are good, they are very pretty in the sun :))</v>
      </c>
    </row>
    <row r="19326">
      <c r="A19326" s="1">
        <v>4.0</v>
      </c>
      <c r="B19326" s="1" t="s">
        <v>19008</v>
      </c>
      <c r="C19326" t="str">
        <f>IFERROR(__xludf.DUMMYFUNCTION("GOOGLETRANSLATE(B19326, ""fr"", ""en"")"),"Simple and effective Perfect for the coffee as breakfast to regulate temperature")</f>
        <v>Simple and effective Perfect for the coffee as breakfast to regulate temperature</v>
      </c>
    </row>
    <row r="19327">
      <c r="A19327" s="1">
        <v>4.0</v>
      </c>
      <c r="B19327" s="1" t="s">
        <v>19009</v>
      </c>
      <c r="C19327" t="str">
        <f>IFERROR(__xludf.DUMMYFUNCTION("GOOGLETRANSLATE(B19327, ""fr"", ""en"")"),"Top for the city My favorite sneakers since last summer: sober, class, sportwear. it changes the old school vans and it's going to any style I think. I am more in my long gun urban style!")</f>
        <v>Top for the city My favorite sneakers since last summer: sober, class, sportwear. it changes the old school vans and it's going to any style I think. I am more in my long gun urban style!</v>
      </c>
    </row>
    <row r="19328">
      <c r="A19328" s="1">
        <v>5.0</v>
      </c>
      <c r="B19328" s="1" t="s">
        <v>19010</v>
      </c>
      <c r="C19328" t="str">
        <f>IFERROR(__xludf.DUMMYFUNCTION("GOOGLETRANSLATE(B19328, ""fr"", ""en"")"),"Article very satisfactory, is a product of my expectations that I bought several years. very comfortable, very resistant, comes as new after cleaning.")</f>
        <v>Article very satisfactory, is a product of my expectations that I bought several years. very comfortable, very resistant, comes as new after cleaning.</v>
      </c>
    </row>
    <row r="19329">
      <c r="A19329" s="1">
        <v>5.0</v>
      </c>
      <c r="B19329" s="1" t="s">
        <v>19011</v>
      </c>
      <c r="C19329" t="str">
        <f>IFERROR(__xludf.DUMMYFUNCTION("GOOGLETRANSLATE(B19329, ""fr"", ""en"")"),"Russell Hobbs coffee I got separated from the previous one of the same brand and that was ten, because I broke the jug and is no longer sold. Very satisfied, I bought a new Russell Hobbs coffee. I'm not disappointed, she is pretty, with the possibility of"&amp;" a large capacity coffee. It is entirely right for me and I hope it will also be ten years ...")</f>
        <v>Russell Hobbs coffee I got separated from the previous one of the same brand and that was ten, because I broke the jug and is no longer sold. Very satisfied, I bought a new Russell Hobbs coffee. I'm not disappointed, she is pretty, with the possibility of a large capacity coffee. It is entirely right for me and I hope it will also be ten years ...</v>
      </c>
    </row>
    <row r="19330">
      <c r="A19330" s="1">
        <v>5.0</v>
      </c>
      <c r="B19330" s="1" t="s">
        <v>19012</v>
      </c>
      <c r="C19330" t="str">
        <f>IFERROR(__xludf.DUMMYFUNCTION("GOOGLETRANSLATE(B19330, ""fr"", ""en"")"),"PERFECT Found supermarket in my area, this is just great. No problem in the delivery and any price correct. To recommend without hesitation !")</f>
        <v>PERFECT Found supermarket in my area, this is just great. No problem in the delivery and any price correct. To recommend without hesitation !</v>
      </c>
    </row>
    <row r="19331">
      <c r="A19331" s="1">
        <v>5.0</v>
      </c>
      <c r="B19331" s="1" t="s">
        <v>19013</v>
      </c>
      <c r="C19331" t="str">
        <f>IFERROR(__xludf.DUMMYFUNCTION("GOOGLETRANSLATE(B19331, ""fr"", ""en"")"),"NICKEL PERFECT THANKS")</f>
        <v>NICKEL PERFECT THANKS</v>
      </c>
    </row>
    <row r="19332">
      <c r="A19332" s="1">
        <v>5.0</v>
      </c>
      <c r="B19332" s="1" t="s">
        <v>19014</v>
      </c>
      <c r="C19332" t="str">
        <f>IFERROR(__xludf.DUMMYFUNCTION("GOOGLETRANSLATE(B19332, ""fr"", ""en"")"),"Very good product Easy to connect phones tablet devices, and with the loader very satisfied I will buy another")</f>
        <v>Very good product Easy to connect phones tablet devices, and with the loader very satisfied I will buy another</v>
      </c>
    </row>
    <row r="19333">
      <c r="A19333" s="1">
        <v>5.0</v>
      </c>
      <c r="B19333" s="1" t="s">
        <v>19015</v>
      </c>
      <c r="C19333" t="str">
        <f>IFERROR(__xludf.DUMMYFUNCTION("GOOGLETRANSLATE(B19333, ""fr"", ""en"")"),"Good Very good but lacks a timer that would have been nice. I recommend all the same")</f>
        <v>Good Very good but lacks a timer that would have been nice. I recommend all the same</v>
      </c>
    </row>
    <row r="19334">
      <c r="A19334" s="1">
        <v>5.0</v>
      </c>
      <c r="B19334" s="1" t="s">
        <v>19016</v>
      </c>
      <c r="C19334" t="str">
        <f>IFERROR(__xludf.DUMMYFUNCTION("GOOGLETRANSLATE(B19334, ""fr"", ""en"")"),"Genial My baby sees great with his bottle and Amazon prices are really super affordable less than 10 € against 20 in drugstore because it is only found in drugstore and desins are cute")</f>
        <v>Genial My baby sees great with his bottle and Amazon prices are really super affordable less than 10 € against 20 in drugstore because it is only found in drugstore and desins are cute</v>
      </c>
    </row>
    <row r="19335">
      <c r="A19335" s="1">
        <v>5.0</v>
      </c>
      <c r="B19335" s="1" t="s">
        <v>19017</v>
      </c>
      <c r="C19335" t="str">
        <f>IFERROR(__xludf.DUMMYFUNCTION("GOOGLETRANSLATE(B19335, ""fr"", ""en"")"),"perfect perfect watch. designed for extreme situations. the bracelet is comfortable to wear. in terms of functionality: alarm, stopwatch and countdown timer. important detail: to the stopwatch and countdown timer, the time is displayed in the upper right."&amp;" thing missing on many watches while this model is the first of a range of g shock! the backlight is very visible at night. a damper on the button adjust (top left) is planed and fact that is quite difficult to use at first. This is a NASA approved by wat"&amp;"ch and NATO. very rare for a watch.")</f>
        <v>perfect perfect watch. designed for extreme situations. the bracelet is comfortable to wear. in terms of functionality: alarm, stopwatch and countdown timer. important detail: to the stopwatch and countdown timer, the time is displayed in the upper right. thing missing on many watches while this model is the first of a range of g shock! the backlight is very visible at night. a damper on the button adjust (top left) is planed and fact that is quite difficult to use at first. This is a NASA approved by watch and NATO. very rare for a watch.</v>
      </c>
    </row>
    <row r="19336">
      <c r="A19336" s="1">
        <v>5.0</v>
      </c>
      <c r="B19336" s="1" t="s">
        <v>19018</v>
      </c>
      <c r="C19336" t="str">
        <f>IFERROR(__xludf.DUMMYFUNCTION("GOOGLETRANSLATE(B19336, ""fr"", ""en"")"),"Ras quality")</f>
        <v>Ras quality</v>
      </c>
    </row>
    <row r="19337">
      <c r="A19337" s="1">
        <v>5.0</v>
      </c>
      <c r="B19337" s="1" t="s">
        <v>19019</v>
      </c>
      <c r="C19337" t="str">
        <f>IFERROR(__xludf.DUMMYFUNCTION("GOOGLETRANSLATE(B19337, ""fr"", ""en"")"),"yellow liquor As for me it is perfect. What more can be said...")</f>
        <v>yellow liquor As for me it is perfect. What more can be said...</v>
      </c>
    </row>
    <row r="19338">
      <c r="A19338" s="1">
        <v>5.0</v>
      </c>
      <c r="B19338" s="1" t="s">
        <v>19020</v>
      </c>
      <c r="C19338" t="str">
        <f>IFERROR(__xludf.DUMMYFUNCTION("GOOGLETRANSLATE(B19338, ""fr"", ""en"")"),"Great I love them I have only used this brand since the arrival From my daughter Besides not easy to clean bottles with rice milk but with that brush was Top")</f>
        <v>Great I love them I have only used this brand since the arrival From my daughter Besides not easy to clean bottles with rice milk but with that brush was Top</v>
      </c>
    </row>
    <row r="19339">
      <c r="A19339" s="1">
        <v>5.0</v>
      </c>
      <c r="B19339" s="1" t="s">
        <v>19021</v>
      </c>
      <c r="C19339" t="str">
        <f>IFERROR(__xludf.DUMMYFUNCTION("GOOGLETRANSLATE(B19339, ""fr"", ""en"")"),"Perfect article of my expectations. It is ideal to protect the gray card.")</f>
        <v>Perfect article of my expectations. It is ideal to protect the gray card.</v>
      </c>
    </row>
    <row r="19340">
      <c r="A19340" s="1">
        <v>5.0</v>
      </c>
      <c r="B19340" s="1" t="s">
        <v>19022</v>
      </c>
      <c r="C19340" t="str">
        <f>IFERROR(__xludf.DUMMYFUNCTION("GOOGLETRANSLATE(B19340, ""fr"", ""en"")"),"10/10, top basketball Superb cougar for common use. My wife adores the comfortable they have a nice finish ...")</f>
        <v>10/10, top basketball Superb cougar for common use. My wife adores the comfortable they have a nice finish ...</v>
      </c>
    </row>
    <row r="19341">
      <c r="A19341" s="1">
        <v>5.0</v>
      </c>
      <c r="B19341" s="1" t="s">
        <v>19023</v>
      </c>
      <c r="C19341" t="str">
        <f>IFERROR(__xludf.DUMMYFUNCTION("GOOGLETRANSLATE(B19341, ""fr"", ""en"")"),"Nickel comfortable Site")</f>
        <v>Nickel comfortable Site</v>
      </c>
    </row>
    <row r="19342">
      <c r="A19342" s="1">
        <v>5.0</v>
      </c>
      <c r="B19342" s="1" t="s">
        <v>19024</v>
      </c>
      <c r="C19342" t="str">
        <f>IFERROR(__xludf.DUMMYFUNCTION("GOOGLETRANSLATE(B19342, ""fr"", ""en"")"),"Super Very nice, very good quality I recommend.")</f>
        <v>Super Very nice, very good quality I recommend.</v>
      </c>
    </row>
    <row r="19343">
      <c r="A19343" s="1">
        <v>2.0</v>
      </c>
      <c r="B19343" s="1" t="s">
        <v>19025</v>
      </c>
      <c r="C19343" t="str">
        <f>IFERROR(__xludf.DUMMYFUNCTION("GOOGLETRANSLATE(B19343, ""fr"", ""en"")"),"smaller than the description misunderstood the description")</f>
        <v>smaller than the description misunderstood the description</v>
      </c>
    </row>
    <row r="19344">
      <c r="A19344" s="1">
        <v>1.0</v>
      </c>
      <c r="B19344" s="1" t="s">
        <v>19026</v>
      </c>
      <c r="C19344" t="str">
        <f>IFERROR(__xludf.DUMMYFUNCTION("GOOGLETRANSLATE(B19344, ""fr"", ""en"")"),"One side of the helmet does not bend !! Two helmets ordered in two different colors and different delivery models, one is a JH812 another LH 811, one bends well the other to a blocked side, one appears to be a newer model the other .. Too bad. The colors "&amp;"(pink and gold) are nice.")</f>
        <v>One side of the helmet does not bend !! Two helmets ordered in two different colors and different delivery models, one is a JH812 another LH 811, one bends well the other to a blocked side, one appears to be a newer model the other .. Too bad. The colors (pink and gold) are nice.</v>
      </c>
    </row>
    <row r="19345">
      <c r="A19345" s="1">
        <v>3.0</v>
      </c>
      <c r="B19345" s="1" t="s">
        <v>19027</v>
      </c>
      <c r="C19345" t="str">
        <f>IFERROR(__xludf.DUMMYFUNCTION("GOOGLETRANSLATE(B19345, ""fr"", ""en"")"),"Beautiful basketball Basketball bought for my daughter very pretty shoes with two pairs of laces a satin and the other against normal by 3 weeks after folding use on the shoe front at the juncture of the toes which is a pity")</f>
        <v>Beautiful basketball Basketball bought for my daughter very pretty shoes with two pairs of laces a satin and the other against normal by 3 weeks after folding use on the shoe front at the juncture of the toes which is a pity</v>
      </c>
    </row>
    <row r="19346">
      <c r="A19346" s="1">
        <v>3.0</v>
      </c>
      <c r="B19346" s="1" t="s">
        <v>19028</v>
      </c>
      <c r="C19346" t="str">
        <f>IFERROR(__xludf.DUMMYFUNCTION("GOOGLETRANSLATE(B19346, ""fr"", ""en"")"),"Although compliant with the photo. Nice shirt but the quality is not perfect. The seams run in the first wash. Pity.")</f>
        <v>Although compliant with the photo. Nice shirt but the quality is not perfect. The seams run in the first wash. Pity.</v>
      </c>
    </row>
    <row r="19347">
      <c r="A19347" s="1">
        <v>4.0</v>
      </c>
      <c r="B19347" s="1" t="s">
        <v>19029</v>
      </c>
      <c r="C19347" t="str">
        <f>IFERROR(__xludf.DUMMYFUNCTION("GOOGLETRANSLATE(B19347, ""fr"", ""en"")"),"Nickel Good shoes, good brand ... resistant")</f>
        <v>Nickel Good shoes, good brand ... resistant</v>
      </c>
    </row>
    <row r="19348">
      <c r="A19348" s="1">
        <v>4.0</v>
      </c>
      <c r="B19348" s="1" t="s">
        <v>19030</v>
      </c>
      <c r="C19348" t="str">
        <f>IFERROR(__xludf.DUMMYFUNCTION("GOOGLETRANSLATE(B19348, ""fr"", ""en"")"),"Absolutely perfect for ergonomics when you have a large office I have absolutely nothing to say. The product complies. However, I have not been vigilant enough on the size of the carpet, which is still pretty big. And on my small office it quickly becomes"&amp;" cumbersome. I think an additional model with 2/3 centimeters shorter would be perfect. In terms of membership, the banks do not grip well (knowing that the surface on which I put the mat is glass).")</f>
        <v>Absolutely perfect for ergonomics when you have a large office I have absolutely nothing to say. The product complies. However, I have not been vigilant enough on the size of the carpet, which is still pretty big. And on my small office it quickly becomes cumbersome. I think an additional model with 2/3 centimeters shorter would be perfect. In terms of membership, the banks do not grip well (knowing that the surface on which I put the mat is glass).</v>
      </c>
    </row>
    <row r="19349">
      <c r="A19349" s="1">
        <v>4.0</v>
      </c>
      <c r="B19349" s="1" t="s">
        <v>19031</v>
      </c>
      <c r="C19349" t="str">
        <f>IFERROR(__xludf.DUMMYFUNCTION("GOOGLETRANSLATE(B19349, ""fr"", ""en"")"),"Almost perfect ! Kettle very design, not very noisy and glass (my wish). Fast heat-up. Small flats (the manufacturer's attention): the kettle switches off only after 2 hours without use, which is really too long. The beeps are too many. And pity it does n"&amp;"ot exist in any volume as even being a family of 5, one fills rarely to its maximum. I recommend this anyway!")</f>
        <v>Almost perfect ! Kettle very design, not very noisy and glass (my wish). Fast heat-up. Small flats (the manufacturer's attention): the kettle switches off only after 2 hours without use, which is really too long. The beeps are too many. And pity it does not exist in any volume as even being a family of 5, one fills rarely to its maximum. I recommend this anyway!</v>
      </c>
    </row>
    <row r="19350">
      <c r="A19350" s="1">
        <v>4.0</v>
      </c>
      <c r="B19350" s="1" t="s">
        <v>19032</v>
      </c>
      <c r="C19350" t="str">
        <f>IFERROR(__xludf.DUMMYFUNCTION("GOOGLETRANSLATE(B19350, ""fr"", ""en"")"),"comfortable but not very strong I put his sneakers nearly every day. They are very comfortable. Unfortunately they are a little fragile, silver decoration on the side at the bend of the foot is damaged.")</f>
        <v>comfortable but not very strong I put his sneakers nearly every day. They are very comfortable. Unfortunately they are a little fragile, silver decoration on the side at the bend of the foot is damaged.</v>
      </c>
    </row>
    <row r="19351">
      <c r="A19351" s="1">
        <v>5.0</v>
      </c>
      <c r="B19351" s="1" t="s">
        <v>19033</v>
      </c>
      <c r="C19351" t="str">
        <f>IFERROR(__xludf.DUMMYFUNCTION("GOOGLETRANSLATE(B19351, ""fr"", ""en"")"),"News perfect balance")</f>
        <v>News perfect balance</v>
      </c>
    </row>
    <row r="19352">
      <c r="A19352" s="1">
        <v>5.0</v>
      </c>
      <c r="B19352" s="1" t="s">
        <v>19034</v>
      </c>
      <c r="C19352" t="str">
        <f>IFERROR(__xludf.DUMMYFUNCTION("GOOGLETRANSLATE(B19352, ""fr"", ""en"")"),"Very good microphones The microphones work perfectly. Ideal for evening entertainment, meetings but also for karaoke. They are solid and easy connections to be made.")</f>
        <v>Very good microphones The microphones work perfectly. Ideal for evening entertainment, meetings but also for karaoke. They are solid and easy connections to be made.</v>
      </c>
    </row>
    <row r="19353">
      <c r="A19353" s="1">
        <v>5.0</v>
      </c>
      <c r="B19353" s="1" t="s">
        <v>19035</v>
      </c>
      <c r="C19353" t="str">
        <f>IFERROR(__xludf.DUMMYFUNCTION("GOOGLETRANSLATE(B19353, ""fr"", ""en"")"),"This is consistent what I needed")</f>
        <v>This is consistent what I needed</v>
      </c>
    </row>
    <row r="19354">
      <c r="A19354" s="1">
        <v>5.0</v>
      </c>
      <c r="B19354" s="1" t="s">
        <v>19036</v>
      </c>
      <c r="C19354" t="str">
        <f>IFERROR(__xludf.DUMMYFUNCTION("GOOGLETRANSLATE(B19354, ""fr"", ""en"")"),"Diesel Watch My boyfriend is super happy with his gift, great shows, very stylish, color is perfect, as he likes. Delivery was fast ... Thank you ...")</f>
        <v>Diesel Watch My boyfriend is super happy with his gift, great shows, very stylish, color is perfect, as he likes. Delivery was fast ... Thank you ...</v>
      </c>
    </row>
    <row r="19355">
      <c r="A19355" s="1">
        <v>5.0</v>
      </c>
      <c r="B19355" s="1" t="s">
        <v>19037</v>
      </c>
      <c r="C19355" t="str">
        <f>IFERROR(__xludf.DUMMYFUNCTION("GOOGLETRANSLATE(B19355, ""fr"", ""en"")"),"Comfortable socks are of good quality and comfortable. The size is perfect. I took sizes 35-40 and I make the Top 39!")</f>
        <v>Comfortable socks are of good quality and comfortable. The size is perfect. I took sizes 35-40 and I make the Top 39!</v>
      </c>
    </row>
    <row r="19356">
      <c r="A19356" s="1">
        <v>5.0</v>
      </c>
      <c r="B19356" s="1" t="s">
        <v>19038</v>
      </c>
      <c r="C19356" t="str">
        <f>IFERROR(__xludf.DUMMYFUNCTION("GOOGLETRANSLATE(B19356, ""fr"", ""en"")"),"Together ladybird Very satisfied all. I recommend")</f>
        <v>Together ladybird Very satisfied all. I recommend</v>
      </c>
    </row>
    <row r="19357">
      <c r="A19357" s="1">
        <v>5.0</v>
      </c>
      <c r="B19357" s="1" t="s">
        <v>19039</v>
      </c>
      <c r="C19357" t="str">
        <f>IFERROR(__xludf.DUMMYFUNCTION("GOOGLETRANSLATE(B19357, ""fr"", ""en"")"),"Super drainer really perfect, very easy to install and very convenient.")</f>
        <v>Super drainer really perfect, very easy to install and very convenient.</v>
      </c>
    </row>
    <row r="19358">
      <c r="A19358" s="1">
        <v>5.0</v>
      </c>
      <c r="B19358" s="1" t="s">
        <v>19040</v>
      </c>
      <c r="C19358" t="str">
        <f>IFERROR(__xludf.DUMMYFUNCTION("GOOGLETRANSLATE(B19358, ""fr"", ""en"")"),"Very good to use This headphone is cheap, but the sound quality is very good and the quality is very good.")</f>
        <v>Very good to use This headphone is cheap, but the sound quality is very good and the quality is very good.</v>
      </c>
    </row>
    <row r="19359">
      <c r="A19359" s="1">
        <v>5.0</v>
      </c>
      <c r="B19359" s="1" t="s">
        <v>19041</v>
      </c>
      <c r="C19359" t="str">
        <f>IFERROR(__xludf.DUMMYFUNCTION("GOOGLETRANSLATE(B19359, ""fr"", ""en"")"),"Prettier in person! I found the bottle really beautiful, much more than in the photograph. The fact that it is glass gives it a beautiful look is chic enough for baby :) Dodie has long been my favorite brand in the work. The teats are always accepted. Lar"&amp;"ge capacity that keeps the bottle to evolve meals.")</f>
        <v>Prettier in person! I found the bottle really beautiful, much more than in the photograph. The fact that it is glass gives it a beautiful look is chic enough for baby :) Dodie has long been my favorite brand in the work. The teats are always accepted. Large capacity that keeps the bottle to evolve meals.</v>
      </c>
    </row>
    <row r="19360">
      <c r="A19360" s="1">
        <v>5.0</v>
      </c>
      <c r="B19360" s="1" t="s">
        <v>19042</v>
      </c>
      <c r="C19360" t="str">
        <f>IFERROR(__xludf.DUMMYFUNCTION("GOOGLETRANSLATE(B19360, ""fr"", ""en"")"),"EXCELLENT VERY WELL RECEIVED BEFORE THE DATE PROVIDED")</f>
        <v>EXCELLENT VERY WELL RECEIVED BEFORE THE DATE PROVIDED</v>
      </c>
    </row>
    <row r="19361">
      <c r="A19361" s="1">
        <v>5.0</v>
      </c>
      <c r="B19361" s="1" t="s">
        <v>19043</v>
      </c>
      <c r="C19361" t="str">
        <f>IFERROR(__xludf.DUMMYFUNCTION("GOOGLETRANSLATE(B19361, ""fr"", ""en"")"),"I love it Bought 19/10/16 was € 2.4 part, I do not expect such good quality. The cleanup is facilitated by a crank, even my spouse more reluctant to tackle it. Cleaning is perfect, whether for round bottles (type Advent) or angles (type dodie). Photo the "&amp;"set after 3 months of use: the brush is nickel, the brush is a nipple as she was tired. I highly recommend.")</f>
        <v>I love it Bought 19/10/16 was € 2.4 part, I do not expect such good quality. The cleanup is facilitated by a crank, even my spouse more reluctant to tackle it. Cleaning is perfect, whether for round bottles (type Advent) or angles (type dodie). Photo the set after 3 months of use: the brush is nickel, the brush is a nipple as she was tired. I highly recommend.</v>
      </c>
    </row>
    <row r="19362">
      <c r="A19362" s="1">
        <v>5.0</v>
      </c>
      <c r="B19362" s="1" t="s">
        <v>19044</v>
      </c>
      <c r="C19362" t="str">
        <f>IFERROR(__xludf.DUMMYFUNCTION("GOOGLETRANSLATE(B19362, ""fr"", ""en"")"),"The sound is not bad quality of his excellent, robustness. The price / quality ratio is exceptional, there is a good balance between bass, treble or midrange. In addition there is still a small pocket in which you can put on headphones, it's perfect!")</f>
        <v>The sound is not bad quality of his excellent, robustness. The price / quality ratio is exceptional, there is a good balance between bass, treble or midrange. In addition there is still a small pocket in which you can put on headphones, it's perfect!</v>
      </c>
    </row>
    <row r="19363">
      <c r="A19363" s="1">
        <v>5.0</v>
      </c>
      <c r="B19363" s="1" t="s">
        <v>1547</v>
      </c>
      <c r="C19363" t="str">
        <f>IFERROR(__xludf.DUMMYFUNCTION("GOOGLETRANSLATE(B19363, ""fr"", ""en"")"),"Ras Ras")</f>
        <v>Ras Ras</v>
      </c>
    </row>
    <row r="19364">
      <c r="A19364" s="1">
        <v>5.0</v>
      </c>
      <c r="B19364" s="1" t="s">
        <v>19045</v>
      </c>
      <c r="C19364" t="str">
        <f>IFERROR(__xludf.DUMMYFUNCTION("GOOGLETRANSLATE(B19364, ""fr"", ""en"")"),"Recommended Fast Shipping container good quality")</f>
        <v>Recommended Fast Shipping container good quality</v>
      </c>
    </row>
    <row r="19365">
      <c r="A19365" s="1">
        <v>5.0</v>
      </c>
      <c r="B19365" s="1" t="s">
        <v>19046</v>
      </c>
      <c r="C19365" t="str">
        <f>IFERROR(__xludf.DUMMYFUNCTION("GOOGLETRANSLATE(B19365, ""fr"", ""en"")"),"addidas nice shirt, but size a little big for a million on the sleeves")</f>
        <v>addidas nice shirt, but size a little big for a million on the sleeves</v>
      </c>
    </row>
    <row r="19366">
      <c r="A19366" s="1">
        <v>2.0</v>
      </c>
      <c r="B19366" s="1" t="s">
        <v>19047</v>
      </c>
      <c r="C19366" t="str">
        <f>IFERROR(__xludf.DUMMYFUNCTION("GOOGLETRANSLATE(B19366, ""fr"", ""en"")"),"Not terrible I think the stickers are not very good. Too small and too close together they tend to the damaged in the retirants. The form of evil cartoon stickers for some. Article cheap but delivery € 20 !!")</f>
        <v>Not terrible I think the stickers are not very good. Too small and too close together they tend to the damaged in the retirants. The form of evil cartoon stickers for some. Article cheap but delivery € 20 !!</v>
      </c>
    </row>
    <row r="19367">
      <c r="A19367" s="1">
        <v>1.0</v>
      </c>
      <c r="B19367" s="1" t="s">
        <v>19048</v>
      </c>
      <c r="C19367" t="str">
        <f>IFERROR(__xludf.DUMMYFUNCTION("GOOGLETRANSLATE(B19367, ""fr"", ""en"")"),"Shirt size cloth corespond not bad")</f>
        <v>Shirt size cloth corespond not bad</v>
      </c>
    </row>
    <row r="19368">
      <c r="A19368" s="1">
        <v>1.0</v>
      </c>
      <c r="B19368" s="1" t="s">
        <v>19049</v>
      </c>
      <c r="C19368" t="str">
        <f>IFERROR(__xludf.DUMMYFUNCTION("GOOGLETRANSLATE(B19368, ""fr"", ""en"")"),"The inmettable collar necklace nylon thread remains all twisted. Nothing to do to straighten it. Too bad because the stone is rather pretty. Manufacture goodbye. No I do not recommend this purchase")</f>
        <v>The inmettable collar necklace nylon thread remains all twisted. Nothing to do to straighten it. Too bad because the stone is rather pretty. Manufacture goodbye. No I do not recommend this purchase</v>
      </c>
    </row>
    <row r="19369">
      <c r="A19369" s="1">
        <v>3.0</v>
      </c>
      <c r="B19369" s="1" t="s">
        <v>19050</v>
      </c>
      <c r="C19369" t="str">
        <f>IFERROR(__xludf.DUMMYFUNCTION("GOOGLETRANSLATE(B19369, ""fr"", ""en"")"),"Three Stars received great as expected nothing to say thank you;}")</f>
        <v>Three Stars received great as expected nothing to say thank you;}</v>
      </c>
    </row>
    <row r="19370">
      <c r="A19370" s="1">
        <v>3.0</v>
      </c>
      <c r="B19370" s="1" t="s">
        <v>19051</v>
      </c>
      <c r="C19370" t="str">
        <f>IFERROR(__xludf.DUMMYFUNCTION("GOOGLETRANSLATE(B19370, ""fr"", ""en"")"),"correct product correct product")</f>
        <v>correct product correct product</v>
      </c>
    </row>
    <row r="19371">
      <c r="A19371" s="1">
        <v>4.0</v>
      </c>
      <c r="B19371" s="1" t="s">
        <v>19052</v>
      </c>
      <c r="C19371" t="str">
        <f>IFERROR(__xludf.DUMMYFUNCTION("GOOGLETRANSLATE(B19371, ""fr"", ""en"")"),"Comfortable but small size. The quality of this shoe is excellent. The foot is warm, we did not transpire, and is light enough not to become binding to wear all day. It will take several days to do your feet, though be sure to take a size above, this foot"&amp;"wear retailer small enough. Beyond measure, I recommend to the harsh winter.")</f>
        <v>Comfortable but small size. The quality of this shoe is excellent. The foot is warm, we did not transpire, and is light enough not to become binding to wear all day. It will take several days to do your feet, though be sure to take a size above, this footwear retailer small enough. Beyond measure, I recommend to the harsh winter.</v>
      </c>
    </row>
    <row r="19372">
      <c r="A19372" s="1">
        <v>4.0</v>
      </c>
      <c r="B19372" s="1" t="s">
        <v>19053</v>
      </c>
      <c r="C19372" t="str">
        <f>IFERROR(__xludf.DUMMYFUNCTION("GOOGLETRANSLATE(B19372, ""fr"", ""en"")"),"Nikel! For the price that the requested job: block other Charms. Looks good, has not moved in a month of non-stop use. neat package, delivered in a velvet pouch.")</f>
        <v>Nikel! For the price that the requested job: block other Charms. Looks good, has not moved in a month of non-stop use. neat package, delivered in a velvet pouch.</v>
      </c>
    </row>
    <row r="19373">
      <c r="A19373" s="1">
        <v>4.0</v>
      </c>
      <c r="B19373" s="1" t="s">
        <v>19054</v>
      </c>
      <c r="C19373" t="str">
        <f>IFERROR(__xludf.DUMMYFUNCTION("GOOGLETRANSLATE(B19373, ""fr"", ""en"")"),"Good product Super soft and warm! Caution small size. J I took the L to a 38-40 and c is hair cell.")</f>
        <v>Good product Super soft and warm! Caution small size. J I took the L to a 38-40 and c is hair cell.</v>
      </c>
    </row>
    <row r="19374">
      <c r="A19374" s="1">
        <v>4.0</v>
      </c>
      <c r="B19374" s="1" t="s">
        <v>19055</v>
      </c>
      <c r="C19374" t="str">
        <f>IFERROR(__xludf.DUMMYFUNCTION("GOOGLETRANSLATE(B19374, ""fr"", ""en"")"),"great practice for making cards. Easily transported by its small size. Be careful though, I do not know if the product is solid, plastic seems pretty light.")</f>
        <v>great practice for making cards. Easily transported by its small size. Be careful though, I do not know if the product is solid, plastic seems pretty light.</v>
      </c>
    </row>
    <row r="19375">
      <c r="A19375" s="1">
        <v>5.0</v>
      </c>
      <c r="B19375" s="1" t="s">
        <v>19056</v>
      </c>
      <c r="C19375" t="str">
        <f>IFERROR(__xludf.DUMMYFUNCTION("GOOGLETRANSLATE(B19375, ""fr"", ""en"")"),"Nothing wrong official HP product brand recognized easily by the printer.")</f>
        <v>Nothing wrong official HP product brand recognized easily by the printer.</v>
      </c>
    </row>
    <row r="19376">
      <c r="A19376" s="1">
        <v>5.0</v>
      </c>
      <c r="B19376" s="1" t="s">
        <v>19057</v>
      </c>
      <c r="C19376" t="str">
        <f>IFERROR(__xludf.DUMMYFUNCTION("GOOGLETRANSLATE(B19376, ""fr"", ""en"")"),"Unsurprisingly the Advent ... ... on top Super product ... Nothing to report")</f>
        <v>Unsurprisingly the Advent ... ... on top Super product ... Nothing to report</v>
      </c>
    </row>
    <row r="19377">
      <c r="A19377" s="1">
        <v>5.0</v>
      </c>
      <c r="B19377" s="1" t="s">
        <v>19058</v>
      </c>
      <c r="C19377" t="str">
        <f>IFERROR(__xludf.DUMMYFUNCTION("GOOGLETRANSLATE(B19377, ""fr"", ""en"")"),"Super Super socks, very good quality")</f>
        <v>Super Super socks, very good quality</v>
      </c>
    </row>
    <row r="19378">
      <c r="A19378" s="1">
        <v>5.0</v>
      </c>
      <c r="B19378" s="1" t="s">
        <v>19059</v>
      </c>
      <c r="C19378" t="str">
        <f>IFERROR(__xludf.DUMMYFUNCTION("GOOGLETRANSLATE(B19378, ""fr"", ""en"")"),"Perfect all in line with my expectations.")</f>
        <v>Perfect all in line with my expectations.</v>
      </c>
    </row>
    <row r="19379">
      <c r="A19379" s="1">
        <v>5.0</v>
      </c>
      <c r="B19379" s="1" t="s">
        <v>19060</v>
      </c>
      <c r="C19379" t="str">
        <f>IFERROR(__xludf.DUMMYFUNCTION("GOOGLETRANSLATE(B19379, ""fr"", ""en"")"),"Very good material. Very good headphones, the sound is very good but lacks power. The battery could have a better autonomy opinion. I am very happy with this purchase.")</f>
        <v>Very good material. Very good headphones, the sound is very good but lacks power. The battery could have a better autonomy opinion. I am very happy with this purchase.</v>
      </c>
    </row>
    <row r="19380">
      <c r="A19380" s="1">
        <v>5.0</v>
      </c>
      <c r="B19380" s="1" t="s">
        <v>19061</v>
      </c>
      <c r="C19380" t="str">
        <f>IFERROR(__xludf.DUMMYFUNCTION("GOOGLETRANSLATE(B19380, ""fr"", ""en"")"),"Sweat Good value after not thicker but good t")</f>
        <v>Sweat Good value after not thicker but good t</v>
      </c>
    </row>
    <row r="19381">
      <c r="A19381" s="1">
        <v>5.0</v>
      </c>
      <c r="B19381" s="1" t="s">
        <v>19062</v>
      </c>
      <c r="C19381" t="str">
        <f>IFERROR(__xludf.DUMMYFUNCTION("GOOGLETRANSLATE(B19381, ""fr"", ""en"")"),"Nice product Fast shipping. Earrings quite match the description and are of good quality. A success.")</f>
        <v>Nice product Fast shipping. Earrings quite match the description and are of good quality. A success.</v>
      </c>
    </row>
    <row r="19382">
      <c r="A19382" s="1">
        <v>5.0</v>
      </c>
      <c r="B19382" s="1" t="s">
        <v>19063</v>
      </c>
      <c r="C19382" t="str">
        <f>IFERROR(__xludf.DUMMYFUNCTION("GOOGLETRANSLATE(B19382, ""fr"", ""en"")"),"BEAUTIFUL COVER - USED TO INFINITE A nice product, I love the navy blue cover with turquoise stars, it is also good for a boy than for a girl I think I recognize that it takes a little time to but it heats this to work in INDEPENDENTLY! otherwise the mate"&amp;"rnal womb, is the best way to have immediately the milk at the right temperature in the second. the fact remains that the bottle does not need to be very hot so it's fine. easy to use practical rather well, to dismantle and clean EXPLANATION CLEAR EASY TO"&amp;" UNDERSTAND AND FIELD NICE NICE MADE a nice gift to all mums elsewhere. TAKEN PICTURES! HOPING THEY PUBLISH SE! recurring problems with Amazon for the publication of the last .. AND! I have published several comments in recent days IN VAIN! ?? no photos t"&amp;"hat appear ONLY Some pictures are published occasionally see no! hum! (Laughs) I hope my review has been helpful to help you in your choice. If you have a question do not hesitate, if I can answer you.")</f>
        <v>BEAUTIFUL COVER - USED TO INFINITE A nice product, I love the navy blue cover with turquoise stars, it is also good for a boy than for a girl I think I recognize that it takes a little time to but it heats this to work in INDEPENDENTLY! otherwise the maternal womb, is the best way to have immediately the milk at the right temperature in the second. the fact remains that the bottle does not need to be very hot so it's fine. easy to use practical rather well, to dismantle and clean EXPLANATION CLEAR EASY TO UNDERSTAND AND FIELD NICE NICE MADE a nice gift to all mums elsewhere. TAKEN PICTURES! HOPING THEY PUBLISH SE! recurring problems with Amazon for the publication of the last .. AND! I have published several comments in recent days IN VAIN! ?? no photos that appear ONLY Some pictures are published occasionally see no! hum! (Laughs) I hope my review has been helpful to help you in your choice. If you have a question do not hesitate, if I can answer you.</v>
      </c>
    </row>
    <row r="19383">
      <c r="A19383" s="1">
        <v>5.0</v>
      </c>
      <c r="B19383" s="1" t="s">
        <v>19064</v>
      </c>
      <c r="C19383" t="str">
        <f>IFERROR(__xludf.DUMMYFUNCTION("GOOGLETRANSLATE(B19383, ""fr"", ""en"")"),"Perfect for small apartments, Russell Hobbs presents here a very nice coffee compact gray stainless steel. It has a capacity of 625ml, 5 cups. Very fast since 7 minutes your coffee is ready. Big It also has a holding plate warm and will automatically stop"&amp;" after 40 min.")</f>
        <v>Perfect for small apartments, Russell Hobbs presents here a very nice coffee compact gray stainless steel. It has a capacity of 625ml, 5 cups. Very fast since 7 minutes your coffee is ready. Big It also has a holding plate warm and will automatically stop after 40 min.</v>
      </c>
    </row>
    <row r="19384">
      <c r="A19384" s="1">
        <v>5.0</v>
      </c>
      <c r="B19384" s="1" t="s">
        <v>19065</v>
      </c>
      <c r="C19384" t="str">
        <f>IFERROR(__xludf.DUMMYFUNCTION("GOOGLETRANSLATE(B19384, ""fr"", ""en"")"),"Beautiful Bracelet Notice bracelet for beautiful rendering")</f>
        <v>Beautiful Bracelet Notice bracelet for beautiful rendering</v>
      </c>
    </row>
    <row r="19385">
      <c r="A19385" s="1">
        <v>5.0</v>
      </c>
      <c r="B19385" s="1" t="s">
        <v>19066</v>
      </c>
      <c r="C19385" t="str">
        <f>IFERROR(__xludf.DUMMYFUNCTION("GOOGLETRANSLATE(B19385, ""fr"", ""en"")"),"Perfect! Better than I thought")</f>
        <v>Perfect! Better than I thought</v>
      </c>
    </row>
    <row r="19386">
      <c r="A19386" s="1">
        <v>5.0</v>
      </c>
      <c r="B19386" s="1" t="s">
        <v>19067</v>
      </c>
      <c r="C19386" t="str">
        <f>IFERROR(__xludf.DUMMYFUNCTION("GOOGLETRANSLATE(B19386, ""fr"", ""en"")"),"The reference Great for holiday or everyday use. You have to take one size bigger.")</f>
        <v>The reference Great for holiday or everyday use. You have to take one size bigger.</v>
      </c>
    </row>
    <row r="19387">
      <c r="A19387" s="1">
        <v>5.0</v>
      </c>
      <c r="B19387" s="1" t="s">
        <v>19068</v>
      </c>
      <c r="C19387" t="str">
        <f>IFERROR(__xludf.DUMMYFUNCTION("GOOGLETRANSLATE(B19387, ""fr"", ""en"")"),"Sweet stuffed shirt Very nice warm sweater and douillet.doux well as a very nice plush porter.pull good not mouth wash")</f>
        <v>Sweet stuffed shirt Very nice warm sweater and douillet.doux well as a very nice plush porter.pull good not mouth wash</v>
      </c>
    </row>
    <row r="19388">
      <c r="A19388" s="1">
        <v>5.0</v>
      </c>
      <c r="B19388" s="1" t="s">
        <v>19069</v>
      </c>
      <c r="C19388" t="str">
        <f>IFERROR(__xludf.DUMMYFUNCTION("GOOGLETRANSLATE(B19388, ""fr"", ""en"")"),"Shoes Size perfectly")</f>
        <v>Shoes Size perfectly</v>
      </c>
    </row>
    <row r="19389">
      <c r="A19389" s="1">
        <v>5.0</v>
      </c>
      <c r="B19389" s="1" t="s">
        <v>19070</v>
      </c>
      <c r="C19389" t="str">
        <f>IFERROR(__xludf.DUMMYFUNCTION("GOOGLETRANSLATE(B19389, ""fr"", ""en"")"),"Sport Good product")</f>
        <v>Sport Good product</v>
      </c>
    </row>
    <row r="19390">
      <c r="A19390" s="1">
        <v>2.0</v>
      </c>
      <c r="B19390" s="1" t="s">
        <v>19071</v>
      </c>
      <c r="C19390" t="str">
        <f>IFERROR(__xludf.DUMMYFUNCTION("GOOGLETRANSLATE(B19390, ""fr"", ""en"")"),"The schoolboy is very beautiful and the perfect length If schoolboy is beautiful and perfect length salt demo and engraving lambs is not visible c is why I have put 2étoile")</f>
        <v>The schoolboy is very beautiful and the perfect length If schoolboy is beautiful and perfect length salt demo and engraving lambs is not visible c is why I have put 2étoile</v>
      </c>
    </row>
    <row r="19391">
      <c r="A19391" s="1">
        <v>1.0</v>
      </c>
      <c r="B19391" s="1" t="s">
        <v>19072</v>
      </c>
      <c r="C19391" t="str">
        <f>IFERROR(__xludf.DUMMYFUNCTION("GOOGLETRANSLATE(B19391, ""fr"", ""en"")"),"life of less than a year The handle breaks after a month of use, very fragile and useless A wide strip between the solder and the aspiration wasted a lot of length bag")</f>
        <v>life of less than a year The handle breaks after a month of use, very fragile and useless A wide strip between the solder and the aspiration wasted a lot of length bag</v>
      </c>
    </row>
    <row r="19392">
      <c r="A19392" s="1">
        <v>1.0</v>
      </c>
      <c r="B19392" s="1" t="s">
        <v>19073</v>
      </c>
      <c r="C19392" t="str">
        <f>IFERROR(__xludf.DUMMYFUNCTION("GOOGLETRANSLATE(B19392, ""fr"", ""en"")"),"very disappointed soap flakes that are not real soap Marseille !! I often do the laundry house with real chips from Marseille and it looks nothing like that !! laundry does not feel good at all and is very white paste. I know the brand and bar soaps in ol"&amp;"ive oil are very good qualities. I'm doing the laundry with. But these chips, I do not recommend it at all !!! there is frankly a scam ...")</f>
        <v>very disappointed soap flakes that are not real soap Marseille !! I often do the laundry house with real chips from Marseille and it looks nothing like that !! laundry does not feel good at all and is very white paste. I know the brand and bar soaps in olive oil are very good qualities. I'm doing the laundry with. But these chips, I do not recommend it at all !!! there is frankly a scam ...</v>
      </c>
    </row>
    <row r="19393">
      <c r="A19393" s="1">
        <v>3.0</v>
      </c>
      <c r="B19393" s="1" t="s">
        <v>19074</v>
      </c>
      <c r="C19393" t="str">
        <f>IFERROR(__xludf.DUMMYFUNCTION("GOOGLETRANSLATE(B19393, ""fr"", ""en"")"),"Well, except troublesome details It's been a little over 1 year I use the alarm ""Awakening Light - HF3531 / 01"" from Philips. I am very satisfied with the ""light"" function (coated and alarm). By cons there are so many design flaws that I have to share"&amp;" my experience: * The radio is completely polluted by light. There is so much interference in this case you should turn off the light. Very shame to have to choose between light and radio ... * Buttons are beautiful, on the edge, design, integrated in sha"&amp;"pe and color, but when the light is at the bottom, it is ""blind"" and could not be more see, for example to turn off the light ... * the ambient sounds are varied, but so short that I used the most. They looped back on themselves. So we may end up with a"&amp;" sound that loops every 5 seconds. It's going crazy ... Details, but which are important, especially daily use like me.")</f>
        <v>Well, except troublesome details It's been a little over 1 year I use the alarm "Awakening Light - HF3531 / 01" from Philips. I am very satisfied with the "light" function (coated and alarm). By cons there are so many design flaws that I have to share my experience: * The radio is completely polluted by light. There is so much interference in this case you should turn off the light. Very shame to have to choose between light and radio ... * Buttons are beautiful, on the edge, design, integrated in shape and color, but when the light is at the bottom, it is "blind" and could not be more see, for example to turn off the light ... * the ambient sounds are varied, but so short that I used the most. They looped back on themselves. So we may end up with a sound that loops every 5 seconds. It's going crazy ... Details, but which are important, especially daily use like me.</v>
      </c>
    </row>
    <row r="19394">
      <c r="A19394" s="1">
        <v>3.0</v>
      </c>
      <c r="B19394" s="1" t="s">
        <v>19075</v>
      </c>
      <c r="C19394" t="str">
        <f>IFERROR(__xludf.DUMMYFUNCTION("GOOGLETRANSLATE(B19394, ""fr"", ""en"")"),"good good, but avoid hot weather")</f>
        <v>good good, but avoid hot weather</v>
      </c>
    </row>
    <row r="19395">
      <c r="A19395" s="1">
        <v>4.0</v>
      </c>
      <c r="B19395" s="1" t="s">
        <v>19076</v>
      </c>
      <c r="C19395" t="str">
        <f>IFERROR(__xludf.DUMMYFUNCTION("GOOGLETRANSLATE(B19395, ""fr"", ""en"")"),"Correct The cable seems good. Its length is nice because lets not have a cable node cumbersome. I removed one star because the packaging was torn, useless.")</f>
        <v>Correct The cable seems good. Its length is nice because lets not have a cable node cumbersome. I removed one star because the packaging was torn, useless.</v>
      </c>
    </row>
    <row r="19396">
      <c r="A19396" s="1">
        <v>4.0</v>
      </c>
      <c r="B19396" s="1" t="s">
        <v>19077</v>
      </c>
      <c r="C19396" t="str">
        <f>IFERROR(__xludf.DUMMYFUNCTION("GOOGLETRANSLATE(B19396, ""fr"", ""en"")"),"Convenient. Although practice. A small default color with traces of délavements ... but not annoying.")</f>
        <v>Convenient. Although practice. A small default color with traces of délavements ... but not annoying.</v>
      </c>
    </row>
    <row r="19397">
      <c r="A19397" s="1">
        <v>4.0</v>
      </c>
      <c r="B19397" s="1" t="s">
        <v>19078</v>
      </c>
      <c r="C19397" t="str">
        <f>IFERROR(__xludf.DUMMYFUNCTION("GOOGLETRANSLATE(B19397, ""fr"", ""en"")"),"Pretty Nice but the consignment is low-end predict if a box gift")</f>
        <v>Pretty Nice but the consignment is low-end predict if a box gift</v>
      </c>
    </row>
    <row r="19398">
      <c r="A19398" s="1">
        <v>4.0</v>
      </c>
      <c r="B19398" s="1" t="s">
        <v>19079</v>
      </c>
      <c r="C19398" t="str">
        <f>IFERROR(__xludf.DUMMYFUNCTION("GOOGLETRANSLATE(B19398, ""fr"", ""en"")"),"easy to use product I expected that the film is in a strong box, it is actually in a cardboard box on which we must paste the slide. The film is her high quality, usage is easy and convenient and easily reusable, it is the most important.")</f>
        <v>easy to use product I expected that the film is in a strong box, it is actually in a cardboard box on which we must paste the slide. The film is her high quality, usage is easy and convenient and easily reusable, it is the most important.</v>
      </c>
    </row>
    <row r="19399">
      <c r="A19399" s="1">
        <v>5.0</v>
      </c>
      <c r="B19399" s="1" t="s">
        <v>19080</v>
      </c>
      <c r="C19399" t="str">
        <f>IFERROR(__xludf.DUMMYFUNCTION("GOOGLETRANSLATE(B19399, ""fr"", ""en"")"),"Strong Very nice watch")</f>
        <v>Strong Very nice watch</v>
      </c>
    </row>
    <row r="19400">
      <c r="A19400" s="1">
        <v>5.0</v>
      </c>
      <c r="B19400" s="1" t="s">
        <v>19081</v>
      </c>
      <c r="C19400" t="str">
        <f>IFERROR(__xludf.DUMMYFUNCTION("GOOGLETRANSLATE(B19400, ""fr"", ""en"")"),"Simple but effective filter coffee machine quite simple but highly effective for a gentle awakening in the morning. The coffee is of very good quality, especially with quality materials. The features are classic, and reasonable price. A good basic quality"&amp;" with value for money worthwhile")</f>
        <v>Simple but effective filter coffee machine quite simple but highly effective for a gentle awakening in the morning. The coffee is of very good quality, especially with quality materials. The features are classic, and reasonable price. A good basic quality with value for money worthwhile</v>
      </c>
    </row>
    <row r="19401">
      <c r="A19401" s="1">
        <v>5.0</v>
      </c>
      <c r="B19401" s="1" t="s">
        <v>19082</v>
      </c>
      <c r="C19401" t="str">
        <f>IFERROR(__xludf.DUMMYFUNCTION("GOOGLETRANSLATE(B19401, ""fr"", ""en"")"),"Convenient dosing boxes handy unlike another brand I was using. No need to unscrew since there is a cap on each box, transparency is a real plus to check which pod is empty. I recommend")</f>
        <v>Convenient dosing boxes handy unlike another brand I was using. No need to unscrew since there is a cap on each box, transparency is a real plus to check which pod is empty. I recommend</v>
      </c>
    </row>
    <row r="19402">
      <c r="A19402" s="1">
        <v>5.0</v>
      </c>
      <c r="B19402" s="1" t="s">
        <v>19083</v>
      </c>
      <c r="C19402" t="str">
        <f>IFERROR(__xludf.DUMMYFUNCTION("GOOGLETRANSLATE(B19402, ""fr"", ""en"")"),"exeptionnel For the price it very neutral capacitor microphone is perfect for home studio use. The complete kit is great with a very long cable! For the record I chose it after seeing it on YT comparison with the Neumann U87 and listening the result is re"&amp;"ally more than impressive for the rode. The microphone is built in Australia and not in China it is interesting to note for a microphone at this price. Quality metal and finish are at the top. I recommend this mic to anyone who wants the best value for fo"&amp;"r vocals, strings, guitars .... thanks")</f>
        <v>exeptionnel For the price it very neutral capacitor microphone is perfect for home studio use. The complete kit is great with a very long cable! For the record I chose it after seeing it on YT comparison with the Neumann U87 and listening the result is really more than impressive for the rode. The microphone is built in Australia and not in China it is interesting to note for a microphone at this price. Quality metal and finish are at the top. I recommend this mic to anyone who wants the best value for for vocals, strings, guitars .... thanks</v>
      </c>
    </row>
    <row r="19403">
      <c r="A19403" s="1">
        <v>5.0</v>
      </c>
      <c r="B19403" s="1" t="s">
        <v>19084</v>
      </c>
      <c r="C19403" t="str">
        <f>IFERROR(__xludf.DUMMYFUNCTION("GOOGLETRANSLATE(B19403, ""fr"", ""en"")"),"Top but watch big shoes big enough Chausse. A half size up I would say. Otherwise top product")</f>
        <v>Top but watch big shoes big enough Chausse. A half size up I would say. Otherwise top product</v>
      </c>
    </row>
    <row r="19404">
      <c r="A19404" s="1">
        <v>5.0</v>
      </c>
      <c r="B19404" s="1" t="s">
        <v>19085</v>
      </c>
      <c r="C19404" t="str">
        <f>IFERROR(__xludf.DUMMYFUNCTION("GOOGLETRANSLATE(B19404, ""fr"", ""en"")"),"Bigger than I thought but solid.")</f>
        <v>Bigger than I thought but solid.</v>
      </c>
    </row>
    <row r="19405">
      <c r="A19405" s="1">
        <v>5.0</v>
      </c>
      <c r="B19405" s="1" t="s">
        <v>19086</v>
      </c>
      <c r="C19405" t="str">
        <f>IFERROR(__xludf.DUMMYFUNCTION("GOOGLETRANSLATE(B19405, ""fr"", ""en"")"),"Perfect I took a size ""M"" measuring 1m79 and being rather late. It fits me perfectly. I have nothing but compliments. It is neither too thin nor too thick.")</f>
        <v>Perfect I took a size "M" measuring 1m79 and being rather late. It fits me perfectly. I have nothing but compliments. It is neither too thin nor too thick.</v>
      </c>
    </row>
    <row r="19406">
      <c r="A19406" s="1">
        <v>5.0</v>
      </c>
      <c r="B19406" s="1" t="s">
        <v>19087</v>
      </c>
      <c r="C19406" t="str">
        <f>IFERROR(__xludf.DUMMYFUNCTION("GOOGLETRANSLATE(B19406, ""fr"", ""en"")"),"great product great for bruises")</f>
        <v>great product great for bruises</v>
      </c>
    </row>
    <row r="19407">
      <c r="A19407" s="1">
        <v>5.0</v>
      </c>
      <c r="B19407" s="1" t="s">
        <v>19088</v>
      </c>
      <c r="C19407" t="str">
        <f>IFERROR(__xludf.DUMMYFUNCTION("GOOGLETRANSLATE(B19407, ""fr"", ""en"")"),"Good choice Very nice watch, simple, classic and elegant. J enjoys her bracelet that also think of those who have fine wrists.")</f>
        <v>Good choice Very nice watch, simple, classic and elegant. J enjoys her bracelet that also think of those who have fine wrists.</v>
      </c>
    </row>
    <row r="19408">
      <c r="A19408" s="1">
        <v>5.0</v>
      </c>
      <c r="B19408" s="1" t="s">
        <v>19089</v>
      </c>
      <c r="C19408" t="str">
        <f>IFERROR(__xludf.DUMMYFUNCTION("GOOGLETRANSLATE(B19408, ""fr"", ""en"")"),"The perfect gift perfect for a teenager 12 years.")</f>
        <v>The perfect gift perfect for a teenager 12 years.</v>
      </c>
    </row>
    <row r="19409">
      <c r="A19409" s="1">
        <v>5.0</v>
      </c>
      <c r="B19409" s="1" t="s">
        <v>19090</v>
      </c>
      <c r="C19409" t="str">
        <f>IFERROR(__xludf.DUMMYFUNCTION("GOOGLETRANSLATE(B19409, ""fr"", ""en"")"),"SUITABLE AS SUITABLE AS EXPECTED EXPECTED IN CONNECTION WITH THE USE EXPECTED PRODUCT BOUGHT ON THE INTERNET. FUNCTIONAL AND PRODUCT DESIGN RELATED TO INTERNET PHOTO broadcast.")</f>
        <v>SUITABLE AS SUITABLE AS EXPECTED EXPECTED IN CONNECTION WITH THE USE EXPECTED PRODUCT BOUGHT ON THE INTERNET. FUNCTIONAL AND PRODUCT DESIGN RELATED TO INTERNET PHOTO broadcast.</v>
      </c>
    </row>
    <row r="19410">
      <c r="A19410" s="1">
        <v>5.0</v>
      </c>
      <c r="B19410" s="1" t="s">
        <v>19091</v>
      </c>
      <c r="C19410" t="str">
        <f>IFERROR(__xludf.DUMMYFUNCTION("GOOGLETRANSLATE(B19410, ""fr"", ""en"")"),"Rondinaud calmont, slippers ... I'm very happy with this brand shoes, that I take a long time. There is good and they do not make noise, warm and comfortable as well.")</f>
        <v>Rondinaud calmont, slippers ... I'm very happy with this brand shoes, that I take a long time. There is good and they do not make noise, warm and comfortable as well.</v>
      </c>
    </row>
    <row r="19411">
      <c r="A19411" s="1">
        <v>5.0</v>
      </c>
      <c r="B19411" s="1" t="s">
        <v>19092</v>
      </c>
      <c r="C19411" t="str">
        <f>IFERROR(__xludf.DUMMYFUNCTION("GOOGLETRANSLATE(B19411, ""fr"", ""en"")"),"Elegance and strength Race walking and everyday use")</f>
        <v>Elegance and strength Race walking and everyday use</v>
      </c>
    </row>
    <row r="19412">
      <c r="A19412" s="1">
        <v>5.0</v>
      </c>
      <c r="B19412" s="1" t="s">
        <v>19093</v>
      </c>
      <c r="C19412" t="str">
        <f>IFERROR(__xludf.DUMMYFUNCTION("GOOGLETRANSLATE(B19412, ""fr"", ""en"")"),"Super good quality paper, compatible with the HP sproket, does not look bad. Only criticism can be, the price a bit expensive for a small photo.")</f>
        <v>Super good quality paper, compatible with the HP sproket, does not look bad. Only criticism can be, the price a bit expensive for a small photo.</v>
      </c>
    </row>
    <row r="19413">
      <c r="A19413" s="1">
        <v>5.0</v>
      </c>
      <c r="B19413" s="1" t="s">
        <v>19094</v>
      </c>
      <c r="C19413" t="str">
        <f>IFERROR(__xludf.DUMMYFUNCTION("GOOGLETRANSLATE(B19413, ""fr"", ""en"")"),"Nice gift for the parents I offered this foot bath to my mother for her birthday. So she uses it almost all the time now")</f>
        <v>Nice gift for the parents I offered this foot bath to my mother for her birthday. So she uses it almost all the time now</v>
      </c>
    </row>
    <row r="19414">
      <c r="A19414" s="1">
        <v>2.0</v>
      </c>
      <c r="B19414" s="1" t="s">
        <v>19095</v>
      </c>
      <c r="C19414" t="str">
        <f>IFERROR(__xludf.DUMMYFUNCTION("GOOGLETRANSLATE(B19414, ""fr"", ""en"")"),"Convenient but REALLY VERY EXPENSIVE! (Disinfectant and only) two pots assembled = 900 g, or it takes 60 g for a washing machine, so for 26,90 €, disinfected washing 15 - 20 against 8.48 € for washing with tablets (which melt less and can not be used at 2"&amp;"0 ° ...) A version with two pots max offers 1700 g for 44 € = 28/29 -with washing tablets, this is 12,70 € for 30 washing .... Warning : appeared in a hypermarket after my purchase, this is the pot to 5.85, or € 11,70 both pots ... !!! In terms of off bet"&amp;"ter than washing, no disinfectant (liquid, tablet or powder) Sanytol does the fact = ""do not dream"" = must bleach on that ... if the fabric and precautions user allow its use !!!! by against certain colors not ""colorfast"" can be altered ...")</f>
        <v>Convenient but REALLY VERY EXPENSIVE! (Disinfectant and only) two pots assembled = 900 g, or it takes 60 g for a washing machine, so for 26,90 €, disinfected washing 15 - 20 against 8.48 € for washing with tablets (which melt less and can not be used at 20 ° ...) A version with two pots max offers 1700 g for 44 € = 28/29 -with washing tablets, this is 12,70 € for 30 washing .... Warning : appeared in a hypermarket after my purchase, this is the pot to 5.85, or € 11,70 both pots ... !!! In terms of off better than washing, no disinfectant (liquid, tablet or powder) Sanytol does the fact = "do not dream" = must bleach on that ... if the fabric and precautions user allow its use !!!! by against certain colors not "colorfast" can be altered ...</v>
      </c>
    </row>
    <row r="19415">
      <c r="A19415" s="1">
        <v>1.0</v>
      </c>
      <c r="B19415" s="1" t="s">
        <v>19096</v>
      </c>
      <c r="C19415" t="str">
        <f>IFERROR(__xludf.DUMMYFUNCTION("GOOGLETRANSLATE(B19415, ""fr"", ""en"")"),"bead bracelet Hello, I want to clarify that I am not happy with the service carrier that fails to find the address, bracelet default, the next time you make strap check that the pearl is well painted and that it lacks nothing on the bracelet. Very dissati"&amp;"sfied was to offer I'll have to find another gift.")</f>
        <v>bead bracelet Hello, I want to clarify that I am not happy with the service carrier that fails to find the address, bracelet default, the next time you make strap check that the pearl is well painted and that it lacks nothing on the bracelet. Very dissatisfied was to offer I'll have to find another gift.</v>
      </c>
    </row>
    <row r="19416">
      <c r="A19416" s="1">
        <v>1.0</v>
      </c>
      <c r="B19416" s="1" t="s">
        <v>19097</v>
      </c>
      <c r="C19416" t="str">
        <f>IFERROR(__xludf.DUMMYFUNCTION("GOOGLETRANSLATE(B19416, ""fr"", ""en"")"),"No ... I ordered these headphones for my daily hiking trips and I'm clearly disappointed: - the sound is not great, bass almost nonexistent, the low maximum volume (mean too much outside noise), saturation HP high level of short volume not terrible at all"&amp;". - Level comfort nothing to say it does the job of this type of helmet, without more - level use, even if pairing with my iPhone went very smoothly, the buttons are very poor quality and do not react immediately if at all. - in Handsfree, people can not "&amp;"hear you well but not serious anyway you do not hear well either ... - Finally, the helmet cut every song debut, which is irritating. I think moving to another model quickly and especially now escape this brand.")</f>
        <v>No ... I ordered these headphones for my daily hiking trips and I'm clearly disappointed: - the sound is not great, bass almost nonexistent, the low maximum volume (mean too much outside noise), saturation HP high level of short volume not terrible at all. - Level comfort nothing to say it does the job of this type of helmet, without more - level use, even if pairing with my iPhone went very smoothly, the buttons are very poor quality and do not react immediately if at all. - in Handsfree, people can not hear you well but not serious anyway you do not hear well either ... - Finally, the helmet cut every song debut, which is irritating. I think moving to another model quickly and especially now escape this brand.</v>
      </c>
    </row>
    <row r="19417">
      <c r="A19417" s="1">
        <v>3.0</v>
      </c>
      <c r="B19417" s="1" t="s">
        <v>19098</v>
      </c>
      <c r="C19417" t="str">
        <f>IFERROR(__xludf.DUMMYFUNCTION("GOOGLETRANSLATE(B19417, ""fr"", ""en"")"),"Satisfied The product is what I expected. It is a good size for a small kitchen. More complicated if you have a lot of dishes.")</f>
        <v>Satisfied The product is what I expected. It is a good size for a small kitchen. More complicated if you have a lot of dishes.</v>
      </c>
    </row>
    <row r="19418">
      <c r="A19418" s="1">
        <v>4.0</v>
      </c>
      <c r="B19418" s="1" t="s">
        <v>19099</v>
      </c>
      <c r="C19418" t="str">
        <f>IFERROR(__xludf.DUMMYFUNCTION("GOOGLETRANSLATE(B19418, ""fr"", ""en"")"),"very good design and very light not good for fine cleaning because too few powerful but perfect for daily cleaning. very light, very very very good design, it makes a lot of noise and charge max it lasts 25/30 minutes. Very good value for money. delivery "&amp;"as scheduled")</f>
        <v>very good design and very light not good for fine cleaning because too few powerful but perfect for daily cleaning. very light, very very very good design, it makes a lot of noise and charge max it lasts 25/30 minutes. Very good value for money. delivery as scheduled</v>
      </c>
    </row>
    <row r="19419">
      <c r="A19419" s="1">
        <v>4.0</v>
      </c>
      <c r="B19419" s="1" t="s">
        <v>19100</v>
      </c>
      <c r="C19419" t="str">
        <f>IFERROR(__xludf.DUMMYFUNCTION("GOOGLETRANSLATE(B19419, ""fr"", ""en"")"),"Together more than satisfactory. Product received in time. A mail provider explaining the few settings as possible in order to have a sound quality and optimal micro including PS4. Quality of product very correct, even if the use plasrique did some made i"&amp;"n China. The quality of the padding around the ears is comfortable and perfectly cover the ears and isolates us your many outside noises. The sound is crisp, good quality with good stereo records and bass present but not overdone. It seems that the microp"&amp;"hone is clear and has a good record. For the price, this is a great product.")</f>
        <v>Together more than satisfactory. Product received in time. A mail provider explaining the few settings as possible in order to have a sound quality and optimal micro including PS4. Quality of product very correct, even if the use plasrique did some made in China. The quality of the padding around the ears is comfortable and perfectly cover the ears and isolates us your many outside noises. The sound is crisp, good quality with good stereo records and bass present but not overdone. It seems that the microphone is clear and has a good record. For the price, this is a great product.</v>
      </c>
    </row>
    <row r="19420">
      <c r="A19420" s="1">
        <v>4.0</v>
      </c>
      <c r="B19420" s="1" t="s">
        <v>19101</v>
      </c>
      <c r="C19420" t="str">
        <f>IFERROR(__xludf.DUMMYFUNCTION("GOOGLETRANSLATE(B19420, ""fr"", ""en"")"),"Nice and convenient to perfume Bought my car it's nice and with all the different buffers I can change the fragrance every color")</f>
        <v>Nice and convenient to perfume Bought my car it's nice and with all the different buffers I can change the fragrance every color</v>
      </c>
    </row>
    <row r="19421">
      <c r="A19421" s="1">
        <v>4.0</v>
      </c>
      <c r="B19421" s="1" t="s">
        <v>19102</v>
      </c>
      <c r="C19421" t="str">
        <f>IFERROR(__xludf.DUMMYFUNCTION("GOOGLETRANSLATE(B19421, ""fr"", ""en"")"),"EXTENDS slows slows hair growth and weakens but do not expect miracles it takes patience")</f>
        <v>EXTENDS slows slows hair growth and weakens but do not expect miracles it takes patience</v>
      </c>
    </row>
    <row r="19422">
      <c r="A19422" s="1">
        <v>5.0</v>
      </c>
      <c r="B19422" s="1" t="s">
        <v>19103</v>
      </c>
      <c r="C19422" t="str">
        <f>IFERROR(__xludf.DUMMYFUNCTION("GOOGLETRANSLATE(B19422, ""fr"", ""en"")"),"Great product I'm happy and maintenance is really good. At the first use must be provided to resolve any lengths to feel good. There are guards everywhere, like a soft, sweet pad to not feel the back closure. Really very comfortable with a perfect fit. No"&amp;"w I can run safely and without friction.")</f>
        <v>Great product I'm happy and maintenance is really good. At the first use must be provided to resolve any lengths to feel good. There are guards everywhere, like a soft, sweet pad to not feel the back closure. Really very comfortable with a perfect fit. Now I can run safely and without friction.</v>
      </c>
    </row>
    <row r="19423">
      <c r="A19423" s="1">
        <v>5.0</v>
      </c>
      <c r="B19423" s="1" t="s">
        <v>19104</v>
      </c>
      <c r="C19423" t="str">
        <f>IFERROR(__xludf.DUMMYFUNCTION("GOOGLETRANSLATE(B19423, ""fr"", ""en"")"),"Beautiful and comfortable beautiful and comfortable.")</f>
        <v>Beautiful and comfortable beautiful and comfortable.</v>
      </c>
    </row>
    <row r="19424">
      <c r="A19424" s="1">
        <v>5.0</v>
      </c>
      <c r="B19424" s="1" t="s">
        <v>19105</v>
      </c>
      <c r="C19424" t="str">
        <f>IFERROR(__xludf.DUMMYFUNCTION("GOOGLETRANSLATE(B19424, ""fr"", ""en"")"),"Quality appointments Product in accordance with the legend! Ideal for any season or almost! The kind that never disappoints, especially when we find the mark after a while.")</f>
        <v>Quality appointments Product in accordance with the legend! Ideal for any season or almost! The kind that never disappoints, especially when we find the mark after a while.</v>
      </c>
    </row>
    <row r="19425">
      <c r="A19425" s="1">
        <v>5.0</v>
      </c>
      <c r="B19425" s="1" t="s">
        <v>19106</v>
      </c>
      <c r="C19425" t="str">
        <f>IFERROR(__xludf.DUMMYFUNCTION("GOOGLETRANSLATE(B19425, ""fr"", ""en"")"),"sweatshirt This sweatshirt is perfect for me. It is comfortable to wear and warm enough for the current season. AMAZON thank you.")</f>
        <v>sweatshirt This sweatshirt is perfect for me. It is comfortable to wear and warm enough for the current season. AMAZON thank you.</v>
      </c>
    </row>
    <row r="19426">
      <c r="A19426" s="1">
        <v>5.0</v>
      </c>
      <c r="B19426" s="1" t="s">
        <v>19107</v>
      </c>
      <c r="C19426" t="str">
        <f>IFERROR(__xludf.DUMMYFUNCTION("GOOGLETRANSLATE(B19426, ""fr"", ""en"")"),"Very satisfying Pleased with my purchase.")</f>
        <v>Very satisfying Pleased with my purchase.</v>
      </c>
    </row>
    <row r="19427">
      <c r="A19427" s="1">
        <v>5.0</v>
      </c>
      <c r="B19427" s="1" t="s">
        <v>19108</v>
      </c>
      <c r="C19427" t="str">
        <f>IFERROR(__xludf.DUMMYFUNCTION("GOOGLETRANSLATE(B19427, ""fr"", ""en"")"),"Very good quality ! I am amazed ! Shoes of good quality, a good price and I finally found shoes size 47. Note the 4 days delivery time. It's just exceptional! Thank you.")</f>
        <v>Very good quality ! I am amazed ! Shoes of good quality, a good price and I finally found shoes size 47. Note the 4 days delivery time. It's just exceptional! Thank you.</v>
      </c>
    </row>
    <row r="19428">
      <c r="A19428" s="1">
        <v>5.0</v>
      </c>
      <c r="B19428" s="1" t="s">
        <v>19109</v>
      </c>
      <c r="C19428" t="str">
        <f>IFERROR(__xludf.DUMMYFUNCTION("GOOGLETRANSLATE(B19428, ""fr"", ""en"")"),"Although it is expected of the product. Just expensive compared to the number of impressions")</f>
        <v>Although it is expected of the product. Just expensive compared to the number of impressions</v>
      </c>
    </row>
    <row r="19429">
      <c r="A19429" s="1">
        <v>5.0</v>
      </c>
      <c r="B19429" s="1" t="s">
        <v>19110</v>
      </c>
      <c r="C19429" t="str">
        <f>IFERROR(__xludf.DUMMYFUNCTION("GOOGLETRANSLATE(B19429, ""fr"", ""en"")"),"ergonomic Satisfaction")</f>
        <v>ergonomic Satisfaction</v>
      </c>
    </row>
    <row r="19430">
      <c r="A19430" s="1">
        <v>5.0</v>
      </c>
      <c r="B19430" s="1" t="s">
        <v>19111</v>
      </c>
      <c r="C19430" t="str">
        <f>IFERROR(__xludf.DUMMYFUNCTION("GOOGLETRANSLATE(B19430, ""fr"", ""en"")"),"Rad Ras")</f>
        <v>Rad Ras</v>
      </c>
    </row>
    <row r="19431">
      <c r="A19431" s="1">
        <v>5.0</v>
      </c>
      <c r="B19431" s="1" t="s">
        <v>19112</v>
      </c>
      <c r="C19431" t="str">
        <f>IFERROR(__xludf.DUMMYFUNCTION("GOOGLETRANSLATE(B19431, ""fr"", ""en"")"),"Also at the perfect time as shown in the present life, his last Automatic time is very convenient.")</f>
        <v>Also at the perfect time as shown in the present life, his last Automatic time is very convenient.</v>
      </c>
    </row>
    <row r="19432">
      <c r="A19432" s="1">
        <v>5.0</v>
      </c>
      <c r="B19432" s="1" t="s">
        <v>19113</v>
      </c>
      <c r="C19432" t="str">
        <f>IFERROR(__xludf.DUMMYFUNCTION("GOOGLETRANSLATE(B19432, ""fr"", ""en"")"),"design This is a pretty brush that is well suited and well cleaned bottles. No choice for color when sending.")</f>
        <v>design This is a pretty brush that is well suited and well cleaned bottles. No choice for color when sending.</v>
      </c>
    </row>
    <row r="19433">
      <c r="A19433" s="1">
        <v>5.0</v>
      </c>
      <c r="B19433" s="1" t="s">
        <v>19114</v>
      </c>
      <c r="C19433" t="str">
        <f>IFERROR(__xludf.DUMMYFUNCTION("GOOGLETRANSLATE(B19433, ""fr"", ""en"")"),"Very nice model, slightly smaller size, good quality / price ratio Very nice sneakers, colors consistent with the picture. Comfortable and solid. These are real ""&amp; nbsp; New Balance &amp; nbsp;"" delivered in brand box. For the size, this model of NB slightl"&amp;"y smaller size to the 41 I ordered 41 1/2. As a precaution, knowing that one model to another in NB, the sizes are not uniform, I advise you to try a similar model shop to avoid unpleasant surprises. The price is unbeatable, 54,90 € instead of 80 € in sto"&amp;"res, it's a very good deal !!! I bought them for a gift and the person was thrilled. Delivery neat and fast as usual with Prime. I recommend this model without problems !!!")</f>
        <v>Very nice model, slightly smaller size, good quality / price ratio Very nice sneakers, colors consistent with the picture. Comfortable and solid. These are real "&amp; nbsp; New Balance &amp; nbsp;" delivered in brand box. For the size, this model of NB slightly smaller size to the 41 I ordered 41 1/2. As a precaution, knowing that one model to another in NB, the sizes are not uniform, I advise you to try a similar model shop to avoid unpleasant surprises. The price is unbeatable, 54,90 € instead of 80 € in stores, it's a very good deal !!! I bought them for a gift and the person was thrilled. Delivery neat and fast as usual with Prime. I recommend this model without problems !!!</v>
      </c>
    </row>
    <row r="19434">
      <c r="A19434" s="1">
        <v>5.0</v>
      </c>
      <c r="B19434" s="1" t="s">
        <v>19115</v>
      </c>
      <c r="C19434" t="str">
        <f>IFERROR(__xludf.DUMMYFUNCTION("GOOGLETRANSLATE(B19434, ""fr"", ""en"")"),"Well it's perfect cable. But it looks serious seen are weight and flexible sheath making it easily manipulated. In any case it works perfectly. What more ... super fast delivery to boot.")</f>
        <v>Well it's perfect cable. But it looks serious seen are weight and flexible sheath making it easily manipulated. In any case it works perfectly. What more ... super fast delivery to boot.</v>
      </c>
    </row>
    <row r="19435">
      <c r="A19435" s="1">
        <v>5.0</v>
      </c>
      <c r="B19435" s="1" t="s">
        <v>19116</v>
      </c>
      <c r="C19435" t="str">
        <f>IFERROR(__xludf.DUMMYFUNCTION("GOOGLETRANSLATE(B19435, ""fr"", ""en"")"),"Great value! The sound is really good, the load takes a long time, and all recharges very quickly. For the price, it's really not bad. I am totally satisfied with this purchase. I totally recommend these headphones.")</f>
        <v>Great value! The sound is really good, the load takes a long time, and all recharges very quickly. For the price, it's really not bad. I am totally satisfied with this purchase. I totally recommend these headphones.</v>
      </c>
    </row>
    <row r="19436">
      <c r="A19436" s="1">
        <v>5.0</v>
      </c>
      <c r="B19436" s="1" t="s">
        <v>19117</v>
      </c>
      <c r="C19436" t="str">
        <f>IFERROR(__xludf.DUMMYFUNCTION("GOOGLETRANSLATE(B19436, ""fr"", ""en"")"),"Perfect Baby is doing great ... as it is the joy of his parents !!!! We are very pleased to Mam brand")</f>
        <v>Perfect Baby is doing great ... as it is the joy of his parents !!!! We are very pleased to Mam brand</v>
      </c>
    </row>
    <row r="19437">
      <c r="A19437" s="1">
        <v>2.0</v>
      </c>
      <c r="B19437" s="1" t="s">
        <v>19118</v>
      </c>
      <c r="C19437" t="str">
        <f>IFERROR(__xludf.DUMMYFUNCTION("GOOGLETRANSLATE(B19437, ""fr"", ""en"")"),"Jewelry Children Hello, after my purchase, I noticed black marks around the finger of my daughter due to the ring and chain made him the buttons around the cou.C'est damage is as Pretty jewelry.")</f>
        <v>Jewelry Children Hello, after my purchase, I noticed black marks around the finger of my daughter due to the ring and chain made him the buttons around the cou.C'est damage is as Pretty jewelry.</v>
      </c>
    </row>
    <row r="19438">
      <c r="A19438" s="1">
        <v>1.0</v>
      </c>
      <c r="B19438" s="1" t="s">
        <v>19119</v>
      </c>
      <c r="C19438" t="str">
        <f>IFERROR(__xludf.DUMMYFUNCTION("GOOGLETRANSLATE(B19438, ""fr"", ""en"")"),"Disappointed disappointed because these are bracelets with plastic beads and not real stone Quartz Rhodonite or black onyx. Strap a little small also.")</f>
        <v>Disappointed disappointed because these are bracelets with plastic beads and not real stone Quartz Rhodonite or black onyx. Strap a little small also.</v>
      </c>
    </row>
    <row r="19439">
      <c r="A19439" s="1">
        <v>3.0</v>
      </c>
      <c r="B19439" s="1" t="s">
        <v>19120</v>
      </c>
      <c r="C19439" t="str">
        <f>IFERROR(__xludf.DUMMYFUNCTION("GOOGLETRANSLATE(B19439, ""fr"", ""en"")"),"Overall good but not perfect Comfortable in the ears. The sound is good and noise-reducing top. The battery holds up well. The main big flaw that I would give is that you hear me wrong telephone conversation and that's really annoying.")</f>
        <v>Overall good but not perfect Comfortable in the ears. The sound is good and noise-reducing top. The battery holds up well. The main big flaw that I would give is that you hear me wrong telephone conversation and that's really annoying.</v>
      </c>
    </row>
    <row r="19440">
      <c r="A19440" s="1">
        <v>3.0</v>
      </c>
      <c r="B19440" s="1" t="s">
        <v>19121</v>
      </c>
      <c r="C19440" t="str">
        <f>IFERROR(__xludf.DUMMYFUNCTION("GOOGLETRANSLATE(B19440, ""fr"", ""en"")"),"Product in accordance product shipped only within its carton without additional protection. Luckily, nothing broken")</f>
        <v>Product in accordance product shipped only within its carton without additional protection. Luckily, nothing broken</v>
      </c>
    </row>
    <row r="19441">
      <c r="A19441" s="1">
        <v>4.0</v>
      </c>
      <c r="B19441" s="1" t="s">
        <v>19122</v>
      </c>
      <c r="C19441" t="str">
        <f>IFERROR(__xludf.DUMMYFUNCTION("GOOGLETRANSLATE(B19441, ""fr"", ""en"")"),"great product but provide one size bigger As already mentioned, and I kept in mind when my order, this model size a bit small - the 1/2 size would predict the ideal above its size but size 1 above will do. Otherwise very good workmanship")</f>
        <v>great product but provide one size bigger As already mentioned, and I kept in mind when my order, this model size a bit small - the 1/2 size would predict the ideal above its size but size 1 above will do. Otherwise very good workmanship</v>
      </c>
    </row>
    <row r="19442">
      <c r="A19442" s="1">
        <v>4.0</v>
      </c>
      <c r="B19442" s="1" t="s">
        <v>19123</v>
      </c>
      <c r="C19442" t="str">
        <f>IFERROR(__xludf.DUMMYFUNCTION("GOOGLETRANSLATE(B19442, ""fr"", ""en"")"),"perfect ! very solid item meeting my expectations")</f>
        <v>perfect ! very solid item meeting my expectations</v>
      </c>
    </row>
    <row r="19443">
      <c r="A19443" s="1">
        <v>4.0</v>
      </c>
      <c r="B19443" s="1" t="s">
        <v>19124</v>
      </c>
      <c r="C19443" t="str">
        <f>IFERROR(__xludf.DUMMYFUNCTION("GOOGLETRANSLATE(B19443, ""fr"", ""en"")"),"Super Grandma hot water! Faithful to the Kitchen Aid products, I am still pleased with this acquisition in the brand. It heats up very quickly, it gives off very little steam, noise heater is very discreet and is retro and modern at once! Her little beep "&amp;"at the end of heating intrigues me because it does not manifests itself every time to me it seems? Is according to the degree of heat? I have not pursued the matter because the kettle stops anyway! 2 comments: - full, it is a bit heavy. - choice side of t"&amp;"he t ° of heat, we must adapt to personal uses according to his taste for tea for example and do not necessarily rely on t ° data according to the types of tea. It just replaced my old Magimix kettle I used pluri daily since 2002 and that was perfect! But"&amp;" she started to flee .... What a difference in operation between the two! Noise, steam etc .... 15 years apart and more progress!")</f>
        <v>Super Grandma hot water! Faithful to the Kitchen Aid products, I am still pleased with this acquisition in the brand. It heats up very quickly, it gives off very little steam, noise heater is very discreet and is retro and modern at once! Her little beep at the end of heating intrigues me because it does not manifests itself every time to me it seems? Is according to the degree of heat? I have not pursued the matter because the kettle stops anyway! 2 comments: - full, it is a bit heavy. - choice side of the t ° of heat, we must adapt to personal uses according to his taste for tea for example and do not necessarily rely on t ° data according to the types of tea. It just replaced my old Magimix kettle I used pluri daily since 2002 and that was perfect! But she started to flee .... What a difference in operation between the two! Noise, steam etc .... 15 years apart and more progress!</v>
      </c>
    </row>
    <row r="19444">
      <c r="A19444" s="1">
        <v>4.0</v>
      </c>
      <c r="B19444" s="1" t="s">
        <v>19125</v>
      </c>
      <c r="C19444" t="str">
        <f>IFERROR(__xludf.DUMMYFUNCTION("GOOGLETRANSLATE(B19444, ""fr"", ""en"")"),"Reading EC1 I recommend this book for beginning students EC1 year 6/7 years because they feast as the story through images. The operation is very easy class.")</f>
        <v>Reading EC1 I recommend this book for beginning students EC1 year 6/7 years because they feast as the story through images. The operation is very easy class.</v>
      </c>
    </row>
    <row r="19445">
      <c r="A19445" s="1">
        <v>5.0</v>
      </c>
      <c r="B19445" s="1" t="s">
        <v>19126</v>
      </c>
      <c r="C19445" t="str">
        <f>IFERROR(__xludf.DUMMYFUNCTION("GOOGLETRANSLATE(B19445, ""fr"", ""en"")"),"natural stain remover cleans perfectly all stains all tissues")</f>
        <v>natural stain remover cleans perfectly all stains all tissues</v>
      </c>
    </row>
    <row r="19446">
      <c r="A19446" s="1">
        <v>5.0</v>
      </c>
      <c r="B19446" s="1" t="s">
        <v>19127</v>
      </c>
      <c r="C19446" t="str">
        <f>IFERROR(__xludf.DUMMYFUNCTION("GOOGLETRANSLATE(B19446, ""fr"", ""en"")"),"Very good value for money Very nice with glass illuminated by blue LEDs. Heats quickly stops herself. However, quite noisy. The plastic feels strong at the start, the smell disappears after a while. For several months I use it and it does not smell nothin"&amp;"g. The power support is quick and convenient access.")</f>
        <v>Very good value for money Very nice with glass illuminated by blue LEDs. Heats quickly stops herself. However, quite noisy. The plastic feels strong at the start, the smell disappears after a while. For several months I use it and it does not smell nothing. The power support is quick and convenient access.</v>
      </c>
    </row>
    <row r="19447">
      <c r="A19447" s="1">
        <v>5.0</v>
      </c>
      <c r="B19447" s="1" t="s">
        <v>19128</v>
      </c>
      <c r="C19447" t="str">
        <f>IFERROR(__xludf.DUMMYFUNCTION("GOOGLETRANSLATE(B19447, ""fr"", ""en"")"),"Jewelry supplement is ideal for jewelry")</f>
        <v>Jewelry supplement is ideal for jewelry</v>
      </c>
    </row>
    <row r="19448">
      <c r="A19448" s="1">
        <v>5.0</v>
      </c>
      <c r="B19448" s="1" t="s">
        <v>19129</v>
      </c>
      <c r="C19448" t="str">
        <f>IFERROR(__xludf.DUMMYFUNCTION("GOOGLETRANSLATE(B19448, ""fr"", ""en"")"),"Super resistant I was afraid whether the really small because I used for my students and frankly they hold up well as it should, they are scratched and déscratchés for two hours and are still in place !!")</f>
        <v>Super resistant I was afraid whether the really small because I used for my students and frankly they hold up well as it should, they are scratched and déscratchés for two hours and are still in place !!</v>
      </c>
    </row>
    <row r="19449">
      <c r="A19449" s="1">
        <v>5.0</v>
      </c>
      <c r="B19449" s="1" t="s">
        <v>19130</v>
      </c>
      <c r="C19449" t="str">
        <f>IFERROR(__xludf.DUMMYFUNCTION("GOOGLETRANSLATE(B19449, ""fr"", ""en"")"),"Pretty and design! Very easy to use, I bought this diffuser for my spouse who snores a lot right now. We are happy with our purchase. It's nice and quiet. It works all night on the night table.")</f>
        <v>Pretty and design! Very easy to use, I bought this diffuser for my spouse who snores a lot right now. We are happy with our purchase. It's nice and quiet. It works all night on the night table.</v>
      </c>
    </row>
    <row r="19450">
      <c r="A19450" s="1">
        <v>5.0</v>
      </c>
      <c r="B19450" s="1" t="s">
        <v>19131</v>
      </c>
      <c r="C19450" t="str">
        <f>IFERROR(__xludf.DUMMYFUNCTION("GOOGLETRANSLATE(B19450, ""fr"", ""en"")"),"Essential oil diffuser Very good essential oil diffuser. pleasant sound. Various possible functions with Timer 1, 2, 3 and 4. Ability to change the colors of the platform. Explanatory Booklet fine. Buy recommendation. Very good value for money.")</f>
        <v>Essential oil diffuser Very good essential oil diffuser. pleasant sound. Various possible functions with Timer 1, 2, 3 and 4. Ability to change the colors of the platform. Explanatory Booklet fine. Buy recommendation. Very good value for money.</v>
      </c>
    </row>
    <row r="19451">
      <c r="A19451" s="1">
        <v>5.0</v>
      </c>
      <c r="B19451" s="1" t="s">
        <v>19132</v>
      </c>
      <c r="C19451" t="str">
        <f>IFERROR(__xludf.DUMMYFUNCTION("GOOGLETRANSLATE(B19451, ""fr"", ""en"")"),"just fast shipments beautiful neat kettle is beautiful it full with the bread ordered grid with N not hesitate one second are quality products despite the attractive price")</f>
        <v>just fast shipments beautiful neat kettle is beautiful it full with the bread ordered grid with N not hesitate one second are quality products despite the attractive price</v>
      </c>
    </row>
    <row r="19452">
      <c r="A19452" s="1">
        <v>5.0</v>
      </c>
      <c r="B19452" s="1" t="s">
        <v>19133</v>
      </c>
      <c r="C19452" t="str">
        <f>IFERROR(__xludf.DUMMYFUNCTION("GOOGLETRANSLATE(B19452, ""fr"", ""en"")"),"Ras For everyday")</f>
        <v>Ras For everyday</v>
      </c>
    </row>
    <row r="19453">
      <c r="A19453" s="1">
        <v>5.0</v>
      </c>
      <c r="B19453" s="1" t="s">
        <v>19134</v>
      </c>
      <c r="C19453" t="str">
        <f>IFERROR(__xludf.DUMMYFUNCTION("GOOGLETRANSLATE(B19453, ""fr"", ""en"")"),"Great ! real nice shoe to wear that are well stuffed that hold the foot but lets it breathe. Attention at the size it really just me a small size 41 so it'll'm like but even after he shakes and really walk so if you have a strong foot must think I take a "&amp;"size up. I recommend this product if I have to buy two so that I was happy.")</f>
        <v>Great ! real nice shoe to wear that are well stuffed that hold the foot but lets it breathe. Attention at the size it really just me a small size 41 so it'll'm like but even after he shakes and really walk so if you have a strong foot must think I take a size up. I recommend this product if I have to buy two so that I was happy.</v>
      </c>
    </row>
    <row r="19454">
      <c r="A19454" s="1">
        <v>5.0</v>
      </c>
      <c r="B19454" s="1" t="s">
        <v>19135</v>
      </c>
      <c r="C19454" t="str">
        <f>IFERROR(__xludf.DUMMYFUNCTION("GOOGLETRANSLATE(B19454, ""fr"", ""en"")"),"Impeccable I ordered my usual size, perfect nothing to say, those are the ones to platform. Received really quickly, I was very surprised!")</f>
        <v>Impeccable I ordered my usual size, perfect nothing to say, those are the ones to platform. Received really quickly, I was very surprised!</v>
      </c>
    </row>
    <row r="19455">
      <c r="A19455" s="1">
        <v>5.0</v>
      </c>
      <c r="B19455" s="1" t="s">
        <v>19136</v>
      </c>
      <c r="C19455" t="str">
        <f>IFERROR(__xludf.DUMMYFUNCTION("GOOGLETRANSLATE(B19455, ""fr"", ""en"")"),"Value for the price c super")</f>
        <v>Value for the price c super</v>
      </c>
    </row>
    <row r="19456">
      <c r="A19456" s="1">
        <v>5.0</v>
      </c>
      <c r="B19456" s="1" t="s">
        <v>19137</v>
      </c>
      <c r="C19456" t="str">
        <f>IFERROR(__xludf.DUMMYFUNCTION("GOOGLETRANSLATE(B19456, ""fr"", ""en"")"),"great product fastoche of Use")</f>
        <v>great product fastoche of Use</v>
      </c>
    </row>
    <row r="19457">
      <c r="A19457" s="1">
        <v>5.0</v>
      </c>
      <c r="B19457" s="1" t="s">
        <v>19138</v>
      </c>
      <c r="C19457" t="str">
        <f>IFERROR(__xludf.DUMMYFUNCTION("GOOGLETRANSLATE(B19457, ""fr"", ""en"")"),"Very good quality / price ratio This shows connected is really nice and easy to use. It offers many features, you can receive calls and sms directly above and reply directly. One can also access email applications as well as social networking applications"&amp;" directly above it's really convenient. There's even a search engine already installed. The first connection and synchronization with mobile via Bluetooth is done in minutes very quickly and it's very simple to do. If we do not use as shows connected, the"&amp;" function shows several type of display that lets you customize the watch to your liking. I recommend this watch great quality at a very good price!")</f>
        <v>Very good quality / price ratio This shows connected is really nice and easy to use. It offers many features, you can receive calls and sms directly above and reply directly. One can also access email applications as well as social networking applications directly above it's really convenient. There's even a search engine already installed. The first connection and synchronization with mobile via Bluetooth is done in minutes very quickly and it's very simple to do. If we do not use as shows connected, the function shows several type of display that lets you customize the watch to your liking. I recommend this watch great quality at a very good price!</v>
      </c>
    </row>
    <row r="19458">
      <c r="A19458" s="1">
        <v>5.0</v>
      </c>
      <c r="B19458" s="1" t="s">
        <v>19139</v>
      </c>
      <c r="C19458" t="str">
        <f>IFERROR(__xludf.DUMMYFUNCTION("GOOGLETRANSLATE(B19458, ""fr"", ""en"")"),"Perfect for my course Vélotaf My background is 80% nature (Ravel secure way). The headset allows me to not be totally isolated aurally my environment. What a pleasure to ride listening to my favorite podcasts. The Bluetooth range is very good, which was n"&amp;"ot the case with other devices (= &amp; gt; no micro cut). The button to pause or take a call is just perfect. In short the device corresponds to my expectations .... obviously to see if it will take time.")</f>
        <v>Perfect for my course Vélotaf My background is 80% nature (Ravel secure way). The headset allows me to not be totally isolated aurally my environment. What a pleasure to ride listening to my favorite podcasts. The Bluetooth range is very good, which was not the case with other devices (= &amp; gt; no micro cut). The button to pause or take a call is just perfect. In short the device corresponds to my expectations .... obviously to see if it will take time.</v>
      </c>
    </row>
    <row r="19459">
      <c r="A19459" s="1">
        <v>5.0</v>
      </c>
      <c r="B19459" s="1" t="s">
        <v>19140</v>
      </c>
      <c r="C19459" t="str">
        <f>IFERROR(__xludf.DUMMYFUNCTION("GOOGLETRANSLATE(B19459, ""fr"", ""en"")"),"Simple, functional Kettle Beautiful, fast, easy to clean, clear interface, lovely design.")</f>
        <v>Simple, functional Kettle Beautiful, fast, easy to clean, clear interface, lovely design.</v>
      </c>
    </row>
    <row r="19460">
      <c r="A19460" s="1">
        <v>5.0</v>
      </c>
      <c r="B19460" s="1" t="s">
        <v>19141</v>
      </c>
      <c r="C19460" t="str">
        <f>IFERROR(__xludf.DUMMYFUNCTION("GOOGLETRANSLATE(B19460, ""fr"", ""en"")"),"different color on the photo Delivered in salmon pink in the photo is pastel pink, registration is in black on the photo but white on the product. It rained a lot with a friend for her birthday.")</f>
        <v>different color on the photo Delivered in salmon pink in the photo is pastel pink, registration is in black on the photo but white on the product. It rained a lot with a friend for her birthday.</v>
      </c>
    </row>
    <row r="19461">
      <c r="A19461" s="1">
        <v>2.0</v>
      </c>
      <c r="B19461" s="1" t="s">
        <v>19142</v>
      </c>
      <c r="C19461" t="str">
        <f>IFERROR(__xludf.DUMMYFUNCTION("GOOGLETRANSLATE(B19461, ""fr"", ""en"")"),"damaged shoe Hello, I just opened the box and shoes 😒 is damaged (see picture) ...")</f>
        <v>damaged shoe Hello, I just opened the box and shoes 😒 is damaged (see picture) ...</v>
      </c>
    </row>
    <row r="19462">
      <c r="A19462" s="1">
        <v>1.0</v>
      </c>
      <c r="B19462" s="1" t="s">
        <v>19143</v>
      </c>
      <c r="C19462" t="str">
        <f>IFERROR(__xludf.DUMMYFUNCTION("GOOGLETRANSLATE(B19462, ""fr"", ""en"")"),"Very expensive Very expensive for low autonomy. CANON cartridges before had greater autonomy. I do not print pictures but only text. Pity.")</f>
        <v>Very expensive Very expensive for low autonomy. CANON cartridges before had greater autonomy. I do not print pictures but only text. Pity.</v>
      </c>
    </row>
    <row r="19463">
      <c r="A19463" s="1">
        <v>1.0</v>
      </c>
      <c r="B19463" s="1" t="s">
        <v>19144</v>
      </c>
      <c r="C19463" t="str">
        <f>IFERROR(__xludf.DUMMYFUNCTION("GOOGLETRANSLATE(B19463, ""fr"", ""en"")"),"Used to eliminate unnecessary kitchens mites in a small studio, located near the contaminated area for 5:30 ET when I'm cleaning up after there was still that moved everywhere. Besides received with 4 days late.")</f>
        <v>Used to eliminate unnecessary kitchens mites in a small studio, located near the contaminated area for 5:30 ET when I'm cleaning up after there was still that moved everywhere. Besides received with 4 days late.</v>
      </c>
    </row>
    <row r="19464">
      <c r="A19464" s="1">
        <v>3.0</v>
      </c>
      <c r="B19464" s="1" t="s">
        <v>19145</v>
      </c>
      <c r="C19464" t="str">
        <f>IFERROR(__xludf.DUMMYFUNCTION("GOOGLETRANSLATE(B19464, ""fr"", ""en"")"),"comfortable and perfect for jogging drag for a sport, it is better to choose outfits for large size, provide a size below chosen to have a comfortable fit with me")</f>
        <v>comfortable and perfect for jogging drag for a sport, it is better to choose outfits for large size, provide a size below chosen to have a comfortable fit with me</v>
      </c>
    </row>
    <row r="19465">
      <c r="A19465" s="1">
        <v>3.0</v>
      </c>
      <c r="B19465" s="1" t="s">
        <v>19146</v>
      </c>
      <c r="C19465" t="str">
        <f>IFERROR(__xludf.DUMMYFUNCTION("GOOGLETRANSLATE(B19465, ""fr"", ""en"")"),"Although Good tétite, gear selection is easy with little balls that emerge, perfect night! The AR milk for my daughter going very well through! Easy to clean!")</f>
        <v>Although Good tétite, gear selection is easy with little balls that emerge, perfect night! The AR milk for my daughter going very well through! Easy to clean!</v>
      </c>
    </row>
    <row r="19466">
      <c r="A19466" s="1">
        <v>4.0</v>
      </c>
      <c r="B19466" s="1" t="s">
        <v>19147</v>
      </c>
      <c r="C19466" t="str">
        <f>IFERROR(__xludf.DUMMYFUNCTION("GOOGLETRANSLATE(B19466, ""fr"", ""en"")"),"Very Good but ... I buy is ink cartridges for my Epson XP-245 And it works without problems! No errors on the printer it just was detected that it is not the genuine Epson ink cartridges, but just click on continue printing and disappears messages! attent"&amp;"ion any time the black cartridge is full of ink in the bag ... I got full finger ...")</f>
        <v>Very Good but ... I buy is ink cartridges for my Epson XP-245 And it works without problems! No errors on the printer it just was detected that it is not the genuine Epson ink cartridges, but just click on continue printing and disappears messages! attention any time the black cartridge is full of ink in the bag ... I got full finger ...</v>
      </c>
    </row>
    <row r="19467">
      <c r="A19467" s="1">
        <v>4.0</v>
      </c>
      <c r="B19467" s="1" t="s">
        <v>19148</v>
      </c>
      <c r="C19467" t="str">
        <f>IFERROR(__xludf.DUMMYFUNCTION("GOOGLETRANSLATE(B19467, ""fr"", ""en"")"),"Available anniversary gift for Birthday With a 5 year old girl. We were looking for a creative activity. She was thrilled.")</f>
        <v>Available anniversary gift for Birthday With a 5 year old girl. We were looking for a creative activity. She was thrilled.</v>
      </c>
    </row>
    <row r="19468">
      <c r="A19468" s="1">
        <v>4.0</v>
      </c>
      <c r="B19468" s="1" t="s">
        <v>19149</v>
      </c>
      <c r="C19468" t="str">
        <f>IFERROR(__xludf.DUMMYFUNCTION("GOOGLETRANSLATE(B19468, ""fr"", ""en"")"),"OK but. Works as expected but my headphones are very comfortable")</f>
        <v>OK but. Works as expected but my headphones are very comfortable</v>
      </c>
    </row>
    <row r="19469">
      <c r="A19469" s="1">
        <v>4.0</v>
      </c>
      <c r="B19469" s="1" t="s">
        <v>19150</v>
      </c>
      <c r="C19469" t="str">
        <f>IFERROR(__xludf.DUMMYFUNCTION("GOOGLETRANSLATE(B19469, ""fr"", ""en"")"),"Good value nice socks, comfortable and warm")</f>
        <v>Good value nice socks, comfortable and warm</v>
      </c>
    </row>
    <row r="19470">
      <c r="A19470" s="1">
        <v>4.0</v>
      </c>
      <c r="B19470" s="1" t="s">
        <v>19151</v>
      </c>
      <c r="C19470" t="str">
        <f>IFERROR(__xludf.DUMMYFUNCTION("GOOGLETRANSLATE(B19470, ""fr"", ""en"")"),"Well Well, nothing to say ... but it must be constant for this to work I thought that being in power will be easier ... but no ...")</f>
        <v>Well Well, nothing to say ... but it must be constant for this to work I thought that being in power will be easier ... but no ...</v>
      </c>
    </row>
    <row r="19471">
      <c r="A19471" s="1">
        <v>5.0</v>
      </c>
      <c r="B19471" s="1" t="s">
        <v>19152</v>
      </c>
      <c r="C19471" t="str">
        <f>IFERROR(__xludf.DUMMYFUNCTION("GOOGLETRANSLATE(B19471, ""fr"", ""en"")"),"Very good jacket Super jacket, size very well and good, knows how to keep warm morning fresh and stay fresh for after Noon")</f>
        <v>Very good jacket Super jacket, size very well and good, knows how to keep warm morning fresh and stay fresh for after Noon</v>
      </c>
    </row>
    <row r="19472">
      <c r="A19472" s="1">
        <v>5.0</v>
      </c>
      <c r="B19472" s="1" t="s">
        <v>19153</v>
      </c>
      <c r="C19472" t="str">
        <f>IFERROR(__xludf.DUMMYFUNCTION("GOOGLETRANSLATE(B19472, ""fr"", ""en"")"),"Good quality / price Assistive devices. Good quality / price ratio, highly recommended !!!!!!")</f>
        <v>Good quality / price Assistive devices. Good quality / price ratio, highly recommended !!!!!!</v>
      </c>
    </row>
    <row r="19473">
      <c r="A19473" s="1">
        <v>5.0</v>
      </c>
      <c r="B19473" s="1" t="s">
        <v>19154</v>
      </c>
      <c r="C19473" t="str">
        <f>IFERROR(__xludf.DUMMYFUNCTION("GOOGLETRANSLATE(B19473, ""fr"", ""en"")"),"Too pretty Swarovski type bracelet This bracelet is too pretty and classy. I had a crush on an almost identical model at Swarovski but much more so when I saw this one, I gave in to temptation. It is affected final in an elegant outfit but even pr every d"&amp;"ay it is beautiful and dresses wrist. J have the wrist rather late but the size and perfect, it was my only fear. I have had nothing but compliments on her beauty and originality. J thoroughly enjoyed the clip which also is secure and solid.")</f>
        <v>Too pretty Swarovski type bracelet This bracelet is too pretty and classy. I had a crush on an almost identical model at Swarovski but much more so when I saw this one, I gave in to temptation. It is affected final in an elegant outfit but even pr every day it is beautiful and dresses wrist. J have the wrist rather late but the size and perfect, it was my only fear. I have had nothing but compliments on her beauty and originality. J thoroughly enjoyed the clip which also is secure and solid.</v>
      </c>
    </row>
    <row r="19474">
      <c r="A19474" s="1">
        <v>5.0</v>
      </c>
      <c r="B19474" s="1" t="s">
        <v>19155</v>
      </c>
      <c r="C19474" t="str">
        <f>IFERROR(__xludf.DUMMYFUNCTION("GOOGLETRANSLATE(B19474, ""fr"", ""en"")"),"quality at RD Hello, outstanding audio quality for listening to music, phone, dance! Fi throughout the apartment even with the phone in another room. I recommend, good quality!")</f>
        <v>quality at RD Hello, outstanding audio quality for listening to music, phone, dance! Fi throughout the apartment even with the phone in another room. I recommend, good quality!</v>
      </c>
    </row>
    <row r="19475">
      <c r="A19475" s="1">
        <v>5.0</v>
      </c>
      <c r="B19475" s="1" t="s">
        <v>19156</v>
      </c>
      <c r="C19475" t="str">
        <f>IFERROR(__xludf.DUMMYFUNCTION("GOOGLETRANSLATE(B19475, ""fr"", ""en"")"),"great size, nothing to say. :)")</f>
        <v>great size, nothing to say. :)</v>
      </c>
    </row>
    <row r="19476">
      <c r="A19476" s="1">
        <v>5.0</v>
      </c>
      <c r="B19476" s="1" t="s">
        <v>19157</v>
      </c>
      <c r="C19476" t="str">
        <f>IFERROR(__xludf.DUMMYFUNCTION("GOOGLETRANSLATE(B19476, ""fr"", ""en"")"),"Comfortable nothing")</f>
        <v>Comfortable nothing</v>
      </c>
    </row>
    <row r="19477">
      <c r="A19477" s="1">
        <v>5.0</v>
      </c>
      <c r="B19477" s="1" t="s">
        <v>19158</v>
      </c>
      <c r="C19477" t="str">
        <f>IFERROR(__xludf.DUMMYFUNCTION("GOOGLETRANSLATE(B19477, ""fr"", ""en"")"),"Beautiful and super fast free delivery bag. Perfect. ultra fast delivery.")</f>
        <v>Beautiful and super fast free delivery bag. Perfect. ultra fast delivery.</v>
      </c>
    </row>
    <row r="19478">
      <c r="A19478" s="1">
        <v>5.0</v>
      </c>
      <c r="B19478" s="1" t="s">
        <v>19159</v>
      </c>
      <c r="C19478" t="str">
        <f>IFERROR(__xludf.DUMMYFUNCTION("GOOGLETRANSLATE(B19478, ""fr"", ""en"")"),"Perfect and very fast Wrong size, but at a premium for the next day, the news was the letter in my box. Really very satisfied!")</f>
        <v>Perfect and very fast Wrong size, but at a premium for the next day, the news was the letter in my box. Really very satisfied!</v>
      </c>
    </row>
    <row r="19479">
      <c r="A19479" s="1">
        <v>5.0</v>
      </c>
      <c r="B19479" s="1" t="s">
        <v>19160</v>
      </c>
      <c r="C19479" t="str">
        <f>IFERROR(__xludf.DUMMYFUNCTION("GOOGLETRANSLATE(B19479, ""fr"", ""en"")"),"Super good quality product, delivered on time, corresponds to what I was looking for my son. 3 different lighting, touch control has good brightness. Set of color touchscreen control too.")</f>
        <v>Super good quality product, delivered on time, corresponds to what I was looking for my son. 3 different lighting, touch control has good brightness. Set of color touchscreen control too.</v>
      </c>
    </row>
    <row r="19480">
      <c r="A19480" s="1">
        <v>5.0</v>
      </c>
      <c r="B19480" s="1" t="s">
        <v>19161</v>
      </c>
      <c r="C19480" t="str">
        <f>IFERROR(__xludf.DUMMYFUNCTION("GOOGLETRANSLATE(B19480, ""fr"", ""en"")"),"the beautiful class shows very satisfied, only negative that does not merit a reduction of a star. it's just to update the number I can not put the number remains the same, yet I put the right step and I'm turning in every way I can not. so I do not know "&amp;"if it is or shows, but I pointed out.")</f>
        <v>the beautiful class shows very satisfied, only negative that does not merit a reduction of a star. it's just to update the number I can not put the number remains the same, yet I put the right step and I'm turning in every way I can not. so I do not know if it is or shows, but I pointed out.</v>
      </c>
    </row>
    <row r="19481">
      <c r="A19481" s="1">
        <v>5.0</v>
      </c>
      <c r="B19481" s="1" t="s">
        <v>19162</v>
      </c>
      <c r="C19481" t="str">
        <f>IFERROR(__xludf.DUMMYFUNCTION("GOOGLETRANSLATE(B19481, ""fr"", ""en"")"),"Bottles Super Baby bottle Good benefit less from colic")</f>
        <v>Bottles Super Baby bottle Good benefit less from colic</v>
      </c>
    </row>
    <row r="19482">
      <c r="A19482" s="1">
        <v>5.0</v>
      </c>
      <c r="B19482" s="1" t="s">
        <v>19163</v>
      </c>
      <c r="C19482" t="str">
        <f>IFERROR(__xludf.DUMMYFUNCTION("GOOGLETRANSLATE(B19482, ""fr"", ""en"")"),"Perfect and mild Very light !! It is perfect for use everyday at work. She does not sweat the wrist")</f>
        <v>Perfect and mild Very light !! It is perfect for use everyday at work. She does not sweat the wrist</v>
      </c>
    </row>
    <row r="19483">
      <c r="A19483" s="1">
        <v>5.0</v>
      </c>
      <c r="B19483" s="1" t="s">
        <v>19164</v>
      </c>
      <c r="C19483" t="str">
        <f>IFERROR(__xludf.DUMMYFUNCTION("GOOGLETRANSLATE(B19483, ""fr"", ""en"")"),"Very good quality / price ratio An easily refurbishment shows with this bracelet looks great and seems solid. We will see the use ... Note the tool supplied with very quick to dismantle the strap!")</f>
        <v>Very good quality / price ratio An easily refurbishment shows with this bracelet looks great and seems solid. We will see the use ... Note the tool supplied with very quick to dismantle the strap!</v>
      </c>
    </row>
    <row r="19484">
      <c r="A19484" s="1">
        <v>5.0</v>
      </c>
      <c r="B19484" s="1" t="s">
        <v>19165</v>
      </c>
      <c r="C19484" t="str">
        <f>IFERROR(__xludf.DUMMYFUNCTION("GOOGLETRANSLATE(B19484, ""fr"", ""en"")"),"High capacity This high capacity cartridge is often useful when printing in black, this will be replaced less often and also make savings.")</f>
        <v>High capacity This high capacity cartridge is often useful when printing in black, this will be replaced less often and also make savings.</v>
      </c>
    </row>
    <row r="19485">
      <c r="A19485" s="1">
        <v>5.0</v>
      </c>
      <c r="B19485" s="1" t="s">
        <v>19166</v>
      </c>
      <c r="C19485" t="str">
        <f>IFERROR(__xludf.DUMMYFUNCTION("GOOGLETRANSLATE(B19485, ""fr"", ""en"")"),"good quality film received on time, well packaged no worries, good quality film, the photo does not match but it did not matter I recommend")</f>
        <v>good quality film received on time, well packaged no worries, good quality film, the photo does not match but it did not matter I recommend</v>
      </c>
    </row>
    <row r="19486">
      <c r="A19486" s="1">
        <v>2.0</v>
      </c>
      <c r="B19486" s="1" t="s">
        <v>19167</v>
      </c>
      <c r="C19486" t="str">
        <f>IFERROR(__xludf.DUMMYFUNCTION("GOOGLETRANSLATE(B19486, ""fr"", ""en"")"),"Blah blah A purchase not reflected enough. The heating time is good, and without too much noise, but the spout is poorly studied and the tank is extremely hot and the rest long ...")</f>
        <v>Blah blah A purchase not reflected enough. The heating time is good, and without too much noise, but the spout is poorly studied and the tank is extremely hot and the rest long ...</v>
      </c>
    </row>
    <row r="19487">
      <c r="A19487" s="1">
        <v>1.0</v>
      </c>
      <c r="B19487" s="1" t="s">
        <v>19168</v>
      </c>
      <c r="C19487" t="str">
        <f>IFERROR(__xludf.DUMMYFUNCTION("GOOGLETRANSLATE(B19487, ""fr"", ""en"")"),"Hats stopped working Hello voila I had commende this Article me in July the problem it doesnt have more entants nothing is still on warranty as to advance sea")</f>
        <v>Hats stopped working Hello voila I had commende this Article me in July the problem it doesnt have more entants nothing is still on warranty as to advance sea</v>
      </c>
    </row>
    <row r="19488">
      <c r="A19488" s="1">
        <v>1.0</v>
      </c>
      <c r="B19488" s="1" t="s">
        <v>19169</v>
      </c>
      <c r="C19488" t="str">
        <f>IFERROR(__xludf.DUMMYFUNCTION("GOOGLETRANSLATE(B19488, ""fr"", ""en"")"),"The closure does not take the bag is aesthetically very well but the closure (two magnets) fails when it is lightly loaded. I am very disappointed because it greatly limits its use.")</f>
        <v>The closure does not take the bag is aesthetically very well but the closure (two magnets) fails when it is lightly loaded. I am very disappointed because it greatly limits its use.</v>
      </c>
    </row>
    <row r="19489">
      <c r="A19489" s="1">
        <v>3.0</v>
      </c>
      <c r="B19489" s="1" t="s">
        <v>19170</v>
      </c>
      <c r="C19489" t="str">
        <f>IFERROR(__xludf.DUMMYFUNCTION("GOOGLETRANSLATE(B19489, ""fr"", ""en"")"),"Pull very fine, beautiful synthetique.couleur. Color fine sweater fine")</f>
        <v>Pull very fine, beautiful synthetique.couleur. Color fine sweater fine</v>
      </c>
    </row>
    <row r="19490">
      <c r="A19490" s="1">
        <v>3.0</v>
      </c>
      <c r="B19490" s="1" t="s">
        <v>19171</v>
      </c>
      <c r="C19490" t="str">
        <f>IFERROR(__xludf.DUMMYFUNCTION("GOOGLETRANSLATE(B19490, ""fr"", ""en"")"),"Disappointed by the size of the rolls Although the description is consistent, I read quickly and myself the many stars of this lot ... In fact the rolls are smaller than thought. Level quality, no complaints however.")</f>
        <v>Disappointed by the size of the rolls Although the description is consistent, I read quickly and myself the many stars of this lot ... In fact the rolls are smaller than thought. Level quality, no complaints however.</v>
      </c>
    </row>
    <row r="19491">
      <c r="A19491" s="1">
        <v>4.0</v>
      </c>
      <c r="B19491" s="1" t="s">
        <v>19172</v>
      </c>
      <c r="C19491" t="str">
        <f>IFERROR(__xludf.DUMMYFUNCTION("GOOGLETRANSLATE(B19491, ""fr"", ""en"")"),"Nicer on the photo than in real handy drainer and rather aesthetic, however I find nicer on the photo than real, I thought that was the base of stainless steel and it is made of white plastic, so everything is very ""plastic"".")</f>
        <v>Nicer on the photo than in real handy drainer and rather aesthetic, however I find nicer on the photo than real, I thought that was the base of stainless steel and it is made of white plastic, so everything is very "plastic".</v>
      </c>
    </row>
    <row r="19492">
      <c r="A19492" s="1">
        <v>4.0</v>
      </c>
      <c r="B19492" s="1" t="s">
        <v>19173</v>
      </c>
      <c r="C19492" t="str">
        <f>IFERROR(__xludf.DUMMYFUNCTION("GOOGLETRANSLATE(B19492, ""fr"", ""en"")"),"Date Date difficult to adjust from that no problem remains the watch to the correct time. classic design, good article")</f>
        <v>Date Date difficult to adjust from that no problem remains the watch to the correct time. classic design, good article</v>
      </c>
    </row>
    <row r="19493">
      <c r="A19493" s="1">
        <v>4.0</v>
      </c>
      <c r="B19493" s="1" t="s">
        <v>19174</v>
      </c>
      <c r="C19493" t="str">
        <f>IFERROR(__xludf.DUMMYFUNCTION("GOOGLETRANSLATE(B19493, ""fr"", ""en"")"),"well suited to my size woman")</f>
        <v>well suited to my size woman</v>
      </c>
    </row>
    <row r="19494">
      <c r="A19494" s="1">
        <v>4.0</v>
      </c>
      <c r="B19494" s="1" t="s">
        <v>19175</v>
      </c>
      <c r="C19494" t="str">
        <f>IFERROR(__xludf.DUMMYFUNCTION("GOOGLETRANSLATE(B19494, ""fr"", ""en"")"),"Kettle Kettle 1.8l very pretty and very easy to use to see how long it takes in time")</f>
        <v>Kettle Kettle 1.8l very pretty and very easy to use to see how long it takes in time</v>
      </c>
    </row>
    <row r="19495">
      <c r="A19495" s="1">
        <v>5.0</v>
      </c>
      <c r="B19495" s="1" t="s">
        <v>19176</v>
      </c>
      <c r="C19495" t="str">
        <f>IFERROR(__xludf.DUMMYFUNCTION("GOOGLETRANSLATE(B19495, ""fr"", ""en"")"),"Perfect for baby bottles These Mam who sterilize in the microwave are very convenient! The lower unscrewed allows a thorough cleaning and reduces infant colic.")</f>
        <v>Perfect for baby bottles These Mam who sterilize in the microwave are very convenient! The lower unscrewed allows a thorough cleaning and reduces infant colic.</v>
      </c>
    </row>
    <row r="19496">
      <c r="A19496" s="1">
        <v>5.0</v>
      </c>
      <c r="B19496" s="1" t="s">
        <v>19177</v>
      </c>
      <c r="C19496" t="str">
        <f>IFERROR(__xludf.DUMMYFUNCTION("GOOGLETRANSLATE(B19496, ""fr"", ""en"")"),"Pretty stickers Pretty stickers all colorees and easy to take off. I recmmande")</f>
        <v>Pretty stickers Pretty stickers all colorees and easy to take off. I recmmande</v>
      </c>
    </row>
    <row r="19497">
      <c r="A19497" s="1">
        <v>5.0</v>
      </c>
      <c r="B19497" s="1" t="s">
        <v>19178</v>
      </c>
      <c r="C19497" t="str">
        <f>IFERROR(__xludf.DUMMYFUNCTION("GOOGLETRANSLATE(B19497, ""fr"", ""en"")"),"My son adopted! I ordered these shoes for my 9 year old son makes athletics. It normally shoe size 34 I took 35 are flawless they Shoe very well. He especially love because of air bubbles and multicolored background color. He said to her I can run fast!")</f>
        <v>My son adopted! I ordered these shoes for my 9 year old son makes athletics. It normally shoe size 34 I took 35 are flawless they Shoe very well. He especially love because of air bubbles and multicolored background color. He said to her I can run fast!</v>
      </c>
    </row>
    <row r="19498">
      <c r="A19498" s="1">
        <v>5.0</v>
      </c>
      <c r="B19498" s="1" t="s">
        <v>19179</v>
      </c>
      <c r="C19498" t="str">
        <f>IFERROR(__xludf.DUMMYFUNCTION("GOOGLETRANSLATE(B19498, ""fr"", ""en"")"),"Ideal for staff working in the paramedical. I never had shoes so comfortable! If your profession requires prolonged standing and you are forced to make kilometers of corridors, you will not be better than these shoes. I also purchased the black model for "&amp;"travel and tourism output. PERFECT !!!!")</f>
        <v>Ideal for staff working in the paramedical. I never had shoes so comfortable! If your profession requires prolonged standing and you are forced to make kilometers of corridors, you will not be better than these shoes. I also purchased the black model for travel and tourism output. PERFECT !!!!</v>
      </c>
    </row>
    <row r="19499">
      <c r="A19499" s="1">
        <v>5.0</v>
      </c>
      <c r="B19499" s="1" t="s">
        <v>19180</v>
      </c>
      <c r="C19499" t="str">
        <f>IFERROR(__xludf.DUMMYFUNCTION("GOOGLETRANSLATE(B19499, ""fr"", ""en"")"),"Perfect ! Very convenient. Quick Connection and it's really convenient to not have yarn for sport. I recommend !")</f>
        <v>Perfect ! Very convenient. Quick Connection and it's really convenient to not have yarn for sport. I recommend !</v>
      </c>
    </row>
    <row r="19500">
      <c r="A19500" s="1">
        <v>5.0</v>
      </c>
      <c r="B19500" s="1" t="s">
        <v>19181</v>
      </c>
      <c r="C19500" t="str">
        <f>IFERROR(__xludf.DUMMYFUNCTION("GOOGLETRANSLATE(B19500, ""fr"", ""en"")"),"I highly recommend Very good quality, warm cozy, snug")</f>
        <v>I highly recommend Very good quality, warm cozy, snug</v>
      </c>
    </row>
    <row r="19501">
      <c r="A19501" s="1">
        <v>5.0</v>
      </c>
      <c r="B19501" s="1" t="s">
        <v>19182</v>
      </c>
      <c r="C19501" t="str">
        <f>IFERROR(__xludf.DUMMYFUNCTION("GOOGLETRANSLATE(B19501, ""fr"", ""en"")"),"Super great but still this problem to adapt the sizes are.")</f>
        <v>Super great but still this problem to adapt the sizes are.</v>
      </c>
    </row>
    <row r="19502">
      <c r="A19502" s="1">
        <v>5.0</v>
      </c>
      <c r="B19502" s="1" t="s">
        <v>19183</v>
      </c>
      <c r="C19502" t="str">
        <f>IFERROR(__xludf.DUMMYFUNCTION("GOOGLETRANSLATE(B19502, ""fr"", ""en"")"),"Okay .. This is the first time I buy flip flops that mark. The quality looks good, the sole is thick and soft just right, the strips seem firmly attached, in short to see over time, but they seem solid. On the site, the color could appear pistachio green,"&amp;" but they are ""lemon"". Beautiful and long life to all!")</f>
        <v>Okay .. This is the first time I buy flip flops that mark. The quality looks good, the sole is thick and soft just right, the strips seem firmly attached, in short to see over time, but they seem solid. On the site, the color could appear pistachio green, but they are "lemon". Beautiful and long life to all!</v>
      </c>
    </row>
    <row r="19503">
      <c r="A19503" s="1">
        <v>5.0</v>
      </c>
      <c r="B19503" s="1" t="s">
        <v>19184</v>
      </c>
      <c r="C19503" t="str">
        <f>IFERROR(__xludf.DUMMYFUNCTION("GOOGLETRANSLATE(B19503, ""fr"", ""en"")"),"A very good efficient mixer. My daughter has a milk thickener bcp suddenly easier to mix.")</f>
        <v>A very good efficient mixer. My daughter has a milk thickener bcp suddenly easier to mix.</v>
      </c>
    </row>
    <row r="19504">
      <c r="A19504" s="1">
        <v>5.0</v>
      </c>
      <c r="B19504" s="1" t="s">
        <v>19185</v>
      </c>
      <c r="C19504" t="str">
        <f>IFERROR(__xludf.DUMMYFUNCTION("GOOGLETRANSLATE(B19504, ""fr"", ""en"")"),"Delighted with my Vans! Ordering and delivery on top! The product received its box ds and consistent! Nothing to say I completely validates my order and you recommend this product!")</f>
        <v>Delighted with my Vans! Ordering and delivery on top! The product received its box ds and consistent! Nothing to say I completely validates my order and you recommend this product!</v>
      </c>
    </row>
    <row r="19505">
      <c r="A19505" s="1">
        <v>5.0</v>
      </c>
      <c r="B19505" s="1" t="s">
        <v>19186</v>
      </c>
      <c r="C19505" t="str">
        <f>IFERROR(__xludf.DUMMYFUNCTION("GOOGLETRANSLATE(B19505, ""fr"", ""en"")"),"TRes beautiful rendering Super colored pencil I do Serves for coloring Disney mystery and it's perfect rendering is very pretty with pencils against wears very quickly")</f>
        <v>TRes beautiful rendering Super colored pencil I do Serves for coloring Disney mystery and it's perfect rendering is very pretty with pencils against wears very quickly</v>
      </c>
    </row>
    <row r="19506">
      <c r="A19506" s="1">
        <v>5.0</v>
      </c>
      <c r="B19506" s="1" t="s">
        <v>19187</v>
      </c>
      <c r="C19506" t="str">
        <f>IFERROR(__xludf.DUMMYFUNCTION("GOOGLETRANSLATE(B19506, ""fr"", ""en"")"),"Pretty nice watch that does not go unnoticed with its beautiful red color (a little lighter than the picture)")</f>
        <v>Pretty nice watch that does not go unnoticed with its beautiful red color (a little lighter than the picture)</v>
      </c>
    </row>
    <row r="19507">
      <c r="A19507" s="1">
        <v>5.0</v>
      </c>
      <c r="B19507" s="1" t="s">
        <v>19188</v>
      </c>
      <c r="C19507" t="str">
        <f>IFERROR(__xludf.DUMMYFUNCTION("GOOGLETRANSLATE(B19507, ""fr"", ""en"")"),"Wawouuu great product it produces !!! Magical !! The trigger is now done at home thanks to this revolutionary right object! Heat is superb, the massage makes me who is back pain I love !! I completely valid this item! You can adjust the intensity of massa"&amp;"ge, reverse the direction of massage, great anyway I do not regret my purchase I recommend")</f>
        <v>Wawouuu great product it produces !!! Magical !! The trigger is now done at home thanks to this revolutionary right object! Heat is superb, the massage makes me who is back pain I love !! I completely valid this item! You can adjust the intensity of massage, reverse the direction of massage, great anyway I do not regret my purchase I recommend</v>
      </c>
    </row>
    <row r="19508">
      <c r="A19508" s="1">
        <v>5.0</v>
      </c>
      <c r="B19508" s="1" t="s">
        <v>19189</v>
      </c>
      <c r="C19508" t="str">
        <f>IFERROR(__xludf.DUMMYFUNCTION("GOOGLETRANSLATE(B19508, ""fr"", ""en"")"),"toilet upscale Paper For that price, we ended up not buying the toilet paper on Amazon. The quality is great! I recommend.")</f>
        <v>toilet upscale Paper For that price, we ended up not buying the toilet paper on Amazon. The quality is great! I recommend.</v>
      </c>
    </row>
    <row r="19509">
      <c r="A19509" s="1">
        <v>5.0</v>
      </c>
      <c r="B19509" s="1" t="s">
        <v>19190</v>
      </c>
      <c r="C19509" t="str">
        <f>IFERROR(__xludf.DUMMYFUNCTION("GOOGLETRANSLATE(B19509, ""fr"", ""en"")"),"Perfect Awesome I'll still buy it because I'm delighted with my purchase and quality after washing tans no pilling hats")</f>
        <v>Perfect Awesome I'll still buy it because I'm delighted with my purchase and quality after washing tans no pilling hats</v>
      </c>
    </row>
    <row r="19510">
      <c r="A19510" s="1">
        <v>2.0</v>
      </c>
      <c r="B19510" s="1" t="s">
        <v>19191</v>
      </c>
      <c r="C19510" t="str">
        <f>IFERROR(__xludf.DUMMYFUNCTION("GOOGLETRANSLATE(B19510, ""fr"", ""en"")"),"very small glove size is as small as the price. Gant very light, suitable for travel but not at home. It was worth the money. There tend to plucher. Hopefully this will stop after a few uses.")</f>
        <v>very small glove size is as small as the price. Gant very light, suitable for travel but not at home. It was worth the money. There tend to plucher. Hopefully this will stop after a few uses.</v>
      </c>
    </row>
    <row r="19511">
      <c r="A19511" s="1">
        <v>1.0</v>
      </c>
      <c r="B19511" s="1" t="s">
        <v>19192</v>
      </c>
      <c r="C19511" t="str">
        <f>IFERROR(__xludf.DUMMYFUNCTION("GOOGLETRANSLATE(B19511, ""fr"", ""en"")"),"empty cartridge very disappointed. since I have placed the new cartridge. My light remains on, and now I can not print because Pmus asked me to change cartridge! As she is new !!! So here I am forced to buy a new cartridge.")</f>
        <v>empty cartridge very disappointed. since I have placed the new cartridge. My light remains on, and now I can not print because Pmus asked me to change cartridge! As she is new !!! So here I am forced to buy a new cartridge.</v>
      </c>
    </row>
    <row r="19512">
      <c r="A19512" s="1">
        <v>1.0</v>
      </c>
      <c r="B19512" s="1" t="s">
        <v>19193</v>
      </c>
      <c r="C19512" t="str">
        <f>IFERROR(__xludf.DUMMYFUNCTION("GOOGLETRANSLATE(B19512, ""fr"", ""en"")"),"Size Vest bad bad very disappointed quality")</f>
        <v>Size Vest bad bad very disappointed quality</v>
      </c>
    </row>
    <row r="19513">
      <c r="A19513" s="1">
        <v>3.0</v>
      </c>
      <c r="B19513" s="1" t="s">
        <v>19194</v>
      </c>
      <c r="C19513" t="str">
        <f>IFERROR(__xludf.DUMMYFUNCTION("GOOGLETRANSLATE(B19513, ""fr"", ""en"")"),"These famous shoes are very beautiful, By cons attention gazelles Shoe very large, feel free to take a size or half size smaller. For the 39, 38 make it widely suffisant.Elles are perfect, super comfortable and I love them !!! I highly recommend!! You can"&amp;" buy eyes closed !!!")</f>
        <v>These famous shoes are very beautiful, By cons attention gazelles Shoe very large, feel free to take a size or half size smaller. For the 39, 38 make it widely suffisant.Elles are perfect, super comfortable and I love them !!! I highly recommend!! You can buy eyes closed !!!</v>
      </c>
    </row>
    <row r="19514">
      <c r="A19514" s="1">
        <v>4.0</v>
      </c>
      <c r="B19514" s="1" t="s">
        <v>19195</v>
      </c>
      <c r="C19514" t="str">
        <f>IFERROR(__xludf.DUMMYFUNCTION("GOOGLETRANSLATE(B19514, ""fr"", ""en"")"),"Compliant Compliant my expectations. The color is pétante and super size. I recommend .")</f>
        <v>Compliant Compliant my expectations. The color is pétante and super size. I recommend .</v>
      </c>
    </row>
    <row r="19515">
      <c r="A19515" s="1">
        <v>4.0</v>
      </c>
      <c r="B19515" s="1" t="s">
        <v>19196</v>
      </c>
      <c r="C19515" t="str">
        <f>IFERROR(__xludf.DUMMYFUNCTION("GOOGLETRANSLATE(B19515, ""fr"", ""en"")"),"Not disappointed with this purchase Very nice watch that works perfectly and is even faintly visible in complete darkness. Good packaging. Watch a little noisy at its mechanism, leather strap too rigid but is resisting for now.")</f>
        <v>Not disappointed with this purchase Very nice watch that works perfectly and is even faintly visible in complete darkness. Good packaging. Watch a little noisy at its mechanism, leather strap too rigid but is resisting for now.</v>
      </c>
    </row>
    <row r="19516">
      <c r="A19516" s="1">
        <v>4.0</v>
      </c>
      <c r="B19516" s="1" t="s">
        <v>19197</v>
      </c>
      <c r="C19516" t="str">
        <f>IFERROR(__xludf.DUMMYFUNCTION("GOOGLETRANSLATE(B19516, ""fr"", ""en"")"),"Vintage look that kills! Watch very nice to wear with a nice look, a very comfortable strap and access to easy using batteries 4 Phillips screws, so no big budget to change the watchmaker. Framing plastic chrome but the part in contact with the skin is ma"&amp;"de of metal as well. very good product for the price.")</f>
        <v>Vintage look that kills! Watch very nice to wear with a nice look, a very comfortable strap and access to easy using batteries 4 Phillips screws, so no big budget to change the watchmaker. Framing plastic chrome but the part in contact with the skin is made of metal as well. very good product for the price.</v>
      </c>
    </row>
    <row r="19517">
      <c r="A19517" s="1">
        <v>4.0</v>
      </c>
      <c r="B19517" s="1" t="s">
        <v>19198</v>
      </c>
      <c r="C19517" t="str">
        <f>IFERROR(__xludf.DUMMYFUNCTION("GOOGLETRANSLATE(B19517, ""fr"", ""en"")"),"Using the manual = labels! problem = I send the first label I had received since I could not make it work; the second does not work anymore, I called Amazon (adhoc number) that gave me the phone Dymo, and I had to phone a competent person (the drive shaft"&amp;" of the tape, when new is sometimes too hard and you have to unjam by turning a few laps in hand), so problem solved. Responsiveness Amazon is excellent.")</f>
        <v>Using the manual = labels! problem = I send the first label I had received since I could not make it work; the second does not work anymore, I called Amazon (adhoc number) that gave me the phone Dymo, and I had to phone a competent person (the drive shaft of the tape, when new is sometimes too hard and you have to unjam by turning a few laps in hand), so problem solved. Responsiveness Amazon is excellent.</v>
      </c>
    </row>
    <row r="19518">
      <c r="A19518" s="1">
        <v>5.0</v>
      </c>
      <c r="B19518" s="1" t="s">
        <v>4637</v>
      </c>
      <c r="C19518" t="str">
        <f>IFERROR(__xludf.DUMMYFUNCTION("GOOGLETRANSLATE(B19518, ""fr"", ""en"")"),"well well")</f>
        <v>well well</v>
      </c>
    </row>
    <row r="19519">
      <c r="A19519" s="1">
        <v>5.0</v>
      </c>
      <c r="B19519" s="1" t="s">
        <v>19199</v>
      </c>
      <c r="C19519" t="str">
        <f>IFERROR(__xludf.DUMMYFUNCTION("GOOGLETRANSLATE(B19519, ""fr"", ""en"")"),"A gentle awakening wake gently nicely prepared by the light intensity increases gradually and birdsong or cuckoo (also radio) .For those who are angry with me as the traditional alarm clock is the ideal since I have I get up more ""cool""! The only negati"&amp;"ve is the small size of the light button when it is used in bedside lamp which is convenient because it has a camera on the nightstand.")</f>
        <v>A gentle awakening wake gently nicely prepared by the light intensity increases gradually and birdsong or cuckoo (also radio) .For those who are angry with me as the traditional alarm clock is the ideal since I have I get up more "cool"! The only negative is the small size of the light button when it is used in bedside lamp which is convenient because it has a camera on the nightstand.</v>
      </c>
    </row>
    <row r="19520">
      <c r="A19520" s="1">
        <v>5.0</v>
      </c>
      <c r="B19520" s="1" t="s">
        <v>4003</v>
      </c>
      <c r="C19520" t="str">
        <f>IFERROR(__xludf.DUMMYFUNCTION("GOOGLETRANSLATE(B19520, ""fr"", ""en"")"),"WELL WELL")</f>
        <v>WELL WELL</v>
      </c>
    </row>
    <row r="19521">
      <c r="A19521" s="1">
        <v>5.0</v>
      </c>
      <c r="B19521" s="1" t="s">
        <v>19200</v>
      </c>
      <c r="C19521" t="str">
        <f>IFERROR(__xludf.DUMMYFUNCTION("GOOGLETRANSLATE(B19521, ""fr"", ""en"")"),"Good Everything is ok")</f>
        <v>Good Everything is ok</v>
      </c>
    </row>
    <row r="19522">
      <c r="A19522" s="1">
        <v>5.0</v>
      </c>
      <c r="B19522" s="1" t="s">
        <v>19201</v>
      </c>
      <c r="C19522" t="str">
        <f>IFERROR(__xludf.DUMMYFUNCTION("GOOGLETRANSLATE(B19522, ""fr"", ""en"")"),"If Guguta product quality")</f>
        <v>If Guguta product quality</v>
      </c>
    </row>
    <row r="19523">
      <c r="A19523" s="1">
        <v>5.0</v>
      </c>
      <c r="B19523" s="1" t="s">
        <v>19202</v>
      </c>
      <c r="C19523" t="str">
        <f>IFERROR(__xludf.DUMMYFUNCTION("GOOGLETRANSLATE(B19523, ""fr"", ""en"")"),"beautiful design is supplied with a user guide, for ease of use. I find it nice and simple. it diffuses homogeneously essential oils, so ca me is fine. The different brightness are a great addition.")</f>
        <v>beautiful design is supplied with a user guide, for ease of use. I find it nice and simple. it diffuses homogeneously essential oils, so ca me is fine. The different brightness are a great addition.</v>
      </c>
    </row>
    <row r="19524">
      <c r="A19524" s="1">
        <v>5.0</v>
      </c>
      <c r="B19524" s="1" t="s">
        <v>19203</v>
      </c>
      <c r="C19524" t="str">
        <f>IFERROR(__xludf.DUMMYFUNCTION("GOOGLETRANSLATE(B19524, ""fr"", ""en"")"),"Impeccable Great! Trainers nickel, delivered much earlier than the delivery date - perfect! a good price compared to stores. I saved about 40 €.")</f>
        <v>Impeccable Great! Trainers nickel, delivered much earlier than the delivery date - perfect! a good price compared to stores. I saved about 40 €.</v>
      </c>
    </row>
    <row r="19525">
      <c r="A19525" s="1">
        <v>5.0</v>
      </c>
      <c r="B19525" s="1" t="s">
        <v>19204</v>
      </c>
      <c r="C19525" t="str">
        <f>IFERROR(__xludf.DUMMYFUNCTION("GOOGLETRANSLATE(B19525, ""fr"", ""en"")"),"Pretty ring Very pretty ring. The size was not good and amazon only offered a refund. The seller then took matters in hand and took care to send me a ring to the right size.")</f>
        <v>Pretty ring Very pretty ring. The size was not good and amazon only offered a refund. The seller then took matters in hand and took care to send me a ring to the right size.</v>
      </c>
    </row>
    <row r="19526">
      <c r="A19526" s="1">
        <v>5.0</v>
      </c>
      <c r="B19526" s="1" t="s">
        <v>19205</v>
      </c>
      <c r="C19526" t="str">
        <f>IFERROR(__xludf.DUMMYFUNCTION("GOOGLETRANSLATE(B19526, ""fr"", ""en"")"),"Authentic Compliance and fast delivery")</f>
        <v>Authentic Compliance and fast delivery</v>
      </c>
    </row>
    <row r="19527">
      <c r="A19527" s="1">
        <v>5.0</v>
      </c>
      <c r="B19527" s="1" t="s">
        <v>19206</v>
      </c>
      <c r="C19527" t="str">
        <f>IFERROR(__xludf.DUMMYFUNCTION("GOOGLETRANSLATE(B19527, ""fr"", ""en"")"),"Product compliant I used the stationery for invitations. everybody is happy. (Half A4)")</f>
        <v>Product compliant I used the stationery for invitations. everybody is happy. (Half A4)</v>
      </c>
    </row>
    <row r="19528">
      <c r="A19528" s="1">
        <v>5.0</v>
      </c>
      <c r="B19528" s="1" t="s">
        <v>19207</v>
      </c>
      <c r="C19528" t="str">
        <f>IFERROR(__xludf.DUMMYFUNCTION("GOOGLETRANSLATE(B19528, ""fr"", ""en"")"),"Very nice and classy Comes in beautiful box with Diesel within the watch hanging on a white pillow. A user manual is in the bottom of the box. The watch and bracelet are a beautiful dark gray slate. The dial displays the date, it is possible to activate a"&amp;" timer (displayed in 3 small dials middle) and is water resistant to 100 meters (10 ATM). The weight is correct and everything seems pretty robust. I love this show because of its color which can harmonize with any type of clothing, she is really classy. "&amp;"Before ordering this watch on Amazon I have in store for the price of 260 €.")</f>
        <v>Very nice and classy Comes in beautiful box with Diesel within the watch hanging on a white pillow. A user manual is in the bottom of the box. The watch and bracelet are a beautiful dark gray slate. The dial displays the date, it is possible to activate a timer (displayed in 3 small dials middle) and is water resistant to 100 meters (10 ATM). The weight is correct and everything seems pretty robust. I love this show because of its color which can harmonize with any type of clothing, she is really classy. Before ordering this watch on Amazon I have in store for the price of 260 €.</v>
      </c>
    </row>
    <row r="19529">
      <c r="A19529" s="1">
        <v>5.0</v>
      </c>
      <c r="B19529" s="1" t="s">
        <v>19208</v>
      </c>
      <c r="C19529" t="str">
        <f>IFERROR(__xludf.DUMMYFUNCTION("GOOGLETRANSLATE(B19529, ""fr"", ""en"")"),"Although arrived quickly and in good condition. Just a scratch on the base. I received directly ointment instead of solid as the other comments. No doubt the heat. Coconut pot is half melted. Anyway feel very good and a yellowish color as I wanted.")</f>
        <v>Although arrived quickly and in good condition. Just a scratch on the base. I received directly ointment instead of solid as the other comments. No doubt the heat. Coconut pot is half melted. Anyway feel very good and a yellowish color as I wanted.</v>
      </c>
    </row>
    <row r="19530">
      <c r="A19530" s="1">
        <v>5.0</v>
      </c>
      <c r="B19530" s="1" t="s">
        <v>19209</v>
      </c>
      <c r="C19530" t="str">
        <f>IFERROR(__xludf.DUMMYFUNCTION("GOOGLETRANSLATE(B19530, ""fr"", ""en"")"),"Nothing to say Kettle which plays its role, it goes off when the water temperature. It does not take a lot of space and the look is nice")</f>
        <v>Nothing to say Kettle which plays its role, it goes off when the water temperature. It does not take a lot of space and the look is nice</v>
      </c>
    </row>
    <row r="19531">
      <c r="A19531" s="1">
        <v>5.0</v>
      </c>
      <c r="B19531" s="1" t="s">
        <v>19210</v>
      </c>
      <c r="C19531" t="str">
        <f>IFERROR(__xludf.DUMMYFUNCTION("GOOGLETRANSLATE(B19531, ""fr"", ""en"")"),"Extra Perfectly fits me Tassimo. Very good quality and disassembly for cleaning items. Nothing to say, the top")</f>
        <v>Extra Perfectly fits me Tassimo. Very good quality and disassembly for cleaning items. Nothing to say, the top</v>
      </c>
    </row>
    <row r="19532">
      <c r="A19532" s="1">
        <v>5.0</v>
      </c>
      <c r="B19532" s="1" t="s">
        <v>19211</v>
      </c>
      <c r="C19532" t="str">
        <f>IFERROR(__xludf.DUMMYFUNCTION("GOOGLETRANSLATE(B19532, ""fr"", ""en"")"),"Excellent! Received the next day. Beautiful object, seems quality. I expect my GoPro 6 to test, but I'm not worried, I know the seriousness and quality of this brand. It is economical because only uses no batteries, suspension is very good.")</f>
        <v>Excellent! Received the next day. Beautiful object, seems quality. I expect my GoPro 6 to test, but I'm not worried, I know the seriousness and quality of this brand. It is economical because only uses no batteries, suspension is very good.</v>
      </c>
    </row>
    <row r="19533">
      <c r="A19533" s="1">
        <v>2.0</v>
      </c>
      <c r="B19533" s="1" t="s">
        <v>19212</v>
      </c>
      <c r="C19533" t="str">
        <f>IFERROR(__xludf.DUMMYFUNCTION("GOOGLETRANSLATE(B19533, ""fr"", ""en"")"),"Couture loose right size bag, many pockets, but the seams do not take! After only 2 days of using the closure remains in my hand! I advise against!")</f>
        <v>Couture loose right size bag, many pockets, but the seams do not take! After only 2 days of using the closure remains in my hand! I advise against!</v>
      </c>
    </row>
    <row r="19534">
      <c r="A19534" s="1">
        <v>1.0</v>
      </c>
      <c r="B19534" s="1" t="s">
        <v>19213</v>
      </c>
      <c r="C19534" t="str">
        <f>IFERROR(__xludf.DUMMYFUNCTION("GOOGLETRANSLATE(B19534, ""fr"", ""en"")"),"Nothing Je.suis disappointed in my purchase. Too small M c for a 14-year ..and not as nice as in the photo")</f>
        <v>Nothing Je.suis disappointed in my purchase. Too small M c for a 14-year ..and not as nice as in the photo</v>
      </c>
    </row>
    <row r="19535">
      <c r="A19535" s="1">
        <v>3.0</v>
      </c>
      <c r="B19535" s="1" t="s">
        <v>19214</v>
      </c>
      <c r="C19535" t="str">
        <f>IFERROR(__xludf.DUMMYFUNCTION("GOOGLETRANSLATE(B19535, ""fr"", ""en"")"),"Its not top Earpiece")</f>
        <v>Its not top Earpiece</v>
      </c>
    </row>
    <row r="19536">
      <c r="A19536" s="1">
        <v>3.0</v>
      </c>
      <c r="B19536" s="1" t="s">
        <v>19215</v>
      </c>
      <c r="C19536" t="str">
        <f>IFERROR(__xludf.DUMMYFUNCTION("GOOGLETRANSLATE(B19536, ""fr"", ""en"")"),"Good but very late Good product but a little too transparent: it is enough that a cold snap and shape of breasts that becomes more visible, even with a t-shirt.")</f>
        <v>Good but very late Good product but a little too transparent: it is enough that a cold snap and shape of breasts that becomes more visible, even with a t-shirt.</v>
      </c>
    </row>
    <row r="19537">
      <c r="A19537" s="1">
        <v>4.0</v>
      </c>
      <c r="B19537" s="1" t="s">
        <v>19216</v>
      </c>
      <c r="C19537" t="str">
        <f>IFERROR(__xludf.DUMMYFUNCTION("GOOGLETRANSLATE(B19537, ""fr"", ""en"")"),"A nifty little portable headset OK it lacks bass, but at least it does not explode the eardrum: the sound is clear and audible instruments. It covers well and comfortably ear. it is sufficiently compact and easily transported. And hey, it's still Marshall"&amp;" !!")</f>
        <v>A nifty little portable headset OK it lacks bass, but at least it does not explode the eardrum: the sound is clear and audible instruments. It covers well and comfortably ear. it is sufficiently compact and easily transported. And hey, it's still Marshall !!</v>
      </c>
    </row>
    <row r="19538">
      <c r="A19538" s="1">
        <v>4.0</v>
      </c>
      <c r="B19538" s="1" t="s">
        <v>19217</v>
      </c>
      <c r="C19538" t="str">
        <f>IFERROR(__xludf.DUMMYFUNCTION("GOOGLETRANSLATE(B19538, ""fr"", ""en"")"),"Helmet good value I was on the verge of a return following a break problem sound very unpleasant, I have tried almost everything (away from the base / outlets and other devices, cut the wifi box etc ..) no results! and prior to packaging to return I still"&amp;" tried to change the optical cord (supplied with the product) and then, miraculously, no more break and it actually becomes an excellent sound quality headphones, it still must be remove moments after 2 hours (the heaters ears) Conclusion, forget the opti"&amp;"cal cable that costs less than 50 cents of euro for sale! order a good quality cable for less than 10 euros")</f>
        <v>Helmet good value I was on the verge of a return following a break problem sound very unpleasant, I have tried almost everything (away from the base / outlets and other devices, cut the wifi box etc ..) no results! and prior to packaging to return I still tried to change the optical cord (supplied with the product) and then, miraculously, no more break and it actually becomes an excellent sound quality headphones, it still must be remove moments after 2 hours (the heaters ears) Conclusion, forget the optical cable that costs less than 50 cents of euro for sale! order a good quality cable for less than 10 euros</v>
      </c>
    </row>
    <row r="19539">
      <c r="A19539" s="1">
        <v>4.0</v>
      </c>
      <c r="B19539" s="1" t="s">
        <v>19218</v>
      </c>
      <c r="C19539" t="str">
        <f>IFERROR(__xludf.DUMMYFUNCTION("GOOGLETRANSLATE(B19539, ""fr"", ""en"")"),"Correct Very cute, very soft water bottle but rather small! The quality is average. I recommend")</f>
        <v>Correct Very cute, very soft water bottle but rather small! The quality is average. I recommend</v>
      </c>
    </row>
    <row r="19540">
      <c r="A19540" s="1">
        <v>4.0</v>
      </c>
      <c r="B19540" s="1" t="s">
        <v>19219</v>
      </c>
      <c r="C19540" t="str">
        <f>IFERROR(__xludf.DUMMYFUNCTION("GOOGLETRANSLATE(B19540, ""fr"", ""en"")"),"This calculator high school we were asked by the school with a bundling possible, but at 20 euros more expensive than on amazon. So I did the logical choice to order from this site which has never disappointed me and with the Casio refund offer everything"&amp;" was done for economic return. Use side, my son finds it easy to use and functions are quite sufficient.")</f>
        <v>This calculator high school we were asked by the school with a bundling possible, but at 20 euros more expensive than on amazon. So I did the logical choice to order from this site which has never disappointed me and with the Casio refund offer everything was done for economic return. Use side, my son finds it easy to use and functions are quite sufficient.</v>
      </c>
    </row>
    <row r="19541">
      <c r="A19541" s="1">
        <v>5.0</v>
      </c>
      <c r="B19541" s="1" t="s">
        <v>19220</v>
      </c>
      <c r="C19541" t="str">
        <f>IFERROR(__xludf.DUMMYFUNCTION("GOOGLETRANSLATE(B19541, ""fr"", ""en"")"),"super basketball VICTORIA A beautiful pair of shoes, very comfortable, and super pretty. I am delighted with my purchase, I have no regrets !!!")</f>
        <v>super basketball VICTORIA A beautiful pair of shoes, very comfortable, and super pretty. I am delighted with my purchase, I have no regrets !!!</v>
      </c>
    </row>
    <row r="19542">
      <c r="A19542" s="1">
        <v>5.0</v>
      </c>
      <c r="B19542" s="1" t="s">
        <v>19221</v>
      </c>
      <c r="C19542" t="str">
        <f>IFERROR(__xludf.DUMMYFUNCTION("GOOGLETRANSLATE(B19542, ""fr"", ""en"")"),"The very well like the HP brand cartridges and you do know. Easy to use and never surprises with this cartridge")</f>
        <v>The very well like the HP brand cartridges and you do know. Easy to use and never surprises with this cartridge</v>
      </c>
    </row>
    <row r="19543">
      <c r="A19543" s="1">
        <v>5.0</v>
      </c>
      <c r="B19543" s="1" t="s">
        <v>19222</v>
      </c>
      <c r="C19543" t="str">
        <f>IFERROR(__xludf.DUMMYFUNCTION("GOOGLETRANSLATE(B19543, ""fr"", ""en"")"),"Good quality very good boots qualité..vivant in such a mountain is perfectly flat adaptée..petit the sole is a little lisse..conforme the pictures and description")</f>
        <v>Good quality very good boots qualité..vivant in such a mountain is perfectly flat adaptée..petit the sole is a little lisse..conforme the pictures and description</v>
      </c>
    </row>
    <row r="19544">
      <c r="A19544" s="1">
        <v>5.0</v>
      </c>
      <c r="B19544" s="1" t="s">
        <v>19223</v>
      </c>
      <c r="C19544" t="str">
        <f>IFERROR(__xludf.DUMMYFUNCTION("GOOGLETRANSLATE(B19544, ""fr"", ""en"")"),"Very good quality Very good quality, conforms to the specification, comfortable, matching the expectations ssons")</f>
        <v>Very good quality Very good quality, conforms to the specification, comfortable, matching the expectations ssons</v>
      </c>
    </row>
    <row r="19545">
      <c r="A19545" s="1">
        <v>5.0</v>
      </c>
      <c r="B19545" s="1" t="s">
        <v>19224</v>
      </c>
      <c r="C19545" t="str">
        <f>IFERROR(__xludf.DUMMYFUNCTION("GOOGLETRANSLATE(B19545, ""fr"", ""en"")"),"This great product scratch is really convenient to install and glue the back to fix it is good quality. I had already ordered in black, then I ordered white and I'm still not disappointed in the quality.")</f>
        <v>This great product scratch is really convenient to install and glue the back to fix it is good quality. I had already ordered in black, then I ordered white and I'm still not disappointed in the quality.</v>
      </c>
    </row>
    <row r="19546">
      <c r="A19546" s="1">
        <v>5.0</v>
      </c>
      <c r="B19546" s="1" t="s">
        <v>19225</v>
      </c>
      <c r="C19546" t="str">
        <f>IFERROR(__xludf.DUMMYFUNCTION("GOOGLETRANSLATE(B19546, ""fr"", ""en"")"),"really superb product packaging with cotton and plastic bag! well packed")</f>
        <v>really superb product packaging with cotton and plastic bag! well packed</v>
      </c>
    </row>
    <row r="19547">
      <c r="A19547" s="1">
        <v>5.0</v>
      </c>
      <c r="B19547" s="1" t="s">
        <v>19226</v>
      </c>
      <c r="C19547" t="str">
        <f>IFERROR(__xludf.DUMMYFUNCTION("GOOGLETRANSLATE(B19547, ""fr"", ""en"")"),"Good quality / price I was looking for to provide quite similar to those earphones brand apple but for Android. [+] Pros: + Compact box, design and aesthetic quality + low + satisfactory standard light volume headphones + of at least 3 hours Autonomy Blue"&amp;"tooth + 5: uses less battery, better audio quality [-] Cons: - Packaging ultra simplistic - Attach the fragile lid - Autonomy of the box 2-3 max loads for the price, the quality is good. The packaging is very simple, the manual is in English and the box w"&amp;"as designed to be just enough. Cost of effort has been made on the annexes which allows for headphones of good quality at a highly competitive price.")</f>
        <v>Good quality / price I was looking for to provide quite similar to those earphones brand apple but for Android. [+] Pros: + Compact box, design and aesthetic quality + low + satisfactory standard light volume headphones + of at least 3 hours Autonomy Bluetooth + 5: uses less battery, better audio quality [-] Cons: - Packaging ultra simplistic - Attach the fragile lid - Autonomy of the box 2-3 max loads for the price, the quality is good. The packaging is very simple, the manual is in English and the box was designed to be just enough. Cost of effort has been made on the annexes which allows for headphones of good quality at a highly competitive price.</v>
      </c>
    </row>
    <row r="19548">
      <c r="A19548" s="1">
        <v>5.0</v>
      </c>
      <c r="B19548" s="1" t="s">
        <v>19227</v>
      </c>
      <c r="C19548" t="str">
        <f>IFERROR(__xludf.DUMMYFUNCTION("GOOGLETRANSLATE(B19548, ""fr"", ""en"")"),"Bracelet fine and elegant Very nice bracelet fine and elegant style young and trendy Perfect gift for the holidays of the year at a reasonable cost")</f>
        <v>Bracelet fine and elegant Very nice bracelet fine and elegant style young and trendy Perfect gift for the holidays of the year at a reasonable cost</v>
      </c>
    </row>
    <row r="19549">
      <c r="A19549" s="1">
        <v>5.0</v>
      </c>
      <c r="B19549" s="1" t="s">
        <v>19228</v>
      </c>
      <c r="C19549" t="str">
        <f>IFERROR(__xludf.DUMMYFUNCTION("GOOGLETRANSLATE(B19549, ""fr"", ""en"")"),"Top Quality watch the screen with all the dials apparently is sublime, my husband is a fan of shows and the result is really the same as the picture")</f>
        <v>Top Quality watch the screen with all the dials apparently is sublime, my husband is a fan of shows and the result is really the same as the picture</v>
      </c>
    </row>
    <row r="19550">
      <c r="A19550" s="1">
        <v>5.0</v>
      </c>
      <c r="B19550" s="1" t="s">
        <v>19229</v>
      </c>
      <c r="C19550" t="str">
        <f>IFERROR(__xludf.DUMMYFUNCTION("GOOGLETRANSLATE(B19550, ""fr"", ""en"")"),"Although this helped us a lot in potty training my son 2 years and a half. The quality and size of the book are perfect")</f>
        <v>Although this helped us a lot in potty training my son 2 years and a half. The quality and size of the book are perfect</v>
      </c>
    </row>
    <row r="19551">
      <c r="A19551" s="1">
        <v>5.0</v>
      </c>
      <c r="B19551" s="1" t="s">
        <v>19230</v>
      </c>
      <c r="C19551" t="str">
        <f>IFERROR(__xludf.DUMMYFUNCTION("GOOGLETRANSLATE(B19551, ""fr"", ""en"")"),"as comfortable as looké j adooooooooore!")</f>
        <v>as comfortable as looké j adooooooooore!</v>
      </c>
    </row>
    <row r="19552">
      <c r="A19552" s="1">
        <v>5.0</v>
      </c>
      <c r="B19552" s="1" t="s">
        <v>19231</v>
      </c>
      <c r="C19552" t="str">
        <f>IFERROR(__xludf.DUMMYFUNCTION("GOOGLETRANSLATE(B19552, ""fr"", ""en"")"),"Impeccable I hesitated a long time before buying this product but the price finally prompted me to give it a shot ... the various positive reviews too ... and I'm not at all disappointed. The cartridges are easily installed and no resistance from my print"&amp;"er; the quality suffers not, at least at my level, i.e. word processing. I recommend this product for a current job. For the pros, I am not able to say.")</f>
        <v>Impeccable I hesitated a long time before buying this product but the price finally prompted me to give it a shot ... the various positive reviews too ... and I'm not at all disappointed. The cartridges are easily installed and no resistance from my printer; the quality suffers not, at least at my level, i.e. word processing. I recommend this product for a current job. For the pros, I am not able to say.</v>
      </c>
    </row>
    <row r="19553">
      <c r="A19553" s="1">
        <v>5.0</v>
      </c>
      <c r="B19553" s="1" t="s">
        <v>19232</v>
      </c>
      <c r="C19553" t="str">
        <f>IFERROR(__xludf.DUMMYFUNCTION("GOOGLETRANSLATE(B19553, ""fr"", ""en"")"),"Sending fast and consistent distributed machine for a ride!")</f>
        <v>Sending fast and consistent distributed machine for a ride!</v>
      </c>
    </row>
    <row r="19554">
      <c r="A19554" s="1">
        <v>5.0</v>
      </c>
      <c r="B19554" s="1" t="s">
        <v>19233</v>
      </c>
      <c r="C19554" t="str">
        <f>IFERROR(__xludf.DUMMYFUNCTION("GOOGLETRANSLATE(B19554, ""fr"", ""en"")"),"well I am satisfied they have the very strong air for external works are perfect, very good quality. I will give another opinion when I would have used longer.")</f>
        <v>well I am satisfied they have the very strong air for external works are perfect, very good quality. I will give another opinion when I would have used longer.</v>
      </c>
    </row>
    <row r="19555">
      <c r="A19555" s="1">
        <v>5.0</v>
      </c>
      <c r="B19555" s="1" t="s">
        <v>19234</v>
      </c>
      <c r="C19555" t="str">
        <f>IFERROR(__xludf.DUMMYFUNCTION("GOOGLETRANSLATE(B19555, ""fr"", ""en"")"),"Very nice :) I ordered this water bottle for my daughter who loves it. It heats in minutes in the microwave and remain hot for several hours. The exterior is soft tissue like a teddy which is super nice :)")</f>
        <v>Very nice :) I ordered this water bottle for my daughter who loves it. It heats in minutes in the microwave and remain hot for several hours. The exterior is soft tissue like a teddy which is super nice :)</v>
      </c>
    </row>
    <row r="19556">
      <c r="A19556" s="1">
        <v>2.0</v>
      </c>
      <c r="B19556" s="1" t="s">
        <v>19235</v>
      </c>
      <c r="C19556" t="str">
        <f>IFERROR(__xludf.DUMMYFUNCTION("GOOGLETRANSLATE(B19556, ""fr"", ""en"")"),"Efficient, saving time !!!! house of 150 M2 nickel always! Coffee which remains hotter than 40 minutes after it is microwave ....")</f>
        <v>Efficient, saving time !!!! house of 150 M2 nickel always! Coffee which remains hotter than 40 minutes after it is microwave ....</v>
      </c>
    </row>
    <row r="19557">
      <c r="A19557" s="1">
        <v>1.0</v>
      </c>
      <c r="B19557" s="1" t="s">
        <v>19236</v>
      </c>
      <c r="C19557" t="str">
        <f>IFERROR(__xludf.DUMMYFUNCTION("GOOGLETRANSLATE(B19557, ""fr"", ""en"")"),"Obsolescence well programmed Unbelievable! Bought 23 October 2017, the kettle starts from 2 days walking alone without water with the risk of setting fire to the house. Luckily I was there to feel the smell of burning plastic. So I do not advise it unless"&amp;" you want a kettle that you loose just after the warranty;)")</f>
        <v>Obsolescence well programmed Unbelievable! Bought 23 October 2017, the kettle starts from 2 days walking alone without water with the risk of setting fire to the house. Luckily I was there to feel the smell of burning plastic. So I do not advise it unless you want a kettle that you loose just after the warranty;)</v>
      </c>
    </row>
    <row r="19558">
      <c r="A19558" s="1">
        <v>1.0</v>
      </c>
      <c r="B19558" s="1" t="s">
        <v>19237</v>
      </c>
      <c r="C19558" t="str">
        <f>IFERROR(__xludf.DUMMYFUNCTION("GOOGLETRANSLATE(B19558, ""fr"", ""en"")"),"This bracelet is junk. Do not buy")</f>
        <v>This bracelet is junk. Do not buy</v>
      </c>
    </row>
    <row r="19559">
      <c r="A19559" s="1">
        <v>3.0</v>
      </c>
      <c r="B19559" s="1" t="s">
        <v>19238</v>
      </c>
      <c r="C19559" t="str">
        <f>IFERROR(__xludf.DUMMYFUNCTION("GOOGLETRANSLATE(B19559, ""fr"", ""en"")"),"Not bad but not the top Protects feet but the sand enters with water ... nasty! Not flexible enough although slightly hyper. I'm still looking a slipper that most stick to the foot like a second skin")</f>
        <v>Not bad but not the top Protects feet but the sand enters with water ... nasty! Not flexible enough although slightly hyper. I'm still looking a slipper that most stick to the foot like a second skin</v>
      </c>
    </row>
    <row r="19560">
      <c r="A19560" s="1">
        <v>3.0</v>
      </c>
      <c r="B19560" s="1" t="s">
        <v>19239</v>
      </c>
      <c r="C19560" t="str">
        <f>IFERROR(__xludf.DUMMYFUNCTION("GOOGLETRANSLATE(B19560, ""fr"", ""en"")"),"bruillante soles produced as ordered but non-slip soles are very noisy. people hear you come from far away!")</f>
        <v>bruillante soles produced as ordered but non-slip soles are very noisy. people hear you come from far away!</v>
      </c>
    </row>
    <row r="19561">
      <c r="A19561" s="1">
        <v>4.0</v>
      </c>
      <c r="B19561" s="1" t="s">
        <v>19240</v>
      </c>
      <c r="C19561" t="str">
        <f>IFERROR(__xludf.DUMMYFUNCTION("GOOGLETRANSLATE(B19561, ""fr"", ""en"")"),"Good but attention can slip shoes are good but beware slipping on wet iron plate")</f>
        <v>Good but attention can slip shoes are good but beware slipping on wet iron plate</v>
      </c>
    </row>
    <row r="19562">
      <c r="A19562" s="1">
        <v>4.0</v>
      </c>
      <c r="B19562" s="1" t="s">
        <v>1261</v>
      </c>
      <c r="C19562" t="str">
        <f>IFERROR(__xludf.DUMMYFUNCTION("GOOGLETRANSLATE(B19562, ""fr"", ""en"")"),"good good")</f>
        <v>good good</v>
      </c>
    </row>
    <row r="19563">
      <c r="A19563" s="1">
        <v>4.0</v>
      </c>
      <c r="B19563" s="1" t="s">
        <v>19241</v>
      </c>
      <c r="C19563" t="str">
        <f>IFERROR(__xludf.DUMMYFUNCTION("GOOGLETRANSLATE(B19563, ""fr"", ""en"")"),"Good product A good electric kettle, conform to its description. I recommend it. It does its duty. And she is beautiful.")</f>
        <v>Good product A good electric kettle, conform to its description. I recommend it. It does its duty. And she is beautiful.</v>
      </c>
    </row>
    <row r="19564">
      <c r="A19564" s="1">
        <v>4.0</v>
      </c>
      <c r="B19564" s="1" t="s">
        <v>19242</v>
      </c>
      <c r="C19564" t="str">
        <f>IFERROR(__xludf.DUMMYFUNCTION("GOOGLETRANSLATE(B19564, ""fr"", ""en"")"),"Cartridge Original use such personal")</f>
        <v>Cartridge Original use such personal</v>
      </c>
    </row>
    <row r="19565">
      <c r="A19565" s="1">
        <v>5.0</v>
      </c>
      <c r="B19565" s="1" t="s">
        <v>19243</v>
      </c>
      <c r="C19565" t="str">
        <f>IFERROR(__xludf.DUMMYFUNCTION("GOOGLETRANSLATE(B19565, ""fr"", ""en"")"),"perfect I am a bricklayer. I needed good socks for me wearing safety shoes on site. I ordered 2x 3 pairs. They are comfortable and have the strong air. I hope it will last several months. Almost no sweating after days of very active 12 hours. Size just wh"&amp;"at I needed. I put on the 43 and I took 43-47. The riding sock rod just enough for the ankle (not too high). They are superb in gray or black! Continue like that")</f>
        <v>perfect I am a bricklayer. I needed good socks for me wearing safety shoes on site. I ordered 2x 3 pairs. They are comfortable and have the strong air. I hope it will last several months. Almost no sweating after days of very active 12 hours. Size just what I needed. I put on the 43 and I took 43-47. The riding sock rod just enough for the ankle (not too high). They are superb in gray or black! Continue like that</v>
      </c>
    </row>
    <row r="19566">
      <c r="A19566" s="1">
        <v>5.0</v>
      </c>
      <c r="B19566" s="1" t="s">
        <v>19244</v>
      </c>
      <c r="C19566" t="str">
        <f>IFERROR(__xludf.DUMMYFUNCTION("GOOGLETRANSLATE(B19566, ""fr"", ""en"")"),"Electronic Cigarette coil already ordered several times never worry. I recommend this article")</f>
        <v>Electronic Cigarette coil already ordered several times never worry. I recommend this article</v>
      </c>
    </row>
    <row r="19567">
      <c r="A19567" s="1">
        <v>5.0</v>
      </c>
      <c r="B19567" s="1" t="s">
        <v>19245</v>
      </c>
      <c r="C19567" t="str">
        <f>IFERROR(__xludf.DUMMYFUNCTION("GOOGLETRANSLATE(B19567, ""fr"", ""en"")"),"Size good and pleasant to wear all day without having a sore foot. I chose this pair of security because I am janitor at a high school. nice shoe to wear all day. I recommend the person for comfort.")</f>
        <v>Size good and pleasant to wear all day without having a sore foot. I chose this pair of security because I am janitor at a high school. nice shoe to wear all day. I recommend the person for comfort.</v>
      </c>
    </row>
    <row r="19568">
      <c r="A19568" s="1">
        <v>5.0</v>
      </c>
      <c r="B19568" s="1" t="s">
        <v>19246</v>
      </c>
      <c r="C19568" t="str">
        <f>IFERROR(__xludf.DUMMYFUNCTION("GOOGLETRANSLATE(B19568, ""fr"", ""en"")"),"Good value for money is good and adapts to the last cannon")</f>
        <v>Good value for money is good and adapts to the last cannon</v>
      </c>
    </row>
    <row r="19569">
      <c r="A19569" s="1">
        <v>5.0</v>
      </c>
      <c r="B19569" s="1" t="s">
        <v>19247</v>
      </c>
      <c r="C19569" t="str">
        <f>IFERROR(__xludf.DUMMYFUNCTION("GOOGLETRANSLATE(B19569, ""fr"", ""en"")"),"Of Beautiful")</f>
        <v>Of Beautiful</v>
      </c>
    </row>
    <row r="19570">
      <c r="A19570" s="1">
        <v>5.0</v>
      </c>
      <c r="B19570" s="1" t="s">
        <v>19248</v>
      </c>
      <c r="C19570" t="str">
        <f>IFERROR(__xludf.DUMMYFUNCTION("GOOGLETRANSLATE(B19570, ""fr"", ""en"")"),"Perfect! I was looking for cables to connect my mixer and I came across these Stagg models with color ring that easily identify the left and right channels by associating a color (blue = right, Green = left). And I confirm that the choice was right, these"&amp;" are quality cables and perfectly fulfill their role :-) Just a note, why manufacturers Stagg but not only, they are struggling to identify these cables as ""Microphone ""while these are cables"" signal ""that can also be used to connect a microphone to a"&amp;" table, a table with an amp (line out) ...")</f>
        <v>Perfect! I was looking for cables to connect my mixer and I came across these Stagg models with color ring that easily identify the left and right channels by associating a color (blue = right, Green = left). And I confirm that the choice was right, these are quality cables and perfectly fulfill their role :-) Just a note, why manufacturers Stagg but not only, they are struggling to identify these cables as "Microphone "while these are cables" signal "that can also be used to connect a microphone to a table, a table with an amp (line out) ...</v>
      </c>
    </row>
    <row r="19571">
      <c r="A19571" s="1">
        <v>5.0</v>
      </c>
      <c r="B19571" s="1" t="s">
        <v>19249</v>
      </c>
      <c r="C19571" t="str">
        <f>IFERROR(__xludf.DUMMYFUNCTION("GOOGLETRANSLATE(B19571, ""fr"", ""en"")"),"well do not hesitate to take an extra size if you have a good kick")</f>
        <v>well do not hesitate to take an extra size if you have a good kick</v>
      </c>
    </row>
    <row r="19572">
      <c r="A19572" s="1">
        <v>5.0</v>
      </c>
      <c r="B19572" s="1" t="s">
        <v>19250</v>
      </c>
      <c r="C19572" t="str">
        <f>IFERROR(__xludf.DUMMYFUNCTION("GOOGLETRANSLATE(B19572, ""fr"", ""en"")"),"Super Super kit kit. I bought baby is breastfeeding and bottle feeding and it works very well")</f>
        <v>Super Super kit kit. I bought baby is breastfeeding and bottle feeding and it works very well</v>
      </c>
    </row>
    <row r="19573">
      <c r="A19573" s="1">
        <v>5.0</v>
      </c>
      <c r="B19573" s="1" t="s">
        <v>19251</v>
      </c>
      <c r="C19573" t="str">
        <f>IFERROR(__xludf.DUMMYFUNCTION("GOOGLETRANSLATE(B19573, ""fr"", ""en"")"),"Lightweight, small and useful Received today and operational for 1 hour rolling. I found a practical, small and useful for my course and the little space that I have in my apartment.")</f>
        <v>Lightweight, small and useful Received today and operational for 1 hour rolling. I found a practical, small and useful for my course and the little space that I have in my apartment.</v>
      </c>
    </row>
    <row r="19574">
      <c r="A19574" s="1">
        <v>5.0</v>
      </c>
      <c r="B19574" s="1" t="s">
        <v>19252</v>
      </c>
      <c r="C19574" t="str">
        <f>IFERROR(__xludf.DUMMYFUNCTION("GOOGLETRANSLATE(B19574, ""fr"", ""en"")"),"Warm feet Think of throwing them in the trash at the end of winter, it is not really intended to be washed more than once.")</f>
        <v>Warm feet Think of throwing them in the trash at the end of winter, it is not really intended to be washed more than once.</v>
      </c>
    </row>
    <row r="19575">
      <c r="A19575" s="1">
        <v>5.0</v>
      </c>
      <c r="B19575" s="1" t="s">
        <v>19253</v>
      </c>
      <c r="C19575" t="str">
        <f>IFERROR(__xludf.DUMMYFUNCTION("GOOGLETRANSLATE(B19575, ""fr"", ""en"")"),"Very good headphones I buy these headphones for a gift, and bah is a very good achievement. I could test it and honestly I do not regret my purchase. Good quality microphone and a very good sound. I recommend this helmet Razer.")</f>
        <v>Very good headphones I buy these headphones for a gift, and bah is a very good achievement. I could test it and honestly I do not regret my purchase. Good quality microphone and a very good sound. I recommend this helmet Razer.</v>
      </c>
    </row>
    <row r="19576">
      <c r="A19576" s="1">
        <v>5.0</v>
      </c>
      <c r="B19576" s="1" t="s">
        <v>19254</v>
      </c>
      <c r="C19576" t="str">
        <f>IFERROR(__xludf.DUMMYFUNCTION("GOOGLETRANSLATE(B19576, ""fr"", ""en"")"),"Vive Amazon! J have received my watch yesterday and what to say apart that I am happy! Embalage perfect but the main c is my watch in my wrist. C is by chance that I came across this vintage casio watch more precisely I wandered on amazon as often :) My 1"&amp;"2 year old son also enjoyed it so much I just ordered his model in black on Amazon quite sour. No I have no regrets on the contrary. She is perfect. I was the board without hesitation.")</f>
        <v>Vive Amazon! J have received my watch yesterday and what to say apart that I am happy! Embalage perfect but the main c is my watch in my wrist. C is by chance that I came across this vintage casio watch more precisely I wandered on amazon as often :) My 12 year old son also enjoyed it so much I just ordered his model in black on Amazon quite sour. No I have no regrets on the contrary. She is perfect. I was the board without hesitation.</v>
      </c>
    </row>
    <row r="19577">
      <c r="A19577" s="1">
        <v>5.0</v>
      </c>
      <c r="B19577" s="1" t="s">
        <v>19255</v>
      </c>
      <c r="C19577" t="str">
        <f>IFERROR(__xludf.DUMMYFUNCTION("GOOGLETRANSLATE(B19577, ""fr"", ""en"")"),"Very nice product. It is absolutely beautiful. The price is very affordable. The surface is smooth and well-proportioned. I highly recommend to those who love this style.")</f>
        <v>Very nice product. It is absolutely beautiful. The price is very affordable. The surface is smooth and well-proportioned. I highly recommend to those who love this style.</v>
      </c>
    </row>
    <row r="19578">
      <c r="A19578" s="1">
        <v>5.0</v>
      </c>
      <c r="B19578" s="1" t="s">
        <v>19256</v>
      </c>
      <c r="C19578" t="str">
        <f>IFERROR(__xludf.DUMMYFUNCTION("GOOGLETRANSLATE(B19578, ""fr"", ""en"")"),"It's a beautiful watch It's perfect for a man's wrist. It is perfectly right. It takes place in the sun for 15 minutes at the beginning and she leaves. True, he lacks a second hand but even neighborhood to 12,000 euros do not, the second hand is a lack of"&amp;" confidence.")</f>
        <v>It's a beautiful watch It's perfect for a man's wrist. It is perfectly right. It takes place in the sun for 15 minutes at the beginning and she leaves. True, he lacks a second hand but even neighborhood to 12,000 euros do not, the second hand is a lack of confidence.</v>
      </c>
    </row>
    <row r="19579">
      <c r="A19579" s="1">
        <v>5.0</v>
      </c>
      <c r="B19579" s="1" t="s">
        <v>19257</v>
      </c>
      <c r="C19579" t="str">
        <f>IFERROR(__xludf.DUMMYFUNCTION("GOOGLETRANSLATE(B19579, ""fr"", ""en"")"),"very good socks / quality Pairs of running socks / walk very comfortable Do not cut off circulation, More bottom of the foot pain after washing to do I recommend.")</f>
        <v>very good socks / quality Pairs of running socks / walk very comfortable Do not cut off circulation, More bottom of the foot pain after washing to do I recommend.</v>
      </c>
    </row>
    <row r="19580">
      <c r="A19580" s="1">
        <v>2.0</v>
      </c>
      <c r="B19580" s="1" t="s">
        <v>19258</v>
      </c>
      <c r="C19580" t="str">
        <f>IFERROR(__xludf.DUMMYFUNCTION("GOOGLETRANSLATE(B19580, ""fr"", ""en"")"),"tracksuit So it's cheap, it's small size, the fabric is very thin and does not seem very strong. the tracksuit in a shiny appearance that does not look like the photo. the hood is so great that your head disappear when the door !. Not worth more than the "&amp;"price at which it is sold.")</f>
        <v>tracksuit So it's cheap, it's small size, the fabric is very thin and does not seem very strong. the tracksuit in a shiny appearance that does not look like the photo. the hood is so great that your head disappear when the door !. Not worth more than the price at which it is sold.</v>
      </c>
    </row>
    <row r="19581">
      <c r="A19581" s="1">
        <v>1.0</v>
      </c>
      <c r="B19581" s="1" t="s">
        <v>19259</v>
      </c>
      <c r="C19581" t="str">
        <f>IFERROR(__xludf.DUMMYFUNCTION("GOOGLETRANSLATE(B19581, ""fr"", ""en"")"),"Dissatisfied Very very very disappointed with the purchases of these pairs of socks, their arrivals socks are two to three times three! So I took my size I made a 39-42 and there I literally swimming in it ..")</f>
        <v>Dissatisfied Very very very disappointed with the purchases of these pairs of socks, their arrivals socks are two to three times three! So I took my size I made a 39-42 and there I literally swimming in it ..</v>
      </c>
    </row>
    <row r="19582">
      <c r="A19582" s="1">
        <v>1.0</v>
      </c>
      <c r="B19582" s="1" t="s">
        <v>19260</v>
      </c>
      <c r="C19582" t="str">
        <f>IFERROR(__xludf.DUMMYFUNCTION("GOOGLETRANSLATE(B19582, ""fr"", ""en"")"),"INVICTA is very bad I have a problem also on a 8926 0B! Nickel for 4 months and suddenly the watch stops, even on the wrist, even after ""recovery"" by rotating the rotor! Very poor product, poor quality! I expect AMAZON information for what to do because"&amp;" I have exceeded the period of 30 days! :-( For a watch that is displayed at $ 320 it's a scandal!")</f>
        <v>INVICTA is very bad I have a problem also on a 8926 0B! Nickel for 4 months and suddenly the watch stops, even on the wrist, even after "recovery" by rotating the rotor! Very poor product, poor quality! I expect AMAZON information for what to do because I have exceeded the period of 30 days! :-( For a watch that is displayed at $ 320 it's a scandal!</v>
      </c>
    </row>
    <row r="19583">
      <c r="A19583" s="1">
        <v>3.0</v>
      </c>
      <c r="B19583" s="1" t="s">
        <v>19261</v>
      </c>
      <c r="C19583" t="str">
        <f>IFERROR(__xludf.DUMMYFUNCTION("GOOGLETRANSLATE(B19583, ""fr"", ""en"")"),"fat Right now, I is not even used this product, but is a plant based, I think that should do good.")</f>
        <v>fat Right now, I is not even used this product, but is a plant based, I think that should do good.</v>
      </c>
    </row>
    <row r="19584">
      <c r="A19584" s="1">
        <v>4.0</v>
      </c>
      <c r="B19584" s="1" t="s">
        <v>19262</v>
      </c>
      <c r="C19584" t="str">
        <f>IFERROR(__xludf.DUMMYFUNCTION("GOOGLETRANSLATE(B19584, ""fr"", ""en"")"),"Super kettle Ideal temperature finally infusion top top fast heats I recommend this product")</f>
        <v>Super kettle Ideal temperature finally infusion top top fast heats I recommend this product</v>
      </c>
    </row>
    <row r="19585">
      <c r="A19585" s="1">
        <v>4.0</v>
      </c>
      <c r="B19585" s="1" t="s">
        <v>19263</v>
      </c>
      <c r="C19585" t="str">
        <f>IFERROR(__xludf.DUMMYFUNCTION("GOOGLETRANSLATE(B19585, ""fr"", ""en"")"),"reliability bought troubleshooting (change of the main watch and small maintenance batteries) I was looking for a reliable readable shows without much gadgets. For two weeks she follows me in environments not very safe (handling and delivery) and I do not"&amp;" have to complain. Just a little regret aesthetically it is the thickness of the protective glass but we made it!")</f>
        <v>reliability bought troubleshooting (change of the main watch and small maintenance batteries) I was looking for a reliable readable shows without much gadgets. For two weeks she follows me in environments not very safe (handling and delivery) and I do not have to complain. Just a little regret aesthetically it is the thickness of the protective glass but we made it!</v>
      </c>
    </row>
    <row r="19586">
      <c r="A19586" s="1">
        <v>4.0</v>
      </c>
      <c r="B19586" s="1" t="s">
        <v>19264</v>
      </c>
      <c r="C19586" t="str">
        <f>IFERROR(__xludf.DUMMYFUNCTION("GOOGLETRANSLATE(B19586, ""fr"", ""en"")"),"slightly larger than if it seems! seems a little smaller on the photo")</f>
        <v>slightly larger than if it seems! seems a little smaller on the photo</v>
      </c>
    </row>
    <row r="19587">
      <c r="A19587" s="1">
        <v>4.0</v>
      </c>
      <c r="B19587" s="1" t="s">
        <v>19265</v>
      </c>
      <c r="C19587" t="str">
        <f>IFERROR(__xludf.DUMMYFUNCTION("GOOGLETRANSLATE(B19587, ""fr"", ""en"")"),"Very Good Good scrub, not too aggressive, texture is good, the product does not feel safe, it's a good scrub when you have dry skin.")</f>
        <v>Very Good Good scrub, not too aggressive, texture is good, the product does not feel safe, it's a good scrub when you have dry skin.</v>
      </c>
    </row>
    <row r="19588">
      <c r="A19588" s="1">
        <v>5.0</v>
      </c>
      <c r="B19588" s="1" t="s">
        <v>19266</v>
      </c>
      <c r="C19588" t="str">
        <f>IFERROR(__xludf.DUMMYFUNCTION("GOOGLETRANSLATE(B19588, ""fr"", ""en"")"),"This produti meets the standards of National Education for school year 2019-2020 Suitable for High School 2019-2020 school year")</f>
        <v>This produti meets the standards of National Education for school year 2019-2020 Suitable for High School 2019-2020 school year</v>
      </c>
    </row>
    <row r="19589">
      <c r="A19589" s="1">
        <v>5.0</v>
      </c>
      <c r="B19589" s="1" t="s">
        <v>19267</v>
      </c>
      <c r="C19589" t="str">
        <f>IFERROR(__xludf.DUMMYFUNCTION("GOOGLETRANSLATE(B19589, ""fr"", ""en"")"),"Good product Set of 3 bottles and a baby pacifier from 0 to 6 months. There are two bottles of 240ml and one bottle of 120ml, they are made of glass and is thus avoided to have bottles with plastic. The glass is thick and is resistant to thermal shock can"&amp;" be smoothly put in the refrigerator, in the microwave or sterilizer. Nipples of baby bottles have anti colic valve and they mimic the shape of the breast, they are also well suited for infant formula. My baby had no problems to spend another bottle to th"&amp;"ose. This is a very useful baby gift for a girl or a boy because the bottles are white and therefore neutral. I recommend.")</f>
        <v>Good product Set of 3 bottles and a baby pacifier from 0 to 6 months. There are two bottles of 240ml and one bottle of 120ml, they are made of glass and is thus avoided to have bottles with plastic. The glass is thick and is resistant to thermal shock can be smoothly put in the refrigerator, in the microwave or sterilizer. Nipples of baby bottles have anti colic valve and they mimic the shape of the breast, they are also well suited for infant formula. My baby had no problems to spend another bottle to those. This is a very useful baby gift for a girl or a boy because the bottles are white and therefore neutral. I recommend.</v>
      </c>
    </row>
    <row r="19590">
      <c r="A19590" s="1">
        <v>5.0</v>
      </c>
      <c r="B19590" s="1" t="s">
        <v>19268</v>
      </c>
      <c r="C19590" t="str">
        <f>IFERROR(__xludf.DUMMYFUNCTION("GOOGLETRANSLATE(B19590, ""fr"", ""en"")"),"Excellent Excellent")</f>
        <v>Excellent Excellent</v>
      </c>
    </row>
    <row r="19591">
      <c r="A19591" s="1">
        <v>5.0</v>
      </c>
      <c r="B19591" s="1" t="s">
        <v>19269</v>
      </c>
      <c r="C19591" t="str">
        <f>IFERROR(__xludf.DUMMYFUNCTION("GOOGLETRANSLATE(B19591, ""fr"", ""en"")"),"Bluetooth headset battery Seeking Bluetooth headphones, I saw that! Headphones makes charging the phone at the same time, I immediately bought. And after a week of testing I found that the headphones at a very crisp, well more I serve as a backup battery "&amp;"handy when one is shorted 😂😂")</f>
        <v>Bluetooth headset battery Seeking Bluetooth headphones, I saw that! Headphones makes charging the phone at the same time, I immediately bought. And after a week of testing I found that the headphones at a very crisp, well more I serve as a backup battery handy when one is shorted 😂😂</v>
      </c>
    </row>
    <row r="19592">
      <c r="A19592" s="1">
        <v>5.0</v>
      </c>
      <c r="B19592" s="1" t="s">
        <v>19270</v>
      </c>
      <c r="C19592" t="str">
        <f>IFERROR(__xludf.DUMMYFUNCTION("GOOGLETRANSLATE(B19592, ""fr"", ""en"")"),"great for work Purchased for my 18 year old son who works outside, he is delighted. They are low and the colors make these socks work nicer. Moreover he said that they are very soft on the inside and for the price it should not hesitate")</f>
        <v>great for work Purchased for my 18 year old son who works outside, he is delighted. They are low and the colors make these socks work nicer. Moreover he said that they are very soft on the inside and for the price it should not hesitate</v>
      </c>
    </row>
    <row r="19593">
      <c r="A19593" s="1">
        <v>5.0</v>
      </c>
      <c r="B19593" s="1" t="s">
        <v>19271</v>
      </c>
      <c r="C19593" t="str">
        <f>IFERROR(__xludf.DUMMYFUNCTION("GOOGLETRANSLATE(B19593, ""fr"", ""en"")"),"Very happy Bought it about a month ago, I sometimes door 10 hours a day, it relatively light and very comfortable. I recommend.")</f>
        <v>Very happy Bought it about a month ago, I sometimes door 10 hours a day, it relatively light and very comfortable. I recommend.</v>
      </c>
    </row>
    <row r="19594">
      <c r="A19594" s="1">
        <v>5.0</v>
      </c>
      <c r="B19594" s="1" t="s">
        <v>19272</v>
      </c>
      <c r="C19594" t="str">
        <f>IFERROR(__xludf.DUMMYFUNCTION("GOOGLETRANSLATE(B19594, ""fr"", ""en"")"),"Juicy Trendz Women Dames Printed Hoody Juicy Trendz Women Dames Printed Sweat Hoodie combination is very comfortable to wear and very convenient with all his pockets.")</f>
        <v>Juicy Trendz Women Dames Printed Hoody Juicy Trendz Women Dames Printed Sweat Hoodie combination is very comfortable to wear and very convenient with all his pockets.</v>
      </c>
    </row>
    <row r="19595">
      <c r="A19595" s="1">
        <v>5.0</v>
      </c>
      <c r="B19595" s="1" t="s">
        <v>19273</v>
      </c>
      <c r="C19595" t="str">
        <f>IFERROR(__xludf.DUMMYFUNCTION("GOOGLETRANSLATE(B19595, ""fr"", ""en"")"),"Bag Dimensions Dimensions ideal for a trip Ryanair cabin. Super convenient to stay the course")</f>
        <v>Bag Dimensions Dimensions ideal for a trip Ryanair cabin. Super convenient to stay the course</v>
      </c>
    </row>
    <row r="19596">
      <c r="A19596" s="1">
        <v>5.0</v>
      </c>
      <c r="B19596" s="1" t="s">
        <v>19274</v>
      </c>
      <c r="C19596" t="str">
        <f>IFERROR(__xludf.DUMMYFUNCTION("GOOGLETRANSLATE(B19596, ""fr"", ""en"")"),"Which shoe to my foot? I have a difficult foot (wide) to put on and for years I only wear GEOX this model.")</f>
        <v>Which shoe to my foot? I have a difficult foot (wide) to put on and for years I only wear GEOX this model.</v>
      </c>
    </row>
    <row r="19597">
      <c r="A19597" s="1">
        <v>5.0</v>
      </c>
      <c r="B19597" s="1" t="s">
        <v>19275</v>
      </c>
      <c r="C19597" t="str">
        <f>IFERROR(__xludf.DUMMYFUNCTION("GOOGLETRANSLATE(B19597, ""fr"", ""en"")"),"100 Germanus Cure Pipe White Employee simply to clean out my pipes. Excellent result.")</f>
        <v>100 Germanus Cure Pipe White Employee simply to clean out my pipes. Excellent result.</v>
      </c>
    </row>
    <row r="19598">
      <c r="A19598" s="1">
        <v>5.0</v>
      </c>
      <c r="B19598" s="1" t="s">
        <v>19276</v>
      </c>
      <c r="C19598" t="str">
        <f>IFERROR(__xludf.DUMMYFUNCTION("GOOGLETRANSLATE(B19598, ""fr"", ""en"")"),"Perfect Met my expectations. To future buyers, pay attention to the US conversion - EN Take a half size bigger. Quick delivery.")</f>
        <v>Perfect Met my expectations. To future buyers, pay attention to the US conversion - EN Take a half size bigger. Quick delivery.</v>
      </c>
    </row>
    <row r="19599">
      <c r="A19599" s="1">
        <v>5.0</v>
      </c>
      <c r="B19599" s="1" t="s">
        <v>19277</v>
      </c>
      <c r="C19599" t="str">
        <f>IFERROR(__xludf.DUMMYFUNCTION("GOOGLETRANSLATE(B19599, ""fr"", ""en"")"),"Expensive but efficient These bags are expensive actually seen the final use ... But in three months I have not had to mourn leak or tear. Whereas before if a leak I had to double or even triple! Not economic at all! The trash used is not the same brand y"&amp;"et they fit it perfectly :)")</f>
        <v>Expensive but efficient These bags are expensive actually seen the final use ... But in three months I have not had to mourn leak or tear. Whereas before if a leak I had to double or even triple! Not economic at all! The trash used is not the same brand yet they fit it perfectly :)</v>
      </c>
    </row>
    <row r="19600">
      <c r="A19600" s="1">
        <v>5.0</v>
      </c>
      <c r="B19600" s="1" t="s">
        <v>19278</v>
      </c>
      <c r="C19600" t="str">
        <f>IFERROR(__xludf.DUMMYFUNCTION("GOOGLETRANSLATE(B19600, ""fr"", ""en"")"),"Very good &lt;div id = ""video-block-R1P948C9SY6YXE"" class = ""a-section-spacing-small-spacing has-top video mini-block""&gt; &lt;div tabindex = ""0"" class = ""airy airy- svg vmin-supported airy-skin-beacon ""style ="" background-color: rgb (0, 0, 0); position: "&amp;"relative; width: 100%; height: 100%; font-size: 0px; overflow: hidden; outline: none; ""&gt; &lt;div class ="" airy-renderer-container ""style ="" position: relative; height: 100%; width: 100%; ""&gt; &lt;video id ="" 31 ""preload ="" auto ""src = ""https://images-eu"&amp;".ssl-images-amazon.com/images/I/81hxAOySZ5S.mp4"" style = ""position: absolute; left: 0px; top: 0px; overflow: hidden; height: 1px; width: 1px; ""&gt; &lt;/ video&gt; &lt;/ div&gt; &lt;div id ="" airy-slate-preload ""style ="" background-color: rgb (0, 0, 0); background-im"&amp;"age: url (&amp; quot; https: / /images-eu.ssl-images-amazon.com/images/I/91A2ml2R7dS.png&amp;quot;); background-size: contain; background-position: center center; background-repeat: no-repeat; position: absolute; top: 0px; left: 0px; visibility: visible; width: 1"&amp;"00%; height: 100% ""&gt; &lt;/ div&gt; &lt;iframe scrol ling = ""no"" frameborder = ""0"" src = ""about: blank"" style = ""display: none;""&gt; &lt;/ iframe&gt; &lt;div tabindex = ""- 1"" class = ""airy-controls-container"" style = "" opacity: 0; visibility: hidden; ""&gt; &lt;div tab"&amp;"index ="" - 1 ""class ="" airy-screen-size-toggle airy-fullscreen ""&gt; &lt;/ div&gt; &lt;div tabindex ="" - 1 ""class ="" airy-container-bottom "" &gt; &lt;div tabindex = ""- 1"" class = ""airy-track-bar spacer-left"" style = ""width: 11px;""&gt; &lt;/ div&gt; &lt;div tabindex = ""-"&amp;" 1"" class = ""airy-play- toggle airy-play ""style ="" width: 12px; margin-right: 12px; ""&gt; &lt;/ div&gt; &lt;div tabindex ="" - 1 ""class ="" airy-audio-elements ""style ="" float: right; width: 34px; ""&gt; &lt;div tabindex ="" - 1 ""class ="" airy-audio-toggle airy-o"&amp;"n ""&gt; &lt;/ div&gt; &lt;div tabindex ="" - 1 ""class ="" airy-audio-container ""style = ""opacity: 0; visibility: hidden; ""&gt; &lt;div tabindex ="" - 1 ""class ="" airy-audio-track-bar ""style ="" height: 80%; ""&gt; &lt;div tabindex ="" - 1 ""class ="" airy-audio- scrubber"&amp;" bar ""style ="" height: 85% ""&gt; &lt;/ div&gt; &lt;div tabindex ="" - 1 ""class ="" airy-audio-scrubber ""style ="" height: 12px; bottom: 85% ""&gt; &lt;/ div&gt; &lt;/ div&gt; &lt;/ div&gt; &lt;/ div&gt; &lt;div tabindex ="" - 1 ""class ="" airy-duration-label ""style ="" float: right; width:"&amp;" 26px; margin-right: 4px; text-align: center; ""&gt; 0:00 &lt;/ div&gt; &lt;div tabindex ="" - 1 ""class ="" airy-track-bar spacer-right ""style ="" float: right; width: 11px; ""&gt; &lt;/ div&gt; &lt;div tabindex ="" - 1 ""class ="" airy-track-bar-container ""style ="" margin-l"&amp;"eft: 35px; margin-right: 75px; ""&gt; &lt;div tabindex ="" - 1 ""class ="" airy-airy-track-bar vertical-centering-table ""&gt; &lt;div tabindex ="" - 1 ""class ="" airy-vertical-centering- table-cell ""&gt; &lt;div tabindex ="" - 1 ""class ="" airy-track-bar elements ""&gt; &lt;"&amp;"div tabindex ="" - 1 ""class ="" airy-progress bar ""&gt; &lt;/ div&gt; &lt;div tabindex = ""- 1"" class = ""airy-scrubber bar""&gt; &lt;/ div&gt; &lt;div tabindex = ""- 1"" class = ""airy-scrubber""&gt; &lt;div tabindex = ""- 1"" class = ""airy-scrubber- icon ""&gt; &lt;/ div&gt; &lt;div tabinde"&amp;"x ="" - 1 ""class ="" airy-adjusted-aui-tooltip ""style ="" opacity: 0; visibility: hidden; ""&gt; &lt;div tabindex ="" - 1 ""class ="" airy-adjusted-aui-tooltip-inner ""&gt; &lt;div tabindex ="" - 1 ""class ="" airy-current-time-label ""&gt; 0 00 &lt;/ div&gt; &lt;/ div&gt; &lt;div t"&amp;"abindex = ""- 1"" class = ""airy-adjusted-aui-arrow-border""&gt; &lt;div tabindex = ""- 1"" class = ""airy-adjusted-aui-arrow"" &gt; &lt;/ div&gt; &lt;/ div&gt; &lt;/ div&gt; &lt;/ div&gt; &lt;/ div&gt; &lt;/ div&gt; &lt;/ div&gt; &lt;/ div&gt; &lt;/ div&gt; &lt;/ div&gt; &lt;div tabindex = ""- 1"" class = ""airy-airy-age-gat"&amp;"e course airy-vertical-centering table-airy-dialog"" style = ""opacity: 0; visibility: hidden; ""&gt; &lt;div tabindex ="" - 1 ""class ="" airy-age-gate-vertical-centering-table-cell airy-vertical-centering-table-cell ""&gt; &lt;div tabindex ="" - 1 ""class = ""airy-"&amp;"vertical-centering-wrapper airy-age-gate-elements-wrapper""&gt; &lt;div tabindex = ""- 1"" class = ""airy-age-gate-elements airy-dialog-elements""&gt; &lt;div tabindex = "" -1 ""class ="" airy-age-gate-prompt ""&gt; This video is not Intended for all audiences What time"&amp;" were you born &lt;/ div&gt; &lt;div tabindex =.?"" - 1 ""class ="" airy-age-gate -inputs airy-dialog-inner-elements ""&gt; &lt;select tabindex ="" - 1 ""class ="" airy-age-gate-month ""&gt; &lt;option value ="" 1 ""&gt; January &lt;/ option&gt; &lt;option value ="" 2 ""&gt; February &lt;/ opt"&amp;"ion&gt; &lt;option value ="" 3 ""&gt; March &lt;/ option&gt; &lt;option value ="" 4 ""&gt; April &lt;/ option&gt; &lt;option value ="" 5 ""&gt; May &lt;/ option&gt; &lt;option value = ""6""&gt; June &lt;/ option&gt; &lt;option value = ""7""&gt; July &lt;/ option&gt; &lt;option value = ""8""&gt; August &lt;/ option&gt; &lt;option va"&amp;"lue = ""9""&gt; September &lt;/ option&gt; &lt;option value = ""10""&gt; October &lt;/ option&gt; &lt;option value = ""11""&gt; November &lt;/ option&gt; &lt;option value = ""12""&gt; December &lt;/ option&gt; &lt;/ select&gt; &lt;select tabindex = ""- 1"" class = ""airy-age-gate-day""&gt; &lt;opti = One value ""1"&amp;"""&gt; 1 &lt;/ option&gt; &lt;option value = ""2""&gt; 2 &lt;/ option&gt; &lt;option value = ""3""&gt; 3 &lt;/ option&gt; &lt;option value = ""4""&gt; 4 &lt;/ option &gt; &lt;option value = ""5""&gt; 5 &lt;/ option&gt; &lt;option value = ""6""&gt; 6 &lt;/ option&gt; &lt;option value = ""7""&gt; 7 &lt;/ option&gt; &lt;option value = ""8"""&amp;"&gt; 8 &lt; / option&gt; &lt;option value = ""9""&gt; 9 &lt;/ option&gt; &lt;option value = ""10""&gt; 10 &lt;/ option&gt; &lt;option value = ""11""&gt; 11 &lt;/ option&gt; &lt;option value = ""12""&gt; 12 &lt;/ option&gt; &lt;option value = ""13""&gt; 13 &lt;/ option&gt; &lt;option value = ""14""&gt; 14 &lt;/ option&gt; &lt;option value"&amp;" = ""15""&gt; 15 &lt;/ option&gt; &lt;option value = ""16 ""&gt; 16 &lt;/ option&gt; &lt;option value ="" 17 ""&gt; 17 &lt;/ option&gt; &lt;option value ="" 18 ""&gt; 18 &lt;/ option&gt; &lt;option value ="" 19 ""&gt; 19 &lt;/ option&gt; &lt;option value = ""20""&gt; 20 &lt;/ option&gt; &lt;option value = ""21""&gt; 21 &lt;/ option"&amp;"&gt; &lt;option value = ""22""&gt; 22 &lt;/ option&gt; &lt;option value = ""23""&gt; 23 &lt;/ option&gt; &lt;option value = ""24""&gt; 24 &lt;/ option&gt; &lt;option value = ""25""&gt; 25 &lt;/ option&gt; &lt;option value = ""26""&gt; 26 &lt;/ option&gt; &lt;option value = ""27""&gt; 27 &lt;/ option&gt; &lt;option value = ""28""&gt; 2"&amp;"8 &lt;/ option&gt; &lt;option value = ""29""&gt; 29 &lt;/ option&gt; &lt;option value = ""30""&gt; 30 &lt;/ option&gt; &lt;option value = ""31""&gt; 31 &lt;/ option&gt; &lt;/ select&gt; &lt;select tabindex = ""- 1"" class = ""airy-age-gate-year""&gt; &lt;option value = ""2019""&gt; 2019 &lt;/ option&gt; &lt; option value ="&amp;" ""2018""&gt; 2018 &lt;/ option&gt; &lt;option value = ""2017""&gt; 2017 &lt;/ option&gt; &lt;option value = ""2016""&gt; ​​2016 &lt;/ option&gt; &lt;option value = ""2015""&gt; 2015 &lt;/ option &gt; &lt;option value = ""2014""&gt; 2014 &lt;/ option&gt; &lt;option value = ""2013""&gt; 2013 &lt;/ option&gt; &lt;option value ="&amp;" ""2012""&gt; 2012 &lt;/ option&gt; &lt;option value = ""2011""&gt; 2011 &lt; / option&gt; &lt;option value = ""2010""&gt; 2010 &lt;/ option&gt; &lt;option value = ""2009""&gt; 2009 &lt;/ option&gt; &lt;option value = ""2008""&gt; 2008 &lt;/ option&gt; &lt;option value = ""2007""&gt; 2007 &lt;/ option&gt; &lt;option value = "&amp;"""2006""&gt; 2006 &lt;/ option&gt; &lt;option value = ""2005""&gt; 2005 &lt;/ option&gt; &lt;option value = ""2004""&gt; 2004 &lt;/ option&gt; &lt;option value = ""2003 ""&gt; 2003 &lt;/ option&gt; &lt;option value ="" 2002 ""&gt; 2002 &lt;/ option&gt; &lt;option value ="" 2001 ""&gt; 2001 &lt;/ option&gt; &lt;option value ="&amp;""" 2000 ""&gt; 2000 &lt;/ option&gt; &lt;option value = ""1999""&gt; 1999 &lt;/ option&gt; &lt;option value = ""1998""&gt; 1998 &lt;/ option&gt; &lt;option value = ""1997""&gt; 1997 &lt;/ option&gt; &lt;option value = ""1996""&gt; 1996 &lt;/ option&gt; &lt;option value = ""1995""&gt; 1995 &lt;/ option&gt; &lt;option value = "&amp;"""1994""&gt; 1994 &lt;/ option&gt; &lt;option value = ""1993""&gt; 1993 &lt;/ option&gt; &lt;option value = ""1992""&gt; 1992 &lt;/ option&gt; &lt;option value = ""1991""&gt; 1991 &lt;/ option&gt; &lt;option value = ""1990""&gt; 1990 &lt;/ option&gt; &lt;option value = "" 1989 ""&gt; 1989 &lt;/ option&gt; &lt;option value ="""&amp;" 1988 ""&gt; 1988 &lt;/ option&gt; &lt;option value ="" 1987 ""&gt; 1987 &lt;/ option&gt; &lt;option value ="" 1986 ""&gt; 1986 &lt;/ option&gt; &lt;option value = ""1985""&gt; 1985 &lt;/ option&gt; &lt;option value = ""1984""&gt; 1984 &lt;/ option&gt; &lt;option value = ""1983""&gt; 1983 &lt;/ option&gt; &lt;option value = "&amp;"""1982""&gt; 1982 &lt;/ option&gt; &lt; option value = ""1981""&gt; 1981 &lt;/ option&gt; &lt;option value = ""1980""&gt; 1980 &lt;/ option&gt; &lt;option value = ""1979""&gt; 1979 &lt;/ option&gt; &lt;option value = ""1978""&gt; 1978 &lt;/ option &gt; &lt;option value = ""1977""&gt; 1977 &lt;/ option&gt; &lt;option value = "&amp;"""1976""&gt; 1976 &lt;/ option&gt; &lt;option value = ""1975""&gt; 1975 &lt;/ option&gt; &lt;option value = ""1974""&gt; 1974 &lt; / option&gt; &lt;option value = ""1973""&gt; 1973 &lt;/ option&gt; &lt;option value = ""1972""&gt; 1972 &lt;/ option&gt; &lt;option value = ""1971""&gt; 1971 &lt;/ option&gt; &lt;option value = """&amp;"1970""&gt; 1970 &lt;/ option&gt; &lt;option value = ""1969""&gt; 1969 &lt;/ option&gt; &lt;option value = ""1968""&gt; 1968 &lt;/ option&gt; &lt;option value = ""1967""&gt; 1967 &lt;/ option&gt; &lt;option value = ""1966 ""&gt; 1966 &lt;/ option&gt; &lt;option value ="" 1965 ""&gt; 1965 &lt;/ option&gt; &lt;option value ="" 1"&amp;"964 ""&gt; 1964 &lt;/ option&gt; &lt;option value ="" 1963 ""&gt; 1963 &lt;/ option&gt; &lt;option value = ""1962""&gt; 1962 &lt;/ option&gt; &lt;option value = ""1961""&gt; 1961 &lt;/ option&gt; &lt;option value = ""1960""&gt; 1960 &lt;/ op tion&gt; &lt;option value = ""1959""&gt; 1959 &lt;/ option&gt; &lt;option value = ""1"&amp;"958""&gt; 1958 &lt;/ option&gt; &lt;option value = ""1957""&gt; 1957 &lt;/ option&gt; &lt;option value = ""1956""&gt; 1956 &lt;/ option&gt; &lt;option value = ""1955""&gt; 1955 &lt;/ option&gt; &lt;option value = ""1954""&gt; 1954 &lt;/ option&gt; &lt;option value = ""1953""&gt; 1953 &lt;/ option&gt; &lt;option value = ""1952"&amp;""" &gt; 1952 &lt;/ option&gt; &lt;option value = ""1951""&gt; 1951 &lt;/ option&gt; &lt;option value = ""1950""&gt; 1950 &lt;/ option&gt; &lt;option value = ""1949""&gt; 1949 &lt;/ option&gt; &lt;option value = "" 1948 ""&gt; 1948 &lt;/ option&gt; &lt;option value ="" 1947 ""&gt; 1947 &lt;/ option&gt; &lt;option value ="" 194"&amp;"6 ""&gt; 1946 &lt;/ option&gt; &lt;option value ="" 1945 ""&gt; 1945 &lt;/ option&gt; &lt;option value = ""1944""&gt; 1944 &lt;/ option&gt; &lt;option value = ""1943""&gt; 1943 &lt;/ option&gt; &lt;option value = ""1942""&gt; 1942 &lt;/ option&gt; &lt;option value = ""1941""&gt; 1941 &lt;/ option&gt; &lt; option value = ""194"&amp;"0""&gt; 1940 &lt;/ option&gt; &lt;option value = ""1939""&gt; 1939 &lt;/ option&gt; &lt;option value = ""1938""&gt; 1938 &lt;/ option&gt; &lt;option value = ""1937""&gt; 1937 &lt;/ option &gt; &lt;option value = ""1936""&gt; 1936 &lt;/ option&gt; &lt;option value = ""1935""&gt; 1935 &lt;/ option&gt; &lt;option value = ""1934"&amp;"""&gt; 1934 &lt;/ option&gt; &lt;option value = ""1933""&gt; 1933 &lt; / option&gt; &lt;option value = ""1932""&gt; 1932 &lt;/ option&gt; &lt;option value = ""1931""&gt; 1931 &lt;/ option&gt; &lt;option v alue = ""1930""&gt; 1930 &lt;/ option&gt; &lt;option value = ""1929""&gt; 1929 &lt;/ option&gt; &lt;option value = ""1928"&amp;"""&gt; 1928 &lt;/ option&gt; &lt;option value = ""1927""&gt; 1927 &lt;/ option&gt; &lt;option value = ""1926""&gt; 1926 &lt;/ option&gt; &lt;option value = ""1925""&gt; 1925 &lt;/ option&gt; &lt;option value = ""1924""&gt; 1924 &lt;/ option&gt; &lt;option value = ""1923""&gt; 1923 &lt;/ option&gt; &lt;option value = ""1922""&gt;"&amp;" 1922 &lt;/ option&gt; &lt;option value = ""1921""&gt; 1921 &lt;/ option&gt; &lt;option value = ""1920""&gt; 1920 &lt;/ option&gt; &lt;option value = ""1919""&gt; 1919 &lt;/ option&gt; &lt;option value = ""1918""&gt; 1918 &lt;/ option&gt; &lt;option value = ""1917""&gt; 1917 &lt;/ option&gt; &lt;option value = ""1916""&gt; 19"&amp;"16 &lt;/ option&gt; &lt;option value = ""1915"" &gt; 1915 &lt;/ option&gt; &lt;option value = ""1914""&gt; 1914 &lt;/ option&gt; &lt;option value = ""1913""&gt; 1913 &lt;/ option&gt; &lt;option value = ""1912""&gt; 1912 &lt;/ option&gt; &lt;option value = "" 1911 ""&gt; 1911 &lt;/ option&gt; &lt;option value ="" 1910 ""&gt; 1"&amp;"910 &lt;/ option&gt; &lt;option value ="" 1909 ""&gt; 1909 &lt;/ option&gt; &lt;option value ="" 1908 ""&gt; 1908 &lt;/ option&gt; &lt;option value = ""1907""&gt; 1907 &lt;/ option&gt; &lt;option value = ""1906""&gt; 1906 &lt;/ option&gt; &lt;option value = ""1905""&gt; 1905 &lt;/ option&gt; &lt;option value = ""1904""&gt; 19"&amp;"04 &lt;/ option&gt; &lt; option value = ""1903""&gt; 1903 &lt;/ option&gt; &lt;option value = ""1902""&gt; 1902 &lt;/ option&gt; &lt;option value = ""1901""&gt; 19 01 &lt;/ option&gt; &lt;option value = ""1900""&gt; 1900 &lt;/ option&gt; &lt;/ select&gt; &lt;div tabindex = ""- 1"" class = ""airy-age-gate-submit airy-"&amp;"submit-button airy airy-submit- disabled ""&gt; Submit &lt;/ div&gt; &lt;/ div&gt; &lt;/ div&gt; &lt;/ div&gt; &lt;/ div&gt; &lt;/ div&gt; &lt;div tabindex ="" - 1 ""class ="" airy-install-flash-dialog airy-course airy -Vertical-centering-table dialog airy-airy-denied ""style ="" opacity: 0; visi"&amp;"bility: hidden; ""&gt; &lt;div tabindex ="" - 1 ""class ="" airy-install-flash-vertical-centering-table-cell airy-vertical-centering-table-cell ""&gt; &lt;div tabindex ="" - 1 ""class = ""airy-vertical-centering-wrapper airy-install-flash-elements-wrapper""&gt; &lt;div tab"&amp;"index = ""- 1"" class = ""airy-install-flash-elements airy-dialog-elements""&gt; &lt;div tabindex = "" -1 ""class ="" airy-install-flash-prompt ""&gt; Adobe Flash Player is required to watch this video &lt;/ div&gt; &lt;div = tabindex."" - 1 ""class ="" airy-install-flash-"&amp;"button-wrapper airy -dialog-inner-elements ""&gt; &lt;div tabindex ="" - 1 ""class ="" airy-install-flash-button airy-button ""&gt; install Flash Player &lt;/ div&gt; &lt;/ div&gt; &lt;/ div&gt; &lt;/ div&gt; &lt;/ div&gt; &lt;/ div&gt; &lt;div tabindex = ""- 1"" class = ""airy-video-unsupported-dialog"&amp;" airy-course airy-vertical-centering table-airy-dialog airy-denied"" style = ""opacity: 0; visibility: hidden; ""&gt; &lt;div tabindex ="" - 1 ""class ="" airy-video-unsupported-vertical-centering-table-cell airy-vertical-centering-table-cell ""&gt; &lt;div tabindex "&amp;"="" - 1 ""class = ""airy-vertical-centering-wrapper airy-video-unsupported-elements-wrapper""&gt; &lt;div tabindex = ""- 1"" class = ""airy-video-unsupported-elements airy-dialog-elements""&gt; &lt;div tabindex = "" -1 ""class ="" airy-video-unsupported-prompt ""&gt; &lt;/"&amp;" div&gt; &lt;/ div&gt; &lt;/ div&gt; &lt;/ div&gt; &lt;/ div&gt; &lt;div tabindex ="" - 1 ""class ="" airy-loading- spinner-stage airy-stage ""&gt; &lt;div tabindex ="" - 1 ""class ="" airy-loading-spinner-vertical-centering-table-cell airy-vertical-centering-table-cell ""&gt; &lt;div tabindex ="&amp;""" - 1 ""class ="" airy-loading-spinner container airy-scalable-hint-container ""&gt; &lt;div tabindex ="" - 1 ""class ="" airy-loading-spinner-dummy airy-scalable-dummy ""&gt; &lt;/ div&gt; &lt; div tabindex = ""- 1"" class = ""airy-loading-spinner airy-hint"" style = ""v"&amp;"isibility: hidden;""&gt; &lt;/ div&gt; &lt;/ div&gt; &lt;/ div&gt; &lt;/ div&gt; &lt;div tabindex = ""- 1 ""class ="" airy-ads-screen-size-toggle airy-screen-size-toggle airy-fullscreen ""style ="" visibility: hidden; ""&gt; &lt;/ div&gt; &lt;div tabindex = ""-1"" class = ""airy-ad-prompt-contain"&amp;"er"" style = ""visibility: hidden;""&gt; &lt;div tabindex = ""- 1"" class = ""airy-ad-prompt-vertical-centering table-airy-vertical- centering-table ""&gt; &lt;div tabindex ="" - 1 ""class ="" airy-ad-prompt-vertical-centering-table-cell airy-vertical-centering-table"&amp;"-cell ""&gt; &lt;div tabindex ="" - 1 ""class = ""airy-ad-prompt-label""&gt; &lt;/ div&gt; &lt;/ div&gt; &lt;/ div&gt; &lt;/ div&gt; &lt;div tabindex = ""- 1"" class = ""airy-ads-controls-container"" style = ""visibility: hidden; ""&gt; &lt;div tabindex ="" - 1 ""class ="" airy-ads-audio-toggle a"&amp;"iry-audio-toggle airy-on ""style ="" visibility: hidden; ""&gt; &lt;/ div&gt; &lt;div tabindex ="" - 1 ""class ="" airy-time-remaining-label-container ""&gt; &lt;div tabindex ="" - 1 ""class ="" airy-time-remaining-vertical-centering table-airy-vertical-centering-table ""&gt;"&amp;" &lt;div tabindex = ""- 1"" class = ""airy-time-remaining-vertical-centering-table-cell airy-vertical-centering-table-cell""&gt; &lt;div tabindex = ""- 1"" class = ""airy-vertical-centering-wrapper airy-time-remaining-label-wrapper ""&gt; &lt;div tabindex ="" - 1 ""clas"&amp;"s ="" airy-time-remaining-label ""style ="" visibility: hidden; ""&gt; &lt;/ div&gt; &lt;div tabi ndex = ""- 1"" class = ""airy-ad-skip"" style = ""visibility: hidden;""&gt; &lt;/ div&gt; &lt;div tabindex = ""- 1"" class = ""airy-ad-end"" style = ""visibility: hidden; ""&gt; &lt;/ div"&amp;"&gt; &lt;/ div&gt; &lt;/ div&gt; &lt;/ div&gt; &lt;/ div&gt; &lt;div tabindex ="" - 1 ""class ="" airy-learn-more ""style ="" visibility: hidden; ""&gt; &lt;/ div&gt; &lt;/ div&gt; &lt;div tabindex = ""- 1"" class = ""airy-play-toggle-hint-stage airy-course airy-cursor""&gt; &lt;div tabindex = ""- 1"" class "&amp;"= ""airy-play -toggle-hint-vertical-centering-table-cell airy-vertical-centering-table-cell airy-cursor ""&gt; &lt;div tabindex ="" - 1 ""class ="" airy-play-toggle-hint-container airy-scalable- hint-container ""&gt; &lt;div tabindex ="" - 1 ""class ="" airy-play-tog"&amp;"gle-hint-dummy airy-scalable-dummy ""&gt; &lt;/ div&gt; &lt;div tabindex ="" - 1 ""class ="" airy-play -toggle airy-hint-hint-hint airy-play ""style ="" opacity: 1; visibility: visible; ""&gt; &lt;/ div&gt; &lt;/ div&gt; &lt;/ div&gt; &lt;/ div&gt; &lt;div tabindex ="" - 1 ""class ="" airy-replay"&amp;"-hint-stage airy-stage ""style ="" visibility: hidden ; ""&gt; &lt;div tabindex ="" - 1 ""class ="" airy-replay-hint-vertical-centering-table-cell airy-vertical-centering-table-cell airy-cursor ""&gt; &lt;div tabindex ="" - 1 ""class = ""airy-replay-hint-container ai"&amp;"ry-scalable-hint-container""&gt; &lt;div tabindex = ""- 1"" class = ""airy-replay-hint-dummy airy-scalable-dummy""&gt; &lt;/ div&gt; &lt;div tabindex = ""- 1"" class = ""airy-replay-hint airy-hint""&gt; &lt;/ div&gt; &lt;/ div&gt; &lt;/ div&gt; &lt;/ div&gt; &lt;div tabindex = ""- 1"" class = ""airy-au"&amp;"toplay-hint -stage airy-stage ""style ="" visibility: hidden; ""&gt; &lt;div tabindex ="" - 1 ""class ="" airy-autoplay-hint-vertical-centering-table-cell airy-vertical-centering-table-cell airy- cursor ""&gt; &lt;div tabindex ="" - 1 ""class ="" autoplay airy-airy-h"&amp;"int-container-scalable-hint-container ""&gt; &lt;div tabindex ="" - 1 ""class ="" airy-autoplay-hint-dummy airy- scalable-dummy ""&gt; &lt;/ div&gt; &lt;/ div&gt; &lt;/ div&gt; &lt;/ div&gt; &lt;/ div&gt; &lt;/ div&gt; &lt;input type ="" hidden ""name ="" ""value ="" https: // pictures-eu .ssl-image am"&amp;"azon.com / images / I / 81hxAOySZ5S.mp4 ""Class ="" video-url ""&gt; &lt;input type ="" hidden ""name ="" ""value ="" https://images-eu.ssl-images-amazon.com/images/I/91A2ml2R7dS.png ""class ="" video-slate-img-url ""&gt; &amp; nbsp; using headphones is very intuitive"&amp;". I like the quality of sound and carried away, up to 10m in an apartment with thick walls. I was able to test others and those are the most fun to use.")</f>
        <v>Very good &lt;div id = "video-block-R1P948C9SY6YXE" class = "a-section-spacing-small-spacing has-top video mini-block"&gt; &lt;div tabindex = "0" class = "airy airy- svg vmin-supported airy-skin-beacon "style =" background-color: rgb (0, 0, 0); position: relative; width: 100%; height: 100%; font-size: 0px; overflow: hidden; outline: none; "&gt; &lt;div class =" airy-renderer-container "style =" position: relative; height: 100%; width: 100%; "&gt; &lt;video id =" 31 "preload =" auto "src = "https://images-eu.ssl-images-amazon.com/images/I/81hxAOySZ5S.mp4" style = "position: absolute; left: 0px; top: 0px; overflow: hidden; height: 1px; width: 1px; "&gt; &lt;/ video&gt; &lt;/ div&gt; &lt;div id =" airy-slate-preload "style =" background-color: rgb (0, 0, 0); background-image: url (&amp; quot; https: / /images-eu.ssl-images-amazon.com/images/I/91A2ml2R7dS.png&amp;quot;); background-size: contain; background-position: center center; background-repeat: no-repeat; position: absolute; top: 0px; left: 0px; visibility: visible; width: 100%; height: 100% "&gt; &lt;/ div&gt; &lt;iframe scrol ling = "no" frameborder = "0" src = "about: blank" style = "display: none;"&gt; &lt;/ iframe&gt; &lt;div tabindex = "- 1" class = "airy-controls-container" style = " opacity: 0; visibility: hidden; "&gt; &lt;div tabindex =" - 1 "class =" airy-screen-size-toggle airy-fullscreen "&gt; &lt;/ div&gt; &lt;div tabindex =" - 1 "class =" airy-container-bottom " &gt; &lt;div tabindex = "- 1" class = "airy-track-bar spacer-left" style = "width: 11px;"&gt; &lt;/ div&gt; &lt;div tabindex = "- 1" class = "airy-play- toggle airy-play "style =" width: 12px; margin-right: 12px; "&gt; &lt;/ div&gt; &lt;div tabindex =" - 1 "class =" airy-audio-elements "style =" float: right; width: 34px; "&gt; &lt;div tabindex =" - 1 "class =" airy-audio-toggle airy-on "&gt; &lt;/ div&gt; &lt;div tabindex =" - 1 "class =" airy-audio-container "style = "opacity: 0; visibility: hidden; "&gt; &lt;div tabindex =" - 1 "class =" airy-audio-track-bar "style =" height: 80%; "&gt; &lt;div tabindex =" - 1 "class =" airy-audio- scrubber bar "style =" height: 85% "&gt; &lt;/ div&gt; &lt;div tabindex =" - 1 "class =" airy-audio-scrubber "style =" height: 12px; bottom: 85% "&gt; &lt;/ div&gt; &lt;/ div&gt; &lt;/ div&gt; &lt;/ div&gt; &lt;div tabindex =" - 1 "class =" airy-duration-label "style =" float: right; width: 26px; margin-right: 4px; text-align: center; "&gt; 0:00 &lt;/ div&gt; &lt;div tabindex =" - 1 "class =" airy-track-bar spacer-right "style =" float: right; width: 11px; "&gt; &lt;/ div&gt; &lt;div tabindex =" - 1 "class =" airy-track-bar-container "style =" margin-left: 35px; margin-right: 75px; "&gt; &lt;div tabindex =" - 1 "class =" airy-airy-track-bar vertical-centering-table "&gt; &lt;div tabindex =" - 1 "class =" airy-vertical-centering- table-cell "&gt; &lt;div tabindex =" - 1 "class =" airy-track-bar elements "&gt; &lt;div tabindex =" - 1 "class =" airy-progress bar "&gt; &lt;/ div&gt; &lt;div tabindex = "- 1" class = "airy-scrubber bar"&gt; &lt;/ div&gt; &lt;div tabindex = "- 1" class = "airy-scrubber"&gt; &lt;div tabindex = "- 1" class = "airy-scrubber- icon "&gt; &lt;/ div&gt; &lt;div tabindex =" - 1 "class =" airy-adjusted-aui-tooltip "style =" opacity: 0; visibility: hidden; "&gt; &lt;div tabindex =" - 1 "class =" airy-adjusted-aui-tooltip-inner "&gt; &lt;div tabindex =" - 1 "class =" airy-current-time-label "&gt; 0 00 &lt;/ div&gt; &lt;/ div&gt; &lt;div tabindex = "- 1" class = "airy-adjusted-aui-arrow-border"&gt; &lt;div tabindex = "- 1" class = "airy-adjusted-aui-arrow" &gt; &lt;/ div&gt; &lt;/ div&gt; &lt;/ div&gt; &lt;/ div&gt; &lt;/ div&gt; &lt;/ div&gt; &lt;/ div&gt; &lt;/ div&gt; &lt;/ div&gt; &lt;/ div&gt; &lt;div tabindex = "- 1" class = "airy-airy-age-gate course airy-vertical-centering table-airy-dialog" style = "opacity: 0; visibility: hidden; "&gt; &lt;div tabindex =" - 1 "class =" airy-age-gate-vertical-centering-table-cell airy-vertical-centering-table-cell "&gt; &lt;div tabindex =" - 1 "class = "airy-vertical-centering-wrapper airy-age-gate-elements-wrapper"&gt; &lt;div tabindex = "- 1" class = "airy-age-gate-elements airy-dialog-elements"&gt; &lt;div tabindex = " -1 "class =" airy-age-gate-prompt "&gt; This video is not Intended for all audiences What time were you born &lt;/ div&gt; &lt;div tabindex =.?" - 1 "class =" airy-age-gate -inputs airy-dialog-inner-elements "&gt; &lt;select tabindex =" - 1 "class =" airy-age-gate-month "&gt; &lt;option value =" 1 "&gt; January &lt;/ option&gt; &lt;option value =" 2 "&gt; February &lt;/ option&gt; &lt;option value =" 3 "&gt; March &lt;/ option&gt; &lt;option value =" 4 "&gt; April &lt;/ option&gt; &lt;option value =" 5 "&gt; May &lt;/ option&gt; &lt;option value = "6"&gt; June &lt;/ option&gt; &lt;option value = "7"&gt; July &lt;/ option&gt; &lt;option value = "8"&gt; August &lt;/ option&gt; &lt;option value = "9"&gt; September &lt;/ option&gt; &lt;option value = "10"&gt; October &lt;/ option&gt; &lt;option value = "11"&gt; November &lt;/ option&gt; &lt;option value = "12"&gt; December &lt;/ option&gt; &lt;/ select&gt; &lt;select tabindex = "- 1" class = "airy-age-gate-day"&gt; &lt;opti = One value "1"&gt; 1 &lt;/ option&gt; &lt;option value = "2"&gt; 2 &lt;/ option&gt; &lt;option value = "3"&gt; 3 &lt;/ option&gt; &lt;option value = "4"&gt; 4 &lt;/ option &gt; &lt;option value = "5"&gt; 5 &lt;/ option&gt; &lt;option value = "6"&gt; 6 &lt;/ option&gt; &lt;option value = "7"&gt; 7 &lt;/ option&gt; &lt;option value = "8"&gt; 8 &lt; / option&gt; &lt;option value = "9"&gt; 9 &lt;/ option&gt; &lt;option value = "10"&gt; 10 &lt;/ option&gt; &lt;option value = "11"&gt; 11 &lt;/ option&gt; &lt;option value = "12"&gt; 12 &lt;/ option&gt; &lt;option value = "13"&gt; 13 &lt;/ option&gt; &lt;option value = "14"&gt; 14 &lt;/ option&gt; &lt;option value = "15"&gt; 15 &lt;/ option&gt; &lt;option value = "16 "&gt; 16 &lt;/ option&gt; &lt;option value =" 17 "&gt; 17 &lt;/ option&gt; &lt;option value =" 18 "&gt; 18 &lt;/ option&gt; &lt;option value =" 19 "&gt; 19 &lt;/ option&gt; &lt;option value = "20"&gt; 20 &lt;/ option&gt; &lt;option value = "21"&gt; 21 &lt;/ option&gt; &lt;option value = "22"&gt; 22 &lt;/ option&gt; &lt;option value = "23"&gt; 23 &lt;/ option&gt; &lt;option value = "24"&gt; 24 &lt;/ option&gt; &lt;option value = "25"&gt; 25 &lt;/ option&gt; &lt;option value = "26"&gt; 26 &lt;/ option&gt; &lt;option value = "27"&gt; 27 &lt;/ option&gt; &lt;option value = "28"&gt; 28 &lt;/ option&gt; &lt;option value = "29"&gt; 29 &lt;/ option&gt; &lt;option value = "30"&gt; 30 &lt;/ option&gt; &lt;option value = "31"&gt; 31 &lt;/ option&gt; &lt;/ select&gt; &lt;select tabindex = "- 1" class = "airy-age-gate-year"&gt; &lt;option value = "2019"&gt; 2019 &lt;/ option&gt; &lt; option value = "2018"&gt; 2018 &lt;/ option&gt; &lt;option value = "2017"&gt; 2017 &lt;/ option&gt; &lt;option value = "2016"&gt; ​​2016 &lt;/ option&gt; &lt;option value = "2015"&gt; 2015 &lt;/ option &gt; &lt;option value = "2014"&gt; 2014 &lt;/ option&gt; &lt;option value = "2013"&gt; 2013 &lt;/ option&gt; &lt;option value = "2012"&gt; 2012 &lt;/ option&gt; &lt;option value = "2011"&gt; 2011 &lt; / option&gt; &lt;option value = "2010"&gt; 2010 &lt;/ option&gt; &lt;option value = "2009"&gt; 2009 &lt;/ option&gt; &lt;option value = "2008"&gt; 2008 &lt;/ option&gt; &lt;option value = "2007"&gt; 2007 &lt;/ option&gt; &lt;option value = "2006"&gt; 2006 &lt;/ option&gt; &lt;option value = "2005"&gt; 2005 &lt;/ option&gt; &lt;option value = "2004"&gt; 2004 &lt;/ option&gt; &lt;option value = "2003 "&gt; 2003 &lt;/ option&gt; &lt;option value =" 2002 "&gt; 2002 &lt;/ option&gt; &lt;option value =" 2001 "&gt; 2001 &lt;/ option&gt; &lt;option value =" 2000 "&gt; 2000 &lt;/ option&gt; &lt;option value = "1999"&gt; 1999 &lt;/ option&gt; &lt;option value = "1998"&gt; 1998 &lt;/ option&gt; &lt;option value = "1997"&gt; 1997 &lt;/ option&gt; &lt;option value = "1996"&gt; 1996 &lt;/ option&gt; &lt;option value = "1995"&gt; 1995 &lt;/ option&gt; &lt;option value = "1994"&gt; 1994 &lt;/ option&gt; &lt;option value = "1993"&gt; 1993 &lt;/ option&gt; &lt;option value = "1992"&gt; 1992 &lt;/ option&gt; &lt;option value = "1991"&gt; 1991 &lt;/ option&gt; &lt;option value = "1990"&gt; 1990 &lt;/ option&gt; &lt;option value = " 1989 "&gt; 1989 &lt;/ option&gt; &lt;option value =" 1988 "&gt; 1988 &lt;/ option&gt; &lt;option value =" 1987 "&gt; 1987 &lt;/ option&gt; &lt;option value =" 1986 "&gt; 1986 &lt;/ option&gt; &lt;option value = "1985"&gt; 1985 &lt;/ option&gt; &lt;option value = "1984"&gt; 1984 &lt;/ option&gt; &lt;option value = "1983"&gt; 1983 &lt;/ option&gt; &lt;option value = "1982"&gt; 1982 &lt;/ option&gt; &lt; option value = "1981"&gt; 1981 &lt;/ option&gt; &lt;option value = "1980"&gt; 1980 &lt;/ option&gt; &lt;option value = "1979"&gt; 1979 &lt;/ option&gt; &lt;option value = "1978"&gt; 1978 &lt;/ option &gt; &lt;option value = "1977"&gt; 1977 &lt;/ option&gt; &lt;option value = "1976"&gt; 1976 &lt;/ option&gt; &lt;option value = "1975"&gt; 1975 &lt;/ option&gt; &lt;option value = "1974"&gt; 1974 &lt; / option&gt; &lt;option value = "1973"&gt; 1973 &lt;/ option&gt; &lt;option value = "1972"&gt; 1972 &lt;/ option&gt; &lt;option value = "1971"&gt; 1971 &lt;/ option&gt; &lt;option value = "1970"&gt; 1970 &lt;/ option&gt; &lt;option value = "1969"&gt; 1969 &lt;/ option&gt; &lt;option value = "1968"&gt; 1968 &lt;/ option&gt; &lt;option value = "1967"&gt; 1967 &lt;/ option&gt; &lt;option value = "1966 "&gt; 1966 &lt;/ option&gt; &lt;option value =" 1965 "&gt; 1965 &lt;/ option&gt; &lt;option value =" 1964 "&gt; 1964 &lt;/ option&gt; &lt;option value =" 1963 "&gt; 1963 &lt;/ option&gt; &lt;option value = "1962"&gt; 1962 &lt;/ option&gt; &lt;option value = "1961"&gt; 1961 &lt;/ option&gt; &lt;option value = "1960"&gt; 1960 &lt;/ op tion&gt; &lt;option value = "1959"&gt; 1959 &lt;/ option&gt; &lt;option value = "1958"&gt; 1958 &lt;/ option&gt; &lt;option value = "1957"&gt; 1957 &lt;/ option&gt; &lt;option value = "1956"&gt; 1956 &lt;/ option&gt; &lt;option value = "1955"&gt; 1955 &lt;/ option&gt; &lt;option value = "1954"&gt; 1954 &lt;/ option&gt; &lt;option value = "1953"&gt; 1953 &lt;/ option&gt; &lt;option value = "1952" &gt; 1952 &lt;/ option&gt; &lt;option value = "1951"&gt; 1951 &lt;/ option&gt; &lt;option value = "1950"&gt; 1950 &lt;/ option&gt; &lt;option value = "1949"&gt; 1949 &lt;/ option&gt; &lt;option value = " 1948 "&gt; 1948 &lt;/ option&gt; &lt;option value =" 1947 "&gt; 1947 &lt;/ option&gt; &lt;option value =" 1946 "&gt; 1946 &lt;/ option&gt; &lt;option value =" 1945 "&gt; 1945 &lt;/ option&gt; &lt;option value = "1944"&gt; 1944 &lt;/ option&gt; &lt;option value = "1943"&gt; 1943 &lt;/ option&gt; &lt;option value = "1942"&gt; 1942 &lt;/ option&gt; &lt;option value = "1941"&gt; 1941 &lt;/ option&gt; &lt; option value = "1940"&gt; 1940 &lt;/ option&gt; &lt;option value = "1939"&gt; 1939 &lt;/ option&gt; &lt;option value = "1938"&gt; 1938 &lt;/ option&gt; &lt;option value = "1937"&gt; 1937 &lt;/ option &gt; &lt;option value = "1936"&gt; 1936 &lt;/ option&gt; &lt;option value = "1935"&gt; 1935 &lt;/ option&gt; &lt;option value = "1934"&gt; 1934 &lt;/ option&gt; &lt;option value = "1933"&gt; 1933 &lt; / option&gt; &lt;option value = "1932"&gt; 1932 &lt;/ option&gt; &lt;option value = "1931"&gt; 1931 &lt;/ option&gt; &lt;option v alue = "1930"&gt; 1930 &lt;/ option&gt; &lt;option value = "1929"&gt; 1929 &lt;/ option&gt; &lt;option value = "1928"&gt; 1928 &lt;/ option&gt; &lt;option value = "1927"&gt; 1927 &lt;/ option&gt; &lt;option value = "1926"&gt; 1926 &lt;/ option&gt; &lt;option value = "1925"&gt; 1925 &lt;/ option&gt; &lt;option value = "1924"&gt; 1924 &lt;/ option&gt; &lt;option value = "1923"&gt; 1923 &lt;/ option&gt; &lt;option value = "1922"&gt; 1922 &lt;/ option&gt; &lt;option value = "1921"&gt; 1921 &lt;/ option&gt; &lt;option value = "1920"&gt; 1920 &lt;/ option&gt; &lt;option value = "1919"&gt; 1919 &lt;/ option&gt; &lt;option value = "1918"&gt; 1918 &lt;/ option&gt; &lt;option value = "1917"&gt; 1917 &lt;/ option&gt; &lt;option value = "1916"&gt; 1916 &lt;/ option&gt; &lt;option value = "1915" &gt; 1915 &lt;/ option&gt; &lt;option value = "1914"&gt; 1914 &lt;/ option&gt; &lt;option value = "1913"&gt; 1913 &lt;/ option&gt; &lt;option value = "1912"&gt; 1912 &lt;/ option&gt; &lt;option value = " 1911 "&gt; 1911 &lt;/ option&gt; &lt;option value =" 1910 "&gt; 1910 &lt;/ option&gt; &lt;option value =" 1909 "&gt; 1909 &lt;/ option&gt; &lt;option value =" 1908 "&gt; 1908 &lt;/ option&gt; &lt;option value = "1907"&gt; 1907 &lt;/ option&gt; &lt;option value = "1906"&gt; 1906 &lt;/ option&gt; &lt;option value = "1905"&gt; 1905 &lt;/ option&gt; &lt;option value = "1904"&gt; 1904 &lt;/ option&gt; &lt; option value = "1903"&gt; 1903 &lt;/ option&gt; &lt;option value = "1902"&gt; 1902 &lt;/ option&gt; &lt;option value = "1901"&gt; 19 01 &lt;/ option&gt; &lt;option value = "1900"&gt; 1900 &lt;/ option&gt; &lt;/ select&gt; &lt;div tabindex = "- 1" class = "airy-age-gate-submit airy-submit-button airy airy-submit- disabled "&gt; Submit &lt;/ div&gt; &lt;/ div&gt; &lt;/ div&gt; &lt;/ div&gt; &lt;/ div&gt; &lt;/ div&gt; &lt;div tabindex =" - 1 "class =" airy-install-flash-dialog airy-course airy -Vertical-centering-table dialog airy-airy-denied "style =" opacity: 0; visibility: hidden; "&gt; &lt;div tabindex =" - 1 "class =" airy-install-flash-vertical-centering-table-cell airy-vertical-centering-table-cell "&gt; &lt;div tabindex =" - 1 "class = "airy-vertical-centering-wrapper airy-install-flash-elements-wrapper"&gt; &lt;div tabindex = "- 1" class = "airy-install-flash-elements airy-dialog-elements"&gt; &lt;div tabindex = " -1 "class =" airy-install-flash-prompt "&gt; Adobe Flash Player is required to watch this video &lt;/ div&gt; &lt;div = tabindex." - 1 "class =" airy-install-flash-button-wrapper airy -dialog-inner-elements "&gt; &lt;div tabindex =" - 1 "class =" airy-install-flash-button airy-button "&gt; install Flash Player &lt;/ div&gt; &lt;/ div&gt; &lt;/ div&gt; &lt;/ div&gt; &lt;/ div&gt; &lt;/ div&gt; &lt;div tabindex = "- 1" class = "airy-video-unsupported-dialog airy-course airy-vertical-centering table-airy-dialog airy-denied" style = "opacity: 0; visibility: hidden; "&gt; &lt;div tabindex =" - 1 "class =" airy-video-unsupported-vertical-centering-table-cell airy-vertical-centering-table-cell "&gt; &lt;div tabindex =" - 1 "class = "airy-vertical-centering-wrapper airy-video-unsupported-elements-wrapper"&gt; &lt;div tabindex = "- 1" class = "airy-video-unsupported-elements airy-dialog-elements"&gt; &lt;div tabindex = " -1 "class =" airy-video-unsupported-prompt "&gt; &lt;/ div&gt; &lt;/ div&gt; &lt;/ div&gt; &lt;/ div&gt; &lt;/ div&gt; &lt;div tabindex =" - 1 "class =" airy-loading- spinner-stage airy-stage "&gt; &lt;div tabindex =" - 1 "class =" airy-loading-spinner-vertical-centering-table-cell airy-vertical-centering-table-cell "&gt; &lt;div tabindex =" - 1 "class =" airy-loading-spinner container airy-scalable-hint-container "&gt; &lt;div tabindex =" - 1 "class =" airy-loading-spinner-dummy airy-scalable-dummy "&gt; &lt;/ div&gt; &lt; div tabindex = "- 1" class = "airy-loading-spinner airy-hint" style = "visibility: hidden;"&gt; &lt;/ div&gt; &lt;/ div&gt; &lt;/ div&gt; &lt;/ div&gt; &lt;div tabindex = "- 1 "class =" airy-ads-screen-size-toggle airy-screen-size-toggle airy-fullscreen "style =" visibility: hidden; "&gt; &lt;/ div&gt; &lt;div tabindex = "-1" class = "airy-ad-prompt-container" style = "visibility: hidden;"&gt; &lt;div tabindex = "- 1" class = "airy-ad-prompt-vertical-centering table-airy-vertical- centering-table "&gt; &lt;div tabindex =" - 1 "class =" airy-ad-prompt-vertical-centering-table-cell airy-vertical-centering-table-cell "&gt; &lt;div tabindex =" - 1 "class = "airy-ad-prompt-label"&gt; &lt;/ div&gt; &lt;/ div&gt; &lt;/ div&gt; &lt;/ div&gt; &lt;div tabindex = "- 1" class = "airy-ads-controls-container" style = "visibility: hidden; "&gt; &lt;div tabindex =" - 1 "class =" airy-ads-audio-toggle airy-audio-toggle airy-on "style =" visibility: hidden; "&gt; &lt;/ div&gt; &lt;div tabindex =" - 1 "class =" airy-time-remaining-label-container "&gt; &lt;div tabindex =" - 1 "class =" airy-time-remaining-vertical-centering table-airy-vertical-centering-table "&gt; &lt;div tabindex = "- 1" class = "airy-time-remaining-vertical-centering-table-cell airy-vertical-centering-table-cell"&gt; &lt;div tabindex = "- 1" class = "airy-vertical-centering-wrapper airy-time-remaining-label-wrapper "&gt; &lt;div tabindex =" - 1 "class =" airy-time-remaining-label "style =" visibility: hidden; "&gt; &lt;/ div&gt; &lt;div tabi ndex = "- 1" class = "airy-ad-skip" style = "visibility: hidden;"&gt; &lt;/ div&gt; &lt;div tabindex = "- 1" class = "airy-ad-end" style = "visibility: hidden; "&gt; &lt;/ div&gt; &lt;/ div&gt; &lt;/ div&gt; &lt;/ div&gt; &lt;/ div&gt; &lt;div tabindex =" - 1 "class =" airy-learn-more "style =" visibility: hidden; "&gt; &lt;/ div&gt; &lt;/ div&gt; &lt;div tabindex = "- 1" class = "airy-play-toggle-hint-stage airy-course airy-cursor"&gt; &lt;div tabindex = "- 1" class = "airy-play -toggle-hint-vertical-centering-table-cell airy-vertical-centering-table-cell airy-cursor "&gt; &lt;div tabindex =" - 1 "class =" airy-play-toggle-hint-container airy-scalable- hint-container "&gt; &lt;div tabindex =" - 1 "class =" airy-play-toggle-hint-dummy airy-scalable-dummy "&gt; &lt;/ div&gt; &lt;div tabindex =" - 1 "class =" airy-play -toggle airy-hint-hint-hint airy-play "style =" opacity: 1; visibility: visible; "&gt; &lt;/ div&gt; &lt;/ div&gt; &lt;/ div&gt; &lt;/ div&gt; &lt;div tabindex =" - 1 "class =" airy-replay-hint-stage airy-stage "style =" visibility: hidden ; "&gt; &lt;div tabindex =" - 1 "class =" airy-replay-hint-vertical-centering-table-cell airy-vertical-centering-table-cell airy-cursor "&gt; &lt;div tabindex =" - 1 "class = "airy-replay-hint-container airy-scalable-hint-container"&gt; &lt;div tabindex = "- 1" class = "airy-replay-hint-dummy airy-scalable-dummy"&gt; &lt;/ div&gt; &lt;div tabindex = "- 1" class = "airy-replay-hint airy-hint"&gt; &lt;/ div&gt; &lt;/ div&gt; &lt;/ div&gt; &lt;/ div&gt; &lt;div tabindex = "- 1" class = "airy-autoplay-hint -stage airy-stage "style =" visibility: hidden; "&gt; &lt;div tabindex =" - 1 "class =" airy-autoplay-hint-vertical-centering-table-cell airy-vertical-centering-table-cell airy- cursor "&gt; &lt;div tabindex =" - 1 "class =" autoplay airy-airy-hint-container-scalable-hint-container "&gt; &lt;div tabindex =" - 1 "class =" airy-autoplay-hint-dummy airy- scalable-dummy "&gt; &lt;/ div&gt; &lt;/ div&gt; &lt;/ div&gt; &lt;/ div&gt; &lt;/ div&gt; &lt;/ div&gt; &lt;input type =" hidden "name =" "value =" https: // pictures-eu .ssl-image amazon.com / images / I / 81hxAOySZ5S.mp4 "Class =" video-url "&gt; &lt;input type =" hidden "name =" "value =" https://images-eu.ssl-images-amazon.com/images/I/91A2ml2R7dS.png "class =" video-slate-img-url "&gt; &amp; nbsp; using headphones is very intuitive. I like the quality of sound and carried away, up to 10m in an apartment with thick walls. I was able to test others and those are the most fun to use.</v>
      </c>
    </row>
    <row r="19601">
      <c r="A19601" s="1">
        <v>5.0</v>
      </c>
      <c r="B19601" s="1" t="s">
        <v>19279</v>
      </c>
      <c r="C19601" t="str">
        <f>IFERROR(__xludf.DUMMYFUNCTION("GOOGLETRANSLATE(B19601, ""fr"", ""en"")"),"Perfect I buy for my work days, Very nice, beautiful product, effective, waterproof and cheap ..... and it's a Recommendable Building")</f>
        <v>Perfect I buy for my work days, Very nice, beautiful product, effective, waterproof and cheap ..... and it's a Recommendable Building</v>
      </c>
    </row>
    <row r="19602">
      <c r="A19602" s="1">
        <v>5.0</v>
      </c>
      <c r="B19602" s="1" t="s">
        <v>19280</v>
      </c>
      <c r="C19602" t="str">
        <f>IFERROR(__xludf.DUMMYFUNCTION("GOOGLETRANSLATE(B19602, ""fr"", ""en"")"),"For that price, do not ask too much ... Next day delivery of the order, the size is perfect, the product is of good quality with a nice look and the price is very acceptable.")</f>
        <v>For that price, do not ask too much ... Next day delivery of the order, the size is perfect, the product is of good quality with a nice look and the price is very acceptable.</v>
      </c>
    </row>
    <row r="19603">
      <c r="A19603" s="1">
        <v>2.0</v>
      </c>
      <c r="B19603" s="1" t="s">
        <v>19281</v>
      </c>
      <c r="C19603" t="str">
        <f>IFERROR(__xludf.DUMMYFUNCTION("GOOGLETRANSLATE(B19603, ""fr"", ""en"")"),"Low Quality Pearls are average, the elastic yarn is fine and will break shortly. I do not recommend this purchase low quality")</f>
        <v>Low Quality Pearls are average, the elastic yarn is fine and will break shortly. I do not recommend this purchase low quality</v>
      </c>
    </row>
    <row r="19604">
      <c r="A19604" s="1">
        <v>1.0</v>
      </c>
      <c r="B19604" s="1" t="s">
        <v>19282</v>
      </c>
      <c r="C19604" t="str">
        <f>IFERROR(__xludf.DUMMYFUNCTION("GOOGLETRANSLATE(B19604, ""fr"", ""en"")"),"Command disappointing !!! I am very disappointed with my order made this month. Having had the experience of this I see a constant neglect several times. A sole which peeling and cracks on the shoe. On this last order I find a way to offset other lace whi"&amp;"ch is a major defect causing foot pain when walking. That makes a lot. Change every 4 months if defects, it is a budget.")</f>
        <v>Command disappointing !!! I am very disappointed with my order made this month. Having had the experience of this I see a constant neglect several times. A sole which peeling and cracks on the shoe. On this last order I find a way to offset other lace which is a major defect causing foot pain when walking. That makes a lot. Change every 4 months if defects, it is a budget.</v>
      </c>
    </row>
    <row r="19605">
      <c r="A19605" s="1">
        <v>3.0</v>
      </c>
      <c r="B19605" s="1" t="s">
        <v>19283</v>
      </c>
      <c r="C19605" t="str">
        <f>IFERROR(__xludf.DUMMYFUNCTION("GOOGLETRANSLATE(B19605, ""fr"", ""en"")"),"Although generally well I might be the order 38.5")</f>
        <v>Although generally well I might be the order 38.5</v>
      </c>
    </row>
    <row r="19606">
      <c r="A19606" s="1">
        <v>3.0</v>
      </c>
      <c r="B19606" s="1" t="s">
        <v>19284</v>
      </c>
      <c r="C19606" t="str">
        <f>IFERROR(__xludf.DUMMYFUNCTION("GOOGLETRANSLATE(B19606, ""fr"", ""en"")"),"Bad Ad for 40/45 days, I had to recharge after half the time")</f>
        <v>Bad Ad for 40/45 days, I had to recharge after half the time</v>
      </c>
    </row>
    <row r="19607">
      <c r="A19607" s="1">
        <v>4.0</v>
      </c>
      <c r="B19607" s="1" t="s">
        <v>19285</v>
      </c>
      <c r="C19607" t="str">
        <f>IFERROR(__xludf.DUMMYFUNCTION("GOOGLETRANSLATE(B19607, ""fr"", ""en"")"),"silver chain chain corresponds to the picture, it is thin and attractive (at poter with a small coin); I am satisfied with my purchase")</f>
        <v>silver chain chain corresponds to the picture, it is thin and attractive (at poter with a small coin); I am satisfied with my purchase</v>
      </c>
    </row>
    <row r="19608">
      <c r="A19608" s="1">
        <v>4.0</v>
      </c>
      <c r="B19608" s="1" t="s">
        <v>19286</v>
      </c>
      <c r="C19608" t="str">
        <f>IFERROR(__xludf.DUMMYFUNCTION("GOOGLETRANSLATE(B19608, ""fr"", ""en"")"),"Good recording. Hello. I bought this recently dictaphone. The recording quality is very good! Only I had to return it because there was a manufacturing defect. Otherwise I thought me get one again.")</f>
        <v>Good recording. Hello. I bought this recently dictaphone. The recording quality is very good! Only I had to return it because there was a manufacturing defect. Otherwise I thought me get one again.</v>
      </c>
    </row>
    <row r="19609">
      <c r="A19609" s="1">
        <v>4.0</v>
      </c>
      <c r="B19609" s="1" t="s">
        <v>19287</v>
      </c>
      <c r="C19609" t="str">
        <f>IFERROR(__xludf.DUMMYFUNCTION("GOOGLETRANSLATE(B19609, ""fr"", ""en"")"),"Size small size small but very sweet and very hot I recommend")</f>
        <v>Size small size small but very sweet and very hot I recommend</v>
      </c>
    </row>
    <row r="19610">
      <c r="A19610" s="1">
        <v>4.0</v>
      </c>
      <c r="B19610" s="1" t="s">
        <v>19288</v>
      </c>
      <c r="C19610" t="str">
        <f>IFERROR(__xludf.DUMMYFUNCTION("GOOGLETRANSLATE(B19610, ""fr"", ""en"")"),"Tough and smart ... ... a brave, ideal for shipping a few extra kilos during my air travel and not have to rummage in the baggage compartments. Tablet, phone, battery, e-cig, wallet, passport, pens and so on, for all men who want concurencer women and the"&amp;"ir legendary handbag tote ...")</f>
        <v>Tough and smart ... ... a brave, ideal for shipping a few extra kilos during my air travel and not have to rummage in the baggage compartments. Tablet, phone, battery, e-cig, wallet, passport, pens and so on, for all men who want concurencer women and their legendary handbag tote ...</v>
      </c>
    </row>
    <row r="19611">
      <c r="A19611" s="1">
        <v>5.0</v>
      </c>
      <c r="B19611" s="1" t="s">
        <v>19289</v>
      </c>
      <c r="C19611" t="str">
        <f>IFERROR(__xludf.DUMMYFUNCTION("GOOGLETRANSLATE(B19611, ""fr"", ""en"")"),"In the top ! Super happy, they perfectly fit the description, delivered in less than a week and they fit me like a glove!")</f>
        <v>In the top ! Super happy, they perfectly fit the description, delivered in less than a week and they fit me like a glove!</v>
      </c>
    </row>
    <row r="19612">
      <c r="A19612" s="1">
        <v>5.0</v>
      </c>
      <c r="B19612" s="1" t="s">
        <v>19290</v>
      </c>
      <c r="C19612" t="str">
        <f>IFERROR(__xludf.DUMMYFUNCTION("GOOGLETRANSLATE(B19612, ""fr"", ""en"")"),"Perfect Very good shoe nothing wrong")</f>
        <v>Perfect Very good shoe nothing wrong</v>
      </c>
    </row>
    <row r="19613">
      <c r="A19613" s="1">
        <v>5.0</v>
      </c>
      <c r="B19613" s="1" t="s">
        <v>369</v>
      </c>
      <c r="C19613" t="str">
        <f>IFERROR(__xludf.DUMMYFUNCTION("GOOGLETRANSLATE(B19613, ""fr"", ""en"")"),"Good product Good product")</f>
        <v>Good product Good product</v>
      </c>
    </row>
    <row r="19614">
      <c r="A19614" s="1">
        <v>5.0</v>
      </c>
      <c r="B19614" s="1" t="s">
        <v>19291</v>
      </c>
      <c r="C19614" t="str">
        <f>IFERROR(__xludf.DUMMYFUNCTION("GOOGLETRANSLATE(B19614, ""fr"", ""en"")"),"Not bad and convenient carrying case")</f>
        <v>Not bad and convenient carrying case</v>
      </c>
    </row>
    <row r="19615">
      <c r="A19615" s="1">
        <v>5.0</v>
      </c>
      <c r="B19615" s="1" t="s">
        <v>19292</v>
      </c>
      <c r="C19615" t="str">
        <f>IFERROR(__xludf.DUMMYFUNCTION("GOOGLETRANSLATE(B19615, ""fr"", ""en"")"),"Essential oil diffuser Tenswall I'm not disappointed with this essential oil diffuser, it is really great, very easy to use and lightweight, I can easily move it and I especially love its shape.")</f>
        <v>Essential oil diffuser Tenswall I'm not disappointed with this essential oil diffuser, it is really great, very easy to use and lightweight, I can easily move it and I especially love its shape.</v>
      </c>
    </row>
    <row r="19616">
      <c r="A19616" s="1">
        <v>5.0</v>
      </c>
      <c r="B19616" s="1" t="s">
        <v>19293</v>
      </c>
      <c r="C19616" t="str">
        <f>IFERROR(__xludf.DUMMYFUNCTION("GOOGLETRANSLATE(B19616, ""fr"", ""en"")"),"Our craftsmen are the best! A hen had scabies to the legs at an important stage. I spent the legs brush to spread the product well, two days after anything. I repeat orders account with that provider for other products.")</f>
        <v>Our craftsmen are the best! A hen had scabies to the legs at an important stage. I spent the legs brush to spread the product well, two days after anything. I repeat orders account with that provider for other products.</v>
      </c>
    </row>
    <row r="19617">
      <c r="A19617" s="1">
        <v>5.0</v>
      </c>
      <c r="B19617" s="1" t="s">
        <v>19294</v>
      </c>
      <c r="C19617" t="str">
        <f>IFERROR(__xludf.DUMMYFUNCTION("GOOGLETRANSLATE(B19617, ""fr"", ""en"")"),"The Rolls of garbage bag Perfectly suited to my trash SimpleHumain very strong and watertight bag")</f>
        <v>The Rolls of garbage bag Perfectly suited to my trash SimpleHumain very strong and watertight bag</v>
      </c>
    </row>
    <row r="19618">
      <c r="A19618" s="1">
        <v>5.0</v>
      </c>
      <c r="B19618" s="1" t="s">
        <v>19295</v>
      </c>
      <c r="C19618" t="str">
        <f>IFERROR(__xludf.DUMMYFUNCTION("GOOGLETRANSLATE(B19618, ""fr"", ""en"")"),"Superb Kettle Kettle Very nice. Do not hesitate to order. You can ask me questions, I will answer with pleasure. Bea")</f>
        <v>Superb Kettle Kettle Very nice. Do not hesitate to order. You can ask me questions, I will answer with pleasure. Bea</v>
      </c>
    </row>
    <row r="19619">
      <c r="A19619" s="1">
        <v>5.0</v>
      </c>
      <c r="B19619" s="1" t="s">
        <v>19296</v>
      </c>
      <c r="C19619" t="str">
        <f>IFERROR(__xludf.DUMMYFUNCTION("GOOGLETRANSLATE(B19619, ""fr"", ""en"")"),"I love my watch casio watch too beautiful and great color original")</f>
        <v>I love my watch casio watch too beautiful and great color original</v>
      </c>
    </row>
    <row r="19620">
      <c r="A19620" s="1">
        <v>5.0</v>
      </c>
      <c r="B19620" s="1" t="s">
        <v>19297</v>
      </c>
      <c r="C19620" t="str">
        <f>IFERROR(__xludf.DUMMYFUNCTION("GOOGLETRANSLATE(B19620, ""fr"", ""en"")"),"Good product design I bought for my language and it's very convenient to have a comfortable headset with a microphone that does not occupy much space. The accessories (different sizes of ear) allow the user to choose according to their own needs. The stor"&amp;"age bag is very convenient to carefully store the headset in my backpack. I recommend the product.")</f>
        <v>Good product design I bought for my language and it's very convenient to have a comfortable headset with a microphone that does not occupy much space. The accessories (different sizes of ear) allow the user to choose according to their own needs. The storage bag is very convenient to carefully store the headset in my backpack. I recommend the product.</v>
      </c>
    </row>
    <row r="19621">
      <c r="A19621" s="1">
        <v>5.0</v>
      </c>
      <c r="B19621" s="1" t="s">
        <v>19298</v>
      </c>
      <c r="C19621" t="str">
        <f>IFERROR(__xludf.DUMMYFUNCTION("GOOGLETRANSLATE(B19621, ""fr"", ""en"")"),"Good protection Nothing to say, one roll was enough to make a move. It makes perfect his work and the quality is sufficient.")</f>
        <v>Good protection Nothing to say, one roll was enough to make a move. It makes perfect his work and the quality is sufficient.</v>
      </c>
    </row>
    <row r="19622">
      <c r="A19622" s="1">
        <v>5.0</v>
      </c>
      <c r="B19622" s="1" t="s">
        <v>19299</v>
      </c>
      <c r="C19622" t="str">
        <f>IFERROR(__xludf.DUMMYFUNCTION("GOOGLETRANSLATE(B19622, ""fr"", ""en"")"),"MIDDLE having the habit of use, I found that longevity was cut short")</f>
        <v>MIDDLE having the habit of use, I found that longevity was cut short</v>
      </c>
    </row>
    <row r="19623">
      <c r="A19623" s="1">
        <v>5.0</v>
      </c>
      <c r="B19623" s="1" t="s">
        <v>19300</v>
      </c>
      <c r="C19623" t="str">
        <f>IFERROR(__xludf.DUMMYFUNCTION("GOOGLETRANSLATE(B19623, ""fr"", ""en"")"),"Although I use this headset for several months, the sound is good, bluetooth works well. The battery has a long life, it cuts pretty well outside sounds even if it has no anti noise function. A good investment. The bad thing is, when it is read, Bluetooth"&amp;" is turned off, forced to use the wire whose length is really limited and parasitic noise in the headphones when it loads and it is used with the wire, very unpleasant. Also, the wire for the load is supplied with ridiculous so small it is. The house is c"&amp;"onvenient if the ride.")</f>
        <v>Although I use this headset for several months, the sound is good, bluetooth works well. The battery has a long life, it cuts pretty well outside sounds even if it has no anti noise function. A good investment. The bad thing is, when it is read, Bluetooth is turned off, forced to use the wire whose length is really limited and parasitic noise in the headphones when it loads and it is used with the wire, very unpleasant. Also, the wire for the load is supplied with ridiculous so small it is. The house is convenient if the ride.</v>
      </c>
    </row>
    <row r="19624">
      <c r="A19624" s="1">
        <v>5.0</v>
      </c>
      <c r="B19624" s="1" t="s">
        <v>19301</v>
      </c>
      <c r="C19624" t="str">
        <f>IFERROR(__xludf.DUMMYFUNCTION("GOOGLETRANSLATE(B19624, ""fr"", ""en"")"),"To buy absolutely! If you are looking for a kettle is it for you !!!! To buy eyes closed .... This product is really great !!!!")</f>
        <v>To buy absolutely! If you are looking for a kettle is it for you !!!! To buy eyes closed .... This product is really great !!!!</v>
      </c>
    </row>
    <row r="19625">
      <c r="A19625" s="1">
        <v>5.0</v>
      </c>
      <c r="B19625" s="1" t="s">
        <v>19302</v>
      </c>
      <c r="C19625" t="str">
        <f>IFERROR(__xludf.DUMMYFUNCTION("GOOGLETRANSLATE(B19625, ""fr"", ""en"")"),"Good product meets product. I recommend.")</f>
        <v>Good product meets product. I recommend.</v>
      </c>
    </row>
    <row r="19626">
      <c r="A19626" s="1">
        <v>2.0</v>
      </c>
      <c r="B19626" s="1" t="s">
        <v>19303</v>
      </c>
      <c r="C19626" t="str">
        <f>IFERROR(__xludf.DUMMYFUNCTION("GOOGLETRANSLATE(B19626, ""fr"", ""en"")"),"Loss of central disappointed brilliant after 1 month")</f>
        <v>Loss of central disappointed brilliant after 1 month</v>
      </c>
    </row>
    <row r="19627">
      <c r="A19627" s="1">
        <v>1.0</v>
      </c>
      <c r="B19627" s="1" t="s">
        <v>19304</v>
      </c>
      <c r="C19627" t="str">
        <f>IFERROR(__xludf.DUMMYFUNCTION("GOOGLETRANSLATE(B19627, ""fr"", ""en"")"),"closing not holding the foot, well it's slippers, but the sails up, closing is useless")</f>
        <v>closing not holding the foot, well it's slippers, but the sails up, closing is useless</v>
      </c>
    </row>
    <row r="19628">
      <c r="A19628" s="1">
        <v>1.0</v>
      </c>
      <c r="B19628" s="1" t="s">
        <v>19305</v>
      </c>
      <c r="C19628" t="str">
        <f>IFERROR(__xludf.DUMMYFUNCTION("GOOGLETRANSLATE(B19628, ""fr"", ""en"")"),"As soon unwrapped, immediately broke These cables are deemed reliable, I've owned in the past and all had an honorable life time. I understand that a cable jack, it is a little lottery sometimes, but we must not make fun of the customer. I plugged it, it "&amp;"was already false contacts, and use the second he gave no signs of life ....")</f>
        <v>As soon unwrapped, immediately broke These cables are deemed reliable, I've owned in the past and all had an honorable life time. I understand that a cable jack, it is a little lottery sometimes, but we must not make fun of the customer. I plugged it, it was already false contacts, and use the second he gave no signs of life ....</v>
      </c>
    </row>
    <row r="19629">
      <c r="A19629" s="1">
        <v>3.0</v>
      </c>
      <c r="B19629" s="1" t="s">
        <v>19306</v>
      </c>
      <c r="C19629" t="str">
        <f>IFERROR(__xludf.DUMMYFUNCTION("GOOGLETRANSLATE(B19629, ""fr"", ""en"")"),"Too bad I have chosen these adhesives for packaging child friendly (monster heads) but unfortunately received standard sticks .. so if you choose for it, skip your turn.")</f>
        <v>Too bad I have chosen these adhesives for packaging child friendly (monster heads) but unfortunately received standard sticks .. so if you choose for it, skip your turn.</v>
      </c>
    </row>
    <row r="19630">
      <c r="A19630" s="1">
        <v>3.0</v>
      </c>
      <c r="B19630" s="1" t="s">
        <v>19307</v>
      </c>
      <c r="C19630" t="str">
        <f>IFERROR(__xludf.DUMMYFUNCTION("GOOGLETRANSLATE(B19630, ""fr"", ""en"")"),"well Hello, I am very satisfied with my order, the product is consistent with the description, I recommend the eyes closed, well not too much because you still need to read the description and consumer criticism.")</f>
        <v>well Hello, I am very satisfied with my order, the product is consistent with the description, I recommend the eyes closed, well not too much because you still need to read the description and consumer criticism.</v>
      </c>
    </row>
    <row r="19631">
      <c r="A19631" s="1">
        <v>4.0</v>
      </c>
      <c r="B19631" s="1" t="s">
        <v>19308</v>
      </c>
      <c r="C19631" t="str">
        <f>IFERROR(__xludf.DUMMYFUNCTION("GOOGLETRANSLATE(B19631, ""fr"", ""en"")"),"Very good microphone to begin Micro has impeccable quality, and antipop does his taff Micro arrived well protected and no fart, and it is stable I use it for 2 months, the volume knobs are practices ( one who juggles the mic back and the sound of the comp"&amp;"uter and the other serves only to balance the sound level at all) But beware: the gain is not adjustable! For streamers, put it between you and your keyboard (preferred being an articulated arm height, but personally I do not have it and it goes again), o"&amp;"therwise everyone will hear your keyboard (and especially if it ' is a mechanical) Oh, and little tip: do not put more than 15-20cm microphone when you speak, and put yourself in the face, the microphone is not omnidirectional (and much better)")</f>
        <v>Very good microphone to begin Micro has impeccable quality, and antipop does his taff Micro arrived well protected and no fart, and it is stable I use it for 2 months, the volume knobs are practices ( one who juggles the mic back and the sound of the computer and the other serves only to balance the sound level at all) But beware: the gain is not adjustable! For streamers, put it between you and your keyboard (preferred being an articulated arm height, but personally I do not have it and it goes again), otherwise everyone will hear your keyboard (and especially if it ' is a mechanical) Oh, and little tip: do not put more than 15-20cm microphone when you speak, and put yourself in the face, the microphone is not omnidirectional (and much better)</v>
      </c>
    </row>
    <row r="19632">
      <c r="A19632" s="1">
        <v>4.0</v>
      </c>
      <c r="B19632" s="1" t="s">
        <v>19309</v>
      </c>
      <c r="C19632" t="str">
        <f>IFERROR(__xludf.DUMMYFUNCTION("GOOGLETRANSLATE(B19632, ""fr"", ""en"")"),"Not bad Good book with beautiful illustrations but I think it is not directed to children under 6 years. My son who is 3 years do not interest them at all.")</f>
        <v>Not bad Good book with beautiful illustrations but I think it is not directed to children under 6 years. My son who is 3 years do not interest them at all.</v>
      </c>
    </row>
    <row r="19633">
      <c r="A19633" s="1">
        <v>4.0</v>
      </c>
      <c r="B19633" s="1" t="s">
        <v>19310</v>
      </c>
      <c r="C19633" t="str">
        <f>IFERROR(__xludf.DUMMYFUNCTION("GOOGLETRANSLATE(B19633, ""fr"", ""en"")"),"Good thinking, Tommee Tippee presents here a black bottle picker. This product can heat water to ideal temperature for baby 2 minutes. This machine accepts all bottles without problems. Very easy to use. Every 3 months the filter is changing and these are"&amp;" easily found on Amazon.")</f>
        <v>Good thinking, Tommee Tippee presents here a black bottle picker. This product can heat water to ideal temperature for baby 2 minutes. This machine accepts all bottles without problems. Very easy to use. Every 3 months the filter is changing and these are easily found on Amazon.</v>
      </c>
    </row>
    <row r="19634">
      <c r="A19634" s="1">
        <v>4.0</v>
      </c>
      <c r="B19634" s="1" t="s">
        <v>19311</v>
      </c>
      <c r="C19634" t="str">
        <f>IFERROR(__xludf.DUMMYFUNCTION("GOOGLETRANSLATE(B19634, ""fr"", ""en"")"),"Nothing to say perfectly matches the description on the website Very satisfied perfectly matches my expectations I recommend it to all her lovers")</f>
        <v>Nothing to say perfectly matches the description on the website Very satisfied perfectly matches my expectations I recommend it to all her lovers</v>
      </c>
    </row>
    <row r="19635">
      <c r="A19635" s="1">
        <v>5.0</v>
      </c>
      <c r="B19635" s="1" t="s">
        <v>19312</v>
      </c>
      <c r="C19635" t="str">
        <f>IFERROR(__xludf.DUMMYFUNCTION("GOOGLETRANSLATE(B19635, ""fr"", ""en"")"),"RAS perfectly fits the description. Rather good. thank you amazon for fast delivery.")</f>
        <v>RAS perfectly fits the description. Rather good. thank you amazon for fast delivery.</v>
      </c>
    </row>
    <row r="19636">
      <c r="A19636" s="1">
        <v>5.0</v>
      </c>
      <c r="B19636" s="1" t="s">
        <v>19313</v>
      </c>
      <c r="C19636" t="str">
        <f>IFERROR(__xludf.DUMMYFUNCTION("GOOGLETRANSLATE(B19636, ""fr"", ""en"")"),"Super Power erase and rewrite without consequences for the presentation ... I love it. Finished eraser, finished blanco that stain and raturent homework. I do not use this pen!")</f>
        <v>Super Power erase and rewrite without consequences for the presentation ... I love it. Finished eraser, finished blanco that stain and raturent homework. I do not use this pen!</v>
      </c>
    </row>
    <row r="19637">
      <c r="A19637" s="1">
        <v>5.0</v>
      </c>
      <c r="B19637" s="1" t="s">
        <v>19314</v>
      </c>
      <c r="C19637" t="str">
        <f>IFERROR(__xludf.DUMMYFUNCTION("GOOGLETRANSLATE(B19637, ""fr"", ""en"")"),"Good deal Nothing to say, okay!")</f>
        <v>Good deal Nothing to say, okay!</v>
      </c>
    </row>
    <row r="19638">
      <c r="A19638" s="1">
        <v>5.0</v>
      </c>
      <c r="B19638" s="1" t="s">
        <v>19315</v>
      </c>
      <c r="C19638" t="str">
        <f>IFERROR(__xludf.DUMMYFUNCTION("GOOGLETRANSLATE(B19638, ""fr"", ""en"")"),"I LOVE Very happy with my new watch.")</f>
        <v>I LOVE Very happy with my new watch.</v>
      </c>
    </row>
    <row r="19639">
      <c r="A19639" s="1">
        <v>5.0</v>
      </c>
      <c r="B19639" s="1" t="s">
        <v>19316</v>
      </c>
      <c r="C19639" t="str">
        <f>IFERROR(__xludf.DUMMYFUNCTION("GOOGLETRANSLATE(B19639, ""fr"", ""en"")"),"puma purchase notice smash v2 shoes arrived on time and to the expected size. Not at all disappointed with my purchase!")</f>
        <v>puma purchase notice smash v2 shoes arrived on time and to the expected size. Not at all disappointed with my purchase!</v>
      </c>
    </row>
    <row r="19640">
      <c r="A19640" s="1">
        <v>5.0</v>
      </c>
      <c r="B19640" s="1" t="s">
        <v>19317</v>
      </c>
      <c r="C19640" t="str">
        <f>IFERROR(__xludf.DUMMYFUNCTION("GOOGLETRANSLATE(B19640, ""fr"", ""en"")"),"Satisfied Product compliant and good quality")</f>
        <v>Satisfied Product compliant and good quality</v>
      </c>
    </row>
    <row r="19641">
      <c r="A19641" s="1">
        <v>5.0</v>
      </c>
      <c r="B19641" s="1" t="s">
        <v>19318</v>
      </c>
      <c r="C19641" t="str">
        <f>IFERROR(__xludf.DUMMYFUNCTION("GOOGLETRANSLATE(B19641, ""fr"", ""en"")"),"A gift that pleases My wife was very happy")</f>
        <v>A gift that pleases My wife was very happy</v>
      </c>
    </row>
    <row r="19642">
      <c r="A19642" s="1">
        <v>5.0</v>
      </c>
      <c r="B19642" s="1" t="s">
        <v>19319</v>
      </c>
      <c r="C19642" t="str">
        <f>IFERROR(__xludf.DUMMYFUNCTION("GOOGLETRANSLATE(B19642, ""fr"", ""en"")"),"Well, without a sharp pull, takes quite warm, pleasant on the skin is very soft. Its price is attractive, very pleasant to recommend porter.je")</f>
        <v>Well, without a sharp pull, takes quite warm, pleasant on the skin is very soft. Its price is attractive, very pleasant to recommend porter.je</v>
      </c>
    </row>
    <row r="19643">
      <c r="A19643" s="1">
        <v>5.0</v>
      </c>
      <c r="B19643" s="1" t="s">
        <v>19320</v>
      </c>
      <c r="C19643" t="str">
        <f>IFERROR(__xludf.DUMMYFUNCTION("GOOGLETRANSLATE(B19643, ""fr"", ""en"")"),"Great product Although the price is high enough to arm a microphone, the quality is at the rendezvous in addition to being very practical. The blue Yeti fits perfectly, possibility of adding another microphone stand like a radius but not necessary. A pop "&amp;"filter to accompany this microphone arm is recommended")</f>
        <v>Great product Although the price is high enough to arm a microphone, the quality is at the rendezvous in addition to being very practical. The blue Yeti fits perfectly, possibility of adding another microphone stand like a radius but not necessary. A pop filter to accompany this microphone arm is recommended</v>
      </c>
    </row>
    <row r="19644">
      <c r="A19644" s="1">
        <v>5.0</v>
      </c>
      <c r="B19644" s="1" t="s">
        <v>508</v>
      </c>
      <c r="C19644" t="str">
        <f>IFERROR(__xludf.DUMMYFUNCTION("GOOGLETRANSLATE(B19644, ""fr"", ""en"")"),"Very well very well")</f>
        <v>Very well very well</v>
      </c>
    </row>
    <row r="19645">
      <c r="A19645" s="1">
        <v>5.0</v>
      </c>
      <c r="B19645" s="1" t="s">
        <v>19321</v>
      </c>
      <c r="C19645" t="str">
        <f>IFERROR(__xludf.DUMMYFUNCTION("GOOGLETRANSLATE(B19645, ""fr"", ""en"")"),"Perfect afternoon. I received my two pipes this morning. Delivery on time. The scrub smells good. He has a good texture with large grain, it makes the skin very soft. Interesting price. I use a scrubbing glove (kessa petrol of Moroccan) and is encor bette"&amp;"r now. I recommend you.")</f>
        <v>Perfect afternoon. I received my two pipes this morning. Delivery on time. The scrub smells good. He has a good texture with large grain, it makes the skin very soft. Interesting price. I use a scrubbing glove (kessa petrol of Moroccan) and is encor better now. I recommend you.</v>
      </c>
    </row>
    <row r="19646">
      <c r="A19646" s="1">
        <v>5.0</v>
      </c>
      <c r="B19646" s="1" t="s">
        <v>19322</v>
      </c>
      <c r="C19646" t="str">
        <f>IFERROR(__xludf.DUMMYFUNCTION("GOOGLETRANSLATE(B19646, ""fr"", ""en"")"),"Numerous pockets Plenty of room for a large number of storage pockets. I am happy with my purchase, I advice you.")</f>
        <v>Numerous pockets Plenty of room for a large number of storage pockets. I am happy with my purchase, I advice you.</v>
      </c>
    </row>
    <row r="19647">
      <c r="A19647" s="1">
        <v>5.0</v>
      </c>
      <c r="B19647" s="1" t="s">
        <v>19323</v>
      </c>
      <c r="C19647" t="str">
        <f>IFERROR(__xludf.DUMMYFUNCTION("GOOGLETRANSLATE(B19647, ""fr"", ""en"")"),"Great mouse pad very comfortable and enjoyable. maintaining well the handle flexibly. beautiful color")</f>
        <v>Great mouse pad very comfortable and enjoyable. maintaining well the handle flexibly. beautiful color</v>
      </c>
    </row>
    <row r="19648">
      <c r="A19648" s="1">
        <v>5.0</v>
      </c>
      <c r="B19648" s="1" t="s">
        <v>19324</v>
      </c>
      <c r="C19648" t="str">
        <f>IFERROR(__xludf.DUMMYFUNCTION("GOOGLETRANSLATE(B19648, ""fr"", ""en"")"),"Excellent bottles 🍼👍 Stunning glass bottles, giving a good quality print. The nipple is soft, ergonomic hand holding. No complaints, 5 stars!")</f>
        <v>Excellent bottles 🍼👍 Stunning glass bottles, giving a good quality print. The nipple is soft, ergonomic hand holding. No complaints, 5 stars!</v>
      </c>
    </row>
    <row r="19649">
      <c r="A19649" s="1">
        <v>5.0</v>
      </c>
      <c r="B19649" s="1" t="s">
        <v>19325</v>
      </c>
      <c r="C19649" t="str">
        <f>IFERROR(__xludf.DUMMYFUNCTION("GOOGLETRANSLATE(B19649, ""fr"", ""en"")"),"Very good buy Kettle perfect! I love it. Very easy to use, the water heats faster. Very easy to clean. Takes up little space on the worktop. Sleek design. And integrated strainer is very convenient.")</f>
        <v>Very good buy Kettle perfect! I love it. Very easy to use, the water heats faster. Very easy to clean. Takes up little space on the worktop. Sleek design. And integrated strainer is very convenient.</v>
      </c>
    </row>
    <row r="19650">
      <c r="A19650" s="1">
        <v>5.0</v>
      </c>
      <c r="B19650" s="1" t="s">
        <v>19326</v>
      </c>
      <c r="C19650" t="str">
        <f>IFERROR(__xludf.DUMMYFUNCTION("GOOGLETRANSLATE(B19650, ""fr"", ""en"")"),"Value on top! Very handy handy when you share a ride for baby bottles. Good value")</f>
        <v>Value on top! Very handy handy when you share a ride for baby bottles. Good value</v>
      </c>
    </row>
    <row r="19651">
      <c r="A19651" s="1">
        <v>2.0</v>
      </c>
      <c r="B19651" s="1" t="s">
        <v>19327</v>
      </c>
      <c r="C19651" t="str">
        <f>IFERROR(__xludf.DUMMYFUNCTION("GOOGLETRANSLATE(B19651, ""fr"", ""en"")"),"narrowed the sun go his way, or not to let the sun has not narrowed to them")</f>
        <v>narrowed the sun go his way, or not to let the sun has not narrowed to them</v>
      </c>
    </row>
    <row r="19652">
      <c r="A19652" s="1">
        <v>1.0</v>
      </c>
      <c r="B19652" s="1" t="s">
        <v>19328</v>
      </c>
      <c r="C19652" t="str">
        <f>IFERROR(__xludf.DUMMYFUNCTION("GOOGLETRANSLATE(B19652, ""fr"", ""en"")"),"Pretty but not solid they are pretty and comfortable but certainly not solid. 1 month and a half I wear them and they are torn at the toes. I'll take leather fabric because it tears too fast. I do not recommend them at all.")</f>
        <v>Pretty but not solid they are pretty and comfortable but certainly not solid. 1 month and a half I wear them and they are torn at the toes. I'll take leather fabric because it tears too fast. I do not recommend them at all.</v>
      </c>
    </row>
    <row r="19653">
      <c r="A19653" s="1">
        <v>1.0</v>
      </c>
      <c r="B19653" s="1" t="s">
        <v>19329</v>
      </c>
      <c r="C19653" t="str">
        <f>IFERROR(__xludf.DUMMYFUNCTION("GOOGLETRANSLATE(B19653, ""fr"", ""en"")"),"HP 932XL / 933XL 4 Pack Black Ink Cartridges / Cyan / Magenta / Yellow. The vendor has a single box 4 cartridges and sends four individual cartridges with different expiry dates and very short for XL cartridges! The purpose of taking a single box XL is th"&amp;"at the date is quite long and it is identical in all cartridges !!! I received: - Yellow XL 933 in December 2018 - February 2019 Black XL 932 - 933 XL Cyan (blue) May 2019 - Magenta XL 933 (Mauve) in May 2019. This is inadmissible, on the basis of a pictu"&amp;"re of a one box with 4 integrated cartridges not individual. I expected an expiration date at least a year for XL cartridges and especially for private use ... !!!! Seller not ... I recommend in addition to wait almost 2 weeks for delivery ....")</f>
        <v>HP 932XL / 933XL 4 Pack Black Ink Cartridges / Cyan / Magenta / Yellow. The vendor has a single box 4 cartridges and sends four individual cartridges with different expiry dates and very short for XL cartridges! The purpose of taking a single box XL is that the date is quite long and it is identical in all cartridges !!! I received: - Yellow XL 933 in December 2018 - February 2019 Black XL 932 - 933 XL Cyan (blue) May 2019 - Magenta XL 933 (Mauve) in May 2019. This is inadmissible, on the basis of a picture of a one box with 4 integrated cartridges not individual. I expected an expiration date at least a year for XL cartridges and especially for private use ... !!!! Seller not ... I recommend in addition to wait almost 2 weeks for delivery ....</v>
      </c>
    </row>
    <row r="19654">
      <c r="A19654" s="1">
        <v>3.0</v>
      </c>
      <c r="B19654" s="1" t="s">
        <v>19330</v>
      </c>
      <c r="C19654" t="str">
        <f>IFERROR(__xludf.DUMMYFUNCTION("GOOGLETRANSLATE(B19654, ""fr"", ""en"")"),"bag man I have bought this product to offer and it is not like the picture. I'm pretty disappointed")</f>
        <v>bag man I have bought this product to offer and it is not like the picture. I'm pretty disappointed</v>
      </c>
    </row>
    <row r="19655">
      <c r="A19655" s="1">
        <v>4.0</v>
      </c>
      <c r="B19655" s="1" t="s">
        <v>19331</v>
      </c>
      <c r="C19655" t="str">
        <f>IFERROR(__xludf.DUMMYFUNCTION("GOOGLETRANSLATE(B19655, ""fr"", ""en"")"),"Not bad Perfect for children from 3 years")</f>
        <v>Not bad Perfect for children from 3 years</v>
      </c>
    </row>
    <row r="19656">
      <c r="A19656" s="1">
        <v>4.0</v>
      </c>
      <c r="B19656" s="1" t="s">
        <v>19332</v>
      </c>
      <c r="C19656" t="str">
        <f>IFERROR(__xludf.DUMMYFUNCTION("GOOGLETRANSLATE(B19656, ""fr"", ""en"")"),"QUALITY / PRICE VERY SATISFIED The pair of basketball is very satisfactory. Very happy with purchase")</f>
        <v>QUALITY / PRICE VERY SATISFIED The pair of basketball is very satisfactory. Very happy with purchase</v>
      </c>
    </row>
    <row r="19657">
      <c r="A19657" s="1">
        <v>4.0</v>
      </c>
      <c r="B19657" s="1" t="s">
        <v>19333</v>
      </c>
      <c r="C19657" t="str">
        <f>IFERROR(__xludf.DUMMYFUNCTION("GOOGLETRANSLATE(B19657, ""fr"", ""en"")"),"product line with my expectation that I have put 4 stars because it's still not the same quality as the studding Rycottes !! That said, the product conforms to what I was expecting and cheap. Some hairs snapped quite often, but hey !! correct product stil"&amp;"l overall.")</f>
        <v>product line with my expectation that I have put 4 stars because it's still not the same quality as the studding Rycottes !! That said, the product conforms to what I was expecting and cheap. Some hairs snapped quite often, but hey !! correct product still overall.</v>
      </c>
    </row>
    <row r="19658">
      <c r="A19658" s="1">
        <v>4.0</v>
      </c>
      <c r="B19658" s="1" t="s">
        <v>16113</v>
      </c>
      <c r="C19658" t="str">
        <f>IFERROR(__xludf.DUMMYFUNCTION("GOOGLETRANSLATE(B19658, ""fr"", ""en"")"),"In line with expectations in line with expectations")</f>
        <v>In line with expectations in line with expectations</v>
      </c>
    </row>
    <row r="19659">
      <c r="A19659" s="1">
        <v>4.0</v>
      </c>
      <c r="B19659" s="1" t="s">
        <v>19334</v>
      </c>
      <c r="C19659" t="str">
        <f>IFERROR(__xludf.DUMMYFUNCTION("GOOGLETRANSLATE(B19659, ""fr"", ""en"")"),"Super socks Very good product. Socks to wear very nice and solid. I recommend")</f>
        <v>Super socks Very good product. Socks to wear very nice and solid. I recommend</v>
      </c>
    </row>
    <row r="19660">
      <c r="A19660" s="1">
        <v>5.0</v>
      </c>
      <c r="B19660" s="1" t="s">
        <v>19335</v>
      </c>
      <c r="C19660" t="str">
        <f>IFERROR(__xludf.DUMMYFUNCTION("GOOGLETRANSLATE(B19660, ""fr"", ""en"")"),"Impeccable Easy to adjust. Very comfortable to wear. What a pleasure to find an automatic quality at this price!")</f>
        <v>Impeccable Easy to adjust. Very comfortable to wear. What a pleasure to find an automatic quality at this price!</v>
      </c>
    </row>
    <row r="19661">
      <c r="A19661" s="1">
        <v>5.0</v>
      </c>
      <c r="B19661" s="1" t="s">
        <v>19336</v>
      </c>
      <c r="C19661" t="str">
        <f>IFERROR(__xludf.DUMMYFUNCTION("GOOGLETRANSLATE(B19661, ""fr"", ""en"")"),"Chic and efficient Maker of good quality, easy to program, it holds warm coffee 40 minutes. Perfect .")</f>
        <v>Chic and efficient Maker of good quality, easy to program, it holds warm coffee 40 minutes. Perfect .</v>
      </c>
    </row>
    <row r="19662">
      <c r="A19662" s="1">
        <v>5.0</v>
      </c>
      <c r="B19662" s="1" t="s">
        <v>19337</v>
      </c>
      <c r="C19662" t="str">
        <f>IFERROR(__xludf.DUMMYFUNCTION("GOOGLETRANSLATE(B19662, ""fr"", ""en"")"),"Nice decent size Very comfortable. Size good as the reviews indicated that it cut short suddenly I got one size bigger and buy soles to compensate By cons delivery times almost 2 months")</f>
        <v>Nice decent size Very comfortable. Size good as the reviews indicated that it cut short suddenly I got one size bigger and buy soles to compensate By cons delivery times almost 2 months</v>
      </c>
    </row>
    <row r="19663">
      <c r="A19663" s="1">
        <v>5.0</v>
      </c>
      <c r="B19663" s="1" t="s">
        <v>19338</v>
      </c>
      <c r="C19663" t="str">
        <f>IFERROR(__xludf.DUMMYFUNCTION("GOOGLETRANSLATE(B19663, ""fr"", ""en"")"),"Great for finding a lost comfort Very good product that can make quality massage provided to exceed the first threshold of pain as the spikes are still sharp. But the effect is immediate, one feels more pain than good for body parts that were painful.")</f>
        <v>Great for finding a lost comfort Very good product that can make quality massage provided to exceed the first threshold of pain as the spikes are still sharp. But the effect is immediate, one feels more pain than good for body parts that were painful.</v>
      </c>
    </row>
    <row r="19664">
      <c r="A19664" s="1">
        <v>5.0</v>
      </c>
      <c r="B19664" s="1" t="s">
        <v>19339</v>
      </c>
      <c r="C19664" t="str">
        <f>IFERROR(__xludf.DUMMYFUNCTION("GOOGLETRANSLATE(B19664, ""fr"", ""en"")"),"Evaluation Very nice arrived quickly")</f>
        <v>Evaluation Very nice arrived quickly</v>
      </c>
    </row>
    <row r="19665">
      <c r="A19665" s="1">
        <v>5.0</v>
      </c>
      <c r="B19665" s="1" t="s">
        <v>19340</v>
      </c>
      <c r="C19665" t="str">
        <f>IFERROR(__xludf.DUMMYFUNCTION("GOOGLETRANSLATE(B19665, ""fr"", ""en"")"),"Okay paper very good !! Rather thick and silky. I was pleasantly surprised")</f>
        <v>Okay paper very good !! Rather thick and silky. I was pleasantly surprised</v>
      </c>
    </row>
    <row r="19666">
      <c r="A19666" s="1">
        <v>5.0</v>
      </c>
      <c r="B19666" s="1" t="s">
        <v>19341</v>
      </c>
      <c r="C19666" t="str">
        <f>IFERROR(__xludf.DUMMYFUNCTION("GOOGLETRANSLATE(B19666, ""fr"", ""en"")"),"Cheap and tres chic Wear it all day and very very chic trend")</f>
        <v>Cheap and tres chic Wear it all day and very very chic trend</v>
      </c>
    </row>
    <row r="19667">
      <c r="A19667" s="1">
        <v>5.0</v>
      </c>
      <c r="B19667" s="1" t="s">
        <v>19342</v>
      </c>
      <c r="C19667" t="str">
        <f>IFERROR(__xludf.DUMMYFUNCTION("GOOGLETRANSLATE(B19667, ""fr"", ""en"")"),"Very good Paradoxically, much stronger than the brand roll purchased Carlouf! and cheaper!")</f>
        <v>Very good Paradoxically, much stronger than the brand roll purchased Carlouf! and cheaper!</v>
      </c>
    </row>
    <row r="19668">
      <c r="A19668" s="1">
        <v>5.0</v>
      </c>
      <c r="B19668" s="1" t="s">
        <v>19343</v>
      </c>
      <c r="C19668" t="str">
        <f>IFERROR(__xludf.DUMMYFUNCTION("GOOGLETRANSLATE(B19668, ""fr"", ""en"")"),"No complaints. Very good product")</f>
        <v>No complaints. Very good product</v>
      </c>
    </row>
    <row r="19669">
      <c r="A19669" s="1">
        <v>5.0</v>
      </c>
      <c r="B19669" s="1" t="s">
        <v>19344</v>
      </c>
      <c r="C19669" t="str">
        <f>IFERROR(__xludf.DUMMYFUNCTION("GOOGLETRANSLATE(B19669, ""fr"", ""en"")"),"Perfect to top")</f>
        <v>Perfect to top</v>
      </c>
    </row>
    <row r="19670">
      <c r="A19670" s="1">
        <v>5.0</v>
      </c>
      <c r="B19670" s="1" t="s">
        <v>19345</v>
      </c>
      <c r="C19670" t="str">
        <f>IFERROR(__xludf.DUMMYFUNCTION("GOOGLETRANSLATE(B19670, ""fr"", ""en"")"),"Top, fast, consistent top, fast, consistent")</f>
        <v>Top, fast, consistent top, fast, consistent</v>
      </c>
    </row>
    <row r="19671">
      <c r="A19671" s="1">
        <v>5.0</v>
      </c>
      <c r="B19671" s="1" t="s">
        <v>19346</v>
      </c>
      <c r="C19671" t="str">
        <f>IFERROR(__xludf.DUMMYFUNCTION("GOOGLETRANSLATE(B19671, ""fr"", ""en"")"),"top works fine, quality excellent, tight fit in the ear, does not fall, the color is very nice ca change black or white classic that we see everywhere. Good value for money")</f>
        <v>top works fine, quality excellent, tight fit in the ear, does not fall, the color is very nice ca change black or white classic that we see everywhere. Good value for money</v>
      </c>
    </row>
    <row r="19672">
      <c r="A19672" s="1">
        <v>5.0</v>
      </c>
      <c r="B19672" s="1" t="s">
        <v>19347</v>
      </c>
      <c r="C19672" t="str">
        <f>IFERROR(__xludf.DUMMYFUNCTION("GOOGLETRANSLATE(B19672, ""fr"", ""en"")"),"Office Supply Ink does not dry. good quality. I'm satisfied.")</f>
        <v>Office Supply Ink does not dry. good quality. I'm satisfied.</v>
      </c>
    </row>
    <row r="19673">
      <c r="A19673" s="1">
        <v>5.0</v>
      </c>
      <c r="B19673" s="1" t="s">
        <v>19348</v>
      </c>
      <c r="C19673" t="str">
        <f>IFERROR(__xludf.DUMMYFUNCTION("GOOGLETRANSLATE(B19673, ""fr"", ""en"")"),"Size very small They are beautiful but very small I took a size above and return to the sender to order 2 sizes more ...")</f>
        <v>Size very small They are beautiful but very small I took a size above and return to the sender to order 2 sizes more ...</v>
      </c>
    </row>
    <row r="19674">
      <c r="A19674" s="1">
        <v>5.0</v>
      </c>
      <c r="B19674" s="1" t="s">
        <v>19349</v>
      </c>
      <c r="C19674" t="str">
        <f>IFERROR(__xludf.DUMMYFUNCTION("GOOGLETRANSLATE(B19674, ""fr"", ""en"")"),"Although Bought for hiking, very nice.")</f>
        <v>Although Bought for hiking, very nice.</v>
      </c>
    </row>
    <row r="19675">
      <c r="A19675" s="1">
        <v>2.0</v>
      </c>
      <c r="B19675" s="1" t="s">
        <v>19350</v>
      </c>
      <c r="C19675" t="str">
        <f>IFERROR(__xludf.DUMMYFUNCTION("GOOGLETRANSLATE(B19675, ""fr"", ""en"")"),"Disappointed because crashes My son and it was chilly to warm his bed But it's already broke down .. direction the Manufacturer ...")</f>
        <v>Disappointed because crashes My son and it was chilly to warm his bed But it's already broke down .. direction the Manufacturer ...</v>
      </c>
    </row>
    <row r="19676">
      <c r="A19676" s="1">
        <v>1.0</v>
      </c>
      <c r="B19676" s="1" t="s">
        <v>19351</v>
      </c>
      <c r="C19676" t="str">
        <f>IFERROR(__xludf.DUMMYFUNCTION("GOOGLETRANSLATE(B19676, ""fr"", ""en"")"),"very good article for my husband to do his physical therapy sessions")</f>
        <v>very good article for my husband to do his physical therapy sessions</v>
      </c>
    </row>
    <row r="19677">
      <c r="A19677" s="1">
        <v>3.0</v>
      </c>
      <c r="B19677" s="1" t="s">
        <v>19352</v>
      </c>
      <c r="C19677" t="str">
        <f>IFERROR(__xludf.DUMMYFUNCTION("GOOGLETRANSLATE(B19677, ""fr"", ""en"")"),"Comfortable but large in size I make the 40, but I'll have to order 39. They are warm but too large and ""lassage"" is too loose.")</f>
        <v>Comfortable but large in size I make the 40, but I'll have to order 39. They are warm but too large and "lassage" is too loose.</v>
      </c>
    </row>
    <row r="19678">
      <c r="A19678" s="1">
        <v>3.0</v>
      </c>
      <c r="B19678" s="1" t="s">
        <v>19353</v>
      </c>
      <c r="C19678" t="str">
        <f>IFERROR(__xludf.DUMMYFUNCTION("GOOGLETRANSLATE(B19678, ""fr"", ""en"")"),"No damage manual paper Good value.")</f>
        <v>No damage manual paper Good value.</v>
      </c>
    </row>
    <row r="19679">
      <c r="A19679" s="1">
        <v>4.0</v>
      </c>
      <c r="B19679" s="1" t="s">
        <v>19354</v>
      </c>
      <c r="C19679" t="str">
        <f>IFERROR(__xludf.DUMMYFUNCTION("GOOGLETRANSLATE(B19679, ""fr"", ""en"")"),"Good value My baby did not join with nipples")</f>
        <v>Good value My baby did not join with nipples</v>
      </c>
    </row>
    <row r="19680">
      <c r="A19680" s="1">
        <v>4.0</v>
      </c>
      <c r="B19680" s="1" t="s">
        <v>19355</v>
      </c>
      <c r="C19680" t="str">
        <f>IFERROR(__xludf.DUMMYFUNCTION("GOOGLETRANSLATE(B19680, ""fr"", ""en"")"),"Impeccable To any one who play sports or hardly supports the gorges soutients (pregnant women, these jackets are for you!) These jackets are really comfortable. She held to washing. Very happy with my purchase. The price is very attractive and the quality"&amp;" is correct!")</f>
        <v>Impeccable To any one who play sports or hardly supports the gorges soutients (pregnant women, these jackets are for you!) These jackets are really comfortable. She held to washing. Very happy with my purchase. The price is very attractive and the quality is correct!</v>
      </c>
    </row>
    <row r="19681">
      <c r="A19681" s="1">
        <v>4.0</v>
      </c>
      <c r="B19681" s="1" t="s">
        <v>19356</v>
      </c>
      <c r="C19681" t="str">
        <f>IFERROR(__xludf.DUMMYFUNCTION("GOOGLETRANSLATE(B19681, ""fr"", ""en"")"),"Well I'm happy, gift for my dad who wanted legible numbers without glasses any time pay attention to figures and chromium are not white as I thought, but it is very pretty and well filled his office, I recommend")</f>
        <v>Well I'm happy, gift for my dad who wanted legible numbers without glasses any time pay attention to figures and chromium are not white as I thought, but it is very pretty and well filled his office, I recommend</v>
      </c>
    </row>
    <row r="19682">
      <c r="A19682" s="1">
        <v>4.0</v>
      </c>
      <c r="B19682" s="1" t="s">
        <v>19357</v>
      </c>
      <c r="C19682" t="str">
        <f>IFERROR(__xludf.DUMMYFUNCTION("GOOGLETRANSLATE(B19682, ""fr"", ""en"")"),"received well")</f>
        <v>received well</v>
      </c>
    </row>
    <row r="19683">
      <c r="A19683" s="1">
        <v>5.0</v>
      </c>
      <c r="B19683" s="1" t="s">
        <v>204</v>
      </c>
      <c r="C19683" t="str">
        <f>IFERROR(__xludf.DUMMYFUNCTION("GOOGLETRANSLATE(B19683, ""fr"", ""en"")"),"Top Top")</f>
        <v>Top Top</v>
      </c>
    </row>
    <row r="19684">
      <c r="A19684" s="1">
        <v>5.0</v>
      </c>
      <c r="B19684" s="1" t="s">
        <v>19358</v>
      </c>
      <c r="C19684" t="str">
        <f>IFERROR(__xludf.DUMMYFUNCTION("GOOGLETRANSLATE(B19684, ""fr"", ""en"")"),"Moisturizer Do the Job. Interesting price. Flat for the weir that is not practical")</f>
        <v>Moisturizer Do the Job. Interesting price. Flat for the weir that is not practical</v>
      </c>
    </row>
    <row r="19685">
      <c r="A19685" s="1">
        <v>5.0</v>
      </c>
      <c r="B19685" s="1" t="s">
        <v>19359</v>
      </c>
      <c r="C19685" t="str">
        <f>IFERROR(__xludf.DUMMYFUNCTION("GOOGLETRANSLATE(B19685, ""fr"", ""en"")"),"Basketball addidas comfortable shoe consistent good product thank you")</f>
        <v>Basketball addidas comfortable shoe consistent good product thank you</v>
      </c>
    </row>
    <row r="19686">
      <c r="A19686" s="1">
        <v>5.0</v>
      </c>
      <c r="B19686" s="1" t="s">
        <v>19360</v>
      </c>
      <c r="C19686" t="str">
        <f>IFERROR(__xludf.DUMMYFUNCTION("GOOGLETRANSLATE(B19686, ""fr"", ""en"")"),"Shoes Hiking Shoes From very solid Hiking, really adapted to the hike")</f>
        <v>Shoes Hiking Shoes From very solid Hiking, really adapted to the hike</v>
      </c>
    </row>
    <row r="19687">
      <c r="A19687" s="1">
        <v>5.0</v>
      </c>
      <c r="B19687" s="1" t="s">
        <v>19361</v>
      </c>
      <c r="C19687" t="str">
        <f>IFERROR(__xludf.DUMMYFUNCTION("GOOGLETRANSLATE(B19687, ""fr"", ""en"")"),"Nice shoes Accustomed to shoes stitched leather: Plastic / canvas but breathable. Wash easily (because they have suffered outputs). They look strong and well bonded. They're good shoes.")</f>
        <v>Nice shoes Accustomed to shoes stitched leather: Plastic / canvas but breathable. Wash easily (because they have suffered outputs). They look strong and well bonded. They're good shoes.</v>
      </c>
    </row>
    <row r="19688">
      <c r="A19688" s="1">
        <v>5.0</v>
      </c>
      <c r="B19688" s="1" t="s">
        <v>19362</v>
      </c>
      <c r="C19688" t="str">
        <f>IFERROR(__xludf.DUMMYFUNCTION("GOOGLETRANSLATE(B19688, ""fr"", ""en"")"),"Audrey Nipples very quality nun daughter never took both bottles that since I have them. I recommend 100%")</f>
        <v>Audrey Nipples very quality nun daughter never took both bottles that since I have them. I recommend 100%</v>
      </c>
    </row>
    <row r="19689">
      <c r="A19689" s="1">
        <v>5.0</v>
      </c>
      <c r="B19689" s="1" t="s">
        <v>19363</v>
      </c>
      <c r="C19689" t="str">
        <f>IFERROR(__xludf.DUMMYFUNCTION("GOOGLETRANSLATE(B19689, ""fr"", ""en"")"),". Too handsome")</f>
        <v>. Too handsome</v>
      </c>
    </row>
    <row r="19690">
      <c r="A19690" s="1">
        <v>5.0</v>
      </c>
      <c r="B19690" s="1" t="s">
        <v>19364</v>
      </c>
      <c r="C19690" t="str">
        <f>IFERROR(__xludf.DUMMYFUNCTION("GOOGLETRANSLATE(B19690, ""fr"", ""en"")"),"Super fun to paint initiation for child")</f>
        <v>Super fun to paint initiation for child</v>
      </c>
    </row>
    <row r="19691">
      <c r="A19691" s="1">
        <v>5.0</v>
      </c>
      <c r="B19691" s="1" t="s">
        <v>19365</v>
      </c>
      <c r="C19691" t="str">
        <f>IFERROR(__xludf.DUMMYFUNCTION("GOOGLETRANSLATE(B19691, ""fr"", ""en"")"),"Good gentle product I tested this product and I love. It is very soft, practice for kids, leaves a clean feeling.")</f>
        <v>Good gentle product I tested this product and I love. It is very soft, practice for kids, leaves a clean feeling.</v>
      </c>
    </row>
    <row r="19692">
      <c r="A19692" s="1">
        <v>5.0</v>
      </c>
      <c r="B19692" s="1" t="s">
        <v>19366</v>
      </c>
      <c r="C19692" t="str">
        <f>IFERROR(__xludf.DUMMYFUNCTION("GOOGLETRANSLATE(B19692, ""fr"", ""en"")"),"the best scientific calculator on the market for college math teacher I am in Belgium. I tested several calculators but I no longer use the Casio fx 92 .... and for three reasons: it covers both the material covered in these college years, secondly it is "&amp;"easy use and even very intuitive for our teenagers (born with a smartphone in the hands) and lately its value for money is incomparable. Students who have not chosen a strong section in mathematics, can even use it to the end of high school (the tray in F"&amp;"rance). My daughter in college, always use (graphing calculators are prohibited). This machine is therefore a good investment for our teens, the more it resists multiple drops ...")</f>
        <v>the best scientific calculator on the market for college math teacher I am in Belgium. I tested several calculators but I no longer use the Casio fx 92 .... and for three reasons: it covers both the material covered in these college years, secondly it is easy use and even very intuitive for our teenagers (born with a smartphone in the hands) and lately its value for money is incomparable. Students who have not chosen a strong section in mathematics, can even use it to the end of high school (the tray in France). My daughter in college, always use (graphing calculators are prohibited). This machine is therefore a good investment for our teens, the more it resists multiple drops ...</v>
      </c>
    </row>
    <row r="19693">
      <c r="A19693" s="1">
        <v>5.0</v>
      </c>
      <c r="B19693" s="1" t="s">
        <v>19367</v>
      </c>
      <c r="C19693" t="str">
        <f>IFERROR(__xludf.DUMMYFUNCTION("GOOGLETRANSLATE(B19693, ""fr"", ""en"")"),"To separate the charms for a bracelet")</f>
        <v>To separate the charms for a bracelet</v>
      </c>
    </row>
    <row r="19694">
      <c r="A19694" s="1">
        <v>5.0</v>
      </c>
      <c r="B19694" s="1" t="s">
        <v>19368</v>
      </c>
      <c r="C19694" t="str">
        <f>IFERROR(__xludf.DUMMYFUNCTION("GOOGLETRANSLATE(B19694, ""fr"", ""en"")"),"Comfortable shoes very comfortable, lightweight, ideal for me that the clearance feet for 8 hours at my job.")</f>
        <v>Comfortable shoes very comfortable, lightweight, ideal for me that the clearance feet for 8 hours at my job.</v>
      </c>
    </row>
    <row r="19695">
      <c r="A19695" s="1">
        <v>5.0</v>
      </c>
      <c r="B19695" s="1" t="s">
        <v>19369</v>
      </c>
      <c r="C19695" t="str">
        <f>IFERROR(__xludf.DUMMYFUNCTION("GOOGLETRANSLATE(B19695, ""fr"", ""en"")"),"Very good disinfectant product not always easy to find in stores, it is slightly cheaper on Amazon. It performs quite function disinfectant and leaves no unpleasant odor on the laundry. I use it mainly for washing sportswear and I can not do without!")</f>
        <v>Very good disinfectant product not always easy to find in stores, it is slightly cheaper on Amazon. It performs quite function disinfectant and leaves no unpleasant odor on the laundry. I use it mainly for washing sportswear and I can not do without!</v>
      </c>
    </row>
    <row r="19696">
      <c r="A19696" s="1">
        <v>5.0</v>
      </c>
      <c r="B19696" s="1" t="s">
        <v>19370</v>
      </c>
      <c r="C19696" t="str">
        <f>IFERROR(__xludf.DUMMYFUNCTION("GOOGLETRANSLATE(B19696, ""fr"", ""en"")"),"Good product bluetooth headphones high quality. The sound is very nitide and conection is just perfect. When you doors, auqu'un problem, they stay perfectly in place. In addition the box is very comfortable thanks to its size, it's really small. Not to me"&amp;"ntion that the battery keeps you perfectly well the day .A very good buy")</f>
        <v>Good product bluetooth headphones high quality. The sound is very nitide and conection is just perfect. When you doors, auqu'un problem, they stay perfectly in place. In addition the box is very comfortable thanks to its size, it's really small. Not to mention that the battery keeps you perfectly well the day .A very good buy</v>
      </c>
    </row>
    <row r="19697">
      <c r="A19697" s="1">
        <v>5.0</v>
      </c>
      <c r="B19697" s="1" t="s">
        <v>19371</v>
      </c>
      <c r="C19697" t="str">
        <f>IFERROR(__xludf.DUMMYFUNCTION("GOOGLETRANSLATE(B19697, ""fr"", ""en"")"),"Satisfaction Response shoes and glove to groom the tunnel for my cat, case for my laptop, everything is OK except for the correction back much too small, I can not even put the arm probably would have it I had to specify a size, it's my fault; otherwise I"&amp;" was always satisfied with the purchases I made Amazon THANKS")</f>
        <v>Satisfaction Response shoes and glove to groom the tunnel for my cat, case for my laptop, everything is OK except for the correction back much too small, I can not even put the arm probably would have it I had to specify a size, it's my fault; otherwise I was always satisfied with the purchases I made Amazon THANKS</v>
      </c>
    </row>
    <row r="19698">
      <c r="A19698" s="1">
        <v>2.0</v>
      </c>
      <c r="B19698" s="1" t="s">
        <v>19372</v>
      </c>
      <c r="C19698" t="str">
        <f>IFERROR(__xludf.DUMMYFUNCTION("GOOGLETRANSLATE(B19698, ""fr"", ""en"")"),"Size tiny Despite a size up these shoes are really deserved a tip take 2 sizes bigger for not problem")</f>
        <v>Size tiny Despite a size up these shoes are really deserved a tip take 2 sizes bigger for not problem</v>
      </c>
    </row>
    <row r="19699">
      <c r="A19699" s="1">
        <v>1.0</v>
      </c>
      <c r="B19699" s="1" t="s">
        <v>19373</v>
      </c>
      <c r="C19699" t="str">
        <f>IFERROR(__xludf.DUMMYFUNCTION("GOOGLETRANSLATE(B19699, ""fr"", ""en"")"),"This projector does not correspond at all to the description I wanted to ensure that the product sold corresponded to what was described, but this is not the case at all. The product itself is very low-end it is level with the plastic or the lens. The pic"&amp;"ture quality is poor not exceeding 480p 1080p unlike expected, certainly we can choose the 1920 x 1080 resolution, but this is an illusion. In addition, the so-called brightness of 2400 Lumens should only stop at 240 without abuse. Pictures taken with my "&amp;"Nikon D5100 DSLR speak for themselves. Images very pixelated, very low light, nothing is present. DO NOT ORDER THIS PRODUCT AND SAVE YOUR MONEY!")</f>
        <v>This projector does not correspond at all to the description I wanted to ensure that the product sold corresponded to what was described, but this is not the case at all. The product itself is very low-end it is level with the plastic or the lens. The picture quality is poor not exceeding 480p 1080p unlike expected, certainly we can choose the 1920 x 1080 resolution, but this is an illusion. In addition, the so-called brightness of 2400 Lumens should only stop at 240 without abuse. Pictures taken with my Nikon D5100 DSLR speak for themselves. Images very pixelated, very low light, nothing is present. DO NOT ORDER THIS PRODUCT AND SAVE YOUR MONEY!</v>
      </c>
    </row>
    <row r="19700">
      <c r="A19700" s="1">
        <v>1.0</v>
      </c>
      <c r="B19700" s="1" t="s">
        <v>19374</v>
      </c>
      <c r="C19700" t="str">
        <f>IFERROR(__xludf.DUMMYFUNCTION("GOOGLETRANSLATE(B19700, ""fr"", ""en"")"),"? No idea of ​​the quality of the product blocked in customs")</f>
        <v>? No idea of ​​the quality of the product blocked in customs</v>
      </c>
    </row>
    <row r="19701">
      <c r="A19701" s="1">
        <v>3.0</v>
      </c>
      <c r="B19701" s="1" t="s">
        <v>19375</v>
      </c>
      <c r="C19701" t="str">
        <f>IFERROR(__xludf.DUMMYFUNCTION("GOOGLETRANSLATE(B19701, ""fr"", ""en"")"),"Mscope Very difficult to use")</f>
        <v>Mscope Very difficult to use</v>
      </c>
    </row>
    <row r="19702">
      <c r="A19702" s="1">
        <v>3.0</v>
      </c>
      <c r="B19702" s="1" t="s">
        <v>19376</v>
      </c>
      <c r="C19702" t="str">
        <f>IFERROR(__xludf.DUMMYFUNCTION("GOOGLETRANSLATE(B19702, ""fr"", ""en"")"),"1 Size alone is enough good but really short at the waist level quality fabrics")</f>
        <v>1 Size alone is enough good but really short at the waist level quality fabrics</v>
      </c>
    </row>
    <row r="19703">
      <c r="A19703" s="1">
        <v>4.0</v>
      </c>
      <c r="B19703" s="1" t="s">
        <v>11819</v>
      </c>
      <c r="C19703" t="str">
        <f>IFERROR(__xludf.DUMMYFUNCTION("GOOGLETRANSLATE(B19703, ""fr"", ""en"")"),"Size Small Size")</f>
        <v>Size Small Size</v>
      </c>
    </row>
    <row r="19704">
      <c r="A19704" s="1">
        <v>4.0</v>
      </c>
      <c r="B19704" s="1" t="s">
        <v>19377</v>
      </c>
      <c r="C19704" t="str">
        <f>IFERROR(__xludf.DUMMYFUNCTION("GOOGLETRANSLATE(B19704, ""fr"", ""en"")"),"NICE NECKLACE Beautiful necklace in a nice box, ideal for a gift. Corresponds to the image, nice size of the pendant. All to please your wife or mother.")</f>
        <v>NICE NECKLACE Beautiful necklace in a nice box, ideal for a gift. Corresponds to the image, nice size of the pendant. All to please your wife or mother.</v>
      </c>
    </row>
    <row r="19705">
      <c r="A19705" s="1">
        <v>4.0</v>
      </c>
      <c r="B19705" s="1" t="s">
        <v>14432</v>
      </c>
      <c r="C19705" t="str">
        <f>IFERROR(__xludf.DUMMYFUNCTION("GOOGLETRANSLATE(B19705, ""fr"", ""en"")"),"The design Parfait top shoes and class")</f>
        <v>The design Parfait top shoes and class</v>
      </c>
    </row>
    <row r="19706">
      <c r="A19706" s="1">
        <v>4.0</v>
      </c>
      <c r="B19706" s="1" t="s">
        <v>19378</v>
      </c>
      <c r="C19706" t="str">
        <f>IFERROR(__xludf.DUMMYFUNCTION("GOOGLETRANSLATE(B19706, ""fr"", ""en"")"),"Bracelet seduction Good product")</f>
        <v>Bracelet seduction Good product</v>
      </c>
    </row>
    <row r="19707">
      <c r="A19707" s="1">
        <v>5.0</v>
      </c>
      <c r="B19707" s="1" t="s">
        <v>19379</v>
      </c>
      <c r="C19707" t="str">
        <f>IFERROR(__xludf.DUMMYFUNCTION("GOOGLETRANSLATE(B19707, ""fr"", ""en"")"),"excellent very happy with his shoes and very good value - great look - I recommend fortemment")</f>
        <v>excellent very happy with his shoes and very good value - great look - I recommend fortemment</v>
      </c>
    </row>
    <row r="19708">
      <c r="A19708" s="1">
        <v>5.0</v>
      </c>
      <c r="B19708" s="1" t="s">
        <v>19380</v>
      </c>
      <c r="C19708" t="str">
        <f>IFERROR(__xludf.DUMMYFUNCTION("GOOGLETRANSLATE(B19708, ""fr"", ""en"")"),"Genial Perfect! No complaints, Article consistent from start to finish Delivery time and great package. I took the same tip top in white too! I will recommended to my husband!.")</f>
        <v>Genial Perfect! No complaints, Article consistent from start to finish Delivery time and great package. I took the same tip top in white too! I will recommended to my husband!.</v>
      </c>
    </row>
    <row r="19709">
      <c r="A19709" s="1">
        <v>5.0</v>
      </c>
      <c r="B19709" s="1" t="s">
        <v>19381</v>
      </c>
      <c r="C19709" t="str">
        <f>IFERROR(__xludf.DUMMYFUNCTION("GOOGLETRANSLATE(B19709, ""fr"", ""en"")"),"I recommend Super! Go with the description 😉")</f>
        <v>I recommend Super! Go with the description 😉</v>
      </c>
    </row>
    <row r="19710">
      <c r="A19710" s="1">
        <v>5.0</v>
      </c>
      <c r="B19710" s="1" t="s">
        <v>19382</v>
      </c>
      <c r="C19710" t="str">
        <f>IFERROR(__xludf.DUMMYFUNCTION("GOOGLETRANSLATE(B19710, ""fr"", ""en"")"),"Products quality product well packaged quality, well presented. The price is slightly high but it certainly is very correct given the quality.")</f>
        <v>Products quality product well packaged quality, well presented. The price is slightly high but it certainly is very correct given the quality.</v>
      </c>
    </row>
    <row r="19711">
      <c r="A19711" s="1">
        <v>5.0</v>
      </c>
      <c r="B19711" s="1" t="s">
        <v>19383</v>
      </c>
      <c r="C19711" t="str">
        <f>IFERROR(__xludf.DUMMYFUNCTION("GOOGLETRANSLATE(B19711, ""fr"", ""en"")"),"Cable Cable resistant quality, which I used for car speakers. The sound quality was very good, nothing to say!")</f>
        <v>Cable Cable resistant quality, which I used for car speakers. The sound quality was very good, nothing to say!</v>
      </c>
    </row>
    <row r="19712">
      <c r="A19712" s="1">
        <v>5.0</v>
      </c>
      <c r="B19712" s="1" t="s">
        <v>19384</v>
      </c>
      <c r="C19712" t="str">
        <f>IFERROR(__xludf.DUMMYFUNCTION("GOOGLETRANSLATE(B19712, ""fr"", ""en"")"),"Perfect I took these pacifiers taking heavy medication. Baby do not choke themselves and there is not anywhere on the bib. I have not tried it for soups or purees liquid, but it should work well.")</f>
        <v>Perfect I took these pacifiers taking heavy medication. Baby do not choke themselves and there is not anywhere on the bib. I have not tried it for soups or purees liquid, but it should work well.</v>
      </c>
    </row>
    <row r="19713">
      <c r="A19713" s="1">
        <v>5.0</v>
      </c>
      <c r="B19713" s="1" t="s">
        <v>19385</v>
      </c>
      <c r="C19713" t="str">
        <f>IFERROR(__xludf.DUMMYFUNCTION("GOOGLETRANSLATE(B19713, ""fr"", ""en"")"),"As I love tea very pretty, practical, and heated very fast. As I wanted to have quickly I did not pay attention to the capacity. A little big for me")</f>
        <v>As I love tea very pretty, practical, and heated very fast. As I wanted to have quickly I did not pay attention to the capacity. A little big for me</v>
      </c>
    </row>
    <row r="19714">
      <c r="A19714" s="1">
        <v>5.0</v>
      </c>
      <c r="B19714" s="1" t="s">
        <v>19386</v>
      </c>
      <c r="C19714" t="str">
        <f>IFERROR(__xludf.DUMMYFUNCTION("GOOGLETRANSLATE(B19714, ""fr"", ""en"")"),"Perfect like new again after a year of intensive use (festival, big steps, etc.). A few interviews and they take you very long")</f>
        <v>Perfect like new again after a year of intensive use (festival, big steps, etc.). A few interviews and they take you very long</v>
      </c>
    </row>
    <row r="19715">
      <c r="A19715" s="1">
        <v>5.0</v>
      </c>
      <c r="B19715" s="1" t="s">
        <v>19387</v>
      </c>
      <c r="C19715" t="str">
        <f>IFERROR(__xludf.DUMMYFUNCTION("GOOGLETRANSLATE(B19715, ""fr"", ""en"")"),"Product Received quickly satisfied, the product is very soft and qualitatively, the turtleneck is ideal for very low temperatures. I am satisfied with my purchase.")</f>
        <v>Product Received quickly satisfied, the product is very soft and qualitatively, the turtleneck is ideal for very low temperatures. I am satisfied with my purchase.</v>
      </c>
    </row>
    <row r="19716">
      <c r="A19716" s="1">
        <v>5.0</v>
      </c>
      <c r="B19716" s="1" t="s">
        <v>19388</v>
      </c>
      <c r="C19716" t="str">
        <f>IFERROR(__xludf.DUMMYFUNCTION("GOOGLETRANSLATE(B19716, ""fr"", ""en"")"),"Convenient to use outlines, or bubble, but flat, must get used to, shake the felt and press mine to bring out the anchor, but not too much support not like a madman.")</f>
        <v>Convenient to use outlines, or bubble, but flat, must get used to, shake the felt and press mine to bring out the anchor, but not too much support not like a madman.</v>
      </c>
    </row>
    <row r="19717">
      <c r="A19717" s="1">
        <v>5.0</v>
      </c>
      <c r="B19717" s="1" t="s">
        <v>19389</v>
      </c>
      <c r="C19717" t="str">
        <f>IFERROR(__xludf.DUMMYFUNCTION("GOOGLETRANSLATE(B19717, ""fr"", ""en"")"),"very comfortable Baskettes with excellent shock absorption Baskettes to take one size larger than your light habituelles.Tres comfortable shoes but with good cushioning for racing on asphalt")</f>
        <v>very comfortable Baskettes with excellent shock absorption Baskettes to take one size larger than your light habituelles.Tres comfortable shoes but with good cushioning for racing on asphalt</v>
      </c>
    </row>
    <row r="19718">
      <c r="A19718" s="1">
        <v>5.0</v>
      </c>
      <c r="B19718" s="1" t="s">
        <v>19390</v>
      </c>
      <c r="C19718" t="str">
        <f>IFERROR(__xludf.DUMMYFUNCTION("GOOGLETRANSLATE(B19718, ""fr"", ""en"")"),"top! comfortable socks that hold the foot well, perfect for sports!")</f>
        <v>top! comfortable socks that hold the foot well, perfect for sports!</v>
      </c>
    </row>
    <row r="19719">
      <c r="A19719" s="1">
        <v>5.0</v>
      </c>
      <c r="B19719" s="1" t="s">
        <v>12246</v>
      </c>
      <c r="C19719" t="str">
        <f>IFERROR(__xludf.DUMMYFUNCTION("GOOGLETRANSLATE(B19719, ""fr"", ""en"")"),"Beautiful basketball fast delivery very good quality basketball except that I usually size 37.5 Nike in basketball and I took 38.5 unpeu tight but I should take 39")</f>
        <v>Beautiful basketball fast delivery very good quality basketball except that I usually size 37.5 Nike in basketball and I took 38.5 unpeu tight but I should take 39</v>
      </c>
    </row>
    <row r="19720">
      <c r="A19720" s="1">
        <v>5.0</v>
      </c>
      <c r="B19720" s="1" t="s">
        <v>19391</v>
      </c>
      <c r="C19720" t="str">
        <f>IFERROR(__xludf.DUMMYFUNCTION("GOOGLETRANSLATE(B19720, ""fr"", ""en"")"),"Very good color and flawless size")</f>
        <v>Very good color and flawless size</v>
      </c>
    </row>
    <row r="19721">
      <c r="A19721" s="1">
        <v>5.0</v>
      </c>
      <c r="B19721" s="1" t="s">
        <v>19392</v>
      </c>
      <c r="C19721" t="str">
        <f>IFERROR(__xludf.DUMMYFUNCTION("GOOGLETRANSLATE(B19721, ""fr"", ""en"")"),"Recommended Buy Given the very good price product")</f>
        <v>Recommended Buy Given the very good price product</v>
      </c>
    </row>
    <row r="19722">
      <c r="A19722" s="1">
        <v>2.0</v>
      </c>
      <c r="B19722" s="1" t="s">
        <v>19393</v>
      </c>
      <c r="C19722" t="str">
        <f>IFERROR(__xludf.DUMMYFUNCTION("GOOGLETRANSLATE(B19722, ""fr"", ""en"")"),"Convenient but really disappointed to use! This bag is really practical to use, it is bulky and very well thought: there are numerous storage pockets the only problem is that it is not reliable to use! after 2 weeks a zippers remained in my fingers ... it"&amp;" can happen ... except that a few days later he began to do battle on all sides! then two things is what is unique or it is the quality not the appointment ... anyway that's a shame because I liked this bag !!! ;-(")</f>
        <v>Convenient but really disappointed to use! This bag is really practical to use, it is bulky and very well thought: there are numerous storage pockets the only problem is that it is not reliable to use! after 2 weeks a zippers remained in my fingers ... it can happen ... except that a few days later he began to do battle on all sides! then two things is what is unique or it is the quality not the appointment ... anyway that's a shame because I liked this bag !!! ;-(</v>
      </c>
    </row>
    <row r="19723">
      <c r="A19723" s="1">
        <v>1.0</v>
      </c>
      <c r="B19723" s="1" t="s">
        <v>19394</v>
      </c>
      <c r="C19723" t="str">
        <f>IFERROR(__xludf.DUMMYFUNCTION("GOOGLETRANSLATE(B19723, ""fr"", ""en"")"),"Return. J would like to return my device freezes at times that do ??")</f>
        <v>Return. J would like to return my device freezes at times that do ??</v>
      </c>
    </row>
    <row r="19724">
      <c r="A19724" s="1">
        <v>1.0</v>
      </c>
      <c r="B19724" s="1" t="s">
        <v>19395</v>
      </c>
      <c r="C19724" t="str">
        <f>IFERROR(__xludf.DUMMYFUNCTION("GOOGLETRANSLATE(B19724, ""fr"", ""en"")"),"Ashamed Given the reviews below I did not have to have luck, because the sweater I got is a disaster. The bags were sewn in error in the back, photo support. It is simply shameful.")</f>
        <v>Ashamed Given the reviews below I did not have to have luck, because the sweater I got is a disaster. The bags were sewn in error in the back, photo support. It is simply shameful.</v>
      </c>
    </row>
    <row r="19725">
      <c r="A19725" s="1">
        <v>3.0</v>
      </c>
      <c r="B19725" s="1" t="s">
        <v>19396</v>
      </c>
      <c r="C19725" t="str">
        <f>IFERROR(__xludf.DUMMYFUNCTION("GOOGLETRANSLATE(B19725, ""fr"", ""en"")"),"Good Quaite price Excellent value. The bottles are FACILS taking baby. Small problem: the cap is a little hard to remove.")</f>
        <v>Good Quaite price Excellent value. The bottles are FACILS taking baby. Small problem: the cap is a little hard to remove.</v>
      </c>
    </row>
    <row r="19726">
      <c r="A19726" s="1">
        <v>3.0</v>
      </c>
      <c r="B19726" s="1" t="s">
        <v>19397</v>
      </c>
      <c r="C19726" t="str">
        <f>IFERROR(__xludf.DUMMYFUNCTION("GOOGLETRANSLATE(B19726, ""fr"", ""en"")"),"Works fine but difficult to read speeds nipples work well with the thickened milk, the hole does not extend over the washes ... But alas once the thickened milk filled the nipple, his footsteps make them difficult to read speeds.")</f>
        <v>Works fine but difficult to read speeds nipples work well with the thickened milk, the hole does not extend over the washes ... But alas once the thickened milk filled the nipple, his footsteps make them difficult to read speeds.</v>
      </c>
    </row>
    <row r="19727">
      <c r="A19727" s="1">
        <v>4.0</v>
      </c>
      <c r="B19727" s="1" t="s">
        <v>19398</v>
      </c>
      <c r="C19727" t="str">
        <f>IFERROR(__xludf.DUMMYFUNCTION("GOOGLETRANSLATE(B19727, ""fr"", ""en"")"),"Super Conforms to the photo. Good size.")</f>
        <v>Super Conforms to the photo. Good size.</v>
      </c>
    </row>
    <row r="19728">
      <c r="A19728" s="1">
        <v>4.0</v>
      </c>
      <c r="B19728" s="1" t="s">
        <v>19399</v>
      </c>
      <c r="C19728" t="str">
        <f>IFERROR(__xludf.DUMMYFUNCTION("GOOGLETRANSLATE(B19728, ""fr"", ""en"")"),"Very elegant assortment very elegant, fine, fine. Beware of earrings that easily escapes. A loop brake is not too much!")</f>
        <v>Very elegant assortment very elegant, fine, fine. Beware of earrings that easily escapes. A loop brake is not too much!</v>
      </c>
    </row>
    <row r="19729">
      <c r="A19729" s="1">
        <v>4.0</v>
      </c>
      <c r="B19729" s="1" t="s">
        <v>19400</v>
      </c>
      <c r="C19729" t="str">
        <f>IFERROR(__xludf.DUMMYFUNCTION("GOOGLETRANSLATE(B19729, ""fr"", ""en"")"),"Very nice watch I'm very happy as I find the description and I like")</f>
        <v>Very nice watch I'm very happy as I find the description and I like</v>
      </c>
    </row>
    <row r="19730">
      <c r="A19730" s="1">
        <v>4.0</v>
      </c>
      <c r="B19730" s="1" t="s">
        <v>19401</v>
      </c>
      <c r="C19730" t="str">
        <f>IFERROR(__xludf.DUMMYFUNCTION("GOOGLETRANSLATE(B19730, ""fr"", ""en"")"),"Good paint my daughter 20 months eClare zvec this painting that does not stain (or on the skin or on clothing or on the furniture) It's great for everyone ... I recommend this painting")</f>
        <v>Good paint my daughter 20 months eClare zvec this painting that does not stain (or on the skin or on clothing or on the furniture) It's great for everyone ... I recommend this painting</v>
      </c>
    </row>
    <row r="19731">
      <c r="A19731" s="1">
        <v>5.0</v>
      </c>
      <c r="B19731" s="1" t="s">
        <v>19402</v>
      </c>
      <c r="C19731" t="str">
        <f>IFERROR(__xludf.DUMMYFUNCTION("GOOGLETRANSLATE(B19731, ""fr"", ""en"")"),"Great gift idea A gift that was very fun.")</f>
        <v>Great gift idea A gift that was very fun.</v>
      </c>
    </row>
    <row r="19732">
      <c r="A19732" s="1">
        <v>5.0</v>
      </c>
      <c r="B19732" s="1" t="s">
        <v>19403</v>
      </c>
      <c r="C19732" t="str">
        <f>IFERROR(__xludf.DUMMYFUNCTION("GOOGLETRANSLATE(B19732, ""fr"", ""en"")"),"Small practical and stylish small bag very well designed. Essential for sunny days or jackets are in the closet. Reassuring by its shoulder strap or the possibility of wearing the belt. Elegant, sensitive to the one that in its shape, the door handle. I a"&amp;"m delighted.")</f>
        <v>Small practical and stylish small bag very well designed. Essential for sunny days or jackets are in the closet. Reassuring by its shoulder strap or the possibility of wearing the belt. Elegant, sensitive to the one that in its shape, the door handle. I am delighted.</v>
      </c>
    </row>
    <row r="19733">
      <c r="A19733" s="1">
        <v>5.0</v>
      </c>
      <c r="B19733" s="1" t="s">
        <v>19404</v>
      </c>
      <c r="C19733" t="str">
        <f>IFERROR(__xludf.DUMMYFUNCTION("GOOGLETRANSLATE(B19733, ""fr"", ""en"")"),"Nothing to say!! The best bottles that can exist! Easy to clean because completely removable. And zero colliques for my baby of 2 months. J adore and I recommend!")</f>
        <v>Nothing to say!! The best bottles that can exist! Easy to clean because completely removable. And zero colliques for my baby of 2 months. J adore and I recommend!</v>
      </c>
    </row>
    <row r="19734">
      <c r="A19734" s="1">
        <v>5.0</v>
      </c>
      <c r="B19734" s="1" t="s">
        <v>19405</v>
      </c>
      <c r="C19734" t="str">
        <f>IFERROR(__xludf.DUMMYFUNCTION("GOOGLETRANSLATE(B19734, ""fr"", ""en"")"),"efficient perfect for my Canon printer, good quality and effective! not find cheaper ...")</f>
        <v>efficient perfect for my Canon printer, good quality and effective! not find cheaper ...</v>
      </c>
    </row>
    <row r="19735">
      <c r="A19735" s="1">
        <v>5.0</v>
      </c>
      <c r="B19735" s="1" t="s">
        <v>19406</v>
      </c>
      <c r="C19735" t="str">
        <f>IFERROR(__xludf.DUMMYFUNCTION("GOOGLETRANSLATE(B19735, ""fr"", ""en"")"),"According to the original. Canon Ink Cartridges conform to the original. They are quickly recognized by my Canon printer. I bought these 2 cartridges end of September. The prints are of quality. None. To see in time.")</f>
        <v>According to the original. Canon Ink Cartridges conform to the original. They are quickly recognized by my Canon printer. I bought these 2 cartridges end of September. The prints are of quality. None. To see in time.</v>
      </c>
    </row>
    <row r="19736">
      <c r="A19736" s="1">
        <v>5.0</v>
      </c>
      <c r="B19736" s="1" t="s">
        <v>19407</v>
      </c>
      <c r="C19736" t="str">
        <f>IFERROR(__xludf.DUMMYFUNCTION("GOOGLETRANSLATE(B19736, ""fr"", ""en"")"),"Really perfect for any ... Perfect for delivery; amazon really I'm super satisfied, never disappointed !!! For shoes I relied me to the other reviews: I gained 38 while I play 37 and it's perfect for this model the kickers (This same brand of boots purcha"&amp;"sed this winter I took my size usual). Otherwise color ... Same as the description and kickers never disappointed, super comfortable shoes, I hope it will last me more than 10 years as the previous! lol")</f>
        <v>Really perfect for any ... Perfect for delivery; amazon really I'm super satisfied, never disappointed !!! For shoes I relied me to the other reviews: I gained 38 while I play 37 and it's perfect for this model the kickers (This same brand of boots purchased this winter I took my size usual). Otherwise color ... Same as the description and kickers never disappointed, super comfortable shoes, I hope it will last me more than 10 years as the previous! lol</v>
      </c>
    </row>
    <row r="19737">
      <c r="A19737" s="1">
        <v>5.0</v>
      </c>
      <c r="B19737" s="1" t="s">
        <v>19408</v>
      </c>
      <c r="C19737" t="str">
        <f>IFERROR(__xludf.DUMMYFUNCTION("GOOGLETRANSLATE(B19737, ""fr"", ""en"")"),"Perfect Just perfect!")</f>
        <v>Perfect Just perfect!</v>
      </c>
    </row>
    <row r="19738">
      <c r="A19738" s="1">
        <v>5.0</v>
      </c>
      <c r="B19738" s="1" t="s">
        <v>19409</v>
      </c>
      <c r="C19738" t="str">
        <f>IFERROR(__xludf.DUMMYFUNCTION("GOOGLETRANSLATE(B19738, ""fr"", ""en"")"),"Bottles adopted with a baby bottle teats very well that finally was like my daughter to start the transition from breast to bottle. After having Tommy tipie try and avene I have found soothers and bottle adapted. They are very cute and cheap. They are qui"&amp;"te difficles to open and it takes a bottle suitable heater.")</f>
        <v>Bottles adopted with a baby bottle teats very well that finally was like my daughter to start the transition from breast to bottle. After having Tommy tipie try and avene I have found soothers and bottle adapted. They are very cute and cheap. They are quite difficles to open and it takes a bottle suitable heater.</v>
      </c>
    </row>
    <row r="19739">
      <c r="A19739" s="1">
        <v>5.0</v>
      </c>
      <c r="B19739" s="1" t="s">
        <v>19410</v>
      </c>
      <c r="C19739" t="str">
        <f>IFERROR(__xludf.DUMMYFUNCTION("GOOGLETRANSLATE(B19739, ""fr"", ""en"")"),"Topissime Unbelievable. As in slippers. I've had during a flash sale. Strongly next.")</f>
        <v>Topissime Unbelievable. As in slippers. I've had during a flash sale. Strongly next.</v>
      </c>
    </row>
    <row r="19740">
      <c r="A19740" s="1">
        <v>5.0</v>
      </c>
      <c r="B19740" s="1" t="s">
        <v>19411</v>
      </c>
      <c r="C19740" t="str">
        <f>IFERROR(__xludf.DUMMYFUNCTION("GOOGLETRANSLATE(B19740, ""fr"", ""en"")"),"strong suction, awesome price, nothing to clean it Bought it a week ago, I really like it. I use almost everything for cleaning, the sofa bed through the floor. This handy device is wireless, which allows me to easily clean my bed and my sofa. I can also "&amp;"clean the floor with it. I think this is an alternative product for people who are looking for Dyson. It's like a dyson, a powerful engine, perfect for cleaning at home. I highly recommend it to everyone.")</f>
        <v>strong suction, awesome price, nothing to clean it Bought it a week ago, I really like it. I use almost everything for cleaning, the sofa bed through the floor. This handy device is wireless, which allows me to easily clean my bed and my sofa. I can also clean the floor with it. I think this is an alternative product for people who are looking for Dyson. It's like a dyson, a powerful engine, perfect for cleaning at home. I highly recommend it to everyone.</v>
      </c>
    </row>
    <row r="19741">
      <c r="A19741" s="1">
        <v>5.0</v>
      </c>
      <c r="B19741" s="1" t="s">
        <v>19412</v>
      </c>
      <c r="C19741" t="str">
        <f>IFERROR(__xludf.DUMMYFUNCTION("GOOGLETRANSLATE(B19741, ""fr"", ""en"")"),"horse balm heater to heat it, nothing to say, has been a relief for my back pain, gaff not put too much ...")</f>
        <v>horse balm heater to heat it, nothing to say, has been a relief for my back pain, gaff not put too much ...</v>
      </c>
    </row>
    <row r="19742">
      <c r="A19742" s="1">
        <v>5.0</v>
      </c>
      <c r="B19742" s="1" t="s">
        <v>19413</v>
      </c>
      <c r="C19742" t="str">
        <f>IFERROR(__xludf.DUMMYFUNCTION("GOOGLETRANSLATE(B19742, ""fr"", ""en"")"),"bag very practical bag for good quality large storage space work buy")</f>
        <v>bag very practical bag for good quality large storage space work buy</v>
      </c>
    </row>
    <row r="19743">
      <c r="A19743" s="1">
        <v>5.0</v>
      </c>
      <c r="B19743" s="1" t="s">
        <v>19414</v>
      </c>
      <c r="C19743" t="str">
        <f>IFERROR(__xludf.DUMMYFUNCTION("GOOGLETRANSLATE(B19743, ""fr"", ""en"")"),"Great is cartridge As usual cartridges are super reasonable price I recommend")</f>
        <v>Great is cartridge As usual cartridges are super reasonable price I recommend</v>
      </c>
    </row>
    <row r="19744">
      <c r="A19744" s="1">
        <v>5.0</v>
      </c>
      <c r="B19744" s="1" t="s">
        <v>19415</v>
      </c>
      <c r="C19744" t="str">
        <f>IFERROR(__xludf.DUMMYFUNCTION("GOOGLETRANSLATE(B19744, ""fr"", ""en"")"),"Sending fast and be consistent with the announcement Fast shipping and subject line with the announcement")</f>
        <v>Sending fast and be consistent with the announcement Fast shipping and subject line with the announcement</v>
      </c>
    </row>
    <row r="19745">
      <c r="A19745" s="1">
        <v>5.0</v>
      </c>
      <c r="B19745" s="1" t="s">
        <v>19416</v>
      </c>
      <c r="C19745" t="str">
        <f>IFERROR(__xludf.DUMMYFUNCTION("GOOGLETRANSLATE(B19745, ""fr"", ""en"")"),"Very beautiful color is beautiful ... so cut converse classic fashion! attention to size: taken for 41, changed to 40, they remain somewhat large")</f>
        <v>Very beautiful color is beautiful ... so cut converse classic fashion! attention to size: taken for 41, changed to 40, they remain somewhat large</v>
      </c>
    </row>
    <row r="19746">
      <c r="A19746" s="1">
        <v>2.0</v>
      </c>
      <c r="B19746" s="1" t="s">
        <v>19417</v>
      </c>
      <c r="C19746" t="str">
        <f>IFERROR(__xludf.DUMMYFUNCTION("GOOGLETRANSLATE(B19746, ""fr"", ""en"")"),"Avoid shoes arrived with lots of junkies on leather")</f>
        <v>Avoid shoes arrived with lots of junkies on leather</v>
      </c>
    </row>
    <row r="19747">
      <c r="A19747" s="1">
        <v>1.0</v>
      </c>
      <c r="B19747" s="1" t="s">
        <v>19418</v>
      </c>
      <c r="C19747" t="str">
        <f>IFERROR(__xludf.DUMMYFUNCTION("GOOGLETRANSLATE(B19747, ""fr"", ""en"")"),"Cardio unreliable Bought for monitoring the pulse. The measurement can be unpredictable and therefore unreliable. Watch returned quickly.")</f>
        <v>Cardio unreliable Bought for monitoring the pulse. The measurement can be unpredictable and therefore unreliable. Watch returned quickly.</v>
      </c>
    </row>
    <row r="19748">
      <c r="A19748" s="1">
        <v>1.0</v>
      </c>
      <c r="B19748" s="1" t="s">
        <v>19419</v>
      </c>
      <c r="C19748" t="str">
        <f>IFERROR(__xludf.DUMMYFUNCTION("GOOGLETRANSLATE(B19748, ""fr"", ""en"")"),"Very disappointed Beautiful watch but not the box or leaflet !!! Very disappointed...")</f>
        <v>Very disappointed Beautiful watch but not the box or leaflet !!! Very disappointed...</v>
      </c>
    </row>
    <row r="19749">
      <c r="A19749" s="1">
        <v>3.0</v>
      </c>
      <c r="B19749" s="1" t="s">
        <v>19420</v>
      </c>
      <c r="C19749" t="str">
        <f>IFERROR(__xludf.DUMMYFUNCTION("GOOGLETRANSLATE(B19749, ""fr"", ""en"")"),"sewing problem! Too bad .... Fast delivery but a shoe has a sewing default on the top of the hull damage ... .. thank you !!! great size")</f>
        <v>sewing problem! Too bad .... Fast delivery but a shoe has a sewing default on the top of the hull damage ... .. thank you !!! great size</v>
      </c>
    </row>
    <row r="19750">
      <c r="A19750" s="1">
        <v>4.0</v>
      </c>
      <c r="B19750" s="1" t="s">
        <v>19421</v>
      </c>
      <c r="C19750" t="str">
        <f>IFERROR(__xludf.DUMMYFUNCTION("GOOGLETRANSLATE(B19750, ""fr"", ""en"")"),"Bottle / cup learning top My son was struggling with various cups, he did not understand the need to suck but this one not need too much effort !! He still plays with a little but drink a little, with time it will come !!! I confirm I recommend good anti "&amp;"leaks")</f>
        <v>Bottle / cup learning top My son was struggling with various cups, he did not understand the need to suck but this one not need too much effort !! He still plays with a little but drink a little, with time it will come !!! I confirm I recommend good anti leaks</v>
      </c>
    </row>
    <row r="19751">
      <c r="A19751" s="1">
        <v>4.0</v>
      </c>
      <c r="B19751" s="1" t="s">
        <v>19422</v>
      </c>
      <c r="C19751" t="str">
        <f>IFERROR(__xludf.DUMMYFUNCTION("GOOGLETRANSLATE(B19751, ""fr"", ""en"")"),"Do not hesitate !!!! Watch achetee the aim of a seaside holiday so the seal not yet tested against pretty wrist automatic which is not negliable for a waterproof watch, good price performance ratio, more accessory provided to decrease the bracelet, To adv"&amp;"ice")</f>
        <v>Do not hesitate !!!! Watch achetee the aim of a seaside holiday so the seal not yet tested against pretty wrist automatic which is not negliable for a waterproof watch, good price performance ratio, more accessory provided to decrease the bracelet, To advice</v>
      </c>
    </row>
    <row r="19752">
      <c r="A19752" s="1">
        <v>4.0</v>
      </c>
      <c r="B19752" s="1" t="s">
        <v>19423</v>
      </c>
      <c r="C19752" t="str">
        <f>IFERROR(__xludf.DUMMYFUNCTION("GOOGLETRANSLATE(B19752, ""fr"", ""en"")"),"feel super good! Super hyper concentrated liquid laundry Cross that leaves a good smell of laundry, smell fresh and not too strong, so do not bothersome. The scent lasts long enough for drying laundry. For washing in 30 degree machine laundry spring well."&amp;" It fulfills its purpose as any liquid detergent. The batch comprises two cans and a metering device, with a non-excessive price mark. Personally I liked the smell, compared to other brands tested; and the shape of the bottle. My rating is four star.")</f>
        <v>feel super good! Super hyper concentrated liquid laundry Cross that leaves a good smell of laundry, smell fresh and not too strong, so do not bothersome. The scent lasts long enough for drying laundry. For washing in 30 degree machine laundry spring well. It fulfills its purpose as any liquid detergent. The batch comprises two cans and a metering device, with a non-excessive price mark. Personally I liked the smell, compared to other brands tested; and the shape of the bottle. My rating is four star.</v>
      </c>
    </row>
    <row r="19753">
      <c r="A19753" s="1">
        <v>4.0</v>
      </c>
      <c r="B19753" s="1" t="s">
        <v>19424</v>
      </c>
      <c r="C19753" t="str">
        <f>IFERROR(__xludf.DUMMYFUNCTION("GOOGLETRANSLATE(B19753, ""fr"", ""en"")"),"Convenient but beware the size quickly received the next day with premium, small flat I took the standard size and they are a bit too big for me I'll recommend me the smallest size. We need a better way to allow to choose size if not I recommend")</f>
        <v>Convenient but beware the size quickly received the next day with premium, small flat I took the standard size and they are a bit too big for me I'll recommend me the smallest size. We need a better way to allow to choose size if not I recommend</v>
      </c>
    </row>
    <row r="19754">
      <c r="A19754" s="1">
        <v>5.0</v>
      </c>
      <c r="B19754" s="1" t="s">
        <v>19425</v>
      </c>
      <c r="C19754" t="str">
        <f>IFERROR(__xludf.DUMMYFUNCTION("GOOGLETRANSLATE(B19754, ""fr"", ""en"")"),"Very good experience Experience simpatique, it changes the traditional helmet inside the ears and allows you to hear what is happening around nois all by continuing to listen")</f>
        <v>Very good experience Experience simpatique, it changes the traditional helmet inside the ears and allows you to hear what is happening around nois all by continuing to listen</v>
      </c>
    </row>
    <row r="19755">
      <c r="A19755" s="1">
        <v>5.0</v>
      </c>
      <c r="B19755" s="1" t="s">
        <v>19426</v>
      </c>
      <c r="C19755" t="str">
        <f>IFERROR(__xludf.DUMMYFUNCTION("GOOGLETRANSLATE(B19755, ""fr"", ""en"")"),"Top! Good product. I recommend")</f>
        <v>Top! Good product. I recommend</v>
      </c>
    </row>
    <row r="19756">
      <c r="A19756" s="1">
        <v>5.0</v>
      </c>
      <c r="B19756" s="1" t="s">
        <v>19427</v>
      </c>
      <c r="C19756" t="str">
        <f>IFERROR(__xludf.DUMMYFUNCTION("GOOGLETRANSLATE(B19756, ""fr"", ""en"")"),"Perfect One gift which we really enjoyed, it is a very practical model. Attention to the size to carry it over the shoulder. The finish is impeccable. Very nice leather. Very satisfied with my purchase . Convenient for motorbikes.")</f>
        <v>Perfect One gift which we really enjoyed, it is a very practical model. Attention to the size to carry it over the shoulder. The finish is impeccable. Very nice leather. Very satisfied with my purchase . Convenient for motorbikes.</v>
      </c>
    </row>
    <row r="19757">
      <c r="A19757" s="1">
        <v>5.0</v>
      </c>
      <c r="B19757" s="1" t="s">
        <v>19428</v>
      </c>
      <c r="C19757" t="str">
        <f>IFERROR(__xludf.DUMMYFUNCTION("GOOGLETRANSLATE(B19757, ""fr"", ""en"")"),"Very matter Okay I confirm")</f>
        <v>Very matter Okay I confirm</v>
      </c>
    </row>
    <row r="19758">
      <c r="A19758" s="1">
        <v>5.0</v>
      </c>
      <c r="B19758" s="1" t="s">
        <v>19429</v>
      </c>
      <c r="C19758" t="str">
        <f>IFERROR(__xludf.DUMMYFUNCTION("GOOGLETRANSLATE(B19758, ""fr"", ""en"")"),"Top Flawless")</f>
        <v>Top Flawless</v>
      </c>
    </row>
    <row r="19759">
      <c r="A19759" s="1">
        <v>5.0</v>
      </c>
      <c r="B19759" s="1" t="s">
        <v>19430</v>
      </c>
      <c r="C19759" t="str">
        <f>IFERROR(__xludf.DUMMYFUNCTION("GOOGLETRANSLATE(B19759, ""fr"", ""en"")"),"As anticipated already purchased eyes closed")</f>
        <v>As anticipated already purchased eyes closed</v>
      </c>
    </row>
    <row r="19760">
      <c r="A19760" s="1">
        <v>5.0</v>
      </c>
      <c r="B19760" s="1" t="s">
        <v>19431</v>
      </c>
      <c r="C19760" t="str">
        <f>IFERROR(__xludf.DUMMYFUNCTION("GOOGLETRANSLATE(B19760, ""fr"", ""en"")"),"Calendar effective. Very satisfied bien.resistant.tres.")</f>
        <v>Calendar effective. Very satisfied bien.resistant.tres.</v>
      </c>
    </row>
    <row r="19761">
      <c r="A19761" s="1">
        <v>5.0</v>
      </c>
      <c r="B19761" s="1" t="s">
        <v>19432</v>
      </c>
      <c r="C19761" t="str">
        <f>IFERROR(__xludf.DUMMYFUNCTION("GOOGLETRANSLATE(B19761, ""fr"", ""en"")"),"practice very well end beep is loud enough to hear from another room. I found the unnecessary retention feature automatic hot, but takes it's great practice")</f>
        <v>practice very well end beep is loud enough to hear from another room. I found the unnecessary retention feature automatic hot, but takes it's great practice</v>
      </c>
    </row>
    <row r="19762">
      <c r="A19762" s="1">
        <v>5.0</v>
      </c>
      <c r="B19762" s="1" t="s">
        <v>19433</v>
      </c>
      <c r="C19762" t="str">
        <f>IFERROR(__xludf.DUMMYFUNCTION("GOOGLETRANSLATE(B19762, ""fr"", ""en"")"),"Pleasant Hello, I like to race on foot with very comfortable to wear, I took a size up and am delighted")</f>
        <v>Pleasant Hello, I like to race on foot with very comfortable to wear, I took a size up and am delighted</v>
      </c>
    </row>
    <row r="19763">
      <c r="A19763" s="1">
        <v>5.0</v>
      </c>
      <c r="B19763" s="1" t="s">
        <v>19434</v>
      </c>
      <c r="C19763" t="str">
        <f>IFERROR(__xludf.DUMMYFUNCTION("GOOGLETRANSLATE(B19763, ""fr"", ""en"")"),"Super clear pockets pockets of very good quality and with excellent transparency. Thick enough to receive multiple sheets, A strongly advise")</f>
        <v>Super clear pockets pockets of very good quality and with excellent transparency. Thick enough to receive multiple sheets, A strongly advise</v>
      </c>
    </row>
    <row r="19764">
      <c r="A19764" s="1">
        <v>5.0</v>
      </c>
      <c r="B19764" s="1" t="s">
        <v>19435</v>
      </c>
      <c r="C19764" t="str">
        <f>IFERROR(__xludf.DUMMYFUNCTION("GOOGLETRANSLATE(B19764, ""fr"", ""en"")"),"Great! Jacket good quality color is true to the photo no big problem. Very comfortable to wear very soft inside. I just love it !")</f>
        <v>Great! Jacket good quality color is true to the photo no big problem. Very comfortable to wear very soft inside. I just love it !</v>
      </c>
    </row>
    <row r="19765">
      <c r="A19765" s="1">
        <v>5.0</v>
      </c>
      <c r="B19765" s="1" t="s">
        <v>19436</v>
      </c>
      <c r="C19765" t="str">
        <f>IFERROR(__xludf.DUMMYFUNCTION("GOOGLETRANSLATE(B19765, ""fr"", ""en"")"),"bag shomme good product")</f>
        <v>bag shomme good product</v>
      </c>
    </row>
    <row r="19766">
      <c r="A19766" s="1">
        <v>5.0</v>
      </c>
      <c r="B19766" s="1" t="s">
        <v>19437</v>
      </c>
      <c r="C19766" t="str">
        <f>IFERROR(__xludf.DUMMYFUNCTION("GOOGLETRANSLATE(B19766, ""fr"", ""en"")"),"fast and tracking service for a birthday")</f>
        <v>fast and tracking service for a birthday</v>
      </c>
    </row>
    <row r="19767">
      <c r="A19767" s="1">
        <v>5.0</v>
      </c>
      <c r="B19767" s="1" t="s">
        <v>19438</v>
      </c>
      <c r="C19767" t="str">
        <f>IFERROR(__xludf.DUMMYFUNCTION("GOOGLETRANSLATE(B19767, ""fr"", ""en"")"),"Fragrant and practice Frankly I had a big doubt about this but I was amazed by its usability and effectiveness and more is lightly scented so lovely")</f>
        <v>Fragrant and practice Frankly I had a big doubt about this but I was amazed by its usability and effectiveness and more is lightly scented so lovely</v>
      </c>
    </row>
    <row r="19768">
      <c r="A19768" s="1">
        <v>5.0</v>
      </c>
      <c r="B19768" s="1" t="s">
        <v>19439</v>
      </c>
      <c r="C19768" t="str">
        <f>IFERROR(__xludf.DUMMYFUNCTION("GOOGLETRANSLATE(B19768, ""fr"", ""en"")"),"Perfect shoes and slippers! It's perfect")</f>
        <v>Perfect shoes and slippers! It's perfect</v>
      </c>
    </row>
    <row r="19769">
      <c r="A19769" s="1">
        <v>2.0</v>
      </c>
      <c r="B19769" s="1" t="s">
        <v>19440</v>
      </c>
      <c r="C19769" t="str">
        <f>IFERROR(__xludf.DUMMYFUNCTION("GOOGLETRANSLATE(B19769, ""fr"", ""en"")"),"NOT EFFECTIVE I do not know if it came pens I used or brush but it does not erases well. I prefer a brush with an interchangeable cloth rather than this type of foam brush.")</f>
        <v>NOT EFFECTIVE I do not know if it came pens I used or brush but it does not erases well. I prefer a brush with an interchangeable cloth rather than this type of foam brush.</v>
      </c>
    </row>
    <row r="19770">
      <c r="A19770" s="1">
        <v>1.0</v>
      </c>
      <c r="B19770" s="1" t="s">
        <v>19441</v>
      </c>
      <c r="C19770" t="str">
        <f>IFERROR(__xludf.DUMMYFUNCTION("GOOGLETRANSLATE(B19770, ""fr"", ""en"")"),"Incompatibility to some smartphone The headphones that are advertised as compatible with Android phones do not work on my Honor 8. While various brands of headphones have always worked very well. A little disappointed with my purchase even after trying on"&amp;" the phone from a friend the sound is excellent.")</f>
        <v>Incompatibility to some smartphone The headphones that are advertised as compatible with Android phones do not work on my Honor 8. While various brands of headphones have always worked very well. A little disappointed with my purchase even after trying on the phone from a friend the sound is excellent.</v>
      </c>
    </row>
    <row r="19771">
      <c r="A19771" s="1">
        <v>3.0</v>
      </c>
      <c r="B19771" s="1" t="s">
        <v>19442</v>
      </c>
      <c r="C19771" t="str">
        <f>IFERROR(__xludf.DUMMYFUNCTION("GOOGLETRANSLATE(B19771, ""fr"", ""en"")"),"Purchase without surprises Small price for a simple and sober leggings. No surprises following the washes. Purchased gray and received quickly.")</f>
        <v>Purchase without surprises Small price for a simple and sober leggings. No surprises following the washes. Purchased gray and received quickly.</v>
      </c>
    </row>
    <row r="19772">
      <c r="A19772" s="1">
        <v>3.0</v>
      </c>
      <c r="B19772" s="1" t="s">
        <v>19443</v>
      </c>
      <c r="C19772" t="str">
        <f>IFERROR(__xludf.DUMMYFUNCTION("GOOGLETRANSLATE(B19772, ""fr"", ""en"")"),"too short !!! Buy for my car registration card and it proves to be too small 1 cm so I was force to bend a little my logbook, not terrible !!!")</f>
        <v>too short !!! Buy for my car registration card and it proves to be too small 1 cm so I was force to bend a little my logbook, not terrible !!!</v>
      </c>
    </row>
    <row r="19773">
      <c r="A19773" s="1">
        <v>4.0</v>
      </c>
      <c r="B19773" s="1" t="s">
        <v>4637</v>
      </c>
      <c r="C19773" t="str">
        <f>IFERROR(__xludf.DUMMYFUNCTION("GOOGLETRANSLATE(B19773, ""fr"", ""en"")"),"well well")</f>
        <v>well well</v>
      </c>
    </row>
    <row r="19774">
      <c r="A19774" s="1">
        <v>4.0</v>
      </c>
      <c r="B19774" s="1" t="s">
        <v>19444</v>
      </c>
      <c r="C19774" t="str">
        <f>IFERROR(__xludf.DUMMYFUNCTION("GOOGLETRANSLATE(B19774, ""fr"", ""en"")"),"Good quality / price Very good quality / price ratio, the folding system I was not very solid but see in time. Helmet too big for my daughter 3 years, we keep it for later blow.")</f>
        <v>Good quality / price Very good quality / price ratio, the folding system I was not very solid but see in time. Helmet too big for my daughter 3 years, we keep it for later blow.</v>
      </c>
    </row>
    <row r="19775">
      <c r="A19775" s="1">
        <v>4.0</v>
      </c>
      <c r="B19775" s="1" t="s">
        <v>19445</v>
      </c>
      <c r="C19775" t="str">
        <f>IFERROR(__xludf.DUMMYFUNCTION("GOOGLETRANSLATE(B19775, ""fr"", ""en"")"),"A memo - very Intelligent a magnetic Whiteboard is surrounded by an aluminum frame It comes with a marker holder which accommodates two erasable pens dry It is situated on the lower edge of the table it is 60 cm x 45 cm is fixed to the wall, this is the o"&amp;"nly constraint. The screws and plugs are supplied with. It will be perfect in an office, to note the important appointment and clear the As. 6 magnetic pads will welcome orders paperwork or not. The list is not exhaustive ! In fact it will fit in a thousa"&amp;"nd places, entrance, kitchen ... The price is not known at this time, but Amazon Basics is always a very good report.")</f>
        <v>A memo - very Intelligent a magnetic Whiteboard is surrounded by an aluminum frame It comes with a marker holder which accommodates two erasable pens dry It is situated on the lower edge of the table it is 60 cm x 45 cm is fixed to the wall, this is the only constraint. The screws and plugs are supplied with. It will be perfect in an office, to note the important appointment and clear the As. 6 magnetic pads will welcome orders paperwork or not. The list is not exhaustive ! In fact it will fit in a thousand places, entrance, kitchen ... The price is not known at this time, but Amazon Basics is always a very good report.</v>
      </c>
    </row>
    <row r="19776">
      <c r="A19776" s="1">
        <v>4.0</v>
      </c>
      <c r="B19776" s="1" t="s">
        <v>19446</v>
      </c>
      <c r="C19776" t="str">
        <f>IFERROR(__xludf.DUMMYFUNCTION("GOOGLETRANSLATE(B19776, ""fr"", ""en"")"),"Great value I needed a bottle looking at low cost and easy to use, this product very well filled all my criteria. Just put a dose of water in the tank, previously indicated dose on a small manual (still hanging on the fridge!), According to the quantity a"&amp;"nd the product temperature. Then just put the bottle to turn on the device and it is ready! We no longer fear the temperature, often too hot or too cold in the microwave ... I used it quite late and I regret not having had when it was warm breast milk bot"&amp;"tles! The jars have not yet been tested but I have no doubt about the effectiveness to warm them. Despite the price that can worry when we see the ranges that offer other manufacturers almost three months ago that it works non-stop (from 6 to 8 times a da"&amp;"y) and we have never had bad surprises. For cons, I do not know if this is normal but force a small red deposit appears at the bottom (rust?) But just a cloth shot and it is like new. I highly recommend this product !!")</f>
        <v>Great value I needed a bottle looking at low cost and easy to use, this product very well filled all my criteria. Just put a dose of water in the tank, previously indicated dose on a small manual (still hanging on the fridge!), According to the quantity and the product temperature. Then just put the bottle to turn on the device and it is ready! We no longer fear the temperature, often too hot or too cold in the microwave ... I used it quite late and I regret not having had when it was warm breast milk bottles! The jars have not yet been tested but I have no doubt about the effectiveness to warm them. Despite the price that can worry when we see the ranges that offer other manufacturers almost three months ago that it works non-stop (from 6 to 8 times a day) and we have never had bad surprises. For cons, I do not know if this is normal but force a small red deposit appears at the bottom (rust?) But just a cloth shot and it is like new. I highly recommend this product !!</v>
      </c>
    </row>
    <row r="19777">
      <c r="A19777" s="1">
        <v>5.0</v>
      </c>
      <c r="B19777" s="1" t="s">
        <v>19447</v>
      </c>
      <c r="C19777" t="str">
        <f>IFERROR(__xludf.DUMMYFUNCTION("GOOGLETRANSLATE(B19777, ""fr"", ""en"")"),"Comfortable and classic As usual with Geox, all models are also comfortable. Used in the office and walking a short distance outside. Velcro very durable.")</f>
        <v>Comfortable and classic As usual with Geox, all models are also comfortable. Used in the office and walking a short distance outside. Velcro very durable.</v>
      </c>
    </row>
    <row r="19778">
      <c r="A19778" s="1">
        <v>5.0</v>
      </c>
      <c r="B19778" s="1" t="s">
        <v>19448</v>
      </c>
      <c r="C19778" t="str">
        <f>IFERROR(__xludf.DUMMYFUNCTION("GOOGLETRANSLATE(B19778, ""fr"", ""en"")"),"Very satisfied Very good very comfortable Bluetooth headset to wear with a clear and perfect sound happy with my purchase")</f>
        <v>Very satisfied Very good very comfortable Bluetooth headset to wear with a clear and perfect sound happy with my purchase</v>
      </c>
    </row>
    <row r="19779">
      <c r="A19779" s="1">
        <v>5.0</v>
      </c>
      <c r="B19779" s="1" t="s">
        <v>19449</v>
      </c>
      <c r="C19779" t="str">
        <f>IFERROR(__xludf.DUMMYFUNCTION("GOOGLETRANSLATE(B19779, ""fr"", ""en"")"),"Ultra practice which is great with Medela is that all bottles are screwed with the same teats, so when a pacifier is fine, it just keeps you simply screw on either bottles and even fits on the draws milk. In lighter, without bisphenol A, has purchased for"&amp;" the nursery and grandpa and grandma like that baby always find the same bottles that are closed with a cover for the transfer of breast milk if necessary and for which there is no hassle to look good pacifier that fits")</f>
        <v>Ultra practice which is great with Medela is that all bottles are screwed with the same teats, so when a pacifier is fine, it just keeps you simply screw on either bottles and even fits on the draws milk. In lighter, without bisphenol A, has purchased for the nursery and grandpa and grandma like that baby always find the same bottles that are closed with a cover for the transfer of breast milk if necessary and for which there is no hassle to look good pacifier that fits</v>
      </c>
    </row>
    <row r="19780">
      <c r="A19780" s="1">
        <v>5.0</v>
      </c>
      <c r="B19780" s="1" t="s">
        <v>19450</v>
      </c>
      <c r="C19780" t="str">
        <f>IFERROR(__xludf.DUMMYFUNCTION("GOOGLETRANSLATE(B19780, ""fr"", ""en"")"),"Listening Practice")</f>
        <v>Listening Practice</v>
      </c>
    </row>
    <row r="19781">
      <c r="A19781" s="1">
        <v>5.0</v>
      </c>
      <c r="B19781" s="1" t="s">
        <v>19451</v>
      </c>
      <c r="C19781" t="str">
        <f>IFERROR(__xludf.DUMMYFUNCTION("GOOGLETRANSLATE(B19781, ""fr"", ""en"")"),"Although product according to the description. Nothing to say")</f>
        <v>Although product according to the description. Nothing to say</v>
      </c>
    </row>
    <row r="19782">
      <c r="A19782" s="1">
        <v>5.0</v>
      </c>
      <c r="B19782" s="1" t="s">
        <v>19452</v>
      </c>
      <c r="C19782" t="str">
        <f>IFERROR(__xludf.DUMMYFUNCTION("GOOGLETRANSLATE(B19782, ""fr"", ""en"")"),"Excellent product Excellent microphone boom. I tested with 2 mic like the Rode NT1 and a Chinese micro and in cases this arm is perfect, no complaints. It adjusts perfectly the distance, height .... It's cheap, fast delivery, fast installation I can only "&amp;"recommend.")</f>
        <v>Excellent product Excellent microphone boom. I tested with 2 mic like the Rode NT1 and a Chinese micro and in cases this arm is perfect, no complaints. It adjusts perfectly the distance, height .... It's cheap, fast delivery, fast installation I can only recommend.</v>
      </c>
    </row>
    <row r="19783">
      <c r="A19783" s="1">
        <v>5.0</v>
      </c>
      <c r="B19783" s="1" t="s">
        <v>19453</v>
      </c>
      <c r="C19783" t="str">
        <f>IFERROR(__xludf.DUMMYFUNCTION("GOOGLETRANSLATE(B19783, ""fr"", ""en"")"),"Beautiful hot I bought these boots boots for my mother to travel in a very cold country, -13 ° she is very satisfied because they are very hot even with very light socks, but always take a size more because that size small, they are very light and very be"&amp;"autiful, I highly recommend this product very feminine and wearable")</f>
        <v>Beautiful hot I bought these boots boots for my mother to travel in a very cold country, -13 ° she is very satisfied because they are very hot even with very light socks, but always take a size more because that size small, they are very light and very beautiful, I highly recommend this product very feminine and wearable</v>
      </c>
    </row>
    <row r="19784">
      <c r="A19784" s="1">
        <v>5.0</v>
      </c>
      <c r="B19784" s="1" t="s">
        <v>19454</v>
      </c>
      <c r="C19784" t="str">
        <f>IFERROR(__xludf.DUMMYFUNCTION("GOOGLETRANSLATE(B19784, ""fr"", ""en"")"),"attention, they cut big size to take half a size smaller than your usual size. Otherwise, they are very comfortable and look really nice.")</f>
        <v>attention, they cut big size to take half a size smaller than your usual size. Otherwise, they are very comfortable and look really nice.</v>
      </c>
    </row>
    <row r="19785">
      <c r="A19785" s="1">
        <v>5.0</v>
      </c>
      <c r="B19785" s="1" t="s">
        <v>19455</v>
      </c>
      <c r="C19785" t="str">
        <f>IFERROR(__xludf.DUMMYFUNCTION("GOOGLETRANSLATE(B19785, ""fr"", ""en"")"),"Basketball racing very fast liveraison comfortable I'm happy with my purchase")</f>
        <v>Basketball racing very fast liveraison comfortable I'm happy with my purchase</v>
      </c>
    </row>
    <row r="19786">
      <c r="A19786" s="1">
        <v>5.0</v>
      </c>
      <c r="B19786" s="1" t="s">
        <v>19456</v>
      </c>
      <c r="C19786" t="str">
        <f>IFERROR(__xludf.DUMMYFUNCTION("GOOGLETRANSLATE(B19786, ""fr"", ""en"")"),"Christmas gift bag in 2017 offered a noel 2017 ... Dad happy ... and for the little guy that puts on the inside perfectly adequate")</f>
        <v>Christmas gift bag in 2017 offered a noel 2017 ... Dad happy ... and for the little guy that puts on the inside perfectly adequate</v>
      </c>
    </row>
    <row r="19787">
      <c r="A19787" s="1">
        <v>5.0</v>
      </c>
      <c r="B19787" s="1" t="s">
        <v>19457</v>
      </c>
      <c r="C19787" t="str">
        <f>IFERROR(__xludf.DUMMYFUNCTION("GOOGLETRANSLATE(B19787, ""fr"", ""en"")"),"I recommend Super product")</f>
        <v>I recommend Super product</v>
      </c>
    </row>
    <row r="19788">
      <c r="A19788" s="1">
        <v>5.0</v>
      </c>
      <c r="B19788" s="1" t="s">
        <v>19458</v>
      </c>
      <c r="C19788" t="str">
        <f>IFERROR(__xludf.DUMMYFUNCTION("GOOGLETRANSLATE(B19788, ""fr"", ""en"")"),"Wonderful Very nice size but very big and not very hot")</f>
        <v>Wonderful Very nice size but very big and not very hot</v>
      </c>
    </row>
    <row r="19789">
      <c r="A19789" s="1">
        <v>5.0</v>
      </c>
      <c r="B19789" s="1" t="s">
        <v>19459</v>
      </c>
      <c r="C19789" t="str">
        <f>IFERROR(__xludf.DUMMYFUNCTION("GOOGLETRANSLATE(B19789, ""fr"", ""en"")"),"reliable product for: size, cut, keeping in line")</f>
        <v>reliable product for: size, cut, keeping in line</v>
      </c>
    </row>
    <row r="19790">
      <c r="A19790" s="1">
        <v>5.0</v>
      </c>
      <c r="B19790" s="1" t="s">
        <v>19460</v>
      </c>
      <c r="C19790" t="str">
        <f>IFERROR(__xludf.DUMMYFUNCTION("GOOGLETRANSLATE(B19790, ""fr"", ""en"")"),"very fast delivery original earrings and good quality")</f>
        <v>very fast delivery original earrings and good quality</v>
      </c>
    </row>
    <row r="19791">
      <c r="A19791" s="1">
        <v>5.0</v>
      </c>
      <c r="B19791" s="1" t="s">
        <v>19461</v>
      </c>
      <c r="C19791" t="str">
        <f>IFERROR(__xludf.DUMMYFUNCTION("GOOGLETRANSLATE(B19791, ""fr"", ""en"")"),"Soothing Impeccable. Soothes muscle and joint pain after a long foot race session")</f>
        <v>Soothing Impeccable. Soothes muscle and joint pain after a long foot race session</v>
      </c>
    </row>
    <row r="19792">
      <c r="A19792" s="1">
        <v>2.0</v>
      </c>
      <c r="B19792" s="1" t="s">
        <v>19462</v>
      </c>
      <c r="C19792" t="str">
        <f>IFERROR(__xludf.DUMMYFUNCTION("GOOGLETRANSLATE(B19792, ""fr"", ""en"")"),"Notice informed of the electric kettle Ariete 2877 Vintage ladies and gentlemen. After ordering the kettle on and have Amazone.fr test this utensil for a week, I can give you a definitive opinion. The main problem is that the kettle is leaking! Indeed, th"&amp;"e outer shell which become hot sit well with plastic water level, which deforms at leisure when it is turned on. I specify in this case it is not a problem specific to my camera, but a series of design concerns. To assert that right.")</f>
        <v>Notice informed of the electric kettle Ariete 2877 Vintage ladies and gentlemen. After ordering the kettle on and have Amazone.fr test this utensil for a week, I can give you a definitive opinion. The main problem is that the kettle is leaking! Indeed, the outer shell which become hot sit well with plastic water level, which deforms at leisure when it is turned on. I specify in this case it is not a problem specific to my camera, but a series of design concerns. To assert that right.</v>
      </c>
    </row>
    <row r="19793">
      <c r="A19793" s="1">
        <v>1.0</v>
      </c>
      <c r="B19793" s="1" t="s">
        <v>19463</v>
      </c>
      <c r="C19793" t="str">
        <f>IFERROR(__xludf.DUMMYFUNCTION("GOOGLETRANSLATE(B19793, ""fr"", ""en"")"),"Product arrived with the package torn poor delivery Fast delivery but poor standard. The product is good but the delivery is very very poor with collapsed cardboard ream of paper a little dented. I recommend this article.")</f>
        <v>Product arrived with the package torn poor delivery Fast delivery but poor standard. The product is good but the delivery is very very poor with collapsed cardboard ream of paper a little dented. I recommend this article.</v>
      </c>
    </row>
    <row r="19794">
      <c r="A19794" s="1">
        <v>1.0</v>
      </c>
      <c r="B19794" s="1" t="s">
        <v>19464</v>
      </c>
      <c r="C19794" t="str">
        <f>IFERROR(__xludf.DUMMYFUNCTION("GOOGLETRANSLATE(B19794, ""fr"", ""en"")"),"Massage balls Massage balls are too sore back, too bad. Even felt for 4 people. We do not get used. Back asked.")</f>
        <v>Massage balls Massage balls are too sore back, too bad. Even felt for 4 people. We do not get used. Back asked.</v>
      </c>
    </row>
    <row r="19795">
      <c r="A19795" s="1">
        <v>3.0</v>
      </c>
      <c r="B19795" s="1" t="s">
        <v>19465</v>
      </c>
      <c r="C19795" t="str">
        <f>IFERROR(__xludf.DUMMYFUNCTION("GOOGLETRANSLATE(B19795, ""fr"", ""en"")"),"The problem of connection. The task remains complicated when it is not noticed, how to remove protection for connecting. Unfortunately made a lot of noise but very pleasant in terms of the rest.")</f>
        <v>The problem of connection. The task remains complicated when it is not noticed, how to remove protection for connecting. Unfortunately made a lot of noise but very pleasant in terms of the rest.</v>
      </c>
    </row>
    <row r="19796">
      <c r="A19796" s="1">
        <v>3.0</v>
      </c>
      <c r="B19796" s="1" t="s">
        <v>19466</v>
      </c>
      <c r="C19796" t="str">
        <f>IFERROR(__xludf.DUMMYFUNCTION("GOOGLETRANSLATE(B19796, ""fr"", ""en"")"),"There are better I think No response from the seller, delivery very long and is made the cheap. I'm not on it are waterproof. Once the feet in it remains comfortable.")</f>
        <v>There are better I think No response from the seller, delivery very long and is made the cheap. I'm not on it are waterproof. Once the feet in it remains comfortable.</v>
      </c>
    </row>
    <row r="19797">
      <c r="A19797" s="1">
        <v>4.0</v>
      </c>
      <c r="B19797" s="1" t="s">
        <v>19467</v>
      </c>
      <c r="C19797" t="str">
        <f>IFERROR(__xludf.DUMMYFUNCTION("GOOGLETRANSLATE(B19797, ""fr"", ""en"")"),"WATCH COMFORTABLE AND SUITABLE FOR MAN Watch well suited to uses described in the offer - Good price / quality ratio - Good quality product to the touch and easy to understand I recommend -")</f>
        <v>WATCH COMFORTABLE AND SUITABLE FOR MAN Watch well suited to uses described in the offer - Good price / quality ratio - Good quality product to the touch and easy to understand I recommend -</v>
      </c>
    </row>
    <row r="19798">
      <c r="A19798" s="1">
        <v>4.0</v>
      </c>
      <c r="B19798" s="1" t="s">
        <v>19468</v>
      </c>
      <c r="C19798" t="str">
        <f>IFERROR(__xludf.DUMMYFUNCTION("GOOGLETRANSLATE(B19798, ""fr"", ""en"")"),"Comfortable and very solid well for the winter I bought them for the ""winter, they are very comfortable and little wear out at the sole ... I recommend")</f>
        <v>Comfortable and very solid well for the winter I bought them for the "winter, they are very comfortable and little wear out at the sole ... I recommend</v>
      </c>
    </row>
    <row r="19799">
      <c r="A19799" s="1">
        <v>4.0</v>
      </c>
      <c r="B19799" s="1" t="s">
        <v>19469</v>
      </c>
      <c r="C19799" t="str">
        <f>IFERROR(__xludf.DUMMYFUNCTION("GOOGLETRANSLATE(B19799, ""fr"", ""en"")"),"Quality / price undeniable A shredder that has a very good price / quality ratio. The documents are completely destroyed, and the insertion of these is easy. The tray opens easily and gently, and there is no ""off"" particles in all directions. The destru"&amp;"ctive little heater, and does not produce a loud noise. Only downside, if it wad must carefully remove the pieces of paper between the teeth, otherwise it will not restart. It should remove any paper! Just be careful however and this does not happen often"&amp;". Very happy with this purchase and quality, so. I highly recommend !")</f>
        <v>Quality / price undeniable A shredder that has a very good price / quality ratio. The documents are completely destroyed, and the insertion of these is easy. The tray opens easily and gently, and there is no "off" particles in all directions. The destructive little heater, and does not produce a loud noise. Only downside, if it wad must carefully remove the pieces of paper between the teeth, otherwise it will not restart. It should remove any paper! Just be careful however and this does not happen often. Very happy with this purchase and quality, so. I highly recommend !</v>
      </c>
    </row>
    <row r="19800">
      <c r="A19800" s="1">
        <v>4.0</v>
      </c>
      <c r="B19800" s="1" t="s">
        <v>19470</v>
      </c>
      <c r="C19800" t="str">
        <f>IFERROR(__xludf.DUMMYFUNCTION("GOOGLETRANSLATE(B19800, ""fr"", ""en"")"),"Although the sound is okay. I am generally satisfied for the price. Comfort, Bluetooth connection, battery life is very good. But beware, if you are looking for excellent sound quality, and the sound is your most important criterion, you may be disappoint"&amp;"ed (e). It lacks depth, low, amplitude. But I'm very happy for 40 €.")</f>
        <v>Although the sound is okay. I am generally satisfied for the price. Comfort, Bluetooth connection, battery life is very good. But beware, if you are looking for excellent sound quality, and the sound is your most important criterion, you may be disappointed (e). It lacks depth, low, amplitude. But I'm very happy for 40 €.</v>
      </c>
    </row>
    <row r="19801">
      <c r="A19801" s="1">
        <v>4.0</v>
      </c>
      <c r="B19801" s="1" t="s">
        <v>19471</v>
      </c>
      <c r="C19801" t="str">
        <f>IFERROR(__xludf.DUMMYFUNCTION("GOOGLETRANSLATE(B19801, ""fr"", ""en"")"),"Excellent value The product is good, however it is unfortunate that the micro USB charger to the housing, instead of USB-c")</f>
        <v>Excellent value The product is good, however it is unfortunate that the micro USB charger to the housing, instead of USB-c</v>
      </c>
    </row>
    <row r="19802">
      <c r="A19802" s="1">
        <v>5.0</v>
      </c>
      <c r="B19802" s="1" t="s">
        <v>17899</v>
      </c>
      <c r="C19802" t="str">
        <f>IFERROR(__xludf.DUMMYFUNCTION("GOOGLETRANSLATE(B19802, ""fr"", ""en"")"),"flawless flawless")</f>
        <v>flawless flawless</v>
      </c>
    </row>
    <row r="19803">
      <c r="A19803" s="1">
        <v>5.0</v>
      </c>
      <c r="B19803" s="1" t="s">
        <v>19472</v>
      </c>
      <c r="C19803" t="str">
        <f>IFERROR(__xludf.DUMMYFUNCTION("GOOGLETRANSLATE(B19803, ""fr"", ""en"")"),"perfect seal! I use it to close the maternal milk bottles after for transport at the nanny. They are working and their mixes on adapteN'y dodie glass bottles.")</f>
        <v>perfect seal! I use it to close the maternal milk bottles after for transport at the nanny. They are working and their mixes on adapteN'y dodie glass bottles.</v>
      </c>
    </row>
    <row r="19804">
      <c r="A19804" s="1">
        <v>5.0</v>
      </c>
      <c r="B19804" s="1" t="s">
        <v>19473</v>
      </c>
      <c r="C19804" t="str">
        <f>IFERROR(__xludf.DUMMYFUNCTION("GOOGLETRANSLATE(B19804, ""fr"", ""en"")"),"Photo Paper Perfect I have obtained great photo paper is shiny. I own every single imprimmante and paper should parfaitment I recommend vraiement.")</f>
        <v>Photo Paper Perfect I have obtained great photo paper is shiny. I own every single imprimmante and paper should parfaitment I recommend vraiement.</v>
      </c>
    </row>
    <row r="19805">
      <c r="A19805" s="1">
        <v>5.0</v>
      </c>
      <c r="B19805" s="1" t="s">
        <v>19474</v>
      </c>
      <c r="C19805" t="str">
        <f>IFERROR(__xludf.DUMMYFUNCTION("GOOGLETRANSLATE(B19805, ""fr"", ""en"")"),"The watch is awesome and works perfectly! This is the first time I ordered a watch on the site. I was skeptical, I have always taken pretty expensive brand watches and finally I'm not disappointed otherwise. To put the bracelet has the right size, it is q"&amp;"uite simple, its tools provides with a beautiful box and manual. She is beautiful, I had my wrist all day, in the shower or while I sleep, watch runs perfectly, no scratches, everything is spot on! The only difference is what is lighter.")</f>
        <v>The watch is awesome and works perfectly! This is the first time I ordered a watch on the site. I was skeptical, I have always taken pretty expensive brand watches and finally I'm not disappointed otherwise. To put the bracelet has the right size, it is quite simple, its tools provides with a beautiful box and manual. She is beautiful, I had my wrist all day, in the shower or while I sleep, watch runs perfectly, no scratches, everything is spot on! The only difference is what is lighter.</v>
      </c>
    </row>
    <row r="19806">
      <c r="A19806" s="1">
        <v>5.0</v>
      </c>
      <c r="B19806" s="1" t="s">
        <v>19475</v>
      </c>
      <c r="C19806" t="str">
        <f>IFERROR(__xludf.DUMMYFUNCTION("GOOGLETRANSLATE(B19806, ""fr"", ""en"")"),"consistent with the description consistent and pleasant, decent size. See with time.")</f>
        <v>consistent with the description consistent and pleasant, decent size. See with time.</v>
      </c>
    </row>
    <row r="19807">
      <c r="A19807" s="1">
        <v>5.0</v>
      </c>
      <c r="B19807" s="1" t="s">
        <v>19476</v>
      </c>
      <c r="C19807" t="str">
        <f>IFERROR(__xludf.DUMMYFUNCTION("GOOGLETRANSLATE(B19807, ""fr"", ""en"")"),"Meets my expectation No particular problem, according to the announcement.")</f>
        <v>Meets my expectation No particular problem, according to the announcement.</v>
      </c>
    </row>
    <row r="19808">
      <c r="A19808" s="1">
        <v>5.0</v>
      </c>
      <c r="B19808" s="1" t="s">
        <v>19477</v>
      </c>
      <c r="C19808" t="str">
        <f>IFERROR(__xludf.DUMMYFUNCTION("GOOGLETRANSLATE(B19808, ""fr"", ""en"")"),"Product perfect with the evolution of the regulation I thought that for the price, I did not risk much ps. A very good product, easy to use and works very well with my Samsung S575 and now with my Sony Xperia T3. As soon as I put it on the road, the devic"&amp;"e will automatically connect, you hear a beep. Upon arrival, everything is there: quality, Hp, easy to start, some trouble pairing a second phone - certainly of the type of phone prices. Perhaps recharge easily behind a PC, via USB. One product I recommen"&amp;"d if you want to be bothered by the headset. Complémenent commentary prédédent: I use now for several days. It's really great with your foot to the phone. I am vraiement, very happy with my purchase .....")</f>
        <v>Product perfect with the evolution of the regulation I thought that for the price, I did not risk much ps. A very good product, easy to use and works very well with my Samsung S575 and now with my Sony Xperia T3. As soon as I put it on the road, the device will automatically connect, you hear a beep. Upon arrival, everything is there: quality, Hp, easy to start, some trouble pairing a second phone - certainly of the type of phone prices. Perhaps recharge easily behind a PC, via USB. One product I recommend if you want to be bothered by the headset. Complémenent commentary prédédent: I use now for several days. It's really great with your foot to the phone. I am vraiement, very happy with my purchase .....</v>
      </c>
    </row>
    <row r="19809">
      <c r="A19809" s="1">
        <v>5.0</v>
      </c>
      <c r="B19809" s="1" t="s">
        <v>19478</v>
      </c>
      <c r="C19809" t="str">
        <f>IFERROR(__xludf.DUMMYFUNCTION("GOOGLETRANSLATE(B19809, ""fr"", ""en"")"),"beautiful shoes ideal size not too big not too small. see in the long run, I've door every day we will see later. otherwise fast delivery. nothing to say.")</f>
        <v>beautiful shoes ideal size not too big not too small. see in the long run, I've door every day we will see later. otherwise fast delivery. nothing to say.</v>
      </c>
    </row>
    <row r="19810">
      <c r="A19810" s="1">
        <v>5.0</v>
      </c>
      <c r="B19810" s="1" t="s">
        <v>19479</v>
      </c>
      <c r="C19810" t="str">
        <f>IFERROR(__xludf.DUMMYFUNCTION("GOOGLETRANSLATE(B19810, ""fr"", ""en"")"),"Top quality! Micro very good quality! Rode we offer a product for high performance rather reasonable price! I recommend this mic to anyone wanting to launch this with a pro equipment!")</f>
        <v>Top quality! Micro very good quality! Rode we offer a product for high performance rather reasonable price! I recommend this mic to anyone wanting to launch this with a pro equipment!</v>
      </c>
    </row>
    <row r="19811">
      <c r="A19811" s="1">
        <v>5.0</v>
      </c>
      <c r="B19811" s="1" t="s">
        <v>19480</v>
      </c>
      <c r="C19811" t="str">
        <f>IFERROR(__xludf.DUMMYFUNCTION("GOOGLETRANSLATE(B19811, ""fr"", ""en"")"),"His single scent is unique! I love Japanese incense but like so return to the eternal and unique Armenian paper!")</f>
        <v>His single scent is unique! I love Japanese incense but like so return to the eternal and unique Armenian paper!</v>
      </c>
    </row>
    <row r="19812">
      <c r="A19812" s="1">
        <v>5.0</v>
      </c>
      <c r="B19812" s="1" t="s">
        <v>19481</v>
      </c>
      <c r="C19812" t="str">
        <f>IFERROR(__xludf.DUMMYFUNCTION("GOOGLETRANSLATE(B19812, ""fr"", ""en"")"),"For our little girl Although livery, very pretty, lively lions and monkeys and elefants! Strongly that our little girl will be weaned &amp; amp; ed to be able to use it!")</f>
        <v>For our little girl Although livery, very pretty, lively lions and monkeys and elefants! Strongly that our little girl will be weaned &amp; amp; ed to be able to use it!</v>
      </c>
    </row>
    <row r="19813">
      <c r="A19813" s="1">
        <v>5.0</v>
      </c>
      <c r="B19813" s="1" t="s">
        <v>19482</v>
      </c>
      <c r="C19813" t="str">
        <f>IFERROR(__xludf.DUMMYFUNCTION("GOOGLETRANSLATE(B19813, ""fr"", ""en"")"),"Okay For work")</f>
        <v>Okay For work</v>
      </c>
    </row>
    <row r="19814">
      <c r="A19814" s="1">
        <v>5.0</v>
      </c>
      <c r="B19814" s="1" t="s">
        <v>19483</v>
      </c>
      <c r="C19814" t="str">
        <f>IFERROR(__xludf.DUMMYFUNCTION("GOOGLETRANSLATE(B19814, ""fr"", ""en"")"),"Top comfort Really comfortable!")</f>
        <v>Top comfort Really comfortable!</v>
      </c>
    </row>
    <row r="19815">
      <c r="A19815" s="1">
        <v>5.0</v>
      </c>
      <c r="B19815" s="1" t="s">
        <v>19484</v>
      </c>
      <c r="C19815" t="str">
        <f>IFERROR(__xludf.DUMMYFUNCTION("GOOGLETRANSLATE(B19815, ""fr"", ""en"")"),"Top Very satisfied My son loves")</f>
        <v>Top Very satisfied My son loves</v>
      </c>
    </row>
    <row r="19816">
      <c r="A19816" s="1">
        <v>5.0</v>
      </c>
      <c r="B19816" s="1" t="s">
        <v>19485</v>
      </c>
      <c r="C19816" t="str">
        <f>IFERROR(__xludf.DUMMYFUNCTION("GOOGLETRANSLATE(B19816, ""fr"", ""en"")"),"ç'est the original cause still works well, but really it's a scam for the price! hp with no choice, I test copies and it does not work!")</f>
        <v>ç'est the original cause still works well, but really it's a scam for the price! hp with no choice, I test copies and it does not work!</v>
      </c>
    </row>
    <row r="19817">
      <c r="A19817" s="1">
        <v>2.0</v>
      </c>
      <c r="B19817" s="1" t="s">
        <v>19486</v>
      </c>
      <c r="C19817" t="str">
        <f>IFERROR(__xludf.DUMMYFUNCTION("GOOGLETRANSLATE(B19817, ""fr"", ""en"")"),"Do not stick I'm very disappointed. I bought the same at Leroy Merlin who adhered perfectly ... those do not adhere at all to the wall")</f>
        <v>Do not stick I'm very disappointed. I bought the same at Leroy Merlin who adhered perfectly ... those do not adhere at all to the wall</v>
      </c>
    </row>
    <row r="19818">
      <c r="A19818" s="1">
        <v>1.0</v>
      </c>
      <c r="B19818" s="1" t="s">
        <v>19487</v>
      </c>
      <c r="C19818" t="str">
        <f>IFERROR(__xludf.DUMMYFUNCTION("GOOGLETRANSLATE(B19818, ""fr"", ""en"")"),"Fragile His doing little time I buy this item and unfortunately I'm not happy .... this is not one month that I wear every day and is already cracked on the right side")</f>
        <v>Fragile His doing little time I buy this item and unfortunately I'm not happy .... this is not one month that I wear every day and is already cracked on the right side</v>
      </c>
    </row>
    <row r="19819">
      <c r="A19819" s="1">
        <v>1.0</v>
      </c>
      <c r="B19819" s="1" t="s">
        <v>19488</v>
      </c>
      <c r="C19819" t="str">
        <f>IFERROR(__xludf.DUMMYFUNCTION("GOOGLETRANSLATE(B19819, ""fr"", ""en"")"),"Not comply with the order I am disappointed I ordered a 39 and I got a 40! It is unacceptable!!!!! I absolutely do not recommend !!!!! Despite all the good reviews, I am careful relied me too but I had a bad back !!!!! Do not order")</f>
        <v>Not comply with the order I am disappointed I ordered a 39 and I got a 40! It is unacceptable!!!!! I absolutely do not recommend !!!!! Despite all the good reviews, I am careful relied me too but I had a bad back !!!!! Do not order</v>
      </c>
    </row>
    <row r="19820">
      <c r="A19820" s="1">
        <v>3.0</v>
      </c>
      <c r="B19820" s="1" t="s">
        <v>19489</v>
      </c>
      <c r="C19820" t="str">
        <f>IFERROR(__xludf.DUMMYFUNCTION("GOOGLETRANSLATE(B19820, ""fr"", ""en"")"),"Good product product line with expectations")</f>
        <v>Good product product line with expectations</v>
      </c>
    </row>
    <row r="19821">
      <c r="A19821" s="1">
        <v>3.0</v>
      </c>
      <c r="B19821" s="1" t="s">
        <v>19490</v>
      </c>
      <c r="C19821" t="str">
        <f>IFERROR(__xludf.DUMMYFUNCTION("GOOGLETRANSLATE(B19821, ""fr"", ""en"")"),"Good sound Lightweight with a fairly decent sound")</f>
        <v>Good sound Lightweight with a fairly decent sound</v>
      </c>
    </row>
    <row r="19822">
      <c r="A19822" s="1">
        <v>4.0</v>
      </c>
      <c r="B19822" s="1" t="s">
        <v>19491</v>
      </c>
      <c r="C19822" t="str">
        <f>IFERROR(__xludf.DUMMYFUNCTION("GOOGLETRANSLATE(B19822, ""fr"", ""en"")"),"very good but very damaged packaging very good, very solid, easy installation but I would preferé that Amazon put the package in a cardboard protection because it arrived damaged and almost opened (photo) fortunately the material to the interior was compl"&amp;"ete and intact")</f>
        <v>very good but very damaged packaging very good, very solid, easy installation but I would preferé that Amazon put the package in a cardboard protection because it arrived damaged and almost opened (photo) fortunately the material to the interior was complete and intact</v>
      </c>
    </row>
    <row r="19823">
      <c r="A19823" s="1">
        <v>4.0</v>
      </c>
      <c r="B19823" s="1" t="s">
        <v>19492</v>
      </c>
      <c r="C19823" t="str">
        <f>IFERROR(__xludf.DUMMYFUNCTION("GOOGLETRANSLATE(B19823, ""fr"", ""en"")"),"Hereby approved product line with my expectations, size, cut, the material is soft without being thick but keeps the body warm.")</f>
        <v>Hereby approved product line with my expectations, size, cut, the material is soft without being thick but keeps the body warm.</v>
      </c>
    </row>
    <row r="19824">
      <c r="A19824" s="1">
        <v>4.0</v>
      </c>
      <c r="B19824" s="1" t="s">
        <v>19493</v>
      </c>
      <c r="C19824" t="str">
        <f>IFERROR(__xludf.DUMMYFUNCTION("GOOGLETRANSLATE(B19824, ""fr"", ""en"")"),"The dock purple paint hand a little too fast it's a shame but it holds very well !!! Vivements new collections")</f>
        <v>The dock purple paint hand a little too fast it's a shame but it holds very well !!! Vivements new collections</v>
      </c>
    </row>
    <row r="19825">
      <c r="A19825" s="1">
        <v>4.0</v>
      </c>
      <c r="B19825" s="1" t="s">
        <v>19494</v>
      </c>
      <c r="C19825" t="str">
        <f>IFERROR(__xludf.DUMMYFUNCTION("GOOGLETRANSLATE(B19825, ""fr"", ""en"")"),"be shoes leather these leather !!!! and price these prices despite the mad cow !!! LOL Delivery good color and good quality eagle these my price is to remind the ;;;")</f>
        <v>be shoes leather these leather !!!! and price these prices despite the mad cow !!! LOL Delivery good color and good quality eagle these my price is to remind the ;;;</v>
      </c>
    </row>
    <row r="19826">
      <c r="A19826" s="1">
        <v>5.0</v>
      </c>
      <c r="B19826" s="1" t="s">
        <v>19495</v>
      </c>
      <c r="C19826" t="str">
        <f>IFERROR(__xludf.DUMMYFUNCTION("GOOGLETRANSLATE(B19826, ""fr"", ""en"")"),"Magic just magic! Removes encrusted tasks well")</f>
        <v>Magic just magic! Removes encrusted tasks well</v>
      </c>
    </row>
    <row r="19827">
      <c r="A19827" s="1">
        <v>5.0</v>
      </c>
      <c r="B19827" s="1" t="s">
        <v>16997</v>
      </c>
      <c r="C19827" t="str">
        <f>IFERROR(__xludf.DUMMYFUNCTION("GOOGLETRANSLATE(B19827, ""fr"", ""en"")"),"Good value Good value")</f>
        <v>Good value Good value</v>
      </c>
    </row>
    <row r="19828">
      <c r="A19828" s="1">
        <v>5.0</v>
      </c>
      <c r="B19828" s="1" t="s">
        <v>19496</v>
      </c>
      <c r="C19828" t="str">
        <f>IFERROR(__xludf.DUMMYFUNCTION("GOOGLETRANSLATE(B19828, ""fr"", ""en"")"),"Perfect Conforms to those bought at tobacconists. Very economical for about 0.60 cents against the package 1euros 10 tobacconist.")</f>
        <v>Perfect Conforms to those bought at tobacconists. Very economical for about 0.60 cents against the package 1euros 10 tobacconist.</v>
      </c>
    </row>
    <row r="19829">
      <c r="A19829" s="1">
        <v>5.0</v>
      </c>
      <c r="B19829" s="1" t="s">
        <v>19497</v>
      </c>
      <c r="C19829" t="str">
        <f>IFERROR(__xludf.DUMMYFUNCTION("GOOGLETRANSLATE(B19829, ""fr"", ""en"")"),"dishwasher efficiency")</f>
        <v>dishwasher efficiency</v>
      </c>
    </row>
    <row r="19830">
      <c r="A19830" s="1">
        <v>5.0</v>
      </c>
      <c r="B19830" s="1" t="s">
        <v>19498</v>
      </c>
      <c r="C19830" t="str">
        <f>IFERROR(__xludf.DUMMYFUNCTION("GOOGLETRANSLATE(B19830, ""fr"", ""en"")"),"Dr. Martens 1460 Boots Unisex Classics ... what a pleasure to find the ""docs"" always good, pleasing to the eye and so comfortable, however if you invest in the docs are careful, the size is just, I'm carrier orthopedic soles, I can insert into the shoe "&amp;"... shame but along the sole of the shoe is comfortable and the outside leather glossy look easy maintenance ...")</f>
        <v>Dr. Martens 1460 Boots Unisex Classics ... what a pleasure to find the "docs" always good, pleasing to the eye and so comfortable, however if you invest in the docs are careful, the size is just, I'm carrier orthopedic soles, I can insert into the shoe ... shame but along the sole of the shoe is comfortable and the outside leather glossy look easy maintenance ...</v>
      </c>
    </row>
    <row r="19831">
      <c r="A19831" s="1">
        <v>5.0</v>
      </c>
      <c r="B19831" s="1" t="s">
        <v>19499</v>
      </c>
      <c r="C19831" t="str">
        <f>IFERROR(__xludf.DUMMYFUNCTION("GOOGLETRANSLATE(B19831, ""fr"", ""en"")"),"Easy to install Useful to have a clear conscience, I installed this screen protection there 3 months. I can not feel the difference with the original screen and I have the conscience. A bubble is formed during installation but I managed to do away with fo"&amp;"rce pushing it.")</f>
        <v>Easy to install Useful to have a clear conscience, I installed this screen protection there 3 months. I can not feel the difference with the original screen and I have the conscience. A bubble is formed during installation but I managed to do away with force pushing it.</v>
      </c>
    </row>
    <row r="19832">
      <c r="A19832" s="1">
        <v>5.0</v>
      </c>
      <c r="B19832" s="1" t="s">
        <v>19500</v>
      </c>
      <c r="C19832" t="str">
        <f>IFERROR(__xludf.DUMMYFUNCTION("GOOGLETRANSLATE(B19832, ""fr"", ""en"")"),"Super convenient and great product! Solid, simple and effective, that's what I was looking for a long time. And in addition the brand is French, one more reason to recommend this great product!")</f>
        <v>Super convenient and great product! Solid, simple and effective, that's what I was looking for a long time. And in addition the brand is French, one more reason to recommend this great product!</v>
      </c>
    </row>
    <row r="19833">
      <c r="A19833" s="1">
        <v>5.0</v>
      </c>
      <c r="B19833" s="1" t="s">
        <v>19501</v>
      </c>
      <c r="C19833" t="str">
        <f>IFERROR(__xludf.DUMMYFUNCTION("GOOGLETRANSLATE(B19833, ""fr"", ""en"")"),"Perfect They are really perfect 😄 I'm super happy with my purchase 😁 I who seek shirt to put under my dresses size I was skeptical at the beginning because I'm a 46-48 And frankly not above all 😁 J 'took XL And More Top it well it goes so doing sheath "&amp;"effect simultaneously. I love 👍🏻")</f>
        <v>Perfect They are really perfect 😄 I'm super happy with my purchase 😁 I who seek shirt to put under my dresses size I was skeptical at the beginning because I'm a 46-48 And frankly not above all 😁 J 'took XL And More Top it well it goes so doing sheath effect simultaneously. I love 👍🏻</v>
      </c>
    </row>
    <row r="19834">
      <c r="A19834" s="1">
        <v>5.0</v>
      </c>
      <c r="B19834" s="1" t="s">
        <v>2405</v>
      </c>
      <c r="C19834" t="str">
        <f>IFERROR(__xludf.DUMMYFUNCTION("GOOGLETRANSLATE(B19834, ""fr"", ""en"")"),"cool cool")</f>
        <v>cool cool</v>
      </c>
    </row>
    <row r="19835">
      <c r="A19835" s="1">
        <v>5.0</v>
      </c>
      <c r="B19835" s="1" t="s">
        <v>19502</v>
      </c>
      <c r="C19835" t="str">
        <f>IFERROR(__xludf.DUMMYFUNCTION("GOOGLETRANSLATE(B19835, ""fr"", ""en"")"),"t wonderful I kept a certain apprehension for this sweatshirt because before I ordered men because I do not like clothes that stick to the skin me, this one is perfect and also it does not pill will recommend it to other colors, very satisfied PIUR me")</f>
        <v>t wonderful I kept a certain apprehension for this sweatshirt because before I ordered men because I do not like clothes that stick to the skin me, this one is perfect and also it does not pill will recommend it to other colors, very satisfied PIUR me</v>
      </c>
    </row>
    <row r="19836">
      <c r="A19836" s="1">
        <v>5.0</v>
      </c>
      <c r="B19836" s="1" t="s">
        <v>19503</v>
      </c>
      <c r="C19836" t="str">
        <f>IFERROR(__xludf.DUMMYFUNCTION("GOOGLETRANSLATE(B19836, ""fr"", ""en"")"),"Very nice these sneakers are super pretty and comfortable, my son loves them. For now are to do with the temp.")</f>
        <v>Very nice these sneakers are super pretty and comfortable, my son loves them. For now are to do with the temp.</v>
      </c>
    </row>
    <row r="19837">
      <c r="A19837" s="1">
        <v>5.0</v>
      </c>
      <c r="B19837" s="1" t="s">
        <v>19504</v>
      </c>
      <c r="C19837" t="str">
        <f>IFERROR(__xludf.DUMMYFUNCTION("GOOGLETRANSLATE(B19837, ""fr"", ""en"")"),"I will redeem smoothly Good quality")</f>
        <v>I will redeem smoothly Good quality</v>
      </c>
    </row>
    <row r="19838">
      <c r="A19838" s="1">
        <v>5.0</v>
      </c>
      <c r="B19838" s="1" t="s">
        <v>19505</v>
      </c>
      <c r="C19838" t="str">
        <f>IFERROR(__xludf.DUMMYFUNCTION("GOOGLETRANSLATE(B19838, ""fr"", ""en"")"),"Recommends Received forward, nothing to say all is niquel")</f>
        <v>Recommends Received forward, nothing to say all is niquel</v>
      </c>
    </row>
    <row r="19839">
      <c r="A19839" s="1">
        <v>5.0</v>
      </c>
      <c r="B19839" s="1" t="s">
        <v>19506</v>
      </c>
      <c r="C19839" t="str">
        <f>IFERROR(__xludf.DUMMYFUNCTION("GOOGLETRANSLATE(B19839, ""fr"", ""en"")"),"ras very comfortable for my good foot plantar arch. ideal for people trample in front of a workstation.")</f>
        <v>ras very comfortable for my good foot plantar arch. ideal for people trample in front of a workstation.</v>
      </c>
    </row>
    <row r="19840">
      <c r="A19840" s="1">
        <v>5.0</v>
      </c>
      <c r="B19840" s="1" t="s">
        <v>19507</v>
      </c>
      <c r="C19840" t="str">
        <f>IFERROR(__xludf.DUMMYFUNCTION("GOOGLETRANSLATE(B19840, ""fr"", ""en"")"),"Very good quality. These plastics are really very durable and excellent quality. They are thick and do not tear. Very satisfied.")</f>
        <v>Very good quality. These plastics are really very durable and excellent quality. They are thick and do not tear. Very satisfied.</v>
      </c>
    </row>
    <row r="19841">
      <c r="A19841" s="1">
        <v>5.0</v>
      </c>
      <c r="B19841" s="1" t="s">
        <v>19508</v>
      </c>
      <c r="C19841" t="str">
        <f>IFERROR(__xludf.DUMMYFUNCTION("GOOGLETRANSLATE(B19841, ""fr"", ""en"")"),"Basketball is very Rebook value")</f>
        <v>Basketball is very Rebook value</v>
      </c>
    </row>
    <row r="19842">
      <c r="A19842" s="1">
        <v>2.0</v>
      </c>
      <c r="B19842" s="1" t="s">
        <v>19509</v>
      </c>
      <c r="C19842" t="str">
        <f>IFERROR(__xludf.DUMMYFUNCTION("GOOGLETRANSLATE(B19842, ""fr"", ""en"")"),"Bracelet too flashy Somewhat disappointed")</f>
        <v>Bracelet too flashy Somewhat disappointed</v>
      </c>
    </row>
    <row r="19843">
      <c r="A19843" s="1">
        <v>1.0</v>
      </c>
      <c r="B19843" s="1" t="s">
        <v>19510</v>
      </c>
      <c r="C19843" t="str">
        <f>IFERROR(__xludf.DUMMYFUNCTION("GOOGLETRANSLATE(B19843, ""fr"", ""en"")"),"Too fragile and catastrophic catastrophic I ordered this 4 times I was pleased that once, after the delivery very slow, that fail after a few days of use.")</f>
        <v>Too fragile and catastrophic catastrophic I ordered this 4 times I was pleased that once, after the delivery very slow, that fail after a few days of use.</v>
      </c>
    </row>
    <row r="19844">
      <c r="A19844" s="1">
        <v>1.0</v>
      </c>
      <c r="B19844" s="1" t="s">
        <v>19511</v>
      </c>
      <c r="C19844" t="str">
        <f>IFERROR(__xludf.DUMMYFUNCTION("GOOGLETRANSLATE(B19844, ""fr"", ""en"")"),"disappointment Bad")</f>
        <v>disappointment Bad</v>
      </c>
    </row>
    <row r="19845">
      <c r="A19845" s="1">
        <v>3.0</v>
      </c>
      <c r="B19845" s="1" t="s">
        <v>19512</v>
      </c>
      <c r="C19845" t="str">
        <f>IFERROR(__xludf.DUMMYFUNCTION("GOOGLETRANSLATE(B19845, ""fr"", ""en"")"),"Looks nice. Attenttion Priduit has the size a little big for the normal size. Tested once and end of use because breastfeeding was going much better and without pain. Type plastic pacifier.")</f>
        <v>Looks nice. Attenttion Priduit has the size a little big for the normal size. Tested once and end of use because breastfeeding was going much better and without pain. Type plastic pacifier.</v>
      </c>
    </row>
    <row r="19846">
      <c r="A19846" s="1">
        <v>4.0</v>
      </c>
      <c r="B19846" s="1" t="s">
        <v>19513</v>
      </c>
      <c r="C19846" t="str">
        <f>IFERROR(__xludf.DUMMYFUNCTION("GOOGLETRANSLATE(B19846, ""fr"", ""en"")"),"Good size Complies photo .taille well but watch out for the end foot it is a bit wide.")</f>
        <v>Good size Complies photo .taille well but watch out for the end foot it is a bit wide.</v>
      </c>
    </row>
    <row r="19847">
      <c r="A19847" s="1">
        <v>4.0</v>
      </c>
      <c r="B19847" s="1" t="s">
        <v>19514</v>
      </c>
      <c r="C19847" t="str">
        <f>IFERROR(__xludf.DUMMYFUNCTION("GOOGLETRANSLATE(B19847, ""fr"", ""en"")"),"strap top I adore this bracelet")</f>
        <v>strap top I adore this bracelet</v>
      </c>
    </row>
    <row r="19848">
      <c r="A19848" s="1">
        <v>4.0</v>
      </c>
      <c r="B19848" s="1" t="s">
        <v>19515</v>
      </c>
      <c r="C19848" t="str">
        <f>IFERROR(__xludf.DUMMYFUNCTION("GOOGLETRANSLATE(B19848, ""fr"", ""en"")"),"Okay Good quality. To see in the time")</f>
        <v>Okay Good quality. To see in the time</v>
      </c>
    </row>
    <row r="19849">
      <c r="A19849" s="1">
        <v>4.0</v>
      </c>
      <c r="B19849" s="1" t="s">
        <v>19516</v>
      </c>
      <c r="C19849" t="str">
        <f>IFERROR(__xludf.DUMMYFUNCTION("GOOGLETRANSLATE(B19849, ""fr"", ""en"")"),"Recommend of course !!! Very nice for any occasion! Dressed or not .. Very comfortable and aesthetic. Sneakers recommend of course for yourself or a gift.")</f>
        <v>Recommend of course !!! Very nice for any occasion! Dressed or not .. Very comfortable and aesthetic. Sneakers recommend of course for yourself or a gift.</v>
      </c>
    </row>
    <row r="19850">
      <c r="A19850" s="1">
        <v>5.0</v>
      </c>
      <c r="B19850" s="1" t="s">
        <v>19517</v>
      </c>
      <c r="C19850" t="str">
        <f>IFERROR(__xludf.DUMMYFUNCTION("GOOGLETRANSLATE(B19850, ""fr"", ""en"")"),"Can automatically re-heat I bought it two weeks ago, I regularly am using this electric kettle and tea. It heats quickly and can keep warm mode. When we take a tea, if the temperature is lower, the teapot will automatically re-heated, it is a great featur"&amp;"e. Nothing to say, a product that does what is expected of him and very affordable price.")</f>
        <v>Can automatically re-heat I bought it two weeks ago, I regularly am using this electric kettle and tea. It heats quickly and can keep warm mode. When we take a tea, if the temperature is lower, the teapot will automatically re-heated, it is a great feature. Nothing to say, a product that does what is expected of him and very affordable price.</v>
      </c>
    </row>
    <row r="19851">
      <c r="A19851" s="1">
        <v>5.0</v>
      </c>
      <c r="B19851" s="1" t="s">
        <v>19518</v>
      </c>
      <c r="C19851" t="str">
        <f>IFERROR(__xludf.DUMMYFUNCTION("GOOGLETRANSLATE(B19851, ""fr"", ""en"")"),"Book Book beautiful beautiful both outside and inside! The design is great and the texture is different on the cover. Inside the book there are all detailed explanations on the way through with some pages on envelopes, poster little inside ... hard to exp"&amp;"lain but it is just sublime is full of surprises I recommend greatly.")</f>
        <v>Book Book beautiful beautiful both outside and inside! The design is great and the texture is different on the cover. Inside the book there are all detailed explanations on the way through with some pages on envelopes, poster little inside ... hard to explain but it is just sublime is full of surprises I recommend greatly.</v>
      </c>
    </row>
    <row r="19852">
      <c r="A19852" s="1">
        <v>5.0</v>
      </c>
      <c r="B19852" s="1" t="s">
        <v>12921</v>
      </c>
      <c r="C19852" t="str">
        <f>IFERROR(__xludf.DUMMYFUNCTION("GOOGLETRANSLATE(B19852, ""fr"", ""en"")"),"Great product Perfect")</f>
        <v>Great product Perfect</v>
      </c>
    </row>
    <row r="19853">
      <c r="A19853" s="1">
        <v>5.0</v>
      </c>
      <c r="B19853" s="1" t="s">
        <v>19519</v>
      </c>
      <c r="C19853" t="str">
        <f>IFERROR(__xludf.DUMMYFUNCTION("GOOGLETRANSLATE(B19853, ""fr"", ""en"")"),"very well produced as shown in the description, and quickly received state")</f>
        <v>very well produced as shown in the description, and quickly received state</v>
      </c>
    </row>
    <row r="19854">
      <c r="A19854" s="1">
        <v>5.0</v>
      </c>
      <c r="B19854" s="1" t="s">
        <v>19520</v>
      </c>
      <c r="C19854" t="str">
        <f>IFERROR(__xludf.DUMMYFUNCTION("GOOGLETRANSLATE(B19854, ""fr"", ""en"")"),"Very nice I'm happy with my purchase and above the price paid € 33;) I recommend The satin laces are included")</f>
        <v>Very nice I'm happy with my purchase and above the price paid € 33;) I recommend The satin laces are included</v>
      </c>
    </row>
    <row r="19855">
      <c r="A19855" s="1">
        <v>5.0</v>
      </c>
      <c r="B19855" s="1" t="s">
        <v>19521</v>
      </c>
      <c r="C19855" t="str">
        <f>IFERROR(__xludf.DUMMYFUNCTION("GOOGLETRANSLATE(B19855, ""fr"", ""en"")"),"Very Pretty Done effect")</f>
        <v>Very Pretty Done effect</v>
      </c>
    </row>
    <row r="19856">
      <c r="A19856" s="1">
        <v>5.0</v>
      </c>
      <c r="B19856" s="1" t="s">
        <v>19522</v>
      </c>
      <c r="C19856" t="str">
        <f>IFERROR(__xludf.DUMMYFUNCTION("GOOGLETRANSLATE(B19856, ""fr"", ""en"")"),"Super I had an old pair of unknown brand with that I suffered martyrdom, because of the evil done pin. My all is the wonderfully, I am not well and relieves my swollen foot and tire late in the day")</f>
        <v>Super I had an old pair of unknown brand with that I suffered martyrdom, because of the evil done pin. My all is the wonderfully, I am not well and relieves my swollen foot and tire late in the day</v>
      </c>
    </row>
    <row r="19857">
      <c r="A19857" s="1">
        <v>5.0</v>
      </c>
      <c r="B19857" s="1" t="s">
        <v>19523</v>
      </c>
      <c r="C19857" t="str">
        <f>IFERROR(__xludf.DUMMYFUNCTION("GOOGLETRANSLATE(B19857, ""fr"", ""en"")"),"Compatible bottle Nuk My son uses his lansinoh bib in mixed feeding from these 3 months. Growing up he needed a bigger flow. However impossible to find a second bib lansinoh for the nursery in stores. Fortunately these teats adapt very course bottles Nuk "&amp;"First Choice. I recommend for a mixed feeding. They do not and baby should really flee ""&amp; nbsp; &amp; nbsp suck,"" as in.")</f>
        <v>Compatible bottle Nuk My son uses his lansinoh bib in mixed feeding from these 3 months. Growing up he needed a bigger flow. However impossible to find a second bib lansinoh for the nursery in stores. Fortunately these teats adapt very course bottles Nuk First Choice. I recommend for a mixed feeding. They do not and baby should really flee "&amp; nbsp; &amp; nbsp suck," as in.</v>
      </c>
    </row>
    <row r="19858">
      <c r="A19858" s="1">
        <v>5.0</v>
      </c>
      <c r="B19858" s="1" t="s">
        <v>1847</v>
      </c>
      <c r="C19858" t="str">
        <f>IFERROR(__xludf.DUMMYFUNCTION("GOOGLETRANSLATE(B19858, ""fr"", ""en"")"),"light and comfortable comfortable")</f>
        <v>light and comfortable comfortable</v>
      </c>
    </row>
    <row r="19859">
      <c r="A19859" s="1">
        <v>5.0</v>
      </c>
      <c r="B19859" s="1" t="s">
        <v>19524</v>
      </c>
      <c r="C19859" t="str">
        <f>IFERROR(__xludf.DUMMYFUNCTION("GOOGLETRANSLATE(B19859, ""fr"", ""en"")"),"Super very satisfied with my purchase")</f>
        <v>Super very satisfied with my purchase</v>
      </c>
    </row>
    <row r="19860">
      <c r="A19860" s="1">
        <v>5.0</v>
      </c>
      <c r="B19860" s="1" t="s">
        <v>19525</v>
      </c>
      <c r="C19860" t="str">
        <f>IFERROR(__xludf.DUMMYFUNCTION("GOOGLETRANSLATE(B19860, ""fr"", ""en"")"),"TB but expensive practice and especially silent")</f>
        <v>TB but expensive practice and especially silent</v>
      </c>
    </row>
    <row r="19861">
      <c r="A19861" s="1">
        <v>5.0</v>
      </c>
      <c r="B19861" s="1" t="s">
        <v>19526</v>
      </c>
      <c r="C19861" t="str">
        <f>IFERROR(__xludf.DUMMYFUNCTION("GOOGLETRANSLATE(B19861, ""fr"", ""en"")"),"Labeling excellent product that is replacing my old machine. It works very easy on the hand. no problem of shipping if I need other materials of this type I pass by the same vendor.")</f>
        <v>Labeling excellent product that is replacing my old machine. It works very easy on the hand. no problem of shipping if I need other materials of this type I pass by the same vendor.</v>
      </c>
    </row>
    <row r="19862">
      <c r="A19862" s="1">
        <v>5.0</v>
      </c>
      <c r="B19862" s="1" t="s">
        <v>19527</v>
      </c>
      <c r="C19862" t="str">
        <f>IFERROR(__xludf.DUMMYFUNCTION("GOOGLETRANSLATE(B19862, ""fr"", ""en"")"),"The article and lighter than the original product Buy done to replace a power outlet for an enclosure Soundlink II lost. Article very good value for money compared to the proposed device accessory of the brand concerned. lightweight, technically compliant"&amp;", with a light to objectify the on / the loading of the apparatus from the mains. Very satisfied with my order with efficient delivery and good packaging.")</f>
        <v>The article and lighter than the original product Buy done to replace a power outlet for an enclosure Soundlink II lost. Article very good value for money compared to the proposed device accessory of the brand concerned. lightweight, technically compliant, with a light to objectify the on / the loading of the apparatus from the mains. Very satisfied with my order with efficient delivery and good packaging.</v>
      </c>
    </row>
    <row r="19863">
      <c r="A19863" s="1">
        <v>5.0</v>
      </c>
      <c r="B19863" s="1" t="s">
        <v>19528</v>
      </c>
      <c r="C19863" t="str">
        <f>IFERROR(__xludf.DUMMYFUNCTION("GOOGLETRANSLATE(B19863, ""fr"", ""en"")"),"Perfect. Purchased to change the routine of my G-Shock M5610 shows that proved perfect, especially for a 30 euro model. -Buttons easy access -Suffisamment functions, different timezones available with the lower right button is a great feature -Lighting qu"&amp;"ality as Casio knows so well done. Yellow and configurable between 1 and 3 seconds duration. -A relatively retro look with his map-world and digital display LCD rather useless but so enjoyable to watch. -Accepte the 18mm Natos no accessory required beside"&amp;"s a Bergeon pumps to remove the plastic glass and plastic pin buckle also is quite a pity though ...")</f>
        <v>Perfect. Purchased to change the routine of my G-Shock M5610 shows that proved perfect, especially for a 30 euro model. -Buttons easy access -Suffisamment functions, different timezones available with the lower right button is a great feature -Lighting quality as Casio knows so well done. Yellow and configurable between 1 and 3 seconds duration. -A relatively retro look with his map-world and digital display LCD rather useless but so enjoyable to watch. -Accepte the 18mm Natos no accessory required besides a Bergeon pumps to remove the plastic glass and plastic pin buckle also is quite a pity though ...</v>
      </c>
    </row>
    <row r="19864">
      <c r="A19864" s="1">
        <v>5.0</v>
      </c>
      <c r="B19864" s="1" t="s">
        <v>19529</v>
      </c>
      <c r="C19864" t="str">
        <f>IFERROR(__xludf.DUMMYFUNCTION("GOOGLETRANSLATE(B19864, ""fr"", ""en"")"),"Superb watch stylish watch. Leather bracelet. Finally a watch that shows the day that is. It fesait long as I was looking for a very good quality, pretty and I like. That's it I found. She has very solid, to do with time. I keep it in the shower, this tim"&amp;"e she did not take the water, like to do with time. Anyway, I'm really happy, I leave more")</f>
        <v>Superb watch stylish watch. Leather bracelet. Finally a watch that shows the day that is. It fesait long as I was looking for a very good quality, pretty and I like. That's it I found. She has very solid, to do with time. I keep it in the shower, this time she did not take the water, like to do with time. Anyway, I'm really happy, I leave more</v>
      </c>
    </row>
    <row r="19865">
      <c r="A19865" s="1">
        <v>2.0</v>
      </c>
      <c r="B19865" s="1" t="s">
        <v>19530</v>
      </c>
      <c r="C19865" t="str">
        <f>IFERROR(__xludf.DUMMYFUNCTION("GOOGLETRANSLATE(B19865, ""fr"", ""en"")"),"Poor quality socks that ""pilling"" either after a workout or a normal day. Unless bad luck, this is to be avoided at all costs!")</f>
        <v>Poor quality socks that "pilling" either after a workout or a normal day. Unless bad luck, this is to be avoided at all costs!</v>
      </c>
    </row>
    <row r="19866">
      <c r="A19866" s="1">
        <v>1.0</v>
      </c>
      <c r="B19866" s="1" t="s">
        <v>19531</v>
      </c>
      <c r="C19866" t="str">
        <f>IFERROR(__xludf.DUMMYFUNCTION("GOOGLETRANSLATE(B19866, ""fr"", ""en"")"),"I do the carpet any results for pain dos.un product so I have regret for what acheter.cher sas")</f>
        <v>I do the carpet any results for pain dos.un product so I have regret for what acheter.cher sas</v>
      </c>
    </row>
    <row r="19867">
      <c r="A19867" s="1">
        <v>3.0</v>
      </c>
      <c r="B19867" s="1" t="s">
        <v>19532</v>
      </c>
      <c r="C19867" t="str">
        <f>IFERROR(__xludf.DUMMYFUNCTION("GOOGLETRANSLATE(B19867, ""fr"", ""en"")"),"pac convinced missing socks thick to be really chaudes.J'ai cold feet ...")</f>
        <v>pac convinced missing socks thick to be really chaudes.J'ai cold feet ...</v>
      </c>
    </row>
    <row r="19868">
      <c r="A19868" s="1">
        <v>3.0</v>
      </c>
      <c r="B19868" s="1" t="s">
        <v>19533</v>
      </c>
      <c r="C19868" t="str">
        <f>IFERROR(__xludf.DUMMYFUNCTION("GOOGLETRANSLATE(B19868, ""fr"", ""en"")"),"Received this nice day !! Very fast !!! Very good inside !!! There's more to try tomorrow to my dance class !!!!!")</f>
        <v>Received this nice day !! Very fast !!! Very good inside !!! There's more to try tomorrow to my dance class !!!!!</v>
      </c>
    </row>
    <row r="19869">
      <c r="A19869" s="1">
        <v>4.0</v>
      </c>
      <c r="B19869" s="1" t="s">
        <v>19534</v>
      </c>
      <c r="C19869" t="str">
        <f>IFERROR(__xludf.DUMMYFUNCTION("GOOGLETRANSLATE(B19869, ""fr"", ""en"")"),"Keeping interior. Keeping warm indoor good quality.")</f>
        <v>Keeping interior. Keeping warm indoor good quality.</v>
      </c>
    </row>
    <row r="19870">
      <c r="A19870" s="1">
        <v>4.0</v>
      </c>
      <c r="B19870" s="1" t="s">
        <v>19535</v>
      </c>
      <c r="C19870" t="str">
        <f>IFERROR(__xludf.DUMMYFUNCTION("GOOGLETRANSLATE(B19870, ""fr"", ""en"")"),"good value Shoes Safety Shoes tough on the outside but one can just in soles but still comfortable")</f>
        <v>good value Shoes Safety Shoes tough on the outside but one can just in soles but still comfortable</v>
      </c>
    </row>
    <row r="19871">
      <c r="A19871" s="1">
        <v>4.0</v>
      </c>
      <c r="B19871" s="1" t="s">
        <v>19536</v>
      </c>
      <c r="C19871" t="str">
        <f>IFERROR(__xludf.DUMMYFUNCTION("GOOGLETRANSLATE(B19871, ""fr"", ""en"")"),"Good but not good for all sports. The shoe is not bad for the price, but beware, it's not a shoe with good support. Be careful!")</f>
        <v>Good but not good for all sports. The shoe is not bad for the price, but beware, it's not a shoe with good support. Be careful!</v>
      </c>
    </row>
    <row r="19872">
      <c r="A19872" s="1">
        <v>4.0</v>
      </c>
      <c r="B19872" s="1" t="s">
        <v>19537</v>
      </c>
      <c r="C19872" t="str">
        <f>IFERROR(__xludf.DUMMYFUNCTION("GOOGLETRANSLATE(B19872, ""fr"", ""en"")"),"For now I do not need every time I have to make a photocopy ink copier is empty so I got to see more cons By levels of delivery the driver is allowed height while the the letter box boxes fortunately I looked up")</f>
        <v>For now I do not need every time I have to make a photocopy ink copier is empty so I got to see more cons By levels of delivery the driver is allowed height while the the letter box boxes fortunately I looked up</v>
      </c>
    </row>
    <row r="19873">
      <c r="A19873" s="1">
        <v>5.0</v>
      </c>
      <c r="B19873" s="1" t="s">
        <v>19538</v>
      </c>
      <c r="C19873" t="str">
        <f>IFERROR(__xludf.DUMMYFUNCTION("GOOGLETRANSLATE(B19873, ""fr"", ""en"")"),"At the top Super helmet only conceivable change her to have a longer cord for recharging")</f>
        <v>At the top Super helmet only conceivable change her to have a longer cord for recharging</v>
      </c>
    </row>
    <row r="19874">
      <c r="A19874" s="1">
        <v>5.0</v>
      </c>
      <c r="B19874" s="1" t="s">
        <v>19539</v>
      </c>
      <c r="C19874" t="str">
        <f>IFERROR(__xludf.DUMMYFUNCTION("GOOGLETRANSLATE(B19874, ""fr"", ""en"")"),"Bracelet simple and functional It does the job. Nothing to say !")</f>
        <v>Bracelet simple and functional It does the job. Nothing to say !</v>
      </c>
    </row>
    <row r="19875">
      <c r="A19875" s="1">
        <v>5.0</v>
      </c>
      <c r="B19875" s="1" t="s">
        <v>19540</v>
      </c>
      <c r="C19875" t="str">
        <f>IFERROR(__xludf.DUMMYFUNCTION("GOOGLETRANSLATE(B19875, ""fr"", ""en"")"),"Suunto .... Very nice. Second Suunto and great success. Replaces the first that I had for a few years. Good battery life. The new application is more reliable.")</f>
        <v>Suunto .... Very nice. Second Suunto and great success. Replaces the first that I had for a few years. Good battery life. The new application is more reliable.</v>
      </c>
    </row>
    <row r="19876">
      <c r="A19876" s="1">
        <v>5.0</v>
      </c>
      <c r="B19876" s="1" t="s">
        <v>19541</v>
      </c>
      <c r="C19876" t="str">
        <f>IFERROR(__xludf.DUMMYFUNCTION("GOOGLETRANSLATE(B19876, ""fr"", ""en"")"),"thank you all thank you to all")</f>
        <v>thank you all thank you to all</v>
      </c>
    </row>
    <row r="19877">
      <c r="A19877" s="1">
        <v>5.0</v>
      </c>
      <c r="B19877" s="1" t="s">
        <v>19542</v>
      </c>
      <c r="C19877" t="str">
        <f>IFERROR(__xludf.DUMMYFUNCTION("GOOGLETRANSLATE(B19877, ""fr"", ""en"")"),"It is the heart that makes me buy them Merveilleuxxxxxx I waited 1 week before taking them. I'd say that I would still make a purchase compulsif..Qui useless ... but after a week, I still dream of that pair and suddenly, I bought it .. (I confess ca compu"&amp;"lsive rest) but they are really great, too comfortable in! I recommend for people who love these kind of boots!")</f>
        <v>It is the heart that makes me buy them Merveilleuxxxxxx I waited 1 week before taking them. I'd say that I would still make a purchase compulsif..Qui useless ... but after a week, I still dream of that pair and suddenly, I bought it .. (I confess ca compulsive rest) but they are really great, too comfortable in! I recommend for people who love these kind of boots!</v>
      </c>
    </row>
    <row r="19878">
      <c r="A19878" s="1">
        <v>5.0</v>
      </c>
      <c r="B19878" s="1" t="s">
        <v>19543</v>
      </c>
      <c r="C19878" t="str">
        <f>IFERROR(__xludf.DUMMYFUNCTION("GOOGLETRANSLATE(B19878, ""fr"", ""en"")"),"Size small size small I put on the 43 and 44.5 is me hair cell. If the tap is comfortable and does not hurt the foot")</f>
        <v>Size small size small I put on the 43 and 44.5 is me hair cell. If the tap is comfortable and does not hurt the foot</v>
      </c>
    </row>
    <row r="19879">
      <c r="A19879" s="1">
        <v>5.0</v>
      </c>
      <c r="B19879" s="1" t="s">
        <v>19544</v>
      </c>
      <c r="C19879" t="str">
        <f>IFERROR(__xludf.DUMMYFUNCTION("GOOGLETRANSLATE(B19879, ""fr"", ""en"")"),"Quick Sterilizer easy fast efficient clean Sterilizer")</f>
        <v>Quick Sterilizer easy fast efficient clean Sterilizer</v>
      </c>
    </row>
    <row r="19880">
      <c r="A19880" s="1">
        <v>5.0</v>
      </c>
      <c r="B19880" s="1" t="s">
        <v>19545</v>
      </c>
      <c r="C19880" t="str">
        <f>IFERROR(__xludf.DUMMYFUNCTION("GOOGLETRANSLATE(B19880, ""fr"", ""en"")"),"library control for my nieces worshiped. Very fast delivery. The books are very thick solid in shock! I recommend this library to young parents who take the time to tell a story at night to their children, they will love. I recommend this purchase very in"&amp;"formative.")</f>
        <v>library control for my nieces worshiped. Very fast delivery. The books are very thick solid in shock! I recommend this library to young parents who take the time to tell a story at night to their children, they will love. I recommend this purchase very informative.</v>
      </c>
    </row>
    <row r="19881">
      <c r="A19881" s="1">
        <v>5.0</v>
      </c>
      <c r="B19881" s="1" t="s">
        <v>19546</v>
      </c>
      <c r="C19881" t="str">
        <f>IFERROR(__xludf.DUMMYFUNCTION("GOOGLETRANSLATE(B19881, ""fr"", ""en"")"),"Very handy I'm delighted with my purchase sizes are actually a little more but you get the comfort of the shoe")</f>
        <v>Very handy I'm delighted with my purchase sizes are actually a little more but you get the comfort of the shoe</v>
      </c>
    </row>
    <row r="19882">
      <c r="A19882" s="1">
        <v>5.0</v>
      </c>
      <c r="B19882" s="1" t="s">
        <v>19547</v>
      </c>
      <c r="C19882" t="str">
        <f>IFERROR(__xludf.DUMMYFUNCTION("GOOGLETRANSLATE(B19882, ""fr"", ""en"")"),"Good Eastpak Eastpak bag bought at low prices here. always finishes on top, the quality is always the RDV. I use the Eastpak bags for everything and they never laché me. The color of it is nice.")</f>
        <v>Good Eastpak Eastpak bag bought at low prices here. always finishes on top, the quality is always the RDV. I use the Eastpak bags for everything and they never laché me. The color of it is nice.</v>
      </c>
    </row>
    <row r="19883">
      <c r="A19883" s="1">
        <v>5.0</v>
      </c>
      <c r="B19883" s="1" t="s">
        <v>19548</v>
      </c>
      <c r="C19883" t="str">
        <f>IFERROR(__xludf.DUMMYFUNCTION("GOOGLETRANSLATE(B19883, ""fr"", ""en"")"),"Perfect Good product. Hot and Cold")</f>
        <v>Perfect Good product. Hot and Cold</v>
      </c>
    </row>
    <row r="19884">
      <c r="A19884" s="1">
        <v>5.0</v>
      </c>
      <c r="B19884" s="1" t="s">
        <v>19549</v>
      </c>
      <c r="C19884" t="str">
        <f>IFERROR(__xludf.DUMMYFUNCTION("GOOGLETRANSLATE(B19884, ""fr"", ""en"")"),"Perfect I bought this bag for my son of 20 years, and this summer he will not quit !!!! handy, he puts his papers and harmonica, very happy !!! and packaging was great with the small waxing !!!!!!!")</f>
        <v>Perfect I bought this bag for my son of 20 years, and this summer he will not quit !!!! handy, he puts his papers and harmonica, very happy !!! and packaging was great with the small waxing !!!!!!!</v>
      </c>
    </row>
    <row r="19885">
      <c r="A19885" s="1">
        <v>5.0</v>
      </c>
      <c r="B19885" s="1" t="s">
        <v>204</v>
      </c>
      <c r="C19885" t="str">
        <f>IFERROR(__xludf.DUMMYFUNCTION("GOOGLETRANSLATE(B19885, ""fr"", ""en"")"),"Top Top")</f>
        <v>Top Top</v>
      </c>
    </row>
    <row r="19886">
      <c r="A19886" s="1">
        <v>5.0</v>
      </c>
      <c r="B19886" s="1" t="s">
        <v>19550</v>
      </c>
      <c r="C19886" t="str">
        <f>IFERROR(__xludf.DUMMYFUNCTION("GOOGLETRANSLATE(B19886, ""fr"", ""en"")"),"Done perfectly work! Great product rather cheap but quality. I highly recommend it.")</f>
        <v>Done perfectly work! Great product rather cheap but quality. I highly recommend it.</v>
      </c>
    </row>
    <row r="19887">
      <c r="A19887" s="1">
        <v>5.0</v>
      </c>
      <c r="B19887" s="1" t="s">
        <v>1261</v>
      </c>
      <c r="C19887" t="str">
        <f>IFERROR(__xludf.DUMMYFUNCTION("GOOGLETRANSLATE(B19887, ""fr"", ""en"")"),"good good")</f>
        <v>good good</v>
      </c>
    </row>
    <row r="19888">
      <c r="A19888" s="1">
        <v>2.0</v>
      </c>
      <c r="B19888" s="1" t="s">
        <v>19551</v>
      </c>
      <c r="C19888" t="str">
        <f>IFERROR(__xludf.DUMMYFUNCTION("GOOGLETRANSLATE(B19888, ""fr"", ""en"")"),"not satisfied with this product. Hello, purchased February 19, these cartridges are already empty date March 4, 2016 - and I do not do collection of printed sheets - how to know who buy for quality? cordially - md.")</f>
        <v>not satisfied with this product. Hello, purchased February 19, these cartridges are already empty date March 4, 2016 - and I do not do collection of printed sheets - how to know who buy for quality? cordially - md.</v>
      </c>
    </row>
    <row r="19889">
      <c r="A19889" s="1">
        <v>1.0</v>
      </c>
      <c r="B19889" s="1" t="s">
        <v>19552</v>
      </c>
      <c r="C19889" t="str">
        <f>IFERROR(__xludf.DUMMYFUNCTION("GOOGLETRANSLATE(B19889, ""fr"", ""en"")"),"size error Disappointed receive a 36 instead of a 38 knowing that it was a gift ... Surprise overboard!")</f>
        <v>size error Disappointed receive a 36 instead of a 38 knowing that it was a gift ... Surprise overboard!</v>
      </c>
    </row>
    <row r="19890">
      <c r="A19890" s="1">
        <v>1.0</v>
      </c>
      <c r="B19890" s="1" t="s">
        <v>19553</v>
      </c>
      <c r="C19890" t="str">
        <f>IFERROR(__xludf.DUMMYFUNCTION("GOOGLETRANSLATE(B19890, ""fr"", ""en"")"),"Product unreliable headset right at the beginning, despite some feedback. Then off unreliable Product Avoid")</f>
        <v>Product unreliable headset right at the beginning, despite some feedback. Then off unreliable Product Avoid</v>
      </c>
    </row>
    <row r="19891">
      <c r="A19891" s="1">
        <v>3.0</v>
      </c>
      <c r="B19891" s="1" t="s">
        <v>19554</v>
      </c>
      <c r="C19891" t="str">
        <f>IFERROR(__xludf.DUMMYFUNCTION("GOOGLETRANSLATE(B19891, ""fr"", ""en"")"),"Nice product but cut short Very good quality but too small cut is damage, provide a size or two sizes above. He had to know !!")</f>
        <v>Nice product but cut short Very good quality but too small cut is damage, provide a size or two sizes above. He had to know !!</v>
      </c>
    </row>
    <row r="19892">
      <c r="A19892" s="1">
        <v>3.0</v>
      </c>
      <c r="B19892" s="1" t="s">
        <v>19555</v>
      </c>
      <c r="C19892" t="str">
        <f>IFERROR(__xludf.DUMMYFUNCTION("GOOGLETRANSLATE(B19892, ""fr"", ""en"")"),"Beautiful well finished shoe .... but for narrow feet ... Very nice shoe, well finished but too narrow compared to my wide instep (size 44). These bathing shoes are suitable for thinner legs and narrow. At the fitting, I feared to tear the shoe at the ins"&amp;"tep. So demand for logical and reasonable return.")</f>
        <v>Beautiful well finished shoe .... but for narrow feet ... Very nice shoe, well finished but too narrow compared to my wide instep (size 44). These bathing shoes are suitable for thinner legs and narrow. At the fitting, I feared to tear the shoe at the instep. So demand for logical and reasonable return.</v>
      </c>
    </row>
    <row r="19893">
      <c r="A19893" s="1">
        <v>4.0</v>
      </c>
      <c r="B19893" s="1" t="s">
        <v>19556</v>
      </c>
      <c r="C19893" t="str">
        <f>IFERROR(__xludf.DUMMYFUNCTION("GOOGLETRANSLATE(B19893, ""fr"", ""en"")"),"control that meets my expectations had a problem with the first order: poor electrical connection to one of two places. I returned the set for exchange received after 48 hours! and now no problem")</f>
        <v>control that meets my expectations had a problem with the first order: poor electrical connection to one of two places. I returned the set for exchange received after 48 hours! and now no problem</v>
      </c>
    </row>
    <row r="19894">
      <c r="A19894" s="1">
        <v>4.0</v>
      </c>
      <c r="B19894" s="1" t="s">
        <v>19557</v>
      </c>
      <c r="C19894" t="str">
        <f>IFERROR(__xludf.DUMMYFUNCTION("GOOGLETRANSLATE(B19894, ""fr"", ""en"")"),"Ok Match Description")</f>
        <v>Ok Match Description</v>
      </c>
    </row>
    <row r="19895">
      <c r="A19895" s="1">
        <v>4.0</v>
      </c>
      <c r="B19895" s="1" t="s">
        <v>19558</v>
      </c>
      <c r="C19895" t="str">
        <f>IFERROR(__xludf.DUMMYFUNCTION("GOOGLETRANSLATE(B19895, ""fr"", ""en"")"),"Photo album gray Good quality")</f>
        <v>Photo album gray Good quality</v>
      </c>
    </row>
    <row r="19896">
      <c r="A19896" s="1">
        <v>4.0</v>
      </c>
      <c r="B19896" s="1" t="s">
        <v>19559</v>
      </c>
      <c r="C19896" t="str">
        <f>IFERROR(__xludf.DUMMYFUNCTION("GOOGLETRANSLATE(B19896, ""fr"", ""en"")"),"Good value for money. These slippers are comfortable but a bit wide .They are therefore reserved for indoor use.")</f>
        <v>Good value for money. These slippers are comfortable but a bit wide .They are therefore reserved for indoor use.</v>
      </c>
    </row>
    <row r="19897">
      <c r="A19897" s="1">
        <v>5.0</v>
      </c>
      <c r="B19897" s="1" t="s">
        <v>19560</v>
      </c>
      <c r="C19897" t="str">
        <f>IFERROR(__xludf.DUMMYFUNCTION("GOOGLETRANSLATE(B19897, ""fr"", ""en"")"),"Small 39 When did a little 39 and that one is male of 39 it is clear that even in Converse is slightly too big. But it does not matter. Send fast, good condition ""little shoes"" on arrival. Besides, I wear them.")</f>
        <v>Small 39 When did a little 39 and that one is male of 39 it is clear that even in Converse is slightly too big. But it does not matter. Send fast, good condition "little shoes" on arrival. Besides, I wear them.</v>
      </c>
    </row>
    <row r="19898">
      <c r="A19898" s="1">
        <v>5.0</v>
      </c>
      <c r="B19898" s="1" t="s">
        <v>19561</v>
      </c>
      <c r="C19898" t="str">
        <f>IFERROR(__xludf.DUMMYFUNCTION("GOOGLETRANSLATE(B19898, ""fr"", ""en"")"),"perfect ideal for 2 years +")</f>
        <v>perfect ideal for 2 years +</v>
      </c>
    </row>
    <row r="19899">
      <c r="A19899" s="1">
        <v>5.0</v>
      </c>
      <c r="B19899" s="1" t="s">
        <v>19562</v>
      </c>
      <c r="C19899" t="str">
        <f>IFERROR(__xludf.DUMMYFUNCTION("GOOGLETRANSLATE(B19899, ""fr"", ""en"")"),"Very comfortable heads right shoe")</f>
        <v>Very comfortable heads right shoe</v>
      </c>
    </row>
    <row r="19900">
      <c r="A19900" s="1">
        <v>5.0</v>
      </c>
      <c r="B19900" s="1" t="s">
        <v>19563</v>
      </c>
      <c r="C19900" t="str">
        <f>IFERROR(__xludf.DUMMYFUNCTION("GOOGLETRANSLATE(B19900, ""fr"", ""en"")"),"Good value I have these headphones to work with my mobile phone. So far I have tested several types of music, from hip hop to classic rock, and it seems that the right mix of music sounds good, with good separation and good clarity of the instruments.")</f>
        <v>Good value I have these headphones to work with my mobile phone. So far I have tested several types of music, from hip hop to classic rock, and it seems that the right mix of music sounds good, with good separation and good clarity of the instruments.</v>
      </c>
    </row>
    <row r="19901">
      <c r="A19901" s="1">
        <v>5.0</v>
      </c>
      <c r="B19901" s="1" t="s">
        <v>19564</v>
      </c>
      <c r="C19901" t="str">
        <f>IFERROR(__xludf.DUMMYFUNCTION("GOOGLETRANSLATE(B19901, ""fr"", ""en"")"),"AS WELL OF HABIT")</f>
        <v>AS WELL OF HABIT</v>
      </c>
    </row>
    <row r="19902">
      <c r="A19902" s="1">
        <v>5.0</v>
      </c>
      <c r="B19902" s="1" t="s">
        <v>19565</v>
      </c>
      <c r="C19902" t="str">
        <f>IFERROR(__xludf.DUMMYFUNCTION("GOOGLETRANSLATE(B19902, ""fr"", ""en"")"),"Very nice I am a fan of this brand sneakers are fine. Small flat I put on the 37 and the 37 and a bit big. Anyway my feet breathe in it even if I like my sneakers shoes just. But if not with the French promo days I've had at a great price.")</f>
        <v>Very nice I am a fan of this brand sneakers are fine. Small flat I put on the 37 and the 37 and a bit big. Anyway my feet breathe in it even if I like my sneakers shoes just. But if not with the French promo days I've had at a great price.</v>
      </c>
    </row>
    <row r="19903">
      <c r="A19903" s="1">
        <v>5.0</v>
      </c>
      <c r="B19903" s="1" t="s">
        <v>969</v>
      </c>
      <c r="C19903" t="str">
        <f>IFERROR(__xludf.DUMMYFUNCTION("GOOGLETRANSLATE(B19903, ""fr"", ""en"")"),"compliant compliant")</f>
        <v>compliant compliant</v>
      </c>
    </row>
    <row r="19904">
      <c r="A19904" s="1">
        <v>5.0</v>
      </c>
      <c r="B19904" s="1" t="s">
        <v>19566</v>
      </c>
      <c r="C19904" t="str">
        <f>IFERROR(__xludf.DUMMYFUNCTION("GOOGLETRANSLATE(B19904, ""fr"", ""en"")"),"Top fast and easy delivery. Headphones are well packed and heal me. They are in a stable box, which is also the cargo box. If the charging pocket is empty, it must be loaded via the USB port. This is very simple and works perfectly. They are very comforta"&amp;"ble to wear and have three different rubber inserts to ensure a good fit in the ear. The sound is clear and nice even if you put a little stronger. The Bluetooth connection to the phone went smoothly and was immediately recognized. Conclusion: An excellen"&amp;"t helmet completely without disturbing the cable. Strong battery life. High comfort. See farm in the ear.")</f>
        <v>Top fast and easy delivery. Headphones are well packed and heal me. They are in a stable box, which is also the cargo box. If the charging pocket is empty, it must be loaded via the USB port. This is very simple and works perfectly. They are very comfortable to wear and have three different rubber inserts to ensure a good fit in the ear. The sound is clear and nice even if you put a little stronger. The Bluetooth connection to the phone went smoothly and was immediately recognized. Conclusion: An excellent helmet completely without disturbing the cable. Strong battery life. High comfort. See farm in the ear.</v>
      </c>
    </row>
    <row r="19905">
      <c r="A19905" s="1">
        <v>5.0</v>
      </c>
      <c r="B19905" s="1" t="s">
        <v>19567</v>
      </c>
      <c r="C19905" t="str">
        <f>IFERROR(__xludf.DUMMYFUNCTION("GOOGLETRANSLATE(B19905, ""fr"", ""en"")"),"Well Tried once impeccable.")</f>
        <v>Well Tried once impeccable.</v>
      </c>
    </row>
    <row r="19906">
      <c r="A19906" s="1">
        <v>5.0</v>
      </c>
      <c r="B19906" s="1" t="s">
        <v>19568</v>
      </c>
      <c r="C19906" t="str">
        <f>IFERROR(__xludf.DUMMYFUNCTION("GOOGLETRANSLATE(B19906, ""fr"", ""en"")"),"Comfort and warmth Warmth and comfort, very good foot walking with a real pretty rigid sole. The kind of shoes that you forget to take off to go to his race!")</f>
        <v>Comfort and warmth Warmth and comfort, very good foot walking with a real pretty rigid sole. The kind of shoes that you forget to take off to go to his race!</v>
      </c>
    </row>
    <row r="19907">
      <c r="A19907" s="1">
        <v>5.0</v>
      </c>
      <c r="B19907" s="1" t="s">
        <v>19569</v>
      </c>
      <c r="C19907" t="str">
        <f>IFERROR(__xludf.DUMMYFUNCTION("GOOGLETRANSLATE(B19907, ""fr"", ""en"")"),"Very good very good product. The sound is clean. I use it a lot for music and for watching movies and series. The only downside for me, but I'm demanding. These are serious, they are not quite there, but are clean.")</f>
        <v>Very good very good product. The sound is clean. I use it a lot for music and for watching movies and series. The only downside for me, but I'm demanding. These are serious, they are not quite there, but are clean.</v>
      </c>
    </row>
    <row r="19908">
      <c r="A19908" s="1">
        <v>5.0</v>
      </c>
      <c r="B19908" s="1" t="s">
        <v>19570</v>
      </c>
      <c r="C19908" t="str">
        <f>IFERROR(__xludf.DUMMYFUNCTION("GOOGLETRANSLATE(B19908, ""fr"", ""en"")"),"Super Shoes happen very quickly my daughter is thrilled she adores great product")</f>
        <v>Super Shoes happen very quickly my daughter is thrilled she adores great product</v>
      </c>
    </row>
    <row r="19909">
      <c r="A19909" s="1">
        <v>5.0</v>
      </c>
      <c r="B19909" s="1" t="s">
        <v>19571</v>
      </c>
      <c r="C19909" t="str">
        <f>IFERROR(__xludf.DUMMYFUNCTION("GOOGLETRANSLATE(B19909, ""fr"", ""en"")"),"Top high quality cable with a cable that I connect more than two speaker has my turntable DJ ddi-sr pioneer reccomend")</f>
        <v>Top high quality cable with a cable that I connect more than two speaker has my turntable DJ ddi-sr pioneer reccomend</v>
      </c>
    </row>
    <row r="19910">
      <c r="A19910" s="1">
        <v>5.0</v>
      </c>
      <c r="B19910" s="1" t="s">
        <v>19572</v>
      </c>
      <c r="C19910" t="str">
        <f>IFERROR(__xludf.DUMMYFUNCTION("GOOGLETRANSLATE(B19910, ""fr"", ""en"")"),"I absolutely do not regret choosing this pair more color is great !! Very nice shoes go perfectly well with my size I highly recommend this product !!")</f>
        <v>I absolutely do not regret choosing this pair more color is great !! Very nice shoes go perfectly well with my size I highly recommend this product !!</v>
      </c>
    </row>
    <row r="19911">
      <c r="A19911" s="1">
        <v>5.0</v>
      </c>
      <c r="B19911" s="1" t="s">
        <v>19573</v>
      </c>
      <c r="C19911" t="str">
        <f>IFERROR(__xludf.DUMMYFUNCTION("GOOGLETRANSLATE(B19911, ""fr"", ""en"")"),"Excellent product Parcel received very quickly, the product is perfect: compact, powerful, it has a battery life and memory 8g. Quality is very good reg and taking quick and easy hand!")</f>
        <v>Excellent product Parcel received very quickly, the product is perfect: compact, powerful, it has a battery life and memory 8g. Quality is very good reg and taking quick and easy hand!</v>
      </c>
    </row>
    <row r="19912">
      <c r="A19912" s="1">
        <v>2.0</v>
      </c>
      <c r="B19912" s="1" t="s">
        <v>19574</v>
      </c>
      <c r="C19912" t="str">
        <f>IFERROR(__xludf.DUMMYFUNCTION("GOOGLETRANSLATE(B19912, ""fr"", ""en"")"),"Converse brown, not gray! They are gray on the screen, ""Charcoal"" (coal English) on the website and on the label box, but just outside the box, Converse completely brown! Is a box of error, a bad back made (the tissue paper was all torn? ""I ask for a r"&amp;"eturn.")</f>
        <v>Converse brown, not gray! They are gray on the screen, "Charcoal" (coal English) on the website and on the label box, but just outside the box, Converse completely brown! Is a box of error, a bad back made (the tissue paper was all torn? "I ask for a return.</v>
      </c>
    </row>
    <row r="19913">
      <c r="A19913" s="1">
        <v>1.0</v>
      </c>
      <c r="B19913" s="1" t="s">
        <v>19575</v>
      </c>
      <c r="C19913" t="str">
        <f>IFERROR(__xludf.DUMMYFUNCTION("GOOGLETRANSLATE(B19913, ""fr"", ""en"")"),"Gadget No good quality and a clasp of a wristband got broken I do not recimmande Category gadget")</f>
        <v>Gadget No good quality and a clasp of a wristband got broken I do not recimmande Category gadget</v>
      </c>
    </row>
    <row r="19914">
      <c r="A19914" s="1">
        <v>1.0</v>
      </c>
      <c r="B19914" s="1" t="s">
        <v>19576</v>
      </c>
      <c r="C19914" t="str">
        <f>IFERROR(__xludf.DUMMYFUNCTION("GOOGLETRANSLATE(B19914, ""fr"", ""en"")"),"Poor dummies Very disappointed with nipples! They are not suitable for my daughter who is breastfed, I have not managed to make the transition with his bottles so I took another brand or the speed is much faster.")</f>
        <v>Poor dummies Very disappointed with nipples! They are not suitable for my daughter who is breastfed, I have not managed to make the transition with his bottles so I took another brand or the speed is much faster.</v>
      </c>
    </row>
    <row r="19915">
      <c r="A19915" s="1">
        <v>3.0</v>
      </c>
      <c r="B19915" s="1" t="s">
        <v>19577</v>
      </c>
      <c r="C19915" t="str">
        <f>IFERROR(__xludf.DUMMYFUNCTION("GOOGLETRANSLATE(B19915, ""fr"", ""en"")"),"Together Too Too")</f>
        <v>Together Too Too</v>
      </c>
    </row>
    <row r="19916">
      <c r="A19916" s="1">
        <v>4.0</v>
      </c>
      <c r="B19916" s="1" t="s">
        <v>19578</v>
      </c>
      <c r="C19916" t="str">
        <f>IFERROR(__xludf.DUMMYFUNCTION("GOOGLETRANSLATE(B19916, ""fr"", ""en"")"),"Description ""Massage 4 hands"" misleading .... Reading the description ""Massage 4 hands"" and looking at the pictures, you would think that there are 2 distinct areas of massage, but there is a well that a series of massage balls that travels throughout"&amp;" the height. Too bad so much that it is this haphazard description made my choice leaned towards this seat rather than Naipo (neck massage and back at the same time). Otherwise apart from that, he ground well, the heat is good, the ""fingers"" of massage "&amp;"are quite large and are less badly than other seats, and to emphasize specific areas is an indispensable asset for a seat massage.")</f>
        <v>Description "Massage 4 hands" misleading .... Reading the description "Massage 4 hands" and looking at the pictures, you would think that there are 2 distinct areas of massage, but there is a well that a series of massage balls that travels throughout the height. Too bad so much that it is this haphazard description made my choice leaned towards this seat rather than Naipo (neck massage and back at the same time). Otherwise apart from that, he ground well, the heat is good, the "fingers" of massage are quite large and are less badly than other seats, and to emphasize specific areas is an indispensable asset for a seat massage.</v>
      </c>
    </row>
    <row r="19917">
      <c r="A19917" s="1">
        <v>4.0</v>
      </c>
      <c r="B19917" s="1" t="s">
        <v>19579</v>
      </c>
      <c r="C19917" t="str">
        <f>IFERROR(__xludf.DUMMYFUNCTION("GOOGLETRANSLATE(B19917, ""fr"", ""en"")"),"glad I recommend it, it's like in the description. A used either even or offer :)")</f>
        <v>glad I recommend it, it's like in the description. A used either even or offer :)</v>
      </c>
    </row>
    <row r="19918">
      <c r="A19918" s="1">
        <v>4.0</v>
      </c>
      <c r="B19918" s="1" t="s">
        <v>19580</v>
      </c>
      <c r="C19918" t="str">
        <f>IFERROR(__xludf.DUMMYFUNCTION("GOOGLETRANSLATE(B19918, ""fr"", ""en"")"),"pretty and profitable Despite a small problem of delivery, very happy to buy this paper have it semblerai that I have to lontemps and when I see in supermarkets 2m for 3rd I am even more satisfied.")</f>
        <v>pretty and profitable Despite a small problem of delivery, very happy to buy this paper have it semblerai that I have to lontemps and when I see in supermarkets 2m for 3rd I am even more satisfied.</v>
      </c>
    </row>
    <row r="19919">
      <c r="A19919" s="1">
        <v>4.0</v>
      </c>
      <c r="B19919" s="1" t="s">
        <v>19581</v>
      </c>
      <c r="C19919" t="str">
        <f>IFERROR(__xludf.DUMMYFUNCTION("GOOGLETRANSLATE(B19919, ""fr"", ""en"")"),"Good product for the job, the foot is maintained.")</f>
        <v>Good product for the job, the foot is maintained.</v>
      </c>
    </row>
    <row r="19920">
      <c r="A19920" s="1">
        <v>5.0</v>
      </c>
      <c r="B19920" s="1" t="s">
        <v>19582</v>
      </c>
      <c r="C19920" t="str">
        <f>IFERROR(__xludf.DUMMYFUNCTION("GOOGLETRANSLATE(B19920, ""fr"", ""en"")"),"Simplicity This machine is a marvel for young parents, those who are tired overworked or just those who want to simplify their lives. The machine is very simple and fast (ideal for night dashed when neuronnes still sleeping but hungry baby) just press onc"&amp;"e the touch button to distribute an exact amount of water to body temperature (37 ° c) and all this in less than 2 minutes! This model is also equipped with a filtration system, the perfect prep for filtering tap water to remove dirt and bacteria present "&amp;"in the water and to keep the nutrients necessary for growth of baby . ca for me this is rather gadget because according to where you live it will not be necessary. The system is called ""perfect for any type of powdered milk"" at least for the galiagest i"&amp;"s a formula thickened no worries m'enfin anyway mixture will be to do so by your care good .. . The machine delivers a hot shot; it is a jet of hot water that kills all potential bacteria present in the bottle and powdered milk (anyway the bottle cleaning"&amp;" in advance is to be done very carefully and brush). The cleaning and descaling is simple. The filter is currently 12.30 euros on Amazon, it has changed every 150 liters which equals about 3 months of use (that is a significant consumable expense and addi"&amp;"tional provision) In short this is a great machine that will simplify things")</f>
        <v>Simplicity This machine is a marvel for young parents, those who are tired overworked or just those who want to simplify their lives. The machine is very simple and fast (ideal for night dashed when neuronnes still sleeping but hungry baby) just press once the touch button to distribute an exact amount of water to body temperature (37 ° c) and all this in less than 2 minutes! This model is also equipped with a filtration system, the perfect prep for filtering tap water to remove dirt and bacteria present in the water and to keep the nutrients necessary for growth of baby . ca for me this is rather gadget because according to where you live it will not be necessary. The system is called "perfect for any type of powdered milk" at least for the galiagest is a formula thickened no worries m'enfin anyway mixture will be to do so by your care good .. . The machine delivers a hot shot; it is a jet of hot water that kills all potential bacteria present in the bottle and powdered milk (anyway the bottle cleaning in advance is to be done very carefully and brush). The cleaning and descaling is simple. The filter is currently 12.30 euros on Amazon, it has changed every 150 liters which equals about 3 months of use (that is a significant consumable expense and additional provision) In short this is a great machine that will simplify things</v>
      </c>
    </row>
    <row r="19921">
      <c r="A19921" s="1">
        <v>5.0</v>
      </c>
      <c r="B19921" s="1" t="s">
        <v>19583</v>
      </c>
      <c r="C19921" t="str">
        <f>IFERROR(__xludf.DUMMYFUNCTION("GOOGLETRANSLATE(B19921, ""fr"", ""en"")"),"Wanderlust Post The poster is perfect, the different colors in each continent and country are great, looking forward to go around the world for all scratching haha, top quality, I recommend 100%")</f>
        <v>Wanderlust Post The poster is perfect, the different colors in each continent and country are great, looking forward to go around the world for all scratching haha, top quality, I recommend 100%</v>
      </c>
    </row>
    <row r="19922">
      <c r="A19922" s="1">
        <v>5.0</v>
      </c>
      <c r="B19922" s="1" t="s">
        <v>19584</v>
      </c>
      <c r="C19922" t="str">
        <f>IFERROR(__xludf.DUMMYFUNCTION("GOOGLETRANSLATE(B19922, ""fr"", ""en"")"),"So Perfect")</f>
        <v>So Perfect</v>
      </c>
    </row>
    <row r="19923">
      <c r="A19923" s="1">
        <v>5.0</v>
      </c>
      <c r="B19923" s="1" t="s">
        <v>19585</v>
      </c>
      <c r="C19923" t="str">
        <f>IFERROR(__xludf.DUMMYFUNCTION("GOOGLETRANSLATE(B19923, ""fr"", ""en"")"),"Satisfied Very good smell")</f>
        <v>Satisfied Very good smell</v>
      </c>
    </row>
    <row r="19924">
      <c r="A19924" s="1">
        <v>5.0</v>
      </c>
      <c r="B19924" s="1" t="s">
        <v>19586</v>
      </c>
      <c r="C19924" t="str">
        <f>IFERROR(__xludf.DUMMYFUNCTION("GOOGLETRANSLATE(B19924, ""fr"", ""en"")"),"Not bad at all ;-) I wanted these headphones M overcome the son for the exits, I do a lot of running and this met my expectations. The holding in the ears is good, its a very good record, the case is really well thought out and visually pretty! The top fo"&amp;"r me these headphones!")</f>
        <v>Not bad at all ;-) I wanted these headphones M overcome the son for the exits, I do a lot of running and this met my expectations. The holding in the ears is good, its a very good record, the case is really well thought out and visually pretty! The top for me these headphones!</v>
      </c>
    </row>
    <row r="19925">
      <c r="A19925" s="1">
        <v>5.0</v>
      </c>
      <c r="B19925" s="1" t="s">
        <v>19587</v>
      </c>
      <c r="C19925" t="str">
        <f>IFERROR(__xludf.DUMMYFUNCTION("GOOGLETRANSLATE(B19925, ""fr"", ""en"")"),"Take a size smaller to wear tight or normal size can Jogging beautiful, nice and warm at once.")</f>
        <v>Take a size smaller to wear tight or normal size can Jogging beautiful, nice and warm at once.</v>
      </c>
    </row>
    <row r="19926">
      <c r="A19926" s="1">
        <v>5.0</v>
      </c>
      <c r="B19926" s="1" t="s">
        <v>19588</v>
      </c>
      <c r="C19926" t="str">
        <f>IFERROR(__xludf.DUMMYFUNCTION("GOOGLETRANSLATE(B19926, ""fr"", ""en"")"),"Essential electric hot water bottle to warm the cold beds")</f>
        <v>Essential electric hot water bottle to warm the cold beds</v>
      </c>
    </row>
    <row r="19927">
      <c r="A19927" s="1">
        <v>5.0</v>
      </c>
      <c r="B19927" s="1" t="s">
        <v>19589</v>
      </c>
      <c r="C19927" t="str">
        <f>IFERROR(__xludf.DUMMYFUNCTION("GOOGLETRANSLATE(B19927, ""fr"", ""en"")"),"Product lerfomant except the price Teop Language elevé product very effectively perform but the price is a little avuse")</f>
        <v>Product lerfomant except the price Teop Language elevé product very effectively perform but the price is a little avuse</v>
      </c>
    </row>
    <row r="19928">
      <c r="A19928" s="1">
        <v>5.0</v>
      </c>
      <c r="B19928" s="1" t="s">
        <v>19590</v>
      </c>
      <c r="C19928" t="str">
        <f>IFERROR(__xludf.DUMMYFUNCTION("GOOGLETRANSLATE(B19928, ""fr"", ""en"")"),"Good product Product that is what I wanted: ability to change the water heater temperature as usual. Good readability of the screen and the water level due to backlight. The noise is bearable and does not last long because the coffee is strong.")</f>
        <v>Good product Product that is what I wanted: ability to change the water heater temperature as usual. Good readability of the screen and the water level due to backlight. The noise is bearable and does not last long because the coffee is strong.</v>
      </c>
    </row>
    <row r="19929">
      <c r="A19929" s="1">
        <v>5.0</v>
      </c>
      <c r="B19929" s="1" t="s">
        <v>1547</v>
      </c>
      <c r="C19929" t="str">
        <f>IFERROR(__xludf.DUMMYFUNCTION("GOOGLETRANSLATE(B19929, ""fr"", ""en"")"),"Ras Ras")</f>
        <v>Ras Ras</v>
      </c>
    </row>
    <row r="19930">
      <c r="A19930" s="1">
        <v>5.0</v>
      </c>
      <c r="B19930" s="1" t="s">
        <v>19591</v>
      </c>
      <c r="C19930" t="str">
        <f>IFERROR(__xludf.DUMMYFUNCTION("GOOGLETRANSLATE(B19930, ""fr"", ""en"")"),"Do not recommend it was fine for neck pain but of very poor quality because it held just six months")</f>
        <v>Do not recommend it was fine for neck pain but of very poor quality because it held just six months</v>
      </c>
    </row>
    <row r="19931">
      <c r="A19931" s="1">
        <v>5.0</v>
      </c>
      <c r="B19931" s="1" t="s">
        <v>19592</v>
      </c>
      <c r="C19931" t="str">
        <f>IFERROR(__xludf.DUMMYFUNCTION("GOOGLETRANSLATE(B19931, ""fr"", ""en"")"),"Perfect for sensitive skin I have very reactive skin for regular washing and laundry as LECHAT sequins finally allows me to wash my underwear and linen delicate carefree. The laundry is clean and soft. And it smells clean as they say ^^ IN two words: I sa"&amp;"w !!")</f>
        <v>Perfect for sensitive skin I have very reactive skin for regular washing and laundry as LECHAT sequins finally allows me to wash my underwear and linen delicate carefree. The laundry is clean and soft. And it smells clean as they say ^^ IN two words: I saw !!</v>
      </c>
    </row>
    <row r="19932">
      <c r="A19932" s="1">
        <v>5.0</v>
      </c>
      <c r="B19932" s="1" t="s">
        <v>19593</v>
      </c>
      <c r="C19932" t="str">
        <f>IFERROR(__xludf.DUMMYFUNCTION("GOOGLETRANSLATE(B19932, ""fr"", ""en"")"),"Perfect Replacement of the case of my husband, he is very happy !! Large storage capacity, multiple pockets and pockets, adjustable strap design rather ""young"", that qualities !! I highly recommend !")</f>
        <v>Perfect Replacement of the case of my husband, he is very happy !! Large storage capacity, multiple pockets and pockets, adjustable strap design rather "young", that qualities !! I highly recommend !</v>
      </c>
    </row>
    <row r="19933">
      <c r="A19933" s="1">
        <v>5.0</v>
      </c>
      <c r="B19933" s="1" t="s">
        <v>19594</v>
      </c>
      <c r="C19933" t="str">
        <f>IFERROR(__xludf.DUMMYFUNCTION("GOOGLETRANSLATE(B19933, ""fr"", ""en"")"),"2nd achetee the same pattern ... I find them beautiful on my desk with all the material the dominant Apple Aluminum / White. The softness of the light in ""daylight"" is very relaxing for the eyes. And port USB 5V 1A load is always useful to load a device"&amp;" even if a little slow.")</f>
        <v>2nd achetee the same pattern ... I find them beautiful on my desk with all the material the dominant Apple Aluminum / White. The softness of the light in "daylight" is very relaxing for the eyes. And port USB 5V 1A load is always useful to load a device even if a little slow.</v>
      </c>
    </row>
    <row r="19934">
      <c r="A19934" s="1">
        <v>5.0</v>
      </c>
      <c r="B19934" s="1" t="s">
        <v>19595</v>
      </c>
      <c r="C19934" t="str">
        <f>IFERROR(__xludf.DUMMYFUNCTION("GOOGLETRANSLATE(B19934, ""fr"", ""en"")"),"Super Delivered quickly Meets the photo. Qq see in time if they are solid.")</f>
        <v>Super Delivered quickly Meets the photo. Qq see in time if they are solid.</v>
      </c>
    </row>
    <row r="19935">
      <c r="A19935" s="1">
        <v>2.0</v>
      </c>
      <c r="B19935" s="1" t="s">
        <v>19596</v>
      </c>
      <c r="C19935" t="str">
        <f>IFERROR(__xludf.DUMMYFUNCTION("GOOGLETRANSLATE(B19935, ""fr"", ""en"")"),"What's the point? I thought it's not lit and therefore it is useless")</f>
        <v>What's the point? I thought it's not lit and therefore it is useless</v>
      </c>
    </row>
    <row r="19936">
      <c r="A19936" s="1">
        <v>1.0</v>
      </c>
      <c r="B19936" s="1" t="s">
        <v>19597</v>
      </c>
      <c r="C19936" t="str">
        <f>IFERROR(__xludf.DUMMYFUNCTION("GOOGLETRANSLATE(B19936, ""fr"", ""en"")"),"What a desappointment! After 2 months of use, rust began to appear on the bottom of the kettle which is hardly usable in a few weeks (I really do not know the toxicity of the phenomenon but I do not think this is very good for health...). I am extremely d"&amp;"isappointed because I take care of my devices, I usually descaling regularly and I use daily in my tea (tea and herbal teas). So after using a few months one thing is clear: it is a product of poor quality!")</f>
        <v>What a desappointment! After 2 months of use, rust began to appear on the bottom of the kettle which is hardly usable in a few weeks (I really do not know the toxicity of the phenomenon but I do not think this is very good for health...). I am extremely disappointed because I take care of my devices, I usually descaling regularly and I use daily in my tea (tea and herbal teas). So after using a few months one thing is clear: it is a product of poor quality!</v>
      </c>
    </row>
    <row r="19937">
      <c r="A19937" s="1">
        <v>3.0</v>
      </c>
      <c r="B19937" s="1" t="s">
        <v>19598</v>
      </c>
      <c r="C19937" t="str">
        <f>IFERROR(__xludf.DUMMYFUNCTION("GOOGLETRANSLATE(B19937, ""fr"", ""en"")"),"Order the right size shoes according to the photo and hot but large in size. The problem is on the back for a size change. If the price is mounted between time, we can not go back to the exchange. Amazon so you require reimbursement for recommending more "&amp;"expensive. It's a rip off.")</f>
        <v>Order the right size shoes according to the photo and hot but large in size. The problem is on the back for a size change. If the price is mounted between time, we can not go back to the exchange. Amazon so you require reimbursement for recommending more expensive. It's a rip off.</v>
      </c>
    </row>
    <row r="19938">
      <c r="A19938" s="1">
        <v>3.0</v>
      </c>
      <c r="B19938" s="1" t="s">
        <v>1417</v>
      </c>
      <c r="C19938" t="str">
        <f>IFERROR(__xludf.DUMMYFUNCTION("GOOGLETRANSLATE(B19938, ""fr"", ""en"")"),"ras ras")</f>
        <v>ras ras</v>
      </c>
    </row>
    <row r="19939">
      <c r="A19939" s="1">
        <v>4.0</v>
      </c>
      <c r="B19939" s="1" t="s">
        <v>19599</v>
      </c>
      <c r="C19939" t="str">
        <f>IFERROR(__xludf.DUMMYFUNCTION("GOOGLETRANSLATE(B19939, ""fr"", ""en"")"),"I recommend this lovely Bracelet A lovely bracelet made of the effect, the colors are bright. Comfortable to wear")</f>
        <v>I recommend this lovely Bracelet A lovely bracelet made of the effect, the colors are bright. Comfortable to wear</v>
      </c>
    </row>
    <row r="19940">
      <c r="A19940" s="1">
        <v>4.0</v>
      </c>
      <c r="B19940" s="1" t="s">
        <v>19600</v>
      </c>
      <c r="C19940" t="str">
        <f>IFERROR(__xludf.DUMMYFUNCTION("GOOGLETRANSLATE(B19940, ""fr"", ""en"")"),"great quality item at first sight n although a bit expensive when baby does not accept it ... We'll see later can be but in any case I think nice product!")</f>
        <v>great quality item at first sight n although a bit expensive when baby does not accept it ... We'll see later can be but in any case I think nice product!</v>
      </c>
    </row>
    <row r="19941">
      <c r="A19941" s="1">
        <v>4.0</v>
      </c>
      <c r="B19941" s="1" t="s">
        <v>19601</v>
      </c>
      <c r="C19941" t="str">
        <f>IFERROR(__xludf.DUMMYFUNCTION("GOOGLETRANSLATE(B19941, ""fr"", ""en"")"),"PURCHASE CORRECT Very comfortable, aesthetic successfully bought it a year ago, unfortunately not for everyday use wears very quickly")</f>
        <v>PURCHASE CORRECT Very comfortable, aesthetic successfully bought it a year ago, unfortunately not for everyday use wears very quickly</v>
      </c>
    </row>
    <row r="19942">
      <c r="A19942" s="1">
        <v>4.0</v>
      </c>
      <c r="B19942" s="1" t="s">
        <v>19602</v>
      </c>
      <c r="C19942" t="str">
        <f>IFERROR(__xludf.DUMMYFUNCTION("GOOGLETRANSLATE(B19942, ""fr"", ""en"")"),"good pedagogy")</f>
        <v>good pedagogy</v>
      </c>
    </row>
    <row r="19943">
      <c r="A19943" s="1">
        <v>4.0</v>
      </c>
      <c r="B19943" s="1" t="s">
        <v>19603</v>
      </c>
      <c r="C19943" t="str">
        <f>IFERROR(__xludf.DUMMYFUNCTION("GOOGLETRANSLATE(B19943, ""fr"", ""en"")"),"Watch suitable for Mountain Hiking light and simple shows of use Perfect for hiking")</f>
        <v>Watch suitable for Mountain Hiking light and simple shows of use Perfect for hiking</v>
      </c>
    </row>
    <row r="19944">
      <c r="A19944" s="1">
        <v>5.0</v>
      </c>
      <c r="B19944" s="1" t="s">
        <v>19604</v>
      </c>
      <c r="C19944" t="str">
        <f>IFERROR(__xludf.DUMMYFUNCTION("GOOGLETRANSLATE(B19944, ""fr"", ""en"")"),"perfect level price / quality shoes very well. corresponds to my expectations")</f>
        <v>perfect level price / quality shoes very well. corresponds to my expectations</v>
      </c>
    </row>
    <row r="19945">
      <c r="A19945" s="1">
        <v>5.0</v>
      </c>
      <c r="B19945" s="1" t="s">
        <v>19605</v>
      </c>
      <c r="C19945" t="str">
        <f>IFERROR(__xludf.DUMMYFUNCTION("GOOGLETRANSLATE(B19945, ""fr"", ""en"")"),"Top Article perfect that relaxes back muscles. Some sensitive people are struggling to stay on, I can sleep myself. For best results it should be used on the skin")</f>
        <v>Top Article perfect that relaxes back muscles. Some sensitive people are struggling to stay on, I can sleep myself. For best results it should be used on the skin</v>
      </c>
    </row>
    <row r="19946">
      <c r="A19946" s="1">
        <v>5.0</v>
      </c>
      <c r="B19946" s="1" t="s">
        <v>19606</v>
      </c>
      <c r="C19946" t="str">
        <f>IFERROR(__xludf.DUMMYFUNCTION("GOOGLETRANSLATE(B19946, ""fr"", ""en"")"),"great shows! I thought she was going to be too big, because this is an automatic watch, it has no battery, but eventually it turns thick quite normal. She is sublime. The package arrived a day rather than planned, in a packaging soigné.Je highly recommend"&amp;" this watch.")</f>
        <v>great shows! I thought she was going to be too big, because this is an automatic watch, it has no battery, but eventually it turns thick quite normal. She is sublime. The package arrived a day rather than planned, in a packaging soigné.Je highly recommend this watch.</v>
      </c>
    </row>
    <row r="19947">
      <c r="A19947" s="1">
        <v>5.0</v>
      </c>
      <c r="B19947" s="1" t="s">
        <v>19607</v>
      </c>
      <c r="C19947" t="str">
        <f>IFERROR(__xludf.DUMMYFUNCTION("GOOGLETRANSLATE(B19947, ""fr"", ""en"")"),"Vans Sk8 The beautiful Sk8 Vans are beautiful, the size is as expected. The colors are beautiful.")</f>
        <v>Vans Sk8 The beautiful Sk8 Vans are beautiful, the size is as expected. The colors are beautiful.</v>
      </c>
    </row>
    <row r="19948">
      <c r="A19948" s="1">
        <v>5.0</v>
      </c>
      <c r="B19948" s="1" t="s">
        <v>19608</v>
      </c>
      <c r="C19948" t="str">
        <f>IFERROR(__xludf.DUMMYFUNCTION("GOOGLETRANSLATE(B19948, ""fr"", ""en"")"),"Very good nice headphones! I bought for my son .. He uses them on his mobile and tablet .. They work very well and have a nice style!")</f>
        <v>Very good nice headphones! I bought for my son .. He uses them on his mobile and tablet .. They work very well and have a nice style!</v>
      </c>
    </row>
    <row r="19949">
      <c r="A19949" s="1">
        <v>5.0</v>
      </c>
      <c r="B19949" s="1" t="s">
        <v>19609</v>
      </c>
      <c r="C19949" t="str">
        <f>IFERROR(__xludf.DUMMYFUNCTION("GOOGLETRANSLATE(B19949, ""fr"", ""en"")"),"impressive! A colleague had bought this model, I did try and I was amazed by the results! I bought the article and since I use it almost every day because in addition to noise reduction, the in-ear headphones are comfortable (I have tried 4 different bran"&amp;"ds before finding that suit me ) and the retention system is effective because the headphones do not fall! I would just say that for 25 € the value is present.")</f>
        <v>impressive! A colleague had bought this model, I did try and I was amazed by the results! I bought the article and since I use it almost every day because in addition to noise reduction, the in-ear headphones are comfortable (I have tried 4 different brands before finding that suit me ) and the retention system is effective because the headphones do not fall! I would just say that for 25 € the value is present.</v>
      </c>
    </row>
    <row r="19950">
      <c r="A19950" s="1">
        <v>5.0</v>
      </c>
      <c r="B19950" s="1" t="s">
        <v>19610</v>
      </c>
      <c r="C19950" t="str">
        <f>IFERROR(__xludf.DUMMYFUNCTION("GOOGLETRANSLATE(B19950, ""fr"", ""en"")"),"product ok Good product")</f>
        <v>product ok Good product</v>
      </c>
    </row>
    <row r="19951">
      <c r="A19951" s="1">
        <v>5.0</v>
      </c>
      <c r="B19951" s="1" t="s">
        <v>19611</v>
      </c>
      <c r="C19951" t="str">
        <f>IFERROR(__xludf.DUMMYFUNCTION("GOOGLETRANSLATE(B19951, ""fr"", ""en"")"),"Very good very good product")</f>
        <v>Very good very good product</v>
      </c>
    </row>
    <row r="19952">
      <c r="A19952" s="1">
        <v>5.0</v>
      </c>
      <c r="B19952" s="1" t="s">
        <v>19612</v>
      </c>
      <c r="C19952" t="str">
        <f>IFERROR(__xludf.DUMMYFUNCTION("GOOGLETRANSLATE(B19952, ""fr"", ""en"")"),"Great quality product, I'm a fan of oils and natural essences and am very satisfied with this purchase to practice my concoctions")</f>
        <v>Great quality product, I'm a fan of oils and natural essences and am very satisfied with this purchase to practice my concoctions</v>
      </c>
    </row>
    <row r="19953">
      <c r="A19953" s="1">
        <v>5.0</v>
      </c>
      <c r="B19953" s="1" t="s">
        <v>19613</v>
      </c>
      <c r="C19953" t="str">
        <f>IFERROR(__xludf.DUMMYFUNCTION("GOOGLETRANSLATE(B19953, ""fr"", ""en"")"),"Very good quality Walking in mud especially when we practice hunting.")</f>
        <v>Very good quality Walking in mud especially when we practice hunting.</v>
      </c>
    </row>
    <row r="19954">
      <c r="A19954" s="1">
        <v>5.0</v>
      </c>
      <c r="B19954" s="1" t="s">
        <v>19614</v>
      </c>
      <c r="C19954" t="str">
        <f>IFERROR(__xludf.DUMMYFUNCTION("GOOGLETRANSLATE(B19954, ""fr"", ""en"")"),"Satisfaction Convenient, secharge bottles and cosmetic")</f>
        <v>Satisfaction Convenient, secharge bottles and cosmetic</v>
      </c>
    </row>
    <row r="19955">
      <c r="A19955" s="1">
        <v>5.0</v>
      </c>
      <c r="B19955" s="1" t="s">
        <v>19615</v>
      </c>
      <c r="C19955" t="str">
        <f>IFERROR(__xludf.DUMMYFUNCTION("GOOGLETRANSLATE(B19955, ""fr"", ""en"")"),"nothing wrong with my whole family took the same of another color ....")</f>
        <v>nothing wrong with my whole family took the same of another color ....</v>
      </c>
    </row>
    <row r="19956">
      <c r="A19956" s="1">
        <v>5.0</v>
      </c>
      <c r="B19956" s="1" t="s">
        <v>19616</v>
      </c>
      <c r="C19956" t="str">
        <f>IFERROR(__xludf.DUMMYFUNCTION("GOOGLETRANSLATE(B19956, ""fr"", ""en"")"),"beautiful and practical bought for my wife for our trips abroad, it separates more, even in everyday life.")</f>
        <v>beautiful and practical bought for my wife for our trips abroad, it separates more, even in everyday life.</v>
      </c>
    </row>
    <row r="19957">
      <c r="A19957" s="1">
        <v>5.0</v>
      </c>
      <c r="B19957" s="1" t="s">
        <v>19617</v>
      </c>
      <c r="C19957" t="str">
        <f>IFERROR(__xludf.DUMMYFUNCTION("GOOGLETRANSLATE(B19957, ""fr"", ""en"")"),"Very satisfied As picture good")</f>
        <v>Very satisfied As picture good</v>
      </c>
    </row>
    <row r="19958">
      <c r="A19958" s="1">
        <v>5.0</v>
      </c>
      <c r="B19958" s="1" t="s">
        <v>19618</v>
      </c>
      <c r="C19958" t="str">
        <f>IFERROR(__xludf.DUMMYFUNCTION("GOOGLETRANSLATE(B19958, ""fr"", ""en"")"),"Super satisfied The thick fabric materials is really good, the sublime colors and very light and very comfortable. For now they look good; in any case, because they are comfortable mesh. I highly recommend his shoes they are lightweight.")</f>
        <v>Super satisfied The thick fabric materials is really good, the sublime colors and very light and very comfortable. For now they look good; in any case, because they are comfortable mesh. I highly recommend his shoes they are lightweight.</v>
      </c>
    </row>
    <row r="19959">
      <c r="A19959" s="1">
        <v>2.0</v>
      </c>
      <c r="B19959" s="1" t="s">
        <v>19619</v>
      </c>
      <c r="C19959" t="str">
        <f>IFERROR(__xludf.DUMMYFUNCTION("GOOGLETRANSLATE(B19959, ""fr"", ""en"")"),"Pretty snazzy design but inconvenient because not only accepts all sizes of bread, difficult to clean and broke down after 6 months of use")</f>
        <v>Pretty snazzy design but inconvenient because not only accepts all sizes of bread, difficult to clean and broke down after 6 months of use</v>
      </c>
    </row>
    <row r="19960">
      <c r="A19960" s="1">
        <v>1.0</v>
      </c>
      <c r="B19960" s="1" t="s">
        <v>19620</v>
      </c>
      <c r="C19960" t="str">
        <f>IFERROR(__xludf.DUMMYFUNCTION("GOOGLETRANSLATE(B19960, ""fr"", ""en"")"),"Too bad ordered twice and twice too big but very nice ring.")</f>
        <v>Too bad ordered twice and twice too big but very nice ring.</v>
      </c>
    </row>
    <row r="19961">
      <c r="A19961" s="1">
        <v>1.0</v>
      </c>
      <c r="B19961" s="1" t="s">
        <v>19621</v>
      </c>
      <c r="C19961" t="str">
        <f>IFERROR(__xludf.DUMMYFUNCTION("GOOGLETRANSLATE(B19961, ""fr"", ""en"")"),"Disappointed on the actual size of the stones disappointed, the image does not help to get an idea of ​​the actual size of the stones and the bracelet in general. So it's tiny! The stones are too too too small!")</f>
        <v>Disappointed on the actual size of the stones disappointed, the image does not help to get an idea of ​​the actual size of the stones and the bracelet in general. So it's tiny! The stones are too too too small!</v>
      </c>
    </row>
    <row r="19962">
      <c r="A19962" s="1">
        <v>3.0</v>
      </c>
      <c r="B19962" s="1" t="s">
        <v>19622</v>
      </c>
      <c r="C19962" t="str">
        <f>IFERROR(__xludf.DUMMYFUNCTION("GOOGLETRANSLATE(B19962, ""fr"", ""en"")"),"Beautiful object but very complex to use There are buttons everywhere around the clock very difficult to use either to set the time, turn on the lamp ... For setting the alarm clock must first set the time, light intensity, the sound mode, the radio stati"&amp;"on ... Even with the manual it's complicated icons are tiny. And the USB port on the back does not charge. I returned.")</f>
        <v>Beautiful object but very complex to use There are buttons everywhere around the clock very difficult to use either to set the time, turn on the lamp ... For setting the alarm clock must first set the time, light intensity, the sound mode, the radio station ... Even with the manual it's complicated icons are tiny. And the USB port on the back does not charge. I returned.</v>
      </c>
    </row>
    <row r="19963">
      <c r="A19963" s="1">
        <v>3.0</v>
      </c>
      <c r="B19963" s="1" t="s">
        <v>19623</v>
      </c>
      <c r="C19963" t="str">
        <f>IFERROR(__xludf.DUMMYFUNCTION("GOOGLETRANSLATE(B19963, ""fr"", ""en"")"),"nice shoes nice shoes but not terrible side maintenance ... not bear the slightest scratch ... means comfort (shoe left me a little trouble in toe).")</f>
        <v>nice shoes nice shoes but not terrible side maintenance ... not bear the slightest scratch ... means comfort (shoe left me a little trouble in toe).</v>
      </c>
    </row>
    <row r="19964">
      <c r="A19964" s="1">
        <v>4.0</v>
      </c>
      <c r="B19964" s="1" t="s">
        <v>19624</v>
      </c>
      <c r="C19964" t="str">
        <f>IFERROR(__xludf.DUMMYFUNCTION("GOOGLETRANSLATE(B19964, ""fr"", ""en"")"),"good for cheap ... good value, highly legible screen, beautiful backlight, but the band is very cheap ...")</f>
        <v>good for cheap ... good value, highly legible screen, beautiful backlight, but the band is very cheap ...</v>
      </c>
    </row>
    <row r="19965">
      <c r="A19965" s="1">
        <v>4.0</v>
      </c>
      <c r="B19965" s="1" t="s">
        <v>19625</v>
      </c>
      <c r="C19965" t="str">
        <f>IFERROR(__xludf.DUMMYFUNCTION("GOOGLETRANSLATE(B19965, ""fr"", ""en"")"),"Lightweight wearable for work everyday")</f>
        <v>Lightweight wearable for work everyday</v>
      </c>
    </row>
    <row r="19966">
      <c r="A19966" s="1">
        <v>4.0</v>
      </c>
      <c r="B19966" s="1" t="s">
        <v>19626</v>
      </c>
      <c r="C19966" t="str">
        <f>IFERROR(__xludf.DUMMYFUNCTION("GOOGLETRANSLATE(B19966, ""fr"", ""en"")"),"At the top I bought this bottle warmer after having some difficulties with another of a different brand. It is very easy to use, the timing of heating is simple and correspond to reality (about 2min for a bottle of 120 ml). The big plus, the fact that the"&amp;"re is a bell. The must have been that it was glass. In addition, I also sterilized bottle and pacifier with. I'm so glad of my purchase. Feel free to click if my review was helpful to you! :)")</f>
        <v>At the top I bought this bottle warmer after having some difficulties with another of a different brand. It is very easy to use, the timing of heating is simple and correspond to reality (about 2min for a bottle of 120 ml). The big plus, the fact that there is a bell. The must have been that it was glass. In addition, I also sterilized bottle and pacifier with. I'm so glad of my purchase. Feel free to click if my review was helpful to you! :)</v>
      </c>
    </row>
    <row r="19967">
      <c r="A19967" s="1">
        <v>4.0</v>
      </c>
      <c r="B19967" s="1" t="s">
        <v>19627</v>
      </c>
      <c r="C19967" t="str">
        <f>IFERROR(__xludf.DUMMYFUNCTION("GOOGLETRANSLATE(B19967, ""fr"", ""en"")"),"Parts Thanks for spare parts because otherwise I I had my coffee maker")</f>
        <v>Parts Thanks for spare parts because otherwise I I had my coffee maker</v>
      </c>
    </row>
    <row r="19968">
      <c r="A19968" s="1">
        <v>5.0</v>
      </c>
      <c r="B19968" s="1" t="s">
        <v>1261</v>
      </c>
      <c r="C19968" t="str">
        <f>IFERROR(__xludf.DUMMYFUNCTION("GOOGLETRANSLATE(B19968, ""fr"", ""en"")"),"good good")</f>
        <v>good good</v>
      </c>
    </row>
    <row r="19969">
      <c r="A19969" s="1">
        <v>5.0</v>
      </c>
      <c r="B19969" s="1" t="s">
        <v>19628</v>
      </c>
      <c r="C19969" t="str">
        <f>IFERROR(__xludf.DUMMYFUNCTION("GOOGLETRANSLATE(B19969, ""fr"", ""en"")"),"Handy Bag Roll 10 Trash Bags 50L, super P")</f>
        <v>Handy Bag Roll 10 Trash Bags 50L, super P</v>
      </c>
    </row>
    <row r="19970">
      <c r="A19970" s="1">
        <v>5.0</v>
      </c>
      <c r="B19970" s="1" t="s">
        <v>19629</v>
      </c>
      <c r="C19970" t="str">
        <f>IFERROR(__xludf.DUMMYFUNCTION("GOOGLETRANSLATE(B19970, ""fr"", ""en"")"),"Two pairs offered comfort to the delight of the four legs which can not leave them.")</f>
        <v>Two pairs offered comfort to the delight of the four legs which can not leave them.</v>
      </c>
    </row>
    <row r="19971">
      <c r="A19971" s="1">
        <v>5.0</v>
      </c>
      <c r="B19971" s="1" t="s">
        <v>19630</v>
      </c>
      <c r="C19971" t="str">
        <f>IFERROR(__xludf.DUMMYFUNCTION("GOOGLETRANSLATE(B19971, ""fr"", ""en"")"),"I love Very nice finish, so little light weight to wear")</f>
        <v>I love Very nice finish, so little light weight to wear</v>
      </c>
    </row>
    <row r="19972">
      <c r="A19972" s="1">
        <v>5.0</v>
      </c>
      <c r="B19972" s="1" t="s">
        <v>19631</v>
      </c>
      <c r="C19972" t="str">
        <f>IFERROR(__xludf.DUMMYFUNCTION("GOOGLETRANSLATE(B19972, ""fr"", ""en"")"),"Perfect Impec!")</f>
        <v>Perfect Impec!</v>
      </c>
    </row>
    <row r="19973">
      <c r="A19973" s="1">
        <v>5.0</v>
      </c>
      <c r="B19973" s="1" t="s">
        <v>19632</v>
      </c>
      <c r="C19973" t="str">
        <f>IFERROR(__xludf.DUMMYFUNCTION("GOOGLETRANSLATE(B19973, ""fr"", ""en"")"),"Very good book perfect book for learning to read")</f>
        <v>Very good book perfect book for learning to read</v>
      </c>
    </row>
    <row r="19974">
      <c r="A19974" s="1">
        <v>5.0</v>
      </c>
      <c r="B19974" s="1" t="s">
        <v>19633</v>
      </c>
      <c r="C19974" t="str">
        <f>IFERROR(__xludf.DUMMYFUNCTION("GOOGLETRANSLATE(B19974, ""fr"", ""en"")"),"Perfect bag bought for a friend and good great very stylish and spacious It never leaves !!!! I recommend 👍👍👍👍👍")</f>
        <v>Perfect bag bought for a friend and good great very stylish and spacious It never leaves !!!! I recommend 👍👍👍👍👍</v>
      </c>
    </row>
    <row r="19975">
      <c r="A19975" s="1">
        <v>5.0</v>
      </c>
      <c r="B19975" s="1" t="s">
        <v>19634</v>
      </c>
      <c r="C19975" t="str">
        <f>IFERROR(__xludf.DUMMYFUNCTION("GOOGLETRANSLATE(B19975, ""fr"", ""en"")"),"Good quality Sport")</f>
        <v>Good quality Sport</v>
      </c>
    </row>
    <row r="19976">
      <c r="A19976" s="1">
        <v>5.0</v>
      </c>
      <c r="B19976" s="1" t="s">
        <v>19635</v>
      </c>
      <c r="C19976" t="str">
        <f>IFERROR(__xludf.DUMMYFUNCTION("GOOGLETRANSLATE(B19976, ""fr"", ""en"")"),"One often reads that we must take one size smaller, it's not necessarily the case! It is white, so the shoes can get dirty quickly, however traces of dirt go very well in the wash. Warning: we often read in the comments that we must take the size below, w"&amp;"hich is not necessarily the case for everyone! (I had to return the first pair ordered to resume my usual size)")</f>
        <v>One often reads that we must take one size smaller, it's not necessarily the case! It is white, so the shoes can get dirty quickly, however traces of dirt go very well in the wash. Warning: we often read in the comments that we must take the size below, which is not necessarily the case for everyone! (I had to return the first pair ordered to resume my usual size)</v>
      </c>
    </row>
    <row r="19977">
      <c r="A19977" s="1">
        <v>5.0</v>
      </c>
      <c r="B19977" s="1" t="s">
        <v>19636</v>
      </c>
      <c r="C19977" t="str">
        <f>IFERROR(__xludf.DUMMYFUNCTION("GOOGLETRANSLATE(B19977, ""fr"", ""en"")"),"compliant and compliant practice and practice")</f>
        <v>compliant and compliant practice and practice</v>
      </c>
    </row>
    <row r="19978">
      <c r="A19978" s="1">
        <v>5.0</v>
      </c>
      <c r="B19978" s="1" t="s">
        <v>19637</v>
      </c>
      <c r="C19978" t="str">
        <f>IFERROR(__xludf.DUMMYFUNCTION("GOOGLETRANSLATE(B19978, ""fr"", ""en"")"),"matching the criteria Output Products")</f>
        <v>matching the criteria Output Products</v>
      </c>
    </row>
    <row r="19979">
      <c r="A19979" s="1">
        <v>5.0</v>
      </c>
      <c r="B19979" s="1" t="s">
        <v>19638</v>
      </c>
      <c r="C19979" t="str">
        <f>IFERROR(__xludf.DUMMYFUNCTION("GOOGLETRANSLATE(B19979, ""fr"", ""en"")"),"Too beautiful 😍 I just receive them. Very comfortable, true to the picture and just beautiful 😍")</f>
        <v>Too beautiful 😍 I just receive them. Very comfortable, true to the picture and just beautiful 😍</v>
      </c>
    </row>
    <row r="19980">
      <c r="A19980" s="1">
        <v>5.0</v>
      </c>
      <c r="B19980" s="1" t="s">
        <v>19639</v>
      </c>
      <c r="C19980" t="str">
        <f>IFERROR(__xludf.DUMMYFUNCTION("GOOGLETRANSLATE(B19980, ""fr"", ""en"")"),"very resistant adhesive tear without the need for a high temperature Irons average temperature is sufficient and bonding is very good")</f>
        <v>very resistant adhesive tear without the need for a high temperature Irons average temperature is sufficient and bonding is very good</v>
      </c>
    </row>
    <row r="19981">
      <c r="A19981" s="1">
        <v>5.0</v>
      </c>
      <c r="B19981" s="1" t="s">
        <v>19640</v>
      </c>
      <c r="C19981" t="str">
        <f>IFERROR(__xludf.DUMMYFUNCTION("GOOGLETRANSLATE(B19981, ""fr"", ""en"")"),"Ras confirms what is described Teats beak used on a timpani second time I order RAS and a bit shaky but works very well pleased with the purchase.")</f>
        <v>Ras confirms what is described Teats beak used on a timpani second time I order RAS and a bit shaky but works very well pleased with the purchase.</v>
      </c>
    </row>
    <row r="19982">
      <c r="A19982" s="1">
        <v>5.0</v>
      </c>
      <c r="B19982" s="1" t="s">
        <v>19641</v>
      </c>
      <c r="C19982" t="str">
        <f>IFERROR(__xludf.DUMMYFUNCTION("GOOGLETRANSLATE(B19982, ""fr"", ""en"")"),"Very good buy Super simple and practical smell It is used every day she filled well its function Good quality I recommend")</f>
        <v>Very good buy Super simple and practical smell It is used every day she filled well its function Good quality I recommend</v>
      </c>
    </row>
    <row r="19983">
      <c r="A19983" s="1">
        <v>2.0</v>
      </c>
      <c r="B19983" s="1" t="s">
        <v>19642</v>
      </c>
      <c r="C19983" t="str">
        <f>IFERROR(__xludf.DUMMYFUNCTION("GOOGLETRANSLATE(B19983, ""fr"", ""en"")"),"Unsuitable I took the size 6 month + thickened preparation for passing the 2nd age milk, smaller size nipples are plugged up. Unable to use them because the tip of the nipple is larger and the center hole too big, baby rejects the pacifier when he took it"&amp;" very well the other sizes. So I kept sizes 3 by enlarging the hole with a knife ...")</f>
        <v>Unsuitable I took the size 6 month + thickened preparation for passing the 2nd age milk, smaller size nipples are plugged up. Unable to use them because the tip of the nipple is larger and the center hole too big, baby rejects the pacifier when he took it very well the other sizes. So I kept sizes 3 by enlarging the hole with a knife ...</v>
      </c>
    </row>
    <row r="19984">
      <c r="A19984" s="1">
        <v>1.0</v>
      </c>
      <c r="B19984" s="1" t="s">
        <v>19643</v>
      </c>
      <c r="C19984" t="str">
        <f>IFERROR(__xludf.DUMMYFUNCTION("GOOGLETRANSLATE(B19984, ""fr"", ""en"")"),"Disappointed Disappointed! The wrists are tiny and do not fit on small bottles of 130 ml that I used to bring him his water!")</f>
        <v>Disappointed Disappointed! The wrists are tiny and do not fit on small bottles of 130 ml that I used to bring him his water!</v>
      </c>
    </row>
    <row r="19985">
      <c r="A19985" s="1">
        <v>1.0</v>
      </c>
      <c r="B19985" s="1" t="s">
        <v>19644</v>
      </c>
      <c r="C19985" t="str">
        <f>IFERROR(__xludf.DUMMYFUNCTION("GOOGLETRANSLATE(B19985, ""fr"", ""en"")"),"Counterfeiting I think happens is a counterfeit, I already have a pair of Stan Smith in the same size and the size so much smaller and the quality is not good")</f>
        <v>Counterfeiting I think happens is a counterfeit, I already have a pair of Stan Smith in the same size and the size so much smaller and the quality is not good</v>
      </c>
    </row>
    <row r="19986">
      <c r="A19986" s="1">
        <v>3.0</v>
      </c>
      <c r="B19986" s="1" t="s">
        <v>19645</v>
      </c>
      <c r="C19986" t="str">
        <f>IFERROR(__xludf.DUMMYFUNCTION("GOOGLETRANSLATE(B19986, ""fr"", ""en"")"),"This poorly sized jogging down very badly size I had to change because the article for M it was too big I had to take a S")</f>
        <v>This poorly sized jogging down very badly size I had to change because the article for M it was too big I had to take a S</v>
      </c>
    </row>
    <row r="19987">
      <c r="A19987" s="1">
        <v>3.0</v>
      </c>
      <c r="B19987" s="1" t="s">
        <v>19646</v>
      </c>
      <c r="C19987" t="str">
        <f>IFERROR(__xludf.DUMMYFUNCTION("GOOGLETRANSLATE(B19987, ""fr"", ""en"")"),"Board Game Ordered for Christmas this year and therefore not open yet I understood that it was an ancestor of the famous Pictionary. Instead hourglass pen of mine returned alone when the time is up. I recommend this game for children")</f>
        <v>Board Game Ordered for Christmas this year and therefore not open yet I understood that it was an ancestor of the famous Pictionary. Instead hourglass pen of mine returned alone when the time is up. I recommend this game for children</v>
      </c>
    </row>
    <row r="19988">
      <c r="A19988" s="1">
        <v>4.0</v>
      </c>
      <c r="B19988" s="1" t="s">
        <v>19647</v>
      </c>
      <c r="C19988" t="str">
        <f>IFERROR(__xludf.DUMMYFUNCTION("GOOGLETRANSLATE(B19988, ""fr"", ""en"")"),"Budermmy Pro Running Low Cut Socks, Bought for my husband but for me, it feels good in these stockinets, the height is good and pleasant texture. I advise these items")</f>
        <v>Budermmy Pro Running Low Cut Socks, Bought for my husband but for me, it feels good in these stockinets, the height is good and pleasant texture. I advise these items</v>
      </c>
    </row>
    <row r="19989">
      <c r="A19989" s="1">
        <v>4.0</v>
      </c>
      <c r="B19989" s="1" t="s">
        <v>19648</v>
      </c>
      <c r="C19989" t="str">
        <f>IFERROR(__xludf.DUMMYFUNCTION("GOOGLETRANSLATE(B19989, ""fr"", ""en"")"),"Very Nice Subject Beautiful unit, effective, fast heating, no rear plastic taste ... Aesthetics and neat finish. Only drawback, the powerful external heating, but it is not done to lay hands ;-)")</f>
        <v>Very Nice Subject Beautiful unit, effective, fast heating, no rear plastic taste ... Aesthetics and neat finish. Only drawback, the powerful external heating, but it is not done to lay hands ;-)</v>
      </c>
    </row>
    <row r="19990">
      <c r="A19990" s="1">
        <v>4.0</v>
      </c>
      <c r="B19990" s="1" t="s">
        <v>19649</v>
      </c>
      <c r="C19990" t="str">
        <f>IFERROR(__xludf.DUMMYFUNCTION("GOOGLETRANSLATE(B19990, ""fr"", ""en"")"),"The definition of the product Ideal for massages")</f>
        <v>The definition of the product Ideal for massages</v>
      </c>
    </row>
    <row r="19991">
      <c r="A19991" s="1">
        <v>4.0</v>
      </c>
      <c r="B19991" s="1" t="s">
        <v>19650</v>
      </c>
      <c r="C19991" t="str">
        <f>IFERROR(__xludf.DUMMYFUNCTION("GOOGLETRANSLATE(B19991, ""fr"", ""en"")"),"Product very satisfying Replacing my old plastic kettle. Very easy to use. It is nice to be able to choose the temperature for preparing tea for example. Easy cleaning. Do not rest the kettle on the base if it is to be turned off, but it's just a matter o"&amp;"f habit.")</f>
        <v>Product very satisfying Replacing my old plastic kettle. Very easy to use. It is nice to be able to choose the temperature for preparing tea for example. Easy cleaning. Do not rest the kettle on the base if it is to be turned off, but it's just a matter of habit.</v>
      </c>
    </row>
    <row r="19992">
      <c r="A19992" s="1">
        <v>5.0</v>
      </c>
      <c r="B19992" s="1" t="s">
        <v>19651</v>
      </c>
      <c r="C19992" t="str">
        <f>IFERROR(__xludf.DUMMYFUNCTION("GOOGLETRANSLATE(B19992, ""fr"", ""en"")"),"Very good headset is not easy to evaluate a helmet. First you have to get used to (which takes time) and secondly we can only give a very personal appreciation (depending on his hearing and also his musical preferences). That said I find this almost perfe"&amp;"ct helmet provided only listen to high quality files (not necessarily the Hi-Res but the least Flac). I especially appreciate its neutrality (so no enhanced bass) for listening classical (or jazz) in optimal conditions. We hear all the details and this is"&amp;" an opportunity to rediscover his favorite tracks. It is a bit bulky but nonetheless comfortable. It can be worn long without being inconvenienced in any way.")</f>
        <v>Very good headset is not easy to evaluate a helmet. First you have to get used to (which takes time) and secondly we can only give a very personal appreciation (depending on his hearing and also his musical preferences). That said I find this almost perfect helmet provided only listen to high quality files (not necessarily the Hi-Res but the least Flac). I especially appreciate its neutrality (so no enhanced bass) for listening classical (or jazz) in optimal conditions. We hear all the details and this is an opportunity to rediscover his favorite tracks. It is a bit bulky but nonetheless comfortable. It can be worn long without being inconvenienced in any way.</v>
      </c>
    </row>
    <row r="19993">
      <c r="A19993" s="1">
        <v>5.0</v>
      </c>
      <c r="B19993" s="1" t="s">
        <v>19652</v>
      </c>
      <c r="C19993" t="str">
        <f>IFERROR(__xludf.DUMMYFUNCTION("GOOGLETRANSLATE(B19993, ""fr"", ""en"")"),"Pleasant and large Ready for big enough !! holiday to put the necessary and not be crowded! Very wearable, can even be worn around your waist as your template.")</f>
        <v>Pleasant and large Ready for big enough !! holiday to put the necessary and not be crowded! Very wearable, can even be worn around your waist as your template.</v>
      </c>
    </row>
    <row r="19994">
      <c r="A19994" s="1">
        <v>5.0</v>
      </c>
      <c r="B19994" s="1" t="s">
        <v>19653</v>
      </c>
      <c r="C19994" t="str">
        <f>IFERROR(__xludf.DUMMYFUNCTION("GOOGLETRANSLATE(B19994, ""fr"", ""en"")"),"Very good value for money A great product, very easy to use, discreet and lightweight with a very good sound!")</f>
        <v>Very good value for money A great product, very easy to use, discreet and lightweight with a very good sound!</v>
      </c>
    </row>
    <row r="19995">
      <c r="A19995" s="1">
        <v>5.0</v>
      </c>
      <c r="B19995" s="1" t="s">
        <v>19654</v>
      </c>
      <c r="C19995" t="str">
        <f>IFERROR(__xludf.DUMMYFUNCTION("GOOGLETRANSLATE(B19995, ""fr"", ""en"")"),"Pull pull according to the picture. Already washed several times and does not move. Take one size + per cons.")</f>
        <v>Pull pull according to the picture. Already washed several times and does not move. Take one size + per cons.</v>
      </c>
    </row>
    <row r="19996">
      <c r="A19996" s="1">
        <v>5.0</v>
      </c>
      <c r="B19996" s="1" t="s">
        <v>19655</v>
      </c>
      <c r="C19996" t="str">
        <f>IFERROR(__xludf.DUMMYFUNCTION("GOOGLETRANSLATE(B19996, ""fr"", ""en"")"),"Top ! Great product value, comfortable and good anti-slip soles.")</f>
        <v>Top ! Great product value, comfortable and good anti-slip soles.</v>
      </c>
    </row>
    <row r="19997">
      <c r="A19997" s="1">
        <v>5.0</v>
      </c>
      <c r="B19997" s="1" t="s">
        <v>19656</v>
      </c>
      <c r="C19997" t="str">
        <f>IFERROR(__xludf.DUMMYFUNCTION("GOOGLETRANSLATE(B19997, ""fr"", ""en"")"),"conforms to the description conforms to the description")</f>
        <v>conforms to the description conforms to the description</v>
      </c>
    </row>
    <row r="19998">
      <c r="A19998" s="1">
        <v>5.0</v>
      </c>
      <c r="B19998" s="1" t="s">
        <v>19657</v>
      </c>
      <c r="C19998" t="str">
        <f>IFERROR(__xludf.DUMMYFUNCTION("GOOGLETRANSLATE(B19998, ""fr"", ""en"")"),"Very Good Very comfortable, great price.")</f>
        <v>Very Good Very comfortable, great price.</v>
      </c>
    </row>
    <row r="19999">
      <c r="A19999" s="1">
        <v>5.0</v>
      </c>
      <c r="B19999" s="1" t="s">
        <v>19658</v>
      </c>
      <c r="C19999" t="str">
        <f>IFERROR(__xludf.DUMMYFUNCTION("GOOGLETRANSLATE(B19999, ""fr"", ""en"")"),"A premium brand with style. Sweatshirt truly superior embroidery is really beautiful I one meter 80 athletic stance and bought the size the size which for my taste a little big little while otherwise I highly recommend this product I do not regret my purc"&amp;"hase rather thank the seller the product arrived a day before quickly thank you.")</f>
        <v>A premium brand with style. Sweatshirt truly superior embroidery is really beautiful I one meter 80 athletic stance and bought the size the size which for my taste a little big little while otherwise I highly recommend this product I do not regret my purchase rather thank the seller the product arrived a day before quickly thank you.</v>
      </c>
    </row>
    <row r="20000">
      <c r="A20000" s="1">
        <v>5.0</v>
      </c>
      <c r="B20000" s="1" t="s">
        <v>19659</v>
      </c>
      <c r="C20000" t="str">
        <f>IFERROR(__xludf.DUMMYFUNCTION("GOOGLETRANSLATE(B20000, ""fr"", ""en"")"),"Consistent with the description on the image consistent with the description I have not hindsight to tell whether solid or not in any case it is very much more pockets you can put attach pens his very correct short key to Price")</f>
        <v>Consistent with the description on the image consistent with the description I have not hindsight to tell whether solid or not in any case it is very much more pockets you can put attach pens his very correct short key to Price</v>
      </c>
    </row>
    <row r="20001">
      <c r="A20001" s="1">
        <v>5.0</v>
      </c>
      <c r="B20001" s="1" t="s">
        <v>19660</v>
      </c>
      <c r="C20001" t="str">
        <f>IFERROR(__xludf.DUMMYFUNCTION("GOOGLETRANSLATE(B20001, ""fr"", ""en"")"),"comfortable tendency to rub at the tongue (especially if wearing white socks!)")</f>
        <v>comfortable tendency to rub at the tongue (especially if wearing white socks!)</v>
      </c>
    </row>
  </sheetData>
  <drawing r:id="rId1"/>
</worksheet>
</file>